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defaultThemeVersion="124226"/>
  <bookViews>
    <workbookView xWindow="3435" yWindow="180" windowWidth="17880" windowHeight="11760" tabRatio="500" firstSheet="1" activeTab="1"/>
  </bookViews>
  <sheets>
    <sheet name="INSTRUCTIONS" sheetId="12" r:id="rId1"/>
    <sheet name="FIG1" sheetId="65" r:id="rId2"/>
    <sheet name="FIG2" sheetId="66" r:id="rId3"/>
    <sheet name="FIG3" sheetId="11" r:id="rId4"/>
    <sheet name="FIG4" sheetId="84" r:id="rId5"/>
    <sheet name="FIG5" sheetId="69" r:id="rId6"/>
    <sheet name="FIG6" sheetId="70" r:id="rId7"/>
    <sheet name="FIG7" sheetId="71" r:id="rId8"/>
    <sheet name="FIG8" sheetId="72" r:id="rId9"/>
    <sheet name="FIG9" sheetId="83" r:id="rId10"/>
    <sheet name="FIG10" sheetId="74" r:id="rId11"/>
    <sheet name="FIG11" sheetId="75" r:id="rId12"/>
    <sheet name="FIG12" sheetId="82" r:id="rId13"/>
    <sheet name="CONVERSIONS-CONV" sheetId="89" r:id="rId14"/>
    <sheet name="$REV-DB" sheetId="87" r:id="rId15"/>
    <sheet name="$REV-DSUM" sheetId="13" r:id="rId16"/>
    <sheet name="$REV-DSUM-CONV" sheetId="91" r:id="rId17"/>
    <sheet name="$REV-PROOF" sheetId="28" r:id="rId18"/>
    <sheet name="$REV-HEADINGS" sheetId="22" r:id="rId19"/>
    <sheet name="$REV-NOTES" sheetId="25" r:id="rId20"/>
    <sheet name="1$REV-CharterAuditData" sheetId="18" r:id="rId21"/>
    <sheet name="2$REV-Districtsallrevs" sheetId="19" r:id="rId22"/>
    <sheet name="3$REV-DistrictsWorkingFile2" sheetId="27" r:id="rId23"/>
    <sheet name="4$REV-DATA-CharterDistricts" sheetId="37" r:id="rId24"/>
    <sheet name="5$REV-CharterFedRevCalcs" sheetId="38" r:id="rId25"/>
    <sheet name="6$REV-CommCharterDOEdata" sheetId="42" r:id="rId26"/>
    <sheet name="7$REV-FinalDistrictData" sheetId="43" r:id="rId27"/>
    <sheet name="8$REV-DATA-" sheetId="44" r:id="rId28"/>
    <sheet name="9$REV-DATA-" sheetId="45" r:id="rId29"/>
    <sheet name="10$REV-DATA-" sheetId="64" r:id="rId30"/>
    <sheet name="$REV-DATA-END" sheetId="39" r:id="rId31"/>
    <sheet name="1$REV-ARCHIVE-AllDistricts" sheetId="40" r:id="rId32"/>
    <sheet name="2$REV-ARCHIVE-" sheetId="30" r:id="rId33"/>
    <sheet name="3$REV-ARCHIVE-" sheetId="31" r:id="rId34"/>
    <sheet name="4$REV-ARCHIVE-" sheetId="32" r:id="rId35"/>
    <sheet name="5$REV-ARCHIVE-" sheetId="33" r:id="rId36"/>
    <sheet name="6$REV-ARCHIVE-" sheetId="34" r:id="rId37"/>
    <sheet name="7$REV-ARCHIVE-" sheetId="47" r:id="rId38"/>
    <sheet name="8$REV-ARCHIVE-" sheetId="56" r:id="rId39"/>
    <sheet name="$REV-ARCHIVE-END" sheetId="46" r:id="rId40"/>
    <sheet name="ENR#-DB" sheetId="88" r:id="rId41"/>
    <sheet name="ENR#-DSUM" sheetId="15" r:id="rId42"/>
    <sheet name="ENR#-DSUM-CONV" sheetId="90" r:id="rId43"/>
    <sheet name="ENR#-PROOF" sheetId="29" r:id="rId44"/>
    <sheet name="ENR#-HEADINGS" sheetId="23" r:id="rId45"/>
    <sheet name="ENR#-NOTES" sheetId="26" r:id="rId46"/>
    <sheet name="1ENR#DATA-DistrictFTE" sheetId="41" r:id="rId47"/>
    <sheet name="2ENR#DistrictWorkingfile2" sheetId="20" r:id="rId48"/>
    <sheet name="3ENR#DATA-" sheetId="48" r:id="rId49"/>
    <sheet name="4ENR#DATA-" sheetId="49" r:id="rId50"/>
    <sheet name="5ENR#DATA-" sheetId="54" r:id="rId51"/>
    <sheet name="6ENR#DATA-" sheetId="50" r:id="rId52"/>
    <sheet name="7ENR#DATA-" sheetId="51" r:id="rId53"/>
    <sheet name="8ENR#DATA-" sheetId="52" r:id="rId54"/>
    <sheet name="9ENR#DATA-" sheetId="53" r:id="rId55"/>
    <sheet name="10ENR#DATA-" sheetId="63" r:id="rId56"/>
    <sheet name="ENR#DATA-END" sheetId="21" r:id="rId57"/>
    <sheet name="1ENR#ARCHIVE-" sheetId="17" r:id="rId58"/>
    <sheet name="2ENR#ARCHIVE-" sheetId="35" r:id="rId59"/>
    <sheet name="3ENR#ARCHIVE-" sheetId="57" r:id="rId60"/>
    <sheet name="4ENR#ARCHIVE-" sheetId="58" r:id="rId61"/>
    <sheet name="5ENR#ARCHIVE-" sheetId="59" r:id="rId62"/>
    <sheet name="6ENR#ARCHIVE-" sheetId="60" r:id="rId63"/>
    <sheet name="7ENR#ARCHIVE-" sheetId="61" r:id="rId64"/>
    <sheet name="8ENR#ARCHIVE-" sheetId="62" r:id="rId65"/>
    <sheet name="ENR#ARCHIVE-END" sheetId="36" r:id="rId66"/>
    <sheet name="END" sheetId="24" r:id="rId67"/>
  </sheets>
  <externalReferences>
    <externalReference r:id="rId68"/>
    <externalReference r:id="rId69"/>
  </externalReferences>
  <definedNames>
    <definedName name="_xlnm._FilterDatabase" localSheetId="14" hidden="1">'$REV-DB'!$A$35:$AG$67</definedName>
    <definedName name="_xlnm._FilterDatabase" localSheetId="20" hidden="1">'1$REV-CharterAuditData'!#REF!</definedName>
    <definedName name="_xlnm._FilterDatabase" localSheetId="40" hidden="1">'ENR#-DB'!$A$35:$T$48</definedName>
    <definedName name="_xlnm.Criteria" localSheetId="40">'ENR#-DB'!$U$50:$U$53</definedName>
    <definedName name="_xlnm.Extract" localSheetId="40">'ENR#-DB'!$Z$50</definedName>
    <definedName name="_xlnm.Print_Area" localSheetId="17">'$REV-PROOF'!$B$6:$F$93</definedName>
    <definedName name="_xlnm.Print_Area" localSheetId="43">'ENR#-PROOF'!$B$6:$F$21</definedName>
    <definedName name="_xlnm.Print_Area" localSheetId="1">'FIG1'!$M$2:$V$57</definedName>
    <definedName name="_xlnm.Print_Area" localSheetId="10">'FIG10'!$C$5:$H$10</definedName>
    <definedName name="_xlnm.Print_Area" localSheetId="11">'FIG11'!$C$6:$M$11,'FIG11'!$P$2:$AA$54</definedName>
    <definedName name="_xlnm.Print_Area" localSheetId="12">'FIG12'!$C$4:$L$18,'FIG12'!$O$2:$X$47</definedName>
    <definedName name="_xlnm.Print_Area" localSheetId="2">'FIG2'!$M$2:$V$55</definedName>
    <definedName name="_xlnm.Print_Area" localSheetId="3">'FIG3'!$C$4:$L$42</definedName>
    <definedName name="_xlnm.Print_Area" localSheetId="4">'FIG4'!$M$2:$U$59</definedName>
    <definedName name="_xlnm.Print_Area" localSheetId="5">'FIG5'!$M$2:$U$59</definedName>
    <definedName name="_xlnm.Print_Area" localSheetId="6">'FIG6'!$N$2:$U$77</definedName>
    <definedName name="_xlnm.Print_Area" localSheetId="8">'FIG8'!$X$1</definedName>
    <definedName name="_xlnm.Print_Area" localSheetId="9">'FIG9'!$C$5:$K$13</definedName>
    <definedName name="_xlnm.Print_Area" localSheetId="0">INSTRUCTIONS!$A$2:$O$41,INSTRUCTIONS!$R$2:$U$23</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8" i="15" l="1"/>
  <c r="N52" i="15" s="1"/>
  <c r="N55" i="15"/>
  <c r="G12" i="18"/>
  <c r="Q40" i="88" s="1"/>
  <c r="G29" i="18"/>
  <c r="Q41" i="88"/>
  <c r="G60" i="18"/>
  <c r="Q42" i="88" s="1"/>
  <c r="N56" i="15"/>
  <c r="N57" i="15"/>
  <c r="N58" i="15"/>
  <c r="N62" i="15"/>
  <c r="N63" i="15"/>
  <c r="N64" i="15"/>
  <c r="N65" i="15"/>
  <c r="N66" i="15"/>
  <c r="N67" i="15"/>
  <c r="N68" i="15"/>
  <c r="B63" i="15"/>
  <c r="K23" i="11" s="1"/>
  <c r="N32" i="15"/>
  <c r="N33" i="15"/>
  <c r="N34" i="15"/>
  <c r="N35" i="15"/>
  <c r="N36" i="15"/>
  <c r="N37" i="15"/>
  <c r="N38" i="15"/>
  <c r="N42" i="15"/>
  <c r="N43" i="15"/>
  <c r="N44" i="15"/>
  <c r="N45" i="15"/>
  <c r="N46" i="15"/>
  <c r="N47" i="15"/>
  <c r="N48" i="15"/>
  <c r="N12" i="15"/>
  <c r="N13" i="15"/>
  <c r="N14" i="15"/>
  <c r="N15" i="15"/>
  <c r="N16" i="15"/>
  <c r="N17" i="15"/>
  <c r="N18" i="15"/>
  <c r="N22" i="15"/>
  <c r="N23" i="15"/>
  <c r="N24" i="15"/>
  <c r="N25" i="15"/>
  <c r="N26" i="15"/>
  <c r="N27" i="15"/>
  <c r="N28" i="15"/>
  <c r="J6" i="13"/>
  <c r="N376" i="13" s="1"/>
  <c r="N375" i="13"/>
  <c r="N378" i="13"/>
  <c r="H2314" i="43"/>
  <c r="R40" i="87"/>
  <c r="H6093" i="43"/>
  <c r="R44" i="87" s="1"/>
  <c r="F6814" i="43"/>
  <c r="F6775" i="43"/>
  <c r="F6732" i="43"/>
  <c r="F6708" i="43"/>
  <c r="F6667" i="43"/>
  <c r="F6631" i="43"/>
  <c r="F6596" i="43"/>
  <c r="F6517" i="43"/>
  <c r="F6481" i="43"/>
  <c r="F6445" i="43"/>
  <c r="F6405" i="43"/>
  <c r="F6369" i="43"/>
  <c r="F6327" i="43"/>
  <c r="F6291" i="43"/>
  <c r="F6256" i="43"/>
  <c r="F6220" i="43"/>
  <c r="F6187" i="43"/>
  <c r="F6151" i="43"/>
  <c r="F6133" i="43"/>
  <c r="F6044" i="43"/>
  <c r="F6005" i="43"/>
  <c r="F5966" i="43"/>
  <c r="F5935" i="43"/>
  <c r="F5901" i="43"/>
  <c r="F5862" i="43"/>
  <c r="F5821" i="43"/>
  <c r="F5793" i="43"/>
  <c r="F5762" i="43"/>
  <c r="F5721" i="43"/>
  <c r="F5688" i="43"/>
  <c r="F5657" i="43"/>
  <c r="F5605" i="43"/>
  <c r="F5558" i="43"/>
  <c r="F5519" i="43"/>
  <c r="F5478" i="43"/>
  <c r="F5440" i="43"/>
  <c r="F5410" i="43"/>
  <c r="F5371" i="43"/>
  <c r="F5330" i="43"/>
  <c r="F5292" i="43"/>
  <c r="F5256" i="43"/>
  <c r="F5223" i="43"/>
  <c r="F5180" i="43"/>
  <c r="F5141" i="43"/>
  <c r="F5104" i="43"/>
  <c r="F5070" i="43"/>
  <c r="F5036" i="43"/>
  <c r="F4999" i="43"/>
  <c r="F4970" i="43"/>
  <c r="F4941" i="43"/>
  <c r="F4902" i="43"/>
  <c r="F4869" i="43"/>
  <c r="F4829" i="43"/>
  <c r="F4788" i="43"/>
  <c r="F4752" i="43"/>
  <c r="F4717" i="43"/>
  <c r="F4682" i="43"/>
  <c r="F4647" i="43"/>
  <c r="F4604" i="43"/>
  <c r="F4567" i="43"/>
  <c r="F4532" i="43"/>
  <c r="F4498" i="43"/>
  <c r="F4459" i="43"/>
  <c r="F4425" i="43"/>
  <c r="F4386" i="43"/>
  <c r="F4353" i="43"/>
  <c r="F4317" i="43"/>
  <c r="F4279" i="43"/>
  <c r="F4242" i="43"/>
  <c r="F4205" i="43"/>
  <c r="F4166" i="43"/>
  <c r="F4090" i="43"/>
  <c r="F4037" i="43"/>
  <c r="F4004" i="43"/>
  <c r="F3972" i="43"/>
  <c r="F3938" i="43"/>
  <c r="F3863" i="43"/>
  <c r="F3834" i="43"/>
  <c r="F3798" i="43"/>
  <c r="F3769" i="43"/>
  <c r="F3729" i="43"/>
  <c r="F3692" i="43"/>
  <c r="F3654" i="43"/>
  <c r="F3618" i="43"/>
  <c r="F3577" i="43"/>
  <c r="F3537" i="43"/>
  <c r="F3498" i="43"/>
  <c r="F3459" i="43"/>
  <c r="F3418" i="43"/>
  <c r="F3382" i="43"/>
  <c r="F3346" i="43"/>
  <c r="F3310" i="43"/>
  <c r="F3266" i="43"/>
  <c r="F3222" i="43"/>
  <c r="F3193" i="43"/>
  <c r="F3152" i="43"/>
  <c r="F3119" i="43"/>
  <c r="F3081" i="43"/>
  <c r="F3042" i="43"/>
  <c r="F2999" i="43"/>
  <c r="F2957" i="43"/>
  <c r="F2907" i="43"/>
  <c r="F2868" i="43"/>
  <c r="F2835" i="43"/>
  <c r="F2799" i="43"/>
  <c r="F2760" i="43"/>
  <c r="F2724" i="43"/>
  <c r="F2696" i="43"/>
  <c r="F2646" i="43"/>
  <c r="F2510" i="43"/>
  <c r="F2472" i="43"/>
  <c r="F2428" i="43"/>
  <c r="F2388" i="43"/>
  <c r="F2351" i="43"/>
  <c r="F2272" i="43"/>
  <c r="F2233" i="43"/>
  <c r="F2200" i="43"/>
  <c r="F2155" i="43"/>
  <c r="F2127" i="43"/>
  <c r="F2094" i="43"/>
  <c r="F2061" i="43"/>
  <c r="F2022" i="43"/>
  <c r="F1990" i="43"/>
  <c r="F1951" i="43"/>
  <c r="F1918" i="43"/>
  <c r="F1838" i="43"/>
  <c r="F1791" i="43"/>
  <c r="F1755" i="43"/>
  <c r="F1679" i="43"/>
  <c r="F1642" i="43"/>
  <c r="F1608" i="43"/>
  <c r="F1575" i="43"/>
  <c r="F1534" i="43"/>
  <c r="F1498" i="43"/>
  <c r="F1460" i="43"/>
  <c r="F1422" i="43"/>
  <c r="F1377" i="43"/>
  <c r="F1332" i="43"/>
  <c r="F1250" i="43"/>
  <c r="F1214" i="43"/>
  <c r="F1173" i="43"/>
  <c r="F1143" i="43"/>
  <c r="F1097" i="43"/>
  <c r="F1055" i="43"/>
  <c r="F1018" i="43"/>
  <c r="F948" i="43"/>
  <c r="F909" i="43"/>
  <c r="F866" i="43"/>
  <c r="F818" i="43"/>
  <c r="F772" i="43"/>
  <c r="F730" i="43"/>
  <c r="F698" i="43"/>
  <c r="F655" i="43"/>
  <c r="F618" i="43"/>
  <c r="F576" i="43"/>
  <c r="F539" i="43"/>
  <c r="F504" i="43"/>
  <c r="F465" i="43"/>
  <c r="F429" i="43"/>
  <c r="F343" i="43"/>
  <c r="F301" i="43"/>
  <c r="F254" i="43"/>
  <c r="F214" i="43"/>
  <c r="F182" i="43"/>
  <c r="F138" i="43"/>
  <c r="F75" i="43"/>
  <c r="F41" i="43"/>
  <c r="I6814" i="43"/>
  <c r="I6775" i="43"/>
  <c r="I6732" i="43"/>
  <c r="I6708" i="43"/>
  <c r="I6667" i="43"/>
  <c r="I6631" i="43"/>
  <c r="I6596" i="43"/>
  <c r="I6517" i="43"/>
  <c r="I6481" i="43"/>
  <c r="I6445" i="43"/>
  <c r="I6405" i="43"/>
  <c r="I6369" i="43"/>
  <c r="I6327" i="43"/>
  <c r="I6291" i="43"/>
  <c r="I6256" i="43"/>
  <c r="I6220" i="43"/>
  <c r="I6187" i="43"/>
  <c r="I6151" i="43"/>
  <c r="I6133" i="43"/>
  <c r="I6044" i="43"/>
  <c r="I6005" i="43"/>
  <c r="I5966" i="43"/>
  <c r="I5935" i="43"/>
  <c r="I5901" i="43"/>
  <c r="I5862" i="43"/>
  <c r="I5821" i="43"/>
  <c r="I5793" i="43"/>
  <c r="I5762" i="43"/>
  <c r="I5721" i="43"/>
  <c r="I5688" i="43"/>
  <c r="I5657" i="43"/>
  <c r="I5605" i="43"/>
  <c r="I5558" i="43"/>
  <c r="I5519" i="43"/>
  <c r="I5478" i="43"/>
  <c r="I5440" i="43"/>
  <c r="I5410" i="43"/>
  <c r="I5371" i="43"/>
  <c r="I5330" i="43"/>
  <c r="I5292" i="43"/>
  <c r="I5256" i="43"/>
  <c r="I5223" i="43"/>
  <c r="I5180" i="43"/>
  <c r="I5141" i="43"/>
  <c r="I5104" i="43"/>
  <c r="I5070" i="43"/>
  <c r="I5036" i="43"/>
  <c r="I4999" i="43"/>
  <c r="I4970" i="43"/>
  <c r="I4941" i="43"/>
  <c r="I4902" i="43"/>
  <c r="I4869" i="43"/>
  <c r="I4829" i="43"/>
  <c r="I4788" i="43"/>
  <c r="I4752" i="43"/>
  <c r="I4717" i="43"/>
  <c r="I4682" i="43"/>
  <c r="I4647" i="43"/>
  <c r="I4604" i="43"/>
  <c r="I4567" i="43"/>
  <c r="I4532" i="43"/>
  <c r="I4498" i="43"/>
  <c r="I4459" i="43"/>
  <c r="I4425" i="43"/>
  <c r="I4386" i="43"/>
  <c r="I4353" i="43"/>
  <c r="I4317" i="43"/>
  <c r="I4279" i="43"/>
  <c r="I4242" i="43"/>
  <c r="I4205" i="43"/>
  <c r="I4166" i="43"/>
  <c r="I4090" i="43"/>
  <c r="I4037" i="43"/>
  <c r="I4004" i="43"/>
  <c r="I3972" i="43"/>
  <c r="I3938" i="43"/>
  <c r="I3863" i="43"/>
  <c r="I3834" i="43"/>
  <c r="I3798" i="43"/>
  <c r="I3769" i="43"/>
  <c r="I3729" i="43"/>
  <c r="I3692" i="43"/>
  <c r="I3654" i="43"/>
  <c r="I3618" i="43"/>
  <c r="I3577" i="43"/>
  <c r="I3537" i="43"/>
  <c r="I3498" i="43"/>
  <c r="I3459" i="43"/>
  <c r="I3418" i="43"/>
  <c r="I3382" i="43"/>
  <c r="I3346" i="43"/>
  <c r="I3310" i="43"/>
  <c r="I3266" i="43"/>
  <c r="I3222" i="43"/>
  <c r="I3193" i="43"/>
  <c r="I3152" i="43"/>
  <c r="I3119" i="43"/>
  <c r="I3081" i="43"/>
  <c r="I3042" i="43"/>
  <c r="I2999" i="43"/>
  <c r="I2957" i="43"/>
  <c r="I2907" i="43"/>
  <c r="I2868" i="43"/>
  <c r="I2835" i="43"/>
  <c r="I2799" i="43"/>
  <c r="I2760" i="43"/>
  <c r="I2724" i="43"/>
  <c r="I2696" i="43"/>
  <c r="I2646" i="43"/>
  <c r="I2510" i="43"/>
  <c r="I2472" i="43"/>
  <c r="I2428" i="43"/>
  <c r="I2388" i="43"/>
  <c r="I2351" i="43"/>
  <c r="I2272" i="43"/>
  <c r="I2233" i="43"/>
  <c r="I2200" i="43"/>
  <c r="I2155" i="43"/>
  <c r="I2127" i="43"/>
  <c r="I2094" i="43"/>
  <c r="I2061" i="43"/>
  <c r="I2022" i="43"/>
  <c r="I1990" i="43"/>
  <c r="I1951" i="43"/>
  <c r="I1918" i="43"/>
  <c r="I1838" i="43"/>
  <c r="I1791" i="43"/>
  <c r="I1755" i="43"/>
  <c r="I1679" i="43"/>
  <c r="I1642" i="43"/>
  <c r="I1608" i="43"/>
  <c r="I1575" i="43"/>
  <c r="I1534" i="43"/>
  <c r="I1498" i="43"/>
  <c r="I1460" i="43"/>
  <c r="I1422" i="43"/>
  <c r="I1377" i="43"/>
  <c r="I1332" i="43"/>
  <c r="I1250" i="43"/>
  <c r="I1214" i="43"/>
  <c r="I1173" i="43"/>
  <c r="I1143" i="43"/>
  <c r="I1097" i="43"/>
  <c r="I1055" i="43"/>
  <c r="I1018" i="43"/>
  <c r="I948" i="43"/>
  <c r="I909" i="43"/>
  <c r="I866" i="43"/>
  <c r="I818" i="43"/>
  <c r="I772" i="43"/>
  <c r="I730" i="43"/>
  <c r="I698" i="43"/>
  <c r="I655" i="43"/>
  <c r="I618" i="43"/>
  <c r="I576" i="43"/>
  <c r="I539" i="43"/>
  <c r="I504" i="43"/>
  <c r="I465" i="43"/>
  <c r="I429" i="43"/>
  <c r="I343" i="43"/>
  <c r="I301" i="43"/>
  <c r="I254" i="43"/>
  <c r="I214" i="43"/>
  <c r="I182" i="43"/>
  <c r="I138" i="43"/>
  <c r="I113" i="43"/>
  <c r="I75" i="43"/>
  <c r="I41" i="43"/>
  <c r="G6814" i="43"/>
  <c r="G6775" i="43"/>
  <c r="G6732" i="43"/>
  <c r="G6708" i="43"/>
  <c r="G6667" i="43"/>
  <c r="G6631" i="43"/>
  <c r="G6596" i="43"/>
  <c r="G6517" i="43"/>
  <c r="G6481" i="43"/>
  <c r="G6445" i="43"/>
  <c r="G6405" i="43"/>
  <c r="G6369" i="43"/>
  <c r="G6327" i="43"/>
  <c r="G6291" i="43"/>
  <c r="G6256" i="43"/>
  <c r="G6220" i="43"/>
  <c r="G6187" i="43"/>
  <c r="G6151" i="43"/>
  <c r="G6133" i="43"/>
  <c r="G6044" i="43"/>
  <c r="G6005" i="43"/>
  <c r="G5966" i="43"/>
  <c r="G5935" i="43"/>
  <c r="G5901" i="43"/>
  <c r="G5862" i="43"/>
  <c r="G5821" i="43"/>
  <c r="G5793" i="43"/>
  <c r="G5762" i="43"/>
  <c r="G5721" i="43"/>
  <c r="G5688" i="43"/>
  <c r="G5657" i="43"/>
  <c r="G5605" i="43"/>
  <c r="G5558" i="43"/>
  <c r="G5519" i="43"/>
  <c r="G5478" i="43"/>
  <c r="G5440" i="43"/>
  <c r="G5410" i="43"/>
  <c r="G5371" i="43"/>
  <c r="G5330" i="43"/>
  <c r="G5292" i="43"/>
  <c r="G5256" i="43"/>
  <c r="G5223" i="43"/>
  <c r="G5180" i="43"/>
  <c r="G5141" i="43"/>
  <c r="G5104" i="43"/>
  <c r="G5070" i="43"/>
  <c r="G5036" i="43"/>
  <c r="G4999" i="43"/>
  <c r="G4970" i="43"/>
  <c r="G4941" i="43"/>
  <c r="G4902" i="43"/>
  <c r="G4869" i="43"/>
  <c r="G4829" i="43"/>
  <c r="G4788" i="43"/>
  <c r="G4752" i="43"/>
  <c r="G4717" i="43"/>
  <c r="G4682" i="43"/>
  <c r="G4647" i="43"/>
  <c r="G4604" i="43"/>
  <c r="G4567" i="43"/>
  <c r="G4532" i="43"/>
  <c r="G4498" i="43"/>
  <c r="G4459" i="43"/>
  <c r="G4425" i="43"/>
  <c r="G4386" i="43"/>
  <c r="G4353" i="43"/>
  <c r="G4317" i="43"/>
  <c r="G4279" i="43"/>
  <c r="G4242" i="43"/>
  <c r="G4205" i="43"/>
  <c r="G4166" i="43"/>
  <c r="G4090" i="43"/>
  <c r="G4037" i="43"/>
  <c r="G4004" i="43"/>
  <c r="G3972" i="43"/>
  <c r="G3938" i="43"/>
  <c r="G3863" i="43"/>
  <c r="G3834" i="43"/>
  <c r="G3798" i="43"/>
  <c r="G3769" i="43"/>
  <c r="G3729" i="43"/>
  <c r="G3692" i="43"/>
  <c r="G3654" i="43"/>
  <c r="G3618" i="43"/>
  <c r="G3577" i="43"/>
  <c r="G3537" i="43"/>
  <c r="G3498" i="43"/>
  <c r="G3459" i="43"/>
  <c r="G3418" i="43"/>
  <c r="G3382" i="43"/>
  <c r="G3346" i="43"/>
  <c r="G3310" i="43"/>
  <c r="G3266" i="43"/>
  <c r="G3222" i="43"/>
  <c r="G3193" i="43"/>
  <c r="G3152" i="43"/>
  <c r="G3119" i="43"/>
  <c r="G3081" i="43"/>
  <c r="G3042" i="43"/>
  <c r="G2999" i="43"/>
  <c r="G2957" i="43"/>
  <c r="G2907" i="43"/>
  <c r="G2868" i="43"/>
  <c r="G2835" i="43"/>
  <c r="G2799" i="43"/>
  <c r="G2760" i="43"/>
  <c r="G2724" i="43"/>
  <c r="G2696" i="43"/>
  <c r="G2646" i="43"/>
  <c r="G2510" i="43"/>
  <c r="G2472" i="43"/>
  <c r="G2428" i="43"/>
  <c r="G2388" i="43"/>
  <c r="G2351" i="43"/>
  <c r="G2272" i="43"/>
  <c r="G2233" i="43"/>
  <c r="G2200" i="43"/>
  <c r="G2155" i="43"/>
  <c r="G2127" i="43"/>
  <c r="G2094" i="43"/>
  <c r="G2061" i="43"/>
  <c r="G2022" i="43"/>
  <c r="G1990" i="43"/>
  <c r="G1951" i="43"/>
  <c r="G1918" i="43"/>
  <c r="G1838" i="43"/>
  <c r="G1791" i="43"/>
  <c r="G1755" i="43"/>
  <c r="G1679" i="43"/>
  <c r="G1642" i="43"/>
  <c r="G1608" i="43"/>
  <c r="G1575" i="43"/>
  <c r="G1534" i="43"/>
  <c r="G1498" i="43"/>
  <c r="G1460" i="43"/>
  <c r="G1422" i="43"/>
  <c r="G1377" i="43"/>
  <c r="G1332" i="43"/>
  <c r="G1250" i="43"/>
  <c r="G1214" i="43"/>
  <c r="G1173" i="43"/>
  <c r="G1143" i="43"/>
  <c r="G1097" i="43"/>
  <c r="G1055" i="43"/>
  <c r="G1018" i="43"/>
  <c r="G948" i="43"/>
  <c r="G909" i="43"/>
  <c r="G866" i="43"/>
  <c r="G818" i="43"/>
  <c r="G772" i="43"/>
  <c r="G730" i="43"/>
  <c r="G698" i="43"/>
  <c r="G655" i="43"/>
  <c r="G618" i="43"/>
  <c r="G576" i="43"/>
  <c r="G539" i="43"/>
  <c r="G504" i="43"/>
  <c r="G465" i="43"/>
  <c r="G429" i="43"/>
  <c r="G343" i="43"/>
  <c r="G301" i="43"/>
  <c r="G254" i="43"/>
  <c r="G214" i="43"/>
  <c r="G182" i="43"/>
  <c r="G138" i="43"/>
  <c r="G113" i="43"/>
  <c r="G75" i="43"/>
  <c r="G41" i="43"/>
  <c r="H6814" i="43"/>
  <c r="H6775" i="43"/>
  <c r="H6732" i="43"/>
  <c r="H6708" i="43"/>
  <c r="H6667" i="43"/>
  <c r="H6631" i="43"/>
  <c r="H6596" i="43"/>
  <c r="H6559" i="43"/>
  <c r="H6517" i="43"/>
  <c r="H6481" i="43"/>
  <c r="H6445" i="43"/>
  <c r="H6405" i="43"/>
  <c r="H6369" i="43"/>
  <c r="H6327" i="43"/>
  <c r="H6291" i="43"/>
  <c r="H6256" i="43"/>
  <c r="H6220" i="43"/>
  <c r="H6187" i="43"/>
  <c r="H6151" i="43"/>
  <c r="H6133" i="43"/>
  <c r="H6044" i="43"/>
  <c r="H6005" i="43"/>
  <c r="H5966" i="43"/>
  <c r="H5935" i="43"/>
  <c r="H5901" i="43"/>
  <c r="H5862" i="43"/>
  <c r="H5821" i="43"/>
  <c r="H5793" i="43"/>
  <c r="H5762" i="43"/>
  <c r="H5721" i="43"/>
  <c r="H5688" i="43"/>
  <c r="H5657" i="43"/>
  <c r="H5605" i="43"/>
  <c r="H5558" i="43"/>
  <c r="H5519" i="43"/>
  <c r="H5478" i="43"/>
  <c r="H5440" i="43"/>
  <c r="H5410" i="43"/>
  <c r="H5371" i="43"/>
  <c r="H5330" i="43"/>
  <c r="H5292" i="43"/>
  <c r="H5256" i="43"/>
  <c r="H5223" i="43"/>
  <c r="H5180" i="43"/>
  <c r="H5141" i="43"/>
  <c r="H5104" i="43"/>
  <c r="H5070" i="43"/>
  <c r="H5036" i="43"/>
  <c r="H4999" i="43"/>
  <c r="H4970" i="43"/>
  <c r="H4941" i="43"/>
  <c r="H4902" i="43"/>
  <c r="H4869" i="43"/>
  <c r="H4829" i="43"/>
  <c r="H4788" i="43"/>
  <c r="H4752" i="43"/>
  <c r="H4717" i="43"/>
  <c r="H4682" i="43"/>
  <c r="H4647" i="43"/>
  <c r="H4604" i="43"/>
  <c r="H4567" i="43"/>
  <c r="H4532" i="43"/>
  <c r="H4498" i="43"/>
  <c r="H4459" i="43"/>
  <c r="H4425" i="43"/>
  <c r="H4386" i="43"/>
  <c r="H4353" i="43"/>
  <c r="H4317" i="43"/>
  <c r="H4279" i="43"/>
  <c r="H4242" i="43"/>
  <c r="H4205" i="43"/>
  <c r="H4166" i="43"/>
  <c r="H4131" i="43"/>
  <c r="H4090" i="43"/>
  <c r="H4037" i="43"/>
  <c r="H4004" i="43"/>
  <c r="H3972" i="43"/>
  <c r="H3938" i="43"/>
  <c r="H3902" i="43"/>
  <c r="H3863" i="43"/>
  <c r="H3834" i="43"/>
  <c r="H3798" i="43"/>
  <c r="H3769" i="43"/>
  <c r="H3729" i="43"/>
  <c r="H3692" i="43"/>
  <c r="H3654" i="43"/>
  <c r="H3618" i="43"/>
  <c r="H3577" i="43"/>
  <c r="H3537" i="43"/>
  <c r="H3498" i="43"/>
  <c r="H3459" i="43"/>
  <c r="H3418" i="43"/>
  <c r="H3382" i="43"/>
  <c r="H3346" i="43"/>
  <c r="H3310" i="43"/>
  <c r="H3266" i="43"/>
  <c r="H3222" i="43"/>
  <c r="H3193" i="43"/>
  <c r="H3152" i="43"/>
  <c r="H3119" i="43"/>
  <c r="H3081" i="43"/>
  <c r="H3042" i="43"/>
  <c r="H2999" i="43"/>
  <c r="H2957" i="43"/>
  <c r="H2907" i="43"/>
  <c r="H2868" i="43"/>
  <c r="H2835" i="43"/>
  <c r="H2799" i="43"/>
  <c r="H2760" i="43"/>
  <c r="H2724" i="43"/>
  <c r="H2696" i="43"/>
  <c r="H2646" i="43"/>
  <c r="H2600" i="43"/>
  <c r="H2547" i="43"/>
  <c r="H2510" i="43"/>
  <c r="H2472" i="43"/>
  <c r="H2428" i="43"/>
  <c r="H2388" i="43"/>
  <c r="H2351" i="43"/>
  <c r="H2272" i="43"/>
  <c r="H2233" i="43"/>
  <c r="H2200" i="43"/>
  <c r="H2155" i="43"/>
  <c r="H2127" i="43"/>
  <c r="H2094" i="43"/>
  <c r="H2061" i="43"/>
  <c r="H2022" i="43"/>
  <c r="H1990" i="43"/>
  <c r="H1951" i="43"/>
  <c r="H1918" i="43"/>
  <c r="H1880" i="43"/>
  <c r="H1838" i="43"/>
  <c r="H1791" i="43"/>
  <c r="H1755" i="43"/>
  <c r="H1722" i="43"/>
  <c r="H1679" i="43"/>
  <c r="H1642" i="43"/>
  <c r="H1608" i="43"/>
  <c r="H1575" i="43"/>
  <c r="H1534" i="43"/>
  <c r="H1498" i="43"/>
  <c r="H1460" i="43"/>
  <c r="H1422" i="43"/>
  <c r="H1377" i="43"/>
  <c r="H1332" i="43"/>
  <c r="H1293" i="43"/>
  <c r="H1250" i="43"/>
  <c r="H1214" i="43"/>
  <c r="H1173" i="43"/>
  <c r="H1143" i="43"/>
  <c r="H1097" i="43"/>
  <c r="H1055" i="43"/>
  <c r="H1018" i="43"/>
  <c r="H986" i="43"/>
  <c r="H948" i="43"/>
  <c r="H909" i="43"/>
  <c r="H866" i="43"/>
  <c r="H818" i="43"/>
  <c r="H772" i="43"/>
  <c r="H730" i="43"/>
  <c r="H698" i="43"/>
  <c r="H655" i="43"/>
  <c r="H618" i="43"/>
  <c r="H576" i="43"/>
  <c r="H539" i="43"/>
  <c r="H504" i="43"/>
  <c r="H465" i="43"/>
  <c r="H429" i="43"/>
  <c r="H378" i="43"/>
  <c r="H343" i="43"/>
  <c r="H301" i="43"/>
  <c r="H254" i="43"/>
  <c r="H214" i="43"/>
  <c r="H182" i="43"/>
  <c r="H138" i="43"/>
  <c r="H113" i="43"/>
  <c r="H75" i="43"/>
  <c r="H41" i="43"/>
  <c r="H6816" i="43"/>
  <c r="H6821" i="43" s="1"/>
  <c r="R48" i="87" s="1"/>
  <c r="BM4" i="18"/>
  <c r="BM5" i="18"/>
  <c r="BM6" i="18"/>
  <c r="BM7" i="18"/>
  <c r="BM8" i="18"/>
  <c r="T8" i="18" s="1"/>
  <c r="BM9" i="18"/>
  <c r="BM10" i="18"/>
  <c r="BM11" i="18"/>
  <c r="AZ4" i="18"/>
  <c r="AZ5" i="18"/>
  <c r="AZ6" i="18"/>
  <c r="AZ7" i="18"/>
  <c r="AZ8" i="18"/>
  <c r="AZ9" i="18"/>
  <c r="AZ10" i="18"/>
  <c r="AX11" i="18"/>
  <c r="T4" i="18"/>
  <c r="Q5" i="18"/>
  <c r="T6" i="18"/>
  <c r="T7" i="18"/>
  <c r="W7" i="18" s="1"/>
  <c r="P7" i="18"/>
  <c r="Q7" i="18" s="1"/>
  <c r="P9" i="18"/>
  <c r="Q9" i="18" s="1"/>
  <c r="P10" i="18"/>
  <c r="Q10" i="18"/>
  <c r="AM4" i="18"/>
  <c r="AM5" i="18"/>
  <c r="AM6" i="18"/>
  <c r="AM12" i="18" s="1"/>
  <c r="R52" i="87" s="1"/>
  <c r="B266" i="13" s="1"/>
  <c r="AM7" i="18"/>
  <c r="AM8" i="18"/>
  <c r="AM9" i="18"/>
  <c r="AM10" i="18"/>
  <c r="AM11" i="18"/>
  <c r="W5" i="18"/>
  <c r="W9" i="18"/>
  <c r="W10" i="18"/>
  <c r="W11" i="18"/>
  <c r="BM16" i="18"/>
  <c r="BM17" i="18"/>
  <c r="BM18" i="18"/>
  <c r="BM19" i="18"/>
  <c r="BM20" i="18"/>
  <c r="BM21" i="18"/>
  <c r="BM22" i="18"/>
  <c r="BM23" i="18"/>
  <c r="BM24" i="18"/>
  <c r="BM25" i="18"/>
  <c r="BL26" i="18"/>
  <c r="BM26" i="18"/>
  <c r="BM27" i="18"/>
  <c r="BM28" i="18"/>
  <c r="AZ16" i="18"/>
  <c r="AZ17" i="18"/>
  <c r="AZ18" i="18"/>
  <c r="AZ19" i="18"/>
  <c r="AZ20" i="18"/>
  <c r="AZ21" i="18"/>
  <c r="AZ22" i="18"/>
  <c r="AZ23" i="18"/>
  <c r="AZ24" i="18"/>
  <c r="AZ25" i="18"/>
  <c r="AZ26" i="18"/>
  <c r="AZ27" i="18"/>
  <c r="AZ28" i="18"/>
  <c r="Q16" i="18"/>
  <c r="P17" i="18"/>
  <c r="Q17" i="18" s="1"/>
  <c r="P18" i="18"/>
  <c r="Q18" i="18"/>
  <c r="P19" i="18"/>
  <c r="Q19" i="18" s="1"/>
  <c r="P20" i="18"/>
  <c r="Q20" i="18"/>
  <c r="P21" i="18"/>
  <c r="Q21" i="18" s="1"/>
  <c r="P22" i="18"/>
  <c r="Q22" i="18"/>
  <c r="P23" i="18"/>
  <c r="Q23" i="18" s="1"/>
  <c r="P24" i="18"/>
  <c r="Q24" i="18"/>
  <c r="P25" i="18"/>
  <c r="Q25" i="18" s="1"/>
  <c r="T26" i="18"/>
  <c r="W26" i="18" s="1"/>
  <c r="P26" i="18"/>
  <c r="Q26" i="18" s="1"/>
  <c r="P27" i="18"/>
  <c r="Q27" i="18"/>
  <c r="P28" i="18"/>
  <c r="Q28" i="18" s="1"/>
  <c r="AM16" i="18"/>
  <c r="AM17" i="18"/>
  <c r="AM18" i="18"/>
  <c r="AM19" i="18"/>
  <c r="AM20" i="18"/>
  <c r="AM21" i="18"/>
  <c r="AM22" i="18"/>
  <c r="AM23" i="18"/>
  <c r="AM24" i="18"/>
  <c r="AM25" i="18"/>
  <c r="AM26" i="18"/>
  <c r="AM27" i="18"/>
  <c r="AM28" i="18"/>
  <c r="W16" i="18"/>
  <c r="W17" i="18"/>
  <c r="W29" i="18" s="1"/>
  <c r="R58" i="87" s="1"/>
  <c r="AB12" i="87" s="1"/>
  <c r="BC12" i="87" s="1"/>
  <c r="W18" i="18"/>
  <c r="W19" i="18"/>
  <c r="W20" i="18"/>
  <c r="W21" i="18"/>
  <c r="W22" i="18"/>
  <c r="W23" i="18"/>
  <c r="W24" i="18"/>
  <c r="W25" i="18"/>
  <c r="W27" i="18"/>
  <c r="W28" i="18"/>
  <c r="BM33" i="18"/>
  <c r="BM34" i="18"/>
  <c r="BM60" i="18" s="1"/>
  <c r="R59" i="87" s="1"/>
  <c r="BM35" i="18"/>
  <c r="BM36" i="18"/>
  <c r="BM37" i="18"/>
  <c r="BM38" i="18"/>
  <c r="BM39" i="18"/>
  <c r="BM40" i="18"/>
  <c r="BM41" i="18"/>
  <c r="BM42" i="18"/>
  <c r="T42" i="18" s="1"/>
  <c r="P42" i="18" s="1"/>
  <c r="Q42" i="18" s="1"/>
  <c r="BM43" i="18"/>
  <c r="BM44" i="18"/>
  <c r="BM45" i="18"/>
  <c r="BM46" i="18"/>
  <c r="BM47" i="18"/>
  <c r="BM48" i="18"/>
  <c r="BM49" i="18"/>
  <c r="BM50" i="18"/>
  <c r="BM51" i="18"/>
  <c r="BM52" i="18"/>
  <c r="BM53" i="18"/>
  <c r="BM54" i="18"/>
  <c r="BM55" i="18"/>
  <c r="BM56" i="18"/>
  <c r="BM57" i="18"/>
  <c r="BM58" i="18"/>
  <c r="BM59"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T33" i="18"/>
  <c r="P34" i="18"/>
  <c r="Q34" i="18"/>
  <c r="P35" i="18"/>
  <c r="Q35" i="18" s="1"/>
  <c r="Q36" i="18"/>
  <c r="Q37" i="18"/>
  <c r="P38" i="18"/>
  <c r="Q38" i="18" s="1"/>
  <c r="Q39" i="18"/>
  <c r="T40" i="18"/>
  <c r="P41" i="18"/>
  <c r="Q41" i="18"/>
  <c r="Q43" i="18"/>
  <c r="T44" i="18"/>
  <c r="P44" i="18" s="1"/>
  <c r="Q44" i="18" s="1"/>
  <c r="T45" i="18"/>
  <c r="T46" i="18"/>
  <c r="P46" i="18"/>
  <c r="Q46" i="18" s="1"/>
  <c r="Q47" i="18"/>
  <c r="T48" i="18"/>
  <c r="W48" i="18" s="1"/>
  <c r="P48" i="18"/>
  <c r="Q48" i="18" s="1"/>
  <c r="P49" i="18"/>
  <c r="Q49" i="18"/>
  <c r="P50" i="18"/>
  <c r="Q50" i="18" s="1"/>
  <c r="P51" i="18"/>
  <c r="Q51" i="18"/>
  <c r="P52" i="18"/>
  <c r="Q52" i="18" s="1"/>
  <c r="P53" i="18"/>
  <c r="Q53" i="18"/>
  <c r="T54" i="18"/>
  <c r="P54" i="18" s="1"/>
  <c r="Q54" i="18" s="1"/>
  <c r="Q55" i="18"/>
  <c r="T56" i="18"/>
  <c r="Q57" i="18"/>
  <c r="T58" i="18"/>
  <c r="P58" i="18" s="1"/>
  <c r="Q58" i="18" s="1"/>
  <c r="Q59" i="18"/>
  <c r="AM33" i="18"/>
  <c r="AM34" i="18"/>
  <c r="AM60" i="18" s="1"/>
  <c r="R62" i="87" s="1"/>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W34" i="18"/>
  <c r="W35" i="18"/>
  <c r="W36" i="18"/>
  <c r="W37" i="18"/>
  <c r="W38" i="18"/>
  <c r="W39" i="18"/>
  <c r="W41" i="18"/>
  <c r="W43" i="18"/>
  <c r="W46" i="18"/>
  <c r="W47" i="18"/>
  <c r="W49" i="18"/>
  <c r="W50" i="18"/>
  <c r="W51" i="18"/>
  <c r="W52" i="18"/>
  <c r="W53" i="18"/>
  <c r="W54" i="18"/>
  <c r="W55" i="18"/>
  <c r="W57" i="18"/>
  <c r="W59" i="18"/>
  <c r="N379" i="13"/>
  <c r="N380" i="13"/>
  <c r="N381" i="13"/>
  <c r="N385" i="13"/>
  <c r="N386" i="13"/>
  <c r="N387" i="13"/>
  <c r="N388" i="13"/>
  <c r="N389" i="13"/>
  <c r="N390" i="13"/>
  <c r="N391" i="13"/>
  <c r="N395" i="13"/>
  <c r="N396" i="13"/>
  <c r="N397" i="13"/>
  <c r="N398" i="13"/>
  <c r="N399" i="13"/>
  <c r="N400" i="13"/>
  <c r="N401" i="13"/>
  <c r="N405" i="13"/>
  <c r="N406" i="13"/>
  <c r="N407" i="13"/>
  <c r="N408" i="13"/>
  <c r="N409" i="13"/>
  <c r="N410" i="13"/>
  <c r="N411" i="13"/>
  <c r="N415" i="13"/>
  <c r="N416" i="13"/>
  <c r="N417" i="13"/>
  <c r="N418" i="13"/>
  <c r="N419" i="13"/>
  <c r="N420" i="13"/>
  <c r="N421" i="13"/>
  <c r="N425" i="13"/>
  <c r="N426" i="13"/>
  <c r="N427" i="13"/>
  <c r="N428" i="13"/>
  <c r="N429" i="13"/>
  <c r="N430" i="13"/>
  <c r="N431" i="13"/>
  <c r="B426" i="13"/>
  <c r="L18" i="11" s="1"/>
  <c r="N305" i="13"/>
  <c r="N306" i="13"/>
  <c r="N307" i="13"/>
  <c r="N308" i="13"/>
  <c r="N309" i="13"/>
  <c r="N310" i="13"/>
  <c r="N311" i="13"/>
  <c r="N315" i="13"/>
  <c r="N316" i="13"/>
  <c r="N317" i="13"/>
  <c r="N318" i="13"/>
  <c r="N319" i="13"/>
  <c r="N320" i="13"/>
  <c r="N321" i="13"/>
  <c r="N325" i="13"/>
  <c r="N326" i="13"/>
  <c r="N327" i="13"/>
  <c r="N328" i="13"/>
  <c r="N329" i="13"/>
  <c r="N330" i="13"/>
  <c r="N331" i="13"/>
  <c r="N335" i="13"/>
  <c r="B336" i="13" s="1"/>
  <c r="N336" i="13"/>
  <c r="N337" i="13"/>
  <c r="N338" i="13"/>
  <c r="N339" i="13"/>
  <c r="N340" i="13"/>
  <c r="N341" i="13"/>
  <c r="N345" i="13"/>
  <c r="N346" i="13"/>
  <c r="N347" i="13"/>
  <c r="N348" i="13"/>
  <c r="N349" i="13"/>
  <c r="N350" i="13"/>
  <c r="N351" i="13"/>
  <c r="N355" i="13"/>
  <c r="N356" i="13"/>
  <c r="N357" i="13"/>
  <c r="N358" i="13"/>
  <c r="N359" i="13"/>
  <c r="N360" i="13"/>
  <c r="N361" i="13"/>
  <c r="B356" i="13"/>
  <c r="N235" i="13"/>
  <c r="N236" i="13"/>
  <c r="N237" i="13"/>
  <c r="N238" i="13"/>
  <c r="N239" i="13"/>
  <c r="N240" i="13"/>
  <c r="N241" i="13"/>
  <c r="N245" i="13"/>
  <c r="N246" i="13"/>
  <c r="N247" i="13"/>
  <c r="N248" i="13"/>
  <c r="N249" i="13"/>
  <c r="N250" i="13"/>
  <c r="N251" i="13"/>
  <c r="N255" i="13"/>
  <c r="N256" i="13"/>
  <c r="N257" i="13"/>
  <c r="N258" i="13"/>
  <c r="N259" i="13"/>
  <c r="N260" i="13"/>
  <c r="N261" i="13"/>
  <c r="N265" i="13"/>
  <c r="N266" i="13"/>
  <c r="N267" i="13"/>
  <c r="N268" i="13"/>
  <c r="N269" i="13"/>
  <c r="N270" i="13"/>
  <c r="N271" i="13"/>
  <c r="N275" i="13"/>
  <c r="N276" i="13"/>
  <c r="N277" i="13"/>
  <c r="N278" i="13"/>
  <c r="N279" i="13"/>
  <c r="N280" i="13"/>
  <c r="N281" i="13"/>
  <c r="N285" i="13"/>
  <c r="N286" i="13"/>
  <c r="N287" i="13"/>
  <c r="N288" i="13"/>
  <c r="N289" i="13"/>
  <c r="N290" i="13"/>
  <c r="N291" i="13"/>
  <c r="N165" i="13"/>
  <c r="N166" i="13"/>
  <c r="N167" i="13"/>
  <c r="N168" i="13"/>
  <c r="N169" i="13"/>
  <c r="N170" i="13"/>
  <c r="N171" i="13"/>
  <c r="N175" i="13"/>
  <c r="N176" i="13"/>
  <c r="N177" i="13"/>
  <c r="N178" i="13"/>
  <c r="N179" i="13"/>
  <c r="N180" i="13"/>
  <c r="N181" i="13"/>
  <c r="N185" i="13"/>
  <c r="N186" i="13"/>
  <c r="N187" i="13"/>
  <c r="N188" i="13"/>
  <c r="N189" i="13"/>
  <c r="N190" i="13"/>
  <c r="N191" i="13"/>
  <c r="N195" i="13"/>
  <c r="N196" i="13"/>
  <c r="N197" i="13"/>
  <c r="N198" i="13"/>
  <c r="N199" i="13"/>
  <c r="N200" i="13"/>
  <c r="N201" i="13"/>
  <c r="B196" i="13"/>
  <c r="N205" i="13"/>
  <c r="N206" i="13"/>
  <c r="N207" i="13"/>
  <c r="N208" i="13"/>
  <c r="N209" i="13"/>
  <c r="N210" i="13"/>
  <c r="N211" i="13"/>
  <c r="N215" i="13"/>
  <c r="N216" i="13"/>
  <c r="N217" i="13"/>
  <c r="N218" i="13"/>
  <c r="N219" i="13"/>
  <c r="N220" i="13"/>
  <c r="N221" i="13"/>
  <c r="N95" i="13"/>
  <c r="N96" i="13"/>
  <c r="N97" i="13"/>
  <c r="N98" i="13"/>
  <c r="N99" i="13"/>
  <c r="N100" i="13"/>
  <c r="N101" i="13"/>
  <c r="N105" i="13"/>
  <c r="N106" i="13"/>
  <c r="N107" i="13"/>
  <c r="N108" i="13"/>
  <c r="N109" i="13"/>
  <c r="N110" i="13"/>
  <c r="N111" i="13"/>
  <c r="N115" i="13"/>
  <c r="N116" i="13"/>
  <c r="N117" i="13"/>
  <c r="N118" i="13"/>
  <c r="N119" i="13"/>
  <c r="N120" i="13"/>
  <c r="N121" i="13"/>
  <c r="N125" i="13"/>
  <c r="N126" i="13"/>
  <c r="N127" i="13"/>
  <c r="N128" i="13"/>
  <c r="N129" i="13"/>
  <c r="N130" i="13"/>
  <c r="N131" i="13"/>
  <c r="N135" i="13"/>
  <c r="N136" i="13"/>
  <c r="N137" i="13"/>
  <c r="N138" i="13"/>
  <c r="N139" i="13"/>
  <c r="N140" i="13"/>
  <c r="N141" i="13"/>
  <c r="N145" i="13"/>
  <c r="N146" i="13"/>
  <c r="N147" i="13"/>
  <c r="N148" i="13"/>
  <c r="N149" i="13"/>
  <c r="N150" i="13"/>
  <c r="N151" i="13"/>
  <c r="B146" i="13"/>
  <c r="N25" i="13"/>
  <c r="N26" i="13"/>
  <c r="N27" i="13"/>
  <c r="N28" i="13"/>
  <c r="N29" i="13"/>
  <c r="N30" i="13"/>
  <c r="N31" i="13"/>
  <c r="N35" i="13"/>
  <c r="N36" i="13"/>
  <c r="N37" i="13"/>
  <c r="N38" i="13"/>
  <c r="N39" i="13"/>
  <c r="N40" i="13"/>
  <c r="N41" i="13"/>
  <c r="N45" i="13"/>
  <c r="N46" i="13"/>
  <c r="N47" i="13"/>
  <c r="N48" i="13"/>
  <c r="N49" i="13"/>
  <c r="N50" i="13"/>
  <c r="N51" i="13"/>
  <c r="N55" i="13"/>
  <c r="B56" i="13" s="1"/>
  <c r="N56" i="13"/>
  <c r="N57" i="13"/>
  <c r="N58" i="13"/>
  <c r="N59" i="13"/>
  <c r="N60" i="13"/>
  <c r="N61" i="13"/>
  <c r="N65" i="13"/>
  <c r="N66" i="13"/>
  <c r="N67" i="13"/>
  <c r="N68" i="13"/>
  <c r="N69" i="13"/>
  <c r="N70" i="13"/>
  <c r="N71" i="13"/>
  <c r="N75" i="13"/>
  <c r="N76" i="13"/>
  <c r="N77" i="13"/>
  <c r="N78" i="13"/>
  <c r="N79" i="13"/>
  <c r="N80" i="13"/>
  <c r="N81" i="13"/>
  <c r="B76" i="13"/>
  <c r="AC21" i="87"/>
  <c r="BD21" i="87" s="1"/>
  <c r="AC9" i="87"/>
  <c r="BD9" i="87" s="1"/>
  <c r="AC11" i="87"/>
  <c r="BD11" i="87" s="1"/>
  <c r="AC13" i="87"/>
  <c r="BD13" i="87" s="1"/>
  <c r="BD19" i="87" s="1"/>
  <c r="BD23" i="87" s="1"/>
  <c r="AC15" i="87"/>
  <c r="BD15" i="87" s="1"/>
  <c r="AC17" i="87"/>
  <c r="BD17" i="87" s="1"/>
  <c r="AB21" i="87"/>
  <c r="BC21" i="87" s="1"/>
  <c r="AB9" i="87"/>
  <c r="BC9" i="87" s="1"/>
  <c r="AB11" i="87"/>
  <c r="BC11" i="87" s="1"/>
  <c r="AB13" i="87"/>
  <c r="BC13" i="87" s="1"/>
  <c r="AB15" i="87"/>
  <c r="BC15" i="87" s="1"/>
  <c r="AB17" i="87"/>
  <c r="BC17" i="87" s="1"/>
  <c r="AA21" i="87"/>
  <c r="BB21" i="87" s="1"/>
  <c r="AA9" i="87"/>
  <c r="BB9" i="87" s="1"/>
  <c r="AA11" i="87"/>
  <c r="BB11" i="87" s="1"/>
  <c r="AA13" i="87"/>
  <c r="BB13" i="87" s="1"/>
  <c r="AA15" i="87"/>
  <c r="BB15" i="87" s="1"/>
  <c r="BB19" i="87" s="1"/>
  <c r="BB23" i="87" s="1"/>
  <c r="AA17" i="87"/>
  <c r="BB17" i="87" s="1"/>
  <c r="Z13" i="87"/>
  <c r="BA13" i="87" s="1"/>
  <c r="Z15" i="87"/>
  <c r="BA15" i="87" s="1"/>
  <c r="Z17" i="87"/>
  <c r="BA17" i="87" s="1"/>
  <c r="Y13" i="87"/>
  <c r="AZ13" i="87" s="1"/>
  <c r="Y15" i="87"/>
  <c r="AZ15" i="87" s="1"/>
  <c r="Y17" i="87"/>
  <c r="AZ17" i="87" s="1"/>
  <c r="X13" i="87"/>
  <c r="AY13" i="87" s="1"/>
  <c r="X15" i="87"/>
  <c r="AY15" i="87" s="1"/>
  <c r="X17" i="87"/>
  <c r="AY17" i="87"/>
  <c r="Q14" i="87"/>
  <c r="Q16" i="87"/>
  <c r="Q18" i="87"/>
  <c r="X14" i="87"/>
  <c r="AY14" i="87" s="1"/>
  <c r="X16" i="87"/>
  <c r="AY16" i="87"/>
  <c r="X18" i="87"/>
  <c r="AY18" i="87" s="1"/>
  <c r="X22" i="87"/>
  <c r="AY22" i="87"/>
  <c r="Y14" i="87"/>
  <c r="AZ14" i="87"/>
  <c r="Y16" i="87"/>
  <c r="AZ16" i="87" s="1"/>
  <c r="Y18" i="87"/>
  <c r="AZ18" i="87"/>
  <c r="Z14" i="87"/>
  <c r="BA14" i="87" s="1"/>
  <c r="Z16" i="87"/>
  <c r="BA16" i="87"/>
  <c r="Z18" i="87"/>
  <c r="BA18" i="87" s="1"/>
  <c r="AA10" i="87"/>
  <c r="BB10" i="87" s="1"/>
  <c r="AA14" i="87"/>
  <c r="BB14" i="87" s="1"/>
  <c r="BE14" i="87" s="1"/>
  <c r="AA16" i="87"/>
  <c r="BB16" i="87" s="1"/>
  <c r="AA18" i="87"/>
  <c r="BB18" i="87"/>
  <c r="AA22" i="87"/>
  <c r="BB22" i="87"/>
  <c r="AB14" i="87"/>
  <c r="BC14" i="87" s="1"/>
  <c r="AB16" i="87"/>
  <c r="BC16" i="87" s="1"/>
  <c r="AB18" i="87"/>
  <c r="BC18" i="87" s="1"/>
  <c r="AC10" i="87"/>
  <c r="BD10" i="87"/>
  <c r="BD20" i="87" s="1"/>
  <c r="BD24" i="87" s="1"/>
  <c r="AC12" i="87"/>
  <c r="BD12" i="87" s="1"/>
  <c r="AC14" i="87"/>
  <c r="BD14" i="87"/>
  <c r="AC16" i="87"/>
  <c r="BD16" i="87" s="1"/>
  <c r="AC18" i="87"/>
  <c r="BD18" i="87" s="1"/>
  <c r="BE18" i="87" s="1"/>
  <c r="AC22" i="87"/>
  <c r="BD22" i="87"/>
  <c r="Q13" i="87"/>
  <c r="Q15" i="87"/>
  <c r="Q17" i="87"/>
  <c r="I33" i="87"/>
  <c r="J33" i="87"/>
  <c r="AJ4" i="87"/>
  <c r="BK4" i="87" s="1"/>
  <c r="F28" i="87" a="1"/>
  <c r="F28" i="87" s="1"/>
  <c r="H28" i="87" s="1" a="1"/>
  <c r="H28" i="87" s="1"/>
  <c r="F27" i="87" a="1"/>
  <c r="F27" i="87" s="1"/>
  <c r="H27" i="87" s="1" a="1"/>
  <c r="H27" i="87" s="1"/>
  <c r="F26" i="87" a="1"/>
  <c r="F26" i="87" s="1"/>
  <c r="H26" i="87" s="1" a="1"/>
  <c r="H26" i="87" s="1"/>
  <c r="F25" i="87" a="1"/>
  <c r="F25" i="87"/>
  <c r="H25" i="87" s="1" a="1"/>
  <c r="H25" i="87" s="1"/>
  <c r="F24" i="87" a="1"/>
  <c r="F24" i="87"/>
  <c r="F23" i="87" a="1"/>
  <c r="F23" i="87" s="1"/>
  <c r="H23" i="87" s="1" a="1"/>
  <c r="H23" i="87" s="1"/>
  <c r="F22" i="87" a="1"/>
  <c r="F22" i="87" s="1"/>
  <c r="H22" i="87" s="1" a="1"/>
  <c r="H22" i="87" s="1"/>
  <c r="G28" i="87" a="1"/>
  <c r="G28" i="87" s="1"/>
  <c r="I28" i="87" s="1" a="1"/>
  <c r="I28" i="87"/>
  <c r="G27" i="87" a="1"/>
  <c r="G27" i="87" s="1"/>
  <c r="I27" i="87" s="1" a="1"/>
  <c r="I27" i="87" s="1"/>
  <c r="G26" i="87" a="1"/>
  <c r="G26" i="87" s="1"/>
  <c r="I26" i="87" s="1" a="1"/>
  <c r="I26" i="87" s="1"/>
  <c r="G25" i="87" a="1"/>
  <c r="G25" i="87" s="1"/>
  <c r="I25" i="87" a="1"/>
  <c r="I25" i="87"/>
  <c r="G24" i="87" a="1"/>
  <c r="G24" i="87" s="1"/>
  <c r="I24" i="87" s="1" a="1"/>
  <c r="I24" i="87"/>
  <c r="G23" i="87" a="1"/>
  <c r="G23" i="87" s="1"/>
  <c r="I23" i="87" s="1" a="1"/>
  <c r="I23" i="87" s="1"/>
  <c r="G22" i="87" a="1"/>
  <c r="G22" i="87" s="1"/>
  <c r="I22" i="87" s="1" a="1"/>
  <c r="I22" i="87" s="1"/>
  <c r="G29" i="87"/>
  <c r="AC7" i="87"/>
  <c r="BD7" i="87" s="1"/>
  <c r="AY26" i="87"/>
  <c r="AZ26" i="87"/>
  <c r="BA26" i="87"/>
  <c r="BB26" i="87"/>
  <c r="BC26" i="87"/>
  <c r="BD26" i="87"/>
  <c r="AY27" i="87"/>
  <c r="AZ27" i="87"/>
  <c r="BA27" i="87"/>
  <c r="BB27" i="87"/>
  <c r="BE27" i="87" s="1"/>
  <c r="BC27" i="87"/>
  <c r="BD27" i="87"/>
  <c r="AA6" i="87"/>
  <c r="AB6" i="87"/>
  <c r="BC6" i="87" s="1"/>
  <c r="AC6" i="87"/>
  <c r="BE16" i="87"/>
  <c r="BE17" i="87"/>
  <c r="BE26" i="87"/>
  <c r="AG33" i="87"/>
  <c r="AF33" i="87"/>
  <c r="AE33" i="87"/>
  <c r="AD33" i="87"/>
  <c r="AC33" i="87"/>
  <c r="AB33" i="87"/>
  <c r="AA33" i="87"/>
  <c r="Z33" i="87"/>
  <c r="Y33" i="87"/>
  <c r="X33" i="87"/>
  <c r="W33" i="87"/>
  <c r="V33" i="87"/>
  <c r="U33" i="87"/>
  <c r="T33" i="87"/>
  <c r="S33" i="87"/>
  <c r="Q33" i="87"/>
  <c r="P33" i="87"/>
  <c r="O33" i="87"/>
  <c r="N33" i="87"/>
  <c r="M33" i="87"/>
  <c r="L33" i="87"/>
  <c r="K33" i="87"/>
  <c r="H33" i="87"/>
  <c r="G33" i="87"/>
  <c r="F33" i="87"/>
  <c r="E33" i="87"/>
  <c r="D33" i="87"/>
  <c r="AA29" i="87"/>
  <c r="AA28" i="87"/>
  <c r="AC27" i="87"/>
  <c r="AB27" i="87"/>
  <c r="AA27" i="87"/>
  <c r="Z27" i="87"/>
  <c r="Y27" i="87"/>
  <c r="X27" i="87"/>
  <c r="Q27" i="87"/>
  <c r="AC26" i="87"/>
  <c r="AB26" i="87"/>
  <c r="AA26" i="87"/>
  <c r="Z26" i="87"/>
  <c r="Y26" i="87"/>
  <c r="AD26" i="87" s="1"/>
  <c r="X26" i="87"/>
  <c r="Q26" i="87"/>
  <c r="J25" i="87"/>
  <c r="J24" i="87"/>
  <c r="J23" i="87"/>
  <c r="J22" i="87"/>
  <c r="J21" i="87"/>
  <c r="J20" i="87"/>
  <c r="J19" i="87"/>
  <c r="J18" i="87"/>
  <c r="J17" i="87"/>
  <c r="J16" i="87"/>
  <c r="J15" i="87"/>
  <c r="J13" i="87"/>
  <c r="J12" i="87"/>
  <c r="AC5" i="87"/>
  <c r="BD5" i="87" s="1"/>
  <c r="Q4" i="87"/>
  <c r="AJ3" i="87"/>
  <c r="BK3" i="87"/>
  <c r="AD14" i="87"/>
  <c r="AD15" i="87"/>
  <c r="AD13" i="87"/>
  <c r="AC20" i="87"/>
  <c r="AC24" i="87" s="1"/>
  <c r="AD16" i="87"/>
  <c r="AD17" i="87"/>
  <c r="AD18" i="87"/>
  <c r="AA19" i="87"/>
  <c r="AA23" i="87" s="1"/>
  <c r="AB19" i="87"/>
  <c r="AB23" i="87" s="1"/>
  <c r="AC19" i="87"/>
  <c r="AC23" i="87"/>
  <c r="BE13" i="87"/>
  <c r="W5" i="91" s="1"/>
  <c r="BD25" i="87"/>
  <c r="Q22" i="88"/>
  <c r="Z22" i="88" s="1"/>
  <c r="BN8" i="87" s="1"/>
  <c r="Q10" i="88"/>
  <c r="Q12" i="88"/>
  <c r="Z12" i="88"/>
  <c r="BP8" i="87" s="1"/>
  <c r="Q14" i="88"/>
  <c r="Z14" i="88"/>
  <c r="BQ8" i="87" s="1"/>
  <c r="Q16" i="88"/>
  <c r="Z16" i="88" s="1"/>
  <c r="BR8" i="87" s="1"/>
  <c r="Q18" i="88"/>
  <c r="Z18" i="88" s="1"/>
  <c r="BS8" i="87" s="1"/>
  <c r="Q9" i="88"/>
  <c r="Z9" i="88" s="1"/>
  <c r="BO17" i="87"/>
  <c r="Q11" i="88"/>
  <c r="Z11" i="88"/>
  <c r="BP17" i="87"/>
  <c r="Q13" i="88"/>
  <c r="Z13" i="88"/>
  <c r="Q15" i="88"/>
  <c r="Q17" i="88"/>
  <c r="Z17" i="88" s="1"/>
  <c r="BS17" i="87"/>
  <c r="Q21" i="88"/>
  <c r="Z21" i="88" s="1"/>
  <c r="BO16" i="87"/>
  <c r="BS16" i="87"/>
  <c r="BO15" i="87"/>
  <c r="BQ15" i="87"/>
  <c r="BS15" i="87"/>
  <c r="J6" i="91"/>
  <c r="N935" i="91"/>
  <c r="B936" i="91" s="1"/>
  <c r="AZ28" i="87" s="1"/>
  <c r="N945" i="91"/>
  <c r="B946" i="91"/>
  <c r="BA28" i="87" s="1"/>
  <c r="N975" i="91"/>
  <c r="B976" i="91" s="1"/>
  <c r="BD28" i="87" s="1"/>
  <c r="N925" i="91"/>
  <c r="B926" i="91"/>
  <c r="AY28" i="87" s="1"/>
  <c r="N915" i="91"/>
  <c r="B916" i="91"/>
  <c r="N785" i="91"/>
  <c r="B786" i="91"/>
  <c r="N645" i="91"/>
  <c r="B646" i="91"/>
  <c r="AA9" i="91" s="1"/>
  <c r="N715" i="91"/>
  <c r="N716" i="91"/>
  <c r="N435" i="91"/>
  <c r="AM8" i="87"/>
  <c r="AO8" i="87"/>
  <c r="AP8" i="87"/>
  <c r="AQ8" i="87"/>
  <c r="AR8" i="87"/>
  <c r="AO16" i="87"/>
  <c r="AR17" i="87"/>
  <c r="AN16" i="87"/>
  <c r="AO17" i="87"/>
  <c r="AN15" i="87"/>
  <c r="AN17" i="87"/>
  <c r="AM17" i="87"/>
  <c r="AP14" i="87"/>
  <c r="AR14" i="87"/>
  <c r="AP13" i="87"/>
  <c r="AR13" i="87"/>
  <c r="AO15" i="87"/>
  <c r="AR12" i="87"/>
  <c r="AR15" i="87"/>
  <c r="AR16" i="87"/>
  <c r="AM15" i="87"/>
  <c r="AM16" i="87"/>
  <c r="BQ12" i="87"/>
  <c r="N85" i="91"/>
  <c r="N885" i="91"/>
  <c r="N905" i="91"/>
  <c r="N895" i="91"/>
  <c r="N896" i="91"/>
  <c r="N15" i="91"/>
  <c r="N876" i="91"/>
  <c r="N225" i="91"/>
  <c r="N365" i="91"/>
  <c r="N155" i="91"/>
  <c r="N156" i="91"/>
  <c r="N295" i="91"/>
  <c r="N296" i="91"/>
  <c r="N865" i="13"/>
  <c r="N866" i="13"/>
  <c r="N867" i="13"/>
  <c r="N868" i="13"/>
  <c r="N869" i="13"/>
  <c r="N870" i="13"/>
  <c r="N871" i="13"/>
  <c r="AG863" i="13"/>
  <c r="AF863" i="13"/>
  <c r="AE863" i="13"/>
  <c r="AD863" i="13"/>
  <c r="AC863" i="13"/>
  <c r="AB863" i="13"/>
  <c r="AA863" i="13"/>
  <c r="Z863" i="13"/>
  <c r="Y863" i="13"/>
  <c r="X863" i="13"/>
  <c r="W863" i="13"/>
  <c r="V863" i="13"/>
  <c r="U863" i="13"/>
  <c r="T863" i="13"/>
  <c r="AG853" i="13"/>
  <c r="AF853" i="13"/>
  <c r="AE853" i="13"/>
  <c r="AD853" i="13"/>
  <c r="AC853" i="13"/>
  <c r="AB853" i="13"/>
  <c r="AA853" i="13"/>
  <c r="Z853" i="13"/>
  <c r="Y853" i="13"/>
  <c r="X853" i="13"/>
  <c r="W853" i="13"/>
  <c r="V853" i="13"/>
  <c r="U853" i="13"/>
  <c r="T853" i="13"/>
  <c r="AG843" i="13"/>
  <c r="AF843" i="13"/>
  <c r="AE843" i="13"/>
  <c r="AD843" i="13"/>
  <c r="AC843" i="13"/>
  <c r="AB843" i="13"/>
  <c r="AA843" i="13"/>
  <c r="Z843" i="13"/>
  <c r="Y843" i="13"/>
  <c r="X843" i="13"/>
  <c r="W843" i="13"/>
  <c r="V843" i="13"/>
  <c r="U843" i="13"/>
  <c r="T843" i="13"/>
  <c r="AG833" i="13"/>
  <c r="AF833" i="13"/>
  <c r="AE833" i="13"/>
  <c r="AD833" i="13"/>
  <c r="AC833" i="13"/>
  <c r="AB833" i="13"/>
  <c r="AA833" i="13"/>
  <c r="Z833" i="13"/>
  <c r="Y833" i="13"/>
  <c r="X833" i="13"/>
  <c r="W833" i="13"/>
  <c r="V833" i="13"/>
  <c r="U833" i="13"/>
  <c r="T833" i="13"/>
  <c r="AG823" i="13"/>
  <c r="AF823" i="13"/>
  <c r="AE823" i="13"/>
  <c r="AD823" i="13"/>
  <c r="AC823" i="13"/>
  <c r="AB823" i="13"/>
  <c r="AA823" i="13"/>
  <c r="Z823" i="13"/>
  <c r="Y823" i="13"/>
  <c r="X823" i="13"/>
  <c r="W823" i="13"/>
  <c r="V823" i="13"/>
  <c r="U823" i="13"/>
  <c r="T823" i="13"/>
  <c r="AG813" i="13"/>
  <c r="AF813" i="13"/>
  <c r="AE813" i="13"/>
  <c r="AD813" i="13"/>
  <c r="AC813" i="13"/>
  <c r="AB813" i="13"/>
  <c r="AA813" i="13"/>
  <c r="Z813" i="13"/>
  <c r="Y813" i="13"/>
  <c r="X813" i="13"/>
  <c r="W813" i="13"/>
  <c r="V813" i="13"/>
  <c r="U813" i="13"/>
  <c r="T813" i="13"/>
  <c r="AG803" i="13"/>
  <c r="AF803" i="13"/>
  <c r="AE803" i="13"/>
  <c r="AD803" i="13"/>
  <c r="AC803" i="13"/>
  <c r="AB803" i="13"/>
  <c r="AA803" i="13"/>
  <c r="Z803" i="13"/>
  <c r="Y803" i="13"/>
  <c r="X803" i="13"/>
  <c r="W803" i="13"/>
  <c r="V803" i="13"/>
  <c r="U803" i="13"/>
  <c r="T803" i="13"/>
  <c r="AG793" i="13"/>
  <c r="AF793" i="13"/>
  <c r="AE793" i="13"/>
  <c r="AD793" i="13"/>
  <c r="AC793" i="13"/>
  <c r="AB793" i="13"/>
  <c r="AA793" i="13"/>
  <c r="Z793" i="13"/>
  <c r="Y793" i="13"/>
  <c r="X793" i="13"/>
  <c r="W793" i="13"/>
  <c r="V793" i="13"/>
  <c r="U793" i="13"/>
  <c r="T793" i="13"/>
  <c r="AG783" i="13"/>
  <c r="AF783" i="13"/>
  <c r="AE783" i="13"/>
  <c r="AD783" i="13"/>
  <c r="AC783" i="13"/>
  <c r="AB783" i="13"/>
  <c r="AA783" i="13"/>
  <c r="Z783" i="13"/>
  <c r="Y783" i="13"/>
  <c r="X783" i="13"/>
  <c r="W783" i="13"/>
  <c r="V783" i="13"/>
  <c r="U783" i="13"/>
  <c r="T783" i="13"/>
  <c r="AG773" i="13"/>
  <c r="AF773" i="13"/>
  <c r="AE773" i="13"/>
  <c r="AD773" i="13"/>
  <c r="AC773" i="13"/>
  <c r="AB773" i="13"/>
  <c r="AA773" i="13"/>
  <c r="Z773" i="13"/>
  <c r="Y773" i="13"/>
  <c r="X773" i="13"/>
  <c r="W773" i="13"/>
  <c r="V773" i="13"/>
  <c r="U773" i="13"/>
  <c r="T773" i="13"/>
  <c r="AG763" i="13"/>
  <c r="AF763" i="13"/>
  <c r="AE763" i="13"/>
  <c r="AD763" i="13"/>
  <c r="AC763" i="13"/>
  <c r="AB763" i="13"/>
  <c r="AA763" i="13"/>
  <c r="Z763" i="13"/>
  <c r="Y763" i="13"/>
  <c r="X763" i="13"/>
  <c r="W763" i="13"/>
  <c r="V763" i="13"/>
  <c r="U763" i="13"/>
  <c r="T763" i="13"/>
  <c r="AG753" i="13"/>
  <c r="AF753" i="13"/>
  <c r="AE753" i="13"/>
  <c r="AD753" i="13"/>
  <c r="AC753" i="13"/>
  <c r="AB753" i="13"/>
  <c r="AA753" i="13"/>
  <c r="Z753" i="13"/>
  <c r="Y753" i="13"/>
  <c r="X753" i="13"/>
  <c r="W753" i="13"/>
  <c r="V753" i="13"/>
  <c r="U753" i="13"/>
  <c r="T753" i="13"/>
  <c r="AG743" i="13"/>
  <c r="AF743" i="13"/>
  <c r="AE743" i="13"/>
  <c r="AD743" i="13"/>
  <c r="AC743" i="13"/>
  <c r="AB743" i="13"/>
  <c r="AA743" i="13"/>
  <c r="Z743" i="13"/>
  <c r="Y743" i="13"/>
  <c r="X743" i="13"/>
  <c r="W743" i="13"/>
  <c r="V743" i="13"/>
  <c r="U743" i="13"/>
  <c r="T743" i="13"/>
  <c r="AG733" i="13"/>
  <c r="AF733" i="13"/>
  <c r="AE733" i="13"/>
  <c r="AD733" i="13"/>
  <c r="AC733" i="13"/>
  <c r="AB733" i="13"/>
  <c r="AA733" i="13"/>
  <c r="Z733" i="13"/>
  <c r="Y733" i="13"/>
  <c r="X733" i="13"/>
  <c r="W733" i="13"/>
  <c r="V733" i="13"/>
  <c r="U733" i="13"/>
  <c r="T733" i="13"/>
  <c r="AG723" i="13"/>
  <c r="AF723" i="13"/>
  <c r="AE723" i="13"/>
  <c r="AD723" i="13"/>
  <c r="AC723" i="13"/>
  <c r="AB723" i="13"/>
  <c r="AA723" i="13"/>
  <c r="Z723" i="13"/>
  <c r="Y723" i="13"/>
  <c r="X723" i="13"/>
  <c r="W723" i="13"/>
  <c r="V723" i="13"/>
  <c r="U723" i="13"/>
  <c r="T723" i="13"/>
  <c r="AG713" i="13"/>
  <c r="AF713" i="13"/>
  <c r="AE713" i="13"/>
  <c r="AD713" i="13"/>
  <c r="AC713" i="13"/>
  <c r="AB713" i="13"/>
  <c r="AA713" i="13"/>
  <c r="Z713" i="13"/>
  <c r="Y713" i="13"/>
  <c r="X713" i="13"/>
  <c r="W713" i="13"/>
  <c r="V713" i="13"/>
  <c r="U713" i="13"/>
  <c r="T713" i="13"/>
  <c r="AG703" i="13"/>
  <c r="AF703" i="13"/>
  <c r="AE703" i="13"/>
  <c r="AD703" i="13"/>
  <c r="AC703" i="13"/>
  <c r="AB703" i="13"/>
  <c r="AA703" i="13"/>
  <c r="Z703" i="13"/>
  <c r="Y703" i="13"/>
  <c r="X703" i="13"/>
  <c r="W703" i="13"/>
  <c r="V703" i="13"/>
  <c r="U703" i="13"/>
  <c r="T703" i="13"/>
  <c r="AG693" i="13"/>
  <c r="AF693" i="13"/>
  <c r="AE693" i="13"/>
  <c r="AD693" i="13"/>
  <c r="AC693" i="13"/>
  <c r="AB693" i="13"/>
  <c r="AA693" i="13"/>
  <c r="Z693" i="13"/>
  <c r="Y693" i="13"/>
  <c r="X693" i="13"/>
  <c r="W693" i="13"/>
  <c r="V693" i="13"/>
  <c r="U693" i="13"/>
  <c r="T693" i="13"/>
  <c r="AG683" i="13"/>
  <c r="AF683" i="13"/>
  <c r="AE683" i="13"/>
  <c r="AD683" i="13"/>
  <c r="AC683" i="13"/>
  <c r="AB683" i="13"/>
  <c r="AA683" i="13"/>
  <c r="Z683" i="13"/>
  <c r="Y683" i="13"/>
  <c r="X683" i="13"/>
  <c r="W683" i="13"/>
  <c r="V683" i="13"/>
  <c r="U683" i="13"/>
  <c r="T683" i="13"/>
  <c r="AG673" i="13"/>
  <c r="AF673" i="13"/>
  <c r="AE673" i="13"/>
  <c r="AD673" i="13"/>
  <c r="AC673" i="13"/>
  <c r="AB673" i="13"/>
  <c r="AA673" i="13"/>
  <c r="Z673" i="13"/>
  <c r="Y673" i="13"/>
  <c r="X673" i="13"/>
  <c r="W673" i="13"/>
  <c r="V673" i="13"/>
  <c r="U673" i="13"/>
  <c r="T673" i="13"/>
  <c r="AG663" i="13"/>
  <c r="AF663" i="13"/>
  <c r="AE663" i="13"/>
  <c r="AD663" i="13"/>
  <c r="AC663" i="13"/>
  <c r="AB663" i="13"/>
  <c r="AA663" i="13"/>
  <c r="Z663" i="13"/>
  <c r="Y663" i="13"/>
  <c r="X663" i="13"/>
  <c r="W663" i="13"/>
  <c r="V663" i="13"/>
  <c r="U663" i="13"/>
  <c r="T663" i="13"/>
  <c r="AG653" i="13"/>
  <c r="AF653" i="13"/>
  <c r="AE653" i="13"/>
  <c r="AD653" i="13"/>
  <c r="AC653" i="13"/>
  <c r="AB653" i="13"/>
  <c r="AA653" i="13"/>
  <c r="Z653" i="13"/>
  <c r="Y653" i="13"/>
  <c r="X653" i="13"/>
  <c r="W653" i="13"/>
  <c r="V653" i="13"/>
  <c r="U653" i="13"/>
  <c r="T653" i="13"/>
  <c r="AG643" i="13"/>
  <c r="AF643" i="13"/>
  <c r="AE643" i="13"/>
  <c r="AD643" i="13"/>
  <c r="AC643" i="13"/>
  <c r="AB643" i="13"/>
  <c r="AA643" i="13"/>
  <c r="Z643" i="13"/>
  <c r="Y643" i="13"/>
  <c r="X643" i="13"/>
  <c r="W643" i="13"/>
  <c r="V643" i="13"/>
  <c r="U643" i="13"/>
  <c r="T643" i="13"/>
  <c r="AG633" i="13"/>
  <c r="AF633" i="13"/>
  <c r="AE633" i="13"/>
  <c r="AD633" i="13"/>
  <c r="AC633" i="13"/>
  <c r="AB633" i="13"/>
  <c r="AA633" i="13"/>
  <c r="Z633" i="13"/>
  <c r="Y633" i="13"/>
  <c r="X633" i="13"/>
  <c r="W633" i="13"/>
  <c r="V633" i="13"/>
  <c r="U633" i="13"/>
  <c r="T633" i="13"/>
  <c r="AG623" i="13"/>
  <c r="AF623" i="13"/>
  <c r="AE623" i="13"/>
  <c r="AD623" i="13"/>
  <c r="AC623" i="13"/>
  <c r="AB623" i="13"/>
  <c r="AA623" i="13"/>
  <c r="Z623" i="13"/>
  <c r="Y623" i="13"/>
  <c r="X623" i="13"/>
  <c r="W623" i="13"/>
  <c r="V623" i="13"/>
  <c r="U623" i="13"/>
  <c r="T623" i="13"/>
  <c r="AG613" i="13"/>
  <c r="AF613" i="13"/>
  <c r="AE613" i="13"/>
  <c r="AD613" i="13"/>
  <c r="AC613" i="13"/>
  <c r="AB613" i="13"/>
  <c r="AA613" i="13"/>
  <c r="Z613" i="13"/>
  <c r="Y613" i="13"/>
  <c r="X613" i="13"/>
  <c r="W613" i="13"/>
  <c r="V613" i="13"/>
  <c r="U613" i="13"/>
  <c r="T613" i="13"/>
  <c r="AG603" i="13"/>
  <c r="AF603" i="13"/>
  <c r="AE603" i="13"/>
  <c r="AD603" i="13"/>
  <c r="AC603" i="13"/>
  <c r="AB603" i="13"/>
  <c r="AA603" i="13"/>
  <c r="Z603" i="13"/>
  <c r="Y603" i="13"/>
  <c r="X603" i="13"/>
  <c r="W603" i="13"/>
  <c r="V603" i="13"/>
  <c r="U603" i="13"/>
  <c r="T603" i="13"/>
  <c r="AG593" i="13"/>
  <c r="AF593" i="13"/>
  <c r="AE593" i="13"/>
  <c r="AD593" i="13"/>
  <c r="AC593" i="13"/>
  <c r="AB593" i="13"/>
  <c r="AA593" i="13"/>
  <c r="Z593" i="13"/>
  <c r="Y593" i="13"/>
  <c r="X593" i="13"/>
  <c r="W593" i="13"/>
  <c r="V593" i="13"/>
  <c r="U593" i="13"/>
  <c r="T593" i="13"/>
  <c r="AG583" i="13"/>
  <c r="AF583" i="13"/>
  <c r="AE583" i="13"/>
  <c r="AD583" i="13"/>
  <c r="AC583" i="13"/>
  <c r="AB583" i="13"/>
  <c r="AA583" i="13"/>
  <c r="Z583" i="13"/>
  <c r="Y583" i="13"/>
  <c r="X583" i="13"/>
  <c r="W583" i="13"/>
  <c r="V583" i="13"/>
  <c r="U583" i="13"/>
  <c r="T583" i="13"/>
  <c r="AG573" i="13"/>
  <c r="AF573" i="13"/>
  <c r="AE573" i="13"/>
  <c r="AD573" i="13"/>
  <c r="AC573" i="13"/>
  <c r="AB573" i="13"/>
  <c r="AA573" i="13"/>
  <c r="Z573" i="13"/>
  <c r="Y573" i="13"/>
  <c r="X573" i="13"/>
  <c r="W573" i="13"/>
  <c r="V573" i="13"/>
  <c r="U573" i="13"/>
  <c r="T573" i="13"/>
  <c r="AG563" i="13"/>
  <c r="AF563" i="13"/>
  <c r="AE563" i="13"/>
  <c r="AD563" i="13"/>
  <c r="AC563" i="13"/>
  <c r="AB563" i="13"/>
  <c r="AA563" i="13"/>
  <c r="Z563" i="13"/>
  <c r="Y563" i="13"/>
  <c r="X563" i="13"/>
  <c r="W563" i="13"/>
  <c r="V563" i="13"/>
  <c r="U563" i="13"/>
  <c r="T563" i="13"/>
  <c r="AG553" i="13"/>
  <c r="AF553" i="13"/>
  <c r="AE553" i="13"/>
  <c r="AD553" i="13"/>
  <c r="AC553" i="13"/>
  <c r="AB553" i="13"/>
  <c r="AA553" i="13"/>
  <c r="Z553" i="13"/>
  <c r="Y553" i="13"/>
  <c r="X553" i="13"/>
  <c r="W553" i="13"/>
  <c r="V553" i="13"/>
  <c r="U553" i="13"/>
  <c r="T553" i="13"/>
  <c r="AG543" i="13"/>
  <c r="AF543" i="13"/>
  <c r="AE543" i="13"/>
  <c r="AD543" i="13"/>
  <c r="AC543" i="13"/>
  <c r="AB543" i="13"/>
  <c r="AA543" i="13"/>
  <c r="Z543" i="13"/>
  <c r="Y543" i="13"/>
  <c r="X543" i="13"/>
  <c r="W543" i="13"/>
  <c r="V543" i="13"/>
  <c r="U543" i="13"/>
  <c r="T543" i="13"/>
  <c r="AG533" i="13"/>
  <c r="AF533" i="13"/>
  <c r="AE533" i="13"/>
  <c r="AD533" i="13"/>
  <c r="AC533" i="13"/>
  <c r="AB533" i="13"/>
  <c r="AA533" i="13"/>
  <c r="Z533" i="13"/>
  <c r="Y533" i="13"/>
  <c r="X533" i="13"/>
  <c r="W533" i="13"/>
  <c r="V533" i="13"/>
  <c r="U533" i="13"/>
  <c r="T533" i="13"/>
  <c r="AG523" i="13"/>
  <c r="AF523" i="13"/>
  <c r="AE523" i="13"/>
  <c r="AD523" i="13"/>
  <c r="AC523" i="13"/>
  <c r="AB523" i="13"/>
  <c r="AA523" i="13"/>
  <c r="Z523" i="13"/>
  <c r="Y523" i="13"/>
  <c r="X523" i="13"/>
  <c r="W523" i="13"/>
  <c r="V523" i="13"/>
  <c r="U523" i="13"/>
  <c r="T523" i="13"/>
  <c r="AG513" i="13"/>
  <c r="AF513" i="13"/>
  <c r="AE513" i="13"/>
  <c r="AD513" i="13"/>
  <c r="AC513" i="13"/>
  <c r="AB513" i="13"/>
  <c r="AA513" i="13"/>
  <c r="Z513" i="13"/>
  <c r="Y513" i="13"/>
  <c r="X513" i="13"/>
  <c r="W513" i="13"/>
  <c r="V513" i="13"/>
  <c r="U513" i="13"/>
  <c r="T513" i="13"/>
  <c r="AG503" i="13"/>
  <c r="AF503" i="13"/>
  <c r="AE503" i="13"/>
  <c r="AD503" i="13"/>
  <c r="AC503" i="13"/>
  <c r="AB503" i="13"/>
  <c r="AA503" i="13"/>
  <c r="Z503" i="13"/>
  <c r="Y503" i="13"/>
  <c r="X503" i="13"/>
  <c r="W503" i="13"/>
  <c r="V503" i="13"/>
  <c r="U503" i="13"/>
  <c r="T503" i="13"/>
  <c r="AG493" i="13"/>
  <c r="AF493" i="13"/>
  <c r="AE493" i="13"/>
  <c r="AD493" i="13"/>
  <c r="AC493" i="13"/>
  <c r="AB493" i="13"/>
  <c r="AA493" i="13"/>
  <c r="Z493" i="13"/>
  <c r="Y493" i="13"/>
  <c r="X493" i="13"/>
  <c r="W493" i="13"/>
  <c r="V493" i="13"/>
  <c r="U493" i="13"/>
  <c r="T493" i="13"/>
  <c r="AG483" i="13"/>
  <c r="AF483" i="13"/>
  <c r="AE483" i="13"/>
  <c r="AD483" i="13"/>
  <c r="AC483" i="13"/>
  <c r="AB483" i="13"/>
  <c r="AA483" i="13"/>
  <c r="Z483" i="13"/>
  <c r="Y483" i="13"/>
  <c r="X483" i="13"/>
  <c r="W483" i="13"/>
  <c r="V483" i="13"/>
  <c r="U483" i="13"/>
  <c r="T483" i="13"/>
  <c r="AG473" i="13"/>
  <c r="AF473" i="13"/>
  <c r="AE473" i="13"/>
  <c r="AD473" i="13"/>
  <c r="AC473" i="13"/>
  <c r="AB473" i="13"/>
  <c r="AA473" i="13"/>
  <c r="Z473" i="13"/>
  <c r="Y473" i="13"/>
  <c r="X473" i="13"/>
  <c r="W473" i="13"/>
  <c r="V473" i="13"/>
  <c r="U473" i="13"/>
  <c r="T473" i="13"/>
  <c r="AG463" i="13"/>
  <c r="AF463" i="13"/>
  <c r="AE463" i="13"/>
  <c r="AD463" i="13"/>
  <c r="AC463" i="13"/>
  <c r="AB463" i="13"/>
  <c r="AA463" i="13"/>
  <c r="Z463" i="13"/>
  <c r="Y463" i="13"/>
  <c r="X463" i="13"/>
  <c r="W463" i="13"/>
  <c r="V463" i="13"/>
  <c r="U463" i="13"/>
  <c r="T463" i="13"/>
  <c r="AG453" i="13"/>
  <c r="AF453" i="13"/>
  <c r="AE453" i="13"/>
  <c r="AD453" i="13"/>
  <c r="AC453" i="13"/>
  <c r="AB453" i="13"/>
  <c r="AA453" i="13"/>
  <c r="Z453" i="13"/>
  <c r="Y453" i="13"/>
  <c r="X453" i="13"/>
  <c r="W453" i="13"/>
  <c r="V453" i="13"/>
  <c r="U453" i="13"/>
  <c r="T453" i="13"/>
  <c r="AG443" i="13"/>
  <c r="AF443" i="13"/>
  <c r="AE443" i="13"/>
  <c r="AD443" i="13"/>
  <c r="AC443" i="13"/>
  <c r="AB443" i="13"/>
  <c r="AA443" i="13"/>
  <c r="Z443" i="13"/>
  <c r="Y443" i="13"/>
  <c r="X443" i="13"/>
  <c r="W443" i="13"/>
  <c r="V443" i="13"/>
  <c r="U443" i="13"/>
  <c r="T443" i="13"/>
  <c r="AG433" i="13"/>
  <c r="AF433" i="13"/>
  <c r="AE433" i="13"/>
  <c r="AD433" i="13"/>
  <c r="AC433" i="13"/>
  <c r="AB433" i="13"/>
  <c r="AA433" i="13"/>
  <c r="Z433" i="13"/>
  <c r="Y433" i="13"/>
  <c r="X433" i="13"/>
  <c r="W433" i="13"/>
  <c r="V433" i="13"/>
  <c r="U433" i="13"/>
  <c r="T433" i="13"/>
  <c r="AG423" i="13"/>
  <c r="AF423" i="13"/>
  <c r="AE423" i="13"/>
  <c r="AD423" i="13"/>
  <c r="AC423" i="13"/>
  <c r="AB423" i="13"/>
  <c r="AA423" i="13"/>
  <c r="Z423" i="13"/>
  <c r="Y423" i="13"/>
  <c r="X423" i="13"/>
  <c r="W423" i="13"/>
  <c r="V423" i="13"/>
  <c r="U423" i="13"/>
  <c r="T423" i="13"/>
  <c r="AG413" i="13"/>
  <c r="AF413" i="13"/>
  <c r="AE413" i="13"/>
  <c r="AD413" i="13"/>
  <c r="AC413" i="13"/>
  <c r="AB413" i="13"/>
  <c r="AA413" i="13"/>
  <c r="Z413" i="13"/>
  <c r="Y413" i="13"/>
  <c r="X413" i="13"/>
  <c r="W413" i="13"/>
  <c r="V413" i="13"/>
  <c r="U413" i="13"/>
  <c r="T413" i="13"/>
  <c r="AG403" i="13"/>
  <c r="AF403" i="13"/>
  <c r="AE403" i="13"/>
  <c r="AD403" i="13"/>
  <c r="AC403" i="13"/>
  <c r="AB403" i="13"/>
  <c r="AA403" i="13"/>
  <c r="Z403" i="13"/>
  <c r="Y403" i="13"/>
  <c r="X403" i="13"/>
  <c r="W403" i="13"/>
  <c r="V403" i="13"/>
  <c r="U403" i="13"/>
  <c r="T403" i="13"/>
  <c r="AG393" i="13"/>
  <c r="AF393" i="13"/>
  <c r="AE393" i="13"/>
  <c r="AD393" i="13"/>
  <c r="AC393" i="13"/>
  <c r="AB393" i="13"/>
  <c r="AA393" i="13"/>
  <c r="Z393" i="13"/>
  <c r="Y393" i="13"/>
  <c r="X393" i="13"/>
  <c r="W393" i="13"/>
  <c r="V393" i="13"/>
  <c r="U393" i="13"/>
  <c r="T393" i="13"/>
  <c r="AG383" i="13"/>
  <c r="AF383" i="13"/>
  <c r="AE383" i="13"/>
  <c r="AD383" i="13"/>
  <c r="AC383" i="13"/>
  <c r="AB383" i="13"/>
  <c r="AA383" i="13"/>
  <c r="Z383" i="13"/>
  <c r="Y383" i="13"/>
  <c r="X383" i="13"/>
  <c r="W383" i="13"/>
  <c r="V383" i="13"/>
  <c r="U383" i="13"/>
  <c r="T383" i="13"/>
  <c r="AG373" i="13"/>
  <c r="AF373" i="13"/>
  <c r="AE373" i="13"/>
  <c r="AD373" i="13"/>
  <c r="AC373" i="13"/>
  <c r="AB373" i="13"/>
  <c r="AA373" i="13"/>
  <c r="Z373" i="13"/>
  <c r="Y373" i="13"/>
  <c r="X373" i="13"/>
  <c r="W373" i="13"/>
  <c r="V373" i="13"/>
  <c r="U373" i="13"/>
  <c r="T373" i="13"/>
  <c r="AG363" i="13"/>
  <c r="AF363" i="13"/>
  <c r="AE363" i="13"/>
  <c r="AD363" i="13"/>
  <c r="AC363" i="13"/>
  <c r="AB363" i="13"/>
  <c r="AA363" i="13"/>
  <c r="Z363" i="13"/>
  <c r="Y363" i="13"/>
  <c r="X363" i="13"/>
  <c r="W363" i="13"/>
  <c r="V363" i="13"/>
  <c r="U363" i="13"/>
  <c r="T363" i="13"/>
  <c r="AG353" i="13"/>
  <c r="AF353" i="13"/>
  <c r="AE353" i="13"/>
  <c r="AD353" i="13"/>
  <c r="AC353" i="13"/>
  <c r="AB353" i="13"/>
  <c r="AA353" i="13"/>
  <c r="Z353" i="13"/>
  <c r="Y353" i="13"/>
  <c r="X353" i="13"/>
  <c r="W353" i="13"/>
  <c r="V353" i="13"/>
  <c r="U353" i="13"/>
  <c r="T353" i="13"/>
  <c r="AG343" i="13"/>
  <c r="AF343" i="13"/>
  <c r="AE343" i="13"/>
  <c r="AD343" i="13"/>
  <c r="AC343" i="13"/>
  <c r="AB343" i="13"/>
  <c r="AA343" i="13"/>
  <c r="Z343" i="13"/>
  <c r="Y343" i="13"/>
  <c r="X343" i="13"/>
  <c r="W343" i="13"/>
  <c r="V343" i="13"/>
  <c r="U343" i="13"/>
  <c r="T343" i="13"/>
  <c r="AG333" i="13"/>
  <c r="AF333" i="13"/>
  <c r="AE333" i="13"/>
  <c r="AD333" i="13"/>
  <c r="AC333" i="13"/>
  <c r="AB333" i="13"/>
  <c r="AA333" i="13"/>
  <c r="Z333" i="13"/>
  <c r="Y333" i="13"/>
  <c r="X333" i="13"/>
  <c r="W333" i="13"/>
  <c r="V333" i="13"/>
  <c r="U333" i="13"/>
  <c r="T333" i="13"/>
  <c r="AG323" i="13"/>
  <c r="AF323" i="13"/>
  <c r="AE323" i="13"/>
  <c r="AD323" i="13"/>
  <c r="AC323" i="13"/>
  <c r="AB323" i="13"/>
  <c r="AA323" i="13"/>
  <c r="Z323" i="13"/>
  <c r="Y323" i="13"/>
  <c r="X323" i="13"/>
  <c r="W323" i="13"/>
  <c r="V323" i="13"/>
  <c r="U323" i="13"/>
  <c r="T323" i="13"/>
  <c r="AG313" i="13"/>
  <c r="AF313" i="13"/>
  <c r="AE313" i="13"/>
  <c r="AD313" i="13"/>
  <c r="AC313" i="13"/>
  <c r="AB313" i="13"/>
  <c r="AA313" i="13"/>
  <c r="Z313" i="13"/>
  <c r="Y313" i="13"/>
  <c r="X313" i="13"/>
  <c r="W313" i="13"/>
  <c r="V313" i="13"/>
  <c r="U313" i="13"/>
  <c r="T313" i="13"/>
  <c r="AG303" i="13"/>
  <c r="AF303" i="13"/>
  <c r="AE303" i="13"/>
  <c r="AD303" i="13"/>
  <c r="AC303" i="13"/>
  <c r="AB303" i="13"/>
  <c r="AA303" i="13"/>
  <c r="Z303" i="13"/>
  <c r="Y303" i="13"/>
  <c r="X303" i="13"/>
  <c r="W303" i="13"/>
  <c r="V303" i="13"/>
  <c r="U303" i="13"/>
  <c r="T303" i="13"/>
  <c r="AG293" i="13"/>
  <c r="AF293" i="13"/>
  <c r="AE293" i="13"/>
  <c r="AD293" i="13"/>
  <c r="AC293" i="13"/>
  <c r="AB293" i="13"/>
  <c r="AA293" i="13"/>
  <c r="Z293" i="13"/>
  <c r="Y293" i="13"/>
  <c r="X293" i="13"/>
  <c r="W293" i="13"/>
  <c r="V293" i="13"/>
  <c r="U293" i="13"/>
  <c r="T293" i="13"/>
  <c r="AG283" i="13"/>
  <c r="AF283" i="13"/>
  <c r="AE283" i="13"/>
  <c r="AD283" i="13"/>
  <c r="AC283" i="13"/>
  <c r="AB283" i="13"/>
  <c r="AA283" i="13"/>
  <c r="Z283" i="13"/>
  <c r="Y283" i="13"/>
  <c r="X283" i="13"/>
  <c r="W283" i="13"/>
  <c r="V283" i="13"/>
  <c r="U283" i="13"/>
  <c r="T283" i="13"/>
  <c r="AG273" i="13"/>
  <c r="AF273" i="13"/>
  <c r="AE273" i="13"/>
  <c r="AD273" i="13"/>
  <c r="AC273" i="13"/>
  <c r="AB273" i="13"/>
  <c r="AA273" i="13"/>
  <c r="Z273" i="13"/>
  <c r="Y273" i="13"/>
  <c r="X273" i="13"/>
  <c r="W273" i="13"/>
  <c r="V273" i="13"/>
  <c r="U273" i="13"/>
  <c r="T273" i="13"/>
  <c r="AG263" i="13"/>
  <c r="AF263" i="13"/>
  <c r="AE263" i="13"/>
  <c r="AD263" i="13"/>
  <c r="AC263" i="13"/>
  <c r="AB263" i="13"/>
  <c r="AA263" i="13"/>
  <c r="Z263" i="13"/>
  <c r="Y263" i="13"/>
  <c r="X263" i="13"/>
  <c r="W263" i="13"/>
  <c r="V263" i="13"/>
  <c r="U263" i="13"/>
  <c r="T263" i="13"/>
  <c r="AG253" i="13"/>
  <c r="AF253" i="13"/>
  <c r="AE253" i="13"/>
  <c r="AD253" i="13"/>
  <c r="AC253" i="13"/>
  <c r="AB253" i="13"/>
  <c r="AA253" i="13"/>
  <c r="Z253" i="13"/>
  <c r="Y253" i="13"/>
  <c r="X253" i="13"/>
  <c r="W253" i="13"/>
  <c r="V253" i="13"/>
  <c r="U253" i="13"/>
  <c r="T253" i="13"/>
  <c r="AG243" i="13"/>
  <c r="AF243" i="13"/>
  <c r="AE243" i="13"/>
  <c r="AD243" i="13"/>
  <c r="AC243" i="13"/>
  <c r="AB243" i="13"/>
  <c r="AA243" i="13"/>
  <c r="Z243" i="13"/>
  <c r="Y243" i="13"/>
  <c r="X243" i="13"/>
  <c r="W243" i="13"/>
  <c r="V243" i="13"/>
  <c r="U243" i="13"/>
  <c r="T243" i="13"/>
  <c r="AG233" i="13"/>
  <c r="AF233" i="13"/>
  <c r="AE233" i="13"/>
  <c r="AD233" i="13"/>
  <c r="AC233" i="13"/>
  <c r="AB233" i="13"/>
  <c r="AA233" i="13"/>
  <c r="Z233" i="13"/>
  <c r="Y233" i="13"/>
  <c r="X233" i="13"/>
  <c r="W233" i="13"/>
  <c r="V233" i="13"/>
  <c r="U233" i="13"/>
  <c r="T233" i="13"/>
  <c r="AG223" i="13"/>
  <c r="AF223" i="13"/>
  <c r="AE223" i="13"/>
  <c r="AD223" i="13"/>
  <c r="AC223" i="13"/>
  <c r="AB223" i="13"/>
  <c r="AA223" i="13"/>
  <c r="Z223" i="13"/>
  <c r="Y223" i="13"/>
  <c r="X223" i="13"/>
  <c r="W223" i="13"/>
  <c r="V223" i="13"/>
  <c r="U223" i="13"/>
  <c r="T223" i="13"/>
  <c r="AG213" i="13"/>
  <c r="AF213" i="13"/>
  <c r="AE213" i="13"/>
  <c r="AD213" i="13"/>
  <c r="AC213" i="13"/>
  <c r="AB213" i="13"/>
  <c r="AA213" i="13"/>
  <c r="Z213" i="13"/>
  <c r="Y213" i="13"/>
  <c r="X213" i="13"/>
  <c r="W213" i="13"/>
  <c r="V213" i="13"/>
  <c r="U213" i="13"/>
  <c r="T213" i="13"/>
  <c r="AG203" i="13"/>
  <c r="AF203" i="13"/>
  <c r="AE203" i="13"/>
  <c r="AD203" i="13"/>
  <c r="AC203" i="13"/>
  <c r="AB203" i="13"/>
  <c r="AA203" i="13"/>
  <c r="Z203" i="13"/>
  <c r="Y203" i="13"/>
  <c r="X203" i="13"/>
  <c r="W203" i="13"/>
  <c r="V203" i="13"/>
  <c r="U203" i="13"/>
  <c r="T203" i="13"/>
  <c r="AG193" i="13"/>
  <c r="AF193" i="13"/>
  <c r="AE193" i="13"/>
  <c r="AD193" i="13"/>
  <c r="AC193" i="13"/>
  <c r="AB193" i="13"/>
  <c r="AA193" i="13"/>
  <c r="Z193" i="13"/>
  <c r="Y193" i="13"/>
  <c r="X193" i="13"/>
  <c r="W193" i="13"/>
  <c r="V193" i="13"/>
  <c r="U193" i="13"/>
  <c r="T193" i="13"/>
  <c r="AG183" i="13"/>
  <c r="AF183" i="13"/>
  <c r="AE183" i="13"/>
  <c r="AD183" i="13"/>
  <c r="AC183" i="13"/>
  <c r="AB183" i="13"/>
  <c r="AA183" i="13"/>
  <c r="Z183" i="13"/>
  <c r="Y183" i="13"/>
  <c r="X183" i="13"/>
  <c r="W183" i="13"/>
  <c r="V183" i="13"/>
  <c r="U183" i="13"/>
  <c r="T183" i="13"/>
  <c r="AG173" i="13"/>
  <c r="AF173" i="13"/>
  <c r="AE173" i="13"/>
  <c r="AD173" i="13"/>
  <c r="AC173" i="13"/>
  <c r="AB173" i="13"/>
  <c r="AA173" i="13"/>
  <c r="Z173" i="13"/>
  <c r="Y173" i="13"/>
  <c r="X173" i="13"/>
  <c r="W173" i="13"/>
  <c r="V173" i="13"/>
  <c r="U173" i="13"/>
  <c r="T173" i="13"/>
  <c r="AG163" i="13"/>
  <c r="AF163" i="13"/>
  <c r="AE163" i="13"/>
  <c r="AD163" i="13"/>
  <c r="AC163" i="13"/>
  <c r="AB163" i="13"/>
  <c r="AA163" i="13"/>
  <c r="Z163" i="13"/>
  <c r="Y163" i="13"/>
  <c r="X163" i="13"/>
  <c r="W163" i="13"/>
  <c r="V163" i="13"/>
  <c r="U163" i="13"/>
  <c r="T163" i="13"/>
  <c r="AG153" i="13"/>
  <c r="AF153" i="13"/>
  <c r="AE153" i="13"/>
  <c r="AD153" i="13"/>
  <c r="AC153" i="13"/>
  <c r="AB153" i="13"/>
  <c r="AA153" i="13"/>
  <c r="Z153" i="13"/>
  <c r="Y153" i="13"/>
  <c r="X153" i="13"/>
  <c r="W153" i="13"/>
  <c r="V153" i="13"/>
  <c r="U153" i="13"/>
  <c r="T153" i="13"/>
  <c r="AG143" i="13"/>
  <c r="AF143" i="13"/>
  <c r="AE143" i="13"/>
  <c r="AD143" i="13"/>
  <c r="AC143" i="13"/>
  <c r="AB143" i="13"/>
  <c r="AA143" i="13"/>
  <c r="Z143" i="13"/>
  <c r="Y143" i="13"/>
  <c r="X143" i="13"/>
  <c r="W143" i="13"/>
  <c r="V143" i="13"/>
  <c r="U143" i="13"/>
  <c r="T143" i="13"/>
  <c r="AG133" i="13"/>
  <c r="AF133" i="13"/>
  <c r="AE133" i="13"/>
  <c r="AD133" i="13"/>
  <c r="AC133" i="13"/>
  <c r="AB133" i="13"/>
  <c r="AA133" i="13"/>
  <c r="Z133" i="13"/>
  <c r="Y133" i="13"/>
  <c r="X133" i="13"/>
  <c r="W133" i="13"/>
  <c r="V133" i="13"/>
  <c r="U133" i="13"/>
  <c r="T133" i="13"/>
  <c r="AG123" i="13"/>
  <c r="AF123" i="13"/>
  <c r="AE123" i="13"/>
  <c r="AD123" i="13"/>
  <c r="AC123" i="13"/>
  <c r="AB123" i="13"/>
  <c r="AA123" i="13"/>
  <c r="Z123" i="13"/>
  <c r="Y123" i="13"/>
  <c r="X123" i="13"/>
  <c r="W123" i="13"/>
  <c r="V123" i="13"/>
  <c r="U123" i="13"/>
  <c r="T123" i="13"/>
  <c r="AG113" i="13"/>
  <c r="AF113" i="13"/>
  <c r="AE113" i="13"/>
  <c r="AD113" i="13"/>
  <c r="AC113" i="13"/>
  <c r="AB113" i="13"/>
  <c r="AA113" i="13"/>
  <c r="Z113" i="13"/>
  <c r="Y113" i="13"/>
  <c r="X113" i="13"/>
  <c r="W113" i="13"/>
  <c r="V113" i="13"/>
  <c r="U113" i="13"/>
  <c r="T113" i="13"/>
  <c r="AG103" i="13"/>
  <c r="AF103" i="13"/>
  <c r="AE103" i="13"/>
  <c r="AD103" i="13"/>
  <c r="AC103" i="13"/>
  <c r="AB103" i="13"/>
  <c r="AA103" i="13"/>
  <c r="Z103" i="13"/>
  <c r="Y103" i="13"/>
  <c r="X103" i="13"/>
  <c r="W103" i="13"/>
  <c r="V103" i="13"/>
  <c r="U103" i="13"/>
  <c r="T103" i="13"/>
  <c r="AG93" i="13"/>
  <c r="AF93" i="13"/>
  <c r="AE93" i="13"/>
  <c r="AD93" i="13"/>
  <c r="AC93" i="13"/>
  <c r="AB93" i="13"/>
  <c r="AA93" i="13"/>
  <c r="Z93" i="13"/>
  <c r="Y93" i="13"/>
  <c r="X93" i="13"/>
  <c r="W93" i="13"/>
  <c r="V93" i="13"/>
  <c r="U93" i="13"/>
  <c r="T93" i="13"/>
  <c r="AG83" i="13"/>
  <c r="AF83" i="13"/>
  <c r="AE83" i="13"/>
  <c r="AD83" i="13"/>
  <c r="AC83" i="13"/>
  <c r="AB83" i="13"/>
  <c r="AA83" i="13"/>
  <c r="Z83" i="13"/>
  <c r="Y83" i="13"/>
  <c r="X83" i="13"/>
  <c r="W83" i="13"/>
  <c r="V83" i="13"/>
  <c r="U83" i="13"/>
  <c r="T83" i="13"/>
  <c r="AG73" i="13"/>
  <c r="AF73" i="13"/>
  <c r="AE73" i="13"/>
  <c r="AD73" i="13"/>
  <c r="AC73" i="13"/>
  <c r="AB73" i="13"/>
  <c r="AA73" i="13"/>
  <c r="Z73" i="13"/>
  <c r="Y73" i="13"/>
  <c r="X73" i="13"/>
  <c r="W73" i="13"/>
  <c r="V73" i="13"/>
  <c r="U73" i="13"/>
  <c r="T73" i="13"/>
  <c r="AG63" i="13"/>
  <c r="AF63" i="13"/>
  <c r="AE63" i="13"/>
  <c r="AD63" i="13"/>
  <c r="AC63" i="13"/>
  <c r="AB63" i="13"/>
  <c r="AA63" i="13"/>
  <c r="Z63" i="13"/>
  <c r="Y63" i="13"/>
  <c r="X63" i="13"/>
  <c r="W63" i="13"/>
  <c r="V63" i="13"/>
  <c r="U63" i="13"/>
  <c r="T63" i="13"/>
  <c r="AG53" i="13"/>
  <c r="AF53" i="13"/>
  <c r="AE53" i="13"/>
  <c r="AD53" i="13"/>
  <c r="AC53" i="13"/>
  <c r="AB53" i="13"/>
  <c r="AA53" i="13"/>
  <c r="Z53" i="13"/>
  <c r="Y53" i="13"/>
  <c r="X53" i="13"/>
  <c r="W53" i="13"/>
  <c r="V53" i="13"/>
  <c r="U53" i="13"/>
  <c r="T53" i="13"/>
  <c r="AG43" i="13"/>
  <c r="AF43" i="13"/>
  <c r="AE43" i="13"/>
  <c r="AD43" i="13"/>
  <c r="AC43" i="13"/>
  <c r="AB43" i="13"/>
  <c r="AA43" i="13"/>
  <c r="Z43" i="13"/>
  <c r="Y43" i="13"/>
  <c r="X43" i="13"/>
  <c r="W43" i="13"/>
  <c r="V43" i="13"/>
  <c r="U43" i="13"/>
  <c r="T43" i="13"/>
  <c r="AG33" i="13"/>
  <c r="AF33" i="13"/>
  <c r="AE33" i="13"/>
  <c r="AD33" i="13"/>
  <c r="AC33" i="13"/>
  <c r="AB33" i="13"/>
  <c r="AA33" i="13"/>
  <c r="Z33" i="13"/>
  <c r="Y33" i="13"/>
  <c r="X33" i="13"/>
  <c r="W33" i="13"/>
  <c r="V33" i="13"/>
  <c r="U33" i="13"/>
  <c r="T33" i="13"/>
  <c r="AG23" i="13"/>
  <c r="AF23" i="13"/>
  <c r="AE23" i="13"/>
  <c r="AD23" i="13"/>
  <c r="AC23" i="13"/>
  <c r="AB23" i="13"/>
  <c r="AA23" i="13"/>
  <c r="Z23" i="13"/>
  <c r="Y23" i="13"/>
  <c r="X23" i="13"/>
  <c r="W23" i="13"/>
  <c r="V23" i="13"/>
  <c r="U23" i="13"/>
  <c r="T23" i="13"/>
  <c r="AG13" i="13"/>
  <c r="AF13" i="13"/>
  <c r="AE13" i="13"/>
  <c r="AD13" i="13"/>
  <c r="AC13" i="13"/>
  <c r="AB13" i="13"/>
  <c r="AA13" i="13"/>
  <c r="Z13" i="13"/>
  <c r="Y13" i="13"/>
  <c r="X13" i="13"/>
  <c r="W13" i="13"/>
  <c r="V13" i="13"/>
  <c r="U13" i="13"/>
  <c r="T13" i="13"/>
  <c r="N855" i="13"/>
  <c r="N856" i="13"/>
  <c r="N857" i="13"/>
  <c r="N858" i="13"/>
  <c r="N859" i="13"/>
  <c r="N860" i="13"/>
  <c r="N861" i="13"/>
  <c r="N845" i="13"/>
  <c r="N846" i="13"/>
  <c r="N847" i="13"/>
  <c r="N848" i="13"/>
  <c r="N849" i="13"/>
  <c r="N850" i="13"/>
  <c r="N851" i="13"/>
  <c r="N835" i="13"/>
  <c r="N836" i="13"/>
  <c r="N837" i="13"/>
  <c r="N838" i="13"/>
  <c r="N839" i="13"/>
  <c r="N840" i="13"/>
  <c r="N841" i="13"/>
  <c r="N825" i="13"/>
  <c r="N826" i="13"/>
  <c r="N827" i="13"/>
  <c r="N828" i="13"/>
  <c r="N829" i="13"/>
  <c r="N830" i="13"/>
  <c r="N831" i="13"/>
  <c r="N815" i="13"/>
  <c r="N816" i="13"/>
  <c r="N817" i="13"/>
  <c r="N818" i="13"/>
  <c r="N819" i="13"/>
  <c r="N820" i="13"/>
  <c r="N821" i="13"/>
  <c r="N805" i="13"/>
  <c r="N806" i="13"/>
  <c r="N807" i="13"/>
  <c r="N808" i="13"/>
  <c r="N809" i="13"/>
  <c r="N810" i="13"/>
  <c r="N811" i="13"/>
  <c r="N795" i="13"/>
  <c r="N796" i="13"/>
  <c r="N797" i="13"/>
  <c r="N798" i="13"/>
  <c r="N799" i="13"/>
  <c r="N800" i="13"/>
  <c r="N801" i="13"/>
  <c r="N785" i="13"/>
  <c r="N786" i="13"/>
  <c r="N787" i="13"/>
  <c r="N788" i="13"/>
  <c r="N789" i="13"/>
  <c r="N790" i="13"/>
  <c r="N791" i="13"/>
  <c r="N775" i="13"/>
  <c r="N776" i="13"/>
  <c r="N777" i="13"/>
  <c r="N778" i="13"/>
  <c r="N779" i="13"/>
  <c r="N780" i="13"/>
  <c r="N781" i="13"/>
  <c r="N765" i="13"/>
  <c r="N766" i="13"/>
  <c r="N767" i="13"/>
  <c r="N768" i="13"/>
  <c r="N769" i="13"/>
  <c r="N770" i="13"/>
  <c r="N771" i="13"/>
  <c r="N755" i="13"/>
  <c r="N756" i="13"/>
  <c r="N757" i="13"/>
  <c r="N758" i="13"/>
  <c r="N759" i="13"/>
  <c r="N760" i="13"/>
  <c r="N761" i="13"/>
  <c r="N745" i="13"/>
  <c r="N746" i="13"/>
  <c r="N747" i="13"/>
  <c r="N748" i="13"/>
  <c r="N749" i="13"/>
  <c r="N750" i="13"/>
  <c r="N751" i="13"/>
  <c r="N735" i="13"/>
  <c r="N736" i="13"/>
  <c r="N737" i="13"/>
  <c r="N738" i="13"/>
  <c r="N739" i="13"/>
  <c r="N740" i="13"/>
  <c r="N741" i="13"/>
  <c r="N725" i="13"/>
  <c r="N726" i="13"/>
  <c r="N727" i="13"/>
  <c r="N728" i="13"/>
  <c r="N729" i="13"/>
  <c r="N730" i="13"/>
  <c r="N731" i="13"/>
  <c r="N715" i="13"/>
  <c r="N716" i="13"/>
  <c r="N717" i="13"/>
  <c r="N718" i="13"/>
  <c r="N719" i="13"/>
  <c r="N720" i="13"/>
  <c r="N721" i="13"/>
  <c r="N705" i="13"/>
  <c r="N706" i="13"/>
  <c r="N707" i="13"/>
  <c r="N708" i="13"/>
  <c r="N709" i="13"/>
  <c r="N710" i="13"/>
  <c r="N711" i="13"/>
  <c r="N695" i="13"/>
  <c r="N696" i="13"/>
  <c r="N697" i="13"/>
  <c r="N698" i="13"/>
  <c r="N699" i="13"/>
  <c r="N700" i="13"/>
  <c r="N701" i="13"/>
  <c r="N685" i="13"/>
  <c r="N686" i="13"/>
  <c r="N687" i="13"/>
  <c r="N688" i="13"/>
  <c r="N689" i="13"/>
  <c r="N690" i="13"/>
  <c r="N691" i="13"/>
  <c r="N675" i="13"/>
  <c r="N676" i="13"/>
  <c r="N677" i="13"/>
  <c r="N678" i="13"/>
  <c r="N679" i="13"/>
  <c r="N680" i="13"/>
  <c r="N681" i="13"/>
  <c r="N665" i="13"/>
  <c r="N666" i="13"/>
  <c r="N667" i="13"/>
  <c r="N668" i="13"/>
  <c r="N669" i="13"/>
  <c r="N670" i="13"/>
  <c r="N671" i="13"/>
  <c r="N655" i="13"/>
  <c r="N656" i="13"/>
  <c r="N657" i="13"/>
  <c r="N658" i="13"/>
  <c r="N659" i="13"/>
  <c r="N660" i="13"/>
  <c r="N661" i="13"/>
  <c r="N645" i="13"/>
  <c r="N646" i="13"/>
  <c r="N647" i="13"/>
  <c r="N648" i="13"/>
  <c r="N649" i="13"/>
  <c r="N650" i="13"/>
  <c r="N651" i="13"/>
  <c r="N635" i="13"/>
  <c r="N636" i="13"/>
  <c r="N637" i="13"/>
  <c r="N638" i="13"/>
  <c r="N639" i="13"/>
  <c r="N640" i="13"/>
  <c r="N641" i="13"/>
  <c r="N625" i="13"/>
  <c r="N626" i="13"/>
  <c r="N627" i="13"/>
  <c r="N628" i="13"/>
  <c r="N629" i="13"/>
  <c r="N630" i="13"/>
  <c r="N631" i="13"/>
  <c r="N615" i="13"/>
  <c r="N616" i="13"/>
  <c r="N617" i="13"/>
  <c r="N618" i="13"/>
  <c r="N619" i="13"/>
  <c r="N620" i="13"/>
  <c r="N621" i="13"/>
  <c r="N605" i="13"/>
  <c r="N606" i="13"/>
  <c r="N607" i="13"/>
  <c r="N608" i="13"/>
  <c r="N609" i="13"/>
  <c r="N610" i="13"/>
  <c r="N611" i="13"/>
  <c r="B606" i="13"/>
  <c r="D69" i="28" s="1"/>
  <c r="F69" i="28" s="1"/>
  <c r="N595" i="13"/>
  <c r="N596" i="13"/>
  <c r="N597" i="13"/>
  <c r="N598" i="13"/>
  <c r="N599" i="13"/>
  <c r="N600" i="13"/>
  <c r="N601" i="13"/>
  <c r="B596" i="13"/>
  <c r="N585" i="13"/>
  <c r="N586" i="13"/>
  <c r="N587" i="13"/>
  <c r="N588" i="13"/>
  <c r="N589" i="13"/>
  <c r="N590" i="13"/>
  <c r="N591" i="13"/>
  <c r="B586" i="13"/>
  <c r="N575" i="13"/>
  <c r="N576" i="13"/>
  <c r="N577" i="13"/>
  <c r="N578" i="13"/>
  <c r="N579" i="13"/>
  <c r="N580" i="13"/>
  <c r="N581" i="13"/>
  <c r="B576" i="13"/>
  <c r="N565" i="13"/>
  <c r="N566" i="13"/>
  <c r="N567" i="13"/>
  <c r="N568" i="13"/>
  <c r="N569" i="13"/>
  <c r="N570" i="13"/>
  <c r="N571" i="13"/>
  <c r="B566" i="13"/>
  <c r="D65" i="28" s="1"/>
  <c r="F65" i="28" s="1"/>
  <c r="N555" i="13"/>
  <c r="N556" i="13"/>
  <c r="N557" i="13"/>
  <c r="N558" i="13"/>
  <c r="N559" i="13"/>
  <c r="N560" i="13"/>
  <c r="N561" i="13"/>
  <c r="B556" i="13"/>
  <c r="N545" i="13"/>
  <c r="N546" i="13"/>
  <c r="N547" i="13"/>
  <c r="N548" i="13"/>
  <c r="N549" i="13"/>
  <c r="N550" i="13"/>
  <c r="N551" i="13"/>
  <c r="B546" i="13"/>
  <c r="D63" i="28" s="1"/>
  <c r="F63" i="28" s="1"/>
  <c r="N535" i="13"/>
  <c r="N536" i="13"/>
  <c r="N537" i="13"/>
  <c r="N538" i="13"/>
  <c r="N539" i="13"/>
  <c r="N540" i="13"/>
  <c r="N541" i="13"/>
  <c r="B536" i="13"/>
  <c r="D62" i="28" s="1"/>
  <c r="N525" i="13"/>
  <c r="N526" i="13"/>
  <c r="N527" i="13"/>
  <c r="N528" i="13"/>
  <c r="N529" i="13"/>
  <c r="N530" i="13"/>
  <c r="N531" i="13"/>
  <c r="B526" i="13"/>
  <c r="D61" i="28" s="1"/>
  <c r="F61" i="28" s="1"/>
  <c r="N515" i="13"/>
  <c r="N516" i="13"/>
  <c r="N517" i="13"/>
  <c r="N518" i="13"/>
  <c r="N519" i="13"/>
  <c r="N520" i="13"/>
  <c r="N521" i="13"/>
  <c r="B516" i="13"/>
  <c r="N505" i="13"/>
  <c r="N506" i="13"/>
  <c r="N507" i="13"/>
  <c r="N508" i="13"/>
  <c r="N509" i="13"/>
  <c r="N510" i="13"/>
  <c r="N511" i="13"/>
  <c r="B506" i="13"/>
  <c r="N495" i="13"/>
  <c r="N496" i="13"/>
  <c r="N497" i="13"/>
  <c r="N498" i="13"/>
  <c r="N499" i="13"/>
  <c r="N500" i="13"/>
  <c r="N501" i="13"/>
  <c r="B496" i="13"/>
  <c r="D58" i="28" s="1"/>
  <c r="F58" i="28" s="1"/>
  <c r="N485" i="13"/>
  <c r="N486" i="13"/>
  <c r="N487" i="13"/>
  <c r="N488" i="13"/>
  <c r="N489" i="13"/>
  <c r="N490" i="13"/>
  <c r="N491" i="13"/>
  <c r="B486" i="13"/>
  <c r="D57" i="28" s="1"/>
  <c r="N475" i="13"/>
  <c r="N476" i="13"/>
  <c r="N477" i="13"/>
  <c r="N478" i="13"/>
  <c r="N479" i="13"/>
  <c r="N480" i="13"/>
  <c r="N481" i="13"/>
  <c r="B476" i="13"/>
  <c r="N465" i="13"/>
  <c r="N466" i="13"/>
  <c r="N467" i="13"/>
  <c r="N468" i="13"/>
  <c r="N469" i="13"/>
  <c r="N470" i="13"/>
  <c r="N471" i="13"/>
  <c r="B466" i="13"/>
  <c r="D55" i="28" s="1"/>
  <c r="F55" i="28" s="1"/>
  <c r="N455" i="13"/>
  <c r="N456" i="13"/>
  <c r="N457" i="13"/>
  <c r="N458" i="13"/>
  <c r="N459" i="13"/>
  <c r="N460" i="13"/>
  <c r="N461" i="13"/>
  <c r="B456" i="13"/>
  <c r="D54" i="28" s="1"/>
  <c r="F54" i="28" s="1"/>
  <c r="N445" i="13"/>
  <c r="N446" i="13"/>
  <c r="N447" i="13"/>
  <c r="N448" i="13"/>
  <c r="N449" i="13"/>
  <c r="N450" i="13"/>
  <c r="N451" i="13"/>
  <c r="B446" i="13"/>
  <c r="N435" i="13"/>
  <c r="N436" i="13"/>
  <c r="N437" i="13"/>
  <c r="N438" i="13"/>
  <c r="N439" i="13"/>
  <c r="N440" i="13"/>
  <c r="N441" i="13"/>
  <c r="B436" i="13"/>
  <c r="M29" i="11" s="1"/>
  <c r="N365" i="13"/>
  <c r="N366" i="13"/>
  <c r="N367" i="13"/>
  <c r="N368" i="13"/>
  <c r="N369" i="13"/>
  <c r="N370" i="13"/>
  <c r="N371" i="13"/>
  <c r="N295" i="13"/>
  <c r="N296" i="13"/>
  <c r="N297" i="13"/>
  <c r="N298" i="13"/>
  <c r="N299" i="13"/>
  <c r="N300" i="13"/>
  <c r="N301" i="13"/>
  <c r="N225" i="13"/>
  <c r="N226" i="13"/>
  <c r="N227" i="13"/>
  <c r="N228" i="13"/>
  <c r="N229" i="13"/>
  <c r="N230" i="13"/>
  <c r="N231" i="13"/>
  <c r="N155" i="13"/>
  <c r="N156" i="13"/>
  <c r="N157" i="13"/>
  <c r="N158" i="13"/>
  <c r="N159" i="13"/>
  <c r="N160" i="13"/>
  <c r="N161" i="13"/>
  <c r="N85" i="13"/>
  <c r="N86" i="13"/>
  <c r="N87" i="13"/>
  <c r="N88" i="13"/>
  <c r="N89" i="13"/>
  <c r="N90" i="13"/>
  <c r="N91" i="13"/>
  <c r="N15" i="13"/>
  <c r="N16" i="13"/>
  <c r="N17" i="13"/>
  <c r="N18" i="13"/>
  <c r="N19" i="13"/>
  <c r="N20" i="13"/>
  <c r="N21" i="13"/>
  <c r="AE8" i="13"/>
  <c r="AE5" i="13"/>
  <c r="AA8" i="13"/>
  <c r="AA5" i="13"/>
  <c r="W8" i="13"/>
  <c r="W5" i="13"/>
  <c r="B833" i="13"/>
  <c r="B763" i="13"/>
  <c r="B693" i="13"/>
  <c r="B623" i="13"/>
  <c r="B553" i="13"/>
  <c r="B483" i="13"/>
  <c r="B413" i="13"/>
  <c r="B343" i="13"/>
  <c r="B273" i="13"/>
  <c r="B203" i="13"/>
  <c r="B843" i="13"/>
  <c r="B823" i="13"/>
  <c r="B813" i="13"/>
  <c r="B803" i="13"/>
  <c r="B793" i="13"/>
  <c r="B783" i="13"/>
  <c r="B773" i="13"/>
  <c r="B753" i="13"/>
  <c r="B743" i="13"/>
  <c r="B733" i="13"/>
  <c r="B723" i="13"/>
  <c r="B713" i="13"/>
  <c r="AC1" i="13" s="1"/>
  <c r="B703" i="13"/>
  <c r="B683" i="13"/>
  <c r="B673" i="13"/>
  <c r="B663" i="13"/>
  <c r="B653" i="13"/>
  <c r="B643" i="13"/>
  <c r="B633" i="13"/>
  <c r="B613" i="13"/>
  <c r="B603" i="13"/>
  <c r="B593" i="13"/>
  <c r="B583" i="13"/>
  <c r="B573" i="13"/>
  <c r="Y1" i="13"/>
  <c r="B563" i="13"/>
  <c r="B543" i="13"/>
  <c r="B533" i="13"/>
  <c r="B523" i="13"/>
  <c r="B513" i="13"/>
  <c r="B503" i="13"/>
  <c r="B493" i="13"/>
  <c r="B473" i="13"/>
  <c r="B463" i="13"/>
  <c r="B453" i="13"/>
  <c r="B443" i="13"/>
  <c r="B433" i="13"/>
  <c r="T1" i="13"/>
  <c r="B423" i="13"/>
  <c r="B403" i="13"/>
  <c r="B393" i="13"/>
  <c r="B383" i="13"/>
  <c r="B373" i="13"/>
  <c r="B363" i="13"/>
  <c r="B353" i="13"/>
  <c r="B333" i="13"/>
  <c r="B323" i="13"/>
  <c r="B313" i="13"/>
  <c r="B303" i="13"/>
  <c r="B293" i="13"/>
  <c r="P1" i="13"/>
  <c r="B283" i="13"/>
  <c r="B263" i="13"/>
  <c r="B253" i="13"/>
  <c r="B243" i="13"/>
  <c r="B233" i="13"/>
  <c r="B223" i="13"/>
  <c r="B213" i="13"/>
  <c r="B193" i="13"/>
  <c r="B183" i="13"/>
  <c r="B173" i="13"/>
  <c r="B163" i="13"/>
  <c r="B153" i="13"/>
  <c r="M1" i="13" s="1"/>
  <c r="AG913" i="91"/>
  <c r="AF913" i="91"/>
  <c r="AE913" i="91"/>
  <c r="AD913" i="91"/>
  <c r="AC913" i="91"/>
  <c r="AB913" i="91"/>
  <c r="AA913" i="91"/>
  <c r="Z913" i="91"/>
  <c r="Y913" i="91"/>
  <c r="X913" i="91"/>
  <c r="W913" i="91"/>
  <c r="V913" i="91"/>
  <c r="U913" i="91"/>
  <c r="T913" i="91"/>
  <c r="AG973" i="91"/>
  <c r="AF973" i="91"/>
  <c r="AE973" i="91"/>
  <c r="AD973" i="91"/>
  <c r="AC973" i="91"/>
  <c r="AB973" i="91"/>
  <c r="AA973" i="91"/>
  <c r="Z973" i="91"/>
  <c r="Y973" i="91"/>
  <c r="X973" i="91"/>
  <c r="W973" i="91"/>
  <c r="V973" i="91"/>
  <c r="U973" i="91"/>
  <c r="T973" i="91"/>
  <c r="AG963" i="91"/>
  <c r="AF963" i="91"/>
  <c r="AE963" i="91"/>
  <c r="AD963" i="91"/>
  <c r="AC963" i="91"/>
  <c r="AB963" i="91"/>
  <c r="AA963" i="91"/>
  <c r="Z963" i="91"/>
  <c r="Y963" i="91"/>
  <c r="X963" i="91"/>
  <c r="W963" i="91"/>
  <c r="V963" i="91"/>
  <c r="U963" i="91"/>
  <c r="T963" i="91"/>
  <c r="AG953" i="91"/>
  <c r="AF953" i="91"/>
  <c r="AE953" i="91"/>
  <c r="AD953" i="91"/>
  <c r="AC953" i="91"/>
  <c r="AB953" i="91"/>
  <c r="AA953" i="91"/>
  <c r="Z953" i="91"/>
  <c r="Y953" i="91"/>
  <c r="X953" i="91"/>
  <c r="W953" i="91"/>
  <c r="V953" i="91"/>
  <c r="U953" i="91"/>
  <c r="T953" i="91"/>
  <c r="AG943" i="91"/>
  <c r="AF943" i="91"/>
  <c r="AE943" i="91"/>
  <c r="AD943" i="91"/>
  <c r="AC943" i="91"/>
  <c r="AB943" i="91"/>
  <c r="AA943" i="91"/>
  <c r="Z943" i="91"/>
  <c r="Y943" i="91"/>
  <c r="X943" i="91"/>
  <c r="W943" i="91"/>
  <c r="V943" i="91"/>
  <c r="U943" i="91"/>
  <c r="T943" i="91"/>
  <c r="AG933" i="91"/>
  <c r="AF933" i="91"/>
  <c r="AE933" i="91"/>
  <c r="AD933" i="91"/>
  <c r="AC933" i="91"/>
  <c r="AB933" i="91"/>
  <c r="AA933" i="91"/>
  <c r="Z933" i="91"/>
  <c r="Y933" i="91"/>
  <c r="X933" i="91"/>
  <c r="W933" i="91"/>
  <c r="V933" i="91"/>
  <c r="U933" i="91"/>
  <c r="T933" i="91"/>
  <c r="AG923" i="91"/>
  <c r="AF923" i="91"/>
  <c r="AE923" i="91"/>
  <c r="AD923" i="91"/>
  <c r="AC923" i="91"/>
  <c r="AB923" i="91"/>
  <c r="AA923" i="91"/>
  <c r="Z923" i="91"/>
  <c r="Y923" i="91"/>
  <c r="X923" i="91"/>
  <c r="W923" i="91"/>
  <c r="V923" i="91"/>
  <c r="U923" i="91"/>
  <c r="T923" i="91"/>
  <c r="AG903" i="91"/>
  <c r="AF903" i="91"/>
  <c r="AE903" i="91"/>
  <c r="AD903" i="91"/>
  <c r="AC903" i="91"/>
  <c r="AB903" i="91"/>
  <c r="AA903" i="91"/>
  <c r="Z903" i="91"/>
  <c r="Y903" i="91"/>
  <c r="X903" i="91"/>
  <c r="W903" i="91"/>
  <c r="V903" i="91"/>
  <c r="U903" i="91"/>
  <c r="T903" i="91"/>
  <c r="AG893" i="91"/>
  <c r="AF893" i="91"/>
  <c r="AE893" i="91"/>
  <c r="AD893" i="91"/>
  <c r="AC893" i="91"/>
  <c r="AB893" i="91"/>
  <c r="AA893" i="91"/>
  <c r="Z893" i="91"/>
  <c r="Y893" i="91"/>
  <c r="X893" i="91"/>
  <c r="W893" i="91"/>
  <c r="V893" i="91"/>
  <c r="U893" i="91"/>
  <c r="T893" i="91"/>
  <c r="AG883" i="91"/>
  <c r="AF883" i="91"/>
  <c r="AE883" i="91"/>
  <c r="AD883" i="91"/>
  <c r="AC883" i="91"/>
  <c r="AB883" i="91"/>
  <c r="AA883" i="91"/>
  <c r="Z883" i="91"/>
  <c r="Y883" i="91"/>
  <c r="X883" i="91"/>
  <c r="W883" i="91"/>
  <c r="V883" i="91"/>
  <c r="U883" i="91"/>
  <c r="T883" i="91"/>
  <c r="AG873" i="91"/>
  <c r="AF873" i="91"/>
  <c r="AE873" i="91"/>
  <c r="AD873" i="91"/>
  <c r="AC873" i="91"/>
  <c r="AB873" i="91"/>
  <c r="AA873" i="91"/>
  <c r="Z873" i="91"/>
  <c r="Y873" i="91"/>
  <c r="X873" i="91"/>
  <c r="W873" i="91"/>
  <c r="V873" i="91"/>
  <c r="U873" i="91"/>
  <c r="T873" i="91"/>
  <c r="AG863" i="91"/>
  <c r="AF863" i="91"/>
  <c r="AE863" i="91"/>
  <c r="AD863" i="91"/>
  <c r="AC863" i="91"/>
  <c r="AB863" i="91"/>
  <c r="AA863" i="91"/>
  <c r="Z863" i="91"/>
  <c r="Y863" i="91"/>
  <c r="X863" i="91"/>
  <c r="W863" i="91"/>
  <c r="V863" i="91"/>
  <c r="U863" i="91"/>
  <c r="T863" i="91"/>
  <c r="AG853" i="91"/>
  <c r="AF853" i="91"/>
  <c r="AE853" i="91"/>
  <c r="AD853" i="91"/>
  <c r="AC853" i="91"/>
  <c r="AB853" i="91"/>
  <c r="AA853" i="91"/>
  <c r="Z853" i="91"/>
  <c r="Y853" i="91"/>
  <c r="X853" i="91"/>
  <c r="W853" i="91"/>
  <c r="V853" i="91"/>
  <c r="U853" i="91"/>
  <c r="T853" i="91"/>
  <c r="AG843" i="91"/>
  <c r="AF843" i="91"/>
  <c r="AE843" i="91"/>
  <c r="AD843" i="91"/>
  <c r="AC843" i="91"/>
  <c r="AB843" i="91"/>
  <c r="AA843" i="91"/>
  <c r="Z843" i="91"/>
  <c r="Y843" i="91"/>
  <c r="X843" i="91"/>
  <c r="W843" i="91"/>
  <c r="V843" i="91"/>
  <c r="U843" i="91"/>
  <c r="T843" i="91"/>
  <c r="B843" i="91"/>
  <c r="AG833" i="91"/>
  <c r="AF833" i="91"/>
  <c r="AE833" i="91"/>
  <c r="AD833" i="91"/>
  <c r="AC833" i="91"/>
  <c r="AB833" i="91"/>
  <c r="AA833" i="91"/>
  <c r="Z833" i="91"/>
  <c r="Y833" i="91"/>
  <c r="X833" i="91"/>
  <c r="W833" i="91"/>
  <c r="V833" i="91"/>
  <c r="U833" i="91"/>
  <c r="T833" i="91"/>
  <c r="B833" i="91"/>
  <c r="AG823" i="91"/>
  <c r="AF823" i="91"/>
  <c r="AE823" i="91"/>
  <c r="AD823" i="91"/>
  <c r="AC823" i="91"/>
  <c r="AB823" i="91"/>
  <c r="AA823" i="91"/>
  <c r="Z823" i="91"/>
  <c r="Y823" i="91"/>
  <c r="X823" i="91"/>
  <c r="W823" i="91"/>
  <c r="V823" i="91"/>
  <c r="U823" i="91"/>
  <c r="T823" i="91"/>
  <c r="B823" i="91"/>
  <c r="AG813" i="91"/>
  <c r="AF813" i="91"/>
  <c r="AE813" i="91"/>
  <c r="AD813" i="91"/>
  <c r="AC813" i="91"/>
  <c r="AB813" i="91"/>
  <c r="AA813" i="91"/>
  <c r="Z813" i="91"/>
  <c r="Y813" i="91"/>
  <c r="X813" i="91"/>
  <c r="W813" i="91"/>
  <c r="V813" i="91"/>
  <c r="U813" i="91"/>
  <c r="T813" i="91"/>
  <c r="B813" i="91"/>
  <c r="AG803" i="91"/>
  <c r="AF803" i="91"/>
  <c r="AE803" i="91"/>
  <c r="AD803" i="91"/>
  <c r="AC803" i="91"/>
  <c r="AB803" i="91"/>
  <c r="AA803" i="91"/>
  <c r="Z803" i="91"/>
  <c r="Y803" i="91"/>
  <c r="X803" i="91"/>
  <c r="W803" i="91"/>
  <c r="V803" i="91"/>
  <c r="U803" i="91"/>
  <c r="T803" i="91"/>
  <c r="B803" i="91"/>
  <c r="AG793" i="91"/>
  <c r="AF793" i="91"/>
  <c r="AE793" i="91"/>
  <c r="AD793" i="91"/>
  <c r="AC793" i="91"/>
  <c r="AB793" i="91"/>
  <c r="AA793" i="91"/>
  <c r="Z793" i="91"/>
  <c r="Y793" i="91"/>
  <c r="X793" i="91"/>
  <c r="W793" i="91"/>
  <c r="V793" i="91"/>
  <c r="U793" i="91"/>
  <c r="T793" i="91"/>
  <c r="B793" i="91"/>
  <c r="AG783" i="91"/>
  <c r="AF783" i="91"/>
  <c r="AE783" i="91"/>
  <c r="AD783" i="91"/>
  <c r="AC783" i="91"/>
  <c r="AB783" i="91"/>
  <c r="AA783" i="91"/>
  <c r="Z783" i="91"/>
  <c r="Y783" i="91"/>
  <c r="X783" i="91"/>
  <c r="W783" i="91"/>
  <c r="V783" i="91"/>
  <c r="U783" i="91"/>
  <c r="T783" i="91"/>
  <c r="B783" i="91"/>
  <c r="AG773" i="91"/>
  <c r="AF773" i="91"/>
  <c r="AE773" i="91"/>
  <c r="AD773" i="91"/>
  <c r="AC773" i="91"/>
  <c r="AB773" i="91"/>
  <c r="AA773" i="91"/>
  <c r="Z773" i="91"/>
  <c r="Y773" i="91"/>
  <c r="X773" i="91"/>
  <c r="W773" i="91"/>
  <c r="V773" i="91"/>
  <c r="U773" i="91"/>
  <c r="T773" i="91"/>
  <c r="B773" i="91"/>
  <c r="AG763" i="91"/>
  <c r="AF763" i="91"/>
  <c r="AE763" i="91"/>
  <c r="AD763" i="91"/>
  <c r="AC763" i="91"/>
  <c r="AB763" i="91"/>
  <c r="AA763" i="91"/>
  <c r="Z763" i="91"/>
  <c r="Y763" i="91"/>
  <c r="X763" i="91"/>
  <c r="W763" i="91"/>
  <c r="V763" i="91"/>
  <c r="U763" i="91"/>
  <c r="T763" i="91"/>
  <c r="B763" i="91"/>
  <c r="AG753" i="91"/>
  <c r="AF753" i="91"/>
  <c r="AE753" i="91"/>
  <c r="AD753" i="91"/>
  <c r="AC753" i="91"/>
  <c r="AB753" i="91"/>
  <c r="AA753" i="91"/>
  <c r="Z753" i="91"/>
  <c r="Y753" i="91"/>
  <c r="X753" i="91"/>
  <c r="W753" i="91"/>
  <c r="V753" i="91"/>
  <c r="U753" i="91"/>
  <c r="T753" i="91"/>
  <c r="B753" i="91"/>
  <c r="AG743" i="91"/>
  <c r="AF743" i="91"/>
  <c r="AE743" i="91"/>
  <c r="AD743" i="91"/>
  <c r="AC743" i="91"/>
  <c r="AB743" i="91"/>
  <c r="AA743" i="91"/>
  <c r="Z743" i="91"/>
  <c r="Y743" i="91"/>
  <c r="X743" i="91"/>
  <c r="W743" i="91"/>
  <c r="V743" i="91"/>
  <c r="U743" i="91"/>
  <c r="T743" i="91"/>
  <c r="B743" i="91"/>
  <c r="AG733" i="91"/>
  <c r="AF733" i="91"/>
  <c r="AE733" i="91"/>
  <c r="AD733" i="91"/>
  <c r="AC733" i="91"/>
  <c r="AB733" i="91"/>
  <c r="AA733" i="91"/>
  <c r="Z733" i="91"/>
  <c r="Y733" i="91"/>
  <c r="X733" i="91"/>
  <c r="W733" i="91"/>
  <c r="V733" i="91"/>
  <c r="U733" i="91"/>
  <c r="T733" i="91"/>
  <c r="B733" i="91"/>
  <c r="AG723" i="91"/>
  <c r="AF723" i="91"/>
  <c r="AE723" i="91"/>
  <c r="AD723" i="91"/>
  <c r="AC723" i="91"/>
  <c r="AB723" i="91"/>
  <c r="AA723" i="91"/>
  <c r="Z723" i="91"/>
  <c r="Y723" i="91"/>
  <c r="X723" i="91"/>
  <c r="W723" i="91"/>
  <c r="V723" i="91"/>
  <c r="U723" i="91"/>
  <c r="T723" i="91"/>
  <c r="B723" i="91"/>
  <c r="AG713" i="91"/>
  <c r="AF713" i="91"/>
  <c r="AE713" i="91"/>
  <c r="AD713" i="91"/>
  <c r="AC713" i="91"/>
  <c r="AB713" i="91"/>
  <c r="AA713" i="91"/>
  <c r="Z713" i="91"/>
  <c r="Y713" i="91"/>
  <c r="X713" i="91"/>
  <c r="W713" i="91"/>
  <c r="V713" i="91"/>
  <c r="U713" i="91"/>
  <c r="T713" i="91"/>
  <c r="B713" i="91"/>
  <c r="AG703" i="91"/>
  <c r="AF703" i="91"/>
  <c r="AE703" i="91"/>
  <c r="AD703" i="91"/>
  <c r="AC703" i="91"/>
  <c r="AB703" i="91"/>
  <c r="AA703" i="91"/>
  <c r="Z703" i="91"/>
  <c r="Y703" i="91"/>
  <c r="X703" i="91"/>
  <c r="W703" i="91"/>
  <c r="V703" i="91"/>
  <c r="U703" i="91"/>
  <c r="T703" i="91"/>
  <c r="B703" i="91"/>
  <c r="AG693" i="91"/>
  <c r="AF693" i="91"/>
  <c r="AE693" i="91"/>
  <c r="AD693" i="91"/>
  <c r="AC693" i="91"/>
  <c r="AB693" i="91"/>
  <c r="AA693" i="91"/>
  <c r="Z693" i="91"/>
  <c r="Y693" i="91"/>
  <c r="X693" i="91"/>
  <c r="W693" i="91"/>
  <c r="V693" i="91"/>
  <c r="U693" i="91"/>
  <c r="T693" i="91"/>
  <c r="B693" i="91"/>
  <c r="AG683" i="91"/>
  <c r="AF683" i="91"/>
  <c r="AE683" i="91"/>
  <c r="AD683" i="91"/>
  <c r="AC683" i="91"/>
  <c r="AB683" i="91"/>
  <c r="AA683" i="91"/>
  <c r="Z683" i="91"/>
  <c r="Y683" i="91"/>
  <c r="X683" i="91"/>
  <c r="W683" i="91"/>
  <c r="V683" i="91"/>
  <c r="U683" i="91"/>
  <c r="T683" i="91"/>
  <c r="B683" i="91"/>
  <c r="AG673" i="91"/>
  <c r="AF673" i="91"/>
  <c r="AE673" i="91"/>
  <c r="AD673" i="91"/>
  <c r="AC673" i="91"/>
  <c r="AB673" i="91"/>
  <c r="AA673" i="91"/>
  <c r="Z673" i="91"/>
  <c r="Y673" i="91"/>
  <c r="X673" i="91"/>
  <c r="W673" i="91"/>
  <c r="V673" i="91"/>
  <c r="U673" i="91"/>
  <c r="T673" i="91"/>
  <c r="B673" i="91"/>
  <c r="AG663" i="91"/>
  <c r="AF663" i="91"/>
  <c r="AE663" i="91"/>
  <c r="AD663" i="91"/>
  <c r="AC663" i="91"/>
  <c r="AB663" i="91"/>
  <c r="AA663" i="91"/>
  <c r="Z663" i="91"/>
  <c r="Y663" i="91"/>
  <c r="X663" i="91"/>
  <c r="W663" i="91"/>
  <c r="V663" i="91"/>
  <c r="U663" i="91"/>
  <c r="T663" i="91"/>
  <c r="B663" i="91"/>
  <c r="AG653" i="91"/>
  <c r="AF653" i="91"/>
  <c r="AE653" i="91"/>
  <c r="AD653" i="91"/>
  <c r="AC653" i="91"/>
  <c r="AB653" i="91"/>
  <c r="AA653" i="91"/>
  <c r="Z653" i="91"/>
  <c r="Y653" i="91"/>
  <c r="X653" i="91"/>
  <c r="W653" i="91"/>
  <c r="V653" i="91"/>
  <c r="U653" i="91"/>
  <c r="T653" i="91"/>
  <c r="B653" i="91"/>
  <c r="AG643" i="91"/>
  <c r="AF643" i="91"/>
  <c r="AE643" i="91"/>
  <c r="AD643" i="91"/>
  <c r="AC643" i="91"/>
  <c r="AB643" i="91"/>
  <c r="AA643" i="91"/>
  <c r="Z643" i="91"/>
  <c r="Y643" i="91"/>
  <c r="X643" i="91"/>
  <c r="W643" i="91"/>
  <c r="V643" i="91"/>
  <c r="U643" i="91"/>
  <c r="T643" i="91"/>
  <c r="B643" i="91"/>
  <c r="AG633" i="91"/>
  <c r="AF633" i="91"/>
  <c r="AE633" i="91"/>
  <c r="AD633" i="91"/>
  <c r="AC633" i="91"/>
  <c r="AB633" i="91"/>
  <c r="AA633" i="91"/>
  <c r="Z633" i="91"/>
  <c r="Y633" i="91"/>
  <c r="X633" i="91"/>
  <c r="W633" i="91"/>
  <c r="V633" i="91"/>
  <c r="U633" i="91"/>
  <c r="T633" i="91"/>
  <c r="B633" i="91"/>
  <c r="AG623" i="91"/>
  <c r="AF623" i="91"/>
  <c r="AE623" i="91"/>
  <c r="AD623" i="91"/>
  <c r="AC623" i="91"/>
  <c r="AB623" i="91"/>
  <c r="AA623" i="91"/>
  <c r="Z623" i="91"/>
  <c r="Y623" i="91"/>
  <c r="X623" i="91"/>
  <c r="W623" i="91"/>
  <c r="V623" i="91"/>
  <c r="U623" i="91"/>
  <c r="T623" i="91"/>
  <c r="B623" i="91"/>
  <c r="AG613" i="91"/>
  <c r="AF613" i="91"/>
  <c r="AE613" i="91"/>
  <c r="AD613" i="91"/>
  <c r="AC613" i="91"/>
  <c r="AB613" i="91"/>
  <c r="AA613" i="91"/>
  <c r="Z613" i="91"/>
  <c r="Y613" i="91"/>
  <c r="X613" i="91"/>
  <c r="W613" i="91"/>
  <c r="V613" i="91"/>
  <c r="U613" i="91"/>
  <c r="T613" i="91"/>
  <c r="B613" i="91"/>
  <c r="AG603" i="91"/>
  <c r="AF603" i="91"/>
  <c r="AE603" i="91"/>
  <c r="AD603" i="91"/>
  <c r="AC603" i="91"/>
  <c r="AB603" i="91"/>
  <c r="AA603" i="91"/>
  <c r="Z603" i="91"/>
  <c r="Y603" i="91"/>
  <c r="X603" i="91"/>
  <c r="W603" i="91"/>
  <c r="V603" i="91"/>
  <c r="U603" i="91"/>
  <c r="T603" i="91"/>
  <c r="B603" i="91"/>
  <c r="AG593" i="91"/>
  <c r="AF593" i="91"/>
  <c r="AE593" i="91"/>
  <c r="AD593" i="91"/>
  <c r="AC593" i="91"/>
  <c r="AB593" i="91"/>
  <c r="AA593" i="91"/>
  <c r="Z593" i="91"/>
  <c r="Y593" i="91"/>
  <c r="X593" i="91"/>
  <c r="W593" i="91"/>
  <c r="V593" i="91"/>
  <c r="U593" i="91"/>
  <c r="T593" i="91"/>
  <c r="B593" i="91"/>
  <c r="AG583" i="91"/>
  <c r="AF583" i="91"/>
  <c r="AE583" i="91"/>
  <c r="AD583" i="91"/>
  <c r="AC583" i="91"/>
  <c r="AB583" i="91"/>
  <c r="AA583" i="91"/>
  <c r="Z583" i="91"/>
  <c r="Y583" i="91"/>
  <c r="X583" i="91"/>
  <c r="W583" i="91"/>
  <c r="V583" i="91"/>
  <c r="U583" i="91"/>
  <c r="T583" i="91"/>
  <c r="B583" i="91"/>
  <c r="AG573" i="91"/>
  <c r="AF573" i="91"/>
  <c r="AE573" i="91"/>
  <c r="AD573" i="91"/>
  <c r="AC573" i="91"/>
  <c r="AB573" i="91"/>
  <c r="AA573" i="91"/>
  <c r="Z573" i="91"/>
  <c r="Y573" i="91"/>
  <c r="X573" i="91"/>
  <c r="W573" i="91"/>
  <c r="V573" i="91"/>
  <c r="U573" i="91"/>
  <c r="T573" i="91"/>
  <c r="B573" i="91"/>
  <c r="AG563" i="91"/>
  <c r="AF563" i="91"/>
  <c r="AE563" i="91"/>
  <c r="AD563" i="91"/>
  <c r="AC563" i="91"/>
  <c r="AB563" i="91"/>
  <c r="AA563" i="91"/>
  <c r="Z563" i="91"/>
  <c r="Y563" i="91"/>
  <c r="X563" i="91"/>
  <c r="W563" i="91"/>
  <c r="V563" i="91"/>
  <c r="U563" i="91"/>
  <c r="T563" i="91"/>
  <c r="B563" i="91"/>
  <c r="AG553" i="91"/>
  <c r="AF553" i="91"/>
  <c r="AE553" i="91"/>
  <c r="AD553" i="91"/>
  <c r="AC553" i="91"/>
  <c r="AB553" i="91"/>
  <c r="AA553" i="91"/>
  <c r="Z553" i="91"/>
  <c r="Y553" i="91"/>
  <c r="X553" i="91"/>
  <c r="W553" i="91"/>
  <c r="V553" i="91"/>
  <c r="U553" i="91"/>
  <c r="T553" i="91"/>
  <c r="B553" i="91"/>
  <c r="AG543" i="91"/>
  <c r="AF543" i="91"/>
  <c r="AE543" i="91"/>
  <c r="AD543" i="91"/>
  <c r="AC543" i="91"/>
  <c r="AB543" i="91"/>
  <c r="AA543" i="91"/>
  <c r="Z543" i="91"/>
  <c r="Y543" i="91"/>
  <c r="X543" i="91"/>
  <c r="W543" i="91"/>
  <c r="V543" i="91"/>
  <c r="U543" i="91"/>
  <c r="T543" i="91"/>
  <c r="B543" i="91"/>
  <c r="AG533" i="91"/>
  <c r="AF533" i="91"/>
  <c r="AE533" i="91"/>
  <c r="AD533" i="91"/>
  <c r="AC533" i="91"/>
  <c r="AB533" i="91"/>
  <c r="AA533" i="91"/>
  <c r="Z533" i="91"/>
  <c r="Y533" i="91"/>
  <c r="X533" i="91"/>
  <c r="W533" i="91"/>
  <c r="V533" i="91"/>
  <c r="U533" i="91"/>
  <c r="T533" i="91"/>
  <c r="B533" i="91"/>
  <c r="AG523" i="91"/>
  <c r="AF523" i="91"/>
  <c r="AE523" i="91"/>
  <c r="AD523" i="91"/>
  <c r="AC523" i="91"/>
  <c r="AB523" i="91"/>
  <c r="AA523" i="91"/>
  <c r="Z523" i="91"/>
  <c r="Y523" i="91"/>
  <c r="X523" i="91"/>
  <c r="W523" i="91"/>
  <c r="V523" i="91"/>
  <c r="U523" i="91"/>
  <c r="T523" i="91"/>
  <c r="B523" i="91"/>
  <c r="AG513" i="91"/>
  <c r="AF513" i="91"/>
  <c r="AE513" i="91"/>
  <c r="AD513" i="91"/>
  <c r="AC513" i="91"/>
  <c r="AB513" i="91"/>
  <c r="AA513" i="91"/>
  <c r="Z513" i="91"/>
  <c r="Y513" i="91"/>
  <c r="X513" i="91"/>
  <c r="W513" i="91"/>
  <c r="V513" i="91"/>
  <c r="U513" i="91"/>
  <c r="T513" i="91"/>
  <c r="B513" i="91"/>
  <c r="AG503" i="91"/>
  <c r="AF503" i="91"/>
  <c r="AE503" i="91"/>
  <c r="AD503" i="91"/>
  <c r="AC503" i="91"/>
  <c r="AB503" i="91"/>
  <c r="AA503" i="91"/>
  <c r="Z503" i="91"/>
  <c r="Y503" i="91"/>
  <c r="X503" i="91"/>
  <c r="W503" i="91"/>
  <c r="V503" i="91"/>
  <c r="U503" i="91"/>
  <c r="T503" i="91"/>
  <c r="B503" i="91"/>
  <c r="AG493" i="91"/>
  <c r="AF493" i="91"/>
  <c r="AE493" i="91"/>
  <c r="AD493" i="91"/>
  <c r="AC493" i="91"/>
  <c r="AB493" i="91"/>
  <c r="AA493" i="91"/>
  <c r="Z493" i="91"/>
  <c r="Y493" i="91"/>
  <c r="X493" i="91"/>
  <c r="W493" i="91"/>
  <c r="V493" i="91"/>
  <c r="U493" i="91"/>
  <c r="T493" i="91"/>
  <c r="B493" i="91"/>
  <c r="AG483" i="91"/>
  <c r="AF483" i="91"/>
  <c r="AE483" i="91"/>
  <c r="AD483" i="91"/>
  <c r="AC483" i="91"/>
  <c r="AB483" i="91"/>
  <c r="AA483" i="91"/>
  <c r="Z483" i="91"/>
  <c r="Y483" i="91"/>
  <c r="X483" i="91"/>
  <c r="W483" i="91"/>
  <c r="V483" i="91"/>
  <c r="U483" i="91"/>
  <c r="T483" i="91"/>
  <c r="B483" i="91"/>
  <c r="AG473" i="91"/>
  <c r="AF473" i="91"/>
  <c r="AE473" i="91"/>
  <c r="AD473" i="91"/>
  <c r="AC473" i="91"/>
  <c r="AB473" i="91"/>
  <c r="AA473" i="91"/>
  <c r="Z473" i="91"/>
  <c r="Y473" i="91"/>
  <c r="X473" i="91"/>
  <c r="W473" i="91"/>
  <c r="V473" i="91"/>
  <c r="U473" i="91"/>
  <c r="T473" i="91"/>
  <c r="B473" i="91"/>
  <c r="AG463" i="91"/>
  <c r="AF463" i="91"/>
  <c r="AE463" i="91"/>
  <c r="AD463" i="91"/>
  <c r="AC463" i="91"/>
  <c r="AB463" i="91"/>
  <c r="AA463" i="91"/>
  <c r="Z463" i="91"/>
  <c r="Y463" i="91"/>
  <c r="X463" i="91"/>
  <c r="W463" i="91"/>
  <c r="V463" i="91"/>
  <c r="U463" i="91"/>
  <c r="T463" i="91"/>
  <c r="B463" i="91"/>
  <c r="AG453" i="91"/>
  <c r="AF453" i="91"/>
  <c r="AE453" i="91"/>
  <c r="AD453" i="91"/>
  <c r="AC453" i="91"/>
  <c r="AB453" i="91"/>
  <c r="AA453" i="91"/>
  <c r="Z453" i="91"/>
  <c r="Y453" i="91"/>
  <c r="X453" i="91"/>
  <c r="W453" i="91"/>
  <c r="V453" i="91"/>
  <c r="U453" i="91"/>
  <c r="T453" i="91"/>
  <c r="B453" i="91"/>
  <c r="AG443" i="91"/>
  <c r="AF443" i="91"/>
  <c r="AE443" i="91"/>
  <c r="AD443" i="91"/>
  <c r="AC443" i="91"/>
  <c r="AB443" i="91"/>
  <c r="AA443" i="91"/>
  <c r="Z443" i="91"/>
  <c r="Y443" i="91"/>
  <c r="X443" i="91"/>
  <c r="W443" i="91"/>
  <c r="V443" i="91"/>
  <c r="U443" i="91"/>
  <c r="T443" i="91"/>
  <c r="B443" i="91"/>
  <c r="AG433" i="91"/>
  <c r="AF433" i="91"/>
  <c r="AE433" i="91"/>
  <c r="AD433" i="91"/>
  <c r="AC433" i="91"/>
  <c r="AB433" i="91"/>
  <c r="AA433" i="91"/>
  <c r="Z433" i="91"/>
  <c r="Y433" i="91"/>
  <c r="X433" i="91"/>
  <c r="W433" i="91"/>
  <c r="V433" i="91"/>
  <c r="U433" i="91"/>
  <c r="T433" i="91"/>
  <c r="B433" i="91"/>
  <c r="T1" i="91"/>
  <c r="AG423" i="91"/>
  <c r="AF423" i="91"/>
  <c r="AE423" i="91"/>
  <c r="AD423" i="91"/>
  <c r="AC423" i="91"/>
  <c r="AB423" i="91"/>
  <c r="AA423" i="91"/>
  <c r="Z423" i="91"/>
  <c r="Y423" i="91"/>
  <c r="X423" i="91"/>
  <c r="W423" i="91"/>
  <c r="V423" i="91"/>
  <c r="U423" i="91"/>
  <c r="T423" i="91"/>
  <c r="B423" i="91"/>
  <c r="AG413" i="91"/>
  <c r="AF413" i="91"/>
  <c r="AE413" i="91"/>
  <c r="AD413" i="91"/>
  <c r="AC413" i="91"/>
  <c r="AB413" i="91"/>
  <c r="AA413" i="91"/>
  <c r="Z413" i="91"/>
  <c r="Y413" i="91"/>
  <c r="X413" i="91"/>
  <c r="W413" i="91"/>
  <c r="V413" i="91"/>
  <c r="U413" i="91"/>
  <c r="T413" i="91"/>
  <c r="B413" i="91"/>
  <c r="AG403" i="91"/>
  <c r="AF403" i="91"/>
  <c r="AE403" i="91"/>
  <c r="AD403" i="91"/>
  <c r="AC403" i="91"/>
  <c r="AB403" i="91"/>
  <c r="AA403" i="91"/>
  <c r="Z403" i="91"/>
  <c r="Y403" i="91"/>
  <c r="X403" i="91"/>
  <c r="W403" i="91"/>
  <c r="V403" i="91"/>
  <c r="U403" i="91"/>
  <c r="T403" i="91"/>
  <c r="B403" i="91"/>
  <c r="AG393" i="91"/>
  <c r="AF393" i="91"/>
  <c r="AE393" i="91"/>
  <c r="AD393" i="91"/>
  <c r="AC393" i="91"/>
  <c r="AB393" i="91"/>
  <c r="AA393" i="91"/>
  <c r="Z393" i="91"/>
  <c r="Y393" i="91"/>
  <c r="X393" i="91"/>
  <c r="W393" i="91"/>
  <c r="V393" i="91"/>
  <c r="U393" i="91"/>
  <c r="T393" i="91"/>
  <c r="B393" i="91"/>
  <c r="AG383" i="91"/>
  <c r="AF383" i="91"/>
  <c r="AE383" i="91"/>
  <c r="AD383" i="91"/>
  <c r="AC383" i="91"/>
  <c r="AB383" i="91"/>
  <c r="AA383" i="91"/>
  <c r="Z383" i="91"/>
  <c r="Y383" i="91"/>
  <c r="X383" i="91"/>
  <c r="W383" i="91"/>
  <c r="V383" i="91"/>
  <c r="U383" i="91"/>
  <c r="T383" i="91"/>
  <c r="B383" i="91"/>
  <c r="AG373" i="91"/>
  <c r="AF373" i="91"/>
  <c r="AE373" i="91"/>
  <c r="AD373" i="91"/>
  <c r="AC373" i="91"/>
  <c r="AB373" i="91"/>
  <c r="AA373" i="91"/>
  <c r="Z373" i="91"/>
  <c r="Y373" i="91"/>
  <c r="X373" i="91"/>
  <c r="W373" i="91"/>
  <c r="V373" i="91"/>
  <c r="U373" i="91"/>
  <c r="T373" i="91"/>
  <c r="B373" i="91"/>
  <c r="AG363" i="91"/>
  <c r="AF363" i="91"/>
  <c r="AE363" i="91"/>
  <c r="AD363" i="91"/>
  <c r="AC363" i="91"/>
  <c r="AB363" i="91"/>
  <c r="AA363" i="91"/>
  <c r="Z363" i="91"/>
  <c r="Y363" i="91"/>
  <c r="X363" i="91"/>
  <c r="W363" i="91"/>
  <c r="V363" i="91"/>
  <c r="U363" i="91"/>
  <c r="T363" i="91"/>
  <c r="B363" i="91"/>
  <c r="AG353" i="91"/>
  <c r="AF353" i="91"/>
  <c r="AE353" i="91"/>
  <c r="AD353" i="91"/>
  <c r="AC353" i="91"/>
  <c r="AB353" i="91"/>
  <c r="AA353" i="91"/>
  <c r="Z353" i="91"/>
  <c r="Y353" i="91"/>
  <c r="X353" i="91"/>
  <c r="W353" i="91"/>
  <c r="V353" i="91"/>
  <c r="U353" i="91"/>
  <c r="T353" i="91"/>
  <c r="B353" i="91"/>
  <c r="AG343" i="91"/>
  <c r="AF343" i="91"/>
  <c r="AE343" i="91"/>
  <c r="AD343" i="91"/>
  <c r="AC343" i="91"/>
  <c r="AB343" i="91"/>
  <c r="AA343" i="91"/>
  <c r="Z343" i="91"/>
  <c r="Y343" i="91"/>
  <c r="X343" i="91"/>
  <c r="W343" i="91"/>
  <c r="V343" i="91"/>
  <c r="U343" i="91"/>
  <c r="T343" i="91"/>
  <c r="B343" i="91"/>
  <c r="AG333" i="91"/>
  <c r="AF333" i="91"/>
  <c r="AE333" i="91"/>
  <c r="AD333" i="91"/>
  <c r="AC333" i="91"/>
  <c r="AB333" i="91"/>
  <c r="AA333" i="91"/>
  <c r="Z333" i="91"/>
  <c r="Y333" i="91"/>
  <c r="X333" i="91"/>
  <c r="W333" i="91"/>
  <c r="V333" i="91"/>
  <c r="U333" i="91"/>
  <c r="T333" i="91"/>
  <c r="B333" i="91"/>
  <c r="AG323" i="91"/>
  <c r="AF323" i="91"/>
  <c r="AE323" i="91"/>
  <c r="AD323" i="91"/>
  <c r="AC323" i="91"/>
  <c r="AB323" i="91"/>
  <c r="AA323" i="91"/>
  <c r="Z323" i="91"/>
  <c r="Y323" i="91"/>
  <c r="X323" i="91"/>
  <c r="W323" i="91"/>
  <c r="V323" i="91"/>
  <c r="U323" i="91"/>
  <c r="T323" i="91"/>
  <c r="B323" i="91"/>
  <c r="AG313" i="91"/>
  <c r="AF313" i="91"/>
  <c r="AE313" i="91"/>
  <c r="AD313" i="91"/>
  <c r="AC313" i="91"/>
  <c r="AB313" i="91"/>
  <c r="AA313" i="91"/>
  <c r="Z313" i="91"/>
  <c r="Y313" i="91"/>
  <c r="X313" i="91"/>
  <c r="W313" i="91"/>
  <c r="V313" i="91"/>
  <c r="U313" i="91"/>
  <c r="T313" i="91"/>
  <c r="B313" i="91"/>
  <c r="AG303" i="91"/>
  <c r="AF303" i="91"/>
  <c r="AE303" i="91"/>
  <c r="AD303" i="91"/>
  <c r="AC303" i="91"/>
  <c r="AB303" i="91"/>
  <c r="AA303" i="91"/>
  <c r="Z303" i="91"/>
  <c r="Y303" i="91"/>
  <c r="X303" i="91"/>
  <c r="W303" i="91"/>
  <c r="V303" i="91"/>
  <c r="U303" i="91"/>
  <c r="T303" i="91"/>
  <c r="B303" i="91"/>
  <c r="AG293" i="91"/>
  <c r="AF293" i="91"/>
  <c r="AE293" i="91"/>
  <c r="AD293" i="91"/>
  <c r="AC293" i="91"/>
  <c r="AB293" i="91"/>
  <c r="AA293" i="91"/>
  <c r="Z293" i="91"/>
  <c r="Y293" i="91"/>
  <c r="X293" i="91"/>
  <c r="W293" i="91"/>
  <c r="V293" i="91"/>
  <c r="U293" i="91"/>
  <c r="T293" i="91"/>
  <c r="B293" i="91"/>
  <c r="P1" i="91"/>
  <c r="AG283" i="91"/>
  <c r="AF283" i="91"/>
  <c r="AE283" i="91"/>
  <c r="AD283" i="91"/>
  <c r="AC283" i="91"/>
  <c r="AB283" i="91"/>
  <c r="AA283" i="91"/>
  <c r="Z283" i="91"/>
  <c r="Y283" i="91"/>
  <c r="X283" i="91"/>
  <c r="W283" i="91"/>
  <c r="V283" i="91"/>
  <c r="U283" i="91"/>
  <c r="T283" i="91"/>
  <c r="B283" i="91"/>
  <c r="AG273" i="91"/>
  <c r="AF273" i="91"/>
  <c r="AE273" i="91"/>
  <c r="AD273" i="91"/>
  <c r="AC273" i="91"/>
  <c r="AB273" i="91"/>
  <c r="AA273" i="91"/>
  <c r="Z273" i="91"/>
  <c r="Y273" i="91"/>
  <c r="X273" i="91"/>
  <c r="W273" i="91"/>
  <c r="V273" i="91"/>
  <c r="U273" i="91"/>
  <c r="T273" i="91"/>
  <c r="B273" i="91"/>
  <c r="AG263" i="91"/>
  <c r="AF263" i="91"/>
  <c r="AE263" i="91"/>
  <c r="AD263" i="91"/>
  <c r="AC263" i="91"/>
  <c r="AB263" i="91"/>
  <c r="AA263" i="91"/>
  <c r="Z263" i="91"/>
  <c r="Y263" i="91"/>
  <c r="X263" i="91"/>
  <c r="W263" i="91"/>
  <c r="V263" i="91"/>
  <c r="U263" i="91"/>
  <c r="T263" i="91"/>
  <c r="B263" i="91"/>
  <c r="AG253" i="91"/>
  <c r="AF253" i="91"/>
  <c r="AE253" i="91"/>
  <c r="AD253" i="91"/>
  <c r="AC253" i="91"/>
  <c r="AB253" i="91"/>
  <c r="AA253" i="91"/>
  <c r="Z253" i="91"/>
  <c r="Y253" i="91"/>
  <c r="X253" i="91"/>
  <c r="W253" i="91"/>
  <c r="V253" i="91"/>
  <c r="U253" i="91"/>
  <c r="T253" i="91"/>
  <c r="B253" i="91"/>
  <c r="AG243" i="91"/>
  <c r="AF243" i="91"/>
  <c r="AE243" i="91"/>
  <c r="AD243" i="91"/>
  <c r="AC243" i="91"/>
  <c r="AB243" i="91"/>
  <c r="AA243" i="91"/>
  <c r="Z243" i="91"/>
  <c r="Y243" i="91"/>
  <c r="X243" i="91"/>
  <c r="W243" i="91"/>
  <c r="V243" i="91"/>
  <c r="U243" i="91"/>
  <c r="T243" i="91"/>
  <c r="B243" i="91"/>
  <c r="AG233" i="91"/>
  <c r="AF233" i="91"/>
  <c r="AE233" i="91"/>
  <c r="AD233" i="91"/>
  <c r="AC233" i="91"/>
  <c r="AB233" i="91"/>
  <c r="AA233" i="91"/>
  <c r="Z233" i="91"/>
  <c r="Y233" i="91"/>
  <c r="X233" i="91"/>
  <c r="W233" i="91"/>
  <c r="V233" i="91"/>
  <c r="U233" i="91"/>
  <c r="T233" i="91"/>
  <c r="B233" i="91"/>
  <c r="AG223" i="91"/>
  <c r="AF223" i="91"/>
  <c r="AE223" i="91"/>
  <c r="AD223" i="91"/>
  <c r="AC223" i="91"/>
  <c r="AB223" i="91"/>
  <c r="AA223" i="91"/>
  <c r="Z223" i="91"/>
  <c r="Y223" i="91"/>
  <c r="X223" i="91"/>
  <c r="W223" i="91"/>
  <c r="V223" i="91"/>
  <c r="U223" i="91"/>
  <c r="T223" i="91"/>
  <c r="B223" i="91"/>
  <c r="AG213" i="91"/>
  <c r="AF213" i="91"/>
  <c r="AE213" i="91"/>
  <c r="AD213" i="91"/>
  <c r="AC213" i="91"/>
  <c r="AB213" i="91"/>
  <c r="AA213" i="91"/>
  <c r="Z213" i="91"/>
  <c r="Y213" i="91"/>
  <c r="X213" i="91"/>
  <c r="W213" i="91"/>
  <c r="V213" i="91"/>
  <c r="U213" i="91"/>
  <c r="T213" i="91"/>
  <c r="B213" i="91"/>
  <c r="AG203" i="91"/>
  <c r="AF203" i="91"/>
  <c r="AE203" i="91"/>
  <c r="AD203" i="91"/>
  <c r="AC203" i="91"/>
  <c r="AB203" i="91"/>
  <c r="AA203" i="91"/>
  <c r="Z203" i="91"/>
  <c r="Y203" i="91"/>
  <c r="X203" i="91"/>
  <c r="W203" i="91"/>
  <c r="V203" i="91"/>
  <c r="U203" i="91"/>
  <c r="T203" i="91"/>
  <c r="B203" i="91"/>
  <c r="AG193" i="91"/>
  <c r="AF193" i="91"/>
  <c r="AE193" i="91"/>
  <c r="AD193" i="91"/>
  <c r="AC193" i="91"/>
  <c r="AB193" i="91"/>
  <c r="AA193" i="91"/>
  <c r="Z193" i="91"/>
  <c r="Y193" i="91"/>
  <c r="X193" i="91"/>
  <c r="W193" i="91"/>
  <c r="V193" i="91"/>
  <c r="U193" i="91"/>
  <c r="T193" i="91"/>
  <c r="B193" i="91"/>
  <c r="AG183" i="91"/>
  <c r="AF183" i="91"/>
  <c r="AE183" i="91"/>
  <c r="AD183" i="91"/>
  <c r="AC183" i="91"/>
  <c r="AB183" i="91"/>
  <c r="AA183" i="91"/>
  <c r="Z183" i="91"/>
  <c r="Y183" i="91"/>
  <c r="X183" i="91"/>
  <c r="W183" i="91"/>
  <c r="V183" i="91"/>
  <c r="U183" i="91"/>
  <c r="T183" i="91"/>
  <c r="B183" i="91"/>
  <c r="AG173" i="91"/>
  <c r="AF173" i="91"/>
  <c r="AE173" i="91"/>
  <c r="AD173" i="91"/>
  <c r="AC173" i="91"/>
  <c r="AB173" i="91"/>
  <c r="AA173" i="91"/>
  <c r="Z173" i="91"/>
  <c r="Y173" i="91"/>
  <c r="X173" i="91"/>
  <c r="W173" i="91"/>
  <c r="V173" i="91"/>
  <c r="U173" i="91"/>
  <c r="T173" i="91"/>
  <c r="B173" i="91"/>
  <c r="AG163" i="91"/>
  <c r="AF163" i="91"/>
  <c r="AE163" i="91"/>
  <c r="AD163" i="91"/>
  <c r="AC163" i="91"/>
  <c r="AB163" i="91"/>
  <c r="AA163" i="91"/>
  <c r="Z163" i="91"/>
  <c r="Y163" i="91"/>
  <c r="X163" i="91"/>
  <c r="W163" i="91"/>
  <c r="V163" i="91"/>
  <c r="U163" i="91"/>
  <c r="T163" i="91"/>
  <c r="B163" i="91"/>
  <c r="AG153" i="91"/>
  <c r="AF153" i="91"/>
  <c r="AE153" i="91"/>
  <c r="AD153" i="91"/>
  <c r="AC153" i="91"/>
  <c r="AB153" i="91"/>
  <c r="AA153" i="91"/>
  <c r="Z153" i="91"/>
  <c r="Y153" i="91"/>
  <c r="X153" i="91"/>
  <c r="W153" i="91"/>
  <c r="V153" i="91"/>
  <c r="U153" i="91"/>
  <c r="T153" i="91"/>
  <c r="B153" i="91"/>
  <c r="M1" i="91"/>
  <c r="AG143" i="91"/>
  <c r="AF143" i="91"/>
  <c r="AE143" i="91"/>
  <c r="AD143" i="91"/>
  <c r="AC143" i="91"/>
  <c r="AB143" i="91"/>
  <c r="AA143" i="91"/>
  <c r="Z143" i="91"/>
  <c r="Y143" i="91"/>
  <c r="X143" i="91"/>
  <c r="W143" i="91"/>
  <c r="V143" i="91"/>
  <c r="U143" i="91"/>
  <c r="T143" i="91"/>
  <c r="AG133" i="91"/>
  <c r="AF133" i="91"/>
  <c r="AE133" i="91"/>
  <c r="AD133" i="91"/>
  <c r="AC133" i="91"/>
  <c r="AB133" i="91"/>
  <c r="AA133" i="91"/>
  <c r="Z133" i="91"/>
  <c r="Y133" i="91"/>
  <c r="X133" i="91"/>
  <c r="W133" i="91"/>
  <c r="V133" i="91"/>
  <c r="U133" i="91"/>
  <c r="T133" i="91"/>
  <c r="AG123" i="91"/>
  <c r="AF123" i="91"/>
  <c r="AE123" i="91"/>
  <c r="AD123" i="91"/>
  <c r="AC123" i="91"/>
  <c r="AB123" i="91"/>
  <c r="AA123" i="91"/>
  <c r="Z123" i="91"/>
  <c r="Y123" i="91"/>
  <c r="X123" i="91"/>
  <c r="W123" i="91"/>
  <c r="V123" i="91"/>
  <c r="U123" i="91"/>
  <c r="T123" i="91"/>
  <c r="AG113" i="91"/>
  <c r="AF113" i="91"/>
  <c r="AE113" i="91"/>
  <c r="AD113" i="91"/>
  <c r="AC113" i="91"/>
  <c r="AB113" i="91"/>
  <c r="AA113" i="91"/>
  <c r="Z113" i="91"/>
  <c r="Y113" i="91"/>
  <c r="X113" i="91"/>
  <c r="W113" i="91"/>
  <c r="V113" i="91"/>
  <c r="U113" i="91"/>
  <c r="T113" i="91"/>
  <c r="AG103" i="91"/>
  <c r="AF103" i="91"/>
  <c r="AE103" i="91"/>
  <c r="AD103" i="91"/>
  <c r="AC103" i="91"/>
  <c r="AB103" i="91"/>
  <c r="AA103" i="91"/>
  <c r="Z103" i="91"/>
  <c r="Y103" i="91"/>
  <c r="X103" i="91"/>
  <c r="W103" i="91"/>
  <c r="V103" i="91"/>
  <c r="U103" i="91"/>
  <c r="T103" i="91"/>
  <c r="AG93" i="91"/>
  <c r="AF93" i="91"/>
  <c r="AE93" i="91"/>
  <c r="AD93" i="91"/>
  <c r="AC93" i="91"/>
  <c r="AB93" i="91"/>
  <c r="AA93" i="91"/>
  <c r="Z93" i="91"/>
  <c r="Y93" i="91"/>
  <c r="X93" i="91"/>
  <c r="W93" i="91"/>
  <c r="V93" i="91"/>
  <c r="U93" i="91"/>
  <c r="T93" i="91"/>
  <c r="AG83" i="91"/>
  <c r="AF83" i="91"/>
  <c r="AE83" i="91"/>
  <c r="AD83" i="91"/>
  <c r="AC83" i="91"/>
  <c r="AB83" i="91"/>
  <c r="AA83" i="91"/>
  <c r="Z83" i="91"/>
  <c r="Y83" i="91"/>
  <c r="X83" i="91"/>
  <c r="W83" i="91"/>
  <c r="V83" i="91"/>
  <c r="U83" i="91"/>
  <c r="T83" i="91"/>
  <c r="AG73" i="91"/>
  <c r="AF73" i="91"/>
  <c r="AE73" i="91"/>
  <c r="AD73" i="91"/>
  <c r="AC73" i="91"/>
  <c r="AB73" i="91"/>
  <c r="AA73" i="91"/>
  <c r="Z73" i="91"/>
  <c r="Y73" i="91"/>
  <c r="X73" i="91"/>
  <c r="W73" i="91"/>
  <c r="V73" i="91"/>
  <c r="U73" i="91"/>
  <c r="T73" i="91"/>
  <c r="AG63" i="91"/>
  <c r="AF63" i="91"/>
  <c r="AE63" i="91"/>
  <c r="AD63" i="91"/>
  <c r="AC63" i="91"/>
  <c r="AB63" i="91"/>
  <c r="AA63" i="91"/>
  <c r="Z63" i="91"/>
  <c r="Y63" i="91"/>
  <c r="X63" i="91"/>
  <c r="W63" i="91"/>
  <c r="V63" i="91"/>
  <c r="U63" i="91"/>
  <c r="T63" i="91"/>
  <c r="AG53" i="91"/>
  <c r="AF53" i="91"/>
  <c r="AE53" i="91"/>
  <c r="AD53" i="91"/>
  <c r="AC53" i="91"/>
  <c r="AB53" i="91"/>
  <c r="AA53" i="91"/>
  <c r="Z53" i="91"/>
  <c r="Y53" i="91"/>
  <c r="X53" i="91"/>
  <c r="W53" i="91"/>
  <c r="V53" i="91"/>
  <c r="U53" i="91"/>
  <c r="T53" i="91"/>
  <c r="AG43" i="91"/>
  <c r="AF43" i="91"/>
  <c r="AE43" i="91"/>
  <c r="AD43" i="91"/>
  <c r="AC43" i="91"/>
  <c r="AB43" i="91"/>
  <c r="AA43" i="91"/>
  <c r="Z43" i="91"/>
  <c r="Y43" i="91"/>
  <c r="X43" i="91"/>
  <c r="W43" i="91"/>
  <c r="V43" i="91"/>
  <c r="U43" i="91"/>
  <c r="T43" i="91"/>
  <c r="AG33" i="91"/>
  <c r="AF33" i="91"/>
  <c r="AE33" i="91"/>
  <c r="AD33" i="91"/>
  <c r="AC33" i="91"/>
  <c r="AB33" i="91"/>
  <c r="AA33" i="91"/>
  <c r="Z33" i="91"/>
  <c r="Y33" i="91"/>
  <c r="X33" i="91"/>
  <c r="W33" i="91"/>
  <c r="V33" i="91"/>
  <c r="U33" i="91"/>
  <c r="T33" i="91"/>
  <c r="AG23" i="91"/>
  <c r="AF23" i="91"/>
  <c r="AE23" i="91"/>
  <c r="AD23" i="91"/>
  <c r="AC23" i="91"/>
  <c r="AB23" i="91"/>
  <c r="AA23" i="91"/>
  <c r="Z23" i="91"/>
  <c r="Y23" i="91"/>
  <c r="X23" i="91"/>
  <c r="W23" i="91"/>
  <c r="V23" i="91"/>
  <c r="U23" i="91"/>
  <c r="T23" i="91"/>
  <c r="AG13" i="91"/>
  <c r="AF13" i="91"/>
  <c r="AE13" i="91"/>
  <c r="AD13" i="91"/>
  <c r="AC13" i="91"/>
  <c r="AB13" i="91"/>
  <c r="AA13" i="91"/>
  <c r="Z13" i="91"/>
  <c r="Y13" i="91"/>
  <c r="X13" i="91"/>
  <c r="W13" i="91"/>
  <c r="V13" i="91"/>
  <c r="U13" i="91"/>
  <c r="T13" i="91"/>
  <c r="N26" i="91"/>
  <c r="AC1" i="91"/>
  <c r="Y1" i="91"/>
  <c r="N605" i="91"/>
  <c r="N66" i="91"/>
  <c r="N606" i="91"/>
  <c r="N55" i="91"/>
  <c r="N45" i="91"/>
  <c r="N95" i="91"/>
  <c r="N871" i="91"/>
  <c r="N859" i="91"/>
  <c r="N815" i="91"/>
  <c r="B816" i="91"/>
  <c r="N756" i="91"/>
  <c r="N735" i="91"/>
  <c r="N655" i="91"/>
  <c r="B656" i="91"/>
  <c r="N596" i="91"/>
  <c r="N495" i="91"/>
  <c r="N415" i="91"/>
  <c r="N356" i="91"/>
  <c r="N335" i="91"/>
  <c r="N255" i="91"/>
  <c r="N196" i="91"/>
  <c r="N175" i="91"/>
  <c r="N870" i="91"/>
  <c r="N858" i="91"/>
  <c r="N825" i="91"/>
  <c r="B826" i="91"/>
  <c r="N766" i="91"/>
  <c r="N745" i="91"/>
  <c r="N665" i="91"/>
  <c r="B666" i="91"/>
  <c r="N585" i="91"/>
  <c r="N446" i="91"/>
  <c r="N425" i="91"/>
  <c r="B426" i="91"/>
  <c r="N345" i="91"/>
  <c r="N265" i="91"/>
  <c r="B266" i="91" s="1"/>
  <c r="N206" i="91"/>
  <c r="N869" i="91"/>
  <c r="N857" i="91"/>
  <c r="N835" i="91"/>
  <c r="B836" i="91" s="1"/>
  <c r="N776" i="91"/>
  <c r="N755" i="91"/>
  <c r="B756" i="91"/>
  <c r="N675" i="91"/>
  <c r="B676" i="91"/>
  <c r="N616" i="91"/>
  <c r="N595" i="91"/>
  <c r="B596" i="91" s="1"/>
  <c r="N515" i="91"/>
  <c r="B516" i="91"/>
  <c r="N456" i="91"/>
  <c r="N355" i="91"/>
  <c r="B356" i="91" s="1"/>
  <c r="N275" i="91"/>
  <c r="N216" i="91"/>
  <c r="N195" i="91"/>
  <c r="N867" i="91"/>
  <c r="N775" i="91"/>
  <c r="B776" i="91" s="1"/>
  <c r="N695" i="91"/>
  <c r="B696" i="91"/>
  <c r="N636" i="91"/>
  <c r="N615" i="91"/>
  <c r="N535" i="91"/>
  <c r="B536" i="91"/>
  <c r="N476" i="91"/>
  <c r="N455" i="91"/>
  <c r="N375" i="91"/>
  <c r="N316" i="91"/>
  <c r="N215" i="91"/>
  <c r="N866" i="91"/>
  <c r="N855" i="91"/>
  <c r="N726" i="91"/>
  <c r="N705" i="91"/>
  <c r="B706" i="91" s="1"/>
  <c r="N625" i="91"/>
  <c r="N545" i="91"/>
  <c r="B546" i="91"/>
  <c r="N486" i="91"/>
  <c r="N465" i="91"/>
  <c r="N385" i="91"/>
  <c r="N326" i="91"/>
  <c r="N305" i="91"/>
  <c r="N166" i="91"/>
  <c r="N145" i="91"/>
  <c r="B146" i="91"/>
  <c r="N105" i="91"/>
  <c r="N76" i="91"/>
  <c r="N65" i="91"/>
  <c r="B66" i="91"/>
  <c r="N36" i="91"/>
  <c r="N25" i="91"/>
  <c r="N861" i="91"/>
  <c r="N795" i="91"/>
  <c r="B796" i="91" s="1"/>
  <c r="AE10" i="91" s="1"/>
  <c r="N736" i="91"/>
  <c r="N635" i="91"/>
  <c r="B636" i="91" s="1"/>
  <c r="N555" i="91"/>
  <c r="B556" i="91" s="1"/>
  <c r="N496" i="91"/>
  <c r="N475" i="91"/>
  <c r="B476" i="91"/>
  <c r="N395" i="91"/>
  <c r="N336" i="91"/>
  <c r="B336" i="91" s="1"/>
  <c r="N315" i="91"/>
  <c r="N235" i="91"/>
  <c r="N176" i="91"/>
  <c r="N865" i="91"/>
  <c r="N860" i="91"/>
  <c r="N805" i="91"/>
  <c r="B806" i="91" s="1"/>
  <c r="N746" i="91"/>
  <c r="B746" i="91" s="1"/>
  <c r="N725" i="91"/>
  <c r="B726" i="91" s="1"/>
  <c r="AE7" i="91" s="1"/>
  <c r="N586" i="91"/>
  <c r="N565" i="91"/>
  <c r="B566" i="91"/>
  <c r="N485" i="91"/>
  <c r="B486" i="91" s="1"/>
  <c r="N405" i="91"/>
  <c r="N346" i="91"/>
  <c r="N325" i="91"/>
  <c r="B326" i="91" s="1"/>
  <c r="N245" i="91"/>
  <c r="N186" i="91"/>
  <c r="N165" i="91"/>
  <c r="B166" i="91" s="1"/>
  <c r="N115" i="91"/>
  <c r="N75" i="91"/>
  <c r="N46" i="91"/>
  <c r="N35" i="91"/>
  <c r="N56" i="91"/>
  <c r="B56" i="91" s="1"/>
  <c r="N685" i="91"/>
  <c r="B686" i="91"/>
  <c r="N125" i="91"/>
  <c r="N525" i="91"/>
  <c r="B526" i="91" s="1"/>
  <c r="N185" i="91"/>
  <c r="N445" i="91"/>
  <c r="B446" i="91"/>
  <c r="N626" i="91"/>
  <c r="N285" i="91"/>
  <c r="B286" i="91"/>
  <c r="N466" i="91"/>
  <c r="N135" i="91"/>
  <c r="N205" i="91"/>
  <c r="B206" i="91"/>
  <c r="N845" i="91"/>
  <c r="B846" i="91" s="1"/>
  <c r="N306" i="91"/>
  <c r="B306" i="91" s="1"/>
  <c r="N765" i="91"/>
  <c r="B766" i="91"/>
  <c r="N856" i="91"/>
  <c r="N868" i="91"/>
  <c r="B216" i="91"/>
  <c r="B586" i="91"/>
  <c r="B456" i="91"/>
  <c r="AE9" i="91"/>
  <c r="B736" i="91"/>
  <c r="B466" i="91"/>
  <c r="B616" i="91"/>
  <c r="B346" i="91"/>
  <c r="B626" i="91"/>
  <c r="AE8" i="91"/>
  <c r="AF9" i="91"/>
  <c r="AC9" i="91" s="1"/>
  <c r="AE5" i="91"/>
  <c r="W8" i="91"/>
  <c r="B416" i="91"/>
  <c r="B196" i="91"/>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E1" i="22"/>
  <c r="D51" i="28"/>
  <c r="D68" i="28"/>
  <c r="D44" i="28"/>
  <c r="D23" i="28"/>
  <c r="F23" i="28" s="1"/>
  <c r="D16" i="28"/>
  <c r="E59" i="28"/>
  <c r="E66" i="28"/>
  <c r="E29" i="28"/>
  <c r="E37" i="28"/>
  <c r="E44" i="28"/>
  <c r="E51" i="28"/>
  <c r="E57" i="28"/>
  <c r="E63" i="28"/>
  <c r="E69" i="28"/>
  <c r="E75" i="28"/>
  <c r="E81" i="28"/>
  <c r="E30" i="28"/>
  <c r="E58" i="28"/>
  <c r="E64" i="28"/>
  <c r="E70" i="28"/>
  <c r="E76" i="28"/>
  <c r="E82" i="28"/>
  <c r="E88" i="28"/>
  <c r="E52" i="28"/>
  <c r="E65" i="28"/>
  <c r="E71" i="28"/>
  <c r="E77" i="28"/>
  <c r="E83" i="28"/>
  <c r="E89" i="28"/>
  <c r="E23" i="28"/>
  <c r="E72" i="28"/>
  <c r="E78" i="28"/>
  <c r="E84" i="28"/>
  <c r="E90" i="28"/>
  <c r="E53" i="28"/>
  <c r="E79" i="28"/>
  <c r="E85" i="28"/>
  <c r="E91" i="28"/>
  <c r="E54" i="28"/>
  <c r="E60" i="28"/>
  <c r="E73" i="28"/>
  <c r="E86" i="28"/>
  <c r="E92" i="28"/>
  <c r="E35" i="28"/>
  <c r="E42" i="28"/>
  <c r="E55" i="28"/>
  <c r="E61" i="28"/>
  <c r="E67" i="28"/>
  <c r="E80" i="28"/>
  <c r="E93" i="28"/>
  <c r="E28" i="28"/>
  <c r="E43" i="28"/>
  <c r="E50" i="28"/>
  <c r="E56" i="28"/>
  <c r="E62" i="28"/>
  <c r="E68" i="28"/>
  <c r="E74" i="28"/>
  <c r="E87" i="28"/>
  <c r="E14" i="28"/>
  <c r="E15" i="28"/>
  <c r="B82" i="28"/>
  <c r="B89" i="28"/>
  <c r="B81" i="28"/>
  <c r="B88" i="28"/>
  <c r="B80" i="28"/>
  <c r="B87" i="28"/>
  <c r="B68" i="28"/>
  <c r="B75" i="28"/>
  <c r="B67" i="28"/>
  <c r="B74" i="28"/>
  <c r="B66" i="28"/>
  <c r="B73" i="28"/>
  <c r="B54" i="28"/>
  <c r="B61" i="28"/>
  <c r="B53" i="28"/>
  <c r="B60" i="28"/>
  <c r="B52" i="28"/>
  <c r="B59" i="28"/>
  <c r="B40" i="28"/>
  <c r="B47" i="28"/>
  <c r="B39" i="28"/>
  <c r="B46" i="28"/>
  <c r="B38" i="28"/>
  <c r="B45" i="28"/>
  <c r="B17" i="28"/>
  <c r="B10" i="28"/>
  <c r="B26" i="28"/>
  <c r="B33" i="28"/>
  <c r="B25" i="28"/>
  <c r="B32" i="28"/>
  <c r="B24" i="28"/>
  <c r="B31" i="28"/>
  <c r="B7" i="28"/>
  <c r="B6" i="28"/>
  <c r="C16" i="28"/>
  <c r="C14" i="28"/>
  <c r="C13" i="28"/>
  <c r="C12" i="28"/>
  <c r="C11" i="28"/>
  <c r="C10" i="28"/>
  <c r="F62" i="28"/>
  <c r="D35" i="28"/>
  <c r="F35" i="28"/>
  <c r="D42" i="28"/>
  <c r="F42" i="28"/>
  <c r="D28" i="28"/>
  <c r="F28" i="28"/>
  <c r="D14" i="28"/>
  <c r="Q128" i="18"/>
  <c r="W128" i="18"/>
  <c r="AM128" i="18"/>
  <c r="AZ128" i="18"/>
  <c r="BN128" i="18" s="1"/>
  <c r="BP128" i="18" s="1"/>
  <c r="BM128" i="18"/>
  <c r="Q116" i="18"/>
  <c r="W116" i="18"/>
  <c r="AM116" i="18"/>
  <c r="AZ116" i="18"/>
  <c r="BM116" i="18"/>
  <c r="Q115" i="18"/>
  <c r="W115" i="18"/>
  <c r="AM115" i="18"/>
  <c r="AZ115" i="18"/>
  <c r="BM115" i="18"/>
  <c r="Q114" i="18"/>
  <c r="W114" i="18"/>
  <c r="AM114" i="18"/>
  <c r="AZ114" i="18"/>
  <c r="BM114" i="18"/>
  <c r="Q113" i="18"/>
  <c r="W113" i="18"/>
  <c r="AM113" i="18"/>
  <c r="AZ113" i="18"/>
  <c r="BN113" i="18" s="1"/>
  <c r="BP113" i="18" s="1"/>
  <c r="BM113" i="18"/>
  <c r="Q112" i="18"/>
  <c r="W112" i="18"/>
  <c r="AM112" i="18"/>
  <c r="AZ112" i="18"/>
  <c r="BM112" i="18"/>
  <c r="Q111" i="18"/>
  <c r="W111" i="18"/>
  <c r="AM111" i="18"/>
  <c r="AZ111" i="18"/>
  <c r="BM111" i="18"/>
  <c r="BN111" i="18"/>
  <c r="BP111" i="18" s="1"/>
  <c r="Q110" i="18"/>
  <c r="W110" i="18"/>
  <c r="AM110" i="18"/>
  <c r="AZ110" i="18"/>
  <c r="BM110" i="18"/>
  <c r="J107" i="18"/>
  <c r="I107" i="18"/>
  <c r="L73" i="18"/>
  <c r="L72" i="18"/>
  <c r="BM71" i="18"/>
  <c r="F6559" i="43" s="1"/>
  <c r="AZ71" i="18"/>
  <c r="I6559" i="43" s="1"/>
  <c r="Q71" i="18"/>
  <c r="G6559" i="43" s="1"/>
  <c r="G71" i="18"/>
  <c r="BM70" i="18"/>
  <c r="F2547" i="43" s="1"/>
  <c r="AZ70" i="18"/>
  <c r="I2547" i="43" s="1"/>
  <c r="K2547" i="43" s="1"/>
  <c r="L2547" i="43" s="1"/>
  <c r="Q70" i="18"/>
  <c r="G2547" i="43" s="1"/>
  <c r="G70" i="18"/>
  <c r="BM69" i="18"/>
  <c r="F3902" i="43" s="1"/>
  <c r="AZ69" i="18"/>
  <c r="I3902" i="43" s="1"/>
  <c r="Q69" i="18"/>
  <c r="G3902" i="43" s="1"/>
  <c r="G69" i="18"/>
  <c r="BM68" i="18"/>
  <c r="F4131" i="43" s="1"/>
  <c r="AZ68" i="18"/>
  <c r="I4131" i="43" s="1"/>
  <c r="Q68" i="18"/>
  <c r="G4131" i="43" s="1"/>
  <c r="G68" i="18"/>
  <c r="BM67" i="18"/>
  <c r="F1880" i="43" s="1"/>
  <c r="AZ67" i="18"/>
  <c r="I1880" i="43" s="1"/>
  <c r="K1880" i="43" s="1"/>
  <c r="L1880" i="43" s="1"/>
  <c r="Q67" i="18"/>
  <c r="G1880" i="43" s="1"/>
  <c r="G67" i="18"/>
  <c r="BM66" i="18"/>
  <c r="F378" i="43" s="1"/>
  <c r="AZ66" i="18"/>
  <c r="I378" i="43" s="1"/>
  <c r="G66" i="18"/>
  <c r="BM65" i="18"/>
  <c r="F1293" i="43" s="1"/>
  <c r="AZ65" i="18"/>
  <c r="I1293" i="43" s="1"/>
  <c r="L65" i="18"/>
  <c r="G65" i="18"/>
  <c r="BM64" i="18"/>
  <c r="F2600" i="43" s="1"/>
  <c r="AZ64" i="18"/>
  <c r="I2600" i="43" s="1"/>
  <c r="Q64" i="18"/>
  <c r="G2600" i="43" s="1"/>
  <c r="G64" i="18"/>
  <c r="BM63" i="18"/>
  <c r="F1722" i="43" s="1"/>
  <c r="AZ63" i="18"/>
  <c r="I1722" i="43" s="1"/>
  <c r="G63" i="18"/>
  <c r="BM62" i="18"/>
  <c r="F986" i="43" s="1"/>
  <c r="AZ62" i="18"/>
  <c r="I986" i="43" s="1"/>
  <c r="G62" i="18"/>
  <c r="L61" i="18"/>
  <c r="J61" i="18"/>
  <c r="I61" i="18"/>
  <c r="D61" i="18"/>
  <c r="BQ60" i="18"/>
  <c r="BN34" i="18"/>
  <c r="BN35" i="18"/>
  <c r="BN36" i="18"/>
  <c r="BP36" i="18" s="1"/>
  <c r="BN37" i="18"/>
  <c r="BP37" i="18" s="1"/>
  <c r="BN38" i="18"/>
  <c r="BN39" i="18"/>
  <c r="BN41" i="18"/>
  <c r="BP41" i="18" s="1"/>
  <c r="BN43" i="18"/>
  <c r="BN46" i="18"/>
  <c r="BN47" i="18"/>
  <c r="BN48" i="18"/>
  <c r="BN49" i="18"/>
  <c r="BP49" i="18" s="1"/>
  <c r="BN50" i="18"/>
  <c r="BN51" i="18"/>
  <c r="BN52" i="18"/>
  <c r="BP52" i="18" s="1"/>
  <c r="BN53" i="18"/>
  <c r="BP53" i="18" s="1"/>
  <c r="BN54" i="18"/>
  <c r="BN55" i="18"/>
  <c r="BN57" i="18"/>
  <c r="BP57" i="18" s="1"/>
  <c r="BN59" i="18"/>
  <c r="BQ59" i="18"/>
  <c r="BP59" i="18"/>
  <c r="BQ58" i="18"/>
  <c r="BQ57" i="18"/>
  <c r="BQ56" i="18"/>
  <c r="BQ55" i="18"/>
  <c r="BP55" i="18"/>
  <c r="BQ54" i="18"/>
  <c r="BP54" i="18"/>
  <c r="BQ53" i="18"/>
  <c r="BQ52" i="18"/>
  <c r="BQ51" i="18"/>
  <c r="BP51" i="18"/>
  <c r="BQ50" i="18"/>
  <c r="BP50" i="18"/>
  <c r="BQ49" i="18"/>
  <c r="BQ48" i="18"/>
  <c r="BP48" i="18"/>
  <c r="BQ47" i="18"/>
  <c r="BP47" i="18"/>
  <c r="BQ46" i="18"/>
  <c r="BP46" i="18"/>
  <c r="BQ45" i="18"/>
  <c r="BQ44" i="18"/>
  <c r="BQ43" i="18"/>
  <c r="BP43" i="18"/>
  <c r="BQ42" i="18"/>
  <c r="BQ41" i="18"/>
  <c r="BQ40" i="18"/>
  <c r="BQ39" i="18"/>
  <c r="BP39" i="18"/>
  <c r="BQ38" i="18"/>
  <c r="BP38" i="18"/>
  <c r="BQ37" i="18"/>
  <c r="BQ36" i="18"/>
  <c r="BQ35" i="18"/>
  <c r="BP35" i="18"/>
  <c r="BQ34" i="18"/>
  <c r="BP34" i="18"/>
  <c r="BQ33" i="18"/>
  <c r="BM30" i="18"/>
  <c r="F6093" i="43" s="1"/>
  <c r="R41" i="87" s="1"/>
  <c r="G30" i="18"/>
  <c r="BQ30" i="18" s="1"/>
  <c r="AZ30" i="18"/>
  <c r="I6093" i="43" s="1"/>
  <c r="R42" i="87" s="1"/>
  <c r="Q30" i="18"/>
  <c r="G6093" i="43" s="1"/>
  <c r="R43" i="87" s="1"/>
  <c r="Z11" i="87" s="1"/>
  <c r="BN16" i="18"/>
  <c r="BN17" i="18"/>
  <c r="BN18" i="18"/>
  <c r="BN19" i="18"/>
  <c r="BP19" i="18" s="1"/>
  <c r="BN20" i="18"/>
  <c r="BN21" i="18"/>
  <c r="BN22" i="18"/>
  <c r="BN23" i="18"/>
  <c r="BP23" i="18" s="1"/>
  <c r="BN24" i="18"/>
  <c r="BN25" i="18"/>
  <c r="BN26" i="18"/>
  <c r="BN27" i="18"/>
  <c r="BP27" i="18" s="1"/>
  <c r="BN28" i="18"/>
  <c r="BQ28" i="18"/>
  <c r="BP28" i="18"/>
  <c r="BQ27" i="18"/>
  <c r="BQ26" i="18"/>
  <c r="BP26" i="18"/>
  <c r="BQ25" i="18"/>
  <c r="BP25" i="18"/>
  <c r="BQ24" i="18"/>
  <c r="BP24" i="18"/>
  <c r="BQ23" i="18"/>
  <c r="BQ22" i="18"/>
  <c r="BP22" i="18"/>
  <c r="BQ21" i="18"/>
  <c r="BP21" i="18"/>
  <c r="BQ20" i="18"/>
  <c r="BP20" i="18"/>
  <c r="BQ19" i="18"/>
  <c r="BQ18" i="18"/>
  <c r="BP18" i="18"/>
  <c r="BQ17" i="18"/>
  <c r="BP17" i="18"/>
  <c r="BQ16" i="18"/>
  <c r="BP16" i="18"/>
  <c r="BM13" i="18"/>
  <c r="F2314" i="43" s="1"/>
  <c r="R37" i="87" s="1"/>
  <c r="G13" i="18"/>
  <c r="BQ13" i="18" s="1"/>
  <c r="BN5" i="18"/>
  <c r="BN7" i="18"/>
  <c r="BN9" i="18"/>
  <c r="BN10" i="18"/>
  <c r="BO12" i="18"/>
  <c r="BQ11" i="18"/>
  <c r="BQ10" i="18"/>
  <c r="BP10" i="18"/>
  <c r="BQ9" i="18"/>
  <c r="BP9" i="18"/>
  <c r="BQ8" i="18"/>
  <c r="BQ7" i="18"/>
  <c r="BP7" i="18"/>
  <c r="BQ6" i="18"/>
  <c r="BQ5" i="18"/>
  <c r="BP5" i="18"/>
  <c r="BQ4" i="18"/>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5" i="20"/>
  <c r="F6814" i="27"/>
  <c r="G6814" i="27"/>
  <c r="K6814" i="27" s="1"/>
  <c r="L6814" i="27" s="1"/>
  <c r="H6814" i="27"/>
  <c r="I6814" i="27"/>
  <c r="F6775" i="27"/>
  <c r="G6775" i="27"/>
  <c r="H6775" i="27"/>
  <c r="I6775" i="27"/>
  <c r="K6775" i="27"/>
  <c r="L6775" i="27" s="1"/>
  <c r="F6732" i="27"/>
  <c r="G6732" i="27"/>
  <c r="H6732" i="27"/>
  <c r="I6732" i="27"/>
  <c r="F6708" i="27"/>
  <c r="G6708" i="27"/>
  <c r="H6708" i="27"/>
  <c r="K6708" i="27" s="1"/>
  <c r="L6708" i="27" s="1"/>
  <c r="I6708" i="27"/>
  <c r="F6667" i="27"/>
  <c r="G6667" i="27"/>
  <c r="H6667" i="27"/>
  <c r="I6667" i="27"/>
  <c r="F6631" i="27"/>
  <c r="G6631" i="27"/>
  <c r="H6631" i="27"/>
  <c r="I6631" i="27"/>
  <c r="F6596" i="27"/>
  <c r="F6816" i="27" s="1"/>
  <c r="G6596" i="27"/>
  <c r="H6596" i="27"/>
  <c r="I6596" i="27"/>
  <c r="K6596" i="27"/>
  <c r="L6596" i="27" s="1"/>
  <c r="F6559" i="27"/>
  <c r="G6559" i="27"/>
  <c r="H6559" i="27"/>
  <c r="I6559" i="27"/>
  <c r="K6559" i="27" s="1"/>
  <c r="L6559" i="27" s="1"/>
  <c r="F6517" i="27"/>
  <c r="G6517" i="27"/>
  <c r="H6517" i="27"/>
  <c r="I6517" i="27"/>
  <c r="F6481" i="27"/>
  <c r="G6481" i="27"/>
  <c r="H6481" i="27"/>
  <c r="K6481" i="27" s="1"/>
  <c r="L6481" i="27" s="1"/>
  <c r="I6481" i="27"/>
  <c r="F6445" i="27"/>
  <c r="G6445" i="27"/>
  <c r="K6445" i="27" s="1"/>
  <c r="L6445" i="27" s="1"/>
  <c r="H6445" i="27"/>
  <c r="I6445" i="27"/>
  <c r="F6405" i="27"/>
  <c r="G6405" i="27"/>
  <c r="H6405" i="27"/>
  <c r="K6405" i="27" s="1"/>
  <c r="L6405" i="27" s="1"/>
  <c r="I6405" i="27"/>
  <c r="F6369" i="27"/>
  <c r="G6369" i="27"/>
  <c r="K6369" i="27" s="1"/>
  <c r="L6369" i="27" s="1"/>
  <c r="H6369" i="27"/>
  <c r="I6369" i="27"/>
  <c r="F6327" i="27"/>
  <c r="G6327" i="27"/>
  <c r="K6327" i="27" s="1"/>
  <c r="L6327" i="27" s="1"/>
  <c r="H6327" i="27"/>
  <c r="I6327" i="27"/>
  <c r="F6291" i="27"/>
  <c r="G6291" i="27"/>
  <c r="H6291" i="27"/>
  <c r="I6291" i="27"/>
  <c r="K6291" i="27"/>
  <c r="F6256" i="27"/>
  <c r="G6256" i="27"/>
  <c r="H6256" i="27"/>
  <c r="I6256" i="27"/>
  <c r="F6220" i="27"/>
  <c r="G6220" i="27"/>
  <c r="H6220" i="27"/>
  <c r="I6220" i="27"/>
  <c r="F6187" i="27"/>
  <c r="G6187" i="27"/>
  <c r="H6187" i="27"/>
  <c r="I6187" i="27"/>
  <c r="K6187" i="27"/>
  <c r="L6187" i="27" s="1"/>
  <c r="F6151" i="27"/>
  <c r="G6151" i="27"/>
  <c r="H6151" i="27"/>
  <c r="I6151" i="27"/>
  <c r="F6133" i="27"/>
  <c r="G6133" i="27"/>
  <c r="H6133" i="27"/>
  <c r="K6133" i="27" s="1"/>
  <c r="L6133" i="27" s="1"/>
  <c r="I6133" i="27"/>
  <c r="F6093" i="27"/>
  <c r="G6093" i="27"/>
  <c r="K6093" i="27" s="1"/>
  <c r="L6093" i="27" s="1"/>
  <c r="H6093" i="27"/>
  <c r="I6093" i="27"/>
  <c r="F6044" i="27"/>
  <c r="G6044" i="27"/>
  <c r="K6044" i="27" s="1"/>
  <c r="H6044" i="27"/>
  <c r="I6044" i="27"/>
  <c r="F6005" i="27"/>
  <c r="G6005" i="27"/>
  <c r="K6005" i="27" s="1"/>
  <c r="H6005" i="27"/>
  <c r="I6005" i="27"/>
  <c r="F5966" i="27"/>
  <c r="G5966" i="27"/>
  <c r="H5966" i="27"/>
  <c r="I5966" i="27"/>
  <c r="K5966" i="27"/>
  <c r="L5966" i="27" s="1"/>
  <c r="F5935" i="27"/>
  <c r="G5935" i="27"/>
  <c r="H5935" i="27"/>
  <c r="I5935" i="27"/>
  <c r="F5901" i="27"/>
  <c r="G5901" i="27"/>
  <c r="H5901" i="27"/>
  <c r="K5901" i="27" s="1"/>
  <c r="I5901" i="27"/>
  <c r="F5862" i="27"/>
  <c r="G5862" i="27"/>
  <c r="K5862" i="27" s="1"/>
  <c r="L5862" i="27" s="1"/>
  <c r="H5862" i="27"/>
  <c r="I5862" i="27"/>
  <c r="F5821" i="27"/>
  <c r="G5821" i="27"/>
  <c r="H5821" i="27"/>
  <c r="I5821" i="27"/>
  <c r="K5821" i="27"/>
  <c r="L5821" i="27" s="1"/>
  <c r="F5793" i="27"/>
  <c r="G5793" i="27"/>
  <c r="H5793" i="27"/>
  <c r="I5793" i="27"/>
  <c r="F5762" i="27"/>
  <c r="G5762" i="27"/>
  <c r="H5762" i="27"/>
  <c r="I5762" i="27"/>
  <c r="K5762" i="27"/>
  <c r="L5762" i="27" s="1"/>
  <c r="F5721" i="27"/>
  <c r="G5721" i="27"/>
  <c r="H5721" i="27"/>
  <c r="I5721" i="27"/>
  <c r="K5721" i="27" s="1"/>
  <c r="L5721" i="27" s="1"/>
  <c r="F5688" i="27"/>
  <c r="G5688" i="27"/>
  <c r="H5688" i="27"/>
  <c r="K5688" i="27" s="1"/>
  <c r="L5688" i="27" s="1"/>
  <c r="I5688" i="27"/>
  <c r="F5657" i="27"/>
  <c r="G5657" i="27"/>
  <c r="K5657" i="27" s="1"/>
  <c r="H5657" i="27"/>
  <c r="I5657" i="27"/>
  <c r="F5605" i="27"/>
  <c r="G5605" i="27"/>
  <c r="K5605" i="27" s="1"/>
  <c r="L5605" i="27" s="1"/>
  <c r="H5605" i="27"/>
  <c r="I5605" i="27"/>
  <c r="F5558" i="27"/>
  <c r="G5558" i="27"/>
  <c r="K5558" i="27" s="1"/>
  <c r="L5558" i="27" s="1"/>
  <c r="H5558" i="27"/>
  <c r="I5558" i="27"/>
  <c r="F5519" i="27"/>
  <c r="G5519" i="27"/>
  <c r="H5519" i="27"/>
  <c r="I5519" i="27"/>
  <c r="K5519" i="27"/>
  <c r="L5519" i="27" s="1"/>
  <c r="F5478" i="27"/>
  <c r="G5478" i="27"/>
  <c r="H5478" i="27"/>
  <c r="I5478" i="27"/>
  <c r="F5440" i="27"/>
  <c r="G5440" i="27"/>
  <c r="H5440" i="27"/>
  <c r="I5440" i="27"/>
  <c r="F5410" i="27"/>
  <c r="G5410" i="27"/>
  <c r="H5410" i="27"/>
  <c r="I5410" i="27"/>
  <c r="K5410" i="27"/>
  <c r="F5371" i="27"/>
  <c r="G5371" i="27"/>
  <c r="H5371" i="27"/>
  <c r="I5371" i="27"/>
  <c r="K5371" i="27" s="1"/>
  <c r="L5371" i="27" s="1"/>
  <c r="F5330" i="27"/>
  <c r="G5330" i="27"/>
  <c r="H5330" i="27"/>
  <c r="I5330" i="27"/>
  <c r="F5292" i="27"/>
  <c r="G5292" i="27"/>
  <c r="H5292" i="27"/>
  <c r="K5292" i="27" s="1"/>
  <c r="L5292" i="27" s="1"/>
  <c r="I5292" i="27"/>
  <c r="F5256" i="27"/>
  <c r="G5256" i="27"/>
  <c r="K5256" i="27" s="1"/>
  <c r="H5256" i="27"/>
  <c r="I5256" i="27"/>
  <c r="F5223" i="27"/>
  <c r="K5223" i="27" s="1"/>
  <c r="L5223" i="27" s="1"/>
  <c r="G5223" i="27"/>
  <c r="H5223" i="27"/>
  <c r="I5223" i="27"/>
  <c r="F5180" i="27"/>
  <c r="G5180" i="27"/>
  <c r="H5180" i="27"/>
  <c r="I5180" i="27"/>
  <c r="F5141" i="27"/>
  <c r="G5141" i="27"/>
  <c r="H5141" i="27"/>
  <c r="I5141" i="27"/>
  <c r="K5141" i="27"/>
  <c r="L5141" i="27" s="1"/>
  <c r="F5104" i="27"/>
  <c r="G5104" i="27"/>
  <c r="H5104" i="27"/>
  <c r="I5104" i="27"/>
  <c r="K5104" i="27" s="1"/>
  <c r="F5070" i="27"/>
  <c r="G5070" i="27"/>
  <c r="H5070" i="27"/>
  <c r="K5070" i="27" s="1"/>
  <c r="L5070" i="27" s="1"/>
  <c r="I5070" i="27"/>
  <c r="F5036" i="27"/>
  <c r="G5036" i="27"/>
  <c r="H5036" i="27"/>
  <c r="I5036" i="27"/>
  <c r="F4999" i="27"/>
  <c r="G4999" i="27"/>
  <c r="H4999" i="27"/>
  <c r="K4999" i="27" s="1"/>
  <c r="L4999" i="27" s="1"/>
  <c r="I4999" i="27"/>
  <c r="F4970" i="27"/>
  <c r="G4970" i="27"/>
  <c r="K4970" i="27" s="1"/>
  <c r="L4970" i="27" s="1"/>
  <c r="H4970" i="27"/>
  <c r="I4970" i="27"/>
  <c r="F4941" i="27"/>
  <c r="G4941" i="27"/>
  <c r="H4941" i="27"/>
  <c r="I4941" i="27"/>
  <c r="K4941" i="27"/>
  <c r="L4941" i="27" s="1"/>
  <c r="F4902" i="27"/>
  <c r="G4902" i="27"/>
  <c r="H4902" i="27"/>
  <c r="I4902" i="27"/>
  <c r="F4869" i="27"/>
  <c r="G4869" i="27"/>
  <c r="K4869" i="27" s="1"/>
  <c r="H4869" i="27"/>
  <c r="I4869" i="27"/>
  <c r="F4829" i="27"/>
  <c r="G4829" i="27"/>
  <c r="K4829" i="27" s="1"/>
  <c r="L4829" i="27" s="1"/>
  <c r="H4829" i="27"/>
  <c r="I4829" i="27"/>
  <c r="F4788" i="27"/>
  <c r="G4788" i="27"/>
  <c r="H4788" i="27"/>
  <c r="I4788" i="27"/>
  <c r="K4788" i="27"/>
  <c r="L4788" i="27" s="1"/>
  <c r="F4752" i="27"/>
  <c r="G4752" i="27"/>
  <c r="H4752" i="27"/>
  <c r="I4752" i="27"/>
  <c r="F4717" i="27"/>
  <c r="G4717" i="27"/>
  <c r="H4717" i="27"/>
  <c r="I4717" i="27"/>
  <c r="K4717" i="27"/>
  <c r="F4682" i="27"/>
  <c r="G4682" i="27"/>
  <c r="H4682" i="27"/>
  <c r="I4682" i="27"/>
  <c r="F4647" i="27"/>
  <c r="G4647" i="27"/>
  <c r="H4647" i="27"/>
  <c r="K4647" i="27" s="1"/>
  <c r="L4647" i="27" s="1"/>
  <c r="I4647" i="27"/>
  <c r="F4604" i="27"/>
  <c r="G4604" i="27"/>
  <c r="K4604" i="27" s="1"/>
  <c r="H4604" i="27"/>
  <c r="I4604" i="27"/>
  <c r="F4567" i="27"/>
  <c r="G4567" i="27"/>
  <c r="K4567" i="27" s="1"/>
  <c r="L4567" i="27" s="1"/>
  <c r="H4567" i="27"/>
  <c r="I4567" i="27"/>
  <c r="F4532" i="27"/>
  <c r="G4532" i="27"/>
  <c r="H4532" i="27"/>
  <c r="I4532" i="27"/>
  <c r="K4532" i="27"/>
  <c r="L4532" i="27" s="1"/>
  <c r="F4498" i="27"/>
  <c r="G4498" i="27"/>
  <c r="H4498" i="27"/>
  <c r="I4498" i="27"/>
  <c r="F4459" i="27"/>
  <c r="G4459" i="27"/>
  <c r="K4459" i="27" s="1"/>
  <c r="L4459" i="27" s="1"/>
  <c r="H4459" i="27"/>
  <c r="I4459" i="27"/>
  <c r="F4425" i="27"/>
  <c r="G4425" i="27"/>
  <c r="K4425" i="27" s="1"/>
  <c r="L4425" i="27" s="1"/>
  <c r="H4425" i="27"/>
  <c r="I4425" i="27"/>
  <c r="F4386" i="27"/>
  <c r="K4386" i="27" s="1"/>
  <c r="L4386" i="27" s="1"/>
  <c r="G4386" i="27"/>
  <c r="H4386" i="27"/>
  <c r="I4386" i="27"/>
  <c r="F4353" i="27"/>
  <c r="G4353" i="27"/>
  <c r="H4353" i="27"/>
  <c r="I4353" i="27"/>
  <c r="F4317" i="27"/>
  <c r="G4317" i="27"/>
  <c r="K4317" i="27" s="1"/>
  <c r="L4317" i="27" s="1"/>
  <c r="H4317" i="27"/>
  <c r="I4317" i="27"/>
  <c r="F4279" i="27"/>
  <c r="G4279" i="27"/>
  <c r="K4279" i="27" s="1"/>
  <c r="L4279" i="27" s="1"/>
  <c r="H4279" i="27"/>
  <c r="I4279" i="27"/>
  <c r="F4242" i="27"/>
  <c r="G4242" i="27"/>
  <c r="K4242" i="27" s="1"/>
  <c r="H4242" i="27"/>
  <c r="I4242" i="27"/>
  <c r="F4205" i="27"/>
  <c r="G4205" i="27"/>
  <c r="H4205" i="27"/>
  <c r="I4205" i="27"/>
  <c r="K4205" i="27"/>
  <c r="L4205" i="27" s="1"/>
  <c r="F4166" i="27"/>
  <c r="G4166" i="27"/>
  <c r="H4166" i="27"/>
  <c r="I4166" i="27"/>
  <c r="F4131" i="27"/>
  <c r="G4131" i="27"/>
  <c r="H4131" i="27"/>
  <c r="I4131" i="27"/>
  <c r="K4131" i="27"/>
  <c r="L4131" i="27" s="1"/>
  <c r="F4090" i="27"/>
  <c r="G4090" i="27"/>
  <c r="H4090" i="27"/>
  <c r="I4090" i="27"/>
  <c r="F4037" i="27"/>
  <c r="G4037" i="27"/>
  <c r="H4037" i="27"/>
  <c r="K4037" i="27" s="1"/>
  <c r="L4037" i="27" s="1"/>
  <c r="I4037" i="27"/>
  <c r="F4004" i="27"/>
  <c r="G4004" i="27"/>
  <c r="K4004" i="27" s="1"/>
  <c r="H4004" i="27"/>
  <c r="I4004" i="27"/>
  <c r="F3972" i="27"/>
  <c r="G3972" i="27"/>
  <c r="H3972" i="27"/>
  <c r="I3972" i="27"/>
  <c r="K3972" i="27"/>
  <c r="L3972" i="27" s="1"/>
  <c r="F3938" i="27"/>
  <c r="G3938" i="27"/>
  <c r="H3938" i="27"/>
  <c r="I3938" i="27"/>
  <c r="K3938" i="27" s="1"/>
  <c r="F3902" i="27"/>
  <c r="G3902" i="27"/>
  <c r="H3902" i="27"/>
  <c r="K3902" i="27" s="1"/>
  <c r="L3902" i="27" s="1"/>
  <c r="I3902" i="27"/>
  <c r="F3863" i="27"/>
  <c r="G3863" i="27"/>
  <c r="H3863" i="27"/>
  <c r="I3863" i="27"/>
  <c r="F3834" i="27"/>
  <c r="G3834" i="27"/>
  <c r="H3834" i="27"/>
  <c r="I3834" i="27"/>
  <c r="K3834" i="27"/>
  <c r="F3798" i="27"/>
  <c r="G3798" i="27"/>
  <c r="H3798" i="27"/>
  <c r="I3798" i="27"/>
  <c r="F3769" i="27"/>
  <c r="G3769" i="27"/>
  <c r="H3769" i="27"/>
  <c r="I3769" i="27"/>
  <c r="K3769" i="27"/>
  <c r="L3769" i="27" s="1"/>
  <c r="F3729" i="27"/>
  <c r="G3729" i="27"/>
  <c r="H3729" i="27"/>
  <c r="I3729" i="27"/>
  <c r="F3692" i="27"/>
  <c r="G3692" i="27"/>
  <c r="K3692" i="27" s="1"/>
  <c r="H3692" i="27"/>
  <c r="I3692" i="27"/>
  <c r="F3654" i="27"/>
  <c r="G3654" i="27"/>
  <c r="H3654" i="27"/>
  <c r="I3654" i="27"/>
  <c r="K3654" i="27"/>
  <c r="F3618" i="27"/>
  <c r="G3618" i="27"/>
  <c r="H3618" i="27"/>
  <c r="I3618" i="27"/>
  <c r="K3618" i="27" s="1"/>
  <c r="L3618" i="27" s="1"/>
  <c r="F3577" i="27"/>
  <c r="G3577" i="27"/>
  <c r="H3577" i="27"/>
  <c r="I3577" i="27"/>
  <c r="F3537" i="27"/>
  <c r="G3537" i="27"/>
  <c r="H3537" i="27"/>
  <c r="K3537" i="27" s="1"/>
  <c r="I3537" i="27"/>
  <c r="F3498" i="27"/>
  <c r="G3498" i="27"/>
  <c r="K3498" i="27" s="1"/>
  <c r="L3498" i="27" s="1"/>
  <c r="H3498" i="27"/>
  <c r="I3498" i="27"/>
  <c r="F3459" i="27"/>
  <c r="G3459" i="27"/>
  <c r="H3459" i="27"/>
  <c r="I3459" i="27"/>
  <c r="K3459" i="27"/>
  <c r="L3459" i="27" s="1"/>
  <c r="F3418" i="27"/>
  <c r="G3418" i="27"/>
  <c r="H3418" i="27"/>
  <c r="I3418" i="27"/>
  <c r="F3382" i="27"/>
  <c r="K3382" i="27" s="1"/>
  <c r="L3382" i="27" s="1"/>
  <c r="G3382" i="27"/>
  <c r="H3382" i="27"/>
  <c r="I3382" i="27"/>
  <c r="F3346" i="27"/>
  <c r="G3346" i="27"/>
  <c r="H3346" i="27"/>
  <c r="I3346" i="27"/>
  <c r="K3346" i="27" s="1"/>
  <c r="L3346" i="27" s="1"/>
  <c r="F3310" i="27"/>
  <c r="G3310" i="27"/>
  <c r="H3310" i="27"/>
  <c r="K3310" i="27" s="1"/>
  <c r="L3310" i="27" s="1"/>
  <c r="I3310" i="27"/>
  <c r="F3266" i="27"/>
  <c r="G3266" i="27"/>
  <c r="H3266" i="27"/>
  <c r="I3266" i="27"/>
  <c r="F3222" i="27"/>
  <c r="G3222" i="27"/>
  <c r="H3222" i="27"/>
  <c r="I3222" i="27"/>
  <c r="F3193" i="27"/>
  <c r="G3193" i="27"/>
  <c r="K3193" i="27" s="1"/>
  <c r="L3193" i="27" s="1"/>
  <c r="H3193" i="27"/>
  <c r="I3193" i="27"/>
  <c r="F3152" i="27"/>
  <c r="G3152" i="27"/>
  <c r="H3152" i="27"/>
  <c r="I3152" i="27"/>
  <c r="K3152" i="27"/>
  <c r="L3152" i="27" s="1"/>
  <c r="F3119" i="27"/>
  <c r="G3119" i="27"/>
  <c r="H3119" i="27"/>
  <c r="I3119" i="27"/>
  <c r="F3081" i="27"/>
  <c r="G3081" i="27"/>
  <c r="H3081" i="27"/>
  <c r="I3081" i="27"/>
  <c r="K3081" i="27"/>
  <c r="F3042" i="27"/>
  <c r="G3042" i="27"/>
  <c r="H3042" i="27"/>
  <c r="I3042" i="27"/>
  <c r="F2999" i="27"/>
  <c r="K2999" i="27" s="1"/>
  <c r="L2999" i="27" s="1"/>
  <c r="G2999" i="27"/>
  <c r="H2999" i="27"/>
  <c r="I2999" i="27"/>
  <c r="F2957" i="27"/>
  <c r="G2957" i="27"/>
  <c r="H2957" i="27"/>
  <c r="I2957" i="27"/>
  <c r="F2907" i="27"/>
  <c r="G2907" i="27"/>
  <c r="K2907" i="27" s="1"/>
  <c r="L2907" i="27" s="1"/>
  <c r="H2907" i="27"/>
  <c r="I2907" i="27"/>
  <c r="F2868" i="27"/>
  <c r="G2868" i="27"/>
  <c r="H2868" i="27"/>
  <c r="I2868" i="27"/>
  <c r="K2868" i="27"/>
  <c r="F2835" i="27"/>
  <c r="G2835" i="27"/>
  <c r="H2835" i="27"/>
  <c r="I2835" i="27"/>
  <c r="F2799" i="27"/>
  <c r="G2799" i="27"/>
  <c r="K2799" i="27" s="1"/>
  <c r="H2799" i="27"/>
  <c r="I2799" i="27"/>
  <c r="F2760" i="27"/>
  <c r="G2760" i="27"/>
  <c r="H2760" i="27"/>
  <c r="I2760" i="27"/>
  <c r="K2760" i="27"/>
  <c r="L2760" i="27" s="1"/>
  <c r="F2724" i="27"/>
  <c r="G2724" i="27"/>
  <c r="H2724" i="27"/>
  <c r="I2724" i="27"/>
  <c r="K2724" i="27" s="1"/>
  <c r="L2724" i="27" s="1"/>
  <c r="F2696" i="27"/>
  <c r="G2696" i="27"/>
  <c r="H2696" i="27"/>
  <c r="K2696" i="27" s="1"/>
  <c r="L2696" i="27" s="1"/>
  <c r="I2696" i="27"/>
  <c r="F2646" i="27"/>
  <c r="G2646" i="27"/>
  <c r="H2646" i="27"/>
  <c r="I2646" i="27"/>
  <c r="F2600" i="27"/>
  <c r="G2600" i="27"/>
  <c r="H2600" i="27"/>
  <c r="I2600" i="27"/>
  <c r="F2547" i="27"/>
  <c r="K2547" i="27" s="1"/>
  <c r="L2547" i="27" s="1"/>
  <c r="G2547" i="27"/>
  <c r="H2547" i="27"/>
  <c r="I2547" i="27"/>
  <c r="F2510" i="27"/>
  <c r="G2510" i="27"/>
  <c r="H2510" i="27"/>
  <c r="I2510" i="27"/>
  <c r="K2510" i="27" s="1"/>
  <c r="L2510" i="27" s="1"/>
  <c r="F2472" i="27"/>
  <c r="G2472" i="27"/>
  <c r="H2472" i="27"/>
  <c r="I2472" i="27"/>
  <c r="F2428" i="27"/>
  <c r="G2428" i="27"/>
  <c r="H2428" i="27"/>
  <c r="K2428" i="27" s="1"/>
  <c r="L2428" i="27" s="1"/>
  <c r="I2428" i="27"/>
  <c r="F2388" i="27"/>
  <c r="G2388" i="27"/>
  <c r="K2388" i="27" s="1"/>
  <c r="L2388" i="27" s="1"/>
  <c r="H2388" i="27"/>
  <c r="I2388" i="27"/>
  <c r="F2351" i="27"/>
  <c r="G2351" i="27"/>
  <c r="H2351" i="27"/>
  <c r="K2351" i="27" s="1"/>
  <c r="I2351" i="27"/>
  <c r="F2314" i="27"/>
  <c r="G2314" i="27"/>
  <c r="K2314" i="27" s="1"/>
  <c r="L2314" i="27" s="1"/>
  <c r="H2314" i="27"/>
  <c r="I2314" i="27"/>
  <c r="F2272" i="27"/>
  <c r="G2272" i="27"/>
  <c r="K2272" i="27" s="1"/>
  <c r="L2272" i="27" s="1"/>
  <c r="H2272" i="27"/>
  <c r="I2272" i="27"/>
  <c r="F2233" i="27"/>
  <c r="G2233" i="27"/>
  <c r="H2233" i="27"/>
  <c r="I2233" i="27"/>
  <c r="K2233" i="27"/>
  <c r="L2233" i="27" s="1"/>
  <c r="F2200" i="27"/>
  <c r="G2200" i="27"/>
  <c r="H2200" i="27"/>
  <c r="I2200" i="27"/>
  <c r="F2155" i="27"/>
  <c r="G2155" i="27"/>
  <c r="H2155" i="27"/>
  <c r="I2155" i="27"/>
  <c r="F2127" i="27"/>
  <c r="G2127" i="27"/>
  <c r="H2127" i="27"/>
  <c r="K2127" i="27" s="1"/>
  <c r="L2127" i="27" s="1"/>
  <c r="I2127" i="27"/>
  <c r="F2094" i="27"/>
  <c r="G2094" i="27"/>
  <c r="K2094" i="27" s="1"/>
  <c r="L2094" i="27" s="1"/>
  <c r="H2094" i="27"/>
  <c r="I2094" i="27"/>
  <c r="F2061" i="27"/>
  <c r="G2061" i="27"/>
  <c r="H2061" i="27"/>
  <c r="K2061" i="27" s="1"/>
  <c r="L2061" i="27" s="1"/>
  <c r="I2061" i="27"/>
  <c r="F2022" i="27"/>
  <c r="G2022" i="27"/>
  <c r="K2022" i="27" s="1"/>
  <c r="L2022" i="27" s="1"/>
  <c r="H2022" i="27"/>
  <c r="I2022" i="27"/>
  <c r="F1990" i="27"/>
  <c r="G1990" i="27"/>
  <c r="K1990" i="27" s="1"/>
  <c r="H1990" i="27"/>
  <c r="I1990" i="27"/>
  <c r="F1951" i="27"/>
  <c r="M1951" i="27" s="1"/>
  <c r="G1951" i="27"/>
  <c r="K1951" i="27" s="1"/>
  <c r="L1951" i="27" s="1"/>
  <c r="H1951" i="27"/>
  <c r="I1951" i="27"/>
  <c r="F1918" i="27"/>
  <c r="K1918" i="27" s="1"/>
  <c r="L1918" i="27" s="1"/>
  <c r="G1918" i="27"/>
  <c r="H1918" i="27"/>
  <c r="I1918" i="27"/>
  <c r="F1880" i="27"/>
  <c r="G1880" i="27"/>
  <c r="H1880" i="27"/>
  <c r="I1880" i="27"/>
  <c r="F1838" i="27"/>
  <c r="G1838" i="27"/>
  <c r="H1838" i="27"/>
  <c r="K1838" i="27" s="1"/>
  <c r="I1838" i="27"/>
  <c r="F1791" i="27"/>
  <c r="G1791" i="27"/>
  <c r="K1791" i="27" s="1"/>
  <c r="L1791" i="27" s="1"/>
  <c r="H1791" i="27"/>
  <c r="I1791" i="27"/>
  <c r="F1755" i="27"/>
  <c r="G1755" i="27"/>
  <c r="H1755" i="27"/>
  <c r="K1755" i="27" s="1"/>
  <c r="L1755" i="27" s="1"/>
  <c r="I1755" i="27"/>
  <c r="F1722" i="27"/>
  <c r="G1722" i="27"/>
  <c r="K1722" i="27" s="1"/>
  <c r="L1722" i="27" s="1"/>
  <c r="H1722" i="27"/>
  <c r="I1722" i="27"/>
  <c r="F1679" i="27"/>
  <c r="G1679" i="27"/>
  <c r="H1679" i="27"/>
  <c r="I1679" i="27"/>
  <c r="K1679" i="27"/>
  <c r="L1679" i="27" s="1"/>
  <c r="F1642" i="27"/>
  <c r="G1642" i="27"/>
  <c r="H1642" i="27"/>
  <c r="I1642" i="27"/>
  <c r="K1642" i="27" s="1"/>
  <c r="L1642" i="27" s="1"/>
  <c r="F1608" i="27"/>
  <c r="G1608" i="27"/>
  <c r="H1608" i="27"/>
  <c r="K1608" i="27" s="1"/>
  <c r="L1608" i="27" s="1"/>
  <c r="I1608" i="27"/>
  <c r="F1575" i="27"/>
  <c r="G1575" i="27"/>
  <c r="H1575" i="27"/>
  <c r="I1575" i="27"/>
  <c r="F1534" i="27"/>
  <c r="G1534" i="27"/>
  <c r="H1534" i="27"/>
  <c r="I1534" i="27"/>
  <c r="F1498" i="27"/>
  <c r="K1498" i="27" s="1"/>
  <c r="L1498" i="27" s="1"/>
  <c r="G1498" i="27"/>
  <c r="H1498" i="27"/>
  <c r="I1498" i="27"/>
  <c r="F1460" i="27"/>
  <c r="G1460" i="27"/>
  <c r="H1460" i="27"/>
  <c r="I1460" i="27"/>
  <c r="K1460" i="27" s="1"/>
  <c r="L1460" i="27" s="1"/>
  <c r="F1422" i="27"/>
  <c r="G1422" i="27"/>
  <c r="H1422" i="27"/>
  <c r="I1422" i="27"/>
  <c r="F1377" i="27"/>
  <c r="G1377" i="27"/>
  <c r="H1377" i="27"/>
  <c r="I1377" i="27"/>
  <c r="F1332" i="27"/>
  <c r="G1332" i="27"/>
  <c r="H1332" i="27"/>
  <c r="I1332" i="27"/>
  <c r="K1332" i="27"/>
  <c r="F1293" i="27"/>
  <c r="M1293" i="27" s="1"/>
  <c r="G1293" i="27"/>
  <c r="H1293" i="27"/>
  <c r="I1293" i="27"/>
  <c r="K1293" i="27" s="1"/>
  <c r="L1293" i="27" s="1"/>
  <c r="F1250" i="27"/>
  <c r="G1250" i="27"/>
  <c r="H1250" i="27"/>
  <c r="I1250" i="27"/>
  <c r="F1214" i="27"/>
  <c r="G1214" i="27"/>
  <c r="H1214" i="27"/>
  <c r="I1214" i="27"/>
  <c r="K1214" i="27"/>
  <c r="L1214" i="27" s="1"/>
  <c r="F1173" i="27"/>
  <c r="G1173" i="27"/>
  <c r="H1173" i="27"/>
  <c r="I1173" i="27"/>
  <c r="F1143" i="27"/>
  <c r="K1143" i="27" s="1"/>
  <c r="L1143" i="27" s="1"/>
  <c r="G1143" i="27"/>
  <c r="H1143" i="27"/>
  <c r="I1143" i="27"/>
  <c r="F1097" i="27"/>
  <c r="G1097" i="27"/>
  <c r="H1097" i="27"/>
  <c r="I1097" i="27"/>
  <c r="F1055" i="27"/>
  <c r="G1055" i="27"/>
  <c r="H1055" i="27"/>
  <c r="I1055" i="27"/>
  <c r="K1055" i="27"/>
  <c r="F1018" i="27"/>
  <c r="G1018" i="27"/>
  <c r="H1018" i="27"/>
  <c r="I1018" i="27"/>
  <c r="K1018" i="27" s="1"/>
  <c r="L1018" i="27" s="1"/>
  <c r="F986" i="27"/>
  <c r="G986" i="27"/>
  <c r="H986" i="27"/>
  <c r="K986" i="27" s="1"/>
  <c r="L986" i="27" s="1"/>
  <c r="I986" i="27"/>
  <c r="F948" i="27"/>
  <c r="G948" i="27"/>
  <c r="H948" i="27"/>
  <c r="I948" i="27"/>
  <c r="F909" i="27"/>
  <c r="G909" i="27"/>
  <c r="H909" i="27"/>
  <c r="K909" i="27" s="1"/>
  <c r="L909" i="27" s="1"/>
  <c r="I909" i="27"/>
  <c r="F866" i="27"/>
  <c r="G866" i="27"/>
  <c r="K866" i="27" s="1"/>
  <c r="L866" i="27" s="1"/>
  <c r="H866" i="27"/>
  <c r="I866" i="27"/>
  <c r="F818" i="27"/>
  <c r="K818" i="27" s="1"/>
  <c r="L818" i="27" s="1"/>
  <c r="G818" i="27"/>
  <c r="H818" i="27"/>
  <c r="I818" i="27"/>
  <c r="F772" i="27"/>
  <c r="G772" i="27"/>
  <c r="H772" i="27"/>
  <c r="I772" i="27"/>
  <c r="F730" i="27"/>
  <c r="G730" i="27"/>
  <c r="K730" i="27" s="1"/>
  <c r="L730" i="27" s="1"/>
  <c r="H730" i="27"/>
  <c r="I730" i="27"/>
  <c r="F698" i="27"/>
  <c r="G698" i="27"/>
  <c r="K698" i="27" s="1"/>
  <c r="L698" i="27" s="1"/>
  <c r="H698" i="27"/>
  <c r="I698" i="27"/>
  <c r="F655" i="27"/>
  <c r="G655" i="27"/>
  <c r="H655" i="27"/>
  <c r="I655" i="27"/>
  <c r="K655" i="27"/>
  <c r="F618" i="27"/>
  <c r="G618" i="27"/>
  <c r="H618" i="27"/>
  <c r="I618" i="27"/>
  <c r="F576" i="27"/>
  <c r="G576" i="27"/>
  <c r="H576" i="27"/>
  <c r="I576" i="27"/>
  <c r="K576" i="27"/>
  <c r="L576" i="27" s="1"/>
  <c r="F539" i="27"/>
  <c r="G539" i="27"/>
  <c r="H539" i="27"/>
  <c r="I539" i="27"/>
  <c r="F504" i="27"/>
  <c r="G504" i="27"/>
  <c r="H504" i="27"/>
  <c r="I504" i="27"/>
  <c r="K504" i="27"/>
  <c r="F465" i="27"/>
  <c r="G465" i="27"/>
  <c r="H465" i="27"/>
  <c r="I465" i="27"/>
  <c r="F429" i="27"/>
  <c r="G429" i="27"/>
  <c r="K429" i="27" s="1"/>
  <c r="L429" i="27" s="1"/>
  <c r="H429" i="27"/>
  <c r="I429" i="27"/>
  <c r="F378" i="27"/>
  <c r="M378" i="27" s="1"/>
  <c r="G378" i="27"/>
  <c r="H378" i="27"/>
  <c r="I378" i="27"/>
  <c r="F343" i="27"/>
  <c r="G343" i="27"/>
  <c r="H343" i="27"/>
  <c r="I343" i="27"/>
  <c r="F301" i="27"/>
  <c r="G301" i="27"/>
  <c r="K301" i="27" s="1"/>
  <c r="L301" i="27" s="1"/>
  <c r="H301" i="27"/>
  <c r="I301" i="27"/>
  <c r="F254" i="27"/>
  <c r="G254" i="27"/>
  <c r="K254" i="27" s="1"/>
  <c r="L254" i="27" s="1"/>
  <c r="H254" i="27"/>
  <c r="I254" i="27"/>
  <c r="F214" i="27"/>
  <c r="G214" i="27"/>
  <c r="H214" i="27"/>
  <c r="I214" i="27"/>
  <c r="K214" i="27"/>
  <c r="F182" i="27"/>
  <c r="G182" i="27"/>
  <c r="H182" i="27"/>
  <c r="I182" i="27"/>
  <c r="F138" i="27"/>
  <c r="G138" i="27"/>
  <c r="K138" i="27" s="1"/>
  <c r="L138" i="27" s="1"/>
  <c r="H138" i="27"/>
  <c r="I138" i="27"/>
  <c r="G113" i="27"/>
  <c r="H113" i="27"/>
  <c r="I113" i="27"/>
  <c r="F75" i="27"/>
  <c r="G75" i="27"/>
  <c r="H75" i="27"/>
  <c r="K75" i="27" s="1"/>
  <c r="L75" i="27" s="1"/>
  <c r="I75" i="27"/>
  <c r="F41" i="27"/>
  <c r="G41" i="27"/>
  <c r="K41" i="27" s="1"/>
  <c r="L41" i="27" s="1"/>
  <c r="H41" i="27"/>
  <c r="I41" i="27"/>
  <c r="C6816" i="27"/>
  <c r="J6814" i="27"/>
  <c r="J6775" i="27"/>
  <c r="J6732" i="27"/>
  <c r="J6708" i="27"/>
  <c r="J6667" i="27"/>
  <c r="J6631" i="27"/>
  <c r="J6596" i="27"/>
  <c r="J6559" i="27"/>
  <c r="J6517" i="27"/>
  <c r="J6481" i="27"/>
  <c r="J6445" i="27"/>
  <c r="J6405" i="27"/>
  <c r="J6369" i="27"/>
  <c r="J6327" i="27"/>
  <c r="J6291" i="27"/>
  <c r="J6256" i="27"/>
  <c r="J6220" i="27"/>
  <c r="J6187" i="27"/>
  <c r="J6151" i="27"/>
  <c r="J6133" i="27"/>
  <c r="J6093" i="27"/>
  <c r="J6044" i="27"/>
  <c r="J6005" i="27"/>
  <c r="J5966" i="27"/>
  <c r="J5935" i="27"/>
  <c r="J5901" i="27"/>
  <c r="J5862" i="27"/>
  <c r="J5821" i="27"/>
  <c r="J5793" i="27"/>
  <c r="J5762" i="27"/>
  <c r="J5721" i="27"/>
  <c r="J5688" i="27"/>
  <c r="J5657" i="27"/>
  <c r="J5605" i="27"/>
  <c r="J5558" i="27"/>
  <c r="J5519" i="27"/>
  <c r="J5478" i="27"/>
  <c r="J5440" i="27"/>
  <c r="J5410" i="27"/>
  <c r="J5371" i="27"/>
  <c r="J5330" i="27"/>
  <c r="J5292" i="27"/>
  <c r="J5256" i="27"/>
  <c r="J5223" i="27"/>
  <c r="J5180" i="27"/>
  <c r="J5141" i="27"/>
  <c r="J5104" i="27"/>
  <c r="J5070" i="27"/>
  <c r="J5036" i="27"/>
  <c r="J4999" i="27"/>
  <c r="J4970" i="27"/>
  <c r="J4941" i="27"/>
  <c r="J4902" i="27"/>
  <c r="J4869" i="27"/>
  <c r="J4829" i="27"/>
  <c r="J4788" i="27"/>
  <c r="J4752" i="27"/>
  <c r="J4717" i="27"/>
  <c r="J4682" i="27"/>
  <c r="J4647" i="27"/>
  <c r="J4604" i="27"/>
  <c r="J4567" i="27"/>
  <c r="J4532" i="27"/>
  <c r="J4498" i="27"/>
  <c r="J4459" i="27"/>
  <c r="J4425" i="27"/>
  <c r="J4386" i="27"/>
  <c r="J4353" i="27"/>
  <c r="J4317" i="27"/>
  <c r="J4279" i="27"/>
  <c r="J4242" i="27"/>
  <c r="J4205" i="27"/>
  <c r="J4166" i="27"/>
  <c r="J4131" i="27"/>
  <c r="J4090" i="27"/>
  <c r="J4037" i="27"/>
  <c r="J4004" i="27"/>
  <c r="J3972" i="27"/>
  <c r="J3938" i="27"/>
  <c r="J3902" i="27"/>
  <c r="J3863" i="27"/>
  <c r="J3834" i="27"/>
  <c r="J3798" i="27"/>
  <c r="J3769" i="27"/>
  <c r="J3729" i="27"/>
  <c r="J3692" i="27"/>
  <c r="J3654" i="27"/>
  <c r="J3618" i="27"/>
  <c r="J3577" i="27"/>
  <c r="J3537" i="27"/>
  <c r="J3498" i="27"/>
  <c r="J3459" i="27"/>
  <c r="J3418" i="27"/>
  <c r="J3382" i="27"/>
  <c r="J3346" i="27"/>
  <c r="J3310" i="27"/>
  <c r="J3266" i="27"/>
  <c r="J3222" i="27"/>
  <c r="J3193" i="27"/>
  <c r="J3152" i="27"/>
  <c r="J3119" i="27"/>
  <c r="J3081" i="27"/>
  <c r="J3042" i="27"/>
  <c r="J2999" i="27"/>
  <c r="J2957" i="27"/>
  <c r="J2907" i="27"/>
  <c r="J2868" i="27"/>
  <c r="J2835" i="27"/>
  <c r="J2799" i="27"/>
  <c r="J2760" i="27"/>
  <c r="J2724" i="27"/>
  <c r="J2696" i="27"/>
  <c r="J2646" i="27"/>
  <c r="J2600" i="27"/>
  <c r="J2547" i="27"/>
  <c r="J2510" i="27"/>
  <c r="J2472" i="27"/>
  <c r="J2428" i="27"/>
  <c r="J2388" i="27"/>
  <c r="J2351" i="27"/>
  <c r="J2314" i="27"/>
  <c r="J2272" i="27"/>
  <c r="J2233" i="27"/>
  <c r="J2200" i="27"/>
  <c r="J2155" i="27"/>
  <c r="J2127" i="27"/>
  <c r="J2094" i="27"/>
  <c r="J2061" i="27"/>
  <c r="J2022" i="27"/>
  <c r="J1990" i="27"/>
  <c r="J1951" i="27"/>
  <c r="J1918" i="27"/>
  <c r="J1880" i="27"/>
  <c r="J1838" i="27"/>
  <c r="J1791" i="27"/>
  <c r="J1755" i="27"/>
  <c r="J1722" i="27"/>
  <c r="J1679" i="27"/>
  <c r="J1642" i="27"/>
  <c r="J1608" i="27"/>
  <c r="J1575" i="27"/>
  <c r="J1534" i="27"/>
  <c r="J1498" i="27"/>
  <c r="J1460" i="27"/>
  <c r="J1422" i="27"/>
  <c r="J1377" i="27"/>
  <c r="J1332" i="27"/>
  <c r="J1293" i="27"/>
  <c r="J1250" i="27"/>
  <c r="J1214" i="27"/>
  <c r="J1173" i="27"/>
  <c r="J1143" i="27"/>
  <c r="J1097" i="27"/>
  <c r="J1055" i="27"/>
  <c r="J1018" i="27"/>
  <c r="J986" i="27"/>
  <c r="J948" i="27"/>
  <c r="J909" i="27"/>
  <c r="J866" i="27"/>
  <c r="J818" i="27"/>
  <c r="J772" i="27"/>
  <c r="J730" i="27"/>
  <c r="J698" i="27"/>
  <c r="J655" i="27"/>
  <c r="J618" i="27"/>
  <c r="J576" i="27"/>
  <c r="J539" i="27"/>
  <c r="J504" i="27"/>
  <c r="J465" i="27"/>
  <c r="J429" i="27"/>
  <c r="J378" i="27"/>
  <c r="J343" i="27"/>
  <c r="J301" i="27"/>
  <c r="J254" i="27"/>
  <c r="J214" i="27"/>
  <c r="J182" i="27"/>
  <c r="J138" i="27"/>
  <c r="J113" i="27"/>
  <c r="J75" i="27"/>
  <c r="J41" i="27"/>
  <c r="L6291" i="27"/>
  <c r="N6093" i="27"/>
  <c r="M6093" i="27"/>
  <c r="L6044" i="27"/>
  <c r="L6005" i="27"/>
  <c r="L5901" i="27"/>
  <c r="L5657" i="27"/>
  <c r="L5410" i="27"/>
  <c r="L5256" i="27"/>
  <c r="L5104" i="27"/>
  <c r="L4869" i="27"/>
  <c r="L4717" i="27"/>
  <c r="L4604" i="27"/>
  <c r="L4242" i="27"/>
  <c r="L4004" i="27"/>
  <c r="L3938" i="27"/>
  <c r="L3834" i="27"/>
  <c r="L3692" i="27"/>
  <c r="L3654" i="27"/>
  <c r="L3537" i="27"/>
  <c r="L3081" i="27"/>
  <c r="L2868" i="27"/>
  <c r="L2799" i="27"/>
  <c r="M2600" i="27"/>
  <c r="L2351" i="27"/>
  <c r="M2314" i="27"/>
  <c r="L1990" i="27"/>
  <c r="L1838" i="27"/>
  <c r="N1722" i="27"/>
  <c r="M1722" i="27"/>
  <c r="L1332" i="27"/>
  <c r="L1055" i="27"/>
  <c r="M986" i="27"/>
  <c r="L655" i="27"/>
  <c r="L504" i="27"/>
  <c r="L214" i="27"/>
  <c r="G14" i="38"/>
  <c r="E14" i="38"/>
  <c r="F14" i="38" s="1"/>
  <c r="D14" i="38"/>
  <c r="G11" i="38"/>
  <c r="E11" i="38"/>
  <c r="F11" i="38" s="1"/>
  <c r="D11" i="38"/>
  <c r="G7" i="38"/>
  <c r="E7" i="38"/>
  <c r="F7" i="38" s="1"/>
  <c r="D7" i="38"/>
  <c r="G6" i="38"/>
  <c r="E6" i="38"/>
  <c r="F6" i="38" s="1"/>
  <c r="D6" i="38"/>
  <c r="G5" i="38"/>
  <c r="G4" i="38"/>
  <c r="H3" i="38"/>
  <c r="G3" i="38"/>
  <c r="E3" i="38"/>
  <c r="D3" i="38"/>
  <c r="J71" i="42"/>
  <c r="I71" i="42"/>
  <c r="H71" i="42"/>
  <c r="G71" i="42"/>
  <c r="F71" i="42"/>
  <c r="J63" i="42"/>
  <c r="I63" i="42"/>
  <c r="H63" i="42"/>
  <c r="G63" i="42"/>
  <c r="F63" i="42"/>
  <c r="J55" i="42"/>
  <c r="I55" i="42"/>
  <c r="H55" i="42"/>
  <c r="G55" i="42"/>
  <c r="F55" i="42"/>
  <c r="H42" i="42"/>
  <c r="G42" i="42"/>
  <c r="F42" i="42"/>
  <c r="J35" i="42"/>
  <c r="I35" i="42"/>
  <c r="H35" i="42"/>
  <c r="G35" i="42"/>
  <c r="F35" i="42"/>
  <c r="J23" i="42"/>
  <c r="I23" i="42"/>
  <c r="H23" i="42"/>
  <c r="G23" i="42"/>
  <c r="F23" i="42"/>
  <c r="I16" i="42"/>
  <c r="H16" i="42"/>
  <c r="G16" i="42"/>
  <c r="C344" i="43"/>
  <c r="C949" i="43"/>
  <c r="C1251" i="43"/>
  <c r="C1680" i="43"/>
  <c r="C1839" i="43"/>
  <c r="C2273" i="43"/>
  <c r="C2511" i="43"/>
  <c r="C2548" i="43"/>
  <c r="C3864" i="43"/>
  <c r="C4091" i="43"/>
  <c r="C6045" i="43"/>
  <c r="C6816" i="43"/>
  <c r="C6821" i="43" s="1"/>
  <c r="J6814" i="43"/>
  <c r="J6775" i="43"/>
  <c r="J6732" i="43"/>
  <c r="J6708" i="43"/>
  <c r="J6667" i="43"/>
  <c r="J6631" i="43"/>
  <c r="J6596" i="43"/>
  <c r="J6559" i="43"/>
  <c r="J6517" i="43"/>
  <c r="J6481" i="43"/>
  <c r="J6445" i="43"/>
  <c r="J6405" i="43"/>
  <c r="J6369" i="43"/>
  <c r="J6327" i="43"/>
  <c r="J6291" i="43"/>
  <c r="J6256" i="43"/>
  <c r="J6220" i="43"/>
  <c r="J6187" i="43"/>
  <c r="J6151" i="43"/>
  <c r="J6133" i="43"/>
  <c r="J6093" i="43"/>
  <c r="J6044" i="43"/>
  <c r="J6005" i="43"/>
  <c r="J5966" i="43"/>
  <c r="J5935" i="43"/>
  <c r="J5901" i="43"/>
  <c r="J5862" i="43"/>
  <c r="J5821" i="43"/>
  <c r="J5793" i="43"/>
  <c r="J5762" i="43"/>
  <c r="J5721" i="43"/>
  <c r="J5688" i="43"/>
  <c r="J5657" i="43"/>
  <c r="J5605" i="43"/>
  <c r="J5558" i="43"/>
  <c r="J5519" i="43"/>
  <c r="J5478" i="43"/>
  <c r="J5440" i="43"/>
  <c r="J5410" i="43"/>
  <c r="J5371" i="43"/>
  <c r="J5330" i="43"/>
  <c r="J5292" i="43"/>
  <c r="J5256" i="43"/>
  <c r="J5223" i="43"/>
  <c r="J5180" i="43"/>
  <c r="J5141" i="43"/>
  <c r="J5104" i="43"/>
  <c r="J5070" i="43"/>
  <c r="J5036" i="43"/>
  <c r="J4999" i="43"/>
  <c r="J4970" i="43"/>
  <c r="J4941" i="43"/>
  <c r="J4902" i="43"/>
  <c r="J4869" i="43"/>
  <c r="J4829" i="43"/>
  <c r="J4788" i="43"/>
  <c r="J4752" i="43"/>
  <c r="J4717" i="43"/>
  <c r="J4682" i="43"/>
  <c r="J4647" i="43"/>
  <c r="J4604" i="43"/>
  <c r="J4567" i="43"/>
  <c r="J4532" i="43"/>
  <c r="J4498" i="43"/>
  <c r="J4459" i="43"/>
  <c r="J4425" i="43"/>
  <c r="J4386" i="43"/>
  <c r="J4353" i="43"/>
  <c r="J4317" i="43"/>
  <c r="J4279" i="43"/>
  <c r="J4242" i="43"/>
  <c r="J4205" i="43"/>
  <c r="J4166" i="43"/>
  <c r="J4131" i="43"/>
  <c r="J4090" i="43"/>
  <c r="J4037" i="43"/>
  <c r="J4004" i="43"/>
  <c r="J3972" i="43"/>
  <c r="J3938" i="43"/>
  <c r="J3902" i="43"/>
  <c r="J3863" i="43"/>
  <c r="J3834" i="43"/>
  <c r="J3798" i="43"/>
  <c r="J3769" i="43"/>
  <c r="J3729" i="43"/>
  <c r="J3692" i="43"/>
  <c r="J3654" i="43"/>
  <c r="J3618" i="43"/>
  <c r="J3577" i="43"/>
  <c r="J3537" i="43"/>
  <c r="J3498" i="43"/>
  <c r="J3459" i="43"/>
  <c r="J3418" i="43"/>
  <c r="J3382" i="43"/>
  <c r="J3346" i="43"/>
  <c r="J3310" i="43"/>
  <c r="J3266" i="43"/>
  <c r="J3222" i="43"/>
  <c r="J3193" i="43"/>
  <c r="J3152" i="43"/>
  <c r="J3119" i="43"/>
  <c r="J3081" i="43"/>
  <c r="J3042" i="43"/>
  <c r="J2999" i="43"/>
  <c r="J2957" i="43"/>
  <c r="J2907" i="43"/>
  <c r="J2868" i="43"/>
  <c r="J2835" i="43"/>
  <c r="J2799" i="43"/>
  <c r="J2760" i="43"/>
  <c r="J2724" i="43"/>
  <c r="J2696" i="43"/>
  <c r="J2646" i="43"/>
  <c r="J2600" i="43"/>
  <c r="J2547" i="43"/>
  <c r="J2510" i="43"/>
  <c r="J2472" i="43"/>
  <c r="J2428" i="43"/>
  <c r="J2388" i="43"/>
  <c r="J2351" i="43"/>
  <c r="J2314" i="43"/>
  <c r="J2272" i="43"/>
  <c r="J2233" i="43"/>
  <c r="J2200" i="43"/>
  <c r="J2155" i="43"/>
  <c r="J2127" i="43"/>
  <c r="J2094" i="43"/>
  <c r="J2061" i="43"/>
  <c r="J2022" i="43"/>
  <c r="J1990" i="43"/>
  <c r="J1951" i="43"/>
  <c r="J1918" i="43"/>
  <c r="J1880" i="43"/>
  <c r="J1838" i="43"/>
  <c r="J1791" i="43"/>
  <c r="J1755" i="43"/>
  <c r="J1722" i="43"/>
  <c r="J1679" i="43"/>
  <c r="J1642" i="43"/>
  <c r="J1608" i="43"/>
  <c r="J1575" i="43"/>
  <c r="J1534" i="43"/>
  <c r="J1498" i="43"/>
  <c r="J1460" i="43"/>
  <c r="J1422" i="43"/>
  <c r="J1377" i="43"/>
  <c r="J1332" i="43"/>
  <c r="J1293" i="43"/>
  <c r="J1250" i="43"/>
  <c r="J1214" i="43"/>
  <c r="J1173" i="43"/>
  <c r="J1143" i="43"/>
  <c r="J1097" i="43"/>
  <c r="J1055" i="43"/>
  <c r="J1018" i="43"/>
  <c r="J986" i="43"/>
  <c r="J948" i="43"/>
  <c r="J909" i="43"/>
  <c r="J866" i="43"/>
  <c r="J818" i="43"/>
  <c r="J772" i="43"/>
  <c r="J730" i="43"/>
  <c r="J698" i="43"/>
  <c r="J655" i="43"/>
  <c r="J618" i="43"/>
  <c r="J576" i="43"/>
  <c r="J539" i="43"/>
  <c r="J504" i="43"/>
  <c r="J465" i="43"/>
  <c r="J429" i="43"/>
  <c r="J378" i="43"/>
  <c r="J343" i="43"/>
  <c r="J301" i="43"/>
  <c r="J254" i="43"/>
  <c r="J214" i="43"/>
  <c r="J182" i="43"/>
  <c r="J138" i="43"/>
  <c r="J113" i="43"/>
  <c r="J75" i="43"/>
  <c r="J41" i="43"/>
  <c r="J6816" i="43"/>
  <c r="J6821" i="43" s="1"/>
  <c r="K6814" i="43"/>
  <c r="K6775" i="43"/>
  <c r="K6732" i="43"/>
  <c r="L6732" i="43" s="1"/>
  <c r="K6708" i="43"/>
  <c r="L6708" i="43" s="1"/>
  <c r="K6667" i="43"/>
  <c r="K6631" i="43"/>
  <c r="K6596" i="43"/>
  <c r="L6596" i="43" s="1"/>
  <c r="K6517" i="43"/>
  <c r="K6481" i="43"/>
  <c r="K6445" i="43"/>
  <c r="L6445" i="43" s="1"/>
  <c r="K6405" i="43"/>
  <c r="K6369" i="43"/>
  <c r="K6327" i="43"/>
  <c r="K6291" i="43"/>
  <c r="L6291" i="43" s="1"/>
  <c r="K6256" i="43"/>
  <c r="L6256" i="43" s="1"/>
  <c r="K6220" i="43"/>
  <c r="K6187" i="43"/>
  <c r="K6151" i="43"/>
  <c r="L6151" i="43" s="1"/>
  <c r="K6133" i="43"/>
  <c r="K6093" i="43"/>
  <c r="L6093" i="43" s="1"/>
  <c r="K6044" i="43"/>
  <c r="K6005" i="43"/>
  <c r="L6005" i="43" s="1"/>
  <c r="K5966" i="43"/>
  <c r="L5966" i="43" s="1"/>
  <c r="K5935" i="43"/>
  <c r="L5935" i="43" s="1"/>
  <c r="K5901" i="43"/>
  <c r="K5862" i="43"/>
  <c r="K5821" i="43"/>
  <c r="K5793" i="43"/>
  <c r="L5793" i="43" s="1"/>
  <c r="K5762" i="43"/>
  <c r="K5721" i="43"/>
  <c r="L5721" i="43" s="1"/>
  <c r="K5688" i="43"/>
  <c r="K5657" i="43"/>
  <c r="L5657" i="43" s="1"/>
  <c r="K5605" i="43"/>
  <c r="K5558" i="43"/>
  <c r="L5558" i="43" s="1"/>
  <c r="K5519" i="43"/>
  <c r="K5478" i="43"/>
  <c r="L5478" i="43" s="1"/>
  <c r="K5440" i="43"/>
  <c r="K5410" i="43"/>
  <c r="L5410" i="43" s="1"/>
  <c r="K5371" i="43"/>
  <c r="L5371" i="43" s="1"/>
  <c r="K5330" i="43"/>
  <c r="L5330" i="43" s="1"/>
  <c r="K5292" i="43"/>
  <c r="K5256" i="43"/>
  <c r="L5256" i="43" s="1"/>
  <c r="K5223" i="43"/>
  <c r="L5223" i="43" s="1"/>
  <c r="K5180" i="43"/>
  <c r="L5180" i="43" s="1"/>
  <c r="K5141" i="43"/>
  <c r="K5104" i="43"/>
  <c r="L5104" i="43" s="1"/>
  <c r="K5070" i="43"/>
  <c r="K5036" i="43"/>
  <c r="L5036" i="43" s="1"/>
  <c r="K4999" i="43"/>
  <c r="K4970" i="43"/>
  <c r="L4970" i="43" s="1"/>
  <c r="K4941" i="43"/>
  <c r="K4902" i="43"/>
  <c r="L4902" i="43" s="1"/>
  <c r="K4869" i="43"/>
  <c r="K4829" i="43"/>
  <c r="K4788" i="43"/>
  <c r="L4788" i="43" s="1"/>
  <c r="K4752" i="43"/>
  <c r="L4752" i="43" s="1"/>
  <c r="K4717" i="43"/>
  <c r="K4682" i="43"/>
  <c r="L4682" i="43" s="1"/>
  <c r="K4647" i="43"/>
  <c r="K4604" i="43"/>
  <c r="L4604" i="43" s="1"/>
  <c r="K4567" i="43"/>
  <c r="K4532" i="43"/>
  <c r="L4532" i="43" s="1"/>
  <c r="K4498" i="43"/>
  <c r="K4459" i="43"/>
  <c r="L4459" i="43" s="1"/>
  <c r="K4425" i="43"/>
  <c r="K4386" i="43"/>
  <c r="L4386" i="43" s="1"/>
  <c r="K4353" i="43"/>
  <c r="K4317" i="43"/>
  <c r="L4317" i="43" s="1"/>
  <c r="K4279" i="43"/>
  <c r="K4242" i="43"/>
  <c r="L4242" i="43" s="1"/>
  <c r="K4205" i="43"/>
  <c r="L4205" i="43" s="1"/>
  <c r="K4166" i="43"/>
  <c r="L4166" i="43" s="1"/>
  <c r="K4090" i="43"/>
  <c r="K4037" i="43"/>
  <c r="L4037" i="43" s="1"/>
  <c r="K4004" i="43"/>
  <c r="L4004" i="43" s="1"/>
  <c r="K3972" i="43"/>
  <c r="K3938" i="43"/>
  <c r="L3938" i="43" s="1"/>
  <c r="K3902" i="43"/>
  <c r="L3902" i="43" s="1"/>
  <c r="K3863" i="43"/>
  <c r="L3863" i="43" s="1"/>
  <c r="K3834" i="43"/>
  <c r="K3798" i="43"/>
  <c r="L3798" i="43" s="1"/>
  <c r="K3769" i="43"/>
  <c r="K3729" i="43"/>
  <c r="L3729" i="43" s="1"/>
  <c r="K3692" i="43"/>
  <c r="K3654" i="43"/>
  <c r="K3618" i="43"/>
  <c r="L3618" i="43" s="1"/>
  <c r="K3577" i="43"/>
  <c r="L3577" i="43" s="1"/>
  <c r="K3537" i="43"/>
  <c r="K3498" i="43"/>
  <c r="K3459" i="43"/>
  <c r="L3459" i="43" s="1"/>
  <c r="K3418" i="43"/>
  <c r="L3418" i="43" s="1"/>
  <c r="K3382" i="43"/>
  <c r="K3346" i="43"/>
  <c r="L3346" i="43" s="1"/>
  <c r="K3310" i="43"/>
  <c r="L3310" i="43" s="1"/>
  <c r="K3266" i="43"/>
  <c r="L3266" i="43" s="1"/>
  <c r="K3222" i="43"/>
  <c r="K3193" i="43"/>
  <c r="L3193" i="43" s="1"/>
  <c r="K3152" i="43"/>
  <c r="L3152" i="43" s="1"/>
  <c r="K3119" i="43"/>
  <c r="L3119" i="43" s="1"/>
  <c r="K3081" i="43"/>
  <c r="K3042" i="43"/>
  <c r="K2999" i="43"/>
  <c r="L2999" i="43" s="1"/>
  <c r="K2957" i="43"/>
  <c r="L2957" i="43" s="1"/>
  <c r="K2907" i="43"/>
  <c r="K2868" i="43"/>
  <c r="L2868" i="43" s="1"/>
  <c r="K2835" i="43"/>
  <c r="L2835" i="43" s="1"/>
  <c r="K2799" i="43"/>
  <c r="L2799" i="43" s="1"/>
  <c r="K2760" i="43"/>
  <c r="K2724" i="43"/>
  <c r="K2696" i="43"/>
  <c r="K2646" i="43"/>
  <c r="L2646" i="43" s="1"/>
  <c r="K2510" i="43"/>
  <c r="K2472" i="43"/>
  <c r="K2428" i="43"/>
  <c r="K2388" i="43"/>
  <c r="L2388" i="43" s="1"/>
  <c r="K2351" i="43"/>
  <c r="K2272" i="43"/>
  <c r="K2233" i="43"/>
  <c r="K2200" i="43"/>
  <c r="K2155" i="43"/>
  <c r="L2155" i="43" s="1"/>
  <c r="K2127" i="43"/>
  <c r="K2094" i="43"/>
  <c r="K2061" i="43"/>
  <c r="K2022" i="43"/>
  <c r="L2022" i="43" s="1"/>
  <c r="K1990" i="43"/>
  <c r="K1951" i="43"/>
  <c r="K1918" i="43"/>
  <c r="L1918" i="43" s="1"/>
  <c r="K1838" i="43"/>
  <c r="K1791" i="43"/>
  <c r="K1755" i="43"/>
  <c r="L1755" i="43" s="1"/>
  <c r="K1679" i="43"/>
  <c r="K1642" i="43"/>
  <c r="K1608" i="43"/>
  <c r="K1575" i="43"/>
  <c r="K1534" i="43"/>
  <c r="K1498" i="43"/>
  <c r="K1460" i="43"/>
  <c r="K1422" i="43"/>
  <c r="K1377" i="43"/>
  <c r="K1332" i="43"/>
  <c r="K1250" i="43"/>
  <c r="K1214" i="43"/>
  <c r="K1173" i="43"/>
  <c r="K1143" i="43"/>
  <c r="L1143" i="43" s="1"/>
  <c r="K1097" i="43"/>
  <c r="L1097" i="43" s="1"/>
  <c r="K1055" i="43"/>
  <c r="K1018" i="43"/>
  <c r="K948" i="43"/>
  <c r="K909" i="43"/>
  <c r="K866" i="43"/>
  <c r="K818" i="43"/>
  <c r="K772" i="43"/>
  <c r="K730" i="43"/>
  <c r="K698" i="43"/>
  <c r="K655" i="43"/>
  <c r="K618" i="43"/>
  <c r="K576" i="43"/>
  <c r="K539" i="43"/>
  <c r="K504" i="43"/>
  <c r="K465" i="43"/>
  <c r="K429" i="43"/>
  <c r="K343" i="43"/>
  <c r="L343" i="43" s="1"/>
  <c r="K301" i="43"/>
  <c r="L301" i="43" s="1"/>
  <c r="K254" i="43"/>
  <c r="K214" i="43"/>
  <c r="K182" i="43"/>
  <c r="L182" i="43" s="1"/>
  <c r="K138" i="43"/>
  <c r="K113" i="43"/>
  <c r="K75" i="43"/>
  <c r="K41" i="43"/>
  <c r="L41" i="43" s="1"/>
  <c r="L6814" i="43"/>
  <c r="L6775" i="43"/>
  <c r="L6667" i="43"/>
  <c r="L6631" i="43"/>
  <c r="C6518" i="43"/>
  <c r="L6517" i="43"/>
  <c r="L6481" i="43"/>
  <c r="L6405" i="43"/>
  <c r="L6369" i="43"/>
  <c r="L6327" i="43"/>
  <c r="L6220" i="43"/>
  <c r="L6187" i="43"/>
  <c r="L6133" i="43"/>
  <c r="N6093" i="43"/>
  <c r="M6093" i="43"/>
  <c r="L6044" i="43"/>
  <c r="L5901" i="43"/>
  <c r="L5862" i="43"/>
  <c r="L5821" i="43"/>
  <c r="L5762" i="43"/>
  <c r="L5688" i="43"/>
  <c r="L5605" i="43"/>
  <c r="L5519" i="43"/>
  <c r="L5440" i="43"/>
  <c r="L5292" i="43"/>
  <c r="L5141" i="43"/>
  <c r="L5070" i="43"/>
  <c r="L4999" i="43"/>
  <c r="L4941" i="43"/>
  <c r="L4869" i="43"/>
  <c r="L4829" i="43"/>
  <c r="L4717" i="43"/>
  <c r="L4647" i="43"/>
  <c r="L4567" i="43"/>
  <c r="L4498" i="43"/>
  <c r="L4425" i="43"/>
  <c r="L4353" i="43"/>
  <c r="L4279" i="43"/>
  <c r="L4090" i="43"/>
  <c r="L3972" i="43"/>
  <c r="L3834" i="43"/>
  <c r="L3769" i="43"/>
  <c r="L3692" i="43"/>
  <c r="L3654" i="43"/>
  <c r="L3537" i="43"/>
  <c r="L3498" i="43"/>
  <c r="L3382" i="43"/>
  <c r="L3222" i="43"/>
  <c r="L3081" i="43"/>
  <c r="L3042" i="43"/>
  <c r="L2907" i="43"/>
  <c r="L2760" i="43"/>
  <c r="L2724" i="43"/>
  <c r="L2696" i="43"/>
  <c r="L2510" i="43"/>
  <c r="L2472" i="43"/>
  <c r="L2428" i="43"/>
  <c r="L2351" i="43"/>
  <c r="M2314" i="43"/>
  <c r="L2272" i="43"/>
  <c r="L2233" i="43"/>
  <c r="L2200" i="43"/>
  <c r="L2127" i="43"/>
  <c r="L2094" i="43"/>
  <c r="L2061" i="43"/>
  <c r="L1990" i="43"/>
  <c r="M1951" i="43"/>
  <c r="L1951" i="43"/>
  <c r="L1838" i="43"/>
  <c r="L1791" i="43"/>
  <c r="L1679" i="43"/>
  <c r="L1642" i="43"/>
  <c r="L1608" i="43"/>
  <c r="L1575" i="43"/>
  <c r="L1534" i="43"/>
  <c r="L1498" i="43"/>
  <c r="L1460" i="43"/>
  <c r="L1422" i="43"/>
  <c r="L1377" i="43"/>
  <c r="L1332" i="43"/>
  <c r="M1293" i="43"/>
  <c r="L1250" i="43"/>
  <c r="L1214" i="43"/>
  <c r="L1173" i="43"/>
  <c r="L1055" i="43"/>
  <c r="L1018" i="43"/>
  <c r="L948" i="43"/>
  <c r="L909" i="43"/>
  <c r="L866" i="43"/>
  <c r="L818" i="43"/>
  <c r="L772" i="43"/>
  <c r="L730" i="43"/>
  <c r="L698" i="43"/>
  <c r="L655" i="43"/>
  <c r="L618" i="43"/>
  <c r="L576" i="43"/>
  <c r="L539" i="43"/>
  <c r="L504" i="43"/>
  <c r="L465" i="43"/>
  <c r="L429" i="43"/>
  <c r="M378" i="43"/>
  <c r="L254" i="43"/>
  <c r="L214" i="43"/>
  <c r="L138" i="43"/>
  <c r="L113" i="43"/>
  <c r="L75" i="43"/>
  <c r="W55" i="89"/>
  <c r="W54" i="89"/>
  <c r="W53" i="89"/>
  <c r="W52" i="89"/>
  <c r="W51" i="89"/>
  <c r="Y56" i="89"/>
  <c r="E26" i="89" s="1"/>
  <c r="Y55" i="89"/>
  <c r="Y54" i="89"/>
  <c r="Y53" i="89"/>
  <c r="M26" i="89" s="1"/>
  <c r="Y52" i="89"/>
  <c r="Y51" i="89"/>
  <c r="X55" i="89"/>
  <c r="X54" i="89"/>
  <c r="X53" i="89"/>
  <c r="X52" i="89"/>
  <c r="X51" i="89"/>
  <c r="W49" i="89"/>
  <c r="W48" i="89"/>
  <c r="O30" i="89"/>
  <c r="U43" i="89"/>
  <c r="Q26" i="89"/>
  <c r="O26" i="89"/>
  <c r="K26" i="89"/>
  <c r="I26" i="89"/>
  <c r="Q6" i="89"/>
  <c r="O6" i="89"/>
  <c r="M6" i="89"/>
  <c r="K6" i="89"/>
  <c r="I6" i="89"/>
  <c r="Q5" i="89"/>
  <c r="O5" i="89"/>
  <c r="M5" i="89"/>
  <c r="K5" i="89"/>
  <c r="I5" i="89"/>
  <c r="C5" i="89"/>
  <c r="Q30" i="89"/>
  <c r="F8" i="90"/>
  <c r="N22" i="90" s="1"/>
  <c r="B23" i="90" s="1"/>
  <c r="Q20" i="88"/>
  <c r="Q24" i="88"/>
  <c r="E11" i="29" s="1"/>
  <c r="Q19" i="88"/>
  <c r="Q23" i="88" s="1"/>
  <c r="J33" i="88"/>
  <c r="I33" i="88"/>
  <c r="Q3" i="88"/>
  <c r="Q5" i="88" s="1"/>
  <c r="Q6" i="88"/>
  <c r="Z6" i="88" s="1"/>
  <c r="Q7" i="88"/>
  <c r="Z7" i="88"/>
  <c r="Q4" i="88"/>
  <c r="Z4" i="88"/>
  <c r="Z5" i="88"/>
  <c r="F22" i="88" a="1"/>
  <c r="F22" i="88" s="1"/>
  <c r="H22" i="88" s="1" a="1"/>
  <c r="H22" i="88" s="1"/>
  <c r="G28" i="88" a="1"/>
  <c r="G28" i="88"/>
  <c r="I28" i="88" s="1" a="1"/>
  <c r="I28" i="88" s="1"/>
  <c r="F28" i="88" a="1"/>
  <c r="F28" i="88" s="1"/>
  <c r="H28" i="88" s="1" a="1"/>
  <c r="H28" i="88" s="1"/>
  <c r="G27" i="88" a="1"/>
  <c r="G27" i="88"/>
  <c r="I27" i="88" s="1" a="1"/>
  <c r="I27" i="88" s="1"/>
  <c r="F27" i="88" a="1"/>
  <c r="F27" i="88" s="1"/>
  <c r="H27" i="88" s="1" a="1"/>
  <c r="H27" i="88" s="1"/>
  <c r="G26" i="88" a="1"/>
  <c r="G26" i="88"/>
  <c r="I26" i="88" s="1" a="1"/>
  <c r="I26" i="88" s="1"/>
  <c r="F26" i="88" a="1"/>
  <c r="F26" i="88" s="1"/>
  <c r="H26" i="88" s="1" a="1"/>
  <c r="H26" i="88" s="1"/>
  <c r="G25" i="88" a="1"/>
  <c r="G25" i="88"/>
  <c r="I25" i="88" s="1" a="1"/>
  <c r="I25" i="88" s="1"/>
  <c r="F25" i="88" a="1"/>
  <c r="F25" i="88" s="1"/>
  <c r="H25" i="88" s="1" a="1"/>
  <c r="H25" i="88" s="1"/>
  <c r="G24" i="88" a="1"/>
  <c r="G24" i="88"/>
  <c r="I24" i="88" s="1" a="1"/>
  <c r="I24" i="88" s="1"/>
  <c r="F24" i="88" a="1"/>
  <c r="F24" i="88" s="1"/>
  <c r="H24" i="88" s="1" a="1"/>
  <c r="H24" i="88" s="1"/>
  <c r="G23" i="88" a="1"/>
  <c r="G23" i="88"/>
  <c r="G29" i="88" s="1"/>
  <c r="F23" i="88" a="1"/>
  <c r="F23" i="88" s="1"/>
  <c r="G22" i="88" a="1"/>
  <c r="G22" i="88"/>
  <c r="I22" i="88" s="1" a="1"/>
  <c r="I22" i="88" s="1"/>
  <c r="R33" i="88"/>
  <c r="T33" i="88"/>
  <c r="S33" i="88"/>
  <c r="Q33" i="88"/>
  <c r="P33" i="88"/>
  <c r="O33" i="88"/>
  <c r="N33" i="88"/>
  <c r="M33" i="88"/>
  <c r="L33" i="88"/>
  <c r="K33" i="88"/>
  <c r="H33" i="88"/>
  <c r="G33" i="88"/>
  <c r="F33" i="88"/>
  <c r="E33" i="88"/>
  <c r="D33" i="88"/>
  <c r="Q27" i="88"/>
  <c r="Q26" i="88"/>
  <c r="J25" i="88"/>
  <c r="J24" i="88"/>
  <c r="J23" i="88"/>
  <c r="J22" i="88"/>
  <c r="J21" i="88"/>
  <c r="J20" i="88"/>
  <c r="J19" i="88"/>
  <c r="J18" i="88"/>
  <c r="J17" i="88"/>
  <c r="J16" i="88"/>
  <c r="J15" i="88"/>
  <c r="J13" i="88"/>
  <c r="J12" i="88"/>
  <c r="N162" i="90"/>
  <c r="B163" i="90" s="1"/>
  <c r="AA22" i="88" s="1"/>
  <c r="Y22" i="88" s="1"/>
  <c r="N152" i="90"/>
  <c r="T120" i="15"/>
  <c r="S120" i="15"/>
  <c r="T110" i="15"/>
  <c r="S110" i="15"/>
  <c r="T100" i="15"/>
  <c r="S100" i="15"/>
  <c r="T90" i="15"/>
  <c r="S90" i="15"/>
  <c r="T80" i="15"/>
  <c r="S80" i="15"/>
  <c r="T70" i="15"/>
  <c r="S70" i="15"/>
  <c r="T60" i="15"/>
  <c r="S60" i="15"/>
  <c r="T50" i="15"/>
  <c r="S50" i="15"/>
  <c r="T40" i="15"/>
  <c r="S40" i="15"/>
  <c r="T30" i="15"/>
  <c r="S30" i="15"/>
  <c r="T20" i="15"/>
  <c r="S20" i="15"/>
  <c r="T10" i="15"/>
  <c r="S10" i="15"/>
  <c r="N122" i="15"/>
  <c r="N123" i="15"/>
  <c r="N124" i="15"/>
  <c r="N125" i="15"/>
  <c r="N126" i="15"/>
  <c r="N127" i="15"/>
  <c r="N128" i="15"/>
  <c r="N112" i="15"/>
  <c r="N113" i="15"/>
  <c r="N114" i="15"/>
  <c r="N115" i="15"/>
  <c r="N116" i="15"/>
  <c r="N117" i="15"/>
  <c r="N118" i="15"/>
  <c r="N102" i="15"/>
  <c r="N103" i="15"/>
  <c r="N104" i="15"/>
  <c r="N105" i="15"/>
  <c r="N106" i="15"/>
  <c r="N107" i="15"/>
  <c r="N108" i="15"/>
  <c r="N92" i="15"/>
  <c r="B93" i="15" s="1"/>
  <c r="D18" i="29" s="1"/>
  <c r="F18" i="29" s="1"/>
  <c r="N93" i="15"/>
  <c r="N94" i="15"/>
  <c r="N95" i="15"/>
  <c r="N96" i="15"/>
  <c r="N97" i="15"/>
  <c r="N98" i="15"/>
  <c r="N82" i="15"/>
  <c r="N83" i="15"/>
  <c r="N84" i="15"/>
  <c r="N85" i="15"/>
  <c r="N86" i="15"/>
  <c r="N87" i="15"/>
  <c r="N88" i="15"/>
  <c r="N72" i="15"/>
  <c r="N73" i="15"/>
  <c r="N74" i="15"/>
  <c r="N75" i="15"/>
  <c r="N76" i="15"/>
  <c r="N77" i="15"/>
  <c r="N78" i="15"/>
  <c r="Q5" i="15"/>
  <c r="E5" i="15"/>
  <c r="K5" i="15"/>
  <c r="L6" i="15" s="1"/>
  <c r="J6" i="15" s="1"/>
  <c r="T2" i="15"/>
  <c r="N2" i="15"/>
  <c r="H2" i="15"/>
  <c r="H5" i="15"/>
  <c r="T5" i="15"/>
  <c r="N5" i="15"/>
  <c r="K2" i="15"/>
  <c r="Q2" i="15"/>
  <c r="K6" i="15"/>
  <c r="B120" i="15"/>
  <c r="B110" i="15"/>
  <c r="B20" i="29" s="1"/>
  <c r="B100" i="15"/>
  <c r="B90" i="15"/>
  <c r="B80" i="15"/>
  <c r="B70" i="15"/>
  <c r="B60" i="15"/>
  <c r="B50" i="15"/>
  <c r="B40" i="15"/>
  <c r="B30" i="15"/>
  <c r="B12" i="29" s="1"/>
  <c r="T230" i="90"/>
  <c r="S230" i="90"/>
  <c r="T220" i="90"/>
  <c r="S220" i="90"/>
  <c r="T210" i="90"/>
  <c r="S210" i="90"/>
  <c r="T200" i="90"/>
  <c r="S200" i="90"/>
  <c r="T190" i="90"/>
  <c r="S190" i="90"/>
  <c r="T180" i="90"/>
  <c r="S180" i="90"/>
  <c r="T170" i="90"/>
  <c r="S170" i="90"/>
  <c r="T160" i="90"/>
  <c r="S160" i="90"/>
  <c r="T150" i="90"/>
  <c r="S150" i="90"/>
  <c r="T140" i="90"/>
  <c r="S140" i="90"/>
  <c r="T130" i="90"/>
  <c r="S130" i="90"/>
  <c r="R6" i="90"/>
  <c r="P6" i="90" s="1"/>
  <c r="R3" i="90"/>
  <c r="P3" i="90"/>
  <c r="T120" i="90"/>
  <c r="S120" i="90"/>
  <c r="B120" i="90"/>
  <c r="T110" i="90"/>
  <c r="S110" i="90"/>
  <c r="B110" i="90"/>
  <c r="T100" i="90"/>
  <c r="S100" i="90"/>
  <c r="B100" i="90"/>
  <c r="T90" i="90"/>
  <c r="S90" i="90"/>
  <c r="B90" i="90"/>
  <c r="T80" i="90"/>
  <c r="S80" i="90"/>
  <c r="B80" i="90"/>
  <c r="T70" i="90"/>
  <c r="S70" i="90"/>
  <c r="B70" i="90"/>
  <c r="T60" i="90"/>
  <c r="S60" i="90"/>
  <c r="B60" i="90"/>
  <c r="T50" i="90"/>
  <c r="S50" i="90"/>
  <c r="B50" i="90"/>
  <c r="T40" i="90"/>
  <c r="S40" i="90"/>
  <c r="B40" i="90"/>
  <c r="T30" i="90"/>
  <c r="S30" i="90"/>
  <c r="B30" i="90"/>
  <c r="T20" i="90"/>
  <c r="S20" i="90"/>
  <c r="T10" i="90"/>
  <c r="S10" i="90"/>
  <c r="T2" i="90"/>
  <c r="N2" i="90"/>
  <c r="K2" i="90"/>
  <c r="K5" i="90"/>
  <c r="T5" i="90"/>
  <c r="H2" i="90"/>
  <c r="N5" i="90"/>
  <c r="Q5" i="90"/>
  <c r="P7" i="23"/>
  <c r="O7" i="23"/>
  <c r="N7" i="23"/>
  <c r="M7" i="23"/>
  <c r="L7" i="23"/>
  <c r="T7" i="23"/>
  <c r="S7" i="23"/>
  <c r="R7" i="23"/>
  <c r="Q7" i="23"/>
  <c r="M3" i="23"/>
  <c r="E19" i="29"/>
  <c r="E15" i="29"/>
  <c r="E20" i="29"/>
  <c r="E16" i="29"/>
  <c r="E12" i="29"/>
  <c r="E13" i="29"/>
  <c r="E21" i="29"/>
  <c r="E17" i="29"/>
  <c r="E14" i="29"/>
  <c r="E18" i="29"/>
  <c r="B7" i="29"/>
  <c r="B6" i="29"/>
  <c r="D15" i="29"/>
  <c r="F15" i="29" s="1"/>
  <c r="B18" i="29"/>
  <c r="B16" i="29"/>
  <c r="B14" i="29"/>
  <c r="N40" i="65"/>
  <c r="M2" i="65" s="1"/>
  <c r="N40" i="74"/>
  <c r="C5" i="74"/>
  <c r="G13" i="74"/>
  <c r="F13" i="74"/>
  <c r="G12" i="74"/>
  <c r="F12" i="74"/>
  <c r="G11" i="74"/>
  <c r="F11" i="74"/>
  <c r="G10" i="74"/>
  <c r="F10" i="74"/>
  <c r="G9" i="74"/>
  <c r="F9" i="74"/>
  <c r="G8" i="74"/>
  <c r="F8" i="74"/>
  <c r="M36" i="74"/>
  <c r="M2" i="74"/>
  <c r="C8" i="74"/>
  <c r="N47" i="74"/>
  <c r="C13" i="74"/>
  <c r="N46" i="74"/>
  <c r="C12" i="74" s="1"/>
  <c r="N45" i="74"/>
  <c r="C11" i="74" s="1"/>
  <c r="N44" i="74"/>
  <c r="C10" i="74" s="1"/>
  <c r="N43" i="74"/>
  <c r="C9" i="74"/>
  <c r="Q39" i="75"/>
  <c r="P36" i="75"/>
  <c r="C6" i="75"/>
  <c r="P2" i="75"/>
  <c r="M11" i="75"/>
  <c r="J11" i="75"/>
  <c r="I11" i="75"/>
  <c r="H11" i="75"/>
  <c r="G11" i="75"/>
  <c r="F11" i="75"/>
  <c r="M10" i="75"/>
  <c r="J10" i="75"/>
  <c r="I10" i="75"/>
  <c r="H10" i="75"/>
  <c r="G10" i="75"/>
  <c r="F10" i="75"/>
  <c r="E11" i="75"/>
  <c r="E10" i="75"/>
  <c r="P27" i="82"/>
  <c r="C4" i="82" s="1"/>
  <c r="O2" i="82"/>
  <c r="O23" i="82"/>
  <c r="G29" i="82"/>
  <c r="F29" i="82"/>
  <c r="E29" i="82"/>
  <c r="L18" i="82"/>
  <c r="L17" i="82"/>
  <c r="L15" i="82"/>
  <c r="L14" i="82"/>
  <c r="L12" i="82"/>
  <c r="L11" i="82"/>
  <c r="L10" i="82"/>
  <c r="L6" i="82"/>
  <c r="K18" i="82"/>
  <c r="K17" i="82"/>
  <c r="K15" i="82"/>
  <c r="K14" i="82"/>
  <c r="K12" i="82"/>
  <c r="J12" i="82"/>
  <c r="I12" i="82"/>
  <c r="H12" i="82"/>
  <c r="K11" i="82"/>
  <c r="J11" i="82"/>
  <c r="I11" i="82"/>
  <c r="H11" i="82"/>
  <c r="K10" i="82"/>
  <c r="J10" i="82"/>
  <c r="I10" i="82"/>
  <c r="H10" i="82"/>
  <c r="G7" i="82"/>
  <c r="F7" i="82"/>
  <c r="E7" i="82"/>
  <c r="N40" i="66"/>
  <c r="M36" i="66"/>
  <c r="M2" i="66"/>
  <c r="C4" i="11"/>
  <c r="Q6" i="11"/>
  <c r="Q5" i="11"/>
  <c r="O6" i="11"/>
  <c r="O5" i="11"/>
  <c r="M6" i="11"/>
  <c r="M5" i="11"/>
  <c r="K6" i="11"/>
  <c r="K5" i="11"/>
  <c r="I6" i="11"/>
  <c r="I5" i="11"/>
  <c r="U44" i="11"/>
  <c r="U2" i="11"/>
  <c r="Q27" i="11"/>
  <c r="O27" i="11"/>
  <c r="M27" i="11"/>
  <c r="K27" i="11"/>
  <c r="I27" i="11"/>
  <c r="E27" i="11"/>
  <c r="M31" i="11"/>
  <c r="C5" i="11"/>
  <c r="N40" i="84"/>
  <c r="M2" i="84"/>
  <c r="M36" i="84"/>
  <c r="N40" i="69"/>
  <c r="Q72" i="70"/>
  <c r="P72" i="70"/>
  <c r="Q71" i="70"/>
  <c r="P71" i="70"/>
  <c r="Q70" i="70"/>
  <c r="P70" i="70"/>
  <c r="Q69" i="70"/>
  <c r="P69" i="70"/>
  <c r="Q68" i="70"/>
  <c r="P68" i="70"/>
  <c r="Q67" i="70"/>
  <c r="P67" i="70"/>
  <c r="Q66" i="70"/>
  <c r="P66" i="70"/>
  <c r="Q65" i="70"/>
  <c r="P65" i="70"/>
  <c r="Q64" i="70"/>
  <c r="P64" i="70"/>
  <c r="Q63" i="70"/>
  <c r="P63" i="70"/>
  <c r="Q62" i="70"/>
  <c r="P62" i="70"/>
  <c r="Q61" i="70"/>
  <c r="P61" i="70"/>
  <c r="W53" i="70"/>
  <c r="W52" i="70"/>
  <c r="W51" i="70"/>
  <c r="W50" i="70"/>
  <c r="W49" i="70"/>
  <c r="W48" i="70"/>
  <c r="W47" i="70"/>
  <c r="W46" i="70"/>
  <c r="W45" i="70"/>
  <c r="W44" i="70"/>
  <c r="O39" i="70"/>
  <c r="N36" i="70" s="1"/>
  <c r="O53" i="70"/>
  <c r="O72" i="70" s="1"/>
  <c r="O52" i="70"/>
  <c r="O51" i="70"/>
  <c r="O50" i="70"/>
  <c r="O49" i="70"/>
  <c r="O68" i="70" s="1"/>
  <c r="O48" i="70"/>
  <c r="O67" i="70" s="1"/>
  <c r="O47" i="70"/>
  <c r="O46" i="70"/>
  <c r="O45" i="70"/>
  <c r="O64" i="70" s="1"/>
  <c r="O44" i="70"/>
  <c r="O63" i="70" s="1"/>
  <c r="N2" i="70"/>
  <c r="O62" i="70"/>
  <c r="O61" i="70"/>
  <c r="O71" i="70"/>
  <c r="O70" i="70"/>
  <c r="O69" i="70"/>
  <c r="O66" i="70"/>
  <c r="O65" i="70"/>
  <c r="W44" i="71"/>
  <c r="W45" i="71"/>
  <c r="W46" i="71"/>
  <c r="W47" i="71"/>
  <c r="W48" i="71"/>
  <c r="W49" i="71"/>
  <c r="W50" i="71"/>
  <c r="W51" i="71"/>
  <c r="W52" i="71"/>
  <c r="W53" i="71"/>
  <c r="P61" i="71"/>
  <c r="Q61" i="71"/>
  <c r="P62" i="71"/>
  <c r="Q62" i="71"/>
  <c r="P63" i="71"/>
  <c r="Q63" i="71"/>
  <c r="P64" i="71"/>
  <c r="Q64" i="71"/>
  <c r="P65" i="71"/>
  <c r="Q65" i="71"/>
  <c r="P66" i="71"/>
  <c r="Q66" i="71"/>
  <c r="P67" i="71"/>
  <c r="Q67" i="71"/>
  <c r="P68" i="71"/>
  <c r="Q68" i="71"/>
  <c r="P69" i="71"/>
  <c r="Q69" i="71"/>
  <c r="P70" i="71"/>
  <c r="Q70" i="71"/>
  <c r="P71" i="71"/>
  <c r="Q71" i="71"/>
  <c r="P72" i="71"/>
  <c r="Q72" i="71"/>
  <c r="O53" i="71"/>
  <c r="O72" i="71"/>
  <c r="O52" i="71"/>
  <c r="O71" i="71"/>
  <c r="O51" i="71"/>
  <c r="O70" i="71"/>
  <c r="O50" i="71"/>
  <c r="O69" i="71"/>
  <c r="O49" i="71"/>
  <c r="O68" i="71"/>
  <c r="O48" i="71"/>
  <c r="O67" i="71"/>
  <c r="O47" i="71"/>
  <c r="O66" i="71"/>
  <c r="O46" i="71"/>
  <c r="O65" i="71"/>
  <c r="O45" i="71"/>
  <c r="O64" i="71"/>
  <c r="O44" i="71"/>
  <c r="O63" i="71"/>
  <c r="O39" i="71"/>
  <c r="N2" i="71"/>
  <c r="O62" i="71"/>
  <c r="O61" i="71"/>
  <c r="N36" i="71"/>
  <c r="R64" i="71"/>
  <c r="R66" i="71"/>
  <c r="W53" i="72"/>
  <c r="O53" i="72"/>
  <c r="O72" i="72"/>
  <c r="W52" i="72"/>
  <c r="O52" i="72"/>
  <c r="O71" i="72" s="1"/>
  <c r="W51" i="72"/>
  <c r="O51" i="72"/>
  <c r="O70" i="72"/>
  <c r="W50" i="72"/>
  <c r="O50" i="72"/>
  <c r="O69" i="72" s="1"/>
  <c r="W49" i="72"/>
  <c r="O49" i="72"/>
  <c r="O68" i="72" s="1"/>
  <c r="W48" i="72"/>
  <c r="O48" i="72"/>
  <c r="O67" i="72"/>
  <c r="W47" i="72"/>
  <c r="O47" i="72"/>
  <c r="O66" i="72"/>
  <c r="W46" i="72"/>
  <c r="O46" i="72"/>
  <c r="O65" i="72" s="1"/>
  <c r="W45" i="72"/>
  <c r="O45" i="72"/>
  <c r="O64" i="72"/>
  <c r="W44" i="72"/>
  <c r="O44" i="72"/>
  <c r="O63" i="72"/>
  <c r="O39" i="72"/>
  <c r="Q72" i="72"/>
  <c r="P72" i="72"/>
  <c r="Q71" i="72"/>
  <c r="P71" i="72"/>
  <c r="Q70" i="72"/>
  <c r="P70" i="72"/>
  <c r="Q69" i="72"/>
  <c r="P69" i="72"/>
  <c r="Q68" i="72"/>
  <c r="P68" i="72"/>
  <c r="Q67" i="72"/>
  <c r="P67" i="72"/>
  <c r="Q66" i="72"/>
  <c r="P66" i="72"/>
  <c r="Q65" i="72"/>
  <c r="P65" i="72"/>
  <c r="Q64" i="72"/>
  <c r="P64" i="72"/>
  <c r="Q63" i="72"/>
  <c r="P63" i="72"/>
  <c r="Q62" i="72"/>
  <c r="P62" i="72"/>
  <c r="O62" i="72"/>
  <c r="Q61" i="72"/>
  <c r="P61" i="72"/>
  <c r="O61" i="72"/>
  <c r="R62" i="72"/>
  <c r="R61" i="72"/>
  <c r="R63" i="72"/>
  <c r="R65" i="72"/>
  <c r="R66" i="72"/>
  <c r="R64" i="72"/>
  <c r="AD55" i="83"/>
  <c r="AD54" i="83"/>
  <c r="AD53" i="83"/>
  <c r="AD52" i="83"/>
  <c r="AD51" i="83"/>
  <c r="AD50" i="83"/>
  <c r="AD49" i="83"/>
  <c r="AD48" i="83"/>
  <c r="AD47" i="83"/>
  <c r="AD46" i="83"/>
  <c r="U63" i="83"/>
  <c r="S62" i="83"/>
  <c r="S48" i="83"/>
  <c r="S50" i="83"/>
  <c r="C14" i="83" s="1"/>
  <c r="S52" i="83"/>
  <c r="S54" i="83"/>
  <c r="S46" i="83"/>
  <c r="S47" i="83"/>
  <c r="S69" i="83" s="1"/>
  <c r="C18" i="83"/>
  <c r="C12" i="83"/>
  <c r="R2" i="83"/>
  <c r="C9" i="83"/>
  <c r="C8" i="83"/>
  <c r="S55" i="83"/>
  <c r="S77" i="83"/>
  <c r="S76" i="83"/>
  <c r="S53" i="83"/>
  <c r="S75" i="83" s="1"/>
  <c r="S51" i="83"/>
  <c r="S73" i="83"/>
  <c r="S49" i="83"/>
  <c r="S71" i="83"/>
  <c r="S70" i="83"/>
  <c r="S67" i="83"/>
  <c r="S66" i="83"/>
  <c r="C13" i="83"/>
  <c r="C19" i="83"/>
  <c r="E7" i="83"/>
  <c r="C10" i="83"/>
  <c r="S74" i="83" l="1"/>
  <c r="C16" i="83"/>
  <c r="C17" i="83"/>
  <c r="M36" i="69"/>
  <c r="M2" i="69"/>
  <c r="E23" i="89"/>
  <c r="E6" i="90"/>
  <c r="M33" i="11"/>
  <c r="M30" i="11" s="1"/>
  <c r="N36" i="72"/>
  <c r="N2" i="72"/>
  <c r="M32" i="11"/>
  <c r="H23" i="88" a="1"/>
  <c r="H23" i="88" s="1"/>
  <c r="H29" i="88" s="1"/>
  <c r="F29" i="88"/>
  <c r="Q25" i="88"/>
  <c r="E10" i="29"/>
  <c r="F68" i="28"/>
  <c r="W9" i="13"/>
  <c r="X9" i="13" s="1"/>
  <c r="D59" i="28"/>
  <c r="F59" i="28" s="1"/>
  <c r="D64" i="28"/>
  <c r="F64" i="28" s="1"/>
  <c r="N172" i="90"/>
  <c r="B173" i="90" s="1"/>
  <c r="Q3" i="15"/>
  <c r="R3" i="15" s="1"/>
  <c r="P3" i="15" s="1"/>
  <c r="B113" i="15"/>
  <c r="N132" i="90"/>
  <c r="N182" i="90"/>
  <c r="B183" i="90" s="1"/>
  <c r="AD10" i="88" s="1"/>
  <c r="N2314" i="27"/>
  <c r="J6816" i="27"/>
  <c r="K772" i="27"/>
  <c r="L772" i="27" s="1"/>
  <c r="K2957" i="27"/>
  <c r="L2957" i="27" s="1"/>
  <c r="K3798" i="27"/>
  <c r="L3798" i="27" s="1"/>
  <c r="M986" i="43"/>
  <c r="M1722" i="43"/>
  <c r="K2600" i="43"/>
  <c r="L2600" i="43" s="1"/>
  <c r="M2600" i="43"/>
  <c r="N2600" i="43"/>
  <c r="BN112" i="18"/>
  <c r="BP112" i="18" s="1"/>
  <c r="BN114" i="18"/>
  <c r="BP114" i="18" s="1"/>
  <c r="F14" i="28"/>
  <c r="B296" i="13"/>
  <c r="W7" i="13"/>
  <c r="D53" i="28"/>
  <c r="F53" i="28" s="1"/>
  <c r="F57" i="28"/>
  <c r="AA6" i="13"/>
  <c r="D66" i="28"/>
  <c r="F66" i="28" s="1"/>
  <c r="O29" i="11"/>
  <c r="C15" i="83"/>
  <c r="S68" i="83"/>
  <c r="C11" i="83"/>
  <c r="O21" i="11"/>
  <c r="O13" i="11" s="1"/>
  <c r="B73" i="15"/>
  <c r="AA7" i="88"/>
  <c r="Y7" i="88" s="1"/>
  <c r="E5" i="90"/>
  <c r="F6" i="90" s="1"/>
  <c r="D6" i="90" s="1"/>
  <c r="N33" i="90"/>
  <c r="N92" i="90"/>
  <c r="B93" i="90" s="1"/>
  <c r="N73" i="90"/>
  <c r="S72" i="83"/>
  <c r="C5" i="83"/>
  <c r="R36" i="83"/>
  <c r="M36" i="65"/>
  <c r="E2" i="90"/>
  <c r="E2" i="15"/>
  <c r="B103" i="15"/>
  <c r="N153" i="90"/>
  <c r="B153" i="90" s="1"/>
  <c r="AA21" i="88" s="1"/>
  <c r="Y21" i="88" s="1"/>
  <c r="N202" i="90"/>
  <c r="B203" i="90" s="1"/>
  <c r="AD14" i="88" s="1"/>
  <c r="N222" i="90"/>
  <c r="B223" i="90" s="1"/>
  <c r="AD18" i="88" s="1"/>
  <c r="R23" i="88"/>
  <c r="P23" i="88" s="1"/>
  <c r="Q8" i="88"/>
  <c r="R8" i="88" s="1"/>
  <c r="I23" i="88" a="1"/>
  <c r="I23" i="88" s="1"/>
  <c r="I29" i="88" s="1"/>
  <c r="R24" i="88"/>
  <c r="P24" i="88" s="1"/>
  <c r="N113" i="90"/>
  <c r="N62" i="90"/>
  <c r="B63" i="90" s="1"/>
  <c r="U2" i="89"/>
  <c r="C4" i="89"/>
  <c r="K6559" i="43"/>
  <c r="L6559" i="43" s="1"/>
  <c r="N378" i="27"/>
  <c r="N986" i="27"/>
  <c r="N1293" i="27"/>
  <c r="G6816" i="27"/>
  <c r="K182" i="27"/>
  <c r="L182" i="27" s="1"/>
  <c r="K465" i="27"/>
  <c r="L465" i="27" s="1"/>
  <c r="K1173" i="27"/>
  <c r="L1173" i="27" s="1"/>
  <c r="K1534" i="27"/>
  <c r="L1534" i="27" s="1"/>
  <c r="K1575" i="27"/>
  <c r="L1575" i="27" s="1"/>
  <c r="K2600" i="27"/>
  <c r="K2646" i="27"/>
  <c r="L2646" i="27" s="1"/>
  <c r="K3418" i="27"/>
  <c r="L3418" i="27" s="1"/>
  <c r="K4902" i="27"/>
  <c r="L4902" i="27" s="1"/>
  <c r="K6631" i="27"/>
  <c r="L6631" i="27" s="1"/>
  <c r="K6667" i="27"/>
  <c r="L6667" i="27" s="1"/>
  <c r="N53" i="90"/>
  <c r="N72" i="90"/>
  <c r="B73" i="90" s="1"/>
  <c r="N82" i="90"/>
  <c r="B83" i="90" s="1"/>
  <c r="N12" i="90"/>
  <c r="N93" i="90"/>
  <c r="N112" i="90"/>
  <c r="B113" i="90" s="1"/>
  <c r="N13" i="90"/>
  <c r="N52" i="90"/>
  <c r="N32" i="90"/>
  <c r="N232" i="90"/>
  <c r="B233" i="90" s="1"/>
  <c r="AD22" i="88" s="1"/>
  <c r="N192" i="90"/>
  <c r="B193" i="90" s="1"/>
  <c r="AD12" i="88" s="1"/>
  <c r="N133" i="90"/>
  <c r="K378" i="27"/>
  <c r="L378" i="27" s="1"/>
  <c r="D52" i="28"/>
  <c r="F52" i="28" s="1"/>
  <c r="W6" i="13"/>
  <c r="X6" i="13" s="1"/>
  <c r="D56" i="28"/>
  <c r="F56" i="28" s="1"/>
  <c r="W10" i="13"/>
  <c r="X10" i="13" s="1"/>
  <c r="D60" i="28"/>
  <c r="F60" i="28" s="1"/>
  <c r="B83" i="15"/>
  <c r="B123" i="15"/>
  <c r="N142" i="90"/>
  <c r="B143" i="90" s="1"/>
  <c r="N212" i="90"/>
  <c r="B213" i="90" s="1"/>
  <c r="AD16" i="88" s="1"/>
  <c r="R25" i="88"/>
  <c r="P25" i="88" s="1"/>
  <c r="Z8" i="88"/>
  <c r="AA8" i="88" s="1"/>
  <c r="Y8" i="88" s="1"/>
  <c r="Z3" i="88"/>
  <c r="AA3" i="88" s="1"/>
  <c r="Y3" i="88" s="1"/>
  <c r="N122" i="90"/>
  <c r="B123" i="90" s="1"/>
  <c r="N42" i="90"/>
  <c r="B43" i="90" s="1"/>
  <c r="N102" i="90"/>
  <c r="B103" i="90" s="1"/>
  <c r="F3" i="38"/>
  <c r="K948" i="27"/>
  <c r="L948" i="27" s="1"/>
  <c r="K2200" i="27"/>
  <c r="L2200" i="27" s="1"/>
  <c r="K3222" i="27"/>
  <c r="L3222" i="27" s="1"/>
  <c r="K3266" i="27"/>
  <c r="L3266" i="27" s="1"/>
  <c r="K4353" i="27"/>
  <c r="L4353" i="27" s="1"/>
  <c r="K6732" i="27"/>
  <c r="I6816" i="27"/>
  <c r="D67" i="28"/>
  <c r="F67" i="28" s="1"/>
  <c r="K343" i="27"/>
  <c r="L343" i="27" s="1"/>
  <c r="K539" i="27"/>
  <c r="L539" i="27" s="1"/>
  <c r="K1097" i="27"/>
  <c r="L1097" i="27" s="1"/>
  <c r="K1377" i="27"/>
  <c r="L1377" i="27" s="1"/>
  <c r="K1422" i="27"/>
  <c r="L1422" i="27" s="1"/>
  <c r="K2155" i="27"/>
  <c r="L2155" i="27" s="1"/>
  <c r="K2835" i="27"/>
  <c r="L2835" i="27" s="1"/>
  <c r="K3042" i="27"/>
  <c r="L3042" i="27" s="1"/>
  <c r="K3729" i="27"/>
  <c r="L3729" i="27" s="1"/>
  <c r="K4090" i="27"/>
  <c r="L4090" i="27" s="1"/>
  <c r="K5036" i="27"/>
  <c r="L5036" i="27" s="1"/>
  <c r="K5793" i="27"/>
  <c r="L5793" i="27" s="1"/>
  <c r="K6151" i="27"/>
  <c r="L6151" i="27" s="1"/>
  <c r="K6256" i="27"/>
  <c r="L6256" i="27" s="1"/>
  <c r="BN110" i="18"/>
  <c r="BP110" i="18" s="1"/>
  <c r="BN116" i="18"/>
  <c r="BP116" i="18" s="1"/>
  <c r="BN16" i="87"/>
  <c r="BN15" i="87"/>
  <c r="BN17" i="87"/>
  <c r="B636" i="13"/>
  <c r="B676" i="13"/>
  <c r="B716" i="13"/>
  <c r="B756" i="13"/>
  <c r="B796" i="13"/>
  <c r="B836" i="13"/>
  <c r="B856" i="91"/>
  <c r="F3" i="91" s="1"/>
  <c r="W10" i="91"/>
  <c r="BE28" i="87"/>
  <c r="BF28" i="87" s="1"/>
  <c r="AX28" i="87" s="1"/>
  <c r="K113" i="27"/>
  <c r="L113" i="27" s="1"/>
  <c r="K618" i="27"/>
  <c r="L618" i="27" s="1"/>
  <c r="K1250" i="27"/>
  <c r="L1250" i="27" s="1"/>
  <c r="K1880" i="27"/>
  <c r="L1880" i="27" s="1"/>
  <c r="K2472" i="27"/>
  <c r="L2472" i="27" s="1"/>
  <c r="K3119" i="27"/>
  <c r="L3119" i="27" s="1"/>
  <c r="K3863" i="27"/>
  <c r="L3863" i="27" s="1"/>
  <c r="K4498" i="27"/>
  <c r="L4498" i="27" s="1"/>
  <c r="K4682" i="27"/>
  <c r="L4682" i="27" s="1"/>
  <c r="K5180" i="27"/>
  <c r="L5180" i="27" s="1"/>
  <c r="K5440" i="27"/>
  <c r="L5440" i="27" s="1"/>
  <c r="K5478" i="27"/>
  <c r="L5478" i="27" s="1"/>
  <c r="K6220" i="27"/>
  <c r="L6220" i="27" s="1"/>
  <c r="H6816" i="27"/>
  <c r="BN29" i="18"/>
  <c r="BP29" i="18" s="1"/>
  <c r="Z15" i="88"/>
  <c r="AQ13" i="87"/>
  <c r="AQ14" i="87"/>
  <c r="AQ12" i="87"/>
  <c r="AQ17" i="87"/>
  <c r="AQ16" i="87"/>
  <c r="AQ15" i="87"/>
  <c r="K3577" i="27"/>
  <c r="L3577" i="27" s="1"/>
  <c r="K4166" i="27"/>
  <c r="L4166" i="27" s="1"/>
  <c r="K4752" i="27"/>
  <c r="L4752" i="27" s="1"/>
  <c r="K5330" i="27"/>
  <c r="L5330" i="27" s="1"/>
  <c r="K5935" i="27"/>
  <c r="L5935" i="27" s="1"/>
  <c r="K6517" i="27"/>
  <c r="L6517" i="27" s="1"/>
  <c r="BA11" i="87"/>
  <c r="BP14" i="87" s="1"/>
  <c r="AO14" i="87"/>
  <c r="E41" i="28"/>
  <c r="X11" i="87"/>
  <c r="Q11" i="87"/>
  <c r="R5" i="13" s="1"/>
  <c r="BN115" i="18"/>
  <c r="BP115" i="18" s="1"/>
  <c r="F51" i="28"/>
  <c r="B296" i="91"/>
  <c r="Z10" i="88"/>
  <c r="AN8" i="87"/>
  <c r="BD6" i="87"/>
  <c r="BD8" i="87" s="1"/>
  <c r="AC8" i="87"/>
  <c r="H24" i="87" a="1"/>
  <c r="H24" i="87" s="1"/>
  <c r="F29" i="87"/>
  <c r="X10" i="91"/>
  <c r="B496" i="91"/>
  <c r="AC25" i="87"/>
  <c r="E16" i="28"/>
  <c r="F16" i="28" s="1"/>
  <c r="K4131" i="43"/>
  <c r="L4131" i="43" s="1"/>
  <c r="AF10" i="91"/>
  <c r="AC10" i="91" s="1"/>
  <c r="B626" i="13"/>
  <c r="B666" i="13"/>
  <c r="B706" i="13"/>
  <c r="B746" i="13"/>
  <c r="B786" i="13"/>
  <c r="B826" i="13"/>
  <c r="AR18" i="87"/>
  <c r="BF16" i="87"/>
  <c r="AX16" i="87" s="1"/>
  <c r="AA8" i="91"/>
  <c r="AB9" i="91" s="1"/>
  <c r="Y9" i="91" s="1"/>
  <c r="AA10" i="91"/>
  <c r="B616" i="13"/>
  <c r="AA7" i="13" s="1"/>
  <c r="B656" i="13"/>
  <c r="B696" i="13"/>
  <c r="B736" i="13"/>
  <c r="B776" i="13"/>
  <c r="B816" i="13"/>
  <c r="B856" i="13"/>
  <c r="F3" i="13" s="1"/>
  <c r="AS17" i="87"/>
  <c r="BQ17" i="87"/>
  <c r="BQ14" i="87"/>
  <c r="BQ13" i="87"/>
  <c r="BQ16" i="87"/>
  <c r="X9" i="87"/>
  <c r="X6" i="87"/>
  <c r="B316" i="13"/>
  <c r="Y11" i="87"/>
  <c r="F44" i="28"/>
  <c r="B76" i="91"/>
  <c r="B316" i="91"/>
  <c r="R7" i="91" s="1"/>
  <c r="B606" i="91"/>
  <c r="B646" i="13"/>
  <c r="B686" i="13"/>
  <c r="B726" i="13"/>
  <c r="B766" i="13"/>
  <c r="B806" i="13"/>
  <c r="B846" i="13"/>
  <c r="AS15" i="87"/>
  <c r="B436" i="91"/>
  <c r="AD27" i="87"/>
  <c r="BB6" i="87"/>
  <c r="H29" i="87"/>
  <c r="N965" i="91"/>
  <c r="B966" i="91" s="1"/>
  <c r="BC28" i="87" s="1"/>
  <c r="N436" i="91"/>
  <c r="N505" i="91"/>
  <c r="B506" i="91" s="1"/>
  <c r="BF14" i="87" s="1"/>
  <c r="AX14" i="87" s="1"/>
  <c r="N575" i="91"/>
  <c r="B576" i="91" s="1"/>
  <c r="N955" i="91"/>
  <c r="B956" i="91" s="1"/>
  <c r="BB28" i="87" s="1"/>
  <c r="N576" i="91"/>
  <c r="N16" i="91"/>
  <c r="N875" i="91"/>
  <c r="BS14" i="87"/>
  <c r="BS12" i="87"/>
  <c r="BS13" i="87"/>
  <c r="BP16" i="87"/>
  <c r="BP15" i="87"/>
  <c r="B716" i="91"/>
  <c r="AP15" i="87"/>
  <c r="AP17" i="87"/>
  <c r="AP12" i="87"/>
  <c r="AP16" i="87"/>
  <c r="I29" i="87"/>
  <c r="BF18" i="87"/>
  <c r="AX18" i="87" s="1"/>
  <c r="B406" i="13"/>
  <c r="B23" i="15"/>
  <c r="B66" i="13"/>
  <c r="B166" i="13"/>
  <c r="P4" i="18"/>
  <c r="Q4" i="18" s="1"/>
  <c r="W4" i="18"/>
  <c r="BM12" i="18"/>
  <c r="BC19" i="87"/>
  <c r="BC23" i="87" s="1"/>
  <c r="B216" i="13"/>
  <c r="B346" i="13"/>
  <c r="P56" i="18"/>
  <c r="Q56" i="18" s="1"/>
  <c r="W56" i="18"/>
  <c r="P45" i="18"/>
  <c r="Q45" i="18" s="1"/>
  <c r="W45" i="18"/>
  <c r="AZ60" i="18"/>
  <c r="R60" i="87" s="1"/>
  <c r="Q29" i="18"/>
  <c r="R56" i="87" s="1"/>
  <c r="AZ11" i="18"/>
  <c r="AZ13" i="18" s="1"/>
  <c r="I2314" i="43" s="1"/>
  <c r="R38" i="87" s="1"/>
  <c r="P11" i="18"/>
  <c r="Q11" i="18" s="1"/>
  <c r="BN11" i="18" s="1"/>
  <c r="BP11" i="18" s="1"/>
  <c r="P8" i="18"/>
  <c r="Q8" i="18" s="1"/>
  <c r="W8" i="18"/>
  <c r="BE15" i="87"/>
  <c r="B326" i="13"/>
  <c r="B206" i="13"/>
  <c r="B286" i="13"/>
  <c r="B306" i="13"/>
  <c r="B416" i="13"/>
  <c r="W58" i="18"/>
  <c r="BN58" i="18" s="1"/>
  <c r="BP58" i="18" s="1"/>
  <c r="W42" i="18"/>
  <c r="BN42" i="18" s="1"/>
  <c r="BP42" i="18" s="1"/>
  <c r="P40" i="18"/>
  <c r="Q40" i="18" s="1"/>
  <c r="W40" i="18"/>
  <c r="P33" i="18"/>
  <c r="Q33" i="18" s="1"/>
  <c r="W33" i="18"/>
  <c r="AM29" i="18"/>
  <c r="R57" i="87" s="1"/>
  <c r="B126" i="91" s="1"/>
  <c r="F16" i="89" s="1"/>
  <c r="AZ29" i="18"/>
  <c r="R55" i="87" s="1"/>
  <c r="B386" i="91" s="1"/>
  <c r="BM29" i="18"/>
  <c r="P6" i="18"/>
  <c r="Q6" i="18" s="1"/>
  <c r="W6" i="18"/>
  <c r="B33" i="15"/>
  <c r="B26" i="13"/>
  <c r="B176" i="13"/>
  <c r="F6816" i="43"/>
  <c r="F6821" i="43" s="1"/>
  <c r="R45" i="87" s="1"/>
  <c r="B13" i="15"/>
  <c r="B43" i="15"/>
  <c r="N54" i="15"/>
  <c r="N53" i="15"/>
  <c r="B53" i="15" s="1"/>
  <c r="W44" i="18"/>
  <c r="BN44" i="18" s="1"/>
  <c r="BP44" i="18" s="1"/>
  <c r="N377" i="13"/>
  <c r="R50" i="71" l="1"/>
  <c r="R69" i="71" s="1"/>
  <c r="T74" i="83"/>
  <c r="O19" i="11"/>
  <c r="O35" i="11" s="1"/>
  <c r="K21" i="11"/>
  <c r="K3" i="15"/>
  <c r="L3" i="15" s="1"/>
  <c r="J3" i="15" s="1"/>
  <c r="D14" i="29"/>
  <c r="F14" i="29" s="1"/>
  <c r="H16" i="89"/>
  <c r="U6" i="13"/>
  <c r="V6" i="13"/>
  <c r="P8" i="88"/>
  <c r="P3" i="88"/>
  <c r="U10" i="13"/>
  <c r="V10" i="13"/>
  <c r="D11" i="28"/>
  <c r="R54" i="87"/>
  <c r="BQ29" i="18"/>
  <c r="Q60" i="18"/>
  <c r="R61" i="87" s="1"/>
  <c r="Q66" i="18"/>
  <c r="G378" i="43" s="1"/>
  <c r="K378" i="43" s="1"/>
  <c r="BN33" i="18"/>
  <c r="E23" i="11"/>
  <c r="E6" i="15"/>
  <c r="F6" i="15" s="1"/>
  <c r="D6" i="15" s="1"/>
  <c r="D11" i="29"/>
  <c r="F11" i="29" s="1"/>
  <c r="AA6" i="91"/>
  <c r="O28" i="89"/>
  <c r="AY6" i="87"/>
  <c r="D92" i="28"/>
  <c r="F92" i="28" s="1"/>
  <c r="I23" i="89"/>
  <c r="H6" i="90"/>
  <c r="K23" i="89"/>
  <c r="AA12" i="88"/>
  <c r="Y12" i="88" s="1"/>
  <c r="K6" i="90"/>
  <c r="L6" i="90" s="1"/>
  <c r="J6" i="90" s="1"/>
  <c r="F18" i="89"/>
  <c r="D29" i="28"/>
  <c r="F29" i="28" s="1"/>
  <c r="R7" i="13"/>
  <c r="D39" i="28"/>
  <c r="D85" i="28"/>
  <c r="F85" i="28" s="1"/>
  <c r="AA7" i="91"/>
  <c r="O15" i="89"/>
  <c r="AZ11" i="87"/>
  <c r="BP13" i="87" s="1"/>
  <c r="E40" i="28"/>
  <c r="AO13" i="87"/>
  <c r="D78" i="28"/>
  <c r="F78" i="28" s="1"/>
  <c r="D87" i="28"/>
  <c r="F87" i="28" s="1"/>
  <c r="AE9" i="13"/>
  <c r="AF9" i="13" s="1"/>
  <c r="AC9" i="13" s="1"/>
  <c r="Q31" i="11"/>
  <c r="D71" i="28"/>
  <c r="F71" i="28" s="1"/>
  <c r="O17" i="11"/>
  <c r="O39" i="11" s="1"/>
  <c r="AN9" i="87"/>
  <c r="AS8" i="87"/>
  <c r="D84" i="28"/>
  <c r="F84" i="28" s="1"/>
  <c r="BT17" i="87"/>
  <c r="B33" i="90"/>
  <c r="Q6" i="15"/>
  <c r="R6" i="15" s="1"/>
  <c r="P6" i="15" s="1"/>
  <c r="D19" i="29"/>
  <c r="F19" i="29" s="1"/>
  <c r="O23" i="11"/>
  <c r="O24" i="11" s="1"/>
  <c r="AD25" i="88"/>
  <c r="E21" i="11"/>
  <c r="E17" i="11" s="1"/>
  <c r="E3" i="15"/>
  <c r="D10" i="29"/>
  <c r="F10" i="29" s="1"/>
  <c r="D37" i="28"/>
  <c r="F37" i="28" s="1"/>
  <c r="D25" i="28"/>
  <c r="AE6" i="91"/>
  <c r="Q28" i="89"/>
  <c r="D77" i="28"/>
  <c r="F77" i="28" s="1"/>
  <c r="D86" i="28"/>
  <c r="F86" i="28" s="1"/>
  <c r="D79" i="28"/>
  <c r="F79" i="28" s="1"/>
  <c r="D76" i="28"/>
  <c r="F76" i="28" s="1"/>
  <c r="D21" i="29"/>
  <c r="F21" i="29" s="1"/>
  <c r="T6" i="15"/>
  <c r="U6" i="15" s="1"/>
  <c r="S6" i="15" s="1"/>
  <c r="Q23" i="11"/>
  <c r="R17" i="11" s="1"/>
  <c r="O21" i="89"/>
  <c r="Q3" i="90"/>
  <c r="T3" i="15"/>
  <c r="U3" i="15" s="1"/>
  <c r="S3" i="15" s="1"/>
  <c r="Q21" i="11"/>
  <c r="Q22" i="11" s="1"/>
  <c r="D20" i="29"/>
  <c r="F20" i="29" s="1"/>
  <c r="L17" i="11"/>
  <c r="D50" i="28"/>
  <c r="F50" i="28" s="1"/>
  <c r="K15" i="11"/>
  <c r="D41" i="28"/>
  <c r="F41" i="28" s="1"/>
  <c r="AA5" i="91"/>
  <c r="BF15" i="87"/>
  <c r="AX15" i="87" s="1"/>
  <c r="Y9" i="87"/>
  <c r="B176" i="91"/>
  <c r="Q65" i="18"/>
  <c r="G1293" i="43" s="1"/>
  <c r="K1293" i="43" s="1"/>
  <c r="BN45" i="18"/>
  <c r="BP45" i="18" s="1"/>
  <c r="L16" i="11"/>
  <c r="D49" i="28"/>
  <c r="AP18" i="87"/>
  <c r="AS16" i="87"/>
  <c r="BF17" i="87"/>
  <c r="AX17" i="87" s="1"/>
  <c r="X21" i="87"/>
  <c r="AA12" i="87"/>
  <c r="AA7" i="87"/>
  <c r="AA5" i="87"/>
  <c r="BB5" i="87" s="1"/>
  <c r="B406" i="91"/>
  <c r="L16" i="89" s="1"/>
  <c r="BN40" i="18"/>
  <c r="BP40" i="18" s="1"/>
  <c r="Q63" i="18"/>
  <c r="G1722" i="43" s="1"/>
  <c r="K1722" i="43" s="1"/>
  <c r="B126" i="13"/>
  <c r="Z12" i="87"/>
  <c r="B396" i="91"/>
  <c r="L15" i="89" s="1"/>
  <c r="W12" i="18"/>
  <c r="R53" i="87" s="1"/>
  <c r="BS18" i="87"/>
  <c r="BQ18" i="87"/>
  <c r="I23" i="11"/>
  <c r="H6" i="15"/>
  <c r="I6" i="15" s="1"/>
  <c r="G6" i="15" s="1"/>
  <c r="D13" i="29"/>
  <c r="F13" i="29" s="1"/>
  <c r="B396" i="13"/>
  <c r="BN6" i="18"/>
  <c r="BP6" i="18" s="1"/>
  <c r="W60" i="18"/>
  <c r="R63" i="87" s="1"/>
  <c r="AB22" i="87" s="1"/>
  <c r="BC22" i="87" s="1"/>
  <c r="BN8" i="18"/>
  <c r="BP8" i="18" s="1"/>
  <c r="Y22" i="87"/>
  <c r="BN56" i="18"/>
  <c r="BP56" i="18" s="1"/>
  <c r="Q62" i="18"/>
  <c r="G986" i="43" s="1"/>
  <c r="K986" i="43" s="1"/>
  <c r="I18" i="11"/>
  <c r="D30" i="28"/>
  <c r="F30" i="28" s="1"/>
  <c r="Q12" i="18"/>
  <c r="R51" i="87" s="1"/>
  <c r="Q13" i="18"/>
  <c r="G2314" i="43" s="1"/>
  <c r="BN4" i="18"/>
  <c r="D15" i="28"/>
  <c r="F15" i="28" s="1"/>
  <c r="D81" i="28"/>
  <c r="F81" i="28" s="1"/>
  <c r="AE7" i="13"/>
  <c r="D40" i="28"/>
  <c r="F40" i="28" s="1"/>
  <c r="D90" i="28"/>
  <c r="F90" i="28" s="1"/>
  <c r="R15" i="11"/>
  <c r="AA10" i="13"/>
  <c r="AB10" i="13" s="1"/>
  <c r="Y10" i="13" s="1"/>
  <c r="D74" i="28"/>
  <c r="F74" i="28" s="1"/>
  <c r="D83" i="28"/>
  <c r="F83" i="28" s="1"/>
  <c r="W7" i="91"/>
  <c r="BO8" i="87"/>
  <c r="H5" i="90"/>
  <c r="I6" i="90" s="1"/>
  <c r="G6" i="90" s="1"/>
  <c r="Z20" i="88"/>
  <c r="AA10" i="88"/>
  <c r="Y10" i="88" s="1"/>
  <c r="B26" i="91"/>
  <c r="BR16" i="87"/>
  <c r="BR17" i="87"/>
  <c r="BR15" i="87"/>
  <c r="BT15" i="87" s="1"/>
  <c r="BR14" i="87"/>
  <c r="BR12" i="87"/>
  <c r="BR13" i="87"/>
  <c r="Z19" i="88"/>
  <c r="AA15" i="88"/>
  <c r="Y15" i="88" s="1"/>
  <c r="Q2" i="90"/>
  <c r="AE6" i="13"/>
  <c r="D80" i="28"/>
  <c r="F80" i="28" s="1"/>
  <c r="Q29" i="11"/>
  <c r="O23" i="89"/>
  <c r="Q6" i="90"/>
  <c r="AA16" i="88"/>
  <c r="Y16" i="88" s="1"/>
  <c r="X7" i="13"/>
  <c r="B53" i="90"/>
  <c r="B13" i="90"/>
  <c r="L2600" i="27"/>
  <c r="N2600" i="27"/>
  <c r="F3" i="15"/>
  <c r="D3" i="15" s="1"/>
  <c r="O14" i="11"/>
  <c r="O15" i="11"/>
  <c r="B133" i="90"/>
  <c r="V9" i="13"/>
  <c r="U9" i="13"/>
  <c r="I6816" i="43"/>
  <c r="I6821" i="43" s="1"/>
  <c r="R46" i="87" s="1"/>
  <c r="Y21" i="87" s="1"/>
  <c r="D43" i="28"/>
  <c r="F43" i="28" s="1"/>
  <c r="R49" i="87"/>
  <c r="BQ12" i="18"/>
  <c r="D93" i="28"/>
  <c r="F93" i="28" s="1"/>
  <c r="D70" i="28"/>
  <c r="F70" i="28" s="1"/>
  <c r="O16" i="11"/>
  <c r="K28" i="89"/>
  <c r="R6" i="91"/>
  <c r="S7" i="91" s="1"/>
  <c r="P7" i="91" s="1"/>
  <c r="S6" i="13"/>
  <c r="P6" i="13" s="1"/>
  <c r="AQ18" i="87"/>
  <c r="L6732" i="27"/>
  <c r="K6816" i="27"/>
  <c r="L6816" i="27" s="1"/>
  <c r="M23" i="89"/>
  <c r="N6" i="90"/>
  <c r="O6" i="90" s="1"/>
  <c r="M6" i="90" s="1"/>
  <c r="AA14" i="88"/>
  <c r="Y14" i="88" s="1"/>
  <c r="AB6" i="13"/>
  <c r="Y6" i="13" s="1"/>
  <c r="AB7" i="13"/>
  <c r="Y7" i="13" s="1"/>
  <c r="I14" i="11"/>
  <c r="D26" i="28"/>
  <c r="I21" i="11"/>
  <c r="I17" i="11" s="1"/>
  <c r="D12" i="29"/>
  <c r="F12" i="29" s="1"/>
  <c r="H3" i="15"/>
  <c r="I3" i="15" s="1"/>
  <c r="G3" i="15" s="1"/>
  <c r="Y12" i="87"/>
  <c r="B386" i="13"/>
  <c r="AZ12" i="18"/>
  <c r="R50" i="87" s="1"/>
  <c r="W9" i="91"/>
  <c r="X9" i="91" s="1"/>
  <c r="M30" i="89"/>
  <c r="BF13" i="87"/>
  <c r="AX13" i="87" s="1"/>
  <c r="W6" i="91"/>
  <c r="M28" i="89"/>
  <c r="D89" i="28"/>
  <c r="F89" i="28" s="1"/>
  <c r="AA9" i="13"/>
  <c r="AB9" i="13" s="1"/>
  <c r="Y9" i="13" s="1"/>
  <c r="D73" i="28"/>
  <c r="F73" i="28" s="1"/>
  <c r="O31" i="11"/>
  <c r="O33" i="11" s="1"/>
  <c r="O30" i="11" s="1"/>
  <c r="AY9" i="87"/>
  <c r="X19" i="87"/>
  <c r="AN12" i="87"/>
  <c r="E25" i="28"/>
  <c r="D82" i="28"/>
  <c r="F82" i="28" s="1"/>
  <c r="D91" i="28"/>
  <c r="F91" i="28" s="1"/>
  <c r="D75" i="28"/>
  <c r="F75" i="28" s="1"/>
  <c r="B36" i="91"/>
  <c r="U10" i="91"/>
  <c r="V10" i="91"/>
  <c r="AY11" i="87"/>
  <c r="AD11" i="87"/>
  <c r="E38" i="28" s="1"/>
  <c r="AO12" i="87"/>
  <c r="E39" i="28"/>
  <c r="AE10" i="13"/>
  <c r="AF10" i="13" s="1"/>
  <c r="AC10" i="13" s="1"/>
  <c r="D88" i="28"/>
  <c r="F88" i="28" s="1"/>
  <c r="D72" i="28"/>
  <c r="F72" i="28" s="1"/>
  <c r="O18" i="11"/>
  <c r="O40" i="11" s="1"/>
  <c r="Q23" i="89"/>
  <c r="AA18" i="88"/>
  <c r="Y18" i="88" s="1"/>
  <c r="T6" i="90"/>
  <c r="U6" i="90" s="1"/>
  <c r="S6" i="90" s="1"/>
  <c r="D17" i="29"/>
  <c r="F17" i="29" s="1"/>
  <c r="M23" i="11"/>
  <c r="N6" i="15"/>
  <c r="O6" i="15" s="1"/>
  <c r="M6" i="15" s="1"/>
  <c r="T3" i="90"/>
  <c r="U3" i="90" s="1"/>
  <c r="S3" i="90" s="1"/>
  <c r="Q21" i="89"/>
  <c r="AA17" i="88"/>
  <c r="Y17" i="88" s="1"/>
  <c r="M21" i="89"/>
  <c r="N3" i="90"/>
  <c r="O3" i="90" s="1"/>
  <c r="M3" i="90" s="1"/>
  <c r="AA13" i="88"/>
  <c r="Y13" i="88" s="1"/>
  <c r="N3" i="15"/>
  <c r="O3" i="15" s="1"/>
  <c r="M3" i="15" s="1"/>
  <c r="D16" i="29"/>
  <c r="F16" i="29" s="1"/>
  <c r="M21" i="11"/>
  <c r="R6" i="13"/>
  <c r="S7" i="13" s="1"/>
  <c r="P7" i="13" s="1"/>
  <c r="D38" i="28"/>
  <c r="K29" i="11"/>
  <c r="O42" i="84" l="1"/>
  <c r="AN22" i="87"/>
  <c r="M29" i="89"/>
  <c r="M32" i="89"/>
  <c r="M31" i="89" s="1"/>
  <c r="AZ21" i="87"/>
  <c r="BN13" i="87" s="1"/>
  <c r="AM13" i="87"/>
  <c r="BP4" i="18"/>
  <c r="BN12" i="18"/>
  <c r="BP12" i="18" s="1"/>
  <c r="AZ22" i="87"/>
  <c r="H18" i="89"/>
  <c r="E13" i="11"/>
  <c r="L25" i="11"/>
  <c r="K22" i="11"/>
  <c r="K24" i="11"/>
  <c r="K18" i="11"/>
  <c r="K16" i="11"/>
  <c r="F38" i="28"/>
  <c r="R13" i="11"/>
  <c r="BE11" i="87"/>
  <c r="BP12" i="87"/>
  <c r="P14" i="11"/>
  <c r="X23" i="87"/>
  <c r="X7" i="91"/>
  <c r="X6" i="91"/>
  <c r="U9" i="91"/>
  <c r="V9" i="91"/>
  <c r="U68" i="83"/>
  <c r="H10" i="83" s="1"/>
  <c r="Q10" i="87"/>
  <c r="X10" i="87"/>
  <c r="X7" i="87"/>
  <c r="Q7" i="87"/>
  <c r="B96" i="91"/>
  <c r="B236" i="91"/>
  <c r="B86" i="13"/>
  <c r="X5" i="87"/>
  <c r="B236" i="13"/>
  <c r="B906" i="91"/>
  <c r="B86" i="91"/>
  <c r="B226" i="13"/>
  <c r="B226" i="91"/>
  <c r="B96" i="13"/>
  <c r="O37" i="11"/>
  <c r="V74" i="83"/>
  <c r="U7" i="13"/>
  <c r="V7" i="13"/>
  <c r="AF7" i="13"/>
  <c r="AC7" i="13" s="1"/>
  <c r="AF6" i="13"/>
  <c r="AC6" i="13" s="1"/>
  <c r="BT8" i="87"/>
  <c r="R39" i="87"/>
  <c r="K2314" i="43"/>
  <c r="G6816" i="43"/>
  <c r="G6821" i="43" s="1"/>
  <c r="R47" i="87" s="1"/>
  <c r="Z21" i="87" s="1"/>
  <c r="BA12" i="87"/>
  <c r="E48" i="28"/>
  <c r="Q14" i="89"/>
  <c r="Q18" i="89"/>
  <c r="Q15" i="89"/>
  <c r="Q13" i="89"/>
  <c r="Q16" i="89"/>
  <c r="Q17" i="89"/>
  <c r="Q22" i="89"/>
  <c r="M24" i="11"/>
  <c r="N18" i="11"/>
  <c r="N15" i="11"/>
  <c r="N14" i="11"/>
  <c r="N16" i="11"/>
  <c r="N17" i="11"/>
  <c r="N13" i="11"/>
  <c r="R14" i="89"/>
  <c r="R16" i="89"/>
  <c r="R13" i="89"/>
  <c r="R17" i="89"/>
  <c r="R15" i="89"/>
  <c r="Q24" i="89"/>
  <c r="R18" i="89"/>
  <c r="Q14" i="11"/>
  <c r="AY19" i="87"/>
  <c r="BO12" i="87"/>
  <c r="R14" i="11"/>
  <c r="B106" i="13"/>
  <c r="Y7" i="87"/>
  <c r="AZ7" i="87" s="1"/>
  <c r="Y10" i="87"/>
  <c r="B106" i="91"/>
  <c r="F14" i="89" s="1"/>
  <c r="B246" i="91"/>
  <c r="J14" i="89" s="1"/>
  <c r="B246" i="13"/>
  <c r="R18" i="11"/>
  <c r="O36" i="11"/>
  <c r="U74" i="83"/>
  <c r="BR18" i="87"/>
  <c r="Z10" i="87"/>
  <c r="Z7" i="87"/>
  <c r="BA7" i="87" s="1"/>
  <c r="B256" i="91"/>
  <c r="J15" i="89" s="1"/>
  <c r="B116" i="91"/>
  <c r="F15" i="89" s="1"/>
  <c r="B256" i="13"/>
  <c r="B116" i="13"/>
  <c r="F16" i="11"/>
  <c r="D21" i="28"/>
  <c r="AY21" i="87"/>
  <c r="AD21" i="87"/>
  <c r="AM12" i="87"/>
  <c r="Y6" i="87"/>
  <c r="AB10" i="91"/>
  <c r="Y10" i="91" s="1"/>
  <c r="AB6" i="91"/>
  <c r="Y6" i="91" s="1"/>
  <c r="Q16" i="11"/>
  <c r="AP9" i="87"/>
  <c r="AQ9" i="87"/>
  <c r="AM9" i="87"/>
  <c r="AO9" i="87"/>
  <c r="AR9" i="87"/>
  <c r="P17" i="11"/>
  <c r="Q17" i="11"/>
  <c r="O32" i="89"/>
  <c r="O31" i="89" s="1"/>
  <c r="N378" i="43"/>
  <c r="L378" i="43"/>
  <c r="M22" i="89"/>
  <c r="M14" i="89"/>
  <c r="M13" i="89"/>
  <c r="M16" i="89"/>
  <c r="M15" i="89"/>
  <c r="M17" i="89"/>
  <c r="L15" i="11"/>
  <c r="D48" i="28"/>
  <c r="F48" i="28" s="1"/>
  <c r="BB12" i="87"/>
  <c r="BB20" i="87" s="1"/>
  <c r="BB24" i="87" s="1"/>
  <c r="BB25" i="87" s="1"/>
  <c r="AA20" i="87"/>
  <c r="AA24" i="87" s="1"/>
  <c r="E49" i="28"/>
  <c r="F49" i="28" s="1"/>
  <c r="AZ9" i="87"/>
  <c r="AN13" i="87"/>
  <c r="AN23" i="87" s="1"/>
  <c r="Y19" i="87"/>
  <c r="Y23" i="87" s="1"/>
  <c r="E26" i="28"/>
  <c r="V70" i="83"/>
  <c r="I12" i="83" s="1"/>
  <c r="Q24" i="11"/>
  <c r="M18" i="89"/>
  <c r="E13" i="89"/>
  <c r="P13" i="11"/>
  <c r="K14" i="11"/>
  <c r="L986" i="43"/>
  <c r="N986" i="43"/>
  <c r="M22" i="11"/>
  <c r="M16" i="11"/>
  <c r="M15" i="11"/>
  <c r="M14" i="11"/>
  <c r="M18" i="11"/>
  <c r="M13" i="11"/>
  <c r="M17" i="11"/>
  <c r="AO22" i="87"/>
  <c r="AO18" i="87"/>
  <c r="R16" i="11"/>
  <c r="O32" i="11"/>
  <c r="L14" i="11"/>
  <c r="D47" i="28"/>
  <c r="J25" i="11"/>
  <c r="AD21" i="11"/>
  <c r="I22" i="11"/>
  <c r="I16" i="11"/>
  <c r="M24" i="89"/>
  <c r="N18" i="89"/>
  <c r="N14" i="89"/>
  <c r="N15" i="89"/>
  <c r="N17" i="89"/>
  <c r="N16" i="89"/>
  <c r="N13" i="89"/>
  <c r="K17" i="11"/>
  <c r="O22" i="11"/>
  <c r="E21" i="89"/>
  <c r="E3" i="90"/>
  <c r="F3" i="90" s="1"/>
  <c r="D3" i="90" s="1"/>
  <c r="AA6" i="88"/>
  <c r="Y6" i="88" s="1"/>
  <c r="Q30" i="11"/>
  <c r="Q33" i="11"/>
  <c r="Z24" i="88"/>
  <c r="AA20" i="88"/>
  <c r="Y20" i="88" s="1"/>
  <c r="Q15" i="11"/>
  <c r="Q13" i="11"/>
  <c r="Q22" i="87"/>
  <c r="AD23" i="11"/>
  <c r="I24" i="11"/>
  <c r="J16" i="11"/>
  <c r="AB7" i="87"/>
  <c r="AB5" i="87"/>
  <c r="BC5" i="87" s="1"/>
  <c r="AB10" i="87"/>
  <c r="B136" i="91"/>
  <c r="F17" i="89" s="1"/>
  <c r="B136" i="13"/>
  <c r="B276" i="91"/>
  <c r="J17" i="89" s="1"/>
  <c r="B276" i="13"/>
  <c r="L1722" i="43"/>
  <c r="N1722" i="43"/>
  <c r="BB7" i="87"/>
  <c r="BB8" i="87" s="1"/>
  <c r="AA8" i="87"/>
  <c r="L1293" i="43"/>
  <c r="N1293" i="43"/>
  <c r="Y5" i="87"/>
  <c r="AZ5" i="87" s="1"/>
  <c r="O22" i="89"/>
  <c r="O16" i="89"/>
  <c r="O18" i="89"/>
  <c r="O13" i="89"/>
  <c r="O17" i="89"/>
  <c r="O14" i="89"/>
  <c r="BT16" i="87"/>
  <c r="P18" i="11"/>
  <c r="P16" i="11"/>
  <c r="Q32" i="89"/>
  <c r="Q31" i="89" s="1"/>
  <c r="I13" i="11"/>
  <c r="I21" i="89"/>
  <c r="AA9" i="88"/>
  <c r="Y9" i="88" s="1"/>
  <c r="H3" i="90"/>
  <c r="I3" i="90" s="1"/>
  <c r="G3" i="90" s="1"/>
  <c r="AN27" i="87"/>
  <c r="AN26" i="87"/>
  <c r="AN25" i="87"/>
  <c r="Q32" i="11"/>
  <c r="K13" i="11"/>
  <c r="L18" i="89"/>
  <c r="L17" i="89"/>
  <c r="AB7" i="91"/>
  <c r="Y7" i="91" s="1"/>
  <c r="O43" i="66"/>
  <c r="E24" i="11"/>
  <c r="F18" i="11"/>
  <c r="Z22" i="87"/>
  <c r="BA22" i="87" s="1"/>
  <c r="B886" i="91"/>
  <c r="E14" i="89"/>
  <c r="AZ12" i="87"/>
  <c r="E47" i="28"/>
  <c r="F26" i="28"/>
  <c r="O38" i="11"/>
  <c r="R50" i="72"/>
  <c r="R69" i="72" s="1"/>
  <c r="W74" i="83"/>
  <c r="K21" i="89"/>
  <c r="AA11" i="88"/>
  <c r="Y11" i="88" s="1"/>
  <c r="K3" i="90"/>
  <c r="L3" i="90" s="1"/>
  <c r="J3" i="90" s="1"/>
  <c r="P13" i="89"/>
  <c r="P15" i="89"/>
  <c r="O24" i="89"/>
  <c r="P16" i="89"/>
  <c r="P17" i="89"/>
  <c r="P14" i="89"/>
  <c r="P18" i="89"/>
  <c r="Z23" i="88"/>
  <c r="AA19" i="88"/>
  <c r="Y19" i="88" s="1"/>
  <c r="V77" i="83"/>
  <c r="I14" i="89"/>
  <c r="AF6" i="91"/>
  <c r="AC6" i="91" s="1"/>
  <c r="AF7" i="91"/>
  <c r="AC7" i="91" s="1"/>
  <c r="F25" i="11"/>
  <c r="O42" i="66"/>
  <c r="E22" i="11"/>
  <c r="E18" i="11"/>
  <c r="E16" i="11"/>
  <c r="Q21" i="87"/>
  <c r="W71" i="83"/>
  <c r="J13" i="83" s="1"/>
  <c r="B36" i="13"/>
  <c r="P15" i="11"/>
  <c r="Q18" i="11"/>
  <c r="B876" i="91"/>
  <c r="F25" i="28"/>
  <c r="J18" i="11"/>
  <c r="AO23" i="87"/>
  <c r="F39" i="28"/>
  <c r="J18" i="89"/>
  <c r="J16" i="89"/>
  <c r="I24" i="89"/>
  <c r="BP33" i="18"/>
  <c r="BN60" i="18"/>
  <c r="BP60" i="18" s="1"/>
  <c r="Q12" i="87"/>
  <c r="R8" i="13" s="1"/>
  <c r="X12" i="87"/>
  <c r="B366" i="91"/>
  <c r="B376" i="91"/>
  <c r="B376" i="13"/>
  <c r="B366" i="13"/>
  <c r="R50" i="70"/>
  <c r="R69" i="70" s="1"/>
  <c r="X74" i="83"/>
  <c r="P8" i="11"/>
  <c r="L14" i="89"/>
  <c r="F14" i="11" l="1"/>
  <c r="D19" i="28"/>
  <c r="F19" i="28" s="1"/>
  <c r="U73" i="83"/>
  <c r="Q36" i="89"/>
  <c r="R10" i="91"/>
  <c r="L13" i="89"/>
  <c r="Q29" i="89"/>
  <c r="H17" i="89"/>
  <c r="W69" i="83"/>
  <c r="T76" i="83"/>
  <c r="Q19" i="11"/>
  <c r="Q35" i="11" s="1"/>
  <c r="R52" i="71"/>
  <c r="R71" i="71" s="1"/>
  <c r="N38" i="89"/>
  <c r="V72" i="83"/>
  <c r="BO13" i="87"/>
  <c r="BO23" i="87" s="1"/>
  <c r="AZ19" i="87"/>
  <c r="AZ23" i="87" s="1"/>
  <c r="Q39" i="11"/>
  <c r="AS9" i="87"/>
  <c r="AM27" i="87"/>
  <c r="AM26" i="87"/>
  <c r="AM25" i="87"/>
  <c r="AM22" i="87"/>
  <c r="AS12" i="87"/>
  <c r="H16" i="11"/>
  <c r="O41" i="69"/>
  <c r="W67" i="83"/>
  <c r="AZ10" i="87"/>
  <c r="AZ20" i="87" s="1"/>
  <c r="AZ24" i="87" s="1"/>
  <c r="Y20" i="87"/>
  <c r="Y24" i="87" s="1"/>
  <c r="E19" i="28" s="1"/>
  <c r="E33" i="28"/>
  <c r="R39" i="89"/>
  <c r="R34" i="89"/>
  <c r="R19" i="89"/>
  <c r="R9" i="89" s="1"/>
  <c r="Q37" i="89"/>
  <c r="L2314" i="43"/>
  <c r="N2314" i="43"/>
  <c r="K6816" i="43"/>
  <c r="L6816" i="43" s="1"/>
  <c r="F13" i="11"/>
  <c r="F10" i="13"/>
  <c r="D18" i="28"/>
  <c r="N10" i="91"/>
  <c r="J13" i="89"/>
  <c r="AY10" i="87"/>
  <c r="X20" i="87"/>
  <c r="AD10" i="87"/>
  <c r="E31" i="28" s="1"/>
  <c r="E32" i="28"/>
  <c r="BF11" i="87"/>
  <c r="AX11" i="87" s="1"/>
  <c r="R5" i="91"/>
  <c r="S6" i="91" s="1"/>
  <c r="P6" i="91" s="1"/>
  <c r="AD22" i="87"/>
  <c r="R29" i="87" s="1"/>
  <c r="P29" i="87" s="1"/>
  <c r="L13" i="11"/>
  <c r="R10" i="13"/>
  <c r="S10" i="13" s="1"/>
  <c r="P10" i="13" s="1"/>
  <c r="D46" i="28"/>
  <c r="J15" i="11"/>
  <c r="D34" i="28"/>
  <c r="F34" i="28" s="1"/>
  <c r="BA10" i="87"/>
  <c r="BA20" i="87" s="1"/>
  <c r="BA24" i="87" s="1"/>
  <c r="Z20" i="87"/>
  <c r="Z24" i="87" s="1"/>
  <c r="E20" i="28" s="1"/>
  <c r="E34" i="28"/>
  <c r="N9" i="13"/>
  <c r="D31" i="28"/>
  <c r="F31" i="28" s="1"/>
  <c r="I31" i="11"/>
  <c r="AY5" i="87"/>
  <c r="V6" i="91"/>
  <c r="U6" i="91"/>
  <c r="U75" i="83"/>
  <c r="R9" i="91"/>
  <c r="K30" i="89"/>
  <c r="Q40" i="11"/>
  <c r="O41" i="84"/>
  <c r="W66" i="83"/>
  <c r="P19" i="89"/>
  <c r="P9" i="89" s="1"/>
  <c r="R9" i="13"/>
  <c r="S9" i="13" s="1"/>
  <c r="P9" i="13" s="1"/>
  <c r="D45" i="28"/>
  <c r="F45" i="28" s="1"/>
  <c r="K31" i="11"/>
  <c r="AD12" i="87"/>
  <c r="E45" i="28" s="1"/>
  <c r="AY12" i="87"/>
  <c r="BE12" i="87" s="1"/>
  <c r="E46" i="28"/>
  <c r="V75" i="83"/>
  <c r="P37" i="11"/>
  <c r="Z25" i="88"/>
  <c r="AA25" i="88" s="1"/>
  <c r="Y25" i="88" s="1"/>
  <c r="AA26" i="88"/>
  <c r="Y26" i="88" s="1"/>
  <c r="AA23" i="88"/>
  <c r="Y23" i="88" s="1"/>
  <c r="K19" i="11"/>
  <c r="K40" i="11" s="1"/>
  <c r="K35" i="11"/>
  <c r="R46" i="71"/>
  <c r="R65" i="71" s="1"/>
  <c r="T70" i="83"/>
  <c r="G12" i="83" s="1"/>
  <c r="I22" i="89"/>
  <c r="I18" i="89"/>
  <c r="I16" i="89"/>
  <c r="I17" i="89"/>
  <c r="I13" i="89"/>
  <c r="P38" i="11"/>
  <c r="W75" i="83"/>
  <c r="R51" i="72"/>
  <c r="R70" i="72" s="1"/>
  <c r="J17" i="11"/>
  <c r="D36" i="28"/>
  <c r="BC10" i="87"/>
  <c r="BC20" i="87" s="1"/>
  <c r="BC24" i="87" s="1"/>
  <c r="BC25" i="87" s="1"/>
  <c r="E36" i="28"/>
  <c r="AB20" i="87"/>
  <c r="AB24" i="87" s="1"/>
  <c r="V76" i="83"/>
  <c r="Q37" i="11"/>
  <c r="E22" i="89"/>
  <c r="E16" i="89"/>
  <c r="E17" i="89"/>
  <c r="E18" i="89"/>
  <c r="E24" i="89"/>
  <c r="N36" i="89"/>
  <c r="W68" i="83"/>
  <c r="J10" i="83" s="1"/>
  <c r="F47" i="28"/>
  <c r="R53" i="72"/>
  <c r="R72" i="72" s="1"/>
  <c r="W77" i="83"/>
  <c r="M35" i="11"/>
  <c r="T72" i="83"/>
  <c r="M19" i="11"/>
  <c r="R48" i="71"/>
  <c r="R67" i="71" s="1"/>
  <c r="M38" i="11"/>
  <c r="W72" i="83"/>
  <c r="R48" i="72"/>
  <c r="R67" i="72" s="1"/>
  <c r="U70" i="83"/>
  <c r="H12" i="83" s="1"/>
  <c r="AQ26" i="87"/>
  <c r="AQ27" i="87"/>
  <c r="AQ23" i="87"/>
  <c r="AQ22" i="87"/>
  <c r="AQ25" i="87"/>
  <c r="AQ24" i="87"/>
  <c r="F15" i="11"/>
  <c r="D20" i="28"/>
  <c r="F20" i="28" s="1"/>
  <c r="J14" i="11"/>
  <c r="D33" i="28"/>
  <c r="R37" i="89"/>
  <c r="N38" i="11"/>
  <c r="R49" i="72"/>
  <c r="R68" i="72" s="1"/>
  <c r="W73" i="83"/>
  <c r="Q19" i="89"/>
  <c r="R8" i="89" s="1"/>
  <c r="Q34" i="89"/>
  <c r="Z9" i="87"/>
  <c r="Z6" i="87"/>
  <c r="Z5" i="87"/>
  <c r="BA5" i="87" s="1"/>
  <c r="B186" i="91"/>
  <c r="B46" i="91"/>
  <c r="B866" i="91"/>
  <c r="F2" i="91" s="1"/>
  <c r="F4" i="91" s="1"/>
  <c r="B46" i="13"/>
  <c r="B186" i="13"/>
  <c r="B156" i="91"/>
  <c r="Q6" i="87"/>
  <c r="Q3" i="87"/>
  <c r="R33" i="87"/>
  <c r="B866" i="13"/>
  <c r="F2" i="13" s="1"/>
  <c r="F4" i="13" s="1"/>
  <c r="B156" i="13"/>
  <c r="Q9" i="87"/>
  <c r="B16" i="91"/>
  <c r="B896" i="91"/>
  <c r="B16" i="13"/>
  <c r="N9" i="91"/>
  <c r="I30" i="89"/>
  <c r="J13" i="11"/>
  <c r="N10" i="13"/>
  <c r="D32" i="28"/>
  <c r="F32" i="28" s="1"/>
  <c r="F10" i="91"/>
  <c r="F13" i="89"/>
  <c r="Q20" i="87"/>
  <c r="Q24" i="87" s="1"/>
  <c r="N8" i="13"/>
  <c r="E11" i="28"/>
  <c r="F11" i="28" s="1"/>
  <c r="AE23" i="87"/>
  <c r="W23" i="87" s="1"/>
  <c r="T77" i="83"/>
  <c r="R19" i="11"/>
  <c r="R35" i="11"/>
  <c r="R53" i="71"/>
  <c r="R72" i="71" s="1"/>
  <c r="T66" i="83"/>
  <c r="O45" i="84"/>
  <c r="BE22" i="87"/>
  <c r="BF22" i="87" s="1"/>
  <c r="AX22" i="87" s="1"/>
  <c r="AS13" i="87"/>
  <c r="AM23" i="87"/>
  <c r="E14" i="11"/>
  <c r="D12" i="28"/>
  <c r="F7" i="13"/>
  <c r="H18" i="11"/>
  <c r="T68" i="83"/>
  <c r="G10" i="83" s="1"/>
  <c r="P40" i="11"/>
  <c r="O19" i="89"/>
  <c r="O35" i="89" s="1"/>
  <c r="N19" i="89"/>
  <c r="N9" i="89" s="1"/>
  <c r="N34" i="89"/>
  <c r="N35" i="89"/>
  <c r="U71" i="83"/>
  <c r="H13" i="83" s="1"/>
  <c r="M40" i="11"/>
  <c r="P35" i="11"/>
  <c r="R51" i="71"/>
  <c r="R70" i="71" s="1"/>
  <c r="P19" i="11"/>
  <c r="P39" i="11" s="1"/>
  <c r="T75" i="83"/>
  <c r="Y25" i="87"/>
  <c r="E12" i="28"/>
  <c r="AR26" i="87"/>
  <c r="AR27" i="87"/>
  <c r="AR23" i="87"/>
  <c r="AR25" i="87"/>
  <c r="AR22" i="87"/>
  <c r="AR28" i="87" s="1"/>
  <c r="AR24" i="87"/>
  <c r="AP24" i="87"/>
  <c r="AP23" i="87"/>
  <c r="AP25" i="87"/>
  <c r="AP27" i="87"/>
  <c r="AP22" i="87"/>
  <c r="AP26" i="87"/>
  <c r="BN12" i="87"/>
  <c r="AY23" i="87"/>
  <c r="R35" i="89"/>
  <c r="BS9" i="87"/>
  <c r="BN9" i="87"/>
  <c r="BN23" i="87" s="1"/>
  <c r="BP9" i="87"/>
  <c r="BR9" i="87"/>
  <c r="BQ9" i="87"/>
  <c r="O45" i="66"/>
  <c r="P43" i="66" s="1"/>
  <c r="P42" i="66"/>
  <c r="P35" i="89"/>
  <c r="P36" i="89"/>
  <c r="K17" i="89"/>
  <c r="K16" i="89"/>
  <c r="K22" i="89"/>
  <c r="K15" i="89"/>
  <c r="K13" i="89"/>
  <c r="K18" i="89"/>
  <c r="K14" i="89"/>
  <c r="K24" i="89"/>
  <c r="F17" i="11"/>
  <c r="D22" i="28"/>
  <c r="BC7" i="87"/>
  <c r="BC8" i="87" s="1"/>
  <c r="AB8" i="87"/>
  <c r="AA27" i="88"/>
  <c r="Y27" i="88" s="1"/>
  <c r="AA24" i="88"/>
  <c r="Y24" i="88" s="1"/>
  <c r="K39" i="11"/>
  <c r="N37" i="89"/>
  <c r="N39" i="89"/>
  <c r="U72" i="83"/>
  <c r="M36" i="11"/>
  <c r="E21" i="28"/>
  <c r="F21" i="28" s="1"/>
  <c r="AA25" i="87"/>
  <c r="V71" i="83"/>
  <c r="I13" i="83" s="1"/>
  <c r="M19" i="89"/>
  <c r="N8" i="89" s="1"/>
  <c r="O29" i="89"/>
  <c r="AO25" i="87"/>
  <c r="AO27" i="87"/>
  <c r="AO26" i="87"/>
  <c r="AO24" i="87"/>
  <c r="AO28" i="87" s="1"/>
  <c r="Q38" i="11"/>
  <c r="R52" i="72"/>
  <c r="R71" i="72" s="1"/>
  <c r="W76" i="83"/>
  <c r="AZ6" i="87"/>
  <c r="Y8" i="87"/>
  <c r="AD6" i="87"/>
  <c r="H15" i="89"/>
  <c r="H14" i="89"/>
  <c r="R36" i="11"/>
  <c r="U77" i="83"/>
  <c r="U76" i="83"/>
  <c r="Q36" i="11"/>
  <c r="R38" i="89"/>
  <c r="T73" i="83"/>
  <c r="R49" i="71"/>
  <c r="R68" i="71" s="1"/>
  <c r="N19" i="11"/>
  <c r="N39" i="11" s="1"/>
  <c r="N35" i="11"/>
  <c r="N37" i="11"/>
  <c r="V73" i="83"/>
  <c r="Q38" i="89"/>
  <c r="Q39" i="89"/>
  <c r="BA21" i="87"/>
  <c r="BN14" i="87" s="1"/>
  <c r="AM14" i="87"/>
  <c r="BO9" i="87"/>
  <c r="BO22" i="87" s="1"/>
  <c r="F9" i="91"/>
  <c r="E30" i="89"/>
  <c r="F9" i="13"/>
  <c r="D17" i="28"/>
  <c r="E31" i="11"/>
  <c r="AY7" i="87"/>
  <c r="AD7" i="87"/>
  <c r="X8" i="87"/>
  <c r="V7" i="91"/>
  <c r="U7" i="91"/>
  <c r="BP18" i="87"/>
  <c r="BP22" i="87"/>
  <c r="K38" i="11"/>
  <c r="W70" i="83"/>
  <c r="J12" i="83" s="1"/>
  <c r="F6" i="13" l="1"/>
  <c r="H7" i="13" s="1"/>
  <c r="E7" i="13" s="1"/>
  <c r="D10" i="28"/>
  <c r="E29" i="11"/>
  <c r="N6" i="13"/>
  <c r="O7" i="13" s="1"/>
  <c r="M7" i="13" s="1"/>
  <c r="D24" i="28"/>
  <c r="I29" i="11"/>
  <c r="Q8" i="87"/>
  <c r="Z8" i="87"/>
  <c r="BA6" i="87"/>
  <c r="BA8" i="87" s="1"/>
  <c r="O43" i="69"/>
  <c r="V67" i="83"/>
  <c r="H15" i="11"/>
  <c r="AQ28" i="87"/>
  <c r="K36" i="11"/>
  <c r="P37" i="89"/>
  <c r="BE5" i="87"/>
  <c r="V69" i="83"/>
  <c r="I11" i="83" s="1"/>
  <c r="BE10" i="87"/>
  <c r="AY20" i="87"/>
  <c r="AS22" i="87"/>
  <c r="AS27" i="87"/>
  <c r="G18" i="11" s="1"/>
  <c r="M38" i="89"/>
  <c r="L19" i="89"/>
  <c r="L34" i="89"/>
  <c r="AD8" i="87"/>
  <c r="AZ8" i="87"/>
  <c r="H17" i="11"/>
  <c r="O42" i="69"/>
  <c r="O46" i="69" s="1"/>
  <c r="K37" i="89"/>
  <c r="BP27" i="87"/>
  <c r="BP24" i="87"/>
  <c r="BP25" i="87"/>
  <c r="BP26" i="87"/>
  <c r="BP23" i="87"/>
  <c r="BT23" i="87" s="1"/>
  <c r="G14" i="89" s="1"/>
  <c r="BF23" i="87"/>
  <c r="AX23" i="87" s="1"/>
  <c r="BT12" i="87"/>
  <c r="BN22" i="87"/>
  <c r="BN18" i="87"/>
  <c r="O44" i="84"/>
  <c r="U66" i="83"/>
  <c r="I15" i="11"/>
  <c r="D27" i="28"/>
  <c r="N7" i="13"/>
  <c r="BE7" i="87"/>
  <c r="BF7" i="87" s="1"/>
  <c r="AX7" i="87" s="1"/>
  <c r="AY8" i="87"/>
  <c r="AM24" i="87"/>
  <c r="BQ22" i="87"/>
  <c r="BQ25" i="87"/>
  <c r="BQ24" i="87"/>
  <c r="BQ27" i="87"/>
  <c r="BQ26" i="87"/>
  <c r="BQ23" i="87"/>
  <c r="BS26" i="87"/>
  <c r="BS25" i="87"/>
  <c r="BS27" i="87"/>
  <c r="BS23" i="87"/>
  <c r="BS22" i="87"/>
  <c r="BS28" i="87" s="1"/>
  <c r="BS24" i="87"/>
  <c r="AP28" i="87"/>
  <c r="P8" i="89"/>
  <c r="O36" i="89"/>
  <c r="F8" i="13"/>
  <c r="BN24" i="87"/>
  <c r="K35" i="89"/>
  <c r="BR26" i="87"/>
  <c r="BR25" i="87"/>
  <c r="BR23" i="87"/>
  <c r="BR27" i="87"/>
  <c r="BR22" i="87"/>
  <c r="BR24" i="87"/>
  <c r="BE21" i="87"/>
  <c r="BF21" i="87" s="1"/>
  <c r="AX21" i="87" s="1"/>
  <c r="O34" i="89"/>
  <c r="F12" i="28"/>
  <c r="X77" i="83"/>
  <c r="R53" i="70"/>
  <c r="R72" i="70" s="1"/>
  <c r="R9" i="11"/>
  <c r="R39" i="11"/>
  <c r="R37" i="11"/>
  <c r="F34" i="89"/>
  <c r="H13" i="89"/>
  <c r="F19" i="89"/>
  <c r="J19" i="11"/>
  <c r="J37" i="11" s="1"/>
  <c r="J35" i="11"/>
  <c r="T69" i="83"/>
  <c r="G11" i="83" s="1"/>
  <c r="N6" i="91"/>
  <c r="O7" i="91" s="1"/>
  <c r="M7" i="91" s="1"/>
  <c r="I28" i="89"/>
  <c r="E15" i="89"/>
  <c r="F7" i="91"/>
  <c r="BA9" i="87"/>
  <c r="Z19" i="87"/>
  <c r="AN14" i="87"/>
  <c r="E27" i="28"/>
  <c r="AD9" i="87"/>
  <c r="E24" i="28" s="1"/>
  <c r="F33" i="28"/>
  <c r="AE29" i="87"/>
  <c r="W29" i="87" s="1"/>
  <c r="M36" i="89"/>
  <c r="X72" i="83"/>
  <c r="N8" i="11"/>
  <c r="R48" i="70"/>
  <c r="R67" i="70" s="1"/>
  <c r="R38" i="11"/>
  <c r="F36" i="28"/>
  <c r="K33" i="11"/>
  <c r="K30" i="11" s="1"/>
  <c r="P34" i="89"/>
  <c r="K31" i="89"/>
  <c r="K32" i="89"/>
  <c r="K29" i="89" s="1"/>
  <c r="F46" i="28"/>
  <c r="J34" i="89"/>
  <c r="J19" i="89"/>
  <c r="F19" i="11"/>
  <c r="H13" i="11"/>
  <c r="O45" i="69"/>
  <c r="R43" i="71"/>
  <c r="R62" i="71" s="1"/>
  <c r="F35" i="11"/>
  <c r="T67" i="83"/>
  <c r="Q35" i="89"/>
  <c r="R10" i="89"/>
  <c r="R40" i="11"/>
  <c r="AM18" i="87"/>
  <c r="AZ25" i="87"/>
  <c r="M39" i="11"/>
  <c r="R52" i="70"/>
  <c r="R71" i="70" s="1"/>
  <c r="X76" i="83"/>
  <c r="R8" i="11"/>
  <c r="R36" i="89"/>
  <c r="F6" i="91"/>
  <c r="H7" i="91" s="1"/>
  <c r="E7" i="91" s="1"/>
  <c r="E28" i="89"/>
  <c r="I15" i="89"/>
  <c r="N7" i="91"/>
  <c r="J36" i="11"/>
  <c r="U69" i="83"/>
  <c r="H11" i="83" s="1"/>
  <c r="M39" i="89"/>
  <c r="E22" i="28"/>
  <c r="F22" i="28" s="1"/>
  <c r="AB25" i="87"/>
  <c r="J39" i="11"/>
  <c r="P10" i="89"/>
  <c r="R24" i="87"/>
  <c r="P24" i="87" s="1"/>
  <c r="AS25" i="87"/>
  <c r="G16" i="11" s="1"/>
  <c r="BO26" i="87"/>
  <c r="BO25" i="87"/>
  <c r="BO27" i="87"/>
  <c r="R49" i="70"/>
  <c r="R68" i="70" s="1"/>
  <c r="N9" i="11"/>
  <c r="N10" i="11" s="1"/>
  <c r="X73" i="83"/>
  <c r="M34" i="89"/>
  <c r="O39" i="89"/>
  <c r="K19" i="89"/>
  <c r="L8" i="89" s="1"/>
  <c r="BT9" i="87"/>
  <c r="BN27" i="87"/>
  <c r="BN26" i="87"/>
  <c r="BN25" i="87"/>
  <c r="BT25" i="87" s="1"/>
  <c r="G16" i="89" s="1"/>
  <c r="M37" i="89"/>
  <c r="P9" i="11"/>
  <c r="P10" i="11" s="1"/>
  <c r="X75" i="83"/>
  <c r="R51" i="70"/>
  <c r="R70" i="70" s="1"/>
  <c r="N10" i="89"/>
  <c r="P39" i="89"/>
  <c r="AS23" i="87"/>
  <c r="G14" i="11" s="1"/>
  <c r="O10" i="13"/>
  <c r="M10" i="13" s="1"/>
  <c r="O9" i="13"/>
  <c r="M9" i="13" s="1"/>
  <c r="Q19" i="87"/>
  <c r="N5" i="13"/>
  <c r="Q5" i="87"/>
  <c r="R3" i="87"/>
  <c r="P3" i="87" s="1"/>
  <c r="E15" i="11"/>
  <c r="R42" i="71" s="1"/>
  <c r="R61" i="71" s="1"/>
  <c r="D13" i="28"/>
  <c r="O38" i="89"/>
  <c r="I19" i="89"/>
  <c r="I38" i="89" s="1"/>
  <c r="L8" i="11"/>
  <c r="R46" i="70"/>
  <c r="R65" i="70" s="1"/>
  <c r="X70" i="83"/>
  <c r="K12" i="83" s="1"/>
  <c r="K37" i="11"/>
  <c r="BF12" i="87"/>
  <c r="AX12" i="87" s="1"/>
  <c r="R8" i="91"/>
  <c r="P38" i="89"/>
  <c r="BT13" i="87"/>
  <c r="P36" i="11"/>
  <c r="AD5" i="87"/>
  <c r="L19" i="11"/>
  <c r="L35" i="11"/>
  <c r="T71" i="83"/>
  <c r="G13" i="83" s="1"/>
  <c r="AD20" i="87"/>
  <c r="X24" i="87"/>
  <c r="N40" i="11"/>
  <c r="AS26" i="87"/>
  <c r="G17" i="11" s="1"/>
  <c r="M35" i="89"/>
  <c r="M37" i="11"/>
  <c r="O37" i="89"/>
  <c r="N36" i="11"/>
  <c r="H14" i="11"/>
  <c r="U67" i="83"/>
  <c r="O44" i="69"/>
  <c r="F36" i="11"/>
  <c r="E36" i="89" l="1"/>
  <c r="E19" i="89"/>
  <c r="AY24" i="87"/>
  <c r="BE20" i="87"/>
  <c r="BF20" i="87" s="1"/>
  <c r="AX20" i="87" s="1"/>
  <c r="O6" i="13"/>
  <c r="M6" i="13" s="1"/>
  <c r="BT26" i="87"/>
  <c r="G17" i="89" s="1"/>
  <c r="P11" i="89"/>
  <c r="O41" i="89"/>
  <c r="F9" i="11"/>
  <c r="R43" i="70"/>
  <c r="R62" i="70" s="1"/>
  <c r="X67" i="83"/>
  <c r="F38" i="11"/>
  <c r="F40" i="11"/>
  <c r="BA19" i="87"/>
  <c r="BO14" i="87"/>
  <c r="BE9" i="87"/>
  <c r="F9" i="89"/>
  <c r="F37" i="89"/>
  <c r="F39" i="89"/>
  <c r="F38" i="89"/>
  <c r="F36" i="89"/>
  <c r="F35" i="89"/>
  <c r="H9" i="13"/>
  <c r="E9" i="13" s="1"/>
  <c r="H10" i="13"/>
  <c r="E10" i="13" s="1"/>
  <c r="BQ28" i="87"/>
  <c r="BE8" i="87"/>
  <c r="F27" i="28"/>
  <c r="BT22" i="87"/>
  <c r="BN28" i="87"/>
  <c r="F37" i="11"/>
  <c r="I33" i="11"/>
  <c r="I32" i="11" s="1"/>
  <c r="I30" i="11"/>
  <c r="AE8" i="87"/>
  <c r="W8" i="87" s="1"/>
  <c r="AE5" i="87"/>
  <c r="W5" i="87" s="1"/>
  <c r="J8" i="89"/>
  <c r="I35" i="89"/>
  <c r="M41" i="89"/>
  <c r="N11" i="89"/>
  <c r="BF8" i="87"/>
  <c r="AD24" i="87"/>
  <c r="E17" i="28" s="1"/>
  <c r="F17" i="28" s="1"/>
  <c r="E18" i="28"/>
  <c r="F18" i="28" s="1"/>
  <c r="X25" i="87"/>
  <c r="AE24" i="87"/>
  <c r="W24" i="87" s="1"/>
  <c r="L9" i="11"/>
  <c r="L10" i="11" s="1"/>
  <c r="R47" i="70"/>
  <c r="R66" i="70" s="1"/>
  <c r="L40" i="11"/>
  <c r="X71" i="83"/>
  <c r="K13" i="83" s="1"/>
  <c r="L38" i="11"/>
  <c r="L39" i="11"/>
  <c r="L36" i="11"/>
  <c r="L37" i="11"/>
  <c r="I34" i="89"/>
  <c r="V66" i="83"/>
  <c r="O43" i="84"/>
  <c r="O46" i="84" s="1"/>
  <c r="Q23" i="87"/>
  <c r="R28" i="87"/>
  <c r="P28" i="87" s="1"/>
  <c r="P11" i="11"/>
  <c r="Q46" i="74" s="1"/>
  <c r="H12" i="74" s="1"/>
  <c r="O42" i="11"/>
  <c r="BT27" i="87"/>
  <c r="G18" i="89" s="1"/>
  <c r="K34" i="89"/>
  <c r="I39" i="89"/>
  <c r="Q41" i="89"/>
  <c r="R11" i="89"/>
  <c r="J9" i="89"/>
  <c r="J36" i="89"/>
  <c r="J39" i="89"/>
  <c r="J38" i="89"/>
  <c r="J37" i="89"/>
  <c r="J35" i="89"/>
  <c r="K32" i="11"/>
  <c r="H34" i="89"/>
  <c r="H19" i="89"/>
  <c r="R10" i="11"/>
  <c r="BR28" i="87"/>
  <c r="K36" i="89"/>
  <c r="V68" i="83"/>
  <c r="I10" i="83" s="1"/>
  <c r="R44" i="71"/>
  <c r="R63" i="71" s="1"/>
  <c r="I19" i="11"/>
  <c r="F39" i="11"/>
  <c r="BP28" i="87"/>
  <c r="F24" i="28"/>
  <c r="N11" i="11"/>
  <c r="Q45" i="74" s="1"/>
  <c r="H11" i="74" s="1"/>
  <c r="M42" i="11"/>
  <c r="I36" i="89"/>
  <c r="I37" i="89"/>
  <c r="AN24" i="87"/>
  <c r="AN28" i="87" s="1"/>
  <c r="AN18" i="87"/>
  <c r="AS18" i="87" s="1"/>
  <c r="AM28" i="87"/>
  <c r="S10" i="91"/>
  <c r="P10" i="91" s="1"/>
  <c r="S9" i="91"/>
  <c r="P9" i="91" s="1"/>
  <c r="R8" i="87"/>
  <c r="P8" i="87" s="1"/>
  <c r="K38" i="89"/>
  <c r="E32" i="89"/>
  <c r="E31" i="89" s="1"/>
  <c r="H19" i="11"/>
  <c r="H39" i="11" s="1"/>
  <c r="Z23" i="87"/>
  <c r="AD19" i="87"/>
  <c r="AE28" i="87" s="1"/>
  <c r="W28" i="87" s="1"/>
  <c r="I32" i="89"/>
  <c r="I31" i="89" s="1"/>
  <c r="I29" i="89"/>
  <c r="J9" i="11"/>
  <c r="R45" i="70"/>
  <c r="R64" i="70" s="1"/>
  <c r="X69" i="83"/>
  <c r="K11" i="83" s="1"/>
  <c r="J38" i="11"/>
  <c r="J40" i="11"/>
  <c r="AS14" i="87"/>
  <c r="E19" i="11"/>
  <c r="K39" i="89"/>
  <c r="BE6" i="87"/>
  <c r="BF6" i="87" s="1"/>
  <c r="AX6" i="87" s="1"/>
  <c r="L9" i="89"/>
  <c r="L10" i="89" s="1"/>
  <c r="L37" i="89"/>
  <c r="L36" i="89"/>
  <c r="L38" i="89"/>
  <c r="L39" i="89"/>
  <c r="L35" i="89"/>
  <c r="G13" i="11"/>
  <c r="BF10" i="87"/>
  <c r="AX10" i="87" s="1"/>
  <c r="N8" i="91"/>
  <c r="E33" i="11"/>
  <c r="E32" i="11" s="1"/>
  <c r="E30" i="11"/>
  <c r="BA23" i="87" l="1"/>
  <c r="BE19" i="87"/>
  <c r="BF19" i="87" s="1"/>
  <c r="AX19" i="87" s="1"/>
  <c r="K41" i="89"/>
  <c r="L11" i="89"/>
  <c r="R11" i="11"/>
  <c r="Q47" i="74" s="1"/>
  <c r="H13" i="74" s="1"/>
  <c r="Q42" i="11"/>
  <c r="H36" i="11"/>
  <c r="BF9" i="87"/>
  <c r="AX9" i="87" s="1"/>
  <c r="N5" i="91"/>
  <c r="O6" i="91" s="1"/>
  <c r="M6" i="91" s="1"/>
  <c r="AS24" i="87"/>
  <c r="J8" i="11"/>
  <c r="R44" i="70"/>
  <c r="R63" i="70" s="1"/>
  <c r="X68" i="83"/>
  <c r="K10" i="83" s="1"/>
  <c r="I36" i="11"/>
  <c r="I39" i="11"/>
  <c r="I40" i="11"/>
  <c r="I35" i="11"/>
  <c r="I38" i="11"/>
  <c r="G13" i="89"/>
  <c r="F8" i="11"/>
  <c r="R42" i="70"/>
  <c r="R61" i="70" s="1"/>
  <c r="X66" i="83"/>
  <c r="E39" i="11"/>
  <c r="E35" i="11"/>
  <c r="E38" i="11"/>
  <c r="E40" i="11"/>
  <c r="E36" i="11"/>
  <c r="J10" i="11"/>
  <c r="Z25" i="87"/>
  <c r="E13" i="28"/>
  <c r="F13" i="28" s="1"/>
  <c r="AD23" i="87"/>
  <c r="E29" i="89"/>
  <c r="I37" i="11"/>
  <c r="H9" i="89"/>
  <c r="H37" i="89"/>
  <c r="H39" i="89"/>
  <c r="H36" i="89"/>
  <c r="H38" i="89"/>
  <c r="H35" i="89"/>
  <c r="J10" i="89"/>
  <c r="E37" i="11"/>
  <c r="AD25" i="87"/>
  <c r="AE25" i="87"/>
  <c r="W25" i="87" s="1"/>
  <c r="AX8" i="87"/>
  <c r="AX5" i="87"/>
  <c r="BO24" i="87"/>
  <c r="BO18" i="87"/>
  <c r="BT18" i="87" s="1"/>
  <c r="BT14" i="87"/>
  <c r="F8" i="89"/>
  <c r="E35" i="89"/>
  <c r="E34" i="89"/>
  <c r="E39" i="89"/>
  <c r="E37" i="89"/>
  <c r="E38" i="89"/>
  <c r="O9" i="91"/>
  <c r="M9" i="91" s="1"/>
  <c r="O10" i="91"/>
  <c r="M10" i="91" s="1"/>
  <c r="H9" i="11"/>
  <c r="H40" i="11"/>
  <c r="H38" i="11"/>
  <c r="H37" i="11"/>
  <c r="H35" i="11"/>
  <c r="R30" i="87"/>
  <c r="Q25" i="87"/>
  <c r="R25" i="87" s="1"/>
  <c r="P25" i="87" s="1"/>
  <c r="F5" i="13"/>
  <c r="H6" i="13" s="1"/>
  <c r="E6" i="13" s="1"/>
  <c r="R23" i="87"/>
  <c r="P23" i="87" s="1"/>
  <c r="K42" i="11"/>
  <c r="L11" i="11"/>
  <c r="Q44" i="74" s="1"/>
  <c r="H10" i="74" s="1"/>
  <c r="F10" i="89"/>
  <c r="F10" i="11"/>
  <c r="O43" i="65"/>
  <c r="O52" i="65"/>
  <c r="BE24" i="87"/>
  <c r="AY25" i="87"/>
  <c r="BF24" i="87"/>
  <c r="AX24" i="87" s="1"/>
  <c r="F8" i="91" l="1"/>
  <c r="BF30" i="87"/>
  <c r="AX30" i="87" s="1"/>
  <c r="J11" i="89"/>
  <c r="I41" i="89"/>
  <c r="I42" i="11"/>
  <c r="J11" i="11"/>
  <c r="Q43" i="74" s="1"/>
  <c r="H9" i="74" s="1"/>
  <c r="O51" i="65"/>
  <c r="O42" i="65"/>
  <c r="P43" i="65" s="1"/>
  <c r="Q43" i="65" s="1"/>
  <c r="G15" i="11"/>
  <c r="AS28" i="87"/>
  <c r="BF25" i="87"/>
  <c r="AX25" i="87" s="1"/>
  <c r="E42" i="11"/>
  <c r="F11" i="11"/>
  <c r="Q42" i="74" s="1"/>
  <c r="H8" i="74" s="1"/>
  <c r="AE30" i="87"/>
  <c r="E10" i="28"/>
  <c r="F10" i="28" s="1"/>
  <c r="F11" i="89"/>
  <c r="E41" i="89"/>
  <c r="BO28" i="87"/>
  <c r="BT24" i="87"/>
  <c r="P51" i="65"/>
  <c r="BA25" i="87"/>
  <c r="BE25" i="87" s="1"/>
  <c r="BE23" i="87"/>
  <c r="G15" i="89" l="1"/>
  <c r="BT28" i="87"/>
  <c r="F5" i="91"/>
  <c r="H6" i="91" s="1"/>
  <c r="E6" i="91" s="1"/>
  <c r="BF29" i="87"/>
  <c r="AX29" i="87" s="1"/>
  <c r="G19" i="11"/>
  <c r="H10" i="91"/>
  <c r="E10" i="91" s="1"/>
  <c r="H9" i="91"/>
  <c r="E9" i="91" s="1"/>
  <c r="H8" i="11" l="1"/>
  <c r="H10" i="11" s="1"/>
  <c r="H11" i="11" s="1"/>
  <c r="G36" i="11"/>
  <c r="G40" i="11"/>
  <c r="G38" i="11"/>
  <c r="G39" i="11"/>
  <c r="G35" i="11"/>
  <c r="G37" i="11"/>
  <c r="G19" i="89"/>
  <c r="G36" i="89" s="1"/>
  <c r="H8" i="89" l="1"/>
  <c r="H10" i="89" s="1"/>
  <c r="H11" i="89" s="1"/>
  <c r="G35" i="89"/>
  <c r="G37" i="89"/>
  <c r="G38" i="89"/>
  <c r="G39" i="89"/>
  <c r="G34" i="89"/>
</calcChain>
</file>

<file path=xl/comments1.xml><?xml version="1.0" encoding="utf-8"?>
<comments xmlns="http://schemas.openxmlformats.org/spreadsheetml/2006/main">
  <authors>
    <author>Meagan Batdorff</author>
  </authors>
  <commentList>
    <comment ref="BL4" authorId="0">
      <text>
        <r>
          <rPr>
            <b/>
            <sz val="9"/>
            <color indexed="81"/>
            <rFont val="Segoe WP Semibold"/>
            <family val="2"/>
          </rPr>
          <t>Meagan Batdorff:</t>
        </r>
        <r>
          <rPr>
            <sz val="9"/>
            <color indexed="81"/>
            <rFont val="Segoe WP Semibold"/>
            <family val="2"/>
          </rPr>
          <t xml:space="preserve">
estimated based on Fulton average of 10% of total revenues</t>
        </r>
      </text>
    </comment>
    <comment ref="I11" authorId="0">
      <text>
        <r>
          <rPr>
            <b/>
            <sz val="9"/>
            <color indexed="81"/>
            <rFont val="Segoe WP Semibold"/>
            <family val="2"/>
          </rPr>
          <t>Meagan Batdorff:</t>
        </r>
        <r>
          <rPr>
            <sz val="9"/>
            <color indexed="81"/>
            <rFont val="Segoe WP Semibold"/>
            <family val="2"/>
          </rPr>
          <t xml:space="preserve">
These are middle school numbers</t>
        </r>
      </text>
    </comment>
    <comment ref="D24" authorId="0">
      <text>
        <r>
          <rPr>
            <b/>
            <sz val="9"/>
            <color indexed="81"/>
            <rFont val="Segoe WP Semibold"/>
            <family val="2"/>
          </rPr>
          <t>Meagan Batdorff:</t>
        </r>
        <r>
          <rPr>
            <sz val="9"/>
            <color indexed="81"/>
            <rFont val="Segoe WP Semibold"/>
            <family val="2"/>
          </rPr>
          <t xml:space="preserve">
Included in the KIPP Metro Atlanta Collaborative</t>
        </r>
      </text>
    </comment>
    <comment ref="BL26" authorId="0">
      <text>
        <r>
          <rPr>
            <b/>
            <sz val="9"/>
            <color indexed="81"/>
            <rFont val="Segoe WP Semibold"/>
            <family val="2"/>
          </rPr>
          <t>Meagan Batdorff:</t>
        </r>
        <r>
          <rPr>
            <sz val="9"/>
            <color indexed="81"/>
            <rFont val="Segoe WP Semibold"/>
            <family val="2"/>
          </rPr>
          <t xml:space="preserve">
estimated federal revenues based on federal average percent of total for all APS charter
</t>
        </r>
      </text>
    </comment>
    <comment ref="BO26" authorId="0">
      <text>
        <r>
          <rPr>
            <b/>
            <sz val="9"/>
            <color indexed="81"/>
            <rFont val="Segoe WP Semibold"/>
            <family val="2"/>
          </rPr>
          <t>Meagan Batdorff:</t>
        </r>
        <r>
          <rPr>
            <sz val="9"/>
            <color indexed="81"/>
            <rFont val="Segoe WP Semibold"/>
            <family val="2"/>
          </rPr>
          <t xml:space="preserve">
Audit total includes in-kind</t>
        </r>
      </text>
    </comment>
    <comment ref="BO28" authorId="0">
      <text>
        <r>
          <rPr>
            <b/>
            <sz val="9"/>
            <color indexed="81"/>
            <rFont val="Segoe WP Semibold"/>
            <family val="2"/>
          </rPr>
          <t>Meagan Batdorff:</t>
        </r>
        <r>
          <rPr>
            <sz val="9"/>
            <color indexed="81"/>
            <rFont val="Segoe WP Semibold"/>
            <family val="2"/>
          </rPr>
          <t xml:space="preserve">
</t>
        </r>
      </text>
    </comment>
    <comment ref="BM33" authorId="0">
      <text>
        <r>
          <rPr>
            <b/>
            <sz val="9"/>
            <color indexed="81"/>
            <rFont val="Segoe WP Semibold"/>
            <family val="2"/>
          </rPr>
          <t>Meagan Batdorff:</t>
        </r>
        <r>
          <rPr>
            <sz val="9"/>
            <color indexed="81"/>
            <rFont val="Segoe WP Semibold"/>
            <family val="2"/>
          </rPr>
          <t xml:space="preserve">
Estimated fed revenues using average .09% of total</t>
        </r>
      </text>
    </comment>
    <comment ref="AX35" authorId="0">
      <text>
        <r>
          <rPr>
            <b/>
            <sz val="9"/>
            <color indexed="81"/>
            <rFont val="Segoe WP Semibold"/>
            <family val="2"/>
          </rPr>
          <t>Meagan Batdorff:</t>
        </r>
        <r>
          <rPr>
            <sz val="9"/>
            <color indexed="81"/>
            <rFont val="Segoe WP Semibold"/>
            <family val="2"/>
          </rPr>
          <t xml:space="preserve">
From audit not QBE sheet
</t>
        </r>
      </text>
    </comment>
    <comment ref="P36" authorId="0">
      <text>
        <r>
          <rPr>
            <b/>
            <sz val="9"/>
            <color indexed="81"/>
            <rFont val="Segoe WP Semibold"/>
            <family val="2"/>
          </rPr>
          <t>Meagan Batdorff:</t>
        </r>
        <r>
          <rPr>
            <sz val="9"/>
            <color indexed="81"/>
            <rFont val="Segoe WP Semibold"/>
            <family val="2"/>
          </rPr>
          <t xml:space="preserve">
Local and state itemized in audit</t>
        </r>
      </text>
    </comment>
    <comment ref="AX36" authorId="0">
      <text>
        <r>
          <rPr>
            <b/>
            <sz val="9"/>
            <color indexed="81"/>
            <rFont val="Segoe WP Semibold"/>
            <family val="2"/>
          </rPr>
          <t>Meagan Batdorff:</t>
        </r>
        <r>
          <rPr>
            <sz val="9"/>
            <color indexed="81"/>
            <rFont val="Segoe WP Semibold"/>
            <family val="2"/>
          </rPr>
          <t xml:space="preserve">
state/local in audit</t>
        </r>
      </text>
    </comment>
    <comment ref="BO37" authorId="0">
      <text>
        <r>
          <rPr>
            <b/>
            <sz val="9"/>
            <color indexed="81"/>
            <rFont val="Segoe WP Semibold"/>
            <family val="2"/>
          </rPr>
          <t>Meagan Batdorff:</t>
        </r>
        <r>
          <rPr>
            <sz val="9"/>
            <color indexed="81"/>
            <rFont val="Segoe WP Semibold"/>
            <family val="2"/>
          </rPr>
          <t xml:space="preserve">
Used DOE file
</t>
        </r>
      </text>
    </comment>
    <comment ref="AX43" authorId="0">
      <text>
        <r>
          <rPr>
            <b/>
            <sz val="9"/>
            <color indexed="81"/>
            <rFont val="Segoe WP Semibold"/>
            <family val="2"/>
          </rPr>
          <t>Meagan Batdorff:</t>
        </r>
        <r>
          <rPr>
            <sz val="9"/>
            <color indexed="81"/>
            <rFont val="Segoe WP Semibold"/>
            <family val="2"/>
          </rPr>
          <t xml:space="preserve">
from audit local amount</t>
        </r>
      </text>
    </comment>
    <comment ref="BO47" authorId="0">
      <text>
        <r>
          <rPr>
            <b/>
            <sz val="9"/>
            <color indexed="81"/>
            <rFont val="Segoe WP Semibold"/>
            <family val="2"/>
          </rPr>
          <t>Meagan Batdorff:</t>
        </r>
        <r>
          <rPr>
            <sz val="9"/>
            <color indexed="81"/>
            <rFont val="Segoe WP Semibold"/>
            <family val="2"/>
          </rPr>
          <t xml:space="preserve">
Audit total included $205,000 as revenues that were waived mgmt fees</t>
        </r>
      </text>
    </comment>
    <comment ref="BO52" authorId="0">
      <text>
        <r>
          <rPr>
            <b/>
            <sz val="9"/>
            <color indexed="81"/>
            <rFont val="Segoe WP Semibold"/>
            <family val="2"/>
          </rPr>
          <t>Meagan Batdorff:</t>
        </r>
        <r>
          <rPr>
            <sz val="9"/>
            <color indexed="81"/>
            <rFont val="Segoe WP Semibold"/>
            <family val="2"/>
          </rPr>
          <t xml:space="preserve">
Used DOE file for revenues</t>
        </r>
      </text>
    </comment>
    <comment ref="BO53" authorId="0">
      <text>
        <r>
          <rPr>
            <b/>
            <sz val="9"/>
            <color indexed="81"/>
            <rFont val="Segoe WP Semibold"/>
            <family val="2"/>
          </rPr>
          <t>Meagan Batdorff:</t>
        </r>
        <r>
          <rPr>
            <sz val="9"/>
            <color indexed="81"/>
            <rFont val="Segoe WP Semibold"/>
            <family val="2"/>
          </rPr>
          <t xml:space="preserve">
Used DOE revenues not audit</t>
        </r>
      </text>
    </comment>
    <comment ref="BO57" authorId="0">
      <text>
        <r>
          <rPr>
            <b/>
            <sz val="9"/>
            <color indexed="81"/>
            <rFont val="Segoe WP Semibold"/>
            <family val="2"/>
          </rPr>
          <t>Meagan Batdorff:</t>
        </r>
        <r>
          <rPr>
            <sz val="9"/>
            <color indexed="81"/>
            <rFont val="Segoe WP Semibold"/>
            <family val="2"/>
          </rPr>
          <t xml:space="preserve">
Used DOE file that shows fed</t>
        </r>
      </text>
    </comment>
    <comment ref="BO58" authorId="0">
      <text>
        <r>
          <rPr>
            <b/>
            <sz val="9"/>
            <color indexed="81"/>
            <rFont val="Segoe WP Semibold"/>
            <family val="2"/>
          </rPr>
          <t>Meagan Batdorff:</t>
        </r>
        <r>
          <rPr>
            <sz val="9"/>
            <color indexed="81"/>
            <rFont val="Segoe WP Semibold"/>
            <family val="2"/>
          </rPr>
          <t xml:space="preserve">
Audit total includes $222,118 in in-kind</t>
        </r>
      </text>
    </comment>
    <comment ref="A112" authorId="0">
      <text>
        <r>
          <rPr>
            <b/>
            <sz val="9"/>
            <color indexed="81"/>
            <rFont val="Segoe WP Semibold"/>
            <family val="2"/>
          </rPr>
          <t>Meagan Batdorff:</t>
        </r>
        <r>
          <rPr>
            <sz val="9"/>
            <color indexed="81"/>
            <rFont val="Segoe WP Semibold"/>
            <family val="2"/>
          </rPr>
          <t xml:space="preserve">
Closed at end of 2010-11</t>
        </r>
      </text>
    </comment>
  </commentList>
</comments>
</file>

<file path=xl/sharedStrings.xml><?xml version="1.0" encoding="utf-8"?>
<sst xmlns="http://schemas.openxmlformats.org/spreadsheetml/2006/main" count="42833" uniqueCount="1888">
  <si>
    <t>STATEWIDE</t>
  </si>
  <si>
    <t>PROOF</t>
  </si>
  <si>
    <t>O</t>
  </si>
  <si>
    <t>DIFF</t>
  </si>
  <si>
    <t>Districts</t>
  </si>
  <si>
    <t>PROOF-STATEWIDE</t>
  </si>
  <si>
    <t>PROOF-FA1</t>
  </si>
  <si>
    <t>PROOF-FA2</t>
  </si>
  <si>
    <t>PROOF-FA3</t>
  </si>
  <si>
    <t>PROOF-FA4</t>
  </si>
  <si>
    <t>PROOF-FA5</t>
  </si>
  <si>
    <t>UNIT</t>
  </si>
  <si>
    <t>UNIT:</t>
  </si>
  <si>
    <t>CMPS</t>
  </si>
  <si>
    <t>SRVC</t>
  </si>
  <si>
    <t>STAT</t>
  </si>
  <si>
    <t>ADJ1</t>
  </si>
  <si>
    <t>ADJ2</t>
  </si>
  <si>
    <t>ADJ3</t>
  </si>
  <si>
    <t>Campus</t>
  </si>
  <si>
    <t>School</t>
  </si>
  <si>
    <t>Service Center</t>
  </si>
  <si>
    <t>F = Federal</t>
  </si>
  <si>
    <t>S = State</t>
  </si>
  <si>
    <t>L = Local</t>
  </si>
  <si>
    <t>O = Other</t>
  </si>
  <si>
    <t>N = Indeterminate</t>
  </si>
  <si>
    <t>[Adjustment Type 1]</t>
  </si>
  <si>
    <t>[Adjustment Type 2]</t>
  </si>
  <si>
    <t>[Adjustment Type 3]</t>
  </si>
  <si>
    <t>B</t>
  </si>
  <si>
    <t>E</t>
  </si>
  <si>
    <t>G</t>
  </si>
  <si>
    <t>H</t>
  </si>
  <si>
    <t>I</t>
  </si>
  <si>
    <t>J</t>
  </si>
  <si>
    <t>K</t>
  </si>
  <si>
    <t>M</t>
  </si>
  <si>
    <t>ADJ10</t>
  </si>
  <si>
    <t>ADJ# …</t>
  </si>
  <si>
    <t>ADJ4</t>
  </si>
  <si>
    <t>NFA</t>
  </si>
  <si>
    <t>STATE</t>
  </si>
  <si>
    <t>[Other Type 1]</t>
  </si>
  <si>
    <t>[Other Type 2]</t>
  </si>
  <si>
    <t>[Other Type 3]</t>
  </si>
  <si>
    <t>ADJ5</t>
  </si>
  <si>
    <t>ADJ6</t>
  </si>
  <si>
    <t>ADJ7</t>
  </si>
  <si>
    <t>ADJ8</t>
  </si>
  <si>
    <t>ADJ9</t>
  </si>
  <si>
    <t>ADJ11</t>
  </si>
  <si>
    <t>ADJ12</t>
  </si>
  <si>
    <t>ADJ13</t>
  </si>
  <si>
    <t>ADJ14</t>
  </si>
  <si>
    <t>ADJ15</t>
  </si>
  <si>
    <t>[Adjustment Type 4]</t>
  </si>
  <si>
    <t>[Adjustment Type 5]</t>
  </si>
  <si>
    <t>[Adjustment Type 6]</t>
  </si>
  <si>
    <t>[Adjustment Type 7]</t>
  </si>
  <si>
    <t>[Adjustment Type 8]</t>
  </si>
  <si>
    <t>[Adjustment Type 9]</t>
  </si>
  <si>
    <t>[Adjustment Type 10]</t>
  </si>
  <si>
    <t>[Adjustment Type 11]</t>
  </si>
  <si>
    <t>[Adjustment Type 12]</t>
  </si>
  <si>
    <t>[Adjustment Type 13]</t>
  </si>
  <si>
    <t>[Adjustment Type 14]</t>
  </si>
  <si>
    <t>[Adjustment Type 15]</t>
  </si>
  <si>
    <t>Statewide-D from DSUM below</t>
  </si>
  <si>
    <t>Statewide-C from DSUM below</t>
  </si>
  <si>
    <t>P</t>
  </si>
  <si>
    <t>Q</t>
  </si>
  <si>
    <t>Charter
Schools</t>
  </si>
  <si>
    <t>For FY 2010-11, only 11 charter schools were considered independent LEAs.  The majority of charter schools in GA - start-up or conversion - are not treated as LEAs for funding purposes.</t>
    <phoneticPr fontId="146" type="noConversion"/>
  </si>
  <si>
    <t>Statewide-Districts (o+q)</t>
  </si>
  <si>
    <t>All FA-D (SUM e+g+i+k+m)</t>
  </si>
  <si>
    <t>All FA-C (SUM f+h+j+l+n)</t>
  </si>
  <si>
    <t>Statewide-Charters (p+r)</t>
  </si>
  <si>
    <t>ADJ-UNIT="ADJ*" &amp; C/D = D</t>
  </si>
  <si>
    <t>ADJ-UNIT="ADJ*" &amp; C/D = C</t>
  </si>
  <si>
    <t>Statewide-D&amp;C (s+t)</t>
  </si>
  <si>
    <t>FEDERAL</t>
  </si>
  <si>
    <t>LOCAL</t>
  </si>
  <si>
    <t>OTHER</t>
  </si>
  <si>
    <t>INDETERMINATE (N)</t>
  </si>
  <si>
    <t>FEDERAL (F)</t>
  </si>
  <si>
    <t>STATE (S)</t>
  </si>
  <si>
    <t>LOCAL (L)</t>
  </si>
  <si>
    <t>OTHER (O)</t>
  </si>
  <si>
    <t>TOTAL</t>
  </si>
  <si>
    <t>z</t>
  </si>
  <si>
    <t>PROOF B -- BY SOURCE</t>
  </si>
  <si>
    <t>PROOF A -- BY ENTITY</t>
  </si>
  <si>
    <t>NFA-C&amp;D (PROOF A to B)</t>
  </si>
  <si>
    <t>Statewide-C&amp;D (PROOF A to B)</t>
  </si>
  <si>
    <t>#</t>
  </si>
  <si>
    <t># BLANK ROWS</t>
  </si>
  <si>
    <t>R</t>
  </si>
  <si>
    <t>T</t>
  </si>
  <si>
    <t>U</t>
  </si>
  <si>
    <t>V</t>
  </si>
  <si>
    <t>W</t>
  </si>
  <si>
    <t>X</t>
  </si>
  <si>
    <t>Y</t>
  </si>
  <si>
    <t>Z</t>
  </si>
  <si>
    <t>AA</t>
  </si>
  <si>
    <t>AB</t>
  </si>
  <si>
    <t>AC</t>
  </si>
  <si>
    <t>AD</t>
  </si>
  <si>
    <t>AE</t>
  </si>
  <si>
    <t>AF</t>
  </si>
  <si>
    <t>(b-s)</t>
  </si>
  <si>
    <t>MATH</t>
  </si>
  <si>
    <t>(c-t)</t>
  </si>
  <si>
    <t>(a-d)</t>
  </si>
  <si>
    <t>Proof A-B</t>
  </si>
  <si>
    <t>Proof B-A</t>
  </si>
  <si>
    <t>(d-u)</t>
  </si>
  <si>
    <t>DIff-MATH</t>
  </si>
  <si>
    <t>DIFF-MATH</t>
  </si>
  <si>
    <t>(a-u)</t>
  </si>
  <si>
    <t>DSUM Totals</t>
  </si>
  <si>
    <t>DB Proof Totals</t>
  </si>
  <si>
    <t>Source</t>
  </si>
  <si>
    <t>Entity</t>
  </si>
  <si>
    <t>COUNT</t>
  </si>
  <si>
    <t>WEIGHTED</t>
  </si>
  <si>
    <t>INDETERMINATE</t>
  </si>
  <si>
    <t>FOCUS AREAS:</t>
  </si>
  <si>
    <t>%-TO-TOTAL</t>
  </si>
  <si>
    <t>CHARTER ENROLLMENT:</t>
  </si>
  <si>
    <t>DISTRICT PER PUPIL REVENUES:</t>
  </si>
  <si>
    <t>STATEWIDE WEIGHTED</t>
  </si>
  <si>
    <t>PER PUPIL COMPUTATION:</t>
  </si>
  <si>
    <t>INTERIM WEIGHTING CALCULATIONS</t>
  </si>
  <si>
    <t>Formula Proof &amp; Proof Totals for Printing</t>
  </si>
  <si>
    <t xml:space="preserve">THIS WORKSHEET COMPARES RESULTS FROM TWO INDEPENDENT FORMULA METHODS  </t>
  </si>
  <si>
    <t>A</t>
  </si>
  <si>
    <t>D</t>
  </si>
  <si>
    <t>S</t>
  </si>
  <si>
    <t>N</t>
  </si>
  <si>
    <t>AMOUNT</t>
  </si>
  <si>
    <t>C/D</t>
  </si>
  <si>
    <t>Local</t>
  </si>
  <si>
    <t>State</t>
  </si>
  <si>
    <t>Federal</t>
  </si>
  <si>
    <t>Total</t>
  </si>
  <si>
    <t>C</t>
  </si>
  <si>
    <t>FY</t>
  </si>
  <si>
    <t>Other</t>
  </si>
  <si>
    <t>Indeterminate</t>
  </si>
  <si>
    <t>Statewide</t>
  </si>
  <si>
    <t>FA1</t>
  </si>
  <si>
    <t>FA2</t>
  </si>
  <si>
    <t>FA3</t>
  </si>
  <si>
    <t>FA4</t>
  </si>
  <si>
    <t>FA5</t>
  </si>
  <si>
    <t>N/A</t>
  </si>
  <si>
    <t>OTH1</t>
  </si>
  <si>
    <t>OTH2</t>
  </si>
  <si>
    <t>OTH3</t>
  </si>
  <si>
    <t>State:</t>
  </si>
  <si>
    <t>FY:</t>
  </si>
  <si>
    <t>FY2010-11</t>
  </si>
  <si>
    <t>Charter</t>
  </si>
  <si>
    <t>District</t>
  </si>
  <si>
    <t>Statewide Weighted</t>
  </si>
  <si>
    <t>County</t>
  </si>
  <si>
    <t>Line 1</t>
  </si>
  <si>
    <t>Line 2</t>
  </si>
  <si>
    <t>Per Pupil Revenue</t>
  </si>
  <si>
    <t>Difference</t>
  </si>
  <si>
    <t>% of District</t>
  </si>
  <si>
    <t>Per Pupil Revenue by Source</t>
  </si>
  <si>
    <t>Enrollment</t>
  </si>
  <si>
    <t>Charters</t>
  </si>
  <si>
    <t>Total Revenue</t>
  </si>
  <si>
    <t>Percentage of Revenue by Source</t>
  </si>
  <si>
    <t>SOURCES:</t>
  </si>
  <si>
    <t>L</t>
  </si>
  <si>
    <t>F</t>
  </si>
  <si>
    <t>ENTITY</t>
  </si>
  <si>
    <t>SCHL</t>
  </si>
  <si>
    <t>DIST</t>
  </si>
  <si>
    <t>CNTY</t>
  </si>
  <si>
    <t>ROLL-UP GROUPS (OPTIONAL)</t>
  </si>
  <si>
    <t>REGION</t>
  </si>
  <si>
    <t>REGION NAME</t>
  </si>
  <si>
    <t>SUB-REGION</t>
  </si>
  <si>
    <t>SUB-REGION NAME</t>
  </si>
  <si>
    <t>ENTITY#</t>
  </si>
  <si>
    <t>ENTITY NAME</t>
  </si>
  <si>
    <t>NOTES</t>
  </si>
  <si>
    <t>FOCUS AREA</t>
  </si>
  <si>
    <t>SOURCE</t>
  </si>
  <si>
    <t>Statewide-C from Total of Sources below (F, S, L, O, P, N)</t>
  </si>
  <si>
    <t>COMPUTATIONS FOR THE STATEWIDE WEIGHTED METRICS</t>
  </si>
  <si>
    <t>PUBLIC-INDETER. (P)</t>
  </si>
  <si>
    <t>Statewide-C from $REV-DB!Q22</t>
  </si>
  <si>
    <t>Statewide-D from $REV-DB!Q21</t>
  </si>
  <si>
    <t>PUBLIC-INDETER.</t>
  </si>
  <si>
    <t>P = Public-Indeterminate</t>
  </si>
  <si>
    <t>MAPPING -- REQUIRED FIELDS</t>
  </si>
  <si>
    <t>INC(I) / EXC(X)</t>
  </si>
  <si>
    <t>FUTURE</t>
  </si>
  <si>
    <t>AG</t>
  </si>
  <si>
    <t xml:space="preserve">   FY Format = </t>
  </si>
  <si>
    <t xml:space="preserve">   STATE FORMAT "AZ"</t>
  </si>
  <si>
    <t>Figure 1</t>
  </si>
  <si>
    <t>Figure 1 Data</t>
  </si>
  <si>
    <t>[ENTER FREE-STYLE NOTE HERE &amp; BELOW]</t>
  </si>
  <si>
    <t>Disparity</t>
  </si>
  <si>
    <t>Per Pupil</t>
  </si>
  <si>
    <t>% to</t>
  </si>
  <si>
    <t>Figure 2</t>
  </si>
  <si>
    <t>Figure 2 Data</t>
  </si>
  <si>
    <t>Figure 2 Analyst's Notes</t>
  </si>
  <si>
    <t>Figure 1 Analyst's Notes</t>
  </si>
  <si>
    <t>Figure 3</t>
  </si>
  <si>
    <t>Figure 3 Analyst's Notes</t>
  </si>
  <si>
    <t>Figure 3 Data</t>
  </si>
  <si>
    <t>Figure 4</t>
  </si>
  <si>
    <t>Figure 4 Analyst's Notes</t>
  </si>
  <si>
    <t>Figure 4 Data</t>
  </si>
  <si>
    <t>Figure 5</t>
  </si>
  <si>
    <t>Figure 5 Analyst's Notes</t>
  </si>
  <si>
    <t>Figure 5 Data</t>
  </si>
  <si>
    <t>Figure 6</t>
  </si>
  <si>
    <t>Figure 6 Analyst's Notes</t>
  </si>
  <si>
    <t>Figure 6 Data</t>
  </si>
  <si>
    <t>Figure 7</t>
  </si>
  <si>
    <t>Figure 7 Analyst's Notes</t>
  </si>
  <si>
    <t>Figure 7 Data</t>
  </si>
  <si>
    <t>Figure 8</t>
  </si>
  <si>
    <t>Figure 8 Analyst's Notes</t>
  </si>
  <si>
    <t>Figure 8 Data</t>
  </si>
  <si>
    <t>Does the state provide reasonable access to detailed, public data on federal, state, local, and other revenues for district schools?</t>
  </si>
  <si>
    <t>Are charter schools treated as LEAs for funding purposes?</t>
  </si>
  <si>
    <t>ENROLLMENT</t>
  </si>
  <si>
    <t>TOTAL ENROLLMENT</t>
  </si>
  <si>
    <t>FA3L2</t>
  </si>
  <si>
    <t>FA5L2</t>
  </si>
  <si>
    <t>FA4L2</t>
  </si>
  <si>
    <t># of Charter Schools</t>
  </si>
  <si>
    <t xml:space="preserve">THE PURPOSE OF THIS WORKSHEET IS TO VIEW THE DATA FORMAT IN ONE WINDOW WHILE TRANSFORMING THE DATA INTO THIS FORMAT IN ANOTHER WINDOW </t>
  </si>
  <si>
    <t>R E V E N U E</t>
  </si>
  <si>
    <t>E N R O L L M E N T</t>
  </si>
  <si>
    <t>MESSAGE</t>
  </si>
  <si>
    <t>SOURCES</t>
  </si>
  <si>
    <t>a</t>
  </si>
  <si>
    <t>b</t>
  </si>
  <si>
    <t>c</t>
  </si>
  <si>
    <t>d</t>
  </si>
  <si>
    <t>e</t>
  </si>
  <si>
    <t>f</t>
  </si>
  <si>
    <t>g</t>
  </si>
  <si>
    <t>h</t>
  </si>
  <si>
    <t>i</t>
  </si>
  <si>
    <t>j</t>
  </si>
  <si>
    <t>k</t>
  </si>
  <si>
    <t>l</t>
  </si>
  <si>
    <t>m</t>
  </si>
  <si>
    <t>n</t>
  </si>
  <si>
    <t>o</t>
  </si>
  <si>
    <t>p</t>
  </si>
  <si>
    <t>q</t>
  </si>
  <si>
    <t>r</t>
  </si>
  <si>
    <t>s</t>
  </si>
  <si>
    <t>t</t>
  </si>
  <si>
    <t>u</t>
  </si>
  <si>
    <t>v</t>
  </si>
  <si>
    <t>w</t>
  </si>
  <si>
    <t>x</t>
  </si>
  <si>
    <t>y</t>
  </si>
  <si>
    <t>Sum-D&amp;C (b+c)</t>
  </si>
  <si>
    <t>FA1-C/D = D</t>
  </si>
  <si>
    <t>FA1-C/D = C</t>
  </si>
  <si>
    <t>FA2-C/D = D</t>
  </si>
  <si>
    <t>FA2-C/D = C</t>
  </si>
  <si>
    <t>FA3-C/D = D</t>
  </si>
  <si>
    <t>FA3-C/D = C</t>
  </si>
  <si>
    <t>FA4-C/D = D</t>
  </si>
  <si>
    <t>FA4-C/D = C</t>
  </si>
  <si>
    <t>FA5-C/D = D</t>
  </si>
  <si>
    <t>FA5-C/D = C</t>
  </si>
  <si>
    <t>NFA-C/D = D (Non-Focus Area)</t>
  </si>
  <si>
    <t>NFA-C/D = C (Non-Focus Area)</t>
  </si>
  <si>
    <t>REF</t>
  </si>
  <si>
    <t>REVENUE AMOUNT</t>
  </si>
  <si>
    <t>TOTAL DATABASE RANGE</t>
  </si>
  <si>
    <t>One Grand Total by FY</t>
  </si>
  <si>
    <t>See the bottom of this worksheet for the "Total of Database Range" section and the "Excluded" section.</t>
  </si>
  <si>
    <t>[Adjustment Type 16]</t>
  </si>
  <si>
    <t>[Adjustment Type 17]</t>
  </si>
  <si>
    <t>[Adjustment Type 18]</t>
  </si>
  <si>
    <t>[Adjustment Type ...]</t>
  </si>
  <si>
    <t>ADJ16</t>
  </si>
  <si>
    <t>ADJ17</t>
  </si>
  <si>
    <t>ADJ18</t>
  </si>
  <si>
    <t>Includes Analyzed Revenues Only, no Excluded Revenues</t>
  </si>
  <si>
    <t>DSUM</t>
  </si>
  <si>
    <t>All FA-C&amp;D (PROOF A to B)</t>
  </si>
  <si>
    <t>&gt;&gt;&gt;</t>
  </si>
  <si>
    <t>Added data rows may be edited &amp; deleted.</t>
  </si>
  <si>
    <t>You may change any column width or row height.</t>
  </si>
  <si>
    <t>&lt;&lt;&lt;</t>
  </si>
  <si>
    <t>FA1L1</t>
  </si>
  <si>
    <t>FA1L2</t>
  </si>
  <si>
    <t>Figure 10</t>
  </si>
  <si>
    <t>Figure 10 Analyst's Notes</t>
  </si>
  <si>
    <t>Figure 10 Data</t>
  </si>
  <si>
    <t>Figure 11</t>
  </si>
  <si>
    <t>Figure 11 Analyst's Notes</t>
  </si>
  <si>
    <t>Figure 11 Data</t>
  </si>
  <si>
    <t>Figure 12</t>
  </si>
  <si>
    <t>Figure 12 Analyst's Notes</t>
  </si>
  <si>
    <t>Figure 12 Data</t>
  </si>
  <si>
    <t>Free &amp; Reduced Lunch</t>
  </si>
  <si>
    <t>Title 1</t>
  </si>
  <si>
    <t>Special Education</t>
  </si>
  <si>
    <t>Percentage of Total Enrollment</t>
  </si>
  <si>
    <t>Year &gt;&gt;&gt;</t>
  </si>
  <si>
    <t>Student Group &gt;&gt;&gt;</t>
  </si>
  <si>
    <t>NOTE TO ANALYST:  Key in the demographic data below.</t>
  </si>
  <si>
    <t>Total of Enrollment Analyzed</t>
  </si>
  <si>
    <t>Statewide-D from ENR#-DB</t>
  </si>
  <si>
    <t>Statewide-C from ENR#-DB</t>
  </si>
  <si>
    <t xml:space="preserve">NOTE FOR ANALYST:  Enter the information below.  Use a 2-character abbreviation for State. </t>
  </si>
  <si>
    <t>FUNDING</t>
  </si>
  <si>
    <t>GRADE</t>
  </si>
  <si>
    <t>Grade based on % of Actual Funding Disparity</t>
  </si>
  <si>
    <t>ALL "DIFFERENCES" SHOULD EQUAL $0.00</t>
  </si>
  <si>
    <t>CMPS =</t>
  </si>
  <si>
    <t xml:space="preserve">SCHL = </t>
  </si>
  <si>
    <t xml:space="preserve">DIST = </t>
  </si>
  <si>
    <t xml:space="preserve">CNTY = </t>
  </si>
  <si>
    <t xml:space="preserve">SRVC = </t>
  </si>
  <si>
    <t>Servive Center</t>
  </si>
  <si>
    <t xml:space="preserve">STAT = </t>
  </si>
  <si>
    <t xml:space="preserve">OTH = </t>
  </si>
  <si>
    <t xml:space="preserve">ADJ# = </t>
  </si>
  <si>
    <t>Adjustment (#)</t>
  </si>
  <si>
    <t xml:space="preserve">FA1 | FA2 | FA3 | FA4 | FA5 | NFA (Non-Focus Area) </t>
  </si>
  <si>
    <t>UNITS:</t>
  </si>
  <si>
    <t>REVENUE SOURCES:</t>
  </si>
  <si>
    <t xml:space="preserve">L = </t>
  </si>
  <si>
    <t xml:space="preserve">F = </t>
  </si>
  <si>
    <t xml:space="preserve">S = </t>
  </si>
  <si>
    <t xml:space="preserve">O = </t>
  </si>
  <si>
    <t>FISCAL YEAR:</t>
  </si>
  <si>
    <t>IF YOU WANT A DIFFERENT FISCAL YEAR</t>
  </si>
  <si>
    <t>YEAR IN BLUE TEXT.</t>
  </si>
  <si>
    <t>Fiscal Year:</t>
  </si>
  <si>
    <t>FY from Figure 1</t>
  </si>
  <si>
    <t>(change on Figure 1 only)</t>
  </si>
  <si>
    <t>ALL "DIFFERENCES" SHOULD EQUAL 0.000</t>
  </si>
  <si>
    <t>by Charter Enrollment</t>
  </si>
  <si>
    <t>FA3L1</t>
  </si>
  <si>
    <t>FA4L1</t>
  </si>
  <si>
    <t>FA5L1</t>
  </si>
  <si>
    <t>FY FORMAT:</t>
  </si>
  <si>
    <t>FA2L1</t>
  </si>
  <si>
    <t>FA2L2</t>
  </si>
  <si>
    <t>Public-Indeter.</t>
  </si>
  <si>
    <t>Public-Indeterminate</t>
  </si>
  <si>
    <t>Statewide-D from Total of Sources below (F, S, L, O, P, N)</t>
  </si>
  <si>
    <t>Analyst Data Entry</t>
  </si>
  <si>
    <t>Does the state provide reasonable access to detailed public data on federal, state, local, and other revenues for district schools?</t>
  </si>
  <si>
    <t>Does the state provide reasonable access to detailed public data on federal, state, local, and other revenues for charter schools?</t>
  </si>
  <si>
    <t>FOCUS AREA NAMES</t>
  </si>
  <si>
    <t>See Focus Area Names in Column J</t>
  </si>
  <si>
    <t>EDIT FA NAMES ON FIGURE 3</t>
  </si>
  <si>
    <t>GO TO FIGURE 3 AND CHANGE THE FISCAL</t>
  </si>
  <si>
    <t>Analyzed-C/D = D</t>
  </si>
  <si>
    <t>Analyzed-C/D = C</t>
  </si>
  <si>
    <t>District funding change, if subjected to charter per pupil funding</t>
  </si>
  <si>
    <t>DO NOT EDIT CELLS OR CHANGE ROWS OR COLUMNS INSIDE THE ORANGE BOX</t>
  </si>
  <si>
    <t>FY2002-03</t>
  </si>
  <si>
    <t>FY2006-07</t>
  </si>
  <si>
    <t>Inflation Adjustment</t>
  </si>
  <si>
    <t>[ENTER COMMENTS]</t>
  </si>
  <si>
    <t>NOTE TO USER:  For printing the chart above select the chart (click on it) and print [FILE | PRINT].  The worksheet print range is set to print the Analyst's Notes and Data Sections on the right -- just print [FILE | PRINT].
To copy the chart for use in another document select the chart (click on it) and copy it [Copy].</t>
  </si>
  <si>
    <t>Statewide District (D)</t>
  </si>
  <si>
    <t>Statewide Charter (C)</t>
  </si>
  <si>
    <t>NOTE TO ANALYST:  ENTER FY2003 &amp; FY2007 PER PUPIL DATA.  CHECK CHART DATA SELECTION.</t>
  </si>
  <si>
    <t>FA2L1 FA2L2-D</t>
  </si>
  <si>
    <t>FA2L1 FA2L2-C</t>
  </si>
  <si>
    <t>FA3L1 FA3L2-D</t>
  </si>
  <si>
    <t>Does the state provide funding for charter schools and districts based primarily on student enrollment?</t>
  </si>
  <si>
    <t>Non-Public Funding</t>
  </si>
  <si>
    <t>Statewide District</t>
  </si>
  <si>
    <t>Statewide Charter</t>
  </si>
  <si>
    <t>Figure 9</t>
  </si>
  <si>
    <t>Figure 9 Analyst's Notes</t>
  </si>
  <si>
    <t>Figure 9 Data</t>
  </si>
  <si>
    <t>From</t>
  </si>
  <si>
    <t>From/To:</t>
  </si>
  <si>
    <t>FY2003</t>
  </si>
  <si>
    <t>FY2011</t>
  </si>
  <si>
    <t>/ FY2011</t>
  </si>
  <si>
    <t>FY2007</t>
  </si>
  <si>
    <t>Enter "From"</t>
  </si>
  <si>
    <t>Disparity %</t>
  </si>
  <si>
    <t>EXCLUDED LINE ITEMS</t>
  </si>
  <si>
    <t>All Unmapped/Uncoded Items</t>
  </si>
  <si>
    <t>Downloaded state line items that do not</t>
  </si>
  <si>
    <t>represent revenues or cash inflows, which</t>
  </si>
  <si>
    <t>are "Excluded" with mapping code "X."</t>
  </si>
  <si>
    <t>One Total of Mixed Items by FY</t>
  </si>
  <si>
    <t>Total of Database Range</t>
  </si>
  <si>
    <t>Total of Items Excluded (X)</t>
  </si>
  <si>
    <t>Total of Analyzed Revenues</t>
  </si>
  <si>
    <t>All Line Items Downloaded</t>
  </si>
  <si>
    <t>&lt;&gt;&lt;&gt;&lt;&gt;  CAUTION  &lt;&gt;&lt;&gt;&lt;&gt;
DO NOT CHANGE OR DELETE THE FOCUS NAME DEFAULT VALUES IN THE TAN SHADED CELLS AT RIGHT FOR UNNEEDED FOCUS AREAS</t>
  </si>
  <si>
    <t>The Figure 6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</si>
  <si>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 OR YEARS.</t>
  </si>
  <si>
    <r>
      <t xml:space="preserve">NOTE FOR ANALYST:  For Focus Areas that do not apply, </t>
    </r>
    <r>
      <rPr>
        <b/>
        <u/>
        <sz val="11"/>
        <color rgb="FFC00000"/>
        <rFont val="Century Gothic"/>
        <family val="2"/>
      </rPr>
      <t>leave the default values in the cells (e.g. "FA5L1")</t>
    </r>
    <r>
      <rPr>
        <b/>
        <sz val="11"/>
        <color rgb="FFC00000"/>
        <rFont val="Century Gothic"/>
        <family val="2"/>
      </rPr>
      <t>.  Those codes drive conditional formatting in Figure 3 above.  When you add a Focus Area name above, the chart will automatically add the additional columns.</t>
    </r>
  </si>
  <si>
    <t xml:space="preserve">The data table with blue text below is the point of origin for these data elements for all worksheets. </t>
  </si>
  <si>
    <t>See FIG3 for the origin of these data.</t>
  </si>
  <si>
    <t>See FIG3 for the origin of these data.  The FY2003 and FY2007 data are from past analyses.</t>
  </si>
  <si>
    <t>This table summarizes answers to key funding mechanism questions in context with a grade based on actual funding results.</t>
  </si>
  <si>
    <t>Federal Source</t>
  </si>
  <si>
    <t>State Source</t>
  </si>
  <si>
    <t>Local Source</t>
  </si>
  <si>
    <t>Do charter schools have access to this funding source according to state statutes?</t>
  </si>
  <si>
    <t>In practice, do charter schools have at least as much access to this funding source as districts have?</t>
  </si>
  <si>
    <t>Do charter school students receive at least 95% as much per pupil in revenue for this source as district students?</t>
  </si>
  <si>
    <t>ACCESS TO FUNDING SOURCES</t>
  </si>
  <si>
    <t>DATA AVAILABILITY</t>
  </si>
  <si>
    <t>Does the state provide reasonable access to detailed, public data on federal, state, local, and other revenues for charter schools?</t>
  </si>
  <si>
    <t>FUNDING FORMULA</t>
  </si>
  <si>
    <t>Facilities Source</t>
  </si>
  <si>
    <t xml:space="preserve">NOTE TO ANALYST:  Enter the "From" Fiscal Year, if needed, and per pupil amounts in blue text below. </t>
  </si>
  <si>
    <t>Percentage Increase / Decrease (black shading)</t>
  </si>
  <si>
    <t>Focus Area</t>
  </si>
  <si>
    <t xml:space="preserve">NOTE TO ANALYST:  Do not edit the values for unused Focus Areas, or the default Focus Area names.  Enter "N/A" if there is no prior analysis for a fiscal year (either FY2003 and/or FY2007).  New states will contain only the FY2011 Disparity percentage with "N/A" showing for FY2003 and FY2007.    </t>
  </si>
  <si>
    <t xml:space="preserve">NOTE TO ANALYST:  Enter prior year(s) amounts below. </t>
  </si>
  <si>
    <t>If you need to re-establish the default formulas for the Focus Areas in the table copy &amp; paste the cells below into the table at left.  Otherwise, ignore.</t>
  </si>
  <si>
    <t>Other Funding includes:  Other and Indeterminate.</t>
  </si>
  <si>
    <t>Public Funding includes:  Federal, State, Local &amp; Public-Indeterminate.</t>
  </si>
  <si>
    <t>Per Pupil Revenue -- Inflation Adjusted -- Over Time</t>
  </si>
  <si>
    <t>To FY2011</t>
  </si>
  <si>
    <t>Inflation Adjustment Factors -- For "From" &amp; "To" Data</t>
  </si>
  <si>
    <t>From:</t>
  </si>
  <si>
    <t>To:</t>
  </si>
  <si>
    <t>Date in format FY20##</t>
  </si>
  <si>
    <t>Inflation adjusted to 2007 dollars</t>
  </si>
  <si>
    <t>The above image is intended for the top of the first page of each chapter.</t>
  </si>
  <si>
    <t>PURPOSE</t>
  </si>
  <si>
    <t>NOTE TO ANALYST:  Enter data in tan shaded cells with blue text.  Enter any Reference #s.</t>
  </si>
  <si>
    <t xml:space="preserve"> Summary Data Table</t>
  </si>
  <si>
    <t>FA3L1 FA3L2-C</t>
  </si>
  <si>
    <t>FA4L1 FA4L2-D</t>
  </si>
  <si>
    <t>FA4L1 FA4L2-C</t>
  </si>
  <si>
    <t>FA5L1 FA5L2-D</t>
  </si>
  <si>
    <t>FA5L1 FA5L2-C</t>
  </si>
  <si>
    <t>FA1L1 FA1L2-D</t>
  </si>
  <si>
    <t>FA1L1 FA1L2-C</t>
  </si>
  <si>
    <t>Copy &amp; paste the cells below to reset the default values at left, if needed.</t>
  </si>
  <si>
    <r>
      <t xml:space="preserve">NOTE TO ANALYST:  The above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</si>
  <si>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See FIG3 for origin of these FY2011 data.  FY2003 &amp; FY2007 data are from prior analyses.</t>
  </si>
  <si>
    <t>See FIG3 for origin of these FY2011 data.  The FY2003 or FY2007 data are from prior analyses.</t>
  </si>
  <si>
    <t>The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</si>
  <si>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NOTE TO ANALYST:  Adjust chart elements as needed for appearance.</t>
  </si>
  <si>
    <t xml:space="preserve">  Includes "Other" and "Indeterminate"</t>
  </si>
  <si>
    <t xml:space="preserve">  Includes Federal, State, Local &amp; Public-Indeterminate</t>
  </si>
  <si>
    <t/>
  </si>
  <si>
    <t>JM</t>
  </si>
  <si>
    <t>Use the chart immediately below in most instances when Charter per pupil</t>
  </si>
  <si>
    <t>is less than District per pupil with a negative (red) Disparity showing.</t>
  </si>
  <si>
    <t>Ignore the chart below in nearly all instances; except, use this chart if Charter</t>
  </si>
  <si>
    <t>per pupil revenue is greater than District per pupil with a positive Disparity (in black)</t>
  </si>
  <si>
    <t>showing on the chart.</t>
  </si>
  <si>
    <t xml:space="preserve">NOTE TO ANALYST:  No manual data entry or chart changes are required.  </t>
  </si>
  <si>
    <t>DO NOT EDIT THE CHART OR CHANGE THE CHART DATA.</t>
  </si>
  <si>
    <t>NOTE TO ANALYST:  The "Public Funding" label on the large pie slice is hard coded into the label (not automatic) -- all other labels are automatic.  Adjust label spacing as needed for appearance.</t>
  </si>
  <si>
    <t>FY03</t>
  </si>
  <si>
    <t>FY07</t>
  </si>
  <si>
    <t>&lt;&gt;&lt;&gt;&lt;&gt;  CAUTION  &lt;&gt;&lt;&gt;&lt;&gt;
THE CHART ABOVE IS UNPROTECTED (NOT LOCKED) TO ENABLE USERS TO COPY THE CHART.  THE CHART IS SET TO NOT MOVE OR SIZE WITH CELLS.</t>
  </si>
  <si>
    <t>&lt;&gt;&lt;&gt;&lt;&gt;  CAUTION  &lt;&gt;&lt;&gt;&lt;&gt;
THE CHART ABOVE IS UNPROTECTED (NOT LOCKED) TO ENABLE USERS TO COPY THE CHART.  THE CHART IS SET TO NOT MOVE OR SIZE WITH CELLS.</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</si>
  <si>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t>
  </si>
  <si>
    <t>AT LEFT, MANUALLY ENTER PER PUPIL AMOUNTS FROM PRIOR ANALYSES. LEAVE THE DEFAULT AMOUNT OF "0" IF NOT AVAILABLE.</t>
  </si>
  <si>
    <t>Light purple</t>
  </si>
  <si>
    <t>Datk purple</t>
  </si>
  <si>
    <t>ENTER DATA FOR LIGHT TAN CELLS WITH BLUE TEXT</t>
  </si>
  <si>
    <t>EDIT FOCUS AREA NAMES IN DARK  TAN CELLS, ONLY IF NEEDED</t>
  </si>
  <si>
    <r>
      <t xml:space="preserve">NOTE TO ANALYST:  The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</si>
  <si>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FOR DEVELOPER USE ONLY</t>
  </si>
  <si>
    <t>DO NOT EDIT FY2011 DATA IN TABLE BELOW</t>
  </si>
  <si>
    <t>Disparity as Percent of District -- Over Time</t>
  </si>
  <si>
    <t>Negative Disparities Mean Districts Receive More (red text)</t>
  </si>
  <si>
    <t xml:space="preserve">NOTE TO USER:  The table above consists of spreadsheet cells, not an Excel chart.  To copy the table for use in another document select the cells contained in the table and copy [drag pointer over the cells | Copy].  
The print range is set to print the above table chart as Page 1; and the Notes and Data sections at right as Pages 2 &amp; 3.   </t>
  </si>
  <si>
    <t>If you need to re-establish the default formulas for the Focus Areas in the table at left copy &amp; paste the cells below into the table.  Otherwise, ignore.</t>
  </si>
  <si>
    <t>NOTE TO ANALYST:  Enter "Yes" or "No" in response to questions.  Enter a single digit numeral for any references you want to make in your chapter text (these references will be specific to the table, not a part of Footnotes).  Enter a capital letter for the grades.</t>
  </si>
  <si>
    <t xml:space="preserve">NOTE TO USER:  The table above consists of spreadsheet cells, not an Excel chart.  To copy the table for use in another document select the cells contained in the table and copy [drag pointer over the cells | Copy].  
The print range is set to print the table, the Analyst's Notes, and the Data section as three separate pages.   </t>
  </si>
  <si>
    <t>For developers use only</t>
  </si>
  <si>
    <t xml:space="preserve">NOTE TO USER:  The table above consists of spreadsheet cells, not an Excel chart.  To copy the table for use in another document select the cells contained in the table and copy [drag pointer over the cells | Copy].  
The chart Print Range should already be set for printing the above chart.  If it is not, set the print area by selecting the cells by dragging the pointer over the cells, then select Page Layout | Print Area | Set Print Area. </t>
  </si>
  <si>
    <t xml:space="preserve">The initial default Print Range for the chart is set for two Focus Areas.  If this state has one or three Focus Areas you MUST reset the chart Print Range above.  </t>
  </si>
  <si>
    <t>INSTRUCTIONS</t>
  </si>
  <si>
    <t>FOR ANALYSTS:</t>
  </si>
  <si>
    <t>General Rules:</t>
  </si>
  <si>
    <t>Sequential Steps for Completing the Template (do in this order!):</t>
  </si>
  <si>
    <t xml:space="preserve">Initialize the template for a state by entering required data on FIG3. </t>
  </si>
  <si>
    <t>Format your revenue data to match format on $REV-DB.  Insert data rows.</t>
  </si>
  <si>
    <t>Use proof totals on $REV-DB &amp; $REV-PROOF to check input of revenue.</t>
  </si>
  <si>
    <t>Format your enrollment data to match format on ENR#-DB.  Insert data rows.</t>
  </si>
  <si>
    <t>Use proof totals on ENR#-DB &amp; ENR#-PROOF to check input of enrollment.</t>
  </si>
  <si>
    <t>Check accuracy of all data by reviewing FIG3.  Correct before proceeding.</t>
  </si>
  <si>
    <t>&gt;The template is "Protected" with no password.</t>
  </si>
  <si>
    <t>&gt;Required input fields are not locked.</t>
  </si>
  <si>
    <t>&gt;You can complete the entire input process without having to "Unprotect."</t>
  </si>
  <si>
    <t xml:space="preserve">&gt;Add data rows to the "$REV-DB" and "ENR#-DB" worksheets. </t>
  </si>
  <si>
    <t>FY11</t>
  </si>
  <si>
    <t>TIP:  If you experiment by changing the Focus Areas to see the result do so only on FIG3 -- not in these data cells on this worksheet.</t>
  </si>
  <si>
    <t>Reset Cell References:</t>
  </si>
  <si>
    <t>Reset Amounts:</t>
  </si>
  <si>
    <t>NOTE TO ANALYST:  ENTER FY2003 &amp; FY2007 PER PUPIL DATA BELOW.  DO "SELECT DATA" ON CHART.</t>
  </si>
  <si>
    <t xml:space="preserve"> DO NOT EDIT THE CELLS AT LEFT.
USE "SELECT DATA" IN THE CHART ABOVE AND SELECT THE DATA IN THE LIGHT PURPLE CELLS AT LEFT. IGNORE THE DARK PURPLE CELLS.</t>
  </si>
  <si>
    <t>NOTE TO ANALYST:  The light purple cells above are the data range for the chart.  Conditional formatting is used to adjust this color coding for the data range based on the number of Focus Areas you name on FIG3.  In the chart, "Select Data" for the cells in light purple above.  Initially, the chart is set for two Focus Areas.</t>
  </si>
  <si>
    <t>Check FIGs 1-12 for appearance, add data where needed (see table below).</t>
  </si>
  <si>
    <t>FIG7</t>
  </si>
  <si>
    <t>FIG8</t>
  </si>
  <si>
    <t>FIG9</t>
  </si>
  <si>
    <t xml:space="preserve">For a new state, enter "N/A" directly into the table chart above in each pertinent cell. </t>
  </si>
  <si>
    <t>Enter FY2003 &amp; FY2007 data.  For chart, select Print Range, if needed.</t>
  </si>
  <si>
    <t>FIG10</t>
  </si>
  <si>
    <t>Enter FY2003 or FY2007 data.  For chart, select Print Range, if needed.</t>
  </si>
  <si>
    <t>FIG11</t>
  </si>
  <si>
    <t>Enter FY03, FY07 &amp; FY11 data.</t>
  </si>
  <si>
    <t>FIG12</t>
  </si>
  <si>
    <t>Enter answers to questions.  Enter Grade for FY03, FY07 &amp; FY11.</t>
  </si>
  <si>
    <t>FOR USERS:</t>
  </si>
  <si>
    <t>&gt;Cells used to create the charts are not Locked.</t>
  </si>
  <si>
    <t>&gt;The charts used in State Chapters are contained in FIG1-12 worksheets.</t>
  </si>
  <si>
    <t>&gt;See each FIG worksheet for copying and printing instructions.</t>
  </si>
  <si>
    <t>END</t>
  </si>
  <si>
    <t>Enter letter grades.</t>
  </si>
  <si>
    <t>Enter "Yes" or "No"</t>
  </si>
  <si>
    <t>Use a single digit for a Ref number.</t>
  </si>
  <si>
    <t>NOTE TO ANALYST:  For any year(s) for which you have no data enter "N/A."  Also enter "N/A" for Special Education FY03 and FY07 data.</t>
  </si>
  <si>
    <t>CONVERSION (Y / blank)</t>
  </si>
  <si>
    <t>UD1</t>
  </si>
  <si>
    <t>UD2</t>
  </si>
  <si>
    <t>UD3</t>
  </si>
  <si>
    <t>UD4</t>
  </si>
  <si>
    <t>UD5</t>
  </si>
  <si>
    <t>UD6</t>
  </si>
  <si>
    <t>UD7</t>
  </si>
  <si>
    <t>UD8</t>
  </si>
  <si>
    <t>UD9</t>
  </si>
  <si>
    <t>UD10</t>
  </si>
  <si>
    <t>UD11</t>
  </si>
  <si>
    <t>UD12</t>
  </si>
  <si>
    <t>UD13</t>
  </si>
  <si>
    <t>UD14</t>
  </si>
  <si>
    <t>TOTALS ADJUSTED FOR CONVERSION CHARTERS</t>
  </si>
  <si>
    <t xml:space="preserve">NOTE TO USER:  The table above consists of spreadsheet cells, not an Excel chart.  To copy the table for use in another document select the cells contained in the table and copy [drag pointer over the cells | Copy].  
The initial Print Range is set to cover two Focus Areas.  For a state with one or three Focus Areas you must change the Print Range.  If needed, set the print area by selecting the cells by dragging the pointer over the cells, then select Page Layout | Print Area | Set Print Area. </t>
  </si>
  <si>
    <t xml:space="preserve">&lt;&lt;&lt;ENTER NAMES OF USER-DEFINED FIELDS BELOW&gt;                 &lt;ENTER NAMES OF USER-DEFINED FIELDS BELOW&gt;                  &lt;ENTER NAMES OF USER-DEFINED FIELDS BELOW&gt;                 &lt;ENTER NAMES OF USER-DEFINED FIELDS BELOW&gt; </t>
  </si>
  <si>
    <t xml:space="preserve">"Messages" will display a red "CHECK!" warning if the independent formulas in "PROOF A" </t>
  </si>
  <si>
    <t xml:space="preserve">obtain a different result than those in "PROOF B" or on the $REV-DSUM worksheet.  This may </t>
  </si>
  <si>
    <t>indicate incomplete work or a coding or data structuring error.</t>
  </si>
  <si>
    <t>TOTAL FA &amp; NFA</t>
  </si>
  <si>
    <t>NOTE:  State data inconsistencies in Entity #s and Entity Names may cause different counts above.</t>
  </si>
  <si>
    <t>Add only data rows (between the yellow rows below); rows may be added below the END rows.</t>
  </si>
  <si>
    <t xml:space="preserve">NOTE TO ANALYST: </t>
  </si>
  <si>
    <t xml:space="preserve">Required data fields are in columns L-R -- see blue shading. </t>
  </si>
  <si>
    <t>Use User-Defined fields to match a State's coding terms in T to AG.  CHANGE BLUE TEXT ONLY.</t>
  </si>
  <si>
    <t>DO NOT DELETE OR EDIT THE TWO ORIGINAL YELLOW ROWS</t>
  </si>
  <si>
    <t>DO NOT add or delete any columns, except beyond column CJ.</t>
  </si>
  <si>
    <t>DO NOT change the Filter range.</t>
  </si>
  <si>
    <t>DO NOT change any template cell values or text, except for bold blue text in tan shaded cells.</t>
  </si>
  <si>
    <t>change position as you Filter.</t>
  </si>
  <si>
    <t>Do NOT edit or delete the original two data rows shaded in yellow.  It is OK if these rows</t>
  </si>
  <si>
    <t>DO NOT add or delete any columns, except beyond column AR.</t>
  </si>
  <si>
    <t>ZZZZZZZZZZZ</t>
  </si>
  <si>
    <t>&gt;All other required data is in light tan shaded cells with bold blue text.</t>
  </si>
  <si>
    <t>&gt;The template works for states with one, two, or three Focus Areas.</t>
  </si>
  <si>
    <t>&gt;Some FIG pages expand to the correct number of Focus Areas.</t>
  </si>
  <si>
    <t>FIG1</t>
  </si>
  <si>
    <t>CHECK ALL FIGs FOR APPEARANCE</t>
  </si>
  <si>
    <t>No data entry required.</t>
  </si>
  <si>
    <t>FIG2</t>
  </si>
  <si>
    <t>FIG3</t>
  </si>
  <si>
    <t xml:space="preserve">No data entry required.  Change chart Print Range, if needed. </t>
  </si>
  <si>
    <t>FIG4</t>
  </si>
  <si>
    <t>FIG5</t>
  </si>
  <si>
    <t>FIG6</t>
  </si>
  <si>
    <t>Enter FY2003 &amp; FY2007 data.  For chart, "Select Data," if needed.</t>
  </si>
  <si>
    <t>&gt;&gt;&gt;  For $REV-DB and ENR#-DB worksheets (where data are entered):</t>
  </si>
  <si>
    <t xml:space="preserve">&gt;&gt;  NO BLANKS in required columns L-S and L-R, respectively. </t>
  </si>
  <si>
    <t>&gt;&gt;  NO BLANKS in columns I (Entity#) and J (Entity Name).</t>
  </si>
  <si>
    <t>&gt;&gt;  USE "Z" to fill for BLANKS &amp; ERROR CODES.  "Z" is safe because it is not used for any other purpose.</t>
  </si>
  <si>
    <t>&gt;&gt;&gt;  Large Data Files -- Over 15,000 rows:</t>
  </si>
  <si>
    <t>&gt;&gt;  The formulas that count the number of charter schools are complex to accommodate an accurate count</t>
  </si>
  <si>
    <t xml:space="preserve">whether there is only a single line per entity or multiple lines.  When using with a large data population </t>
  </si>
  <si>
    <t>&gt;&gt;&gt;  NO PROTECTION has been set.</t>
  </si>
  <si>
    <t>columns, or in columns I (Entity#) &amp; J (Entity Name).</t>
  </si>
  <si>
    <t>&gt;&gt;  NO EXCEL ERROR CODES -- such as, #N/A, #DIV/0, #VALUE!, #NAME?, etc. -- are allowed in required</t>
  </si>
  <si>
    <t>zeros appear.  Most states use the General format.  DO NOT enter the Entity# as a Number.</t>
  </si>
  <si>
    <t>&gt;&gt;  The ENTITY#s in col. I should be in the "General Format" and should be entered as text so that leading</t>
  </si>
  <si>
    <t>go to Formulas and change the setting from Automatic Calculation to Manual Calculation while you</t>
  </si>
  <si>
    <t>are still making data entries and codings.</t>
  </si>
  <si>
    <t>in excess of 15,000 rows) each change of data may cause processing delays.  You may want to</t>
  </si>
  <si>
    <t>DO NOT EDIT (ONLY VIEW &amp; PRINT)</t>
  </si>
  <si>
    <t>Conversion Charters</t>
  </si>
  <si>
    <t>DISTRICT-PROOF</t>
  </si>
  <si>
    <t>CHARTER-PROOF</t>
  </si>
  <si>
    <t>ALL</t>
  </si>
  <si>
    <t>USER-DEFINED</t>
  </si>
  <si>
    <t>ADJUSTED FOR CONVERSION CHARTERS</t>
  </si>
  <si>
    <t>&lt;&lt;&lt;ADJUSTED FOR CONVERSION CHARTERS                    ADJUSTED FOR CONVERSION CHARTERS                    ADJUSTED FOR CONVERSION CHARTERS&gt;&gt;&gt;</t>
  </si>
  <si>
    <t>&lt;&gt;Y</t>
  </si>
  <si>
    <t xml:space="preserve"> Summary Adjusted for Conversions </t>
  </si>
  <si>
    <t>CONVERSION CHARTER ADJUSTED STATEWIDE WEIGHTED METRICS</t>
  </si>
  <si>
    <t xml:space="preserve">NOTES TO ANALYST: </t>
  </si>
  <si>
    <t>DIAGNOSTIC COUNT OF CHARTER SCHOOLS</t>
  </si>
  <si>
    <t>By Entity#</t>
  </si>
  <si>
    <t>By Name</t>
  </si>
  <si>
    <t>Conversion-Adjusted</t>
  </si>
  <si>
    <t>Click on row heading at left to insert copied data rows using "Insert Copied Cells"</t>
  </si>
  <si>
    <t xml:space="preserve">Required data fields are in columns L-S -- see blue shading. </t>
  </si>
  <si>
    <r>
      <rPr>
        <b/>
        <sz val="6"/>
        <rFont val="Arial"/>
        <family val="2"/>
      </rPr>
      <t xml:space="preserve">C = Conversion CS               SCSS = State Charter Special School    CSYS  = Charter Sytem    S = Start-up CS     CA = Career Academy   </t>
    </r>
    <r>
      <rPr>
        <b/>
        <sz val="10"/>
        <rFont val="Arial"/>
        <family val="2"/>
      </rPr>
      <t xml:space="preserve">                     </t>
    </r>
  </si>
  <si>
    <t>Audit on File</t>
  </si>
  <si>
    <t>Property Taxes</t>
  </si>
  <si>
    <t>Sales Taxes</t>
  </si>
  <si>
    <t>"Local" revenues</t>
  </si>
  <si>
    <t>QBE/passthrough Local</t>
  </si>
  <si>
    <t>Local Revenue Total</t>
  </si>
  <si>
    <t>Gov't Grants/Grants</t>
  </si>
  <si>
    <t>Operational Revenues from District/State - calculation purposes only</t>
  </si>
  <si>
    <t>Miscellaneous</t>
  </si>
  <si>
    <t>Net Assets Released from Restrictions</t>
  </si>
  <si>
    <t>Total Indeterminate</t>
  </si>
  <si>
    <t>Public Contributions</t>
  </si>
  <si>
    <t>Interest Income</t>
  </si>
  <si>
    <t>Management contributions</t>
  </si>
  <si>
    <t>Miscellaneous Revenue/charges for services</t>
  </si>
  <si>
    <t>Insurance proceeds</t>
  </si>
  <si>
    <t xml:space="preserve">Investment Earnings </t>
  </si>
  <si>
    <t>Food service Income</t>
  </si>
  <si>
    <t>Vending</t>
  </si>
  <si>
    <t>Student Fees/Community Fees</t>
  </si>
  <si>
    <t>PreSchool</t>
  </si>
  <si>
    <t>Other/Change in Fair Value cas flow hedge</t>
  </si>
  <si>
    <t>Before/After School Fees</t>
  </si>
  <si>
    <t>Rental Income</t>
  </si>
  <si>
    <t>Fundraising</t>
  </si>
  <si>
    <t>Foundation Funding</t>
  </si>
  <si>
    <t>Total Other Revenues</t>
  </si>
  <si>
    <t>State Implementation Grant</t>
  </si>
  <si>
    <t>State Operating Grant</t>
  </si>
  <si>
    <t>Math/Science/AG Program</t>
  </si>
  <si>
    <t>K - 8 Reading Grant</t>
  </si>
  <si>
    <t>Middle School Remediation Grant</t>
  </si>
  <si>
    <t>Low Incidence</t>
  </si>
  <si>
    <t>State SPED</t>
  </si>
  <si>
    <t>High School Grad Coach</t>
  </si>
  <si>
    <t>State Facilities Grant</t>
  </si>
  <si>
    <t>PreK Grant</t>
  </si>
  <si>
    <t>"QBE Earnings" from sheet QBE022</t>
  </si>
  <si>
    <t>State QBE Funds</t>
  </si>
  <si>
    <t>Total State Revenues</t>
  </si>
  <si>
    <t>Title I</t>
  </si>
  <si>
    <t>Title II Funds</t>
  </si>
  <si>
    <t>Title III</t>
  </si>
  <si>
    <t>Perkins IV</t>
  </si>
  <si>
    <t>Nutrition Funds</t>
  </si>
  <si>
    <t>These counts are for diagnostic purposes.  These counts may differ from actual reported counts.  These counts will not be correct until all coding for Includes &amp; Excludes, Focus Areas, C/D, and entity numbers and names is completed (and no BLANKS in data range for columns I &amp; J -- BLANK cells can be filled with any text or number).</t>
  </si>
  <si>
    <t>ALL FA</t>
  </si>
  <si>
    <t>FA*</t>
  </si>
  <si>
    <t>(Rng-Exc-d)</t>
  </si>
  <si>
    <t>ADJUSTED FOR CONVERSION CHARTERS                    ADJUSTED FOR CONVERSION CHARTERS                   ADJUSTED FOR CONVERSION CHARTERS                    ADJUSTED FOR CONVERSION CHARTERS</t>
  </si>
  <si>
    <t>CONVERSION (Y / N)</t>
  </si>
  <si>
    <t>DETAILED DATA INPUT INSTRUCTIONS</t>
  </si>
  <si>
    <t>K - 8</t>
  </si>
  <si>
    <t>Multi</t>
  </si>
  <si>
    <t>Fulton Leadership Academy</t>
  </si>
  <si>
    <t>Start-up - Commission school</t>
  </si>
  <si>
    <t>6 to 7</t>
  </si>
  <si>
    <t>Middle</t>
  </si>
  <si>
    <t>Fulton Sunshine Charter Elementary</t>
  </si>
  <si>
    <t>K - 5</t>
  </si>
  <si>
    <t>Elem</t>
  </si>
  <si>
    <t>Fulton Science Academy</t>
  </si>
  <si>
    <t>6 to 8</t>
  </si>
  <si>
    <t>Fulton Science Academy High School (Fulton Ed Services Inc.)</t>
  </si>
  <si>
    <t>9 to 12</t>
  </si>
  <si>
    <t>High</t>
  </si>
  <si>
    <t>Hapeville Charter Middle School</t>
  </si>
  <si>
    <t>6 to 10</t>
  </si>
  <si>
    <t>KIPP South Fulton</t>
  </si>
  <si>
    <t>5 to 8</t>
  </si>
  <si>
    <t>Main Street Charter Academy Elementary and Middle</t>
  </si>
  <si>
    <t>Start-up / State Board</t>
  </si>
  <si>
    <t>Fulton District Deduction Amounts</t>
  </si>
  <si>
    <t>Atlanta Start-up Charters</t>
  </si>
  <si>
    <t>Atlanta heights Charter School</t>
  </si>
  <si>
    <t>State Charter Special School</t>
  </si>
  <si>
    <t>Atlanta Public Schools</t>
  </si>
  <si>
    <t>no - used DOE file</t>
  </si>
  <si>
    <t>K - 6</t>
  </si>
  <si>
    <t>KIPP Vision</t>
  </si>
  <si>
    <t>5 to 6</t>
  </si>
  <si>
    <t>Atlanta Prep Academy</t>
  </si>
  <si>
    <t>Atlanta Charter Middle School</t>
  </si>
  <si>
    <t>Charles R. Drew Charter School</t>
  </si>
  <si>
    <t>Imagine Wesley International Academy</t>
  </si>
  <si>
    <t>Intown Charter Academy</t>
  </si>
  <si>
    <t>The Kindezi School</t>
  </si>
  <si>
    <t>K - 4</t>
  </si>
  <si>
    <t>KIPP Strive Academy</t>
  </si>
  <si>
    <t>5 to 7</t>
  </si>
  <si>
    <t>KIPP WAYS</t>
  </si>
  <si>
    <t>Neighborhood Charter School</t>
  </si>
  <si>
    <t>Tech High School</t>
  </si>
  <si>
    <t>University Community Academy</t>
  </si>
  <si>
    <t xml:space="preserve">Total </t>
  </si>
  <si>
    <t>APS District Deduction Amounts</t>
  </si>
  <si>
    <t>Start-up Charter Schools Statewide</t>
  </si>
  <si>
    <t>Berrien Academy Performance Learning center</t>
  </si>
  <si>
    <t>Berrien County</t>
  </si>
  <si>
    <t>no - only have DOE finance report</t>
  </si>
  <si>
    <t>Brighten Academy</t>
  </si>
  <si>
    <t>Douglas County</t>
  </si>
  <si>
    <t>Challenge Charter Academy</t>
  </si>
  <si>
    <t>Charter Conversions-Amount</t>
  </si>
  <si>
    <t>ADJUSTED DISTRICT-PROOF</t>
  </si>
  <si>
    <t>ADJUSTED CHARTER-PROOF</t>
  </si>
  <si>
    <t>Charter Conversion-Amount</t>
  </si>
  <si>
    <t>Indeterminate-Public</t>
  </si>
  <si>
    <t>&gt;&gt;&gt;  For CONVERSION CHARTERS the analyst MUST code a "Y" flag for each conversion charter row in BOTH</t>
  </si>
  <si>
    <t>the $REV-DB worksheet and the ENR#-DB worksheet.</t>
  </si>
  <si>
    <t>&gt;This workbook is not Protected.</t>
  </si>
  <si>
    <t>Charter School</t>
  </si>
  <si>
    <t>Type</t>
  </si>
  <si>
    <t>District Location</t>
  </si>
  <si>
    <t>Totals By Source</t>
  </si>
  <si>
    <t>PPR By Source</t>
  </si>
  <si>
    <t>FTE from QBE</t>
  </si>
  <si>
    <t>F&amp;RL %</t>
  </si>
  <si>
    <t>SPED</t>
  </si>
  <si>
    <t>Grades served</t>
  </si>
  <si>
    <t>Grade Configuration for Figure</t>
  </si>
  <si>
    <t>Local Revenues</t>
  </si>
  <si>
    <t>Indeterminate Public</t>
  </si>
  <si>
    <t>State Revenues</t>
  </si>
  <si>
    <t>Federal Revenues</t>
  </si>
  <si>
    <t>Imagine International Academy of Mableton</t>
  </si>
  <si>
    <t>Cobb County</t>
  </si>
  <si>
    <t>Imagine Intertnational Academy of Smyrna</t>
  </si>
  <si>
    <t>International Community School</t>
  </si>
  <si>
    <t>Ivy Preparatrory Academy</t>
  </si>
  <si>
    <t>Gwinnett County / Commission</t>
  </si>
  <si>
    <t>Kennesaw Charter School</t>
  </si>
  <si>
    <t>Lake Oconee Academy</t>
  </si>
  <si>
    <t>Greene County</t>
  </si>
  <si>
    <t>Leadership Preparatory Academy</t>
  </si>
  <si>
    <t>Marietta Charter school</t>
  </si>
  <si>
    <t>Marietta City</t>
  </si>
  <si>
    <t>Mountain Education Center</t>
  </si>
  <si>
    <t>Start-up / SBOE (no local)</t>
  </si>
  <si>
    <t>White County</t>
  </si>
  <si>
    <t>Museum School Avondale Estates</t>
  </si>
  <si>
    <t>Start-up / Commission (no local)</t>
  </si>
  <si>
    <t>New Life Academy of Excellence</t>
  </si>
  <si>
    <t>K - 7</t>
  </si>
  <si>
    <t>Odyssey School / Georgia Cyber Academy</t>
  </si>
  <si>
    <t>Coweta County</t>
  </si>
  <si>
    <t>yes - audit and DOE the same</t>
  </si>
  <si>
    <t>Oglethorpe Charter School</t>
  </si>
  <si>
    <t>Pataula Charter Academy</t>
  </si>
  <si>
    <t>Start-up / Commission</t>
  </si>
  <si>
    <t>Calhoun</t>
  </si>
  <si>
    <t>Savannah Gateway to College</t>
  </si>
  <si>
    <t>Scholars Academy Charter School</t>
  </si>
  <si>
    <t>Clayton County</t>
  </si>
  <si>
    <t>Totals</t>
  </si>
  <si>
    <t>Average / Totals</t>
  </si>
  <si>
    <t xml:space="preserve">Elem totals = </t>
  </si>
  <si>
    <t>Chatham County District Deductions</t>
  </si>
  <si>
    <t>Dekalb County District Deductions</t>
  </si>
  <si>
    <t>Gwinnett County District Deductions</t>
  </si>
  <si>
    <t>Cobb County District Deductions</t>
  </si>
  <si>
    <t xml:space="preserve">Middle Totals = </t>
  </si>
  <si>
    <t>Berrien County District Deductions</t>
  </si>
  <si>
    <t>Douglas County District Deductions</t>
  </si>
  <si>
    <t>Newton County District Deductions</t>
  </si>
  <si>
    <t>Mitchell County District Deductions</t>
  </si>
  <si>
    <t>Greene County District Deductions</t>
  </si>
  <si>
    <t>Marietta City District Deductions</t>
  </si>
  <si>
    <t>Erate</t>
  </si>
  <si>
    <t>Federal Start-up</t>
  </si>
  <si>
    <t>Implementation Grant</t>
  </si>
  <si>
    <t>Education Jobs Fund</t>
  </si>
  <si>
    <t>Race to the Top</t>
  </si>
  <si>
    <t>IDEA</t>
  </si>
  <si>
    <t>Federal Funds</t>
  </si>
  <si>
    <t>Total Federal Revenues</t>
  </si>
  <si>
    <t>Total Revenues</t>
  </si>
  <si>
    <t>Total Revenues Shown in Audit</t>
  </si>
  <si>
    <t>Total Charter PPR</t>
  </si>
  <si>
    <t>Federal PPR</t>
  </si>
  <si>
    <t>Federal % of Total Revenue</t>
  </si>
  <si>
    <t>QBE Total divided by APS QBE total</t>
  </si>
  <si>
    <t>Charter % of district QBE multiplied by total local revenues</t>
  </si>
  <si>
    <t>BC Multiplied by DOE local revenue total (no capital, debt service, etc.)</t>
  </si>
  <si>
    <t xml:space="preserve"> Original  % QBE Local Calculation</t>
  </si>
  <si>
    <t>Total Tuition from audit</t>
  </si>
  <si>
    <t>Fulton Start-up Charters</t>
  </si>
  <si>
    <t>Amana Academy</t>
  </si>
  <si>
    <t>Start-up</t>
  </si>
  <si>
    <t>Fulton County</t>
  </si>
  <si>
    <t>yes</t>
  </si>
  <si>
    <t>Richmond County</t>
  </si>
  <si>
    <t>Judia Jackson Harris Elementary</t>
  </si>
  <si>
    <t>Clarke County</t>
  </si>
  <si>
    <t>Kingsley Elementary School</t>
  </si>
  <si>
    <t>Martin Elementary School</t>
  </si>
  <si>
    <t>K -5</t>
  </si>
  <si>
    <t>Maxwell High School of Technology</t>
  </si>
  <si>
    <t>McEver Elementary School</t>
  </si>
  <si>
    <t>Morgan County High School</t>
  </si>
  <si>
    <t>Morgan County</t>
  </si>
  <si>
    <t>Murphey Middle Charter School</t>
  </si>
  <si>
    <t>North Springs High School</t>
  </si>
  <si>
    <t>Peachtree Charter Middle School</t>
  </si>
  <si>
    <t>Reese Road Leadership Academy</t>
  </si>
  <si>
    <t>Ridge View Charter School</t>
  </si>
  <si>
    <t>Riverwood International Charter School</t>
  </si>
  <si>
    <t>Sandy Springs Middle School</t>
  </si>
  <si>
    <t>Sardis Elementary School</t>
  </si>
  <si>
    <t>Sawyer Road Elementary</t>
  </si>
  <si>
    <t>Sedalia Park Elementary School</t>
  </si>
  <si>
    <t>Smoke Rise Elementary School</t>
  </si>
  <si>
    <t>Spalding Drive Elementary</t>
  </si>
  <si>
    <t>Walton High School</t>
  </si>
  <si>
    <t>Wauka Mountain School</t>
  </si>
  <si>
    <t>World Language Academy</t>
  </si>
  <si>
    <t>Wynnton Elementary School</t>
  </si>
  <si>
    <t>Totals/Average</t>
  </si>
  <si>
    <t>Closed or No audits on File</t>
  </si>
  <si>
    <t>Effingham Gateway Academy</t>
  </si>
  <si>
    <t>Effinghman County</t>
  </si>
  <si>
    <t>no - closed, no audit</t>
  </si>
  <si>
    <t>Forsyth Academy</t>
  </si>
  <si>
    <t>Forsyth County</t>
  </si>
  <si>
    <t>no - closing and was a "program"</t>
  </si>
  <si>
    <t>Peachtree Hope Charter School</t>
  </si>
  <si>
    <t>no-closed</t>
  </si>
  <si>
    <t>Elite Scholars Academy</t>
  </si>
  <si>
    <t>submits LEA audit</t>
  </si>
  <si>
    <t>6 to 9</t>
  </si>
  <si>
    <t>Bishop Hall Charter School</t>
  </si>
  <si>
    <t>Thomas County</t>
  </si>
  <si>
    <t>no - extension granted</t>
  </si>
  <si>
    <t>Unidos Dual Language Charter School</t>
  </si>
  <si>
    <t>no- submits LEA report</t>
  </si>
  <si>
    <t>Webster County High School</t>
  </si>
  <si>
    <t>Webster County</t>
  </si>
  <si>
    <t>Newton County</t>
  </si>
  <si>
    <t>6 to 12</t>
  </si>
  <si>
    <t>Baconton Community Charter School</t>
  </si>
  <si>
    <t>Mitchell County</t>
  </si>
  <si>
    <t>K - 12</t>
  </si>
  <si>
    <t>Charter Conservatory for Liberal Arts and Technology</t>
  </si>
  <si>
    <t>Start-up (Commission - no local)</t>
  </si>
  <si>
    <t>Bulloch County</t>
  </si>
  <si>
    <t>yes - but used DOE file</t>
  </si>
  <si>
    <t>Coastal Empire Montessori Charter School</t>
  </si>
  <si>
    <t>Chatham County</t>
  </si>
  <si>
    <t>K - 2</t>
  </si>
  <si>
    <t>Coweta Charter Academy</t>
  </si>
  <si>
    <t>Coweta County / Commission school</t>
  </si>
  <si>
    <t>Dekalb Academy of Technology and the Environment</t>
  </si>
  <si>
    <t>DeKalb County</t>
  </si>
  <si>
    <t>Dekalb Path Academy Charter School</t>
  </si>
  <si>
    <t>Gateway To College Academy</t>
  </si>
  <si>
    <t>10 to 12</t>
  </si>
  <si>
    <t>Gwinnett School of Mathematics, Science and Technology</t>
  </si>
  <si>
    <t>Gwinnett County</t>
  </si>
  <si>
    <t>Central Education Center</t>
  </si>
  <si>
    <t>Charter Systems</t>
  </si>
  <si>
    <t>Decatur City Schools (2008-09)</t>
  </si>
  <si>
    <t>Gainesville City Schools (2008-09)</t>
  </si>
  <si>
    <t>Marietta City Schools (2008-09)</t>
  </si>
  <si>
    <t>Warren County Schools (2008-09)</t>
  </si>
  <si>
    <t>Cartersville City Schools (2010-11)</t>
  </si>
  <si>
    <t>Floyd County Schools (2010-11)</t>
  </si>
  <si>
    <t>Putnam County Schools (2010-11)</t>
  </si>
  <si>
    <t>White County Schools (2010-11)</t>
  </si>
  <si>
    <t>Notes</t>
  </si>
  <si>
    <t>1. Fulton Federal revenues are estimated for 4 schools based on an average percentage of 10% of total revenues: Amana Academy, Fulton Sunshine, Fulton Science Acad, Fulton Science High School. Those estimates were deducted from pass-though totals. Estimate was 10%.</t>
  </si>
  <si>
    <t>2. QBE022 FY 2011 sheets were used to identify "QBE Earnings" and deduct those from district pass-through revenues to estimate an amount of local and state revenues.</t>
  </si>
  <si>
    <t>3. The percentage of federal revenues from total revenues for all APS charters but one was used to estimate federal revenues for one charter in Atlanta - neighborhood charter school at a rate of 8%.</t>
  </si>
  <si>
    <t>FISCAL_YEAR</t>
  </si>
  <si>
    <t>SYSTEM_ID</t>
  </si>
  <si>
    <t>District Name</t>
  </si>
  <si>
    <t>SourceDescription</t>
  </si>
  <si>
    <t xml:space="preserve">Fed     </t>
  </si>
  <si>
    <t xml:space="preserve">Local   </t>
  </si>
  <si>
    <t xml:space="preserve">Other   </t>
  </si>
  <si>
    <t xml:space="preserve">State   </t>
  </si>
  <si>
    <t>Grand Total</t>
  </si>
  <si>
    <t>2011</t>
  </si>
  <si>
    <t>601</t>
  </si>
  <si>
    <t> Appling County</t>
  </si>
  <si>
    <t>1110 - AD VALOREM TAXES</t>
  </si>
  <si>
    <t>1130 - SPECIAL PURPOSE LOCAL OPTION SALES TAX</t>
  </si>
  <si>
    <t>1190 - OTHER TAXES</t>
  </si>
  <si>
    <t>1210 - Concession Sales</t>
  </si>
  <si>
    <t>1215 - Club Dues and Fees</t>
  </si>
  <si>
    <t xml:space="preserve">High Totals = </t>
  </si>
  <si>
    <t>Conversion Charter Schools</t>
  </si>
  <si>
    <t xml:space="preserve">Multi totals = </t>
  </si>
  <si>
    <t>Addison Elementary</t>
  </si>
  <si>
    <t>Conversion</t>
  </si>
  <si>
    <t>Carroll County College and Career Academy</t>
  </si>
  <si>
    <t>Carroll County</t>
  </si>
  <si>
    <t>NA</t>
  </si>
  <si>
    <t>Chamblee Charter High School</t>
  </si>
  <si>
    <t>Chesnut Elementary School</t>
  </si>
  <si>
    <t>Chestatee Middle School</t>
  </si>
  <si>
    <t>Hall County</t>
  </si>
  <si>
    <t>Clubview Elementary School</t>
  </si>
  <si>
    <t>Muscogee County</t>
  </si>
  <si>
    <t>Dougherty Comprehensive High School</t>
  </si>
  <si>
    <t>Dougherty County</t>
  </si>
  <si>
    <t>Dougherty International Education Middle School</t>
  </si>
  <si>
    <t>Futral Road Academy</t>
  </si>
  <si>
    <t>Spalding County</t>
  </si>
  <si>
    <t>International Studies Elementary Charter School</t>
  </si>
  <si>
    <t>Jenkins-White Elementary Charter School</t>
  </si>
  <si>
    <t>3200 - EQUALIZATION (PARITY)</t>
  </si>
  <si>
    <t>3300 - GRANTS FROM K-12 LOTTERY</t>
  </si>
  <si>
    <t>3510 - SCHOOL NUTRITION SERVICE GRANTS (STATE FUNDS ONLY)</t>
  </si>
  <si>
    <t>3800 - OTHER GRANTS FROM GEORGIA DEPARTMENT OF EDUCATION</t>
  </si>
  <si>
    <t>3911 - On Behalf Payments - Health Insurance</t>
  </si>
  <si>
    <t>3912 - On Behalf Payments - Teachers Retirement</t>
  </si>
  <si>
    <t>3913 - On Behalf Payments - Public School Employees Retirement</t>
  </si>
  <si>
    <t>3995 - FUNDS FROM OTHER STATE AGENCIES</t>
  </si>
  <si>
    <t>4510 - CHILD NUTRITION PROGRAM SERVICE GRANTS (ALL FEDERAL FUNDS EXCEPT BREAKFAST PROGRAM)</t>
  </si>
  <si>
    <t>4511 - CHILD NUTRITION PROGRAM  GRANTS (FEDERAL FUNDS-BREAKFAST PROGRAM)</t>
  </si>
  <si>
    <t>4512 - CHILD AND ADULT CARE FOOD PROGRAM (CACFP) FEDERAL GRANTS</t>
  </si>
  <si>
    <t>4513 - FEDERAL REIMBURSEMENT FOR AFTER-SCHOOL SNACKS</t>
  </si>
  <si>
    <t>4520 - OTHER FEDERAL GRANTS THROUGH GEORGIA DEPARTMENT OF EDUCATION</t>
  </si>
  <si>
    <t>4521 - Other Federal Grants Through the Georgia Department of Education - ARRA</t>
  </si>
  <si>
    <t>4530 - ALL OTHER FEDERAL GRANTS</t>
  </si>
  <si>
    <t>4900 - REVENUES ATTRIBUTABLE TO USDA COMMODITIES</t>
  </si>
  <si>
    <t>5200 - OPERATING TRANSFERS FROM OTHER FUNDS</t>
  </si>
  <si>
    <t> Appling County Total</t>
  </si>
  <si>
    <t>602</t>
  </si>
  <si>
    <t> Atkinson County</t>
  </si>
  <si>
    <t>1121 - Other Sales Taxes</t>
  </si>
  <si>
    <t>1623 - CONTRACTED SALES - BREAKFAST AND LUNCH PROGRAMS</t>
  </si>
  <si>
    <t>1700 - STUDENT ACTIVITIES - CENTRALIZED</t>
  </si>
  <si>
    <t>3400 - GRANTS FROM PRE-K LOTTERY</t>
  </si>
  <si>
    <t>5300 - SALE OR COMPENSATION FOR LOSS OF FIXED ASSETS</t>
  </si>
  <si>
    <t> Atkinson County Total</t>
  </si>
  <si>
    <t>603</t>
  </si>
  <si>
    <t> Bacon County</t>
  </si>
  <si>
    <t>Career Academies / Programs/Blue List Charters</t>
  </si>
  <si>
    <t>programs - no audits, no separate QBE</t>
  </si>
  <si>
    <t>Douglas County College and Career Institute</t>
  </si>
  <si>
    <t>Effingham College and Career Academy</t>
  </si>
  <si>
    <t>Floyd College and Career Academy</t>
  </si>
  <si>
    <t>Floyd County</t>
  </si>
  <si>
    <t>Golden Isles Career Academy</t>
  </si>
  <si>
    <t>Glynn County</t>
  </si>
  <si>
    <t>Houston County Career Academy</t>
  </si>
  <si>
    <t>Houston County</t>
  </si>
  <si>
    <t>Lanier Career Academy</t>
  </si>
  <si>
    <t>Witfield County Career Academy</t>
  </si>
  <si>
    <t>Whitfield County</t>
  </si>
  <si>
    <t>Southeastern Early College and Career Academy</t>
  </si>
  <si>
    <t>Toombs County</t>
  </si>
  <si>
    <t>Rockdale Career Academy</t>
  </si>
  <si>
    <t>Rockdale County</t>
  </si>
  <si>
    <t>The P.R.E.P. Academy at Thomas County High School</t>
  </si>
  <si>
    <t>4531 - Other Federal Grants - ARRA</t>
  </si>
  <si>
    <t> Baldwin County Total</t>
  </si>
  <si>
    <t>606</t>
  </si>
  <si>
    <t> Banks County</t>
  </si>
  <si>
    <t> Banks County Total</t>
  </si>
  <si>
    <t>607</t>
  </si>
  <si>
    <t> Barrow County</t>
  </si>
  <si>
    <t>1800 - COMMUNITY SERVICE ACTIVITIES</t>
  </si>
  <si>
    <t>1920 - CONTRIBUTIONS FROM PRIVATE SOURCES</t>
  </si>
  <si>
    <t> Barrow County Total</t>
  </si>
  <si>
    <t>608</t>
  </si>
  <si>
    <t> Bartow County</t>
  </si>
  <si>
    <t>1940 - Textbook Sales</t>
  </si>
  <si>
    <t>1985 - STUDENT SUPPLY FEES</t>
  </si>
  <si>
    <t> Bartow County Total</t>
  </si>
  <si>
    <t>609</t>
  </si>
  <si>
    <t> Ben Hill County</t>
  </si>
  <si>
    <t>1180 - Forest Land Protection Tax Revenue</t>
  </si>
  <si>
    <t>1950 - SERVICES PROVIDED OTHER LUAs OR OTHER GOVERNMENTAL UNITS</t>
  </si>
  <si>
    <t> Ben Hill County Total</t>
  </si>
  <si>
    <t>610</t>
  </si>
  <si>
    <t> Berrien County</t>
  </si>
  <si>
    <t> Berrien County Total</t>
  </si>
  <si>
    <t>611</t>
  </si>
  <si>
    <t> Bibb County</t>
  </si>
  <si>
    <t>1400 - Transportation Fees</t>
  </si>
  <si>
    <t>1960 - COST OF SALES (Contra to account 1950)</t>
  </si>
  <si>
    <t>1970 - Operating Revenues</t>
  </si>
  <si>
    <t>4820 - IMPACT AID - MAINTENANCE AND OPERATION (PL 81-874)</t>
  </si>
  <si>
    <t> Bibb County Total</t>
  </si>
  <si>
    <t>612</t>
  </si>
  <si>
    <t> Bleckley County</t>
  </si>
  <si>
    <t> Bleckley County Total</t>
  </si>
  <si>
    <t>613</t>
  </si>
  <si>
    <t> Brantley County</t>
  </si>
  <si>
    <t> Brantley County Total</t>
  </si>
  <si>
    <t>614</t>
  </si>
  <si>
    <t> Brooks County</t>
  </si>
  <si>
    <t> Brooks County Total</t>
  </si>
  <si>
    <t>615</t>
  </si>
  <si>
    <t> Bryan County</t>
  </si>
  <si>
    <t> Bryan County Total</t>
  </si>
  <si>
    <t>616</t>
  </si>
  <si>
    <t> Bulloch County</t>
  </si>
  <si>
    <t> Bulloch County Total</t>
  </si>
  <si>
    <t>617</t>
  </si>
  <si>
    <t> Burke County</t>
  </si>
  <si>
    <t> Burke County Total</t>
  </si>
  <si>
    <t>618</t>
  </si>
  <si>
    <t> Butts County</t>
  </si>
  <si>
    <t> Butts County Total</t>
  </si>
  <si>
    <t>619</t>
  </si>
  <si>
    <t> Calhoun County</t>
  </si>
  <si>
    <t> Calhoun County Total</t>
  </si>
  <si>
    <t>620</t>
  </si>
  <si>
    <t> Camden County</t>
  </si>
  <si>
    <t>1220 - Donations</t>
  </si>
  <si>
    <t>1225 - Fundraising/Misc. Sales</t>
  </si>
  <si>
    <t>1230 - Gate Receipts</t>
  </si>
  <si>
    <t>1310 - TUITION FROM INDIVIDUALS</t>
  </si>
  <si>
    <t>1350 - SUMMER SCHOOL TUITION</t>
  </si>
  <si>
    <t>1500 - Investment Income</t>
  </si>
  <si>
    <t>1611 - STUDENT SALES - BREAKFAST AND LUNCH PROGRAMS</t>
  </si>
  <si>
    <t>1621 - SUPPLEMENTAL SALES - BREAKFAST AND LUNCH PROGRAMS</t>
  </si>
  <si>
    <t>1622 - ADULT SALES - BREAKFAST AND LUNCH PROGRAMS</t>
  </si>
  <si>
    <t>1910 - Rental of Property</t>
  </si>
  <si>
    <t>1990 - FEDERAL INDIRECT COST REIMBURSEMENT</t>
  </si>
  <si>
    <t>1995 - OTHER LOCAL REVENUES</t>
  </si>
  <si>
    <t>3120 - TOTAL QUALITY BASIC EDUCATION FORMULA EARNINGS (STATE AND LOCAL FUNDS)</t>
  </si>
  <si>
    <t>3125 - TOTAL STATE CATEGORICAL GRANTS</t>
  </si>
  <si>
    <t>3140 - QBE CONTRA ACCOUNT (DEBIT)</t>
  </si>
  <si>
    <t>627</t>
  </si>
  <si>
    <t> Chattooga County</t>
  </si>
  <si>
    <t>6400 - Extraordinary Items</t>
  </si>
  <si>
    <t> Chattooga County Total</t>
  </si>
  <si>
    <t>628</t>
  </si>
  <si>
    <t> Cherokee County</t>
  </si>
  <si>
    <t> Cherokee County Total</t>
  </si>
  <si>
    <t>629</t>
  </si>
  <si>
    <t> Clarke County</t>
  </si>
  <si>
    <t> Clarke County Total</t>
  </si>
  <si>
    <t>630</t>
  </si>
  <si>
    <t> Clay County</t>
  </si>
  <si>
    <t> Clay County Total</t>
  </si>
  <si>
    <t>631</t>
  </si>
  <si>
    <t> Clayton County</t>
  </si>
  <si>
    <t>1340 - TUITION FROM OTHER SOURCES</t>
  </si>
  <si>
    <t> Clayton County Total</t>
  </si>
  <si>
    <t>632</t>
  </si>
  <si>
    <t> Clinch County</t>
  </si>
  <si>
    <t> Clinch County Total</t>
  </si>
  <si>
    <t>633</t>
  </si>
  <si>
    <t> Cobb County</t>
  </si>
  <si>
    <t> Cobb County Total</t>
  </si>
  <si>
    <t>634</t>
  </si>
  <si>
    <t> Coffee County</t>
  </si>
  <si>
    <t> Coffee County Total</t>
  </si>
  <si>
    <t>635</t>
  </si>
  <si>
    <t> Colquitt County</t>
  </si>
  <si>
    <t> Colquitt County Total</t>
  </si>
  <si>
    <t>636</t>
  </si>
  <si>
    <t> Columbia County</t>
  </si>
  <si>
    <t>6200 - Amortization of Premium on Issuance of Bonds</t>
  </si>
  <si>
    <t> Columbia County Total</t>
  </si>
  <si>
    <t>637</t>
  </si>
  <si>
    <t> Cook County</t>
  </si>
  <si>
    <t> Cook County Total</t>
  </si>
  <si>
    <t>638</t>
  </si>
  <si>
    <t> Coweta County</t>
  </si>
  <si>
    <t> Coweta County Total</t>
  </si>
  <si>
    <t>639</t>
  </si>
  <si>
    <t> Crawford County</t>
  </si>
  <si>
    <t> Crawford County Total</t>
  </si>
  <si>
    <t>640</t>
  </si>
  <si>
    <t> Crisp County</t>
  </si>
  <si>
    <t> Crisp County Total</t>
  </si>
  <si>
    <t>641</t>
  </si>
  <si>
    <t> Dade County</t>
  </si>
  <si>
    <t> Dade County Total</t>
  </si>
  <si>
    <t>642</t>
  </si>
  <si>
    <t> Dawson County</t>
  </si>
  <si>
    <t> Dawson County Total</t>
  </si>
  <si>
    <t>643</t>
  </si>
  <si>
    <t> Decatur County</t>
  </si>
  <si>
    <t> Decatur County Total</t>
  </si>
  <si>
    <t>644</t>
  </si>
  <si>
    <t> DeKalb County</t>
  </si>
  <si>
    <t>1320 - TUITION FROM OTHER GEORGIA LUAs</t>
  </si>
  <si>
    <t> DeKalb County Total</t>
  </si>
  <si>
    <t>645</t>
  </si>
  <si>
    <t> Dodge County</t>
  </si>
  <si>
    <t> Dodge County Total</t>
  </si>
  <si>
    <t>646</t>
  </si>
  <si>
    <t> Dooly County</t>
  </si>
  <si>
    <t> Dooly County Total</t>
  </si>
  <si>
    <t>647</t>
  </si>
  <si>
    <t> Dougherty County</t>
  </si>
  <si>
    <t>4995 - Revenue from federal sources not otherwise classified</t>
  </si>
  <si>
    <t>5100 - Issuance of Bonds</t>
  </si>
  <si>
    <t>5120 - Premium or Discount on Issuance of Bonds</t>
  </si>
  <si>
    <t>5995 - OTHER SOURCE</t>
  </si>
  <si>
    <t> Bacon County Total</t>
  </si>
  <si>
    <t>604</t>
  </si>
  <si>
    <t> Baker County</t>
  </si>
  <si>
    <t>1199 - Charter Commission Local Revenue</t>
  </si>
  <si>
    <t> Baker County Total</t>
  </si>
  <si>
    <t>605</t>
  </si>
  <si>
    <t> Baldwin County</t>
  </si>
  <si>
    <t>1120 - LOCAL OPTION SALES TAX</t>
  </si>
  <si>
    <t>1612 - Student Sales - Breakfast Programs</t>
  </si>
  <si>
    <t>3122 - QBE ALLOTMENT (OPERATING COSTS)</t>
  </si>
  <si>
    <t>3124 - QBE Contra Account - Austerity Reduction</t>
  </si>
  <si>
    <t>3600 - CAPITAL OUTLAY GRANTS</t>
  </si>
  <si>
    <t>4300 - CATEGORICAL GRANTS - DIRECT FROM FEDERAL GOVERNMENT</t>
  </si>
  <si>
    <t> Forsyth County Total</t>
  </si>
  <si>
    <t>659</t>
  </si>
  <si>
    <t> Franklin County</t>
  </si>
  <si>
    <t> Franklin County Total</t>
  </si>
  <si>
    <t>660</t>
  </si>
  <si>
    <t> Fulton County</t>
  </si>
  <si>
    <t>4821 - Emergency Impact Aid</t>
  </si>
  <si>
    <t> Fulton County Total</t>
  </si>
  <si>
    <t>661</t>
  </si>
  <si>
    <t> Gilmer County</t>
  </si>
  <si>
    <t> Gilmer County Total</t>
  </si>
  <si>
    <t>662</t>
  </si>
  <si>
    <t> Glascock County</t>
  </si>
  <si>
    <t>1170 - APPROPRIATION FROM CITY OR COUNTY</t>
  </si>
  <si>
    <t> Glascock County Total</t>
  </si>
  <si>
    <t>663</t>
  </si>
  <si>
    <t> Glynn County</t>
  </si>
  <si>
    <t> Glynn County Total</t>
  </si>
  <si>
    <t>664</t>
  </si>
  <si>
    <t> Gordon County</t>
  </si>
  <si>
    <t> Gordon County Total</t>
  </si>
  <si>
    <t>665</t>
  </si>
  <si>
    <t> Grady County</t>
  </si>
  <si>
    <t> Grady County Total</t>
  </si>
  <si>
    <t>666</t>
  </si>
  <si>
    <t> Greene County</t>
  </si>
  <si>
    <t> Greene County Total</t>
  </si>
  <si>
    <t>667</t>
  </si>
  <si>
    <t> Gwinnett County</t>
  </si>
  <si>
    <t> Gwinnett County Total</t>
  </si>
  <si>
    <t>668</t>
  </si>
  <si>
    <t> Habersham County</t>
  </si>
  <si>
    <t> Habersham County Total</t>
  </si>
  <si>
    <t>669</t>
  </si>
  <si>
    <t> Hall County</t>
  </si>
  <si>
    <t>5600 - Other Long Term Debt Proceeds</t>
  </si>
  <si>
    <t> Hall County Total</t>
  </si>
  <si>
    <t>670</t>
  </si>
  <si>
    <t> Hancock County</t>
  </si>
  <si>
    <t> Hancock County Total</t>
  </si>
  <si>
    <t>671</t>
  </si>
  <si>
    <t> Haralson County</t>
  </si>
  <si>
    <t> Haralson County Total</t>
  </si>
  <si>
    <t>672</t>
  </si>
  <si>
    <t> Harris County</t>
  </si>
  <si>
    <t> Harris County Total</t>
  </si>
  <si>
    <t>673</t>
  </si>
  <si>
    <t> Hart County</t>
  </si>
  <si>
    <t> Hart County Total</t>
  </si>
  <si>
    <t>674</t>
  </si>
  <si>
    <t> Heard County</t>
  </si>
  <si>
    <t> Heard County Total</t>
  </si>
  <si>
    <t>675</t>
  </si>
  <si>
    <t> Henry County</t>
  </si>
  <si>
    <t> Henry County Total</t>
  </si>
  <si>
    <t>676</t>
  </si>
  <si>
    <t> Houston County</t>
  </si>
  <si>
    <t> Houston County Total</t>
  </si>
  <si>
    <t>677</t>
  </si>
  <si>
    <t> Irwin County</t>
  </si>
  <si>
    <t> Irwin County Total</t>
  </si>
  <si>
    <t>678</t>
  </si>
  <si>
    <t> Jackson County</t>
  </si>
  <si>
    <t> Jackson County Total</t>
  </si>
  <si>
    <t>679</t>
  </si>
  <si>
    <t> Jasper County</t>
  </si>
  <si>
    <t> Jasper County Total</t>
  </si>
  <si>
    <t>4822 - ARRA - Impact Aid Construction Funds</t>
  </si>
  <si>
    <t> Camden County Total</t>
  </si>
  <si>
    <t>621</t>
  </si>
  <si>
    <t> Candler County</t>
  </si>
  <si>
    <t>1930 - GAIN (LOSS) ON SALE OF FIXED ASSETS (PROPRIETARY FUND TYPES ONLY)</t>
  </si>
  <si>
    <t> Candler County Total</t>
  </si>
  <si>
    <t>622</t>
  </si>
  <si>
    <t> Carroll County</t>
  </si>
  <si>
    <t>1613 - Student Sales - Snack Programs</t>
  </si>
  <si>
    <t> Carroll County Total</t>
  </si>
  <si>
    <t>623</t>
  </si>
  <si>
    <t> Catoosa County</t>
  </si>
  <si>
    <t> Catoosa County Total</t>
  </si>
  <si>
    <t>624</t>
  </si>
  <si>
    <t> Charlton County</t>
  </si>
  <si>
    <t>4830 - REVENUE IN LIEU OF TAXES</t>
  </si>
  <si>
    <t> Charlton County Total</t>
  </si>
  <si>
    <t>625</t>
  </si>
  <si>
    <t> Chatham County</t>
  </si>
  <si>
    <t>5500 - Capital Lease Proceeds</t>
  </si>
  <si>
    <t> Chatham County Total</t>
  </si>
  <si>
    <t>626</t>
  </si>
  <si>
    <t> Chattahoochee County</t>
  </si>
  <si>
    <t> Chattahoochee County Total</t>
  </si>
  <si>
    <t>691</t>
  </si>
  <si>
    <t> Long County</t>
  </si>
  <si>
    <t> Long County Total</t>
  </si>
  <si>
    <t>692</t>
  </si>
  <si>
    <t> Lowndes County</t>
  </si>
  <si>
    <t> Lowndes County Total</t>
  </si>
  <si>
    <t>693</t>
  </si>
  <si>
    <t> Lumpkin County</t>
  </si>
  <si>
    <t> Lumpkin County Total</t>
  </si>
  <si>
    <t>694</t>
  </si>
  <si>
    <t> Macon County</t>
  </si>
  <si>
    <t> Macon County Total</t>
  </si>
  <si>
    <t>695</t>
  </si>
  <si>
    <t> Madison County</t>
  </si>
  <si>
    <t> Madison County Total</t>
  </si>
  <si>
    <t>696</t>
  </si>
  <si>
    <t> Marion County</t>
  </si>
  <si>
    <t> Marion County Total</t>
  </si>
  <si>
    <t>697</t>
  </si>
  <si>
    <t> McDuffie County</t>
  </si>
  <si>
    <t> McDuffie County Total</t>
  </si>
  <si>
    <t>698</t>
  </si>
  <si>
    <t> McIntosh County</t>
  </si>
  <si>
    <t> McIntosh County Total</t>
  </si>
  <si>
    <t>699</t>
  </si>
  <si>
    <t> Meriwether County</t>
  </si>
  <si>
    <t> Meriwether County Total</t>
  </si>
  <si>
    <t>700</t>
  </si>
  <si>
    <t> Miller County</t>
  </si>
  <si>
    <t> Miller County Total</t>
  </si>
  <si>
    <t>701</t>
  </si>
  <si>
    <t> Mitchell County</t>
  </si>
  <si>
    <t> Mitchell County Total</t>
  </si>
  <si>
    <t>702</t>
  </si>
  <si>
    <t> Monroe County</t>
  </si>
  <si>
    <t> Monroe County Total</t>
  </si>
  <si>
    <t>703</t>
  </si>
  <si>
    <t> Montgomery County</t>
  </si>
  <si>
    <t> Montgomery County Total</t>
  </si>
  <si>
    <t>704</t>
  </si>
  <si>
    <t> Morgan County</t>
  </si>
  <si>
    <t> Morgan County Total</t>
  </si>
  <si>
    <t>705</t>
  </si>
  <si>
    <t> Murray County</t>
  </si>
  <si>
    <t> Murray County Total</t>
  </si>
  <si>
    <t>706</t>
  </si>
  <si>
    <t> Muscogee County</t>
  </si>
  <si>
    <t>6100 - Capital Contributions</t>
  </si>
  <si>
    <t>6300 - Special Items</t>
  </si>
  <si>
    <t> Muscogee County Total</t>
  </si>
  <si>
    <t>707</t>
  </si>
  <si>
    <t> Newton County</t>
  </si>
  <si>
    <t> Newton County Total</t>
  </si>
  <si>
    <t>708</t>
  </si>
  <si>
    <t> Oconee County</t>
  </si>
  <si>
    <t> Oconee County Total</t>
  </si>
  <si>
    <t>709</t>
  </si>
  <si>
    <t> Oglethorpe County</t>
  </si>
  <si>
    <t> Oglethorpe County Total</t>
  </si>
  <si>
    <t>710</t>
  </si>
  <si>
    <t> Paulding County</t>
  </si>
  <si>
    <t> Paulding County Total</t>
  </si>
  <si>
    <t>711</t>
  </si>
  <si>
    <t> Peach County</t>
  </si>
  <si>
    <t> Peach County Total</t>
  </si>
  <si>
    <t>712</t>
  </si>
  <si>
    <t> Pickens County</t>
  </si>
  <si>
    <t> Pickens County Total</t>
  </si>
  <si>
    <t> Dougherty County Total</t>
  </si>
  <si>
    <t>648</t>
  </si>
  <si>
    <t> Douglas County</t>
  </si>
  <si>
    <t> Douglas County Total</t>
  </si>
  <si>
    <t>649</t>
  </si>
  <si>
    <t> Early County</t>
  </si>
  <si>
    <t> Early County Total</t>
  </si>
  <si>
    <t>650</t>
  </si>
  <si>
    <t> Echols County</t>
  </si>
  <si>
    <t> Echols County Total</t>
  </si>
  <si>
    <t>651</t>
  </si>
  <si>
    <t> Effingham County</t>
  </si>
  <si>
    <t> Effingham County Total</t>
  </si>
  <si>
    <t>652</t>
  </si>
  <si>
    <t> Elbert County</t>
  </si>
  <si>
    <t> Elbert County Total</t>
  </si>
  <si>
    <t>653</t>
  </si>
  <si>
    <t> Emanuel County</t>
  </si>
  <si>
    <t> Emanuel County Total</t>
  </si>
  <si>
    <t>654</t>
  </si>
  <si>
    <t> Evans County</t>
  </si>
  <si>
    <t> Evans County Total</t>
  </si>
  <si>
    <t>655</t>
  </si>
  <si>
    <t> Fannin County</t>
  </si>
  <si>
    <t> Fannin County Total</t>
  </si>
  <si>
    <t>656</t>
  </si>
  <si>
    <t> Fayette County</t>
  </si>
  <si>
    <t> Fayette County Total</t>
  </si>
  <si>
    <t>657</t>
  </si>
  <si>
    <t> Floyd County</t>
  </si>
  <si>
    <t> Floyd County Total</t>
  </si>
  <si>
    <t>658</t>
  </si>
  <si>
    <t> Forsyth County</t>
  </si>
  <si>
    <t> Screven County</t>
  </si>
  <si>
    <t> Screven County Total</t>
  </si>
  <si>
    <t>725</t>
  </si>
  <si>
    <t> Seminole County</t>
  </si>
  <si>
    <t> Seminole County Total</t>
  </si>
  <si>
    <t>726</t>
  </si>
  <si>
    <t> Spalding County</t>
  </si>
  <si>
    <t> Spalding County Total</t>
  </si>
  <si>
    <t>727</t>
  </si>
  <si>
    <t> Stephens County</t>
  </si>
  <si>
    <t> Stephens County Total</t>
  </si>
  <si>
    <t>728</t>
  </si>
  <si>
    <t> Stewart County</t>
  </si>
  <si>
    <t> Stewart County Total</t>
  </si>
  <si>
    <t>729</t>
  </si>
  <si>
    <t> Sumter County</t>
  </si>
  <si>
    <t> Sumter County Total</t>
  </si>
  <si>
    <t>730</t>
  </si>
  <si>
    <t> Talbot County</t>
  </si>
  <si>
    <t> Talbot County Total</t>
  </si>
  <si>
    <t>731</t>
  </si>
  <si>
    <t> Taliaferro County</t>
  </si>
  <si>
    <t> Taliaferro County Total</t>
  </si>
  <si>
    <t>732</t>
  </si>
  <si>
    <t> Tattnall County</t>
  </si>
  <si>
    <t> Tattnall County Total</t>
  </si>
  <si>
    <t>733</t>
  </si>
  <si>
    <t> Taylor County</t>
  </si>
  <si>
    <t> Taylor County Total</t>
  </si>
  <si>
    <t>734</t>
  </si>
  <si>
    <t> Telfair County</t>
  </si>
  <si>
    <t> Telfair County Total</t>
  </si>
  <si>
    <t>735</t>
  </si>
  <si>
    <t> Terrell County</t>
  </si>
  <si>
    <t> Terrell County Total</t>
  </si>
  <si>
    <t>736</t>
  </si>
  <si>
    <t> Thomas County</t>
  </si>
  <si>
    <t> Thomas County Total</t>
  </si>
  <si>
    <t>737</t>
  </si>
  <si>
    <t> Tift County</t>
  </si>
  <si>
    <t> Tift County Total</t>
  </si>
  <si>
    <t>738</t>
  </si>
  <si>
    <t> Toombs County</t>
  </si>
  <si>
    <t> Toombs County Total</t>
  </si>
  <si>
    <t>739</t>
  </si>
  <si>
    <t> Towns County</t>
  </si>
  <si>
    <t> Towns County Total</t>
  </si>
  <si>
    <t>740</t>
  </si>
  <si>
    <t> Treutlen County</t>
  </si>
  <si>
    <t> Treutlen County Total</t>
  </si>
  <si>
    <t>741</t>
  </si>
  <si>
    <t> Troup County</t>
  </si>
  <si>
    <t> Troup County Total</t>
  </si>
  <si>
    <t>742</t>
  </si>
  <si>
    <t> Turner County</t>
  </si>
  <si>
    <t> Turner County Total</t>
  </si>
  <si>
    <t>743</t>
  </si>
  <si>
    <t> Twiggs County</t>
  </si>
  <si>
    <t> Twiggs County Total</t>
  </si>
  <si>
    <t>744</t>
  </si>
  <si>
    <t> Union County</t>
  </si>
  <si>
    <t> Union County Total</t>
  </si>
  <si>
    <t>745</t>
  </si>
  <si>
    <t> Thomaston-Upson County</t>
  </si>
  <si>
    <t> Thomaston-Upson County Total</t>
  </si>
  <si>
    <t>746</t>
  </si>
  <si>
    <t> Walker County</t>
  </si>
  <si>
    <t> Walker County Total</t>
  </si>
  <si>
    <t>747</t>
  </si>
  <si>
    <t>680</t>
  </si>
  <si>
    <t> Jeff Davis County</t>
  </si>
  <si>
    <t> Jeff Davis County Total</t>
  </si>
  <si>
    <t>681</t>
  </si>
  <si>
    <t> Jefferson County</t>
  </si>
  <si>
    <t> Jefferson County Total</t>
  </si>
  <si>
    <t>682</t>
  </si>
  <si>
    <t> Jenkins County</t>
  </si>
  <si>
    <t> Jenkins County Total</t>
  </si>
  <si>
    <t>683</t>
  </si>
  <si>
    <t> Johnson County</t>
  </si>
  <si>
    <t> Johnson County Total</t>
  </si>
  <si>
    <t>684</t>
  </si>
  <si>
    <t> Jones County</t>
  </si>
  <si>
    <t> Jones County Total</t>
  </si>
  <si>
    <t>685</t>
  </si>
  <si>
    <t> Lamar County</t>
  </si>
  <si>
    <t> Lamar County Total</t>
  </si>
  <si>
    <t>686</t>
  </si>
  <si>
    <t> Lanier County</t>
  </si>
  <si>
    <t> Lanier County Total</t>
  </si>
  <si>
    <t>687</t>
  </si>
  <si>
    <t> Laurens County</t>
  </si>
  <si>
    <t> Laurens County Total</t>
  </si>
  <si>
    <t>688</t>
  </si>
  <si>
    <t> Lee County</t>
  </si>
  <si>
    <t> Lee County Total</t>
  </si>
  <si>
    <t>689</t>
  </si>
  <si>
    <t> Liberty County</t>
  </si>
  <si>
    <t> Liberty County Total</t>
  </si>
  <si>
    <t>690</t>
  </si>
  <si>
    <t> Lincoln County</t>
  </si>
  <si>
    <t> Lincoln County Total</t>
  </si>
  <si>
    <t> Wilkinson County</t>
  </si>
  <si>
    <t> Wilkinson County Total</t>
  </si>
  <si>
    <t>759</t>
  </si>
  <si>
    <t> Worth County</t>
  </si>
  <si>
    <t> Worth County Total</t>
  </si>
  <si>
    <t>761</t>
  </si>
  <si>
    <t> Atlanta Public Schools</t>
  </si>
  <si>
    <t> Atlanta Public Schools Total</t>
  </si>
  <si>
    <t>763</t>
  </si>
  <si>
    <t> Bremen City</t>
  </si>
  <si>
    <t> Bremen City Total</t>
  </si>
  <si>
    <t>764</t>
  </si>
  <si>
    <t> Buford City</t>
  </si>
  <si>
    <t> Buford City Total</t>
  </si>
  <si>
    <t>765</t>
  </si>
  <si>
    <t> Calhoun City</t>
  </si>
  <si>
    <t> Calhoun City Total</t>
  </si>
  <si>
    <t>766</t>
  </si>
  <si>
    <t> Carrollton City</t>
  </si>
  <si>
    <t> Carrollton City Total</t>
  </si>
  <si>
    <t>767</t>
  </si>
  <si>
    <t> Cartersville City</t>
  </si>
  <si>
    <t> Cartersville City Total</t>
  </si>
  <si>
    <t>769</t>
  </si>
  <si>
    <t> Chickamauga City</t>
  </si>
  <si>
    <t> Chickamauga City Total</t>
  </si>
  <si>
    <t>771</t>
  </si>
  <si>
    <t> Commerce City</t>
  </si>
  <si>
    <t> Commerce City Total</t>
  </si>
  <si>
    <t>772</t>
  </si>
  <si>
    <t> Dalton City</t>
  </si>
  <si>
    <t> Dalton City Total</t>
  </si>
  <si>
    <t>773</t>
  </si>
  <si>
    <t> Decatur City</t>
  </si>
  <si>
    <t> Decatur City Total</t>
  </si>
  <si>
    <t>774</t>
  </si>
  <si>
    <t> Dublin City</t>
  </si>
  <si>
    <t> Dublin City Total</t>
  </si>
  <si>
    <t>776</t>
  </si>
  <si>
    <t> Gainesville City</t>
  </si>
  <si>
    <t> Gainesville City Total</t>
  </si>
  <si>
    <t>779</t>
  </si>
  <si>
    <t> Jefferson City</t>
  </si>
  <si>
    <t> Jefferson City Total</t>
  </si>
  <si>
    <t>781</t>
  </si>
  <si>
    <t> Marietta City</t>
  </si>
  <si>
    <t> Marietta City Total</t>
  </si>
  <si>
    <t>7820108</t>
  </si>
  <si>
    <t> State Charter Schools- Mountain Education Center School</t>
  </si>
  <si>
    <t> State Charter Schools- Mountain Education Center School Total</t>
  </si>
  <si>
    <t>7820110</t>
  </si>
  <si>
    <t> State Charter Schools- Odyssey School</t>
  </si>
  <si>
    <t> State Charter Schools- Odyssey School Total</t>
  </si>
  <si>
    <t>7820112</t>
  </si>
  <si>
    <t> State Charter Schools- Scholars Academy Charter School</t>
  </si>
  <si>
    <t> State Charter Schools- Scholars Academy Charter School Total</t>
  </si>
  <si>
    <t>7830103</t>
  </si>
  <si>
    <t>713</t>
  </si>
  <si>
    <t> Pierce County</t>
  </si>
  <si>
    <t> Pierce County Total</t>
  </si>
  <si>
    <t>714</t>
  </si>
  <si>
    <t> Pike County</t>
  </si>
  <si>
    <t> Pike County Total</t>
  </si>
  <si>
    <t>715</t>
  </si>
  <si>
    <t> Polk County</t>
  </si>
  <si>
    <t> Polk County Total</t>
  </si>
  <si>
    <t>716</t>
  </si>
  <si>
    <t> Pulaski County</t>
  </si>
  <si>
    <t> Pulaski County Total</t>
  </si>
  <si>
    <t>717</t>
  </si>
  <si>
    <t> Putnam County</t>
  </si>
  <si>
    <t> Putnam County Total</t>
  </si>
  <si>
    <t>718</t>
  </si>
  <si>
    <t> Quitman County</t>
  </si>
  <si>
    <t> Quitman County Total</t>
  </si>
  <si>
    <t>719</t>
  </si>
  <si>
    <t> Rabun County</t>
  </si>
  <si>
    <t> Rabun County Total</t>
  </si>
  <si>
    <t>720</t>
  </si>
  <si>
    <t> Randolph County</t>
  </si>
  <si>
    <t> Randolph County Total</t>
  </si>
  <si>
    <t>721</t>
  </si>
  <si>
    <t> Richmond County</t>
  </si>
  <si>
    <t> Richmond County Total</t>
  </si>
  <si>
    <t>722</t>
  </si>
  <si>
    <t> Rockdale County</t>
  </si>
  <si>
    <t> Rockdale County Total</t>
  </si>
  <si>
    <t>723</t>
  </si>
  <si>
    <t> Schley County</t>
  </si>
  <si>
    <t> Schley County Total</t>
  </si>
  <si>
    <t>724</t>
  </si>
  <si>
    <t> Commission Charter Schools- Museum School Avondale Estates Total</t>
  </si>
  <si>
    <t>784</t>
  </si>
  <si>
    <t> Pelham City</t>
  </si>
  <si>
    <t> Pelham City Total</t>
  </si>
  <si>
    <t>785</t>
  </si>
  <si>
    <t> Rome City</t>
  </si>
  <si>
    <t> Rome City Total</t>
  </si>
  <si>
    <t>786</t>
  </si>
  <si>
    <t> Social Circle City</t>
  </si>
  <si>
    <t> Social Circle City Total</t>
  </si>
  <si>
    <t>789</t>
  </si>
  <si>
    <t> Thomasville City</t>
  </si>
  <si>
    <t> Thomasville City Total</t>
  </si>
  <si>
    <t>791</t>
  </si>
  <si>
    <t> Trion City</t>
  </si>
  <si>
    <t> Trion City Total</t>
  </si>
  <si>
    <t>792</t>
  </si>
  <si>
    <t> Valdosta City</t>
  </si>
  <si>
    <t>5130 - Accrued Interest on Issuance of Bonds</t>
  </si>
  <si>
    <t> Valdosta City Total</t>
  </si>
  <si>
    <t>793</t>
  </si>
  <si>
    <t> Vidalia City</t>
  </si>
  <si>
    <t> Vidalia City Total</t>
  </si>
  <si>
    <t>850</t>
  </si>
  <si>
    <t> Northwest Georgia RESA</t>
  </si>
  <si>
    <t> Northwest Georgia RESA Total</t>
  </si>
  <si>
    <t>852</t>
  </si>
  <si>
    <t> North Georgia RESA</t>
  </si>
  <si>
    <t> North Georgia RESA Total</t>
  </si>
  <si>
    <t>854</t>
  </si>
  <si>
    <t> Pioneer RESA</t>
  </si>
  <si>
    <t> Pioneer RESA Total</t>
  </si>
  <si>
    <t>856</t>
  </si>
  <si>
    <t> Metro RESA</t>
  </si>
  <si>
    <t> Metro RESA Total</t>
  </si>
  <si>
    <t>858</t>
  </si>
  <si>
    <t> Northeast Georgia RESA</t>
  </si>
  <si>
    <t> Northeast Georgia RESA Total</t>
  </si>
  <si>
    <t>860</t>
  </si>
  <si>
    <t> West Georgia RESA</t>
  </si>
  <si>
    <t> West Georgia RESA Total</t>
  </si>
  <si>
    <t>862</t>
  </si>
  <si>
    <t> Griffin RESA</t>
  </si>
  <si>
    <t> Griffin RESA Total</t>
  </si>
  <si>
    <t>864</t>
  </si>
  <si>
    <t> Middle Georgia RESA</t>
  </si>
  <si>
    <t> Middle Georgia RESA Total</t>
  </si>
  <si>
    <t>866</t>
  </si>
  <si>
    <t> Oconee RESA</t>
  </si>
  <si>
    <t> Oconee RESA Total</t>
  </si>
  <si>
    <t>868</t>
  </si>
  <si>
    <t> Central Savannah River RESA</t>
  </si>
  <si>
    <t> Central Savannah River RESA Total</t>
  </si>
  <si>
    <t>872</t>
  </si>
  <si>
    <t> Chattahoochee-Flint RESA</t>
  </si>
  <si>
    <t> Chattahoochee-Flint RESA Total</t>
  </si>
  <si>
    <t>876</t>
  </si>
  <si>
    <t> Heart of Georgia RESA</t>
  </si>
  <si>
    <t> Heart of Georgia RESA Total</t>
  </si>
  <si>
    <t>880</t>
  </si>
  <si>
    <t> First District RESA</t>
  </si>
  <si>
    <t> Walton County</t>
  </si>
  <si>
    <t> Walton County Total</t>
  </si>
  <si>
    <t>748</t>
  </si>
  <si>
    <t> Ware County</t>
  </si>
  <si>
    <t> Ware County Total</t>
  </si>
  <si>
    <t>749</t>
  </si>
  <si>
    <t> Warren County</t>
  </si>
  <si>
    <t> Warren County Total</t>
  </si>
  <si>
    <t>750</t>
  </si>
  <si>
    <t> Washington County</t>
  </si>
  <si>
    <t> Washington County Total</t>
  </si>
  <si>
    <t>751</t>
  </si>
  <si>
    <t> Wayne County</t>
  </si>
  <si>
    <t> Wayne County Total</t>
  </si>
  <si>
    <t>752</t>
  </si>
  <si>
    <t> Webster County</t>
  </si>
  <si>
    <t> Webster County Total</t>
  </si>
  <si>
    <t>753</t>
  </si>
  <si>
    <t> Wheeler County</t>
  </si>
  <si>
    <t> Wheeler County Total</t>
  </si>
  <si>
    <t>754</t>
  </si>
  <si>
    <t> White County</t>
  </si>
  <si>
    <t> White County Total</t>
  </si>
  <si>
    <t>755</t>
  </si>
  <si>
    <t> Whitfield County</t>
  </si>
  <si>
    <t> Whitfield County Total</t>
  </si>
  <si>
    <t>756</t>
  </si>
  <si>
    <t> Wilcox County</t>
  </si>
  <si>
    <t> Wilcox County Total</t>
  </si>
  <si>
    <t>757</t>
  </si>
  <si>
    <t> Wilkes County</t>
  </si>
  <si>
    <t> Wilkes County Total</t>
  </si>
  <si>
    <t>758</t>
  </si>
  <si>
    <t>Numbers of Charters from District w/ reported fed revenues</t>
  </si>
  <si>
    <t>Total Revenues for charters with federal revenues identfied</t>
  </si>
  <si>
    <t>Total federal revenues reported</t>
  </si>
  <si>
    <t>% of federal revenues from Total</t>
  </si>
  <si>
    <t>District % of Federal revenues</t>
  </si>
  <si>
    <t>17 Charter schools with reported fed revenues - fed revenues percentage of total</t>
  </si>
  <si>
    <t>Statewide Charters</t>
  </si>
  <si>
    <t>3 - Dekalb Academy of Tech, Gateway to College, International Community School</t>
  </si>
  <si>
    <t>Dekalb</t>
  </si>
  <si>
    <t>3 - Museum School, Leadership Prep, and DeKalb Path</t>
  </si>
  <si>
    <t>1 - Berrien</t>
  </si>
  <si>
    <t>Berrien</t>
  </si>
  <si>
    <t>3 - Imagine International Smyrna and Mableton and Kennesaw</t>
  </si>
  <si>
    <t>Cobb</t>
  </si>
  <si>
    <t>1 - New Life Academy of Excellence</t>
  </si>
  <si>
    <t>Gwinnett</t>
  </si>
  <si>
    <t>2 - Ivy Prep (Commission school) and Gwinnett School of Mathematics</t>
  </si>
  <si>
    <t>2 - Oglethorpe and Savannah</t>
  </si>
  <si>
    <t>Chatham</t>
  </si>
  <si>
    <t>1 - Coastal Empire Montessori</t>
  </si>
  <si>
    <t>Fulton charters</t>
  </si>
  <si>
    <t>4 - Fulton Sunshine, Fulton Science, Fulton Science Acad High, Amana Academy</t>
  </si>
  <si>
    <t>Fulton</t>
  </si>
  <si>
    <t>4 - Leadership, Hapeville, Kipp South Fulton and Main Street</t>
  </si>
  <si>
    <t>APS Charters</t>
  </si>
  <si>
    <t>APS</t>
  </si>
  <si>
    <t>Federal % of Total</t>
  </si>
  <si>
    <t>Local PPR</t>
  </si>
  <si>
    <t>Other PPR</t>
  </si>
  <si>
    <t>State PPR</t>
  </si>
  <si>
    <t>With Charter Deductions</t>
  </si>
  <si>
    <t>With Fulton charter school deductions</t>
  </si>
  <si>
    <t>With Charter deductions</t>
  </si>
  <si>
    <t>With APS Charter Deductions</t>
  </si>
  <si>
    <t>With Charter Deduction</t>
  </si>
  <si>
    <t>Georgia Department of Education</t>
  </si>
  <si>
    <t>Enrollment by Grade Level (PK-12) for fiscal year 2011-3</t>
  </si>
  <si>
    <t> Commission Charter Schools- CCAT School</t>
  </si>
  <si>
    <t> Commission Charter Schools- CCAT School Total</t>
  </si>
  <si>
    <t>7830210</t>
  </si>
  <si>
    <t> Commission Charter Schools- Pataula Charter Academy</t>
  </si>
  <si>
    <t> Commission Charter Schools- Pataula Charter Academy Total</t>
  </si>
  <si>
    <t>7830310</t>
  </si>
  <si>
    <t> Commission Charter Schools- Fulton Leadership Academy</t>
  </si>
  <si>
    <t> Commission Charter Schools- Fulton Leadership Academy Total</t>
  </si>
  <si>
    <t>7830410</t>
  </si>
  <si>
    <t> Commission Charter Schools- Atlanta Heights Charter Commission School</t>
  </si>
  <si>
    <t> Commission Charter Schools- Atlanta Heights Charter Commission School Total</t>
  </si>
  <si>
    <t>7830510</t>
  </si>
  <si>
    <t> Commission Charter Schools- Museum School Avondale Estates</t>
  </si>
  <si>
    <t>Calhoun County</t>
  </si>
  <si>
    <t>Camden County</t>
  </si>
  <si>
    <t>Candler County</t>
  </si>
  <si>
    <t>Carrollton City</t>
  </si>
  <si>
    <t>Cartersville City</t>
  </si>
  <si>
    <t>Catoosa County</t>
  </si>
  <si>
    <t>Charlton County</t>
  </si>
  <si>
    <t>Chattahoochee County</t>
  </si>
  <si>
    <t>Chattooga County</t>
  </si>
  <si>
    <t>Cherokee County</t>
  </si>
  <si>
    <t>Chickamauga City</t>
  </si>
  <si>
    <t>Clay County</t>
  </si>
  <si>
    <t>Clinch County</t>
  </si>
  <si>
    <t>Coffee County</t>
  </si>
  <si>
    <t>Colquitt County</t>
  </si>
  <si>
    <t>Columbia County</t>
  </si>
  <si>
    <t>Commerce City</t>
  </si>
  <si>
    <t>Commission Charter Schools- Atlanta Heights Charter School</t>
  </si>
  <si>
    <t>Commission Charter Schools- CCAT School</t>
  </si>
  <si>
    <t>Commission Charter Schools- Coweta Charter Academy</t>
  </si>
  <si>
    <t>Commission Charter Schools- Fulton Leadership Academy</t>
  </si>
  <si>
    <t>Commission Charter Schools- Ivy Preparatory Academy School</t>
  </si>
  <si>
    <t>Commission Charter Schools- Museum School Avondale Estates</t>
  </si>
  <si>
    <t>Commission Charter Schools- Pataula Charter Academy</t>
  </si>
  <si>
    <t>Commission Charter Schools- Peachtree Hope Charter School</t>
  </si>
  <si>
    <t>Cook County</t>
  </si>
  <si>
    <t>Crawford County</t>
  </si>
  <si>
    <t>Crisp County</t>
  </si>
  <si>
    <t>Dade County</t>
  </si>
  <si>
    <t>Dalton City</t>
  </si>
  <si>
    <t>Dawson County</t>
  </si>
  <si>
    <t>Decatur City</t>
  </si>
  <si>
    <t>Decatur County</t>
  </si>
  <si>
    <t>Dodge County</t>
  </si>
  <si>
    <t>Dooly County</t>
  </si>
  <si>
    <t>Dublin City</t>
  </si>
  <si>
    <t>Early County</t>
  </si>
  <si>
    <t>Echols County</t>
  </si>
  <si>
    <t>Effingham County</t>
  </si>
  <si>
    <t>Elbert County</t>
  </si>
  <si>
    <t>Emanuel County</t>
  </si>
  <si>
    <t>Evans County</t>
  </si>
  <si>
    <t>Fannin County</t>
  </si>
  <si>
    <t>Fayette County</t>
  </si>
  <si>
    <t>Franklin County</t>
  </si>
  <si>
    <t>Gainesville City</t>
  </si>
  <si>
    <t>Gilmer County</t>
  </si>
  <si>
    <t>Glascock County</t>
  </si>
  <si>
    <t>Gordon County</t>
  </si>
  <si>
    <t>Grady County</t>
  </si>
  <si>
    <t>Habersham County</t>
  </si>
  <si>
    <t>Hancock County</t>
  </si>
  <si>
    <t> First District RESA Total</t>
  </si>
  <si>
    <t>884</t>
  </si>
  <si>
    <t> Southwest Georgia RESA</t>
  </si>
  <si>
    <t> Southwest Georgia RESA Total</t>
  </si>
  <si>
    <t>886</t>
  </si>
  <si>
    <t> Coastal Plains RESA</t>
  </si>
  <si>
    <t> Coastal Plains RESA Total</t>
  </si>
  <si>
    <t>888</t>
  </si>
  <si>
    <t> Okefenokee RESA</t>
  </si>
  <si>
    <t> Okefenokee RESA Total</t>
  </si>
  <si>
    <t>2011 Total</t>
  </si>
  <si>
    <t>Total after Deductions</t>
  </si>
  <si>
    <t>PPR total</t>
  </si>
  <si>
    <t>Fed PPR</t>
  </si>
  <si>
    <t>Fed Rev % of Total</t>
  </si>
  <si>
    <t> Cartersville City - Charter District</t>
  </si>
  <si>
    <t> Decatur City - charter district</t>
  </si>
  <si>
    <t> Gainesville City - charter district</t>
  </si>
  <si>
    <t> Marietta City - Charter District</t>
  </si>
  <si>
    <t>All Districts Total</t>
  </si>
  <si>
    <t>Charters with no Federal Revenues</t>
  </si>
  <si>
    <t>District location</t>
  </si>
  <si>
    <t>Montgomery County</t>
  </si>
  <si>
    <t>Murray County</t>
  </si>
  <si>
    <t>Oconee County</t>
  </si>
  <si>
    <t>Oglethorpe County</t>
  </si>
  <si>
    <t>Paulding County</t>
  </si>
  <si>
    <t>Peach County</t>
  </si>
  <si>
    <t>Pelham City</t>
  </si>
  <si>
    <t>Pickens County</t>
  </si>
  <si>
    <t>Pierce County</t>
  </si>
  <si>
    <t>Pike County</t>
  </si>
  <si>
    <t>Polk County</t>
  </si>
  <si>
    <t>Pulaski County</t>
  </si>
  <si>
    <t>Putnam County</t>
  </si>
  <si>
    <t>Quitman County</t>
  </si>
  <si>
    <t>Rabun County</t>
  </si>
  <si>
    <t>Randolph County</t>
  </si>
  <si>
    <t>Rome City</t>
  </si>
  <si>
    <t>Schley County</t>
  </si>
  <si>
    <t>Screven County</t>
  </si>
  <si>
    <t>Seminole County</t>
  </si>
  <si>
    <t>Social Circle City</t>
  </si>
  <si>
    <t>State Charter Schools- Mountain Education Center School</t>
  </si>
  <si>
    <t>State Charter Schools- Odyssey School</t>
  </si>
  <si>
    <t>State Charter Schools- Scholars Academy Charter School</t>
  </si>
  <si>
    <t>State Schools- Atlanta Area School for the Deaf</t>
  </si>
  <si>
    <t>State Schools- Georgia Academy for the Blind</t>
  </si>
  <si>
    <t>State Schools- Georgia School for the Deaf</t>
  </si>
  <si>
    <t>Stephens County</t>
  </si>
  <si>
    <t>Stewart County</t>
  </si>
  <si>
    <t>Sumter County</t>
  </si>
  <si>
    <t>Talbot County</t>
  </si>
  <si>
    <t>Taliaferro County</t>
  </si>
  <si>
    <t>Tattnall County</t>
  </si>
  <si>
    <t>Taylor County</t>
  </si>
  <si>
    <t>Telfair County</t>
  </si>
  <si>
    <t>Terrell County</t>
  </si>
  <si>
    <t>Thomaston-Upson County</t>
  </si>
  <si>
    <t>Thomasville City</t>
  </si>
  <si>
    <t>Tift County</t>
  </si>
  <si>
    <t>Towns County</t>
  </si>
  <si>
    <t>Treutlen County</t>
  </si>
  <si>
    <t>Trion City</t>
  </si>
  <si>
    <t>Troup County</t>
  </si>
  <si>
    <t>Turner County</t>
  </si>
  <si>
    <t>Twiggs County</t>
  </si>
  <si>
    <t>Union County</t>
  </si>
  <si>
    <t>Valdosta City</t>
  </si>
  <si>
    <t>Vidalia City</t>
  </si>
  <si>
    <t>Walker County</t>
  </si>
  <si>
    <t>Walton County</t>
  </si>
  <si>
    <t>Ware County</t>
  </si>
  <si>
    <t>Warren County</t>
  </si>
  <si>
    <t>Washington County</t>
  </si>
  <si>
    <t>Wayne County</t>
  </si>
  <si>
    <t>Wheeler County</t>
  </si>
  <si>
    <t>Wilcox County</t>
  </si>
  <si>
    <t>Wilkes County</t>
  </si>
  <si>
    <t>Wilkinson County</t>
  </si>
  <si>
    <t>Fiscal Year 2011 3 Full-time Equivalent (FTE) Data Collection System</t>
  </si>
  <si>
    <t>System#</t>
  </si>
  <si>
    <t>System Name</t>
  </si>
  <si>
    <t>PK</t>
  </si>
  <si>
    <t>KK</t>
  </si>
  <si>
    <t>GR01</t>
  </si>
  <si>
    <t>GR02</t>
  </si>
  <si>
    <t>GR03</t>
  </si>
  <si>
    <t>GR04</t>
  </si>
  <si>
    <t>GR05</t>
  </si>
  <si>
    <t>GR06</t>
  </si>
  <si>
    <t>GR07</t>
  </si>
  <si>
    <t>GR08</t>
  </si>
  <si>
    <t>GR09</t>
  </si>
  <si>
    <t>GR10</t>
  </si>
  <si>
    <t>GR11</t>
  </si>
  <si>
    <t>GR12</t>
  </si>
  <si>
    <t>Appling County</t>
  </si>
  <si>
    <t>Atkinson County</t>
  </si>
  <si>
    <t>Bacon County</t>
  </si>
  <si>
    <t>Baker County</t>
  </si>
  <si>
    <t>Baldwin County</t>
  </si>
  <si>
    <t>Banks County</t>
  </si>
  <si>
    <t>Barrow County</t>
  </si>
  <si>
    <t>Bartow County</t>
  </si>
  <si>
    <t>Ben Hill County</t>
  </si>
  <si>
    <t>Bibb County</t>
  </si>
  <si>
    <t>Bleckley County</t>
  </si>
  <si>
    <t>Brantley County</t>
  </si>
  <si>
    <t>Bremen City</t>
  </si>
  <si>
    <t>Brooks County</t>
  </si>
  <si>
    <t>Bryan County</t>
  </si>
  <si>
    <t>Buford City</t>
  </si>
  <si>
    <t>Burke County</t>
  </si>
  <si>
    <t>Butts County</t>
  </si>
  <si>
    <t>Calhoun City</t>
  </si>
  <si>
    <t>Worth County</t>
  </si>
  <si>
    <t xml:space="preserve"> </t>
  </si>
  <si>
    <t xml:space="preserve">Total                </t>
  </si>
  <si>
    <t>Total Minus Prek</t>
  </si>
  <si>
    <t>GA</t>
  </si>
  <si>
    <t>Statewide Totals Minus Focus Districts</t>
  </si>
  <si>
    <t>Statewide District Minus Focus Areas</t>
  </si>
  <si>
    <t>Atlanta</t>
  </si>
  <si>
    <t>Statewide Districts Minus Focus Areas</t>
  </si>
  <si>
    <t>Atlanta Charters</t>
  </si>
  <si>
    <t>Fulton Charters</t>
  </si>
  <si>
    <t>Statewide Charters Minus Focus Areas</t>
  </si>
  <si>
    <t>(1) The number of charter schools represented in Fig. 3 represents the number of independent, start-up charter schools with audits on file.  There were 7 start-up charter schools that had closed or had no financial audit on file.   Conversion charters, career academies, and Charter districts were not included in the charter school data.  Data for charter districts is included with traditional school district data, as it has been in the past two studies.  A specific analysis of charter district data, however, is looked at in the the chapter on conversion charters.</t>
  </si>
  <si>
    <t>(1) FY 2003 statewide figures for both charter schools and districts was estimated.</t>
  </si>
  <si>
    <t>(1) Data for Free and Reduced Price Lunch and SPED, FY 2011, came from the "2010-11 Georgia Charter Schools Annual Report"</t>
  </si>
  <si>
    <t>Yes</t>
  </si>
  <si>
    <t>No</t>
  </si>
  <si>
    <t>Atlanta Public</t>
  </si>
  <si>
    <t>Schools</t>
  </si>
  <si>
    <t>N/A</t>
    <phoneticPr fontId="146" type="noConversion"/>
  </si>
  <si>
    <t>Haralson County</t>
  </si>
  <si>
    <t>Harris County</t>
  </si>
  <si>
    <t>Hart County</t>
  </si>
  <si>
    <t>Heard County</t>
  </si>
  <si>
    <t>Henry County</t>
  </si>
  <si>
    <t>Irwin County</t>
  </si>
  <si>
    <t>Jackson County</t>
  </si>
  <si>
    <t>Jasper County</t>
  </si>
  <si>
    <t>Jeff Davis County</t>
  </si>
  <si>
    <t>Jefferson City</t>
  </si>
  <si>
    <t>Jefferson County</t>
  </si>
  <si>
    <t>Jenkins County</t>
  </si>
  <si>
    <t>Johnson County</t>
  </si>
  <si>
    <t>Jones County</t>
  </si>
  <si>
    <t>Lamar County</t>
  </si>
  <si>
    <t>Lanier County</t>
  </si>
  <si>
    <t>Laurens County</t>
  </si>
  <si>
    <t>Lee County</t>
  </si>
  <si>
    <t>Liberty County</t>
  </si>
  <si>
    <t>Lincoln County</t>
  </si>
  <si>
    <t>Long County</t>
  </si>
  <si>
    <t>Lowndes County</t>
  </si>
  <si>
    <t>Lumpkin County</t>
  </si>
  <si>
    <t>Macon County</t>
  </si>
  <si>
    <t>Madison County</t>
  </si>
  <si>
    <t>Marion County</t>
  </si>
  <si>
    <t>McDuffie County</t>
  </si>
  <si>
    <t>McIntosh County</t>
  </si>
  <si>
    <t>Meriwether County</t>
  </si>
  <si>
    <t>Miller County</t>
  </si>
  <si>
    <t>Monroe County</t>
  </si>
  <si>
    <t>Revenue</t>
  </si>
  <si>
    <t>Total Enrollment</t>
  </si>
  <si>
    <t>Focus Area Districts Educate 8.5% of All District Students</t>
  </si>
  <si>
    <t>Focus Area Charters Educate 33.4% of All Charter Students</t>
  </si>
  <si>
    <t>Select Enrollment Characteristics</t>
  </si>
  <si>
    <t>Funding Practices Summary</t>
  </si>
  <si>
    <t>Magnitude of Disparity = Total Funding Difference x District Enrollment (see above)</t>
  </si>
  <si>
    <t>Grade based on % of Weighted Funding Disparity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</si>
</sst>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quot;#,###.0,,\ &quot;million&quot;\);\(&quot;$&quot;#,###.0,,\ &quot;million&quot;\)"/>
    <numFmt numFmtId="170" formatCode="#,##0.0000"/>
  </numFmts>
  <fonts count="152">
    <font>
      <sz val="8"/>
      <color indexed="8"/>
      <name val="Segoe WP Semibold"/>
      <family val="2"/>
    </font>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sz val="8"/>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indexed="9"/>
      <name val="Arial"/>
      <family val="2"/>
    </font>
    <font>
      <sz val="8"/>
      <color indexed="10"/>
      <name val="Arial"/>
      <family val="2"/>
    </font>
    <font>
      <i/>
      <sz val="8"/>
      <color rgb="FF7F7F7F"/>
      <name val="Arial"/>
      <family val="2"/>
    </font>
    <font>
      <b/>
      <sz val="8"/>
      <color indexed="8"/>
      <name val="Arial"/>
      <family val="2"/>
    </font>
    <font>
      <sz val="8"/>
      <color indexed="9"/>
      <name val="Arial"/>
      <family val="2"/>
    </font>
    <font>
      <sz val="10"/>
      <name val="Arial"/>
      <family val="2"/>
    </font>
    <font>
      <sz val="9"/>
      <color indexed="8"/>
      <name val="Arial"/>
      <family val="2"/>
    </font>
    <font>
      <sz val="12"/>
      <color indexed="8"/>
      <name val="Segoe WP Semibold"/>
      <family val="2"/>
    </font>
    <font>
      <b/>
      <sz val="9"/>
      <color indexed="12"/>
      <name val="Arial"/>
      <family val="2"/>
    </font>
    <font>
      <b/>
      <sz val="10"/>
      <color indexed="12"/>
      <name val="Arial"/>
      <family val="2"/>
    </font>
    <font>
      <b/>
      <sz val="10"/>
      <color indexed="8"/>
      <name val="Arial"/>
      <family val="2"/>
    </font>
    <font>
      <b/>
      <i/>
      <sz val="10"/>
      <color indexed="8"/>
      <name val="Arial"/>
      <family val="2"/>
    </font>
    <font>
      <b/>
      <sz val="9"/>
      <color indexed="9"/>
      <name val="Arial"/>
      <family val="2"/>
    </font>
    <font>
      <b/>
      <sz val="9"/>
      <color indexed="8"/>
      <name val="Arial"/>
      <family val="2"/>
    </font>
    <font>
      <b/>
      <sz val="9"/>
      <name val="Arial"/>
      <family val="2"/>
    </font>
    <font>
      <b/>
      <i/>
      <sz val="9"/>
      <color indexed="8"/>
      <name val="Arial"/>
      <family val="2"/>
    </font>
    <font>
      <sz val="9"/>
      <name val="Arial"/>
      <family val="2"/>
    </font>
    <font>
      <b/>
      <sz val="9"/>
      <color rgb="FFC00000"/>
      <name val="Arial"/>
      <family val="2"/>
    </font>
    <font>
      <b/>
      <sz val="10"/>
      <color rgb="FFC00000"/>
      <name val="Arial"/>
      <family val="2"/>
    </font>
    <font>
      <sz val="8"/>
      <color rgb="FFC00000"/>
      <name val="Segoe WP Semibold"/>
      <family val="2"/>
    </font>
    <font>
      <sz val="8"/>
      <color indexed="8"/>
      <name val="Segoe WP Semibold"/>
      <family val="2"/>
    </font>
    <font>
      <b/>
      <sz val="8"/>
      <color indexed="9"/>
      <name val="Segoe WP Semibold"/>
      <family val="2"/>
    </font>
    <font>
      <sz val="8"/>
      <color indexed="9"/>
      <name val="Segoe WP Semibold"/>
      <family val="2"/>
    </font>
    <font>
      <sz val="9"/>
      <color indexed="9"/>
      <name val="Arial"/>
      <family val="2"/>
    </font>
    <font>
      <b/>
      <sz val="24"/>
      <color indexed="9"/>
      <name val="Segoe WP Semibold"/>
      <family val="2"/>
    </font>
    <font>
      <b/>
      <sz val="14"/>
      <color indexed="9"/>
      <name val="Segoe WP Semibold"/>
      <family val="2"/>
    </font>
    <font>
      <b/>
      <sz val="16"/>
      <color indexed="9"/>
      <name val="Segoe WP Semibold"/>
      <family val="2"/>
    </font>
    <font>
      <b/>
      <sz val="10"/>
      <color indexed="9"/>
      <name val="Arial"/>
      <family val="2"/>
    </font>
    <font>
      <b/>
      <sz val="9"/>
      <color indexed="10"/>
      <name val="Arial"/>
      <family val="2"/>
    </font>
    <font>
      <b/>
      <sz val="10"/>
      <color indexed="10"/>
      <name val="Arial"/>
      <family val="2"/>
    </font>
    <font>
      <b/>
      <sz val="10"/>
      <name val="Arial"/>
      <family val="2"/>
    </font>
    <font>
      <b/>
      <sz val="36"/>
      <color indexed="9"/>
      <name val="Segoe WP Semibold"/>
      <family val="2"/>
    </font>
    <font>
      <b/>
      <sz val="12"/>
      <color indexed="9"/>
      <name val="Segoe WP Semibold"/>
      <family val="2"/>
    </font>
    <font>
      <sz val="10"/>
      <color indexed="8"/>
      <name val="Arial"/>
      <family val="2"/>
    </font>
    <font>
      <b/>
      <sz val="12"/>
      <color indexed="9"/>
      <name val="Arial"/>
      <family val="2"/>
    </font>
    <font>
      <b/>
      <sz val="9"/>
      <color indexed="13"/>
      <name val="Arial"/>
      <family val="2"/>
    </font>
    <font>
      <sz val="10"/>
      <name val="Tahoma"/>
      <family val="2"/>
    </font>
    <font>
      <b/>
      <sz val="10"/>
      <color indexed="13"/>
      <name val="Arial"/>
      <family val="2"/>
    </font>
    <font>
      <sz val="10"/>
      <color indexed="13"/>
      <name val="Arial"/>
      <family val="2"/>
    </font>
    <font>
      <sz val="9"/>
      <color indexed="10"/>
      <name val="Arial"/>
      <family val="2"/>
    </font>
    <font>
      <b/>
      <sz val="11"/>
      <name val="Arial"/>
      <family val="2"/>
    </font>
    <font>
      <b/>
      <sz val="12"/>
      <color indexed="13"/>
      <name val="Arial"/>
      <family val="2"/>
    </font>
    <font>
      <b/>
      <sz val="9"/>
      <color indexed="11"/>
      <name val="Arial"/>
      <family val="2"/>
    </font>
    <font>
      <b/>
      <sz val="12"/>
      <color indexed="9"/>
      <name val="Century Gothic"/>
      <family val="2"/>
    </font>
    <font>
      <b/>
      <sz val="10"/>
      <color rgb="FF0000FF"/>
      <name val="Calibri"/>
      <family val="2"/>
      <scheme val="minor"/>
    </font>
    <font>
      <b/>
      <sz val="9"/>
      <color rgb="FF0000FF"/>
      <name val="Calibri"/>
      <family val="2"/>
      <scheme val="minor"/>
    </font>
    <font>
      <b/>
      <sz val="11"/>
      <color rgb="FF0000FF"/>
      <name val="Calibri"/>
      <family val="2"/>
      <scheme val="minor"/>
    </font>
    <font>
      <sz val="8"/>
      <color indexed="8"/>
      <name val="Segoe UI Semibold"/>
      <family val="2"/>
    </font>
    <font>
      <sz val="9"/>
      <color indexed="8"/>
      <name val="Segoe UI Semibold"/>
      <family val="2"/>
    </font>
    <font>
      <b/>
      <sz val="9"/>
      <color rgb="FFC00000"/>
      <name val="Century Gothic"/>
      <family val="2"/>
    </font>
    <font>
      <sz val="8"/>
      <color rgb="FFC00000"/>
      <name val="Segoe UI Semibold"/>
      <family val="2"/>
    </font>
    <font>
      <b/>
      <sz val="12"/>
      <color theme="1"/>
      <name val="Calibri"/>
      <family val="2"/>
      <scheme val="minor"/>
    </font>
    <font>
      <sz val="11"/>
      <color rgb="FFC00000"/>
      <name val="Calibri"/>
      <family val="2"/>
      <scheme val="minor"/>
    </font>
    <font>
      <sz val="9"/>
      <color rgb="FFC00000"/>
      <name val="Century Gothic"/>
      <family val="2"/>
    </font>
    <font>
      <b/>
      <sz val="10"/>
      <color theme="1"/>
      <name val="Calibri"/>
      <family val="2"/>
      <scheme val="minor"/>
    </font>
    <font>
      <sz val="9"/>
      <color rgb="FFC00000"/>
      <name val="Segoe UI Semibold"/>
      <family val="2"/>
    </font>
    <font>
      <b/>
      <sz val="11"/>
      <color theme="1"/>
      <name val="Calibri"/>
      <family val="2"/>
      <scheme val="minor"/>
    </font>
    <font>
      <b/>
      <sz val="8"/>
      <color indexed="11"/>
      <name val="Arial"/>
      <family val="2"/>
    </font>
    <font>
      <sz val="11"/>
      <color rgb="FF0000FF"/>
      <name val="Calibri"/>
      <family val="2"/>
      <scheme val="minor"/>
    </font>
    <font>
      <b/>
      <sz val="10"/>
      <color indexed="8"/>
      <name val="Century Gothic"/>
      <family val="2"/>
    </font>
    <font>
      <b/>
      <sz val="10"/>
      <name val="Century Gothic"/>
      <family val="2"/>
    </font>
    <font>
      <sz val="9"/>
      <color theme="3" tint="0.59999389629810485"/>
      <name val="Century Gothic"/>
      <family val="2"/>
    </font>
    <font>
      <b/>
      <sz val="10"/>
      <color rgb="FFC00000"/>
      <name val="Century Gothic"/>
      <family val="2"/>
    </font>
    <font>
      <b/>
      <sz val="11"/>
      <color theme="0"/>
      <name val="Calibri"/>
      <family val="2"/>
      <scheme val="minor"/>
    </font>
    <font>
      <b/>
      <sz val="12"/>
      <color indexed="8"/>
      <name val="Century Gothic"/>
      <family val="2"/>
    </font>
    <font>
      <sz val="36"/>
      <color theme="1"/>
      <name val="Calibri"/>
      <family val="2"/>
      <scheme val="minor"/>
    </font>
    <font>
      <sz val="36"/>
      <color rgb="FF0000FF"/>
      <name val="Calibri"/>
      <family val="2"/>
      <scheme val="minor"/>
    </font>
    <font>
      <b/>
      <sz val="11"/>
      <color rgb="FFC00000"/>
      <name val="Calibri"/>
      <family val="2"/>
      <scheme val="minor"/>
    </font>
    <font>
      <b/>
      <u/>
      <sz val="11"/>
      <color rgb="FFC00000"/>
      <name val="Calibri"/>
      <family val="2"/>
      <scheme val="minor"/>
    </font>
    <font>
      <b/>
      <sz val="36"/>
      <color theme="3" tint="0.39997558519241921"/>
      <name val="Calibri"/>
      <family val="2"/>
      <scheme val="minor"/>
    </font>
    <font>
      <b/>
      <sz val="36"/>
      <color theme="0"/>
      <name val="Calibri"/>
      <family val="2"/>
      <scheme val="minor"/>
    </font>
    <font>
      <b/>
      <sz val="12"/>
      <color rgb="FFC00000"/>
      <name val="Calibri"/>
      <family val="2"/>
      <scheme val="minor"/>
    </font>
    <font>
      <b/>
      <sz val="12"/>
      <color theme="0"/>
      <name val="Calibri"/>
      <family val="2"/>
      <scheme val="minor"/>
    </font>
    <font>
      <sz val="10"/>
      <color indexed="9"/>
      <name val="Arial"/>
      <family val="2"/>
    </font>
    <font>
      <sz val="11"/>
      <color theme="0"/>
      <name val="Calibri"/>
      <family val="2"/>
      <scheme val="minor"/>
    </font>
    <font>
      <b/>
      <sz val="14"/>
      <color indexed="8"/>
      <name val="Century Gothic"/>
      <family val="2"/>
    </font>
    <font>
      <b/>
      <sz val="11"/>
      <color rgb="FFC00000"/>
      <name val="Century Gothic"/>
      <family val="2"/>
    </font>
    <font>
      <b/>
      <u/>
      <sz val="11"/>
      <color rgb="FFC00000"/>
      <name val="Century Gothic"/>
      <family val="2"/>
    </font>
    <font>
      <b/>
      <sz val="10"/>
      <color rgb="FFC00000"/>
      <name val="Calibri"/>
      <family val="2"/>
      <scheme val="minor"/>
    </font>
    <font>
      <sz val="8"/>
      <color indexed="9"/>
      <name val="Segoe UI Semibold"/>
      <family val="2"/>
    </font>
    <font>
      <sz val="11"/>
      <color indexed="9"/>
      <name val="Arial"/>
      <family val="2"/>
    </font>
    <font>
      <b/>
      <sz val="11"/>
      <color indexed="12"/>
      <name val="Arial"/>
      <family val="2"/>
    </font>
    <font>
      <b/>
      <sz val="11"/>
      <color indexed="9"/>
      <name val="Arial"/>
      <family val="2"/>
    </font>
    <font>
      <b/>
      <sz val="13"/>
      <color indexed="8"/>
      <name val="Century Gothic"/>
      <family val="2"/>
    </font>
    <font>
      <sz val="10"/>
      <color indexed="8"/>
      <name val="Segoe UI Semibold"/>
      <family val="2"/>
    </font>
    <font>
      <sz val="10"/>
      <color theme="0"/>
      <name val="Calibri"/>
      <family val="2"/>
      <scheme val="minor"/>
    </font>
    <font>
      <i/>
      <sz val="11"/>
      <name val="Calibri"/>
      <family val="2"/>
      <scheme val="minor"/>
    </font>
    <font>
      <sz val="8"/>
      <color theme="0"/>
      <name val="Calibri"/>
      <family val="2"/>
      <scheme val="minor"/>
    </font>
    <font>
      <sz val="11"/>
      <color indexed="8"/>
      <name val="Segoe WP Semibold"/>
      <family val="2"/>
    </font>
    <font>
      <sz val="10"/>
      <color rgb="FFC00000"/>
      <name val="Century Gothic"/>
      <family val="2"/>
    </font>
    <font>
      <sz val="10"/>
      <color theme="0" tint="-0.499984740745262"/>
      <name val="Arial"/>
      <family val="2"/>
    </font>
    <font>
      <b/>
      <sz val="10"/>
      <color theme="0" tint="-0.249977111117893"/>
      <name val="Arial"/>
      <family val="2"/>
    </font>
    <font>
      <sz val="10"/>
      <color theme="0" tint="-0.249977111117893"/>
      <name val="Arial"/>
      <family val="2"/>
    </font>
    <font>
      <sz val="8"/>
      <color theme="0" tint="-0.249977111117893"/>
      <name val="Segoe WP Semibold"/>
      <family val="2"/>
    </font>
    <font>
      <b/>
      <sz val="10"/>
      <color theme="0" tint="-0.499984740745262"/>
      <name val="Arial"/>
      <family val="2"/>
    </font>
    <font>
      <b/>
      <sz val="8"/>
      <name val="Arial"/>
      <family val="2"/>
    </font>
    <font>
      <sz val="10"/>
      <color theme="1"/>
      <name val="Calibri"/>
      <family val="2"/>
      <scheme val="minor"/>
    </font>
    <font>
      <b/>
      <sz val="14"/>
      <color theme="1"/>
      <name val="Calibri"/>
      <family val="2"/>
      <scheme val="minor"/>
    </font>
    <font>
      <i/>
      <sz val="11"/>
      <color theme="1"/>
      <name val="Calibri"/>
      <family val="2"/>
      <scheme val="minor"/>
    </font>
    <font>
      <sz val="8"/>
      <name val="Segoe WP Semibold"/>
      <family val="2"/>
    </font>
    <font>
      <sz val="8"/>
      <color indexed="13"/>
      <name val="Segoe WP Semibold"/>
      <family val="2"/>
    </font>
    <font>
      <sz val="9"/>
      <color indexed="13"/>
      <name val="Arial"/>
      <family val="2"/>
    </font>
    <font>
      <b/>
      <sz val="12"/>
      <color rgb="FFFFFF00"/>
      <name val="Calibri"/>
      <family val="2"/>
      <scheme val="minor"/>
    </font>
    <font>
      <b/>
      <sz val="28"/>
      <color indexed="9"/>
      <name val="Segoe WP Semibold"/>
      <family val="2"/>
    </font>
    <font>
      <b/>
      <sz val="10"/>
      <color theme="9"/>
      <name val="Arial"/>
      <family val="2"/>
    </font>
    <font>
      <b/>
      <sz val="9"/>
      <color theme="9"/>
      <name val="Arial"/>
      <family val="2"/>
    </font>
    <font>
      <sz val="9"/>
      <color theme="9"/>
      <name val="Arial"/>
      <family val="2"/>
    </font>
    <font>
      <b/>
      <sz val="8"/>
      <color rgb="FFC00000"/>
      <name val="Arial"/>
      <family val="2"/>
    </font>
    <font>
      <b/>
      <sz val="8"/>
      <color theme="3" tint="0.39997558519241921"/>
      <name val="Arial"/>
      <family val="2"/>
    </font>
    <font>
      <sz val="8"/>
      <color indexed="11"/>
      <name val="Arial"/>
      <family val="2"/>
    </font>
    <font>
      <b/>
      <sz val="11"/>
      <color theme="5" tint="-0.249977111117893"/>
      <name val="Arial"/>
      <family val="2"/>
    </font>
    <font>
      <b/>
      <sz val="9"/>
      <color theme="5" tint="-0.249977111117893"/>
      <name val="Arial"/>
      <family val="2"/>
    </font>
    <font>
      <b/>
      <sz val="12"/>
      <color theme="5" tint="-0.249977111117893"/>
      <name val="Arial"/>
      <family val="2"/>
    </font>
    <font>
      <b/>
      <sz val="14"/>
      <color rgb="FFC00000"/>
      <name val="Arial"/>
      <family val="2"/>
    </font>
    <font>
      <b/>
      <sz val="16"/>
      <color rgb="FFC00000"/>
      <name val="Arial"/>
      <family val="2"/>
    </font>
    <font>
      <sz val="10"/>
      <name val="Verdana"/>
      <family val="2"/>
    </font>
    <font>
      <b/>
      <sz val="6"/>
      <name val="Arial"/>
      <family val="2"/>
    </font>
    <font>
      <sz val="8"/>
      <color indexed="8"/>
      <name val="Segoe WP Semibold"/>
      <family val="2"/>
    </font>
    <font>
      <b/>
      <sz val="8"/>
      <color indexed="8"/>
      <name val="Segoe WP Semibold"/>
    </font>
    <font>
      <b/>
      <sz val="9"/>
      <color indexed="81"/>
      <name val="Segoe WP Semibold"/>
      <family val="2"/>
    </font>
    <font>
      <sz val="9"/>
      <color indexed="81"/>
      <name val="Segoe WP Semibold"/>
      <family val="2"/>
    </font>
    <font>
      <b/>
      <sz val="12"/>
      <color indexed="8"/>
      <name val="Arial"/>
      <family val="2"/>
    </font>
    <font>
      <sz val="8"/>
      <color indexed="206"/>
      <name val="Segoe WP Semibold"/>
      <family val="2"/>
    </font>
    <font>
      <u/>
      <sz val="8"/>
      <color indexed="12"/>
      <name val="Segoe WP Semibold"/>
      <family val="2"/>
    </font>
    <font>
      <u/>
      <sz val="8"/>
      <color indexed="20"/>
      <name val="Segoe WP Semibold"/>
      <family val="2"/>
    </font>
    <font>
      <b/>
      <sz val="10"/>
      <color indexed="9"/>
      <name val="Arial"/>
      <family val="2"/>
    </font>
    <font>
      <sz val="8"/>
      <name val="Verdana"/>
      <family val="2"/>
    </font>
    <font>
      <b/>
      <sz val="11"/>
      <color indexed="8"/>
      <name val="Calibri"/>
      <family val="2"/>
    </font>
    <font>
      <u/>
      <sz val="8"/>
      <color theme="10"/>
      <name val="Segoe WP Semibold"/>
      <family val="2"/>
    </font>
    <font>
      <u/>
      <sz val="8"/>
      <color theme="11"/>
      <name val="Segoe WP Semibold"/>
      <family val="2"/>
    </font>
    <font>
      <b/>
      <sz val="12"/>
      <name val="Calibri"/>
      <family val="2"/>
      <scheme val="minor"/>
    </font>
    <font>
      <i/>
      <sz val="9"/>
      <color indexed="8"/>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6"/>
        <bgColor indexed="64"/>
      </patternFill>
    </fill>
    <fill>
      <patternFill patternType="solid">
        <fgColor theme="8"/>
        <bgColor indexed="64"/>
      </patternFill>
    </fill>
    <fill>
      <patternFill patternType="solid">
        <fgColor rgb="FF66FF99"/>
        <bgColor indexed="64"/>
      </patternFill>
    </fill>
    <fill>
      <patternFill patternType="solid">
        <fgColor rgb="FF7030A0"/>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CFFCC"/>
        <bgColor indexed="64"/>
      </patternFill>
    </fill>
    <fill>
      <patternFill patternType="solid">
        <fgColor rgb="FFFF99CC"/>
        <bgColor indexed="64"/>
      </patternFill>
    </fill>
    <fill>
      <patternFill patternType="solid">
        <fgColor rgb="FFCCFFFF"/>
        <bgColor indexed="64"/>
      </patternFill>
    </fill>
    <fill>
      <patternFill patternType="solid">
        <fgColor rgb="FFFFCC99"/>
        <bgColor indexed="64"/>
      </patternFill>
    </fill>
    <fill>
      <patternFill patternType="solid">
        <fgColor rgb="FF99CC00"/>
        <bgColor indexed="64"/>
      </patternFill>
    </fill>
    <fill>
      <patternFill patternType="solid">
        <fgColor rgb="FFFFFFFF"/>
        <bgColor indexed="64"/>
      </patternFill>
    </fill>
    <fill>
      <patternFill patternType="solid">
        <fgColor rgb="FFFCF305"/>
        <bgColor indexed="64"/>
      </patternFill>
    </fill>
    <fill>
      <patternFill patternType="solid">
        <fgColor theme="9" tint="0.59999389629810485"/>
        <bgColor indexed="64"/>
      </patternFill>
    </fill>
    <fill>
      <patternFill patternType="solid">
        <fgColor rgb="FF34BA57"/>
        <bgColor indexed="64"/>
      </patternFill>
    </fill>
  </fills>
  <borders count="2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right/>
      <top style="thin">
        <color auto="1"/>
      </top>
      <bottom/>
      <diagonal/>
    </border>
    <border>
      <left/>
      <right style="thin">
        <color auto="1"/>
      </right>
      <top/>
      <bottom style="double">
        <color auto="1"/>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style="thick">
        <color theme="0" tint="-0.499984740745262"/>
      </top>
      <bottom/>
      <diagonal/>
    </border>
    <border>
      <left/>
      <right style="thick">
        <color theme="0" tint="-0.499984740745262"/>
      </right>
      <top/>
      <bottom/>
      <diagonal/>
    </border>
    <border>
      <left/>
      <right style="thick">
        <color theme="0" tint="-0.499984740745262"/>
      </right>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auto="1"/>
      </left>
      <right style="thin">
        <color auto="1"/>
      </right>
      <top style="thick">
        <color theme="0" tint="-0.499984740745262"/>
      </top>
      <bottom style="thick">
        <color theme="0" tint="-0.499984740745262"/>
      </bottom>
      <diagonal/>
    </border>
    <border>
      <left style="thin">
        <color auto="1"/>
      </left>
      <right/>
      <top style="thick">
        <color theme="0" tint="-0.499984740745262"/>
      </top>
      <bottom style="thick">
        <color theme="0" tint="-0.499984740745262"/>
      </bottom>
      <diagonal/>
    </border>
    <border>
      <left/>
      <right/>
      <top style="thick">
        <color theme="0" tint="-0.499984740745262"/>
      </top>
      <bottom style="thin">
        <color auto="1"/>
      </bottom>
      <diagonal/>
    </border>
    <border>
      <left/>
      <right style="thin">
        <color auto="1"/>
      </right>
      <top style="thick">
        <color theme="0" tint="-0.499984740745262"/>
      </top>
      <bottom style="thin">
        <color auto="1"/>
      </bottom>
      <diagonal/>
    </border>
    <border>
      <left/>
      <right/>
      <top style="double">
        <color auto="1"/>
      </top>
      <bottom style="thick">
        <color theme="0" tint="-0.499984740745262"/>
      </bottom>
      <diagonal/>
    </border>
    <border>
      <left style="thick">
        <color theme="0" tint="-0.499984740745262"/>
      </left>
      <right/>
      <top style="thick">
        <color theme="0" tint="-0.499984740745262"/>
      </top>
      <bottom style="thin">
        <color auto="1"/>
      </bottom>
      <diagonal/>
    </border>
    <border>
      <left/>
      <right style="thick">
        <color theme="0" tint="-0.499984740745262"/>
      </right>
      <top style="thick">
        <color theme="0" tint="-0.499984740745262"/>
      </top>
      <bottom style="thin">
        <color auto="1"/>
      </bottom>
      <diagonal/>
    </border>
    <border>
      <left/>
      <right/>
      <top style="thin">
        <color theme="3" tint="0.59996337778862885"/>
      </top>
      <bottom style="thin">
        <color theme="3" tint="0.59996337778862885"/>
      </bottom>
      <diagonal/>
    </border>
    <border>
      <left/>
      <right/>
      <top style="thin">
        <color theme="3" tint="0.59996337778862885"/>
      </top>
      <bottom/>
      <diagonal/>
    </border>
    <border>
      <left/>
      <right/>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ck">
        <color theme="0" tint="-0.499984740745262"/>
      </right>
      <top/>
      <bottom style="medium">
        <color theme="0" tint="-0.499984740745262"/>
      </bottom>
      <diagonal/>
    </border>
    <border>
      <left/>
      <right/>
      <top/>
      <bottom style="medium">
        <color theme="0" tint="-0.499984740745262"/>
      </bottom>
      <diagonal/>
    </border>
    <border>
      <left style="thick">
        <color theme="0" tint="-0.499984740745262"/>
      </left>
      <right/>
      <top/>
      <bottom style="medium">
        <color theme="0" tint="-0.499984740745262"/>
      </bottom>
      <diagonal/>
    </border>
    <border>
      <left style="thick">
        <color rgb="FF00FF00"/>
      </left>
      <right style="thick">
        <color rgb="FF00FF00"/>
      </right>
      <top style="thick">
        <color rgb="FF00FF00"/>
      </top>
      <bottom style="thick">
        <color rgb="FF00FF00"/>
      </bottom>
      <diagonal/>
    </border>
    <border>
      <left style="thick">
        <color rgb="FF00FF00"/>
      </left>
      <right/>
      <top style="thick">
        <color rgb="FF00FF00"/>
      </top>
      <bottom style="thick">
        <color rgb="FF00FF00"/>
      </bottom>
      <diagonal/>
    </border>
    <border>
      <left/>
      <right/>
      <top style="thick">
        <color rgb="FF00FF00"/>
      </top>
      <bottom style="thick">
        <color rgb="FF00FF00"/>
      </bottom>
      <diagonal/>
    </border>
    <border>
      <left/>
      <right style="thick">
        <color rgb="FF00FF00"/>
      </right>
      <top style="thick">
        <color rgb="FF00FF00"/>
      </top>
      <bottom style="thick">
        <color rgb="FF00FF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ck">
        <color theme="0" tint="-0.499984740745262"/>
      </left>
      <right style="thick">
        <color theme="0" tint="-0.499984740745262"/>
      </right>
      <top/>
      <bottom style="medium">
        <color theme="0" tint="-0.499984740745262"/>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diagonal/>
    </border>
    <border>
      <left/>
      <right style="thin">
        <color theme="3" tint="0.59996337778862885"/>
      </right>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59996337778862885"/>
      </left>
      <right style="thin">
        <color theme="3" tint="0.39994506668294322"/>
      </right>
      <top/>
      <bottom style="thin">
        <color theme="3" tint="0.39994506668294322"/>
      </bottom>
      <diagonal/>
    </border>
    <border>
      <left style="thin">
        <color theme="3" tint="0.39994506668294322"/>
      </left>
      <right style="thin">
        <color theme="3" tint="0.59996337778862885"/>
      </right>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59996337778862885"/>
      </right>
      <top style="thin">
        <color theme="3" tint="0.39994506668294322"/>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59996337778862885"/>
      </right>
      <top style="thin">
        <color theme="3" tint="0.39994506668294322"/>
      </top>
      <bottom style="thin">
        <color theme="3" tint="0.59996337778862885"/>
      </bottom>
      <diagonal/>
    </border>
    <border>
      <left style="thin">
        <color theme="3" tint="0.59996337778862885"/>
      </left>
      <right style="thin">
        <color theme="3" tint="0.39994506668294322"/>
      </right>
      <top style="thin">
        <color theme="3" tint="0.39994506668294322"/>
      </top>
      <bottom/>
      <diagonal/>
    </border>
    <border>
      <left style="thin">
        <color theme="3" tint="0.39994506668294322"/>
      </left>
      <right style="thin">
        <color theme="3" tint="0.59996337778862885"/>
      </right>
      <top style="thin">
        <color theme="3" tint="0.39994506668294322"/>
      </top>
      <bottom/>
      <diagonal/>
    </border>
    <border>
      <left style="thin">
        <color theme="3" tint="0.59996337778862885"/>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59996337778862885"/>
      </right>
      <top style="thin">
        <color theme="3" tint="0.59996337778862885"/>
      </top>
      <bottom style="thin">
        <color theme="3" tint="0.39994506668294322"/>
      </bottom>
      <diagonal/>
    </border>
    <border>
      <left style="thin">
        <color theme="3" tint="0.59996337778862885"/>
      </left>
      <right style="thin">
        <color theme="3" tint="0.39994506668294322"/>
      </right>
      <top/>
      <bottom/>
      <diagonal/>
    </border>
    <border>
      <left style="thin">
        <color theme="3" tint="0.39994506668294322"/>
      </left>
      <right style="thin">
        <color theme="3" tint="0.59996337778862885"/>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bottom/>
      <diagonal/>
    </border>
    <border>
      <left style="thin">
        <color theme="3" tint="0.59996337778862885"/>
      </left>
      <right style="thin">
        <color theme="3" tint="0.59996337778862885"/>
      </right>
      <top/>
      <bottom style="thin">
        <color theme="3" tint="0.59996337778862885"/>
      </bottom>
      <diagonal/>
    </border>
    <border>
      <left style="thick">
        <color auto="1"/>
      </left>
      <right/>
      <top style="thin">
        <color auto="1"/>
      </top>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bottom/>
      <diagonal/>
    </border>
    <border>
      <left style="thick">
        <color auto="1"/>
      </left>
      <right style="thin">
        <color auto="1"/>
      </right>
      <top style="thin">
        <color auto="1"/>
      </top>
      <bottom/>
      <diagonal/>
    </border>
    <border>
      <left style="thick">
        <color auto="1"/>
      </left>
      <right style="thin">
        <color auto="1"/>
      </right>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ck">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medium">
        <color theme="1"/>
      </bottom>
      <diagonal/>
    </border>
    <border>
      <left style="medium">
        <color auto="1"/>
      </left>
      <right style="thin">
        <color auto="1"/>
      </right>
      <top/>
      <bottom style="medium">
        <color theme="1"/>
      </bottom>
      <diagonal/>
    </border>
    <border>
      <left/>
      <right style="medium">
        <color auto="1"/>
      </right>
      <top style="thin">
        <color auto="1"/>
      </top>
      <bottom/>
      <diagonal/>
    </border>
    <border>
      <left/>
      <right style="medium">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theme="3" tint="0.39991454817346722"/>
      </left>
      <right style="medium">
        <color theme="3" tint="0.39991454817346722"/>
      </right>
      <top style="medium">
        <color theme="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style="thick">
        <color theme="1" tint="0.24994659260841701"/>
      </left>
      <right style="medium">
        <color theme="1" tint="0.24994659260841701"/>
      </right>
      <top style="medium">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medium">
        <color theme="1" tint="0.24994659260841701"/>
      </right>
      <top/>
      <bottom style="thick">
        <color theme="1" tint="0.24994659260841701"/>
      </bottom>
      <diagonal/>
    </border>
    <border>
      <left style="thin">
        <color theme="1" tint="0.24994659260841701"/>
      </left>
      <right style="medium">
        <color theme="1" tint="0.24994659260841701"/>
      </right>
      <top/>
      <bottom style="thin">
        <color theme="1" tint="0.24994659260841701"/>
      </bottom>
      <diagonal/>
    </border>
    <border>
      <left style="medium">
        <color theme="1" tint="0.24994659260841701"/>
      </left>
      <right/>
      <top/>
      <bottom style="thick">
        <color theme="1" tint="0.24994659260841701"/>
      </bottom>
      <diagonal/>
    </border>
    <border>
      <left/>
      <right/>
      <top/>
      <bottom style="thick">
        <color theme="1" tint="0.24994659260841701"/>
      </bottom>
      <diagonal/>
    </border>
    <border>
      <left style="medium">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medium">
        <color theme="1" tint="0.24994659260841701"/>
      </right>
      <top/>
      <bottom style="thin">
        <color theme="1" tint="0.24994659260841701"/>
      </bottom>
      <diagonal/>
    </border>
    <border>
      <left style="medium">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top style="medium">
        <color theme="1" tint="0.24994659260841701"/>
      </top>
      <bottom style="thin">
        <color theme="1" tint="0.24994659260841701"/>
      </bottom>
      <diagonal/>
    </border>
    <border>
      <left style="medium">
        <color theme="1" tint="0.24994659260841701"/>
      </left>
      <right/>
      <top/>
      <bottom style="thin">
        <color theme="1" tint="0.24994659260841701"/>
      </bottom>
      <diagonal/>
    </border>
    <border>
      <left style="medium">
        <color theme="1" tint="0.24994659260841701"/>
      </left>
      <right/>
      <top style="thin">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style="thin">
        <color theme="1" tint="0.24994659260841701"/>
      </bottom>
      <diagonal/>
    </border>
    <border>
      <left style="thick">
        <color theme="1" tint="0.24994659260841701"/>
      </left>
      <right style="medium">
        <color theme="1" tint="0.24994659260841701"/>
      </right>
      <top/>
      <bottom style="thin">
        <color theme="1" tint="0.24994659260841701"/>
      </bottom>
      <diagonal/>
    </border>
    <border>
      <left style="thick">
        <color theme="1" tint="0.24994659260841701"/>
      </left>
      <right style="medium">
        <color theme="1" tint="0.24994659260841701"/>
      </right>
      <top style="thin">
        <color theme="1" tint="0.24994659260841701"/>
      </top>
      <bottom style="medium">
        <color theme="1" tint="0.24994659260841701"/>
      </bottom>
      <diagonal/>
    </border>
    <border>
      <left/>
      <right/>
      <top style="thin">
        <color theme="1" tint="0.24994659260841701"/>
      </top>
      <bottom style="thin">
        <color theme="1" tint="0.24994659260841701"/>
      </bottom>
      <diagonal/>
    </border>
    <border>
      <left style="thin">
        <color auto="1"/>
      </left>
      <right/>
      <top/>
      <bottom style="thin">
        <color theme="1" tint="0.24994659260841701"/>
      </bottom>
      <diagonal/>
    </border>
    <border>
      <left style="medium">
        <color theme="1" tint="0.24994659260841701"/>
      </left>
      <right style="thin">
        <color auto="1"/>
      </right>
      <top style="medium">
        <color theme="1" tint="0.24994659260841701"/>
      </top>
      <bottom style="medium">
        <color theme="1" tint="0.24994659260841701"/>
      </bottom>
      <diagonal/>
    </border>
    <border>
      <left style="thin">
        <color auto="1"/>
      </left>
      <right style="thin">
        <color auto="1"/>
      </right>
      <top style="medium">
        <color theme="1" tint="0.24994659260841701"/>
      </top>
      <bottom style="medium">
        <color theme="1" tint="0.24994659260841701"/>
      </bottom>
      <diagonal/>
    </border>
    <border>
      <left style="thin">
        <color auto="1"/>
      </left>
      <right style="medium">
        <color theme="1" tint="0.24994659260841701"/>
      </right>
      <top style="medium">
        <color theme="1" tint="0.24994659260841701"/>
      </top>
      <bottom style="medium">
        <color theme="1" tint="0.24994659260841701"/>
      </bottom>
      <diagonal/>
    </border>
    <border>
      <left style="medium">
        <color theme="1" tint="0.24994659260841701"/>
      </left>
      <right style="thin">
        <color auto="1"/>
      </right>
      <top/>
      <bottom style="thin">
        <color theme="1" tint="0.24994659260841701"/>
      </bottom>
      <diagonal/>
    </border>
    <border>
      <left style="medium">
        <color theme="1" tint="0.24994659260841701"/>
      </left>
      <right/>
      <top style="thin">
        <color theme="1" tint="0.24994659260841701"/>
      </top>
      <bottom style="thin">
        <color theme="1" tint="0.24994659260841701"/>
      </bottom>
      <diagonal/>
    </border>
    <border>
      <left/>
      <right/>
      <top style="thin">
        <color theme="1" tint="0.24994659260841701"/>
      </top>
      <bottom style="medium">
        <color theme="1" tint="0.24994659260841701"/>
      </bottom>
      <diagonal/>
    </border>
    <border>
      <left style="thin">
        <color theme="1" tint="0.24994659260841701"/>
      </left>
      <right/>
      <top/>
      <bottom style="thin">
        <color theme="1" tint="0.24994659260841701"/>
      </bottom>
      <diagonal/>
    </border>
    <border>
      <left style="thin">
        <color theme="1" tint="0.24994659260841701"/>
      </left>
      <right/>
      <top style="thin">
        <color theme="1" tint="0.24994659260841701"/>
      </top>
      <bottom style="medium">
        <color theme="1" tint="0.24994659260841701"/>
      </bottom>
      <diagonal/>
    </border>
    <border>
      <left style="medium">
        <color theme="1" tint="0.24994659260841701"/>
      </left>
      <right style="medium">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medium">
        <color theme="1" tint="0.24994659260841701"/>
      </bottom>
      <diagonal/>
    </border>
    <border>
      <left/>
      <right/>
      <top/>
      <bottom style="thin">
        <color theme="1" tint="0.24994659260841701"/>
      </bottom>
      <diagonal/>
    </border>
    <border>
      <left style="thick">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medium">
        <color theme="1" tint="0.24994659260841701"/>
      </right>
      <top style="medium">
        <color theme="1" tint="0.24994659260841701"/>
      </top>
      <bottom style="thick">
        <color theme="1" tint="0.24994659260841701"/>
      </bottom>
      <diagonal/>
    </border>
    <border>
      <left style="medium">
        <color theme="1" tint="0.24994659260841701"/>
      </left>
      <right style="thin">
        <color auto="1"/>
      </right>
      <top style="medium">
        <color theme="1" tint="0.24994659260841701"/>
      </top>
      <bottom style="thick">
        <color theme="1" tint="0.24994659260841701"/>
      </bottom>
      <diagonal/>
    </border>
    <border>
      <left style="thin">
        <color auto="1"/>
      </left>
      <right/>
      <top style="medium">
        <color theme="1" tint="0.24994659260841701"/>
      </top>
      <bottom style="thick">
        <color theme="1" tint="0.24994659260841701"/>
      </bottom>
      <diagonal/>
    </border>
    <border>
      <left/>
      <right/>
      <top style="medium">
        <color theme="1" tint="0.24994659260841701"/>
      </top>
      <bottom style="thick">
        <color theme="1" tint="0.24994659260841701"/>
      </bottom>
      <diagonal/>
    </border>
    <border>
      <left style="medium">
        <color theme="1" tint="0.24994659260841701"/>
      </left>
      <right/>
      <top style="medium">
        <color theme="1" tint="0.24994659260841701"/>
      </top>
      <bottom style="thick">
        <color theme="1" tint="0.24994659260841701"/>
      </bottom>
      <diagonal/>
    </border>
    <border>
      <left style="thick">
        <color theme="1" tint="0.24994659260841701"/>
      </left>
      <right style="medium">
        <color theme="1" tint="0.24994659260841701"/>
      </right>
      <top style="medium">
        <color theme="1" tint="0.24994659260841701"/>
      </top>
      <bottom style="thick">
        <color theme="1" tint="0.24994659260841701"/>
      </bottom>
      <diagonal/>
    </border>
    <border>
      <left style="thin">
        <color theme="1" tint="0.24994659260841701"/>
      </left>
      <right style="medium">
        <color theme="1" tint="0.24994659260841701"/>
      </right>
      <top style="medium">
        <color theme="1" tint="0.24994659260841701"/>
      </top>
      <bottom style="medium">
        <color theme="1" tint="0.24994659260841701"/>
      </bottom>
      <diagonal/>
    </border>
    <border>
      <left/>
      <right style="medium">
        <color theme="1" tint="0.24994659260841701"/>
      </right>
      <top/>
      <bottom style="medium">
        <color theme="1" tint="0.24994659260841701"/>
      </bottom>
      <diagonal/>
    </border>
    <border>
      <left style="thick">
        <color theme="1" tint="0.24994659260841701"/>
      </left>
      <right style="thin">
        <color theme="1" tint="0.24994659260841701"/>
      </right>
      <top/>
      <bottom style="thin">
        <color theme="1" tint="0.24994659260841701"/>
      </bottom>
      <diagonal/>
    </border>
    <border>
      <left style="medium">
        <color theme="1" tint="0.24994659260841701"/>
      </left>
      <right style="thick">
        <color theme="1" tint="0.24994659260841701"/>
      </right>
      <top style="medium">
        <color theme="1" tint="0.24994659260841701"/>
      </top>
      <bottom style="medium">
        <color theme="1" tint="0.24994659260841701"/>
      </bottom>
      <diagonal/>
    </border>
    <border>
      <left style="thin">
        <color theme="1" tint="0.24994659260841701"/>
      </left>
      <right style="thick">
        <color theme="1" tint="0.24994659260841701"/>
      </right>
      <top/>
      <bottom style="thin">
        <color theme="1" tint="0.24994659260841701"/>
      </bottom>
      <diagonal/>
    </border>
    <border>
      <left style="thick">
        <color theme="1" tint="0.24994659260841701"/>
      </left>
      <right style="thin">
        <color theme="1" tint="0.24994659260841701"/>
      </right>
      <top style="medium">
        <color theme="1" tint="0.24994659260841701"/>
      </top>
      <bottom style="medium">
        <color theme="1" tint="0.24994659260841701"/>
      </bottom>
      <diagonal/>
    </border>
    <border>
      <left style="thick">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thick">
        <color theme="1" tint="0.24994659260841701"/>
      </right>
      <top style="thin">
        <color theme="1" tint="0.24994659260841701"/>
      </top>
      <bottom style="medium">
        <color theme="1" tint="0.24994659260841701"/>
      </bottom>
      <diagonal/>
    </border>
    <border>
      <left style="thin">
        <color auto="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thin">
        <color auto="1"/>
      </left>
      <right style="medium">
        <color theme="1" tint="0.24994659260841701"/>
      </right>
      <top/>
      <bottom/>
      <diagonal/>
    </border>
    <border>
      <left style="medium">
        <color theme="1" tint="0.24994659260841701"/>
      </left>
      <right/>
      <top style="thin">
        <color auto="1"/>
      </top>
      <bottom style="medium">
        <color theme="1" tint="0.24994659260841701"/>
      </bottom>
      <diagonal/>
    </border>
    <border>
      <left/>
      <right/>
      <top style="thin">
        <color auto="1"/>
      </top>
      <bottom style="medium">
        <color theme="1" tint="0.24994659260841701"/>
      </bottom>
      <diagonal/>
    </border>
    <border>
      <left style="thin">
        <color auto="1"/>
      </left>
      <right style="thin">
        <color auto="1"/>
      </right>
      <top style="medium">
        <color theme="1" tint="0.24994659260841701"/>
      </top>
      <bottom/>
      <diagonal/>
    </border>
    <border>
      <left style="thin">
        <color auto="1"/>
      </left>
      <right style="medium">
        <color theme="1" tint="0.24994659260841701"/>
      </right>
      <top style="medium">
        <color theme="1" tint="0.24994659260841701"/>
      </top>
      <bottom/>
      <diagonal/>
    </border>
    <border>
      <left style="medium">
        <color theme="1" tint="0.24994659260841701"/>
      </left>
      <right style="medium">
        <color theme="1" tint="0.24994659260841701"/>
      </right>
      <top/>
      <bottom/>
      <diagonal/>
    </border>
    <border>
      <left style="medium">
        <color theme="1" tint="0.24994659260841701"/>
      </left>
      <right/>
      <top style="medium">
        <color theme="1" tint="0.24994659260841701"/>
      </top>
      <bottom style="thin">
        <color auto="1"/>
      </bottom>
      <diagonal/>
    </border>
    <border>
      <left/>
      <right/>
      <top style="medium">
        <color theme="1" tint="0.24994659260841701"/>
      </top>
      <bottom style="thin">
        <color auto="1"/>
      </bottom>
      <diagonal/>
    </border>
    <border>
      <left/>
      <right style="thin">
        <color auto="1"/>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right style="thin">
        <color auto="1"/>
      </right>
      <top style="thin">
        <color auto="1"/>
      </top>
      <bottom style="medium">
        <color theme="1" tint="0.24994659260841701"/>
      </bottom>
      <diagonal/>
    </border>
    <border>
      <left style="thin">
        <color auto="1"/>
      </left>
      <right style="thin">
        <color auto="1"/>
      </right>
      <top style="thin">
        <color auto="1"/>
      </top>
      <bottom style="medium">
        <color theme="1" tint="0.24994659260841701"/>
      </bottom>
      <diagonal/>
    </border>
    <border>
      <left style="thin">
        <color auto="1"/>
      </left>
      <right style="medium">
        <color theme="1" tint="0.24994659260841701"/>
      </right>
      <top style="thin">
        <color auto="1"/>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right style="thin">
        <color auto="1"/>
      </right>
      <top style="medium">
        <color theme="1" tint="0.24994659260841701"/>
      </top>
      <bottom/>
      <diagonal/>
    </border>
    <border>
      <left style="thick">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thick">
        <color theme="1" tint="0.24994659260841701"/>
      </right>
      <top style="thick">
        <color theme="1" tint="0.24994659260841701"/>
      </top>
      <bottom style="medium">
        <color theme="1" tint="0.24994659260841701"/>
      </bottom>
      <diagonal/>
    </border>
    <border>
      <left style="thick">
        <color theme="1" tint="0.24994659260841701"/>
      </left>
      <right style="thin">
        <color auto="1"/>
      </right>
      <top style="medium">
        <color theme="1" tint="0.24994659260841701"/>
      </top>
      <bottom style="thin">
        <color auto="1"/>
      </bottom>
      <diagonal/>
    </border>
    <border>
      <left style="thin">
        <color auto="1"/>
      </left>
      <right style="thick">
        <color theme="1" tint="0.24994659260841701"/>
      </right>
      <top style="medium">
        <color theme="1" tint="0.24994659260841701"/>
      </top>
      <bottom style="thin">
        <color auto="1"/>
      </bottom>
      <diagonal/>
    </border>
    <border>
      <left style="thick">
        <color theme="1" tint="0.24994659260841701"/>
      </left>
      <right style="thin">
        <color auto="1"/>
      </right>
      <top/>
      <bottom/>
      <diagonal/>
    </border>
    <border>
      <left style="thin">
        <color auto="1"/>
      </left>
      <right style="thick">
        <color theme="1" tint="0.24994659260841701"/>
      </right>
      <top/>
      <bottom/>
      <diagonal/>
    </border>
    <border>
      <left style="thick">
        <color theme="1" tint="0.24994659260841701"/>
      </left>
      <right/>
      <top style="thin">
        <color auto="1"/>
      </top>
      <bottom style="thick">
        <color theme="1" tint="0.24994659260841701"/>
      </bottom>
      <diagonal/>
    </border>
    <border>
      <left/>
      <right/>
      <top style="thin">
        <color auto="1"/>
      </top>
      <bottom style="thick">
        <color theme="1" tint="0.24994659260841701"/>
      </bottom>
      <diagonal/>
    </border>
    <border>
      <left/>
      <right style="thick">
        <color theme="1" tint="0.24994659260841701"/>
      </right>
      <top style="thin">
        <color auto="1"/>
      </top>
      <bottom style="thick">
        <color theme="1" tint="0.24994659260841701"/>
      </bottom>
      <diagonal/>
    </border>
    <border>
      <left/>
      <right style="thin">
        <color auto="1"/>
      </right>
      <top/>
      <bottom style="thick">
        <color theme="1" tint="0.24994659260841701"/>
      </bottom>
      <diagonal/>
    </border>
    <border>
      <left style="thin">
        <color auto="1"/>
      </left>
      <right style="thin">
        <color auto="1"/>
      </right>
      <top/>
      <bottom style="thick">
        <color theme="1" tint="0.24994659260841701"/>
      </bottom>
      <diagonal/>
    </border>
    <border>
      <left style="thin">
        <color auto="1"/>
      </left>
      <right style="medium">
        <color theme="1" tint="0.24994659260841701"/>
      </right>
      <top/>
      <bottom style="thick">
        <color theme="1" tint="0.24994659260841701"/>
      </bottom>
      <diagonal/>
    </border>
    <border>
      <left style="medium">
        <color theme="1" tint="0.24994659260841701"/>
      </left>
      <right/>
      <top style="thick">
        <color theme="1" tint="0.24994659260841701"/>
      </top>
      <bottom style="medium">
        <color theme="1" tint="0.24994659260841701"/>
      </bottom>
      <diagonal/>
    </border>
    <border>
      <left/>
      <right style="medium">
        <color theme="1" tint="0.24994659260841701"/>
      </right>
      <top style="thick">
        <color theme="1" tint="0.24994659260841701"/>
      </top>
      <bottom style="medium">
        <color theme="1" tint="0.24994659260841701"/>
      </bottom>
      <diagonal/>
    </border>
    <border>
      <left style="thin">
        <color theme="3" tint="0.59996337778862885"/>
      </left>
      <right/>
      <top style="thin">
        <color theme="3" tint="0.59996337778862885"/>
      </top>
      <bottom style="thin">
        <color auto="1"/>
      </bottom>
      <diagonal/>
    </border>
    <border>
      <left/>
      <right/>
      <top style="thin">
        <color theme="3" tint="0.59996337778862885"/>
      </top>
      <bottom style="thin">
        <color auto="1"/>
      </bottom>
      <diagonal/>
    </border>
    <border>
      <left/>
      <right style="thin">
        <color theme="3" tint="0.59996337778862885"/>
      </right>
      <top style="thin">
        <color theme="3" tint="0.59996337778862885"/>
      </top>
      <bottom style="thin">
        <color auto="1"/>
      </bottom>
      <diagonal/>
    </border>
    <border>
      <left style="medium">
        <color theme="3" tint="0.59996337778862885"/>
      </left>
      <right style="thin">
        <color theme="3" tint="0.59996337778862885"/>
      </right>
      <top style="thin">
        <color theme="3" tint="0.59996337778862885"/>
      </top>
      <bottom style="thin">
        <color theme="3" tint="0.59996337778862885"/>
      </bottom>
      <diagonal/>
    </border>
    <border>
      <left style="thick">
        <color auto="1"/>
      </left>
      <right/>
      <top/>
      <bottom style="medium">
        <color theme="1"/>
      </bottom>
      <diagonal/>
    </border>
    <border>
      <left/>
      <right style="medium">
        <color auto="1"/>
      </right>
      <top/>
      <bottom style="medium">
        <color theme="1"/>
      </bottom>
      <diagonal/>
    </border>
    <border>
      <left style="thin">
        <color auto="1"/>
      </left>
      <right style="medium">
        <color auto="1"/>
      </right>
      <top/>
      <bottom style="medium">
        <color theme="1"/>
      </bottom>
      <diagonal/>
    </border>
    <border>
      <left style="thick">
        <color auto="1"/>
      </left>
      <right style="thin">
        <color auto="1"/>
      </right>
      <top/>
      <bottom style="medium">
        <color theme="1"/>
      </bottom>
      <diagonal/>
    </border>
    <border>
      <left style="medium">
        <color auto="1"/>
      </left>
      <right/>
      <top/>
      <bottom style="medium">
        <color theme="1"/>
      </bottom>
      <diagonal/>
    </border>
    <border>
      <left/>
      <right style="thin">
        <color auto="1"/>
      </right>
      <top style="thick">
        <color theme="0" tint="-0.499984740745262"/>
      </top>
      <bottom style="thick">
        <color theme="0" tint="-0.499984740745262"/>
      </bottom>
      <diagonal/>
    </border>
    <border>
      <left/>
      <right style="thin">
        <color auto="1"/>
      </right>
      <top/>
      <bottom style="thick">
        <color theme="0" tint="-0.499984740745262"/>
      </bottom>
      <diagonal/>
    </border>
    <border>
      <left style="thin">
        <color auto="1"/>
      </left>
      <right style="thin">
        <color auto="1"/>
      </right>
      <top/>
      <bottom style="thick">
        <color theme="0" tint="-0.499984740745262"/>
      </bottom>
      <diagonal/>
    </border>
    <border>
      <left/>
      <right/>
      <top style="medium">
        <color theme="0" tint="-0.499984740745262"/>
      </top>
      <bottom/>
      <diagonal/>
    </border>
    <border>
      <left style="thin">
        <color auto="1"/>
      </left>
      <right style="thick">
        <color theme="0" tint="-0.499984740745262"/>
      </right>
      <top style="thick">
        <color theme="0" tint="-0.499984740745262"/>
      </top>
      <bottom style="thick">
        <color theme="0" tint="-0.499984740745262"/>
      </bottom>
      <diagonal/>
    </border>
    <border>
      <left style="thick">
        <color theme="0" tint="-0.499984740745262"/>
      </left>
      <right/>
      <top style="medium">
        <color theme="0" tint="-0.499984740745262"/>
      </top>
      <bottom/>
      <diagonal/>
    </border>
    <border>
      <left/>
      <right style="thick">
        <color theme="0" tint="-0.499984740745262"/>
      </right>
      <top style="medium">
        <color theme="0" tint="-0.499984740745262"/>
      </top>
      <bottom/>
      <diagonal/>
    </border>
    <border>
      <left/>
      <right style="thick">
        <color theme="0" tint="-0.499984740745262"/>
      </right>
      <top style="thick">
        <color rgb="FF00FF00"/>
      </top>
      <bottom style="thick">
        <color rgb="FF00FF00"/>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style="medium">
        <color theme="1"/>
      </top>
      <bottom style="thin">
        <color auto="1"/>
      </bottom>
      <diagonal/>
    </border>
    <border>
      <left style="medium">
        <color theme="8"/>
      </left>
      <right/>
      <top style="medium">
        <color theme="1"/>
      </top>
      <bottom style="thin">
        <color auto="1"/>
      </bottom>
      <diagonal/>
    </border>
    <border>
      <left/>
      <right style="medium">
        <color theme="8"/>
      </right>
      <top style="medium">
        <color theme="1"/>
      </top>
      <bottom style="thin">
        <color auto="1"/>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tint="-0.499984740745262"/>
      </left>
      <right style="thick">
        <color theme="0" tint="-0.499984740745262"/>
      </right>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top/>
      <bottom style="thick">
        <color theme="1" tint="0.499984740745262"/>
      </bottom>
      <diagonal/>
    </border>
    <border>
      <left style="thick">
        <color theme="0" tint="-0.499984740745262"/>
      </left>
      <right/>
      <top style="thick">
        <color theme="1" tint="0.499984740745262"/>
      </top>
      <bottom/>
      <diagonal/>
    </border>
    <border>
      <left style="thick">
        <color theme="1" tint="0.499984740745262"/>
      </left>
      <right/>
      <top style="thick">
        <color theme="0" tint="-0.499984740745262"/>
      </top>
      <bottom style="thick">
        <color theme="0" tint="-0.499984740745262"/>
      </bottom>
      <diagonal/>
    </border>
    <border>
      <left/>
      <right style="thin">
        <color rgb="FF000000"/>
      </right>
      <top style="thin">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right/>
      <top/>
      <bottom style="medium">
        <color theme="1"/>
      </bottom>
      <diagonal/>
    </border>
    <border>
      <left/>
      <right style="medium">
        <color theme="3" tint="0.39991454817346722"/>
      </right>
      <top style="medium">
        <color theme="1"/>
      </top>
      <bottom style="thin">
        <color auto="1"/>
      </bottom>
      <diagonal/>
    </border>
    <border>
      <left/>
      <right style="thin">
        <color auto="1"/>
      </right>
      <top style="medium">
        <color auto="1"/>
      </top>
      <bottom style="thin">
        <color auto="1"/>
      </bottom>
      <diagonal/>
    </border>
    <border>
      <left/>
      <right style="thin">
        <color auto="1"/>
      </right>
      <top/>
      <bottom style="medium">
        <color theme="1"/>
      </bottom>
      <diagonal/>
    </border>
    <border>
      <left style="thin">
        <color auto="1"/>
      </left>
      <right style="medium">
        <color theme="3" tint="0.39991454817346722"/>
      </right>
      <top style="medium">
        <color theme="1"/>
      </top>
      <bottom style="thin">
        <color auto="1"/>
      </bottom>
      <diagonal/>
    </border>
    <border>
      <left style="medium">
        <color theme="3" tint="0.39991454817346722"/>
      </left>
      <right style="thin">
        <color auto="1"/>
      </right>
      <top style="medium">
        <color theme="1"/>
      </top>
      <bottom style="thin">
        <color auto="1"/>
      </bottom>
      <diagonal/>
    </border>
    <border>
      <left style="thin">
        <color auto="1"/>
      </left>
      <right style="thin">
        <color auto="1"/>
      </right>
      <top style="medium">
        <color auto="1"/>
      </top>
      <bottom style="thin">
        <color auto="1"/>
      </bottom>
      <diagonal/>
    </border>
    <border>
      <left/>
      <right style="thick">
        <color auto="1"/>
      </right>
      <top style="thin">
        <color auto="1"/>
      </top>
      <bottom style="thin">
        <color auto="1"/>
      </bottom>
      <diagonal/>
    </border>
  </borders>
  <cellStyleXfs count="98">
    <xf numFmtId="0" fontId="0" fillId="0" borderId="0"/>
    <xf numFmtId="0" fontId="8" fillId="0" borderId="0" applyNumberFormat="0" applyFill="0" applyBorder="0" applyAlignment="0" applyProtection="0"/>
    <xf numFmtId="0" fontId="9" fillId="0" borderId="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9"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0" fontId="25" fillId="0" borderId="0"/>
    <xf numFmtId="43" fontId="40" fillId="0" borderId="0" applyFont="0" applyFill="0" applyBorder="0" applyAlignment="0" applyProtection="0"/>
    <xf numFmtId="44" fontId="40" fillId="0" borderId="0" applyFon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cellStyleXfs>
  <cellXfs count="2006">
    <xf numFmtId="0" fontId="0" fillId="0" borderId="0" xfId="0"/>
    <xf numFmtId="0" fontId="26" fillId="0" borderId="0" xfId="0" applyFont="1" applyFill="1" applyBorder="1"/>
    <xf numFmtId="0" fontId="26" fillId="0" borderId="0" xfId="0" applyFont="1" applyFill="1" applyBorder="1" applyAlignment="1">
      <alignment horizontal="center"/>
    </xf>
    <xf numFmtId="0" fontId="26" fillId="0" borderId="0" xfId="0" applyFont="1"/>
    <xf numFmtId="164" fontId="26" fillId="0" borderId="0" xfId="0" applyNumberFormat="1" applyFont="1"/>
    <xf numFmtId="0" fontId="26" fillId="0" borderId="0" xfId="0" applyFont="1" applyAlignment="1">
      <alignment horizontal="center"/>
    </xf>
    <xf numFmtId="0" fontId="26" fillId="0" borderId="0" xfId="0" applyFont="1" applyBorder="1"/>
    <xf numFmtId="0" fontId="26" fillId="42" borderId="0" xfId="0" applyFont="1" applyFill="1"/>
    <xf numFmtId="0" fontId="29" fillId="42" borderId="0" xfId="0" applyFont="1" applyFill="1"/>
    <xf numFmtId="0" fontId="29" fillId="42" borderId="0" xfId="0" applyFont="1" applyFill="1" applyAlignment="1">
      <alignment horizontal="center"/>
    </xf>
    <xf numFmtId="164" fontId="26" fillId="42" borderId="0" xfId="0" applyNumberFormat="1" applyFont="1" applyFill="1" applyAlignment="1">
      <alignment horizontal="center"/>
    </xf>
    <xf numFmtId="0" fontId="26" fillId="36" borderId="0" xfId="0" applyFont="1" applyFill="1"/>
    <xf numFmtId="164" fontId="26" fillId="36" borderId="0" xfId="0" applyNumberFormat="1" applyFont="1" applyFill="1" applyAlignment="1">
      <alignment horizontal="center"/>
    </xf>
    <xf numFmtId="0" fontId="26" fillId="36" borderId="0" xfId="0" applyNumberFormat="1" applyFont="1" applyFill="1"/>
    <xf numFmtId="0" fontId="26" fillId="36" borderId="0" xfId="0" applyNumberFormat="1" applyFont="1" applyFill="1" applyAlignment="1">
      <alignment horizontal="center"/>
    </xf>
    <xf numFmtId="0" fontId="26" fillId="36" borderId="0" xfId="0" applyFont="1" applyFill="1" applyAlignment="1">
      <alignment horizontal="center"/>
    </xf>
    <xf numFmtId="164" fontId="38" fillId="42" borderId="0" xfId="0" applyNumberFormat="1" applyFont="1" applyFill="1" applyAlignment="1">
      <alignment horizontal="center"/>
    </xf>
    <xf numFmtId="0" fontId="29" fillId="42" borderId="0" xfId="0" quotePrefix="1" applyFont="1" applyFill="1"/>
    <xf numFmtId="0" fontId="29" fillId="42" borderId="0" xfId="0" quotePrefix="1" applyFont="1" applyFill="1" applyAlignment="1">
      <alignment horizontal="center"/>
    </xf>
    <xf numFmtId="0" fontId="30" fillId="42" borderId="0" xfId="0" applyFont="1" applyFill="1" applyAlignment="1">
      <alignment horizontal="center"/>
    </xf>
    <xf numFmtId="0" fontId="31" fillId="42" borderId="0" xfId="0" applyFont="1" applyFill="1" applyAlignment="1">
      <alignment horizontal="center"/>
    </xf>
    <xf numFmtId="0" fontId="26" fillId="44" borderId="0" xfId="0" applyFont="1" applyFill="1"/>
    <xf numFmtId="164" fontId="26" fillId="44" borderId="0" xfId="0" applyNumberFormat="1" applyFont="1" applyFill="1" applyAlignment="1">
      <alignment horizontal="center"/>
    </xf>
    <xf numFmtId="0" fontId="26" fillId="44" borderId="0" xfId="0" applyNumberFormat="1" applyFont="1" applyFill="1"/>
    <xf numFmtId="0" fontId="26" fillId="44" borderId="0" xfId="0" applyNumberFormat="1" applyFont="1" applyFill="1" applyAlignment="1">
      <alignment horizontal="center"/>
    </xf>
    <xf numFmtId="0" fontId="26" fillId="45" borderId="0" xfId="0" applyFont="1" applyFill="1"/>
    <xf numFmtId="164" fontId="26" fillId="45" borderId="0" xfId="0" applyNumberFormat="1" applyFont="1" applyFill="1" applyAlignment="1">
      <alignment horizontal="center"/>
    </xf>
    <xf numFmtId="0" fontId="26" fillId="45" borderId="0" xfId="0" applyNumberFormat="1" applyFont="1" applyFill="1"/>
    <xf numFmtId="0" fontId="26" fillId="45" borderId="0" xfId="0" applyNumberFormat="1" applyFont="1" applyFill="1" applyAlignment="1">
      <alignment horizontal="center"/>
    </xf>
    <xf numFmtId="0" fontId="26" fillId="47" borderId="0" xfId="0" applyFont="1" applyFill="1"/>
    <xf numFmtId="164" fontId="26" fillId="47" borderId="0" xfId="0" applyNumberFormat="1" applyFont="1" applyFill="1" applyAlignment="1">
      <alignment horizontal="center"/>
    </xf>
    <xf numFmtId="0" fontId="26" fillId="47" borderId="0" xfId="0" applyNumberFormat="1" applyFont="1" applyFill="1"/>
    <xf numFmtId="0" fontId="26" fillId="47" borderId="0" xfId="0" applyNumberFormat="1" applyFont="1" applyFill="1" applyAlignment="1">
      <alignment horizontal="center"/>
    </xf>
    <xf numFmtId="164" fontId="26" fillId="48" borderId="0" xfId="0" applyNumberFormat="1" applyFont="1" applyFill="1" applyAlignment="1">
      <alignment horizontal="center"/>
    </xf>
    <xf numFmtId="0" fontId="26" fillId="48" borderId="0" xfId="0" applyNumberFormat="1" applyFont="1" applyFill="1"/>
    <xf numFmtId="0" fontId="26" fillId="48" borderId="0" xfId="0" applyNumberFormat="1" applyFont="1" applyFill="1" applyAlignment="1">
      <alignment horizontal="center"/>
    </xf>
    <xf numFmtId="0" fontId="26" fillId="48" borderId="0" xfId="0" applyFont="1" applyFill="1"/>
    <xf numFmtId="0" fontId="26" fillId="37" borderId="11" xfId="0" applyNumberFormat="1" applyFont="1" applyFill="1" applyBorder="1" applyAlignment="1">
      <alignment horizontal="center"/>
    </xf>
    <xf numFmtId="0" fontId="26" fillId="43" borderId="11" xfId="0" applyNumberFormat="1" applyFont="1" applyFill="1" applyBorder="1" applyAlignment="1">
      <alignment horizontal="center"/>
    </xf>
    <xf numFmtId="0" fontId="26" fillId="39" borderId="11" xfId="0" applyNumberFormat="1" applyFont="1" applyFill="1" applyBorder="1" applyAlignment="1">
      <alignment horizontal="center"/>
    </xf>
    <xf numFmtId="0" fontId="26" fillId="49" borderId="11" xfId="0" applyNumberFormat="1" applyFont="1" applyFill="1" applyBorder="1" applyAlignment="1">
      <alignment horizontal="center"/>
    </xf>
    <xf numFmtId="164" fontId="26" fillId="50" borderId="0" xfId="0" applyNumberFormat="1" applyFont="1" applyFill="1" applyAlignment="1">
      <alignment horizontal="center"/>
    </xf>
    <xf numFmtId="0" fontId="26" fillId="50" borderId="0" xfId="0" applyNumberFormat="1" applyFont="1" applyFill="1"/>
    <xf numFmtId="0" fontId="26" fillId="50" borderId="0" xfId="0" applyNumberFormat="1" applyFont="1" applyFill="1" applyAlignment="1">
      <alignment horizontal="center"/>
    </xf>
    <xf numFmtId="0" fontId="26" fillId="50" borderId="0" xfId="0" applyFont="1" applyFill="1"/>
    <xf numFmtId="0" fontId="26" fillId="40" borderId="11" xfId="0" applyNumberFormat="1" applyFont="1" applyFill="1" applyBorder="1" applyAlignment="1">
      <alignment horizontal="center"/>
    </xf>
    <xf numFmtId="0" fontId="36" fillId="48" borderId="0" xfId="0" applyFont="1" applyFill="1"/>
    <xf numFmtId="0" fontId="26" fillId="41" borderId="11" xfId="0" applyNumberFormat="1" applyFont="1" applyFill="1" applyBorder="1" applyAlignment="1">
      <alignment horizontal="center"/>
    </xf>
    <xf numFmtId="0" fontId="26" fillId="33" borderId="0" xfId="0" applyFont="1" applyFill="1"/>
    <xf numFmtId="0" fontId="26" fillId="41" borderId="0" xfId="0" applyFont="1" applyFill="1"/>
    <xf numFmtId="0" fontId="30" fillId="41" borderId="0" xfId="0" applyFont="1" applyFill="1" applyAlignment="1">
      <alignment horizontal="center"/>
    </xf>
    <xf numFmtId="0" fontId="31" fillId="41" borderId="0" xfId="0" applyFont="1" applyFill="1" applyAlignment="1">
      <alignment horizontal="center"/>
    </xf>
    <xf numFmtId="164" fontId="26" fillId="41" borderId="0" xfId="0" applyNumberFormat="1" applyFont="1" applyFill="1" applyAlignment="1">
      <alignment horizontal="center"/>
    </xf>
    <xf numFmtId="0" fontId="29" fillId="41" borderId="0" xfId="0" quotePrefix="1" applyFont="1" applyFill="1"/>
    <xf numFmtId="0" fontId="29" fillId="41" borderId="0" xfId="0" quotePrefix="1" applyFont="1" applyFill="1" applyAlignment="1">
      <alignment horizontal="center"/>
    </xf>
    <xf numFmtId="0" fontId="29" fillId="41" borderId="0" xfId="0" applyFont="1" applyFill="1" applyAlignment="1">
      <alignment horizontal="center"/>
    </xf>
    <xf numFmtId="0" fontId="26" fillId="0" borderId="0" xfId="0" applyFont="1" applyFill="1" applyBorder="1" applyAlignment="1"/>
    <xf numFmtId="167" fontId="38" fillId="41" borderId="0" xfId="0" applyNumberFormat="1" applyFont="1" applyFill="1" applyAlignment="1">
      <alignment horizontal="center"/>
    </xf>
    <xf numFmtId="0" fontId="26" fillId="46" borderId="0" xfId="0" applyFont="1" applyFill="1" applyBorder="1"/>
    <xf numFmtId="0" fontId="26" fillId="46" borderId="0" xfId="0" applyFont="1" applyFill="1" applyBorder="1" applyAlignment="1">
      <alignment horizontal="center"/>
    </xf>
    <xf numFmtId="0" fontId="26" fillId="46" borderId="0" xfId="0" applyFont="1" applyFill="1" applyBorder="1" applyAlignment="1"/>
    <xf numFmtId="0" fontId="27" fillId="0" borderId="0" xfId="0" applyFont="1"/>
    <xf numFmtId="0" fontId="32" fillId="36" borderId="0" xfId="0" applyFont="1" applyFill="1"/>
    <xf numFmtId="164" fontId="32" fillId="36" borderId="26" xfId="0" applyNumberFormat="1" applyFont="1" applyFill="1" applyBorder="1"/>
    <xf numFmtId="0" fontId="32" fillId="36" borderId="0" xfId="0" applyFont="1" applyFill="1" applyBorder="1"/>
    <xf numFmtId="167" fontId="32" fillId="36" borderId="23" xfId="0" applyNumberFormat="1" applyFont="1" applyFill="1" applyBorder="1"/>
    <xf numFmtId="167" fontId="32" fillId="36" borderId="0" xfId="0" applyNumberFormat="1" applyFont="1" applyFill="1" applyBorder="1"/>
    <xf numFmtId="167" fontId="32" fillId="36" borderId="24" xfId="0" applyNumberFormat="1" applyFont="1" applyFill="1" applyBorder="1"/>
    <xf numFmtId="167" fontId="32" fillId="36" borderId="25" xfId="0" applyNumberFormat="1" applyFont="1" applyFill="1" applyBorder="1"/>
    <xf numFmtId="164" fontId="32" fillId="36" borderId="0" xfId="0" applyNumberFormat="1" applyFont="1" applyFill="1" applyBorder="1"/>
    <xf numFmtId="0" fontId="32" fillId="36" borderId="29" xfId="0" applyFont="1" applyFill="1" applyBorder="1"/>
    <xf numFmtId="0" fontId="32" fillId="36" borderId="30" xfId="0" applyFont="1" applyFill="1" applyBorder="1"/>
    <xf numFmtId="0" fontId="32" fillId="36" borderId="31" xfId="0" applyFont="1" applyFill="1" applyBorder="1"/>
    <xf numFmtId="0" fontId="26" fillId="36" borderId="36" xfId="0" applyFont="1" applyFill="1" applyBorder="1" applyAlignment="1">
      <alignment horizontal="left"/>
    </xf>
    <xf numFmtId="0" fontId="32" fillId="36" borderId="31" xfId="0" applyFont="1" applyFill="1" applyBorder="1" applyAlignment="1">
      <alignment horizontal="center"/>
    </xf>
    <xf numFmtId="0" fontId="32" fillId="36" borderId="30" xfId="0" applyFont="1" applyFill="1" applyBorder="1" applyAlignment="1">
      <alignment horizontal="center"/>
    </xf>
    <xf numFmtId="0" fontId="26" fillId="36" borderId="33" xfId="0" applyFont="1" applyFill="1" applyBorder="1" applyAlignment="1">
      <alignment horizontal="left"/>
    </xf>
    <xf numFmtId="0" fontId="26" fillId="36" borderId="31" xfId="0" applyFont="1" applyFill="1" applyBorder="1"/>
    <xf numFmtId="0" fontId="26" fillId="36" borderId="32" xfId="0" applyFont="1" applyFill="1" applyBorder="1"/>
    <xf numFmtId="0" fontId="32" fillId="36" borderId="38" xfId="0" applyFont="1" applyFill="1" applyBorder="1"/>
    <xf numFmtId="0" fontId="32" fillId="36" borderId="37" xfId="0" applyFont="1" applyFill="1" applyBorder="1" applyAlignment="1">
      <alignment horizontal="left"/>
    </xf>
    <xf numFmtId="0" fontId="32" fillId="36" borderId="39" xfId="0" applyFont="1" applyFill="1" applyBorder="1"/>
    <xf numFmtId="0" fontId="32" fillId="36" borderId="39" xfId="0" applyFont="1" applyFill="1" applyBorder="1" applyAlignment="1">
      <alignment horizontal="center"/>
    </xf>
    <xf numFmtId="164" fontId="32" fillId="36" borderId="39" xfId="0" applyNumberFormat="1" applyFont="1" applyFill="1" applyBorder="1" applyAlignment="1">
      <alignment horizontal="right"/>
    </xf>
    <xf numFmtId="0" fontId="48" fillId="36" borderId="0" xfId="0" applyFont="1" applyFill="1" applyBorder="1"/>
    <xf numFmtId="0" fontId="49" fillId="36" borderId="0" xfId="0" applyFont="1" applyFill="1" applyBorder="1" applyAlignment="1">
      <alignment horizontal="center"/>
    </xf>
    <xf numFmtId="0" fontId="48" fillId="36" borderId="23" xfId="0" applyFont="1" applyFill="1" applyBorder="1"/>
    <xf numFmtId="0" fontId="48" fillId="36" borderId="33" xfId="0" applyFont="1" applyFill="1" applyBorder="1"/>
    <xf numFmtId="164" fontId="32" fillId="36" borderId="0" xfId="0" applyNumberFormat="1" applyFont="1" applyFill="1" applyBorder="1" applyAlignment="1">
      <alignment horizontal="center"/>
    </xf>
    <xf numFmtId="164" fontId="32" fillId="36" borderId="19" xfId="0" applyNumberFormat="1" applyFont="1" applyFill="1" applyBorder="1" applyAlignment="1">
      <alignment horizontal="center"/>
    </xf>
    <xf numFmtId="0" fontId="43" fillId="36" borderId="0" xfId="0" applyFont="1" applyFill="1" applyBorder="1"/>
    <xf numFmtId="164" fontId="32" fillId="36" borderId="23" xfId="0" applyNumberFormat="1" applyFont="1" applyFill="1" applyBorder="1"/>
    <xf numFmtId="0" fontId="43" fillId="36" borderId="35" xfId="0" applyFont="1" applyFill="1" applyBorder="1"/>
    <xf numFmtId="0" fontId="32" fillId="36" borderId="34" xfId="0" applyFont="1" applyFill="1" applyBorder="1"/>
    <xf numFmtId="0" fontId="32" fillId="36" borderId="35" xfId="0" applyFont="1" applyFill="1" applyBorder="1"/>
    <xf numFmtId="164" fontId="32" fillId="36" borderId="35" xfId="0" applyNumberFormat="1" applyFont="1" applyFill="1" applyBorder="1"/>
    <xf numFmtId="0" fontId="32" fillId="36" borderId="28" xfId="0" applyFont="1" applyFill="1" applyBorder="1"/>
    <xf numFmtId="0" fontId="32" fillId="36" borderId="37" xfId="0" applyFont="1" applyFill="1" applyBorder="1"/>
    <xf numFmtId="0" fontId="32" fillId="36" borderId="37" xfId="0" applyFont="1" applyFill="1" applyBorder="1" applyAlignment="1">
      <alignment horizontal="center"/>
    </xf>
    <xf numFmtId="0" fontId="32" fillId="36" borderId="35" xfId="0" applyFont="1" applyFill="1" applyBorder="1" applyAlignment="1">
      <alignment horizontal="center"/>
    </xf>
    <xf numFmtId="0" fontId="32" fillId="36" borderId="35" xfId="0" applyFont="1" applyFill="1" applyBorder="1" applyAlignment="1">
      <alignment horizontal="center" vertical="center"/>
    </xf>
    <xf numFmtId="0" fontId="32" fillId="36" borderId="34" xfId="0" applyFont="1" applyFill="1" applyBorder="1" applyAlignment="1">
      <alignment horizontal="center"/>
    </xf>
    <xf numFmtId="0" fontId="32" fillId="36" borderId="34" xfId="0" applyFont="1" applyFill="1" applyBorder="1" applyAlignment="1">
      <alignment horizontal="center" vertical="center"/>
    </xf>
    <xf numFmtId="0" fontId="26" fillId="36" borderId="0" xfId="0" applyFont="1" applyFill="1" applyBorder="1"/>
    <xf numFmtId="0" fontId="26" fillId="36" borderId="33" xfId="0" applyFont="1" applyFill="1" applyBorder="1"/>
    <xf numFmtId="0" fontId="32" fillId="36" borderId="28" xfId="0" applyFont="1" applyFill="1" applyBorder="1" applyAlignment="1">
      <alignment horizontal="center"/>
    </xf>
    <xf numFmtId="164" fontId="32" fillId="36" borderId="0" xfId="0" applyNumberFormat="1" applyFont="1" applyFill="1" applyBorder="1" applyAlignment="1"/>
    <xf numFmtId="164" fontId="32" fillId="36" borderId="30" xfId="0" applyNumberFormat="1" applyFont="1" applyFill="1" applyBorder="1" applyAlignment="1">
      <alignment horizontal="center"/>
    </xf>
    <xf numFmtId="164" fontId="47" fillId="36" borderId="0" xfId="0" applyNumberFormat="1" applyFont="1" applyFill="1" applyBorder="1" applyAlignment="1">
      <alignment horizontal="center"/>
    </xf>
    <xf numFmtId="0" fontId="26" fillId="36" borderId="33" xfId="0" applyFont="1" applyFill="1" applyBorder="1" applyAlignment="1">
      <alignment horizontal="center"/>
    </xf>
    <xf numFmtId="0" fontId="28" fillId="34" borderId="28" xfId="0" applyFont="1" applyFill="1" applyBorder="1" applyAlignment="1">
      <alignment horizontal="center"/>
    </xf>
    <xf numFmtId="0" fontId="32" fillId="36" borderId="28" xfId="0" applyFont="1" applyFill="1" applyBorder="1" applyAlignment="1">
      <alignment horizontal="left"/>
    </xf>
    <xf numFmtId="164" fontId="32" fillId="36" borderId="28" xfId="0" applyNumberFormat="1" applyFont="1" applyFill="1" applyBorder="1" applyAlignment="1">
      <alignment horizontal="center"/>
    </xf>
    <xf numFmtId="3" fontId="32" fillId="52" borderId="28" xfId="0" applyNumberFormat="1" applyFont="1" applyFill="1" applyBorder="1" applyAlignment="1">
      <alignment horizontal="center"/>
    </xf>
    <xf numFmtId="0" fontId="32" fillId="52" borderId="38" xfId="0" applyFont="1" applyFill="1" applyBorder="1" applyAlignment="1">
      <alignment horizontal="centerContinuous"/>
    </xf>
    <xf numFmtId="0" fontId="32" fillId="52" borderId="39" xfId="0" applyFont="1" applyFill="1" applyBorder="1" applyAlignment="1">
      <alignment horizontal="centerContinuous"/>
    </xf>
    <xf numFmtId="0" fontId="32" fillId="52" borderId="37" xfId="0" applyFont="1" applyFill="1" applyBorder="1" applyAlignment="1">
      <alignment horizontal="centerContinuous"/>
    </xf>
    <xf numFmtId="0" fontId="48" fillId="36" borderId="45" xfId="0" applyFont="1" applyFill="1" applyBorder="1"/>
    <xf numFmtId="164" fontId="32" fillId="36" borderId="45" xfId="0" applyNumberFormat="1" applyFont="1" applyFill="1" applyBorder="1" applyAlignment="1">
      <alignment horizontal="center"/>
    </xf>
    <xf numFmtId="164" fontId="32" fillId="36" borderId="46" xfId="0" applyNumberFormat="1" applyFont="1" applyFill="1" applyBorder="1" applyAlignment="1">
      <alignment horizontal="center"/>
    </xf>
    <xf numFmtId="0" fontId="26" fillId="0" borderId="0" xfId="0" applyFont="1" applyFill="1"/>
    <xf numFmtId="0" fontId="26" fillId="50" borderId="0" xfId="0" applyFont="1" applyFill="1" applyAlignment="1">
      <alignment horizontal="center"/>
    </xf>
    <xf numFmtId="164" fontId="26" fillId="50" borderId="0" xfId="0" applyNumberFormat="1" applyFont="1" applyFill="1"/>
    <xf numFmtId="0" fontId="37" fillId="50" borderId="0" xfId="0" applyFont="1" applyFill="1" applyBorder="1" applyAlignment="1">
      <alignment horizontal="center"/>
    </xf>
    <xf numFmtId="0" fontId="26" fillId="50" borderId="0" xfId="0" applyFont="1" applyFill="1" applyBorder="1"/>
    <xf numFmtId="164" fontId="26" fillId="50" borderId="0" xfId="0" applyNumberFormat="1" applyFont="1" applyFill="1" applyBorder="1"/>
    <xf numFmtId="0" fontId="51" fillId="50" borderId="0" xfId="0" applyFont="1" applyFill="1" applyBorder="1" applyAlignment="1">
      <alignment horizontal="center" vertical="center"/>
    </xf>
    <xf numFmtId="0" fontId="32" fillId="50" borderId="0" xfId="0" applyFont="1" applyFill="1" applyBorder="1" applyAlignment="1">
      <alignment horizontal="left"/>
    </xf>
    <xf numFmtId="0" fontId="26" fillId="50" borderId="0" xfId="0" applyFont="1" applyFill="1" applyBorder="1" applyAlignment="1">
      <alignment horizontal="left"/>
    </xf>
    <xf numFmtId="0" fontId="48" fillId="50" borderId="0" xfId="0" applyFont="1" applyFill="1" applyBorder="1"/>
    <xf numFmtId="164" fontId="32" fillId="50" borderId="0" xfId="0" applyNumberFormat="1" applyFont="1" applyFill="1" applyBorder="1"/>
    <xf numFmtId="164" fontId="32" fillId="50" borderId="0" xfId="0" applyNumberFormat="1" applyFont="1" applyFill="1" applyBorder="1" applyAlignment="1">
      <alignment horizontal="center"/>
    </xf>
    <xf numFmtId="164" fontId="32" fillId="36" borderId="47" xfId="0" applyNumberFormat="1" applyFont="1" applyFill="1" applyBorder="1" applyAlignment="1">
      <alignment horizontal="center"/>
    </xf>
    <xf numFmtId="164" fontId="32" fillId="36" borderId="18" xfId="0" applyNumberFormat="1" applyFont="1" applyFill="1" applyBorder="1" applyAlignment="1">
      <alignment horizontal="center"/>
    </xf>
    <xf numFmtId="164" fontId="32" fillId="36" borderId="27" xfId="0" applyNumberFormat="1" applyFont="1" applyFill="1" applyBorder="1" applyAlignment="1">
      <alignment horizontal="center"/>
    </xf>
    <xf numFmtId="167" fontId="32" fillId="36" borderId="30" xfId="0" applyNumberFormat="1" applyFont="1" applyFill="1" applyBorder="1"/>
    <xf numFmtId="0" fontId="0" fillId="48" borderId="0" xfId="0" applyFill="1"/>
    <xf numFmtId="0" fontId="45" fillId="48" borderId="0" xfId="0" applyFont="1" applyFill="1"/>
    <xf numFmtId="0" fontId="46" fillId="48" borderId="0" xfId="0" applyFont="1" applyFill="1"/>
    <xf numFmtId="0" fontId="0" fillId="50" borderId="0" xfId="0" applyFill="1"/>
    <xf numFmtId="0" fontId="52" fillId="50" borderId="0" xfId="0" applyFont="1" applyFill="1"/>
    <xf numFmtId="0" fontId="41" fillId="50" borderId="0" xfId="0" applyFont="1" applyFill="1"/>
    <xf numFmtId="0" fontId="53" fillId="0" borderId="0" xfId="0" applyFont="1"/>
    <xf numFmtId="164" fontId="53" fillId="0" borderId="0" xfId="0" applyNumberFormat="1" applyFont="1"/>
    <xf numFmtId="164" fontId="53" fillId="0" borderId="11" xfId="0" applyNumberFormat="1" applyFont="1" applyBorder="1"/>
    <xf numFmtId="164" fontId="53" fillId="0" borderId="15" xfId="0" applyNumberFormat="1" applyFont="1" applyBorder="1" applyAlignment="1">
      <alignment horizontal="center"/>
    </xf>
    <xf numFmtId="164" fontId="53" fillId="33" borderId="0" xfId="0" applyNumberFormat="1" applyFont="1" applyFill="1" applyBorder="1"/>
    <xf numFmtId="164" fontId="53" fillId="33" borderId="23" xfId="0" applyNumberFormat="1" applyFont="1" applyFill="1" applyBorder="1"/>
    <xf numFmtId="0" fontId="53" fillId="33" borderId="26" xfId="0" applyFont="1" applyFill="1" applyBorder="1"/>
    <xf numFmtId="164" fontId="53" fillId="33" borderId="26" xfId="0" applyNumberFormat="1" applyFont="1" applyFill="1" applyBorder="1"/>
    <xf numFmtId="0" fontId="53" fillId="33" borderId="26" xfId="0" applyNumberFormat="1" applyFont="1" applyFill="1" applyBorder="1"/>
    <xf numFmtId="0" fontId="53" fillId="33" borderId="0" xfId="0" applyNumberFormat="1" applyFont="1" applyFill="1" applyBorder="1"/>
    <xf numFmtId="0" fontId="53" fillId="33" borderId="23" xfId="0" applyNumberFormat="1" applyFont="1" applyFill="1" applyBorder="1"/>
    <xf numFmtId="164" fontId="53" fillId="33" borderId="0" xfId="0" applyNumberFormat="1" applyFont="1" applyFill="1"/>
    <xf numFmtId="164" fontId="53" fillId="33" borderId="15" xfId="0" applyNumberFormat="1" applyFont="1" applyFill="1" applyBorder="1"/>
    <xf numFmtId="164" fontId="53" fillId="33" borderId="22" xfId="0" applyNumberFormat="1" applyFont="1" applyFill="1" applyBorder="1"/>
    <xf numFmtId="164" fontId="53" fillId="33" borderId="16" xfId="0" applyNumberFormat="1" applyFont="1" applyFill="1" applyBorder="1"/>
    <xf numFmtId="0" fontId="53" fillId="33" borderId="15" xfId="0" applyNumberFormat="1" applyFont="1" applyFill="1" applyBorder="1"/>
    <xf numFmtId="0" fontId="53" fillId="33" borderId="22" xfId="0" applyNumberFormat="1" applyFont="1" applyFill="1" applyBorder="1"/>
    <xf numFmtId="0" fontId="53" fillId="33" borderId="16" xfId="0" applyNumberFormat="1" applyFont="1" applyFill="1" applyBorder="1"/>
    <xf numFmtId="0" fontId="53" fillId="0" borderId="0" xfId="0" applyFont="1" applyFill="1" applyBorder="1"/>
    <xf numFmtId="164" fontId="30" fillId="0" borderId="0" xfId="0" applyNumberFormat="1" applyFont="1" applyFill="1" applyBorder="1"/>
    <xf numFmtId="164" fontId="53" fillId="36" borderId="0" xfId="0" applyNumberFormat="1" applyFont="1" applyFill="1"/>
    <xf numFmtId="164" fontId="31" fillId="33" borderId="0" xfId="0" applyNumberFormat="1" applyFont="1" applyFill="1"/>
    <xf numFmtId="165" fontId="32" fillId="36" borderId="0" xfId="0" applyNumberFormat="1" applyFont="1" applyFill="1" applyBorder="1"/>
    <xf numFmtId="164" fontId="32" fillId="36" borderId="31" xfId="0" applyNumberFormat="1" applyFont="1" applyFill="1" applyBorder="1"/>
    <xf numFmtId="0" fontId="26" fillId="38" borderId="0" xfId="0" applyFont="1" applyFill="1"/>
    <xf numFmtId="0" fontId="56" fillId="0" borderId="0" xfId="0" applyNumberFormat="1" applyFont="1" applyFill="1" applyBorder="1" applyAlignment="1" applyProtection="1"/>
    <xf numFmtId="0" fontId="56" fillId="0" borderId="0" xfId="44" applyNumberFormat="1" applyFont="1" applyFill="1" applyBorder="1" applyAlignment="1" applyProtection="1">
      <alignment horizontal="right"/>
    </xf>
    <xf numFmtId="49" fontId="56" fillId="0" borderId="0" xfId="44" applyNumberFormat="1" applyFont="1" applyFill="1" applyBorder="1" applyAlignment="1" applyProtection="1"/>
    <xf numFmtId="3" fontId="56" fillId="0" borderId="0" xfId="44" applyNumberFormat="1" applyFont="1" applyFill="1" applyBorder="1" applyAlignment="1" applyProtection="1"/>
    <xf numFmtId="0" fontId="53" fillId="36" borderId="0" xfId="0" applyFont="1" applyFill="1"/>
    <xf numFmtId="0" fontId="53" fillId="48" borderId="0" xfId="0" applyFont="1" applyFill="1"/>
    <xf numFmtId="0" fontId="57" fillId="48" borderId="28" xfId="0" applyFont="1" applyFill="1" applyBorder="1" applyAlignment="1">
      <alignment horizontal="center"/>
    </xf>
    <xf numFmtId="0" fontId="57" fillId="48" borderId="38" xfId="0" applyFont="1" applyFill="1" applyBorder="1" applyAlignment="1">
      <alignment horizontal="right"/>
    </xf>
    <xf numFmtId="0" fontId="57" fillId="48" borderId="37" xfId="0" applyFont="1" applyFill="1" applyBorder="1"/>
    <xf numFmtId="0" fontId="57" fillId="48" borderId="0" xfId="0" applyFont="1" applyFill="1"/>
    <xf numFmtId="0" fontId="58" fillId="48" borderId="0" xfId="0" applyFont="1" applyFill="1"/>
    <xf numFmtId="0" fontId="57" fillId="48" borderId="39" xfId="0" applyFont="1" applyFill="1" applyBorder="1"/>
    <xf numFmtId="0" fontId="57" fillId="48" borderId="37" xfId="0" applyFont="1" applyFill="1" applyBorder="1" applyAlignment="1">
      <alignment horizontal="left"/>
    </xf>
    <xf numFmtId="0" fontId="57" fillId="48" borderId="38" xfId="0" applyFont="1" applyFill="1" applyBorder="1"/>
    <xf numFmtId="0" fontId="57" fillId="48" borderId="38" xfId="0" applyFont="1" applyFill="1" applyBorder="1" applyAlignment="1">
      <alignment horizontal="centerContinuous"/>
    </xf>
    <xf numFmtId="0" fontId="57" fillId="48" borderId="37" xfId="0" applyFont="1" applyFill="1" applyBorder="1" applyAlignment="1">
      <alignment horizontal="centerContinuous"/>
    </xf>
    <xf numFmtId="0" fontId="57" fillId="48" borderId="30" xfId="0" applyFont="1" applyFill="1" applyBorder="1"/>
    <xf numFmtId="0" fontId="57" fillId="48" borderId="34" xfId="0" applyFont="1" applyFill="1" applyBorder="1"/>
    <xf numFmtId="0" fontId="57" fillId="48" borderId="39" xfId="0" applyFont="1" applyFill="1" applyBorder="1" applyAlignment="1">
      <alignment horizontal="centerContinuous"/>
    </xf>
    <xf numFmtId="0" fontId="28" fillId="37" borderId="11" xfId="0" applyNumberFormat="1" applyFont="1" applyFill="1" applyBorder="1" applyAlignment="1">
      <alignment horizontal="center"/>
    </xf>
    <xf numFmtId="0" fontId="28" fillId="37" borderId="11" xfId="0" applyNumberFormat="1" applyFont="1" applyFill="1" applyBorder="1"/>
    <xf numFmtId="0" fontId="28" fillId="37" borderId="11" xfId="0" applyFont="1" applyFill="1" applyBorder="1"/>
    <xf numFmtId="0" fontId="36" fillId="37" borderId="11" xfId="0" applyNumberFormat="1" applyFont="1" applyFill="1" applyBorder="1" applyAlignment="1">
      <alignment horizontal="center"/>
    </xf>
    <xf numFmtId="0" fontId="28" fillId="43" borderId="11" xfId="0" applyNumberFormat="1" applyFont="1" applyFill="1" applyBorder="1" applyAlignment="1">
      <alignment horizontal="center"/>
    </xf>
    <xf numFmtId="0" fontId="28" fillId="43" borderId="11" xfId="0" applyNumberFormat="1" applyFont="1" applyFill="1" applyBorder="1"/>
    <xf numFmtId="0" fontId="28" fillId="43" borderId="11" xfId="0" applyFont="1" applyFill="1" applyBorder="1"/>
    <xf numFmtId="0" fontId="28" fillId="41" borderId="11" xfId="0" applyNumberFormat="1" applyFont="1" applyFill="1" applyBorder="1" applyAlignment="1">
      <alignment horizontal="center"/>
    </xf>
    <xf numFmtId="0" fontId="28" fillId="41" borderId="11" xfId="0" applyNumberFormat="1" applyFont="1" applyFill="1" applyBorder="1"/>
    <xf numFmtId="0" fontId="28" fillId="41" borderId="11" xfId="0" applyFont="1" applyFill="1" applyBorder="1"/>
    <xf numFmtId="0" fontId="28" fillId="39" borderId="11" xfId="0" applyNumberFormat="1" applyFont="1" applyFill="1" applyBorder="1" applyAlignment="1">
      <alignment horizontal="center"/>
    </xf>
    <xf numFmtId="0" fontId="28" fillId="39" borderId="11" xfId="0" applyNumberFormat="1" applyFont="1" applyFill="1" applyBorder="1"/>
    <xf numFmtId="0" fontId="28" fillId="39" borderId="11" xfId="0" applyFont="1" applyFill="1" applyBorder="1"/>
    <xf numFmtId="0" fontId="28" fillId="49" borderId="11" xfId="0" applyNumberFormat="1" applyFont="1" applyFill="1" applyBorder="1" applyAlignment="1">
      <alignment horizontal="center"/>
    </xf>
    <xf numFmtId="0" fontId="28" fillId="49" borderId="11" xfId="0" applyNumberFormat="1" applyFont="1" applyFill="1" applyBorder="1"/>
    <xf numFmtId="0" fontId="28" fillId="49" borderId="11" xfId="0" applyFont="1" applyFill="1" applyBorder="1"/>
    <xf numFmtId="0" fontId="28" fillId="40" borderId="11" xfId="0" applyNumberFormat="1" applyFont="1" applyFill="1" applyBorder="1" applyAlignment="1">
      <alignment horizontal="center"/>
    </xf>
    <xf numFmtId="0" fontId="28" fillId="40" borderId="11" xfId="0" applyNumberFormat="1" applyFont="1" applyFill="1" applyBorder="1"/>
    <xf numFmtId="0" fontId="28" fillId="40" borderId="11" xfId="0" applyFont="1" applyFill="1" applyBorder="1"/>
    <xf numFmtId="165" fontId="32" fillId="36" borderId="0" xfId="0" applyNumberFormat="1" applyFont="1" applyFill="1" applyBorder="1" applyAlignment="1">
      <alignment horizontal="center"/>
    </xf>
    <xf numFmtId="0" fontId="32" fillId="36" borderId="48" xfId="0" applyFont="1" applyFill="1" applyBorder="1"/>
    <xf numFmtId="0" fontId="32" fillId="36" borderId="45" xfId="0" applyFont="1" applyFill="1" applyBorder="1"/>
    <xf numFmtId="0" fontId="32" fillId="36" borderId="45" xfId="0" applyFont="1" applyFill="1" applyBorder="1" applyAlignment="1">
      <alignment horizontal="center"/>
    </xf>
    <xf numFmtId="0" fontId="32" fillId="36" borderId="49" xfId="0" applyFont="1" applyFill="1" applyBorder="1" applyAlignment="1">
      <alignment horizontal="center"/>
    </xf>
    <xf numFmtId="0" fontId="47" fillId="36" borderId="35" xfId="0" applyFont="1" applyFill="1" applyBorder="1" applyAlignment="1">
      <alignment horizontal="center"/>
    </xf>
    <xf numFmtId="164" fontId="47" fillId="36" borderId="35" xfId="0" applyNumberFormat="1" applyFont="1" applyFill="1" applyBorder="1" applyAlignment="1">
      <alignment horizontal="center"/>
    </xf>
    <xf numFmtId="0" fontId="43" fillId="36" borderId="31" xfId="0" applyFont="1" applyFill="1" applyBorder="1" applyAlignment="1">
      <alignment horizontal="center"/>
    </xf>
    <xf numFmtId="0" fontId="26" fillId="36" borderId="32" xfId="0" applyFont="1" applyFill="1" applyBorder="1" applyAlignment="1">
      <alignment horizontal="center"/>
    </xf>
    <xf numFmtId="0" fontId="26" fillId="36" borderId="36" xfId="0" applyFont="1" applyFill="1" applyBorder="1"/>
    <xf numFmtId="0" fontId="49" fillId="36" borderId="31" xfId="0" applyFont="1" applyFill="1" applyBorder="1" applyAlignment="1">
      <alignment horizontal="center"/>
    </xf>
    <xf numFmtId="0" fontId="49" fillId="36" borderId="0" xfId="0" applyFont="1" applyFill="1" applyBorder="1" applyAlignment="1"/>
    <xf numFmtId="0" fontId="48" fillId="36" borderId="31" xfId="0" applyFont="1" applyFill="1" applyBorder="1" applyAlignment="1"/>
    <xf numFmtId="0" fontId="48" fillId="36" borderId="0" xfId="0" applyFont="1" applyFill="1" applyBorder="1" applyAlignment="1"/>
    <xf numFmtId="164" fontId="47" fillId="36" borderId="0" xfId="0" applyNumberFormat="1" applyFont="1" applyFill="1" applyBorder="1" applyAlignment="1"/>
    <xf numFmtId="164" fontId="32" fillId="36" borderId="31" xfId="0" applyNumberFormat="1" applyFont="1" applyFill="1" applyBorder="1" applyAlignment="1"/>
    <xf numFmtId="0" fontId="26" fillId="36" borderId="31" xfId="0" applyFont="1" applyFill="1" applyBorder="1" applyAlignment="1">
      <alignment horizontal="center"/>
    </xf>
    <xf numFmtId="0" fontId="26" fillId="36" borderId="35" xfId="0" applyFont="1" applyFill="1" applyBorder="1"/>
    <xf numFmtId="0" fontId="48" fillId="36" borderId="31" xfId="0" applyFont="1" applyFill="1" applyBorder="1" applyAlignment="1">
      <alignment horizontal="center"/>
    </xf>
    <xf numFmtId="0" fontId="48" fillId="36" borderId="31" xfId="0" applyFont="1" applyFill="1" applyBorder="1"/>
    <xf numFmtId="165" fontId="26" fillId="36" borderId="33" xfId="0" applyNumberFormat="1" applyFont="1" applyFill="1" applyBorder="1"/>
    <xf numFmtId="165" fontId="26" fillId="36" borderId="36" xfId="0" applyNumberFormat="1" applyFont="1" applyFill="1" applyBorder="1" applyAlignment="1">
      <alignment horizontal="center"/>
    </xf>
    <xf numFmtId="164" fontId="30" fillId="54" borderId="18" xfId="0" applyNumberFormat="1" applyFont="1" applyFill="1" applyBorder="1"/>
    <xf numFmtId="164" fontId="30" fillId="54" borderId="21" xfId="0" applyNumberFormat="1" applyFont="1" applyFill="1" applyBorder="1"/>
    <xf numFmtId="164" fontId="30" fillId="54" borderId="19" xfId="0" applyNumberFormat="1" applyFont="1" applyFill="1" applyBorder="1"/>
    <xf numFmtId="167" fontId="30" fillId="54" borderId="18" xfId="0" applyNumberFormat="1" applyFont="1" applyFill="1" applyBorder="1"/>
    <xf numFmtId="167" fontId="53" fillId="33" borderId="0" xfId="0" applyNumberFormat="1" applyFont="1" applyFill="1" applyBorder="1"/>
    <xf numFmtId="167" fontId="30" fillId="54" borderId="21" xfId="0" applyNumberFormat="1" applyFont="1" applyFill="1" applyBorder="1"/>
    <xf numFmtId="167" fontId="53" fillId="33" borderId="23" xfId="0" applyNumberFormat="1" applyFont="1" applyFill="1" applyBorder="1"/>
    <xf numFmtId="167" fontId="30" fillId="54" borderId="19" xfId="0" applyNumberFormat="1" applyFont="1" applyFill="1" applyBorder="1"/>
    <xf numFmtId="0" fontId="47" fillId="36" borderId="39" xfId="0" applyFont="1" applyFill="1" applyBorder="1" applyAlignment="1">
      <alignment horizontal="center"/>
    </xf>
    <xf numFmtId="167" fontId="47" fillId="36" borderId="35" xfId="0" applyNumberFormat="1" applyFont="1" applyFill="1" applyBorder="1" applyAlignment="1">
      <alignment horizontal="center"/>
    </xf>
    <xf numFmtId="0" fontId="26" fillId="36" borderId="36" xfId="0" applyFont="1" applyFill="1" applyBorder="1" applyAlignment="1">
      <alignment horizontal="center"/>
    </xf>
    <xf numFmtId="165" fontId="26" fillId="36" borderId="33" xfId="0" applyNumberFormat="1" applyFont="1" applyFill="1" applyBorder="1" applyAlignment="1">
      <alignment horizontal="center"/>
    </xf>
    <xf numFmtId="167" fontId="32" fillId="36" borderId="31" xfId="0" applyNumberFormat="1" applyFont="1" applyFill="1" applyBorder="1"/>
    <xf numFmtId="167" fontId="26" fillId="37" borderId="11" xfId="0" applyNumberFormat="1" applyFont="1" applyFill="1" applyBorder="1" applyAlignment="1">
      <alignment horizontal="center"/>
    </xf>
    <xf numFmtId="0" fontId="26" fillId="46" borderId="0" xfId="0" applyFont="1" applyFill="1"/>
    <xf numFmtId="0" fontId="26" fillId="46" borderId="0" xfId="0" applyFont="1" applyFill="1" applyAlignment="1">
      <alignment horizontal="center"/>
    </xf>
    <xf numFmtId="0" fontId="59" fillId="36" borderId="33" xfId="0" applyFont="1" applyFill="1" applyBorder="1" applyAlignment="1">
      <alignment horizontal="center"/>
    </xf>
    <xf numFmtId="165" fontId="59" fillId="36" borderId="32" xfId="0" applyNumberFormat="1" applyFont="1" applyFill="1" applyBorder="1"/>
    <xf numFmtId="0" fontId="59" fillId="36" borderId="32" xfId="0" applyFont="1" applyFill="1" applyBorder="1"/>
    <xf numFmtId="0" fontId="59" fillId="36" borderId="32" xfId="0" applyFont="1" applyFill="1" applyBorder="1" applyAlignment="1">
      <alignment horizontal="center"/>
    </xf>
    <xf numFmtId="167" fontId="53" fillId="33" borderId="26" xfId="0" applyNumberFormat="1" applyFont="1" applyFill="1" applyBorder="1"/>
    <xf numFmtId="0" fontId="53" fillId="33" borderId="0" xfId="0" applyFont="1" applyFill="1" applyBorder="1"/>
    <xf numFmtId="0" fontId="26" fillId="38" borderId="0" xfId="0" applyFont="1" applyFill="1" applyAlignment="1">
      <alignment horizontal="center"/>
    </xf>
    <xf numFmtId="0" fontId="26" fillId="38" borderId="0" xfId="0" applyFont="1" applyFill="1" applyBorder="1" applyAlignment="1">
      <alignment horizontal="center"/>
    </xf>
    <xf numFmtId="0" fontId="0" fillId="50" borderId="0" xfId="0" applyFill="1" applyAlignment="1"/>
    <xf numFmtId="0" fontId="57" fillId="50" borderId="28" xfId="0" applyFont="1" applyFill="1" applyBorder="1" applyAlignment="1">
      <alignment horizontal="center"/>
    </xf>
    <xf numFmtId="0" fontId="57" fillId="50" borderId="38" xfId="0" applyFont="1" applyFill="1" applyBorder="1" applyAlignment="1">
      <alignment horizontal="right"/>
    </xf>
    <xf numFmtId="0" fontId="57" fillId="50" borderId="37" xfId="0" applyFont="1" applyFill="1" applyBorder="1"/>
    <xf numFmtId="0" fontId="57" fillId="50" borderId="39" xfId="0" applyFont="1" applyFill="1" applyBorder="1"/>
    <xf numFmtId="0" fontId="57" fillId="50" borderId="37" xfId="0" applyFont="1" applyFill="1" applyBorder="1" applyAlignment="1">
      <alignment horizontal="left"/>
    </xf>
    <xf numFmtId="0" fontId="57" fillId="50" borderId="30" xfId="0" applyFont="1" applyFill="1" applyBorder="1"/>
    <xf numFmtId="0" fontId="57" fillId="50" borderId="34" xfId="0" applyFont="1" applyFill="1" applyBorder="1"/>
    <xf numFmtId="0" fontId="57" fillId="50" borderId="0" xfId="0" applyFont="1" applyFill="1"/>
    <xf numFmtId="0" fontId="57" fillId="50" borderId="38" xfId="0" applyFont="1" applyFill="1" applyBorder="1"/>
    <xf numFmtId="0" fontId="57" fillId="50" borderId="38" xfId="0" applyFont="1" applyFill="1" applyBorder="1" applyAlignment="1">
      <alignment horizontal="centerContinuous"/>
    </xf>
    <xf numFmtId="0" fontId="57" fillId="50" borderId="39" xfId="0" applyFont="1" applyFill="1" applyBorder="1" applyAlignment="1">
      <alignment horizontal="centerContinuous"/>
    </xf>
    <xf numFmtId="0" fontId="57" fillId="50" borderId="39" xfId="0" applyFont="1" applyFill="1" applyBorder="1" applyAlignment="1">
      <alignment horizontal="left"/>
    </xf>
    <xf numFmtId="0" fontId="57" fillId="50" borderId="0" xfId="0" applyFont="1" applyFill="1" applyBorder="1"/>
    <xf numFmtId="0" fontId="26" fillId="0" borderId="0" xfId="0" applyFont="1" applyProtection="1"/>
    <xf numFmtId="0" fontId="26" fillId="38" borderId="0" xfId="0" applyFont="1" applyFill="1" applyProtection="1"/>
    <xf numFmtId="0" fontId="38" fillId="38" borderId="0" xfId="0" applyFont="1" applyFill="1" applyProtection="1"/>
    <xf numFmtId="0" fontId="26" fillId="38" borderId="0" xfId="0" applyFont="1" applyFill="1" applyAlignment="1" applyProtection="1">
      <alignment horizontal="center"/>
    </xf>
    <xf numFmtId="0" fontId="60" fillId="38" borderId="0" xfId="0" applyFont="1" applyFill="1" applyAlignment="1" applyProtection="1">
      <alignment horizontal="left"/>
    </xf>
    <xf numFmtId="0" fontId="30" fillId="38" borderId="0" xfId="0" applyFont="1" applyFill="1" applyProtection="1"/>
    <xf numFmtId="0" fontId="26" fillId="0" borderId="0" xfId="0" applyFont="1" applyFill="1" applyBorder="1" applyProtection="1"/>
    <xf numFmtId="0" fontId="26" fillId="0" borderId="0" xfId="0" applyFont="1" applyFill="1" applyProtection="1"/>
    <xf numFmtId="0" fontId="51" fillId="50" borderId="0" xfId="0" applyFont="1" applyFill="1" applyAlignment="1">
      <alignment vertical="center"/>
    </xf>
    <xf numFmtId="0" fontId="42" fillId="50" borderId="0" xfId="0" applyFont="1" applyFill="1"/>
    <xf numFmtId="0" fontId="61" fillId="50" borderId="0" xfId="0" applyFont="1" applyFill="1"/>
    <xf numFmtId="0" fontId="32" fillId="36" borderId="28" xfId="0" applyFont="1" applyFill="1" applyBorder="1" applyAlignment="1">
      <alignment horizontal="center"/>
    </xf>
    <xf numFmtId="0" fontId="0" fillId="0" borderId="0" xfId="0"/>
    <xf numFmtId="0" fontId="34" fillId="37" borderId="11" xfId="0" applyNumberFormat="1" applyFont="1" applyFill="1" applyBorder="1" applyAlignment="1">
      <alignment horizontal="center"/>
    </xf>
    <xf numFmtId="0" fontId="36" fillId="36" borderId="0" xfId="0" applyNumberFormat="1" applyFont="1" applyFill="1"/>
    <xf numFmtId="0" fontId="50" fillId="42" borderId="0" xfId="0" applyFont="1" applyFill="1"/>
    <xf numFmtId="0" fontId="50" fillId="42" borderId="0" xfId="0" quotePrefix="1" applyFont="1" applyFill="1"/>
    <xf numFmtId="0" fontId="36" fillId="45" borderId="0" xfId="0" applyNumberFormat="1" applyFont="1" applyFill="1"/>
    <xf numFmtId="0" fontId="34" fillId="43" borderId="11" xfId="0" applyNumberFormat="1" applyFont="1" applyFill="1" applyBorder="1" applyAlignment="1">
      <alignment horizontal="center"/>
    </xf>
    <xf numFmtId="0" fontId="36" fillId="47" borderId="0" xfId="0" applyNumberFormat="1" applyFont="1" applyFill="1"/>
    <xf numFmtId="0" fontId="34" fillId="41" borderId="11" xfId="0" applyNumberFormat="1" applyFont="1" applyFill="1" applyBorder="1" applyAlignment="1">
      <alignment horizontal="center"/>
    </xf>
    <xf numFmtId="0" fontId="36" fillId="44" borderId="0" xfId="0" applyNumberFormat="1" applyFont="1" applyFill="1"/>
    <xf numFmtId="0" fontId="34" fillId="39" borderId="11" xfId="0" applyNumberFormat="1" applyFont="1" applyFill="1" applyBorder="1" applyAlignment="1">
      <alignment horizontal="center"/>
    </xf>
    <xf numFmtId="0" fontId="36" fillId="48" borderId="0" xfId="0" applyNumberFormat="1" applyFont="1" applyFill="1"/>
    <xf numFmtId="0" fontId="34" fillId="49" borderId="11" xfId="0" applyNumberFormat="1" applyFont="1" applyFill="1" applyBorder="1" applyAlignment="1">
      <alignment horizontal="center"/>
    </xf>
    <xf numFmtId="0" fontId="36" fillId="50" borderId="0" xfId="0" applyNumberFormat="1" applyFont="1" applyFill="1"/>
    <xf numFmtId="0" fontId="34" fillId="40" borderId="11" xfId="0" applyNumberFormat="1" applyFont="1" applyFill="1" applyBorder="1" applyAlignment="1">
      <alignment horizontal="center"/>
    </xf>
    <xf numFmtId="0" fontId="32" fillId="36" borderId="0" xfId="0" applyFont="1" applyFill="1" applyAlignment="1">
      <alignment horizontal="left"/>
    </xf>
    <xf numFmtId="0" fontId="57" fillId="48" borderId="39" xfId="0" applyFont="1" applyFill="1" applyBorder="1" applyAlignment="1">
      <alignment horizontal="center"/>
    </xf>
    <xf numFmtId="0" fontId="0" fillId="48" borderId="39" xfId="0" applyFill="1" applyBorder="1"/>
    <xf numFmtId="0" fontId="0" fillId="48" borderId="37" xfId="0" applyFill="1" applyBorder="1"/>
    <xf numFmtId="0" fontId="57" fillId="48" borderId="38"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0" fillId="0" borderId="0" xfId="0"/>
    <xf numFmtId="0" fontId="32" fillId="36" borderId="0" xfId="0" applyFont="1" applyFill="1" applyBorder="1" applyAlignment="1">
      <alignment horizontal="center"/>
    </xf>
    <xf numFmtId="0" fontId="32" fillId="36" borderId="28"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36" xfId="0" applyFont="1" applyFill="1" applyBorder="1" applyAlignment="1">
      <alignment horizontal="center"/>
    </xf>
    <xf numFmtId="0" fontId="0" fillId="51" borderId="0" xfId="0" applyFill="1"/>
    <xf numFmtId="0" fontId="0" fillId="36" borderId="0" xfId="0" applyFill="1"/>
    <xf numFmtId="0" fontId="0" fillId="47" borderId="0" xfId="0" applyFill="1"/>
    <xf numFmtId="0" fontId="67" fillId="0" borderId="0" xfId="0" applyFont="1" applyFill="1" applyBorder="1"/>
    <xf numFmtId="0" fontId="67" fillId="0" borderId="0" xfId="0" applyFont="1"/>
    <xf numFmtId="0" fontId="0" fillId="51" borderId="0" xfId="0" applyFill="1" applyBorder="1"/>
    <xf numFmtId="0" fontId="70" fillId="0" borderId="0" xfId="0" applyFont="1" applyFill="1" applyAlignment="1">
      <alignment vertical="top" wrapText="1"/>
    </xf>
    <xf numFmtId="0" fontId="69" fillId="51" borderId="0" xfId="0" applyFont="1" applyFill="1" applyAlignment="1">
      <alignment vertical="top" wrapText="1"/>
    </xf>
    <xf numFmtId="0" fontId="0" fillId="0" borderId="0" xfId="0"/>
    <xf numFmtId="0" fontId="26" fillId="55" borderId="0" xfId="0" applyFont="1" applyFill="1"/>
    <xf numFmtId="0" fontId="30" fillId="55" borderId="0" xfId="0" applyFont="1" applyFill="1" applyAlignment="1">
      <alignment horizontal="center"/>
    </xf>
    <xf numFmtId="0" fontId="31" fillId="55" borderId="0" xfId="0" applyFont="1" applyFill="1" applyAlignment="1">
      <alignment horizontal="center"/>
    </xf>
    <xf numFmtId="164" fontId="38" fillId="55" borderId="0" xfId="0" applyNumberFormat="1" applyFont="1" applyFill="1" applyAlignment="1">
      <alignment horizontal="center"/>
    </xf>
    <xf numFmtId="164" fontId="26" fillId="55" borderId="0" xfId="0" applyNumberFormat="1" applyFont="1" applyFill="1" applyAlignment="1">
      <alignment horizontal="center"/>
    </xf>
    <xf numFmtId="0" fontId="29" fillId="55" borderId="0" xfId="0" applyFont="1" applyFill="1"/>
    <xf numFmtId="0" fontId="29" fillId="55" borderId="0" xfId="0" applyFont="1" applyFill="1" applyAlignment="1">
      <alignment horizontal="center"/>
    </xf>
    <xf numFmtId="0" fontId="50" fillId="55" borderId="0" xfId="0" applyFont="1" applyFill="1"/>
    <xf numFmtId="0" fontId="26" fillId="57" borderId="0" xfId="0" applyFont="1" applyFill="1" applyAlignment="1">
      <alignment horizontal="center"/>
    </xf>
    <xf numFmtId="0" fontId="32" fillId="57" borderId="28" xfId="0" applyFont="1" applyFill="1" applyBorder="1" applyAlignment="1">
      <alignment horizontal="center"/>
    </xf>
    <xf numFmtId="164" fontId="32" fillId="57" borderId="28" xfId="0" applyNumberFormat="1" applyFont="1" applyFill="1" applyBorder="1" applyAlignment="1">
      <alignment horizontal="center"/>
    </xf>
    <xf numFmtId="164" fontId="26" fillId="57" borderId="0" xfId="0" applyNumberFormat="1" applyFont="1" applyFill="1" applyAlignment="1">
      <alignment horizontal="center"/>
    </xf>
    <xf numFmtId="0" fontId="26" fillId="57" borderId="0" xfId="0" applyFont="1" applyFill="1"/>
    <xf numFmtId="0" fontId="26" fillId="57" borderId="0" xfId="0" applyNumberFormat="1" applyFont="1" applyFill="1"/>
    <xf numFmtId="0" fontId="26" fillId="57" borderId="0" xfId="0" applyNumberFormat="1" applyFont="1" applyFill="1" applyAlignment="1">
      <alignment horizontal="center"/>
    </xf>
    <xf numFmtId="0" fontId="36" fillId="57" borderId="0" xfId="0" applyNumberFormat="1" applyFont="1" applyFill="1"/>
    <xf numFmtId="164" fontId="26" fillId="55" borderId="0" xfId="0" applyNumberFormat="1" applyFont="1" applyFill="1" applyAlignment="1">
      <alignment horizontal="left"/>
    </xf>
    <xf numFmtId="0" fontId="48" fillId="36" borderId="45" xfId="0" applyFont="1" applyFill="1" applyBorder="1" applyAlignment="1">
      <alignment horizontal="center"/>
    </xf>
    <xf numFmtId="0" fontId="32" fillId="36" borderId="55" xfId="0" applyFont="1" applyFill="1" applyBorder="1"/>
    <xf numFmtId="0" fontId="49" fillId="36" borderId="55" xfId="0" applyFont="1" applyFill="1" applyBorder="1" applyAlignment="1">
      <alignment horizontal="center"/>
    </xf>
    <xf numFmtId="164" fontId="32" fillId="36" borderId="55" xfId="0" applyNumberFormat="1" applyFont="1" applyFill="1" applyBorder="1"/>
    <xf numFmtId="0" fontId="32" fillId="36" borderId="55" xfId="0" applyFont="1" applyFill="1" applyBorder="1" applyAlignment="1">
      <alignment horizontal="center"/>
    </xf>
    <xf numFmtId="0" fontId="32" fillId="36" borderId="54" xfId="0" applyFont="1" applyFill="1" applyBorder="1" applyAlignment="1">
      <alignment horizontal="center"/>
    </xf>
    <xf numFmtId="0" fontId="32" fillId="36" borderId="56" xfId="0" applyFont="1" applyFill="1" applyBorder="1"/>
    <xf numFmtId="0" fontId="32" fillId="36" borderId="54" xfId="0" applyFont="1" applyFill="1" applyBorder="1"/>
    <xf numFmtId="165" fontId="32" fillId="36" borderId="55" xfId="0" applyNumberFormat="1" applyFont="1" applyFill="1" applyBorder="1" applyAlignment="1">
      <alignment horizontal="center"/>
    </xf>
    <xf numFmtId="164" fontId="47" fillId="36" borderId="54" xfId="0" applyNumberFormat="1" applyFont="1" applyFill="1" applyBorder="1" applyAlignment="1">
      <alignment horizontal="center"/>
    </xf>
    <xf numFmtId="0" fontId="43" fillId="36" borderId="56" xfId="0" applyFont="1" applyFill="1" applyBorder="1" applyAlignment="1">
      <alignment horizontal="center"/>
    </xf>
    <xf numFmtId="0" fontId="43" fillId="36" borderId="55" xfId="0" applyFont="1" applyFill="1" applyBorder="1"/>
    <xf numFmtId="0" fontId="43" fillId="36" borderId="54" xfId="0" applyFont="1" applyFill="1" applyBorder="1"/>
    <xf numFmtId="0" fontId="49" fillId="36" borderId="56" xfId="0" applyFont="1" applyFill="1" applyBorder="1" applyAlignment="1">
      <alignment horizontal="center"/>
    </xf>
    <xf numFmtId="0" fontId="49" fillId="36" borderId="55" xfId="0" applyFont="1" applyFill="1" applyBorder="1" applyAlignment="1"/>
    <xf numFmtId="0" fontId="48" fillId="36" borderId="56" xfId="0" applyFont="1" applyFill="1" applyBorder="1" applyAlignment="1"/>
    <xf numFmtId="164" fontId="47" fillId="36" borderId="55" xfId="0" applyNumberFormat="1" applyFont="1" applyFill="1" applyBorder="1" applyAlignment="1">
      <alignment horizontal="center"/>
    </xf>
    <xf numFmtId="164" fontId="47" fillId="36" borderId="55" xfId="0" applyNumberFormat="1" applyFont="1" applyFill="1" applyBorder="1" applyAlignment="1"/>
    <xf numFmtId="164" fontId="32" fillId="36" borderId="54" xfId="0" applyNumberFormat="1" applyFont="1" applyFill="1" applyBorder="1"/>
    <xf numFmtId="0" fontId="32" fillId="36" borderId="56" xfId="0" applyFont="1" applyFill="1" applyBorder="1" applyAlignment="1">
      <alignment horizontal="left"/>
    </xf>
    <xf numFmtId="0" fontId="32" fillId="36" borderId="55" xfId="0" applyFont="1" applyFill="1" applyBorder="1" applyAlignment="1">
      <alignment horizontal="left"/>
    </xf>
    <xf numFmtId="0" fontId="62" fillId="36" borderId="28" xfId="0" applyFont="1" applyFill="1" applyBorder="1" applyAlignment="1">
      <alignment horizontal="center"/>
    </xf>
    <xf numFmtId="3" fontId="32" fillId="52" borderId="38" xfId="0" applyNumberFormat="1" applyFont="1" applyFill="1" applyBorder="1" applyAlignment="1">
      <alignment horizontal="center"/>
    </xf>
    <xf numFmtId="0" fontId="7" fillId="51" borderId="0" xfId="0" applyFont="1" applyFill="1" applyBorder="1"/>
    <xf numFmtId="166" fontId="74" fillId="51" borderId="0" xfId="0" applyNumberFormat="1" applyFont="1" applyFill="1" applyBorder="1"/>
    <xf numFmtId="0" fontId="0" fillId="0" borderId="0" xfId="0" applyFill="1"/>
    <xf numFmtId="3" fontId="55" fillId="56" borderId="57" xfId="0" applyNumberFormat="1" applyFont="1" applyFill="1" applyBorder="1" applyAlignment="1">
      <alignment horizontal="center"/>
    </xf>
    <xf numFmtId="0" fontId="55" fillId="56" borderId="57" xfId="0" applyFont="1" applyFill="1" applyBorder="1" applyAlignment="1">
      <alignment horizontal="left"/>
    </xf>
    <xf numFmtId="164" fontId="55" fillId="56" borderId="57" xfId="0" applyNumberFormat="1" applyFont="1" applyFill="1" applyBorder="1" applyAlignment="1">
      <alignment horizontal="left"/>
    </xf>
    <xf numFmtId="0" fontId="47" fillId="36" borderId="33" xfId="0" applyFont="1" applyFill="1" applyBorder="1" applyAlignment="1">
      <alignment horizontal="center"/>
    </xf>
    <xf numFmtId="0" fontId="26" fillId="37" borderId="16" xfId="0" applyNumberFormat="1" applyFont="1" applyFill="1" applyBorder="1" applyAlignment="1">
      <alignment horizontal="center"/>
    </xf>
    <xf numFmtId="167" fontId="26" fillId="37" borderId="16" xfId="0" applyNumberFormat="1" applyFont="1" applyFill="1" applyBorder="1" applyAlignment="1">
      <alignment horizontal="center"/>
    </xf>
    <xf numFmtId="0" fontId="84" fillId="33" borderId="0" xfId="0" applyFont="1" applyFill="1" applyAlignment="1">
      <alignment vertical="center"/>
    </xf>
    <xf numFmtId="0" fontId="5" fillId="33" borderId="0" xfId="0" applyFont="1" applyFill="1" applyAlignment="1">
      <alignment vertical="center"/>
    </xf>
    <xf numFmtId="0" fontId="5" fillId="51" borderId="0" xfId="0" applyFont="1" applyFill="1" applyBorder="1" applyAlignment="1">
      <alignment vertical="center" wrapText="1"/>
    </xf>
    <xf numFmtId="0" fontId="5" fillId="51" borderId="0" xfId="0" applyFont="1" applyFill="1" applyBorder="1" applyAlignment="1">
      <alignment horizontal="center" vertical="center"/>
    </xf>
    <xf numFmtId="0" fontId="85" fillId="33" borderId="22" xfId="0" applyFont="1" applyFill="1" applyBorder="1" applyAlignment="1">
      <alignment horizontal="center" vertical="center" wrapText="1"/>
    </xf>
    <xf numFmtId="0" fontId="76" fillId="33" borderId="11" xfId="0" applyFont="1" applyFill="1" applyBorder="1" applyAlignment="1">
      <alignment horizontal="center" vertical="center"/>
    </xf>
    <xf numFmtId="0" fontId="0" fillId="0" borderId="0" xfId="0"/>
    <xf numFmtId="0" fontId="0" fillId="0" borderId="0" xfId="0"/>
    <xf numFmtId="0" fontId="62" fillId="36" borderId="41" xfId="0" applyFont="1" applyFill="1" applyBorder="1"/>
    <xf numFmtId="0" fontId="38" fillId="38" borderId="0" xfId="0" applyFont="1" applyFill="1" applyBorder="1" applyProtection="1"/>
    <xf numFmtId="164" fontId="30" fillId="61" borderId="15" xfId="0" applyNumberFormat="1" applyFont="1" applyFill="1" applyBorder="1" applyAlignment="1">
      <alignment horizontal="center"/>
    </xf>
    <xf numFmtId="0" fontId="0" fillId="0" borderId="0" xfId="0" applyFill="1" applyBorder="1"/>
    <xf numFmtId="0" fontId="62" fillId="36" borderId="28" xfId="0" applyFont="1" applyFill="1" applyBorder="1"/>
    <xf numFmtId="0" fontId="62" fillId="36" borderId="65" xfId="0" applyFont="1" applyFill="1" applyBorder="1"/>
    <xf numFmtId="0" fontId="0" fillId="0" borderId="0" xfId="0"/>
    <xf numFmtId="0" fontId="69" fillId="38" borderId="0" xfId="0" applyFont="1" applyFill="1" applyAlignment="1">
      <alignment horizontal="centerContinuous" vertical="center"/>
    </xf>
    <xf numFmtId="0" fontId="87" fillId="38" borderId="0" xfId="0" applyFont="1" applyFill="1" applyAlignment="1">
      <alignment vertical="top"/>
    </xf>
    <xf numFmtId="0" fontId="87" fillId="38" borderId="0" xfId="0" applyFont="1" applyFill="1" applyAlignment="1">
      <alignment vertical="top" wrapText="1"/>
    </xf>
    <xf numFmtId="0" fontId="87" fillId="38" borderId="0" xfId="0" applyFont="1" applyFill="1" applyAlignment="1"/>
    <xf numFmtId="0" fontId="89" fillId="38" borderId="0" xfId="0" applyFont="1" applyFill="1" applyAlignment="1">
      <alignment vertical="center"/>
    </xf>
    <xf numFmtId="0" fontId="90" fillId="38" borderId="0" xfId="0" applyFont="1" applyFill="1" applyAlignment="1">
      <alignment vertical="center"/>
    </xf>
    <xf numFmtId="0" fontId="0" fillId="0" borderId="0" xfId="0"/>
    <xf numFmtId="0" fontId="67" fillId="33" borderId="0" xfId="0" applyFont="1" applyFill="1"/>
    <xf numFmtId="0" fontId="0" fillId="33" borderId="0" xfId="0" applyFill="1"/>
    <xf numFmtId="0" fontId="0" fillId="47" borderId="0" xfId="0" applyFill="1" applyProtection="1"/>
    <xf numFmtId="0" fontId="0" fillId="51" borderId="0" xfId="0" applyFill="1" applyProtection="1"/>
    <xf numFmtId="0" fontId="0" fillId="36" borderId="0" xfId="0" applyFill="1" applyProtection="1"/>
    <xf numFmtId="0" fontId="67" fillId="33" borderId="0" xfId="0" applyFont="1" applyFill="1" applyProtection="1"/>
    <xf numFmtId="0" fontId="0" fillId="33" borderId="0" xfId="0" applyFill="1" applyProtection="1"/>
    <xf numFmtId="0" fontId="63" fillId="36" borderId="0" xfId="0" applyFont="1" applyFill="1" applyBorder="1" applyAlignment="1" applyProtection="1">
      <alignment vertical="center"/>
    </xf>
    <xf numFmtId="0" fontId="63" fillId="36" borderId="51" xfId="0" applyFont="1" applyFill="1" applyBorder="1" applyAlignment="1">
      <alignment vertical="center"/>
    </xf>
    <xf numFmtId="0" fontId="63" fillId="36" borderId="66" xfId="0" applyFont="1" applyFill="1" applyBorder="1" applyAlignment="1" applyProtection="1">
      <alignment vertical="center"/>
    </xf>
    <xf numFmtId="0" fontId="63" fillId="36" borderId="67" xfId="0" applyFont="1" applyFill="1" applyBorder="1" applyAlignment="1" applyProtection="1">
      <alignment vertical="center"/>
    </xf>
    <xf numFmtId="0" fontId="36" fillId="0" borderId="0" xfId="0" applyFont="1" applyFill="1" applyAlignment="1" applyProtection="1">
      <alignment vertical="top" wrapText="1"/>
      <protection locked="0"/>
    </xf>
    <xf numFmtId="0" fontId="63" fillId="36" borderId="68" xfId="0" applyFont="1" applyFill="1" applyBorder="1" applyAlignment="1" applyProtection="1">
      <alignment vertical="center"/>
    </xf>
    <xf numFmtId="0" fontId="63" fillId="36" borderId="69" xfId="0" applyFont="1" applyFill="1" applyBorder="1" applyAlignment="1" applyProtection="1">
      <alignment vertical="center"/>
    </xf>
    <xf numFmtId="0" fontId="26" fillId="47" borderId="0" xfId="0" applyFont="1" applyFill="1" applyProtection="1"/>
    <xf numFmtId="0" fontId="26" fillId="36" borderId="66" xfId="0" applyFont="1" applyFill="1" applyBorder="1" applyProtection="1"/>
    <xf numFmtId="0" fontId="26" fillId="36" borderId="51" xfId="0" applyFont="1" applyFill="1" applyBorder="1" applyProtection="1"/>
    <xf numFmtId="0" fontId="26" fillId="36" borderId="67" xfId="0" applyFont="1" applyFill="1" applyBorder="1" applyProtection="1"/>
    <xf numFmtId="0" fontId="44" fillId="51" borderId="0" xfId="0" applyFont="1" applyFill="1" applyAlignment="1" applyProtection="1">
      <alignment vertical="center" textRotation="90"/>
    </xf>
    <xf numFmtId="0" fontId="26" fillId="51" borderId="0" xfId="0" applyFont="1" applyFill="1" applyProtection="1"/>
    <xf numFmtId="0" fontId="26" fillId="33" borderId="0" xfId="0" applyFont="1" applyFill="1" applyProtection="1"/>
    <xf numFmtId="0" fontId="44" fillId="51" borderId="0" xfId="0" applyFont="1" applyFill="1" applyBorder="1" applyAlignment="1" applyProtection="1">
      <alignment vertical="center" textRotation="90"/>
    </xf>
    <xf numFmtId="0" fontId="26" fillId="51" borderId="0" xfId="0" applyFont="1" applyFill="1" applyBorder="1" applyProtection="1"/>
    <xf numFmtId="0" fontId="82" fillId="38" borderId="0" xfId="0" applyFont="1" applyFill="1" applyBorder="1" applyAlignment="1" applyProtection="1">
      <alignment vertical="center"/>
    </xf>
    <xf numFmtId="0" fontId="26" fillId="60" borderId="0" xfId="0" applyFont="1" applyFill="1" applyProtection="1"/>
    <xf numFmtId="0" fontId="26" fillId="36" borderId="0" xfId="0" applyFont="1" applyFill="1" applyProtection="1"/>
    <xf numFmtId="0" fontId="26" fillId="33" borderId="0" xfId="0" applyFont="1" applyFill="1" applyBorder="1" applyProtection="1"/>
    <xf numFmtId="0" fontId="34" fillId="60" borderId="0" xfId="0" applyFont="1" applyFill="1" applyBorder="1" applyAlignment="1" applyProtection="1">
      <alignment vertical="center"/>
    </xf>
    <xf numFmtId="0" fontId="32" fillId="33" borderId="0" xfId="0" applyFont="1" applyFill="1" applyBorder="1" applyAlignment="1" applyProtection="1"/>
    <xf numFmtId="0" fontId="28" fillId="33" borderId="0" xfId="0" applyFont="1" applyFill="1" applyBorder="1" applyAlignment="1" applyProtection="1"/>
    <xf numFmtId="0" fontId="76" fillId="60" borderId="0" xfId="0" applyFont="1" applyFill="1" applyAlignment="1" applyProtection="1">
      <alignment vertical="top" wrapText="1"/>
    </xf>
    <xf numFmtId="0" fontId="82" fillId="33" borderId="0" xfId="0" applyFont="1" applyFill="1" applyAlignment="1" applyProtection="1">
      <alignment vertical="top" wrapText="1"/>
    </xf>
    <xf numFmtId="0" fontId="26" fillId="33" borderId="0" xfId="0" applyFont="1" applyFill="1" applyAlignment="1" applyProtection="1">
      <alignment horizontal="right"/>
    </xf>
    <xf numFmtId="0" fontId="36" fillId="33" borderId="0" xfId="0" applyFont="1" applyFill="1" applyAlignment="1" applyProtection="1">
      <alignment vertical="top" wrapText="1"/>
    </xf>
    <xf numFmtId="0" fontId="0" fillId="0" borderId="0" xfId="0" applyAlignment="1">
      <alignment wrapText="1"/>
    </xf>
    <xf numFmtId="2" fontId="93" fillId="0" borderId="0" xfId="0" applyNumberFormat="1" applyFont="1" applyFill="1" applyBorder="1" applyAlignment="1">
      <alignment horizontal="center"/>
    </xf>
    <xf numFmtId="0" fontId="64" fillId="0" borderId="0" xfId="0" applyFont="1" applyFill="1" applyBorder="1" applyAlignment="1">
      <alignment vertical="top"/>
    </xf>
    <xf numFmtId="0" fontId="65" fillId="0" borderId="0" xfId="0" applyFont="1" applyFill="1" applyBorder="1" applyAlignment="1">
      <alignment vertical="top"/>
    </xf>
    <xf numFmtId="0" fontId="63" fillId="0" borderId="0" xfId="0" applyFont="1" applyFill="1" applyBorder="1" applyAlignment="1">
      <alignment vertical="center"/>
    </xf>
    <xf numFmtId="0" fontId="69" fillId="0" borderId="0" xfId="0" applyFont="1" applyFill="1" applyAlignment="1">
      <alignment horizontal="centerContinuous" vertical="center"/>
    </xf>
    <xf numFmtId="0" fontId="9" fillId="0" borderId="0" xfId="0" applyFont="1"/>
    <xf numFmtId="0" fontId="70" fillId="0" borderId="0" xfId="0" applyFont="1" applyFill="1" applyAlignment="1"/>
    <xf numFmtId="5" fontId="29" fillId="0" borderId="0" xfId="0" applyNumberFormat="1" applyFont="1" applyFill="1" applyAlignment="1">
      <alignment horizontal="right"/>
    </xf>
    <xf numFmtId="5" fontId="29" fillId="0" borderId="0" xfId="0" applyNumberFormat="1" applyFont="1" applyFill="1"/>
    <xf numFmtId="0" fontId="65" fillId="0" borderId="0" xfId="0" applyFont="1" applyFill="1" applyBorder="1" applyAlignment="1">
      <alignment horizontal="left" vertical="top"/>
    </xf>
    <xf numFmtId="0" fontId="63" fillId="36" borderId="66" xfId="0" applyFont="1" applyFill="1" applyBorder="1" applyAlignment="1">
      <alignment vertical="center"/>
    </xf>
    <xf numFmtId="0" fontId="63" fillId="36" borderId="67" xfId="0" applyFont="1" applyFill="1" applyBorder="1" applyAlignment="1">
      <alignment vertical="center"/>
    </xf>
    <xf numFmtId="0" fontId="63" fillId="36" borderId="0" xfId="0" applyFont="1" applyFill="1" applyAlignment="1">
      <alignment vertical="center"/>
    </xf>
    <xf numFmtId="0" fontId="63" fillId="0" borderId="0" xfId="0" applyFont="1" applyFill="1" applyAlignment="1">
      <alignment vertical="center"/>
    </xf>
    <xf numFmtId="0" fontId="95" fillId="60" borderId="0" xfId="0" applyFont="1" applyFill="1" applyAlignment="1" applyProtection="1">
      <alignment vertical="top"/>
    </xf>
    <xf numFmtId="0" fontId="29" fillId="63" borderId="0" xfId="0" applyFont="1" applyFill="1" applyBorder="1" applyAlignment="1">
      <alignment wrapText="1"/>
    </xf>
    <xf numFmtId="0" fontId="70" fillId="33" borderId="0" xfId="0" applyFont="1" applyFill="1" applyAlignment="1">
      <alignment vertical="top" wrapText="1"/>
    </xf>
    <xf numFmtId="0" fontId="9" fillId="33" borderId="0" xfId="0" applyFont="1" applyFill="1" applyAlignment="1">
      <alignment horizontal="center"/>
    </xf>
    <xf numFmtId="0" fontId="94" fillId="51" borderId="0" xfId="0" applyFont="1" applyFill="1" applyBorder="1"/>
    <xf numFmtId="0" fontId="69" fillId="0" borderId="0" xfId="0" applyFont="1" applyFill="1" applyAlignment="1">
      <alignment vertical="top" wrapText="1"/>
    </xf>
    <xf numFmtId="0" fontId="69" fillId="0" borderId="0" xfId="0" applyFont="1" applyFill="1" applyAlignment="1"/>
    <xf numFmtId="0" fontId="83" fillId="51" borderId="0" xfId="0" applyFont="1" applyFill="1" applyBorder="1"/>
    <xf numFmtId="5" fontId="94" fillId="51" borderId="0" xfId="0" applyNumberFormat="1" applyFont="1" applyFill="1" applyBorder="1"/>
    <xf numFmtId="0" fontId="0" fillId="60" borderId="0" xfId="0" applyFill="1" applyProtection="1"/>
    <xf numFmtId="0" fontId="0" fillId="60" borderId="0" xfId="0" applyFill="1"/>
    <xf numFmtId="0" fontId="47" fillId="51" borderId="0" xfId="0" applyFont="1" applyFill="1" applyBorder="1"/>
    <xf numFmtId="0" fontId="98" fillId="0" borderId="0" xfId="0" applyFont="1" applyFill="1" applyBorder="1" applyAlignment="1">
      <alignment vertical="center"/>
    </xf>
    <xf numFmtId="0" fontId="70" fillId="0" borderId="0" xfId="0" applyFont="1" applyFill="1" applyBorder="1" applyAlignment="1">
      <alignment vertical="top" wrapText="1"/>
    </xf>
    <xf numFmtId="0" fontId="68" fillId="0" borderId="0" xfId="0" applyFont="1" applyFill="1" applyBorder="1" applyAlignment="1">
      <alignment vertical="top" wrapText="1"/>
    </xf>
    <xf numFmtId="0" fontId="71" fillId="0" borderId="0" xfId="0" applyFont="1" applyFill="1" applyBorder="1" applyAlignment="1"/>
    <xf numFmtId="0" fontId="78" fillId="33" borderId="0" xfId="0" applyFont="1" applyFill="1"/>
    <xf numFmtId="0" fontId="94" fillId="51" borderId="0" xfId="0" applyFont="1" applyFill="1" applyBorder="1" applyAlignment="1">
      <alignment horizontal="right"/>
    </xf>
    <xf numFmtId="0" fontId="29" fillId="51" borderId="0" xfId="0" applyFont="1" applyFill="1" applyBorder="1" applyAlignment="1" applyProtection="1"/>
    <xf numFmtId="0" fontId="53" fillId="51" borderId="0" xfId="0" applyFont="1" applyFill="1" applyBorder="1" applyProtection="1"/>
    <xf numFmtId="0" fontId="30" fillId="58" borderId="0" xfId="0" applyFont="1" applyFill="1"/>
    <xf numFmtId="5" fontId="29" fillId="34" borderId="0" xfId="0" applyNumberFormat="1" applyFont="1" applyFill="1" applyBorder="1" applyAlignment="1">
      <alignment horizontal="right"/>
    </xf>
    <xf numFmtId="5" fontId="29" fillId="34" borderId="0" xfId="0" applyNumberFormat="1" applyFont="1" applyFill="1" applyBorder="1"/>
    <xf numFmtId="0" fontId="29" fillId="34" borderId="0" xfId="0" applyFont="1" applyFill="1" applyBorder="1" applyAlignment="1" applyProtection="1">
      <protection locked="0"/>
    </xf>
    <xf numFmtId="0" fontId="29" fillId="34" borderId="0" xfId="0" applyFont="1" applyFill="1" applyBorder="1" applyAlignment="1" applyProtection="1">
      <alignment horizontal="left"/>
      <protection locked="0"/>
    </xf>
    <xf numFmtId="0" fontId="53" fillId="51" borderId="0" xfId="0" applyFont="1" applyFill="1" applyBorder="1" applyAlignment="1" applyProtection="1"/>
    <xf numFmtId="0" fontId="30" fillId="58" borderId="0" xfId="0" applyFont="1" applyFill="1" applyAlignment="1">
      <alignment horizontal="center"/>
    </xf>
    <xf numFmtId="5" fontId="30" fillId="58" borderId="0" xfId="0" applyNumberFormat="1" applyFont="1" applyFill="1" applyAlignment="1">
      <alignment wrapText="1"/>
    </xf>
    <xf numFmtId="5" fontId="30" fillId="58" borderId="0" xfId="0" applyNumberFormat="1" applyFont="1" applyFill="1" applyAlignment="1">
      <alignment horizontal="right"/>
    </xf>
    <xf numFmtId="5" fontId="30" fillId="58" borderId="0" xfId="0" applyNumberFormat="1" applyFont="1" applyFill="1"/>
    <xf numFmtId="0" fontId="47" fillId="51" borderId="0" xfId="0" applyFont="1" applyFill="1" applyBorder="1" applyAlignment="1">
      <alignment horizontal="left" wrapText="1"/>
    </xf>
    <xf numFmtId="0" fontId="47" fillId="51" borderId="0" xfId="0" applyNumberFormat="1" applyFont="1" applyFill="1" applyBorder="1" applyAlignment="1">
      <alignment wrapText="1"/>
    </xf>
    <xf numFmtId="2" fontId="47" fillId="51" borderId="0" xfId="0" applyNumberFormat="1" applyFont="1" applyFill="1" applyBorder="1" applyAlignment="1">
      <alignment horizontal="center"/>
    </xf>
    <xf numFmtId="0" fontId="47" fillId="51" borderId="0" xfId="0" applyNumberFormat="1" applyFont="1" applyFill="1" applyBorder="1" applyAlignment="1">
      <alignment horizontal="center"/>
    </xf>
    <xf numFmtId="5" fontId="47" fillId="51" borderId="0" xfId="0" applyNumberFormat="1" applyFont="1" applyFill="1" applyBorder="1" applyAlignment="1">
      <alignment horizontal="right"/>
    </xf>
    <xf numFmtId="0" fontId="104" fillId="51" borderId="0" xfId="0" applyFont="1" applyFill="1" applyBorder="1"/>
    <xf numFmtId="0" fontId="26" fillId="0" borderId="0" xfId="0" applyFont="1" applyFill="1" applyAlignment="1">
      <alignment vertical="top" wrapText="1"/>
    </xf>
    <xf numFmtId="0" fontId="94" fillId="51" borderId="0" xfId="0" applyFont="1" applyFill="1" applyBorder="1" applyAlignment="1"/>
    <xf numFmtId="0" fontId="20" fillId="51" borderId="0" xfId="0" applyFont="1" applyFill="1" applyBorder="1"/>
    <xf numFmtId="0" fontId="32" fillId="51" borderId="0" xfId="0" applyFont="1" applyFill="1" applyBorder="1" applyAlignment="1">
      <alignment horizontal="right"/>
    </xf>
    <xf numFmtId="0" fontId="32" fillId="51" borderId="0" xfId="0" applyFont="1" applyFill="1" applyBorder="1"/>
    <xf numFmtId="0" fontId="82" fillId="60" borderId="0" xfId="0" applyFont="1" applyFill="1" applyAlignment="1">
      <alignment vertical="top" wrapText="1"/>
    </xf>
    <xf numFmtId="0" fontId="94" fillId="51" borderId="53" xfId="0" applyFont="1" applyFill="1" applyBorder="1" applyAlignment="1">
      <alignment vertical="center" wrapText="1"/>
    </xf>
    <xf numFmtId="0" fontId="94" fillId="51" borderId="73" xfId="0" applyFont="1" applyFill="1" applyBorder="1" applyAlignment="1">
      <alignment vertical="center" wrapText="1"/>
    </xf>
    <xf numFmtId="0" fontId="76" fillId="0" borderId="0" xfId="0" applyFont="1" applyFill="1" applyAlignment="1" applyProtection="1">
      <alignment vertical="top" wrapText="1"/>
    </xf>
    <xf numFmtId="0" fontId="66" fillId="34" borderId="72" xfId="0" applyFont="1" applyFill="1" applyBorder="1" applyAlignment="1" applyProtection="1">
      <protection locked="0"/>
    </xf>
    <xf numFmtId="0" fontId="66" fillId="34" borderId="50" xfId="0" applyFont="1" applyFill="1" applyBorder="1" applyAlignment="1" applyProtection="1">
      <protection locked="0"/>
    </xf>
    <xf numFmtId="0" fontId="66" fillId="34" borderId="73" xfId="0" applyFont="1" applyFill="1" applyBorder="1" applyAlignment="1" applyProtection="1">
      <protection locked="0"/>
    </xf>
    <xf numFmtId="0" fontId="30" fillId="0" borderId="0" xfId="0" applyFont="1"/>
    <xf numFmtId="0" fontId="30" fillId="0" borderId="0" xfId="0" applyFont="1" applyFill="1" applyBorder="1"/>
    <xf numFmtId="166" fontId="50" fillId="0" borderId="0" xfId="0" applyNumberFormat="1" applyFont="1" applyFill="1" applyBorder="1" applyAlignment="1">
      <alignment horizontal="right"/>
    </xf>
    <xf numFmtId="0" fontId="50" fillId="0" borderId="0" xfId="0" applyFont="1" applyFill="1" applyBorder="1"/>
    <xf numFmtId="0" fontId="50" fillId="0" borderId="0" xfId="0" applyFont="1" applyBorder="1"/>
    <xf numFmtId="0" fontId="30" fillId="0" borderId="0" xfId="0" applyFont="1" applyBorder="1"/>
    <xf numFmtId="0" fontId="30" fillId="0" borderId="0" xfId="0" applyFont="1" applyAlignment="1">
      <alignment horizontal="right"/>
    </xf>
    <xf numFmtId="5" fontId="30" fillId="0" borderId="0" xfId="0" applyNumberFormat="1" applyFont="1" applyAlignment="1">
      <alignment horizontal="right"/>
    </xf>
    <xf numFmtId="0" fontId="30" fillId="33" borderId="0" xfId="0" applyFont="1" applyFill="1"/>
    <xf numFmtId="0" fontId="95" fillId="60" borderId="0" xfId="0" applyFont="1" applyFill="1" applyAlignment="1" applyProtection="1">
      <alignment vertical="top" wrapText="1"/>
    </xf>
    <xf numFmtId="0" fontId="30" fillId="0" borderId="0" xfId="0" applyFont="1" applyFill="1"/>
    <xf numFmtId="0" fontId="24" fillId="51" borderId="53" xfId="0" applyFont="1" applyFill="1" applyBorder="1" applyAlignment="1">
      <alignment vertical="center" wrapText="1"/>
    </xf>
    <xf numFmtId="0" fontId="66" fillId="0" borderId="0" xfId="0" applyFont="1" applyFill="1" applyBorder="1" applyAlignment="1">
      <alignment horizontal="center" vertical="center"/>
    </xf>
    <xf numFmtId="5" fontId="26" fillId="33" borderId="10" xfId="0" applyNumberFormat="1" applyFont="1" applyFill="1" applyBorder="1" applyAlignment="1" applyProtection="1">
      <alignment horizontal="right"/>
    </xf>
    <xf numFmtId="0" fontId="0" fillId="0" borderId="0" xfId="0"/>
    <xf numFmtId="0" fontId="94" fillId="51" borderId="0" xfId="0" applyNumberFormat="1" applyFont="1" applyFill="1" applyBorder="1" applyAlignment="1">
      <alignment horizontal="center"/>
    </xf>
    <xf numFmtId="0" fontId="53" fillId="0" borderId="0" xfId="0" applyFont="1" applyAlignment="1">
      <alignment horizontal="center"/>
    </xf>
    <xf numFmtId="0" fontId="25" fillId="0" borderId="0" xfId="0" applyFont="1"/>
    <xf numFmtId="0" fontId="25" fillId="0" borderId="0" xfId="0" applyFont="1" applyAlignment="1">
      <alignment horizontal="center"/>
    </xf>
    <xf numFmtId="164" fontId="25" fillId="0" borderId="0" xfId="0" applyNumberFormat="1" applyFont="1"/>
    <xf numFmtId="1" fontId="26" fillId="0" borderId="0" xfId="0" applyNumberFormat="1" applyFont="1" applyAlignment="1">
      <alignment horizontal="right"/>
    </xf>
    <xf numFmtId="5" fontId="30" fillId="0" borderId="0" xfId="0" applyNumberFormat="1" applyFont="1" applyFill="1" applyProtection="1"/>
    <xf numFmtId="0" fontId="0" fillId="62" borderId="0" xfId="0" applyFill="1"/>
    <xf numFmtId="0" fontId="76" fillId="51" borderId="0" xfId="0" applyFont="1" applyFill="1" applyAlignment="1" applyProtection="1">
      <alignment vertical="top" wrapText="1"/>
    </xf>
    <xf numFmtId="0" fontId="47" fillId="0" borderId="0" xfId="0" applyFont="1" applyFill="1" applyBorder="1" applyProtection="1"/>
    <xf numFmtId="0" fontId="47" fillId="0" borderId="0" xfId="0" applyFont="1" applyFill="1" applyBorder="1" applyAlignment="1" applyProtection="1">
      <alignment horizontal="center"/>
    </xf>
    <xf numFmtId="0" fontId="30" fillId="0" borderId="0" xfId="0" applyFont="1" applyFill="1" applyBorder="1" applyProtection="1"/>
    <xf numFmtId="5" fontId="30" fillId="0" borderId="0" xfId="0" applyNumberFormat="1" applyFont="1" applyFill="1" applyBorder="1" applyProtection="1"/>
    <xf numFmtId="166" fontId="47" fillId="0" borderId="0" xfId="0" applyNumberFormat="1" applyFont="1" applyFill="1" applyBorder="1" applyProtection="1"/>
    <xf numFmtId="0" fontId="55" fillId="51" borderId="0" xfId="0" applyFont="1" applyFill="1" applyProtection="1"/>
    <xf numFmtId="5" fontId="26" fillId="53" borderId="26" xfId="0" applyNumberFormat="1" applyFont="1" applyFill="1" applyBorder="1" applyProtection="1"/>
    <xf numFmtId="5" fontId="26" fillId="53" borderId="0" xfId="0" applyNumberFormat="1" applyFont="1" applyFill="1" applyBorder="1" applyAlignment="1" applyProtection="1"/>
    <xf numFmtId="5" fontId="26" fillId="53" borderId="0" xfId="0" applyNumberFormat="1" applyFont="1" applyFill="1" applyBorder="1" applyProtection="1"/>
    <xf numFmtId="5" fontId="26" fillId="33" borderId="94" xfId="0" applyNumberFormat="1" applyFont="1" applyFill="1" applyBorder="1" applyProtection="1"/>
    <xf numFmtId="5" fontId="26" fillId="33" borderId="97" xfId="0" applyNumberFormat="1" applyFont="1" applyFill="1" applyBorder="1" applyProtection="1"/>
    <xf numFmtId="5" fontId="26" fillId="33" borderId="98" xfId="0" applyNumberFormat="1" applyFont="1" applyFill="1" applyBorder="1" applyAlignment="1" applyProtection="1">
      <alignment horizontal="right"/>
    </xf>
    <xf numFmtId="5" fontId="26" fillId="33" borderId="99" xfId="0" applyNumberFormat="1" applyFont="1" applyFill="1" applyBorder="1" applyAlignment="1" applyProtection="1">
      <alignment horizontal="right"/>
    </xf>
    <xf numFmtId="166" fontId="26" fillId="33" borderId="98" xfId="0" applyNumberFormat="1" applyFont="1" applyFill="1" applyBorder="1" applyProtection="1"/>
    <xf numFmtId="166" fontId="26" fillId="33" borderId="99" xfId="0" applyNumberFormat="1" applyFont="1" applyFill="1" applyBorder="1" applyProtection="1"/>
    <xf numFmtId="169" fontId="26" fillId="53" borderId="14" xfId="0" applyNumberFormat="1" applyFont="1" applyFill="1" applyBorder="1" applyProtection="1"/>
    <xf numFmtId="5" fontId="26" fillId="33" borderId="26" xfId="0" applyNumberFormat="1" applyFont="1" applyFill="1" applyBorder="1" applyProtection="1"/>
    <xf numFmtId="5" fontId="26" fillId="33" borderId="0" xfId="0" applyNumberFormat="1" applyFont="1" applyFill="1" applyBorder="1" applyAlignment="1" applyProtection="1"/>
    <xf numFmtId="5" fontId="26" fillId="33" borderId="0" xfId="0" applyNumberFormat="1" applyFont="1" applyFill="1" applyBorder="1" applyProtection="1"/>
    <xf numFmtId="5" fontId="26" fillId="33" borderId="20" xfId="0" applyNumberFormat="1" applyFont="1" applyFill="1" applyBorder="1" applyAlignment="1" applyProtection="1">
      <alignment horizontal="right"/>
    </xf>
    <xf numFmtId="166" fontId="26" fillId="33" borderId="10" xfId="0" applyNumberFormat="1" applyFont="1" applyFill="1" applyBorder="1" applyProtection="1"/>
    <xf numFmtId="166" fontId="26" fillId="33" borderId="20" xfId="0" applyNumberFormat="1" applyFont="1" applyFill="1" applyBorder="1" applyProtection="1"/>
    <xf numFmtId="5" fontId="26" fillId="53" borderId="101" xfId="0" applyNumberFormat="1" applyFont="1" applyFill="1" applyBorder="1" applyProtection="1"/>
    <xf numFmtId="5" fontId="26" fillId="53" borderId="103" xfId="0" applyNumberFormat="1" applyFont="1" applyFill="1" applyBorder="1" applyProtection="1"/>
    <xf numFmtId="5" fontId="26" fillId="53" borderId="105" xfId="0" applyNumberFormat="1" applyFont="1" applyFill="1" applyBorder="1" applyAlignment="1" applyProtection="1">
      <alignment horizontal="right"/>
    </xf>
    <xf numFmtId="5" fontId="26" fillId="53" borderId="106" xfId="0" applyNumberFormat="1" applyFont="1" applyFill="1" applyBorder="1" applyAlignment="1" applyProtection="1">
      <alignment horizontal="right"/>
    </xf>
    <xf numFmtId="166" fontId="26" fillId="53" borderId="105" xfId="0" applyNumberFormat="1" applyFont="1" applyFill="1" applyBorder="1" applyProtection="1"/>
    <xf numFmtId="166" fontId="26" fillId="53" borderId="106" xfId="0" applyNumberFormat="1" applyFont="1" applyFill="1" applyBorder="1" applyProtection="1"/>
    <xf numFmtId="169" fontId="26" fillId="53" borderId="100" xfId="0" applyNumberFormat="1" applyFont="1" applyFill="1" applyBorder="1" applyProtection="1"/>
    <xf numFmtId="0" fontId="26" fillId="33" borderId="23" xfId="0" applyFont="1" applyFill="1" applyBorder="1" applyProtection="1"/>
    <xf numFmtId="5" fontId="26" fillId="33" borderId="103" xfId="0" applyNumberFormat="1" applyFont="1" applyFill="1" applyBorder="1" applyAlignment="1" applyProtection="1"/>
    <xf numFmtId="5" fontId="26" fillId="33" borderId="103" xfId="0" applyNumberFormat="1" applyFont="1" applyFill="1" applyBorder="1" applyProtection="1"/>
    <xf numFmtId="5" fontId="26" fillId="33" borderId="105" xfId="0" applyNumberFormat="1" applyFont="1" applyFill="1" applyBorder="1" applyAlignment="1" applyProtection="1">
      <alignment horizontal="right"/>
    </xf>
    <xf numFmtId="5" fontId="26" fillId="33" borderId="106" xfId="0" applyNumberFormat="1" applyFont="1" applyFill="1" applyBorder="1" applyAlignment="1" applyProtection="1">
      <alignment horizontal="right"/>
    </xf>
    <xf numFmtId="166" fontId="26" fillId="33" borderId="105" xfId="0" applyNumberFormat="1" applyFont="1" applyFill="1" applyBorder="1" applyProtection="1"/>
    <xf numFmtId="166" fontId="26" fillId="33" borderId="106" xfId="0" applyNumberFormat="1" applyFont="1" applyFill="1" applyBorder="1" applyProtection="1"/>
    <xf numFmtId="5" fontId="26" fillId="33" borderId="101" xfId="0" applyNumberFormat="1" applyFont="1" applyFill="1" applyBorder="1" applyProtection="1"/>
    <xf numFmtId="166" fontId="26" fillId="33" borderId="103" xfId="0" applyNumberFormat="1" applyFont="1" applyFill="1" applyBorder="1" applyProtection="1"/>
    <xf numFmtId="168" fontId="26" fillId="33" borderId="0" xfId="0" applyNumberFormat="1" applyFont="1" applyFill="1" applyBorder="1" applyProtection="1"/>
    <xf numFmtId="168" fontId="26" fillId="53" borderId="103" xfId="0" applyNumberFormat="1" applyFont="1" applyFill="1" applyBorder="1" applyProtection="1"/>
    <xf numFmtId="168" fontId="26" fillId="53" borderId="0" xfId="0" applyNumberFormat="1" applyFont="1" applyFill="1" applyBorder="1" applyProtection="1"/>
    <xf numFmtId="168" fontId="26" fillId="33" borderId="97" xfId="0" applyNumberFormat="1" applyFont="1" applyFill="1" applyBorder="1" applyProtection="1"/>
    <xf numFmtId="168" fontId="26" fillId="33" borderId="103" xfId="0" applyNumberFormat="1" applyFont="1" applyFill="1" applyBorder="1" applyProtection="1"/>
    <xf numFmtId="0" fontId="32" fillId="56" borderId="108" xfId="0" applyFont="1" applyFill="1" applyBorder="1" applyAlignment="1" applyProtection="1">
      <alignment horizontal="center" vertical="center"/>
    </xf>
    <xf numFmtId="0" fontId="32" fillId="56" borderId="107" xfId="0" applyFont="1" applyFill="1" applyBorder="1" applyAlignment="1" applyProtection="1">
      <alignment horizontal="center" vertical="center"/>
    </xf>
    <xf numFmtId="0" fontId="32" fillId="56" borderId="109" xfId="0" applyFont="1" applyFill="1" applyBorder="1" applyAlignment="1" applyProtection="1">
      <alignment horizontal="center" vertical="center"/>
    </xf>
    <xf numFmtId="0" fontId="32" fillId="56" borderId="110" xfId="0" applyFont="1" applyFill="1" applyBorder="1" applyAlignment="1" applyProtection="1">
      <alignment horizontal="center" vertical="center"/>
    </xf>
    <xf numFmtId="166" fontId="26" fillId="53" borderId="111" xfId="0" applyNumberFormat="1" applyFont="1" applyFill="1" applyBorder="1" applyProtection="1"/>
    <xf numFmtId="166" fontId="26" fillId="53" borderId="112" xfId="0" applyNumberFormat="1" applyFont="1" applyFill="1" applyBorder="1" applyProtection="1"/>
    <xf numFmtId="166" fontId="26" fillId="53" borderId="113" xfId="0" applyNumberFormat="1" applyFont="1" applyFill="1" applyBorder="1" applyProtection="1"/>
    <xf numFmtId="5" fontId="26" fillId="53" borderId="111" xfId="0" applyNumberFormat="1" applyFont="1" applyFill="1" applyBorder="1" applyAlignment="1" applyProtection="1">
      <alignment horizontal="right"/>
    </xf>
    <xf numFmtId="5" fontId="26" fillId="53" borderId="112" xfId="0" applyNumberFormat="1" applyFont="1" applyFill="1" applyBorder="1" applyAlignment="1" applyProtection="1">
      <alignment horizontal="right"/>
    </xf>
    <xf numFmtId="5" fontId="26" fillId="53" borderId="113" xfId="0" applyNumberFormat="1" applyFont="1" applyFill="1" applyBorder="1" applyAlignment="1" applyProtection="1">
      <alignment horizontal="right"/>
    </xf>
    <xf numFmtId="5" fontId="26" fillId="53" borderId="114" xfId="0" applyNumberFormat="1" applyFont="1" applyFill="1" applyBorder="1" applyAlignment="1" applyProtection="1">
      <alignment horizontal="right"/>
    </xf>
    <xf numFmtId="166" fontId="26" fillId="53" borderId="114" xfId="0" applyNumberFormat="1" applyFont="1" applyFill="1" applyBorder="1" applyProtection="1"/>
    <xf numFmtId="5" fontId="26" fillId="33" borderId="115" xfId="0" applyNumberFormat="1" applyFont="1" applyFill="1" applyBorder="1" applyProtection="1"/>
    <xf numFmtId="5" fontId="26" fillId="33" borderId="116" xfId="0" applyNumberFormat="1" applyFont="1" applyFill="1" applyBorder="1" applyAlignment="1" applyProtection="1"/>
    <xf numFmtId="5" fontId="26" fillId="33" borderId="116" xfId="0" applyNumberFormat="1" applyFont="1" applyFill="1" applyBorder="1" applyProtection="1"/>
    <xf numFmtId="168" fontId="26" fillId="33" borderId="116" xfId="0" applyNumberFormat="1" applyFont="1" applyFill="1" applyBorder="1" applyProtection="1"/>
    <xf numFmtId="0" fontId="32" fillId="56" borderId="117" xfId="0" applyFont="1" applyFill="1" applyBorder="1" applyAlignment="1" applyProtection="1">
      <alignment horizontal="center" vertical="center"/>
    </xf>
    <xf numFmtId="5" fontId="26" fillId="33" borderId="118" xfId="0" applyNumberFormat="1" applyFont="1" applyFill="1" applyBorder="1" applyAlignment="1" applyProtection="1">
      <alignment horizontal="right"/>
    </xf>
    <xf numFmtId="5" fontId="26" fillId="33" borderId="119" xfId="0" applyNumberFormat="1" applyFont="1" applyFill="1" applyBorder="1" applyAlignment="1" applyProtection="1">
      <alignment horizontal="right"/>
    </xf>
    <xf numFmtId="166" fontId="26" fillId="33" borderId="118" xfId="0" applyNumberFormat="1" applyFont="1" applyFill="1" applyBorder="1" applyProtection="1"/>
    <xf numFmtId="166" fontId="26" fillId="33" borderId="119" xfId="0" applyNumberFormat="1" applyFont="1" applyFill="1" applyBorder="1" applyProtection="1"/>
    <xf numFmtId="0" fontId="43" fillId="56" borderId="122" xfId="0" applyFont="1" applyFill="1" applyBorder="1" applyProtection="1"/>
    <xf numFmtId="0" fontId="32" fillId="56" borderId="122" xfId="0" applyFont="1" applyFill="1" applyBorder="1" applyProtection="1"/>
    <xf numFmtId="0" fontId="32" fillId="56" borderId="122" xfId="0" applyFont="1" applyFill="1" applyBorder="1" applyAlignment="1" applyProtection="1">
      <alignment vertical="center"/>
    </xf>
    <xf numFmtId="0" fontId="32" fillId="56" borderId="122" xfId="0" applyFont="1" applyFill="1" applyBorder="1" applyAlignment="1" applyProtection="1">
      <alignment horizontal="center"/>
    </xf>
    <xf numFmtId="0" fontId="26" fillId="33" borderId="101" xfId="0" applyFont="1" applyFill="1" applyBorder="1" applyProtection="1"/>
    <xf numFmtId="0" fontId="26" fillId="33" borderId="115" xfId="0" applyFont="1" applyFill="1" applyBorder="1" applyProtection="1"/>
    <xf numFmtId="0" fontId="26" fillId="33" borderId="103" xfId="0" applyFont="1" applyFill="1" applyBorder="1" applyProtection="1"/>
    <xf numFmtId="0" fontId="26" fillId="33" borderId="116" xfId="0" applyFont="1" applyFill="1" applyBorder="1" applyProtection="1"/>
    <xf numFmtId="0" fontId="20" fillId="36" borderId="104" xfId="0" applyFont="1" applyFill="1" applyBorder="1" applyAlignment="1" applyProtection="1">
      <alignment horizontal="center" vertical="center"/>
    </xf>
    <xf numFmtId="0" fontId="47" fillId="51" borderId="0" xfId="0" applyFont="1" applyFill="1"/>
    <xf numFmtId="0" fontId="111" fillId="51" borderId="0" xfId="0" applyFont="1" applyFill="1"/>
    <xf numFmtId="5" fontId="111" fillId="51" borderId="0" xfId="0" applyNumberFormat="1" applyFont="1" applyFill="1"/>
    <xf numFmtId="0" fontId="111" fillId="51" borderId="0" xfId="0" applyFont="1" applyFill="1" applyProtection="1"/>
    <xf numFmtId="0" fontId="111" fillId="51" borderId="0" xfId="0" applyFont="1" applyFill="1" applyAlignment="1" applyProtection="1">
      <alignment horizontal="center"/>
    </xf>
    <xf numFmtId="166" fontId="111" fillId="51" borderId="0" xfId="0" applyNumberFormat="1" applyFont="1" applyFill="1" applyProtection="1"/>
    <xf numFmtId="5" fontId="111" fillId="51" borderId="0" xfId="0" applyNumberFormat="1" applyFont="1" applyFill="1" applyProtection="1"/>
    <xf numFmtId="0" fontId="112" fillId="51" borderId="0" xfId="0" applyFont="1" applyFill="1" applyAlignment="1" applyProtection="1"/>
    <xf numFmtId="0" fontId="47" fillId="51" borderId="125" xfId="0" applyFont="1" applyFill="1" applyBorder="1" applyProtection="1"/>
    <xf numFmtId="5" fontId="47" fillId="51" borderId="125" xfId="0" applyNumberFormat="1" applyFont="1" applyFill="1" applyBorder="1" applyProtection="1"/>
    <xf numFmtId="0" fontId="47" fillId="51" borderId="125" xfId="0" applyFont="1" applyFill="1" applyBorder="1"/>
    <xf numFmtId="0" fontId="47" fillId="51" borderId="0" xfId="0" applyFont="1" applyFill="1" applyProtection="1"/>
    <xf numFmtId="0" fontId="111" fillId="51" borderId="0" xfId="0" applyFont="1" applyFill="1" applyBorder="1" applyAlignment="1" applyProtection="1">
      <alignment horizontal="right"/>
    </xf>
    <xf numFmtId="0" fontId="114" fillId="51" borderId="0" xfId="0" applyFont="1" applyFill="1" applyBorder="1" applyAlignment="1" applyProtection="1">
      <alignment horizontal="right"/>
    </xf>
    <xf numFmtId="0" fontId="111" fillId="51" borderId="0" xfId="0" applyFont="1" applyFill="1" applyBorder="1" applyAlignment="1" applyProtection="1">
      <alignment horizontal="left"/>
    </xf>
    <xf numFmtId="0" fontId="111" fillId="51" borderId="0" xfId="0" applyFont="1" applyFill="1" applyBorder="1" applyAlignment="1" applyProtection="1"/>
    <xf numFmtId="5" fontId="47" fillId="51" borderId="125" xfId="0" applyNumberFormat="1" applyFont="1" applyFill="1" applyBorder="1" applyAlignment="1">
      <alignment horizontal="right"/>
    </xf>
    <xf numFmtId="0" fontId="111" fillId="51" borderId="0" xfId="0" applyFont="1" applyFill="1" applyBorder="1"/>
    <xf numFmtId="2" fontId="111" fillId="51" borderId="0" xfId="0" applyNumberFormat="1" applyFont="1" applyFill="1" applyBorder="1" applyAlignment="1">
      <alignment horizontal="center"/>
    </xf>
    <xf numFmtId="0" fontId="30" fillId="58" borderId="125" xfId="0" applyFont="1" applyFill="1" applyBorder="1"/>
    <xf numFmtId="0" fontId="30" fillId="58" borderId="125" xfId="0" applyFont="1" applyFill="1" applyBorder="1" applyAlignment="1">
      <alignment horizontal="center"/>
    </xf>
    <xf numFmtId="5" fontId="30" fillId="58" borderId="125" xfId="0" applyNumberFormat="1" applyFont="1" applyFill="1" applyBorder="1" applyAlignment="1">
      <alignment wrapText="1"/>
    </xf>
    <xf numFmtId="5" fontId="30" fillId="58" borderId="125" xfId="0" applyNumberFormat="1" applyFont="1" applyFill="1" applyBorder="1" applyAlignment="1">
      <alignment horizontal="right"/>
    </xf>
    <xf numFmtId="5" fontId="30" fillId="58" borderId="125" xfId="0" applyNumberFormat="1" applyFont="1" applyFill="1" applyBorder="1"/>
    <xf numFmtId="0" fontId="47" fillId="0" borderId="0" xfId="0" applyFont="1" applyFill="1" applyAlignment="1">
      <alignment horizontal="left" wrapText="1"/>
    </xf>
    <xf numFmtId="0" fontId="47" fillId="0" borderId="0" xfId="0" applyNumberFormat="1" applyFont="1" applyFill="1" applyAlignment="1">
      <alignment wrapText="1"/>
    </xf>
    <xf numFmtId="0" fontId="50" fillId="0" borderId="0" xfId="0" applyFont="1" applyFill="1" applyAlignment="1">
      <alignment wrapText="1"/>
    </xf>
    <xf numFmtId="0" fontId="115" fillId="0" borderId="0" xfId="0" applyNumberFormat="1" applyFont="1" applyFill="1" applyBorder="1" applyAlignment="1">
      <alignment horizontal="center"/>
    </xf>
    <xf numFmtId="0" fontId="30" fillId="0" borderId="0" xfId="0" applyFont="1" applyFill="1" applyBorder="1" applyAlignment="1">
      <alignment horizontal="center"/>
    </xf>
    <xf numFmtId="5" fontId="30" fillId="0" borderId="0" xfId="0" applyNumberFormat="1" applyFont="1" applyFill="1" applyBorder="1" applyAlignment="1">
      <alignment horizontal="right"/>
    </xf>
    <xf numFmtId="5" fontId="30" fillId="0" borderId="0" xfId="0" applyNumberFormat="1" applyFont="1" applyFill="1" applyBorder="1"/>
    <xf numFmtId="0" fontId="0" fillId="58" borderId="0" xfId="0" applyFill="1"/>
    <xf numFmtId="0" fontId="43" fillId="0" borderId="0" xfId="0" applyNumberFormat="1" applyFont="1" applyFill="1" applyBorder="1" applyAlignment="1">
      <alignment horizontal="center"/>
    </xf>
    <xf numFmtId="5" fontId="50" fillId="0" borderId="0" xfId="0" applyNumberFormat="1" applyFont="1" applyFill="1" applyAlignment="1">
      <alignment horizontal="right"/>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94" fillId="51" borderId="0" xfId="0" applyFont="1" applyFill="1" applyBorder="1" applyAlignment="1">
      <alignment horizontal="center"/>
    </xf>
    <xf numFmtId="0" fontId="69" fillId="38" borderId="0" xfId="0" applyFont="1" applyFill="1" applyAlignment="1">
      <alignment horizontal="left" vertical="center"/>
    </xf>
    <xf numFmtId="0" fontId="32" fillId="51" borderId="91" xfId="0" applyFont="1" applyFill="1" applyBorder="1" applyAlignment="1">
      <alignment horizontal="center"/>
    </xf>
    <xf numFmtId="0" fontId="107" fillId="51" borderId="53" xfId="0" applyFont="1" applyFill="1" applyBorder="1" applyAlignment="1">
      <alignment horizontal="center" vertical="center" wrapText="1"/>
    </xf>
    <xf numFmtId="0" fontId="94" fillId="51" borderId="53" xfId="0" applyFont="1" applyFill="1" applyBorder="1" applyAlignment="1">
      <alignment horizontal="center" vertical="center" wrapText="1"/>
    </xf>
    <xf numFmtId="0" fontId="94" fillId="51" borderId="53" xfId="0" applyFont="1" applyFill="1" applyBorder="1" applyAlignment="1">
      <alignment horizontal="center" vertical="center"/>
    </xf>
    <xf numFmtId="0" fontId="0" fillId="0" borderId="0" xfId="0"/>
    <xf numFmtId="0" fontId="67" fillId="0" borderId="0" xfId="0" applyFont="1" applyFill="1" applyAlignment="1"/>
    <xf numFmtId="0" fontId="67" fillId="0" borderId="0" xfId="0" applyFont="1" applyFill="1"/>
    <xf numFmtId="0" fontId="87" fillId="0" borderId="0" xfId="0" applyFont="1" applyFill="1" applyAlignment="1">
      <alignment vertical="top" wrapText="1"/>
    </xf>
    <xf numFmtId="0" fontId="9" fillId="0" borderId="0" xfId="0" applyFont="1" applyFill="1"/>
    <xf numFmtId="5" fontId="0" fillId="0" borderId="0" xfId="0" applyNumberFormat="1"/>
    <xf numFmtId="0" fontId="3" fillId="33" borderId="0" xfId="0" applyFont="1" applyFill="1" applyBorder="1"/>
    <xf numFmtId="0" fontId="83" fillId="56" borderId="127" xfId="0" applyFont="1" applyFill="1" applyBorder="1" applyAlignment="1">
      <alignment horizontal="center"/>
    </xf>
    <xf numFmtId="0" fontId="83" fillId="56" borderId="131" xfId="0" applyFont="1" applyFill="1" applyBorder="1"/>
    <xf numFmtId="0" fontId="83" fillId="56" borderId="132" xfId="0" applyFont="1" applyFill="1" applyBorder="1"/>
    <xf numFmtId="0" fontId="83" fillId="56" borderId="132" xfId="0" applyFont="1" applyFill="1" applyBorder="1" applyAlignment="1">
      <alignment horizontal="right"/>
    </xf>
    <xf numFmtId="0" fontId="83" fillId="56" borderId="133" xfId="0" applyFont="1" applyFill="1" applyBorder="1" applyAlignment="1">
      <alignment horizontal="right"/>
    </xf>
    <xf numFmtId="0" fontId="83" fillId="56" borderId="134" xfId="0" applyFont="1" applyFill="1" applyBorder="1" applyAlignment="1">
      <alignment horizontal="center"/>
    </xf>
    <xf numFmtId="0" fontId="20" fillId="36" borderId="131" xfId="0" applyFont="1" applyFill="1" applyBorder="1" applyAlignment="1">
      <alignment horizontal="center" vertical="center"/>
    </xf>
    <xf numFmtId="0" fontId="71" fillId="33" borderId="135" xfId="0" applyFont="1" applyFill="1" applyBorder="1" applyAlignment="1"/>
    <xf numFmtId="0" fontId="3" fillId="33" borderId="135" xfId="0" applyFont="1" applyFill="1" applyBorder="1"/>
    <xf numFmtId="0" fontId="4" fillId="33" borderId="137" xfId="0" applyFont="1" applyFill="1" applyBorder="1"/>
    <xf numFmtId="0" fontId="4" fillId="33" borderId="138" xfId="0" applyFont="1" applyFill="1" applyBorder="1"/>
    <xf numFmtId="0" fontId="83" fillId="56" borderId="128" xfId="0" applyFont="1" applyFill="1" applyBorder="1" applyAlignment="1">
      <alignment horizontal="center"/>
    </xf>
    <xf numFmtId="0" fontId="83" fillId="56" borderId="139" xfId="0" applyFont="1" applyFill="1" applyBorder="1" applyAlignment="1">
      <alignment horizontal="center"/>
    </xf>
    <xf numFmtId="0" fontId="83" fillId="56" borderId="131" xfId="0" applyFont="1" applyFill="1" applyBorder="1" applyAlignment="1">
      <alignment horizontal="center"/>
    </xf>
    <xf numFmtId="0" fontId="83" fillId="56" borderId="140" xfId="0" applyFont="1" applyFill="1" applyBorder="1" applyAlignment="1">
      <alignment horizontal="center"/>
    </xf>
    <xf numFmtId="0" fontId="3" fillId="33" borderId="131" xfId="0" applyFont="1" applyFill="1" applyBorder="1"/>
    <xf numFmtId="0" fontId="3" fillId="33" borderId="132" xfId="0" applyFont="1" applyFill="1" applyBorder="1"/>
    <xf numFmtId="166" fontId="3" fillId="33" borderId="132" xfId="0" applyNumberFormat="1" applyFont="1" applyFill="1" applyBorder="1"/>
    <xf numFmtId="0" fontId="3" fillId="33" borderId="137" xfId="0" applyFont="1" applyFill="1" applyBorder="1"/>
    <xf numFmtId="0" fontId="3" fillId="33" borderId="138" xfId="0" applyFont="1" applyFill="1" applyBorder="1"/>
    <xf numFmtId="0" fontId="4" fillId="33" borderId="131" xfId="0" applyFont="1" applyFill="1" applyBorder="1"/>
    <xf numFmtId="0" fontId="4" fillId="33" borderId="132" xfId="0" applyFont="1" applyFill="1" applyBorder="1"/>
    <xf numFmtId="0" fontId="3" fillId="33" borderId="146" xfId="0" applyFont="1" applyFill="1" applyBorder="1"/>
    <xf numFmtId="0" fontId="3" fillId="33" borderId="147" xfId="0" applyFont="1" applyFill="1" applyBorder="1"/>
    <xf numFmtId="166" fontId="76" fillId="33" borderId="148" xfId="0" applyNumberFormat="1" applyFont="1" applyFill="1" applyBorder="1"/>
    <xf numFmtId="166" fontId="76" fillId="33" borderId="150" xfId="0" applyNumberFormat="1" applyFont="1" applyFill="1" applyBorder="1"/>
    <xf numFmtId="166" fontId="76" fillId="33" borderId="151" xfId="0" applyNumberFormat="1" applyFont="1" applyFill="1" applyBorder="1"/>
    <xf numFmtId="166" fontId="76" fillId="33" borderId="153" xfId="0" applyNumberFormat="1" applyFont="1" applyFill="1" applyBorder="1"/>
    <xf numFmtId="166" fontId="76" fillId="33" borderId="154" xfId="0" applyNumberFormat="1" applyFont="1" applyFill="1" applyBorder="1"/>
    <xf numFmtId="166" fontId="76" fillId="33" borderId="156" xfId="0" applyNumberFormat="1" applyFont="1" applyFill="1" applyBorder="1"/>
    <xf numFmtId="0" fontId="2" fillId="33" borderId="157" xfId="0" applyFont="1" applyFill="1" applyBorder="1" applyAlignment="1"/>
    <xf numFmtId="0" fontId="2" fillId="33" borderId="158" xfId="0" applyFont="1" applyFill="1" applyBorder="1" applyAlignment="1"/>
    <xf numFmtId="0" fontId="0" fillId="33" borderId="135" xfId="0" applyFill="1" applyBorder="1" applyAlignment="1">
      <alignment vertical="top"/>
    </xf>
    <xf numFmtId="0" fontId="2" fillId="33" borderId="162" xfId="0" applyFont="1" applyFill="1" applyBorder="1" applyAlignment="1"/>
    <xf numFmtId="0" fontId="2" fillId="33" borderId="163" xfId="0" applyFont="1" applyFill="1" applyBorder="1" applyAlignment="1"/>
    <xf numFmtId="0" fontId="2" fillId="33" borderId="153" xfId="0" applyFont="1" applyFill="1" applyBorder="1" applyAlignment="1"/>
    <xf numFmtId="0" fontId="2" fillId="33" borderId="164" xfId="0" applyFont="1" applyFill="1" applyBorder="1" applyAlignment="1"/>
    <xf numFmtId="166" fontId="76" fillId="33" borderId="167" xfId="0" applyNumberFormat="1" applyFont="1" applyFill="1" applyBorder="1" applyAlignment="1">
      <alignment horizontal="right"/>
    </xf>
    <xf numFmtId="166" fontId="76" fillId="33" borderId="150" xfId="0" applyNumberFormat="1" applyFont="1" applyFill="1" applyBorder="1" applyAlignment="1">
      <alignment horizontal="right"/>
    </xf>
    <xf numFmtId="166" fontId="76" fillId="33" borderId="149" xfId="0" applyNumberFormat="1" applyFont="1" applyFill="1" applyBorder="1" applyAlignment="1">
      <alignment horizontal="right"/>
    </xf>
    <xf numFmtId="0" fontId="2" fillId="33" borderId="169" xfId="0" applyFont="1" applyFill="1" applyBorder="1" applyAlignment="1"/>
    <xf numFmtId="166" fontId="76" fillId="33" borderId="152" xfId="0" applyNumberFormat="1" applyFont="1" applyFill="1" applyBorder="1" applyAlignment="1">
      <alignment horizontal="right"/>
    </xf>
    <xf numFmtId="166" fontId="76" fillId="33" borderId="163" xfId="0" applyNumberFormat="1" applyFont="1" applyFill="1" applyBorder="1" applyAlignment="1">
      <alignment horizontal="right"/>
    </xf>
    <xf numFmtId="166" fontId="76" fillId="33" borderId="153" xfId="0" applyNumberFormat="1" applyFont="1" applyFill="1" applyBorder="1" applyAlignment="1">
      <alignment horizontal="right"/>
    </xf>
    <xf numFmtId="166" fontId="76" fillId="33" borderId="155" xfId="0" applyNumberFormat="1" applyFont="1" applyFill="1" applyBorder="1" applyAlignment="1">
      <alignment horizontal="right"/>
    </xf>
    <xf numFmtId="166" fontId="76" fillId="33" borderId="170" xfId="0" applyNumberFormat="1" applyFont="1" applyFill="1" applyBorder="1" applyAlignment="1">
      <alignment horizontal="right"/>
    </xf>
    <xf numFmtId="166" fontId="76" fillId="33" borderId="156" xfId="0" applyNumberFormat="1" applyFont="1" applyFill="1" applyBorder="1" applyAlignment="1">
      <alignment horizontal="right"/>
    </xf>
    <xf numFmtId="0" fontId="2" fillId="33" borderId="172" xfId="0" applyFont="1" applyFill="1" applyBorder="1" applyAlignment="1"/>
    <xf numFmtId="0" fontId="2" fillId="33" borderId="173" xfId="0" applyFont="1" applyFill="1" applyBorder="1" applyAlignment="1"/>
    <xf numFmtId="0" fontId="2" fillId="33" borderId="174" xfId="0" applyFont="1" applyFill="1" applyBorder="1" applyAlignment="1"/>
    <xf numFmtId="166" fontId="76" fillId="33" borderId="171" xfId="0" applyNumberFormat="1" applyFont="1" applyFill="1" applyBorder="1" applyAlignment="1">
      <alignment horizontal="right"/>
    </xf>
    <xf numFmtId="166" fontId="76" fillId="33" borderId="175" xfId="0" applyNumberFormat="1" applyFont="1" applyFill="1" applyBorder="1" applyAlignment="1">
      <alignment horizontal="right"/>
    </xf>
    <xf numFmtId="166" fontId="76" fillId="33" borderId="176" xfId="0" applyNumberFormat="1" applyFont="1" applyFill="1" applyBorder="1" applyAlignment="1">
      <alignment horizontal="right"/>
    </xf>
    <xf numFmtId="0" fontId="6" fillId="33" borderId="131" xfId="0" applyFont="1" applyFill="1" applyBorder="1"/>
    <xf numFmtId="0" fontId="6" fillId="33" borderId="137" xfId="0" applyFont="1" applyFill="1" applyBorder="1"/>
    <xf numFmtId="0" fontId="20" fillId="56" borderId="131"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0" fontId="83" fillId="56" borderId="139" xfId="0" applyFont="1" applyFill="1" applyBorder="1" applyAlignment="1">
      <alignment horizontal="center" vertical="center"/>
    </xf>
    <xf numFmtId="0" fontId="76" fillId="56" borderId="132" xfId="0" applyFont="1" applyFill="1" applyBorder="1" applyAlignment="1">
      <alignment vertical="center"/>
    </xf>
    <xf numFmtId="0" fontId="6" fillId="33" borderId="132" xfId="0" applyFont="1" applyFill="1" applyBorder="1"/>
    <xf numFmtId="0" fontId="6" fillId="33" borderId="138" xfId="0" applyFont="1" applyFill="1" applyBorder="1"/>
    <xf numFmtId="0" fontId="43" fillId="56" borderId="185" xfId="0" applyFont="1" applyFill="1" applyBorder="1" applyAlignment="1">
      <alignment horizontal="center" vertical="center" wrapText="1"/>
    </xf>
    <xf numFmtId="0" fontId="76" fillId="33" borderId="185" xfId="0" applyFont="1" applyFill="1" applyBorder="1" applyAlignment="1">
      <alignment horizontal="center" vertical="center"/>
    </xf>
    <xf numFmtId="0" fontId="76" fillId="33" borderId="186" xfId="0" applyFont="1" applyFill="1" applyBorder="1" applyAlignment="1">
      <alignment horizontal="center" vertical="center"/>
    </xf>
    <xf numFmtId="0" fontId="76" fillId="33" borderId="197" xfId="0" applyFont="1" applyFill="1" applyBorder="1" applyAlignment="1">
      <alignment horizontal="center" vertical="center"/>
    </xf>
    <xf numFmtId="0" fontId="76" fillId="33" borderId="199" xfId="0" applyFont="1" applyFill="1" applyBorder="1" applyAlignment="1">
      <alignment horizontal="center" vertical="center"/>
    </xf>
    <xf numFmtId="0" fontId="76" fillId="33" borderId="200" xfId="0" applyFont="1" applyFill="1" applyBorder="1" applyAlignment="1">
      <alignment horizontal="center" vertical="center"/>
    </xf>
    <xf numFmtId="0" fontId="5" fillId="33" borderId="201" xfId="0" applyFont="1" applyFill="1" applyBorder="1" applyAlignment="1">
      <alignment horizontal="center" vertical="center"/>
    </xf>
    <xf numFmtId="0" fontId="5" fillId="33" borderId="202" xfId="0" applyFont="1" applyFill="1" applyBorder="1" applyAlignment="1">
      <alignment horizontal="center" vertical="center"/>
    </xf>
    <xf numFmtId="0" fontId="5" fillId="33" borderId="203" xfId="0" applyFont="1" applyFill="1" applyBorder="1" applyAlignment="1">
      <alignment horizontal="center" vertical="center"/>
    </xf>
    <xf numFmtId="0" fontId="43" fillId="56" borderId="208" xfId="0" applyFont="1" applyFill="1" applyBorder="1" applyAlignment="1">
      <alignment horizontal="center" vertical="center" wrapText="1"/>
    </xf>
    <xf numFmtId="0" fontId="43" fillId="56" borderId="209" xfId="0" applyFont="1" applyFill="1" applyBorder="1" applyAlignment="1">
      <alignment horizontal="center" vertical="center" wrapText="1"/>
    </xf>
    <xf numFmtId="0" fontId="85" fillId="33" borderId="210" xfId="0" applyFont="1" applyFill="1" applyBorder="1" applyAlignment="1">
      <alignment horizontal="center" vertical="center" wrapText="1"/>
    </xf>
    <xf numFmtId="0" fontId="85" fillId="33" borderId="211" xfId="0" applyFont="1" applyFill="1" applyBorder="1" applyAlignment="1">
      <alignment horizontal="center" vertical="center" wrapText="1"/>
    </xf>
    <xf numFmtId="0" fontId="83" fillId="56" borderId="206" xfId="0" applyFont="1" applyFill="1" applyBorder="1" applyAlignment="1">
      <alignment horizontal="center" vertical="center"/>
    </xf>
    <xf numFmtId="0" fontId="43" fillId="56" borderId="11" xfId="0" applyFont="1" applyFill="1" applyBorder="1" applyAlignment="1">
      <alignment horizontal="center" vertical="center" wrapText="1"/>
    </xf>
    <xf numFmtId="0" fontId="113" fillId="51" borderId="0" xfId="0" applyFont="1" applyFill="1" applyProtection="1"/>
    <xf numFmtId="0" fontId="79" fillId="47" borderId="0" xfId="0" applyFont="1" applyFill="1" applyAlignment="1" applyProtection="1">
      <alignment vertical="center"/>
    </xf>
    <xf numFmtId="0" fontId="63" fillId="36" borderId="220" xfId="0" applyFont="1" applyFill="1" applyBorder="1" applyAlignment="1" applyProtection="1">
      <alignment vertical="center"/>
    </xf>
    <xf numFmtId="0" fontId="63" fillId="36" borderId="222" xfId="0" applyFont="1" applyFill="1" applyBorder="1" applyAlignment="1" applyProtection="1">
      <alignment vertical="center"/>
    </xf>
    <xf numFmtId="0" fontId="63" fillId="36" borderId="51" xfId="0" applyFont="1" applyFill="1" applyBorder="1" applyAlignment="1" applyProtection="1">
      <alignment vertical="center"/>
    </xf>
    <xf numFmtId="37" fontId="47" fillId="51" borderId="125" xfId="0" applyNumberFormat="1" applyFont="1" applyFill="1" applyBorder="1" applyProtection="1"/>
    <xf numFmtId="166" fontId="111" fillId="51" borderId="0" xfId="0" applyNumberFormat="1" applyFont="1" applyFill="1" applyBorder="1" applyProtection="1"/>
    <xf numFmtId="0" fontId="50" fillId="34" borderId="0" xfId="0" applyFont="1" applyFill="1" applyBorder="1" applyAlignment="1" applyProtection="1">
      <protection locked="0"/>
    </xf>
    <xf numFmtId="0" fontId="50" fillId="34" borderId="0" xfId="0" applyFont="1" applyFill="1" applyBorder="1" applyAlignment="1" applyProtection="1">
      <alignment horizontal="left"/>
      <protection locked="0"/>
    </xf>
    <xf numFmtId="0" fontId="50" fillId="33" borderId="0" xfId="0" applyFont="1" applyFill="1" applyBorder="1" applyAlignment="1" applyProtection="1"/>
    <xf numFmtId="0" fontId="53" fillId="33" borderId="0" xfId="0" applyFont="1" applyFill="1" applyBorder="1" applyProtection="1"/>
    <xf numFmtId="0" fontId="53" fillId="0" borderId="0" xfId="0" applyFont="1" applyFill="1" applyBorder="1" applyAlignment="1" applyProtection="1"/>
    <xf numFmtId="0" fontId="111" fillId="0" borderId="0" xfId="0" applyFont="1" applyFill="1" applyBorder="1" applyAlignment="1" applyProtection="1">
      <alignment horizontal="right"/>
    </xf>
    <xf numFmtId="0" fontId="64" fillId="0" borderId="0" xfId="0" applyFont="1" applyFill="1" applyProtection="1"/>
    <xf numFmtId="0" fontId="28" fillId="0" borderId="0" xfId="0" applyFont="1" applyFill="1" applyBorder="1" applyAlignment="1" applyProtection="1">
      <alignment horizontal="left"/>
    </xf>
    <xf numFmtId="0" fontId="82" fillId="0" borderId="0" xfId="0" applyFont="1" applyFill="1" applyAlignment="1" applyProtection="1">
      <alignment vertical="center"/>
    </xf>
    <xf numFmtId="0" fontId="29" fillId="34" borderId="0" xfId="0" applyFont="1" applyFill="1" applyBorder="1" applyAlignment="1" applyProtection="1"/>
    <xf numFmtId="0" fontId="9" fillId="0" borderId="0" xfId="0" applyFont="1" applyFill="1" applyBorder="1" applyProtection="1"/>
    <xf numFmtId="0" fontId="29" fillId="0" borderId="0" xfId="0" applyFont="1" applyFill="1" applyBorder="1" applyAlignment="1" applyProtection="1"/>
    <xf numFmtId="0" fontId="29" fillId="0" borderId="0" xfId="0" applyFont="1" applyFill="1" applyBorder="1" applyAlignment="1" applyProtection="1">
      <alignment horizontal="left"/>
    </xf>
    <xf numFmtId="0" fontId="53" fillId="51" borderId="0" xfId="0" applyFont="1" applyFill="1" applyBorder="1" applyAlignment="1" applyProtection="1">
      <protection locked="0"/>
    </xf>
    <xf numFmtId="0" fontId="47" fillId="51" borderId="0" xfId="0" applyFont="1" applyFill="1" applyBorder="1" applyAlignment="1" applyProtection="1">
      <alignment horizontal="right"/>
      <protection locked="0"/>
    </xf>
    <xf numFmtId="5" fontId="29" fillId="34" borderId="0" xfId="0" applyNumberFormat="1" applyFont="1" applyFill="1" applyBorder="1" applyAlignment="1" applyProtection="1">
      <alignment horizontal="right"/>
      <protection locked="0"/>
    </xf>
    <xf numFmtId="5" fontId="29" fillId="34" borderId="0" xfId="0" applyNumberFormat="1" applyFont="1" applyFill="1" applyBorder="1" applyProtection="1">
      <protection locked="0"/>
    </xf>
    <xf numFmtId="0" fontId="47" fillId="51" borderId="0" xfId="0" applyFont="1" applyFill="1" applyAlignment="1" applyProtection="1">
      <alignment horizontal="left" wrapText="1"/>
      <protection locked="0"/>
    </xf>
    <xf numFmtId="0" fontId="47" fillId="51" borderId="0" xfId="0" applyNumberFormat="1" applyFont="1" applyFill="1" applyAlignment="1" applyProtection="1">
      <alignment wrapText="1"/>
      <protection locked="0"/>
    </xf>
    <xf numFmtId="0" fontId="50" fillId="63" borderId="0" xfId="0" applyFont="1" applyFill="1" applyAlignment="1" applyProtection="1">
      <alignment wrapText="1"/>
      <protection locked="0"/>
    </xf>
    <xf numFmtId="5" fontId="50" fillId="34" borderId="0" xfId="0" applyNumberFormat="1" applyFont="1" applyFill="1" applyAlignment="1" applyProtection="1">
      <alignment horizontal="right"/>
      <protection locked="0"/>
    </xf>
    <xf numFmtId="5" fontId="50" fillId="34" borderId="0" xfId="0" applyNumberFormat="1" applyFont="1" applyFill="1" applyProtection="1">
      <protection locked="0"/>
    </xf>
    <xf numFmtId="5" fontId="29" fillId="0" borderId="0" xfId="0" applyNumberFormat="1" applyFont="1" applyFill="1" applyBorder="1" applyAlignment="1">
      <alignment horizontal="right"/>
    </xf>
    <xf numFmtId="5" fontId="29" fillId="0" borderId="0" xfId="0" applyNumberFormat="1" applyFont="1" applyFill="1" applyBorder="1"/>
    <xf numFmtId="5" fontId="0" fillId="0" borderId="0" xfId="0" applyNumberFormat="1" applyProtection="1">
      <protection locked="0"/>
    </xf>
    <xf numFmtId="5" fontId="66" fillId="34" borderId="0" xfId="0" applyNumberFormat="1" applyFont="1" applyFill="1" applyBorder="1" applyAlignment="1" applyProtection="1">
      <alignment horizontal="right"/>
      <protection locked="0"/>
    </xf>
    <xf numFmtId="0" fontId="93" fillId="51" borderId="0" xfId="0" applyFont="1" applyFill="1" applyAlignment="1" applyProtection="1">
      <alignment horizontal="left" wrapText="1"/>
      <protection locked="0"/>
    </xf>
    <xf numFmtId="0" fontId="93" fillId="51" borderId="0" xfId="0" applyNumberFormat="1" applyFont="1" applyFill="1" applyAlignment="1" applyProtection="1">
      <alignment wrapText="1"/>
      <protection locked="0"/>
    </xf>
    <xf numFmtId="0" fontId="0" fillId="0" borderId="0" xfId="0" applyProtection="1">
      <protection locked="0"/>
    </xf>
    <xf numFmtId="0" fontId="116" fillId="0" borderId="0" xfId="0" applyFont="1" applyProtection="1">
      <protection locked="0"/>
    </xf>
    <xf numFmtId="0" fontId="38" fillId="0" borderId="0" xfId="0" applyFont="1" applyFill="1" applyAlignment="1">
      <alignment vertical="center" wrapText="1"/>
    </xf>
    <xf numFmtId="0" fontId="0" fillId="0" borderId="0" xfId="0" applyFill="1" applyBorder="1" applyProtection="1"/>
    <xf numFmtId="0" fontId="0" fillId="0" borderId="0" xfId="0" applyProtection="1"/>
    <xf numFmtId="0" fontId="63" fillId="0" borderId="0" xfId="0" applyFont="1" applyFill="1" applyBorder="1" applyAlignment="1" applyProtection="1">
      <alignment vertical="center"/>
    </xf>
    <xf numFmtId="0" fontId="64" fillId="0" borderId="0" xfId="0" applyFont="1" applyFill="1" applyBorder="1" applyAlignment="1" applyProtection="1">
      <alignment vertical="top"/>
    </xf>
    <xf numFmtId="0" fontId="65"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9" fillId="38" borderId="0" xfId="0" applyFont="1" applyFill="1" applyAlignment="1" applyProtection="1">
      <alignment horizontal="left" vertical="center"/>
    </xf>
    <xf numFmtId="0" fontId="69" fillId="38" borderId="0" xfId="0" applyFont="1" applyFill="1" applyAlignment="1" applyProtection="1">
      <alignment horizontal="centerContinuous" vertical="center"/>
    </xf>
    <xf numFmtId="0" fontId="69" fillId="0" borderId="0" xfId="0" applyFont="1" applyFill="1" applyAlignment="1" applyProtection="1">
      <alignment horizontal="centerContinuous" vertical="center"/>
    </xf>
    <xf numFmtId="0" fontId="67" fillId="0" borderId="0" xfId="0" applyFont="1" applyProtection="1"/>
    <xf numFmtId="0" fontId="20" fillId="51" borderId="0" xfId="0" applyFont="1" applyFill="1" applyBorder="1" applyProtection="1"/>
    <xf numFmtId="0" fontId="104" fillId="51" borderId="0" xfId="0" applyFont="1" applyFill="1" applyBorder="1" applyProtection="1"/>
    <xf numFmtId="0" fontId="26" fillId="0" borderId="0" xfId="0" applyFont="1" applyFill="1" applyAlignment="1" applyProtection="1">
      <alignment vertical="top" wrapText="1"/>
    </xf>
    <xf numFmtId="0" fontId="0" fillId="0" borderId="0" xfId="0" applyFill="1" applyProtection="1"/>
    <xf numFmtId="0" fontId="47" fillId="51" borderId="0" xfId="0" applyFont="1" applyFill="1" applyBorder="1" applyProtection="1"/>
    <xf numFmtId="2" fontId="47" fillId="51" borderId="0" xfId="0" applyNumberFormat="1" applyFont="1" applyFill="1" applyBorder="1" applyAlignment="1" applyProtection="1">
      <alignment horizontal="center"/>
    </xf>
    <xf numFmtId="0" fontId="47" fillId="51" borderId="0" xfId="0" applyNumberFormat="1" applyFont="1" applyFill="1" applyBorder="1" applyAlignment="1" applyProtection="1">
      <alignment horizontal="center"/>
    </xf>
    <xf numFmtId="0" fontId="115" fillId="0" borderId="0" xfId="0" applyNumberFormat="1" applyFont="1" applyFill="1" applyBorder="1" applyAlignment="1" applyProtection="1">
      <alignment horizontal="center"/>
    </xf>
    <xf numFmtId="0" fontId="47" fillId="51" borderId="0" xfId="0" applyFont="1" applyFill="1" applyBorder="1" applyAlignment="1" applyProtection="1">
      <alignment horizontal="left" wrapText="1"/>
    </xf>
    <xf numFmtId="5" fontId="29" fillId="34" borderId="0" xfId="0" applyNumberFormat="1" applyFont="1" applyFill="1" applyBorder="1" applyAlignment="1" applyProtection="1">
      <alignment horizontal="right"/>
    </xf>
    <xf numFmtId="5" fontId="29" fillId="34" borderId="0" xfId="0" applyNumberFormat="1" applyFont="1" applyFill="1" applyBorder="1" applyProtection="1"/>
    <xf numFmtId="0" fontId="47" fillId="0" borderId="0" xfId="0" applyFont="1" applyFill="1" applyAlignment="1" applyProtection="1">
      <alignment horizontal="left" wrapText="1"/>
    </xf>
    <xf numFmtId="0" fontId="47" fillId="51" borderId="0" xfId="0" applyNumberFormat="1" applyFont="1" applyFill="1" applyBorder="1" applyAlignment="1" applyProtection="1">
      <alignment wrapText="1"/>
    </xf>
    <xf numFmtId="0" fontId="47" fillId="0" borderId="0" xfId="0" applyNumberFormat="1" applyFont="1" applyFill="1" applyAlignment="1" applyProtection="1">
      <alignment wrapText="1"/>
    </xf>
    <xf numFmtId="0" fontId="50" fillId="0" borderId="0" xfId="0" applyFont="1" applyFill="1" applyAlignment="1" applyProtection="1">
      <alignment wrapText="1"/>
    </xf>
    <xf numFmtId="0" fontId="70" fillId="0" borderId="0" xfId="0" applyFont="1" applyFill="1" applyAlignment="1" applyProtection="1">
      <alignment vertical="top" wrapText="1"/>
    </xf>
    <xf numFmtId="0" fontId="70" fillId="0" borderId="0" xfId="0" applyFont="1" applyFill="1" applyAlignment="1" applyProtection="1"/>
    <xf numFmtId="0" fontId="9" fillId="0" borderId="0" xfId="0" applyFont="1" applyProtection="1"/>
    <xf numFmtId="0" fontId="43" fillId="0" borderId="0" xfId="0" applyNumberFormat="1" applyFont="1" applyFill="1" applyBorder="1" applyAlignment="1" applyProtection="1">
      <alignment horizontal="center"/>
    </xf>
    <xf numFmtId="0" fontId="30" fillId="58" borderId="125" xfId="0" applyFont="1" applyFill="1" applyBorder="1" applyProtection="1"/>
    <xf numFmtId="0" fontId="30" fillId="58" borderId="125" xfId="0" applyFont="1" applyFill="1" applyBorder="1" applyAlignment="1" applyProtection="1">
      <alignment horizontal="center"/>
    </xf>
    <xf numFmtId="0" fontId="0" fillId="58" borderId="0" xfId="0" applyFill="1" applyProtection="1"/>
    <xf numFmtId="5" fontId="50" fillId="0" borderId="0" xfId="0" applyNumberFormat="1" applyFont="1" applyFill="1" applyAlignment="1" applyProtection="1">
      <alignment horizontal="right"/>
    </xf>
    <xf numFmtId="5" fontId="50" fillId="0" borderId="0" xfId="0" applyNumberFormat="1" applyFont="1" applyFill="1" applyProtection="1"/>
    <xf numFmtId="2" fontId="93" fillId="0" borderId="0" xfId="0" applyNumberFormat="1" applyFont="1" applyFill="1" applyBorder="1" applyAlignment="1" applyProtection="1">
      <alignment horizontal="center"/>
    </xf>
    <xf numFmtId="5" fontId="30" fillId="58" borderId="125" xfId="0" applyNumberFormat="1" applyFont="1" applyFill="1" applyBorder="1" applyAlignment="1" applyProtection="1">
      <alignment wrapText="1"/>
    </xf>
    <xf numFmtId="5" fontId="30" fillId="58" borderId="125" xfId="0" applyNumberFormat="1" applyFont="1" applyFill="1" applyBorder="1" applyAlignment="1" applyProtection="1">
      <alignment horizontal="right"/>
    </xf>
    <xf numFmtId="5" fontId="30" fillId="58" borderId="125" xfId="0" applyNumberFormat="1" applyFont="1" applyFill="1" applyBorder="1" applyProtection="1"/>
    <xf numFmtId="5" fontId="29" fillId="0" borderId="0" xfId="0" applyNumberFormat="1" applyFont="1" applyFill="1" applyAlignment="1" applyProtection="1">
      <alignment horizontal="right"/>
    </xf>
    <xf numFmtId="5" fontId="29" fillId="0" borderId="0" xfId="0" applyNumberFormat="1" applyFont="1" applyFill="1" applyProtection="1"/>
    <xf numFmtId="0" fontId="0" fillId="62" borderId="0" xfId="0" applyFill="1" applyProtection="1"/>
    <xf numFmtId="0" fontId="9" fillId="33" borderId="0" xfId="0" applyFont="1" applyFill="1" applyAlignment="1" applyProtection="1">
      <alignment horizontal="center"/>
    </xf>
    <xf numFmtId="166" fontId="101" fillId="34" borderId="0" xfId="0" applyNumberFormat="1" applyFont="1" applyFill="1" applyBorder="1" applyAlignment="1" applyProtection="1">
      <alignment horizontal="right"/>
      <protection locked="0"/>
    </xf>
    <xf numFmtId="0" fontId="67" fillId="51" borderId="0" xfId="0" applyFont="1" applyFill="1" applyBorder="1" applyProtection="1">
      <protection locked="0"/>
    </xf>
    <xf numFmtId="166" fontId="28" fillId="34" borderId="0" xfId="0" applyNumberFormat="1" applyFont="1" applyFill="1" applyBorder="1" applyProtection="1">
      <protection locked="0"/>
    </xf>
    <xf numFmtId="0" fontId="9" fillId="51" borderId="0" xfId="0" applyFont="1" applyFill="1" applyBorder="1" applyProtection="1"/>
    <xf numFmtId="0" fontId="100" fillId="51" borderId="0" xfId="0" applyFont="1" applyFill="1" applyBorder="1" applyProtection="1"/>
    <xf numFmtId="0" fontId="100" fillId="51" borderId="0" xfId="0" applyNumberFormat="1" applyFont="1" applyFill="1" applyBorder="1" applyAlignment="1" applyProtection="1">
      <alignment horizontal="center"/>
    </xf>
    <xf numFmtId="0" fontId="100" fillId="51" borderId="0" xfId="0" applyFont="1" applyFill="1" applyBorder="1" applyAlignment="1" applyProtection="1">
      <alignment horizontal="center"/>
    </xf>
    <xf numFmtId="166" fontId="102" fillId="51" borderId="0" xfId="0" applyNumberFormat="1" applyFont="1" applyFill="1" applyBorder="1" applyAlignment="1" applyProtection="1">
      <alignment horizontal="right"/>
    </xf>
    <xf numFmtId="0" fontId="67" fillId="33" borderId="0" xfId="0" applyFont="1" applyFill="1" applyBorder="1" applyAlignment="1" applyProtection="1">
      <alignment horizontal="right"/>
    </xf>
    <xf numFmtId="0" fontId="70" fillId="33" borderId="0" xfId="0" applyFont="1" applyFill="1" applyBorder="1" applyAlignment="1" applyProtection="1">
      <alignment vertical="top" wrapText="1"/>
    </xf>
    <xf numFmtId="0" fontId="67" fillId="51" borderId="0" xfId="0" applyFont="1" applyFill="1" applyBorder="1" applyProtection="1"/>
    <xf numFmtId="0" fontId="67" fillId="33" borderId="0" xfId="0" applyFont="1" applyFill="1" applyBorder="1" applyProtection="1"/>
    <xf numFmtId="0" fontId="75" fillId="33" borderId="0" xfId="0" applyFont="1" applyFill="1" applyAlignment="1" applyProtection="1">
      <alignment vertical="top" wrapText="1"/>
    </xf>
    <xf numFmtId="0" fontId="68" fillId="33" borderId="0" xfId="0" applyFont="1" applyFill="1" applyAlignment="1" applyProtection="1">
      <alignment vertical="top" wrapText="1"/>
    </xf>
    <xf numFmtId="0" fontId="87" fillId="38" borderId="0" xfId="0" applyFont="1" applyFill="1" applyAlignment="1" applyProtection="1">
      <alignment vertical="top" wrapText="1"/>
    </xf>
    <xf numFmtId="0" fontId="68" fillId="38" borderId="0" xfId="0" applyFont="1" applyFill="1" applyAlignment="1" applyProtection="1">
      <alignment vertical="top" wrapText="1"/>
    </xf>
    <xf numFmtId="0" fontId="86" fillId="34" borderId="53" xfId="0" quotePrefix="1" applyFont="1" applyFill="1" applyBorder="1" applyAlignment="1" applyProtection="1">
      <alignment horizontal="center" vertical="center" wrapText="1"/>
      <protection locked="0"/>
    </xf>
    <xf numFmtId="0" fontId="66" fillId="34" borderId="53" xfId="0" applyFont="1" applyFill="1" applyBorder="1" applyAlignment="1" applyProtection="1">
      <alignment horizontal="center" vertical="center"/>
      <protection locked="0"/>
    </xf>
    <xf numFmtId="0" fontId="66" fillId="34" borderId="53" xfId="0" quotePrefix="1" applyFont="1" applyFill="1" applyBorder="1" applyAlignment="1" applyProtection="1">
      <alignment horizontal="center" vertical="center"/>
      <protection locked="0"/>
    </xf>
    <xf numFmtId="0" fontId="2" fillId="33" borderId="0" xfId="0" applyFont="1" applyFill="1"/>
    <xf numFmtId="0" fontId="117" fillId="33" borderId="0" xfId="0" applyFont="1" applyFill="1"/>
    <xf numFmtId="0" fontId="2" fillId="33" borderId="0" xfId="0" applyFont="1" applyFill="1" applyAlignment="1">
      <alignment horizontal="center"/>
    </xf>
    <xf numFmtId="0" fontId="118" fillId="33" borderId="0" xfId="0" applyFont="1" applyFill="1"/>
    <xf numFmtId="0" fontId="2" fillId="33" borderId="12" xfId="0" applyFont="1" applyFill="1" applyBorder="1"/>
    <xf numFmtId="0" fontId="2" fillId="33" borderId="14" xfId="0" applyFont="1" applyFill="1" applyBorder="1"/>
    <xf numFmtId="0" fontId="2" fillId="33" borderId="13" xfId="0" applyFont="1" applyFill="1" applyBorder="1"/>
    <xf numFmtId="0" fontId="2" fillId="33" borderId="22" xfId="0" applyFont="1" applyFill="1" applyBorder="1"/>
    <xf numFmtId="0" fontId="2" fillId="33" borderId="16" xfId="0" applyFont="1" applyFill="1" applyBorder="1"/>
    <xf numFmtId="0" fontId="2" fillId="33" borderId="20" xfId="0" applyFont="1" applyFill="1" applyBorder="1"/>
    <xf numFmtId="0" fontId="2" fillId="33" borderId="0" xfId="0" applyFont="1" applyFill="1" applyBorder="1"/>
    <xf numFmtId="0" fontId="2" fillId="33" borderId="21" xfId="0" applyFont="1" applyFill="1" applyBorder="1"/>
    <xf numFmtId="0" fontId="2" fillId="33" borderId="17" xfId="0" applyFont="1" applyFill="1" applyBorder="1"/>
    <xf numFmtId="0" fontId="2" fillId="33" borderId="23" xfId="0" applyFont="1" applyFill="1" applyBorder="1"/>
    <xf numFmtId="0" fontId="2" fillId="33" borderId="19" xfId="0" applyFont="1" applyFill="1" applyBorder="1"/>
    <xf numFmtId="0" fontId="110" fillId="36" borderId="0" xfId="0" applyFont="1" applyFill="1" applyAlignment="1">
      <alignment horizontal="center" vertical="center"/>
    </xf>
    <xf numFmtId="0" fontId="30" fillId="0" borderId="68" xfId="0" applyFont="1" applyFill="1" applyBorder="1" applyAlignment="1" applyProtection="1">
      <alignment horizontal="left" vertical="center"/>
      <protection locked="0"/>
    </xf>
    <xf numFmtId="0" fontId="66" fillId="34" borderId="72" xfId="0" applyFont="1" applyFill="1" applyBorder="1" applyAlignment="1" applyProtection="1">
      <alignment horizontal="center" vertical="center"/>
      <protection locked="0"/>
    </xf>
    <xf numFmtId="0" fontId="66" fillId="34" borderId="72" xfId="0" quotePrefix="1" applyFont="1" applyFill="1" applyBorder="1" applyAlignment="1" applyProtection="1">
      <alignment horizontal="center" vertical="center"/>
      <protection locked="0"/>
    </xf>
    <xf numFmtId="0" fontId="66" fillId="34" borderId="223" xfId="0" quotePrefix="1" applyFont="1" applyFill="1" applyBorder="1" applyAlignment="1" applyProtection="1">
      <alignment horizontal="center" vertical="center"/>
      <protection locked="0"/>
    </xf>
    <xf numFmtId="0" fontId="119" fillId="33" borderId="0" xfId="0" applyFont="1" applyFill="1" applyProtection="1"/>
    <xf numFmtId="0" fontId="99" fillId="51" borderId="0" xfId="0" applyFont="1" applyFill="1" applyBorder="1" applyProtection="1"/>
    <xf numFmtId="164" fontId="32" fillId="36" borderId="33" xfId="0" applyNumberFormat="1" applyFont="1" applyFill="1" applyBorder="1" applyAlignment="1">
      <alignment horizontal="center"/>
    </xf>
    <xf numFmtId="0" fontId="32" fillId="36" borderId="32" xfId="0" applyFont="1" applyFill="1" applyBorder="1" applyAlignment="1">
      <alignment horizontal="left"/>
    </xf>
    <xf numFmtId="0" fontId="32" fillId="36" borderId="31" xfId="0" applyFont="1" applyFill="1" applyBorder="1" applyAlignment="1">
      <alignment horizontal="left"/>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56" borderId="57" xfId="0" applyFont="1" applyFill="1" applyBorder="1" applyAlignment="1">
      <alignment horizontal="center"/>
    </xf>
    <xf numFmtId="0" fontId="32" fillId="36" borderId="38" xfId="0" applyFont="1" applyFill="1" applyBorder="1" applyAlignment="1">
      <alignment horizontal="left"/>
    </xf>
    <xf numFmtId="0" fontId="32" fillId="36" borderId="39" xfId="0" applyFont="1" applyFill="1" applyBorder="1" applyAlignment="1">
      <alignment horizontal="left"/>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51" fillId="50" borderId="0" xfId="0" applyFont="1" applyFill="1" applyAlignment="1">
      <alignment horizontal="center" vertical="center"/>
    </xf>
    <xf numFmtId="167" fontId="1" fillId="33" borderId="26" xfId="0" applyNumberFormat="1" applyFont="1" applyFill="1" applyBorder="1"/>
    <xf numFmtId="167" fontId="1" fillId="33" borderId="23" xfId="0" applyNumberFormat="1" applyFont="1" applyFill="1" applyBorder="1"/>
    <xf numFmtId="167" fontId="1" fillId="33" borderId="0" xfId="0" applyNumberFormat="1" applyFont="1" applyFill="1" applyBorder="1"/>
    <xf numFmtId="164" fontId="1" fillId="33" borderId="24" xfId="0" applyNumberFormat="1" applyFont="1" applyFill="1" applyBorder="1"/>
    <xf numFmtId="164" fontId="1" fillId="33" borderId="0" xfId="0" applyNumberFormat="1" applyFont="1" applyFill="1" applyBorder="1"/>
    <xf numFmtId="164" fontId="1" fillId="33" borderId="23" xfId="0" applyNumberFormat="1" applyFont="1" applyFill="1" applyBorder="1"/>
    <xf numFmtId="5" fontId="26" fillId="33" borderId="226" xfId="0" applyNumberFormat="1" applyFont="1" applyFill="1" applyBorder="1" applyAlignment="1" applyProtection="1">
      <alignment horizontal="right"/>
    </xf>
    <xf numFmtId="166" fontId="26" fillId="33" borderId="227" xfId="0" applyNumberFormat="1" applyFont="1" applyFill="1" applyBorder="1" applyProtection="1"/>
    <xf numFmtId="166" fontId="26" fillId="33" borderId="226" xfId="0" applyNumberFormat="1" applyFont="1" applyFill="1" applyBorder="1" applyProtection="1"/>
    <xf numFmtId="166" fontId="26" fillId="33" borderId="114" xfId="0" applyNumberFormat="1" applyFont="1" applyFill="1" applyBorder="1" applyProtection="1"/>
    <xf numFmtId="170" fontId="32" fillId="36" borderId="0" xfId="0" applyNumberFormat="1" applyFont="1" applyFill="1" applyBorder="1" applyAlignment="1">
      <alignment horizontal="center"/>
    </xf>
    <xf numFmtId="170" fontId="32" fillId="36" borderId="23" xfId="0" applyNumberFormat="1" applyFont="1" applyFill="1" applyBorder="1" applyAlignment="1">
      <alignment horizontal="center"/>
    </xf>
    <xf numFmtId="170" fontId="32" fillId="36" borderId="26" xfId="0" applyNumberFormat="1" applyFont="1" applyFill="1" applyBorder="1" applyAlignment="1">
      <alignment horizontal="center"/>
    </xf>
    <xf numFmtId="170" fontId="32" fillId="36" borderId="25" xfId="0" applyNumberFormat="1" applyFont="1" applyFill="1" applyBorder="1" applyAlignment="1">
      <alignment horizontal="center"/>
    </xf>
    <xf numFmtId="170" fontId="32" fillId="36" borderId="47" xfId="0" applyNumberFormat="1" applyFont="1" applyFill="1" applyBorder="1" applyAlignment="1">
      <alignment horizontal="center"/>
    </xf>
    <xf numFmtId="5" fontId="26" fillId="33" borderId="101" xfId="0" applyNumberFormat="1" applyFont="1" applyFill="1" applyBorder="1" applyAlignment="1" applyProtection="1">
      <alignment horizontal="right"/>
    </xf>
    <xf numFmtId="0" fontId="32" fillId="36" borderId="28" xfId="0" applyFont="1" applyFill="1" applyBorder="1" applyAlignment="1">
      <alignment horizontal="center"/>
    </xf>
    <xf numFmtId="0" fontId="55" fillId="56" borderId="57" xfId="0" applyFont="1" applyFill="1" applyBorder="1" applyAlignment="1">
      <alignment horizontal="center"/>
    </xf>
    <xf numFmtId="0" fontId="32" fillId="36" borderId="42" xfId="0" applyFont="1" applyFill="1" applyBorder="1" applyAlignment="1">
      <alignment horizontal="center"/>
    </xf>
    <xf numFmtId="0" fontId="0" fillId="0" borderId="0" xfId="0"/>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7" xfId="0" applyFont="1" applyFill="1" applyBorder="1" applyAlignment="1">
      <alignment horizontal="center"/>
    </xf>
    <xf numFmtId="0" fontId="26" fillId="42" borderId="229" xfId="0" applyFont="1" applyFill="1" applyBorder="1" applyAlignment="1">
      <alignment horizontal="center"/>
    </xf>
    <xf numFmtId="0" fontId="37" fillId="0" borderId="43" xfId="0" applyFont="1" applyBorder="1" applyAlignment="1">
      <alignment horizontal="center"/>
    </xf>
    <xf numFmtId="0" fontId="26" fillId="42" borderId="230" xfId="0" applyFont="1" applyFill="1" applyBorder="1" applyAlignment="1">
      <alignment horizontal="center"/>
    </xf>
    <xf numFmtId="0" fontId="37" fillId="0" borderId="231" xfId="0" applyFont="1" applyBorder="1" applyAlignment="1">
      <alignment horizontal="center"/>
    </xf>
    <xf numFmtId="0" fontId="110" fillId="0" borderId="0" xfId="0" applyFont="1" applyFill="1" applyAlignment="1">
      <alignment horizontal="center" vertical="center"/>
    </xf>
    <xf numFmtId="0" fontId="59" fillId="36" borderId="31" xfId="0" applyFont="1" applyFill="1" applyBorder="1"/>
    <xf numFmtId="0" fontId="55" fillId="56" borderId="236" xfId="0" applyFont="1" applyFill="1" applyBorder="1" applyAlignment="1"/>
    <xf numFmtId="0" fontId="29" fillId="37" borderId="11" xfId="0" quotePrefix="1" applyFont="1" applyFill="1" applyBorder="1" applyAlignment="1">
      <alignment horizontal="center"/>
    </xf>
    <xf numFmtId="0" fontId="29" fillId="37" borderId="16" xfId="0" quotePrefix="1" applyFont="1" applyFill="1" applyBorder="1" applyAlignment="1">
      <alignment horizontal="center"/>
    </xf>
    <xf numFmtId="0" fontId="26" fillId="65" borderId="11" xfId="0" applyNumberFormat="1" applyFont="1" applyFill="1" applyBorder="1" applyAlignment="1">
      <alignment horizontal="center"/>
    </xf>
    <xf numFmtId="167" fontId="26" fillId="65" borderId="11" xfId="0" applyNumberFormat="1" applyFont="1" applyFill="1" applyBorder="1" applyAlignment="1">
      <alignment horizontal="center"/>
    </xf>
    <xf numFmtId="0" fontId="0" fillId="0" borderId="0" xfId="0" applyAlignment="1">
      <alignment horizontal="center"/>
    </xf>
    <xf numFmtId="0" fontId="26" fillId="0" borderId="0" xfId="0" applyFont="1" applyFill="1" applyAlignment="1">
      <alignment horizontal="right"/>
    </xf>
    <xf numFmtId="0" fontId="26" fillId="0" borderId="0" xfId="0" applyFont="1" applyFill="1" applyBorder="1" applyAlignment="1">
      <alignment horizontal="right"/>
    </xf>
    <xf numFmtId="0" fontId="0" fillId="0" borderId="0" xfId="0" applyAlignment="1">
      <alignment horizontal="right"/>
    </xf>
    <xf numFmtId="0" fontId="26" fillId="0" borderId="0" xfId="0" applyFont="1" applyFill="1" applyBorder="1" applyAlignment="1">
      <alignment horizontal="left"/>
    </xf>
    <xf numFmtId="0" fontId="28" fillId="65" borderId="11" xfId="0" applyNumberFormat="1" applyFont="1" applyFill="1" applyBorder="1" applyAlignment="1">
      <alignment horizontal="center"/>
    </xf>
    <xf numFmtId="0" fontId="34" fillId="65" borderId="11" xfId="0" applyNumberFormat="1" applyFont="1" applyFill="1" applyBorder="1" applyAlignment="1">
      <alignment horizontal="center"/>
    </xf>
    <xf numFmtId="0" fontId="28" fillId="65" borderId="11" xfId="0" applyNumberFormat="1" applyFont="1" applyFill="1" applyBorder="1"/>
    <xf numFmtId="0" fontId="28" fillId="65" borderId="11" xfId="0" applyFont="1" applyFill="1" applyBorder="1"/>
    <xf numFmtId="0" fontId="36" fillId="65" borderId="11" xfId="0" applyNumberFormat="1" applyFont="1" applyFill="1" applyBorder="1" applyAlignment="1">
      <alignment horizontal="center"/>
    </xf>
    <xf numFmtId="0" fontId="55" fillId="60" borderId="0" xfId="0" applyFont="1" applyFill="1" applyBorder="1" applyAlignment="1"/>
    <xf numFmtId="0" fontId="55" fillId="60" borderId="35" xfId="0" applyFont="1" applyFill="1" applyBorder="1" applyAlignment="1">
      <alignment horizontal="center"/>
    </xf>
    <xf numFmtId="0" fontId="55" fillId="60" borderId="28" xfId="0" applyFont="1" applyFill="1" applyBorder="1" applyAlignment="1">
      <alignment horizontal="center"/>
    </xf>
    <xf numFmtId="0" fontId="55" fillId="60" borderId="31" xfId="0" applyFont="1" applyFill="1" applyBorder="1"/>
    <xf numFmtId="0" fontId="55" fillId="60" borderId="0" xfId="0" applyFont="1" applyFill="1" applyBorder="1"/>
    <xf numFmtId="164" fontId="55" fillId="60" borderId="0" xfId="0" applyNumberFormat="1" applyFont="1" applyFill="1" applyBorder="1"/>
    <xf numFmtId="0" fontId="55" fillId="60" borderId="39" xfId="0" applyFont="1" applyFill="1" applyBorder="1" applyAlignment="1">
      <alignment horizontal="center"/>
    </xf>
    <xf numFmtId="0" fontId="55" fillId="60" borderId="36" xfId="0" applyFont="1" applyFill="1" applyBorder="1" applyAlignment="1">
      <alignment horizontal="center"/>
    </xf>
    <xf numFmtId="0" fontId="57" fillId="60" borderId="0" xfId="0" applyFont="1" applyFill="1" applyBorder="1" applyAlignment="1">
      <alignment horizontal="center"/>
    </xf>
    <xf numFmtId="164" fontId="55" fillId="60" borderId="0" xfId="0" applyNumberFormat="1" applyFont="1" applyFill="1" applyBorder="1" applyAlignment="1">
      <alignment horizontal="center"/>
    </xf>
    <xf numFmtId="0" fontId="55" fillId="60" borderId="35" xfId="0" applyFont="1" applyFill="1" applyBorder="1" applyAlignment="1">
      <alignment horizontal="center" vertical="center"/>
    </xf>
    <xf numFmtId="0" fontId="55" fillId="60" borderId="36" xfId="0" applyFont="1" applyFill="1" applyBorder="1" applyAlignment="1">
      <alignment horizontal="center" vertical="center"/>
    </xf>
    <xf numFmtId="0" fontId="55" fillId="60" borderId="34" xfId="0" applyFont="1" applyFill="1" applyBorder="1" applyAlignment="1">
      <alignment horizontal="center" vertical="center"/>
    </xf>
    <xf numFmtId="164" fontId="55" fillId="60" borderId="30" xfId="0" applyNumberFormat="1" applyFont="1" applyFill="1" applyBorder="1" applyAlignment="1">
      <alignment horizontal="center"/>
    </xf>
    <xf numFmtId="0" fontId="32" fillId="60" borderId="108" xfId="0" applyFont="1" applyFill="1" applyBorder="1" applyAlignment="1" applyProtection="1">
      <alignment horizontal="center" vertical="center"/>
    </xf>
    <xf numFmtId="0" fontId="32" fillId="60" borderId="107" xfId="0" applyFont="1" applyFill="1" applyBorder="1" applyAlignment="1" applyProtection="1">
      <alignment horizontal="center" vertical="center"/>
    </xf>
    <xf numFmtId="0" fontId="32" fillId="60" borderId="110" xfId="0" applyFont="1" applyFill="1" applyBorder="1" applyAlignment="1" applyProtection="1">
      <alignment horizontal="center" vertical="center"/>
    </xf>
    <xf numFmtId="0" fontId="32" fillId="60" borderId="109" xfId="0" applyFont="1" applyFill="1" applyBorder="1" applyAlignment="1" applyProtection="1">
      <alignment horizontal="center" vertical="center"/>
    </xf>
    <xf numFmtId="0" fontId="32" fillId="60" borderId="117" xfId="0" applyFont="1" applyFill="1" applyBorder="1" applyAlignment="1" applyProtection="1">
      <alignment horizontal="center" vertical="center"/>
    </xf>
    <xf numFmtId="0" fontId="32" fillId="60" borderId="245" xfId="0" applyFont="1" applyFill="1" applyBorder="1" applyAlignment="1" applyProtection="1">
      <alignment vertical="center"/>
    </xf>
    <xf numFmtId="0" fontId="43" fillId="60" borderId="245" xfId="0" applyFont="1" applyFill="1" applyBorder="1" applyProtection="1"/>
    <xf numFmtId="0" fontId="32" fillId="60" borderId="245" xfId="0" applyFont="1" applyFill="1" applyBorder="1" applyProtection="1"/>
    <xf numFmtId="0" fontId="32" fillId="60" borderId="245" xfId="0" applyFont="1" applyFill="1" applyBorder="1" applyAlignment="1" applyProtection="1">
      <alignment horizontal="center"/>
    </xf>
    <xf numFmtId="0" fontId="32" fillId="60" borderId="246" xfId="0" applyFont="1" applyFill="1" applyBorder="1" applyAlignment="1" applyProtection="1">
      <alignment vertical="center"/>
    </xf>
    <xf numFmtId="0" fontId="43" fillId="60" borderId="247" xfId="0" applyFont="1" applyFill="1" applyBorder="1" applyProtection="1"/>
    <xf numFmtId="0" fontId="32" fillId="60" borderId="247" xfId="0" applyFont="1" applyFill="1" applyBorder="1" applyProtection="1"/>
    <xf numFmtId="0" fontId="38" fillId="0" borderId="0" xfId="0" applyFont="1" applyFill="1" applyProtection="1"/>
    <xf numFmtId="0" fontId="51" fillId="50" borderId="0" xfId="0" applyFont="1" applyFill="1" applyAlignment="1">
      <alignment horizontal="center" vertical="center"/>
    </xf>
    <xf numFmtId="0" fontId="125" fillId="36" borderId="30" xfId="0" applyFont="1" applyFill="1" applyBorder="1" applyAlignment="1"/>
    <xf numFmtId="0" fontId="126" fillId="36" borderId="0" xfId="0" applyFont="1" applyFill="1" applyBorder="1"/>
    <xf numFmtId="0" fontId="125" fillId="36" borderId="0" xfId="0" applyFont="1" applyFill="1" applyBorder="1" applyAlignment="1">
      <alignment vertical="center"/>
    </xf>
    <xf numFmtId="0" fontId="33" fillId="38" borderId="0" xfId="0" applyFont="1" applyFill="1" applyBorder="1" applyProtection="1"/>
    <xf numFmtId="0" fontId="126" fillId="36" borderId="242" xfId="0" applyFont="1" applyFill="1" applyBorder="1"/>
    <xf numFmtId="0" fontId="125" fillId="36" borderId="40" xfId="0" applyFont="1" applyFill="1" applyBorder="1" applyAlignment="1">
      <alignment horizontal="right"/>
    </xf>
    <xf numFmtId="0" fontId="125" fillId="36" borderId="237" xfId="0" applyFont="1" applyFill="1" applyBorder="1" applyAlignment="1">
      <alignment vertical="center"/>
    </xf>
    <xf numFmtId="0" fontId="125" fillId="36" borderId="29" xfId="0" applyFont="1" applyFill="1" applyBorder="1" applyAlignment="1">
      <alignment horizontal="right"/>
    </xf>
    <xf numFmtId="0" fontId="34" fillId="60" borderId="40" xfId="0" applyFont="1" applyFill="1" applyBorder="1" applyAlignment="1">
      <alignment horizontal="right"/>
    </xf>
    <xf numFmtId="0" fontId="34" fillId="60" borderId="40" xfId="0" applyFont="1" applyFill="1" applyBorder="1" applyAlignment="1">
      <alignment horizontal="right" vertic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60" borderId="34" xfId="0" applyFont="1" applyFill="1" applyBorder="1" applyAlignment="1">
      <alignment horizontal="center"/>
    </xf>
    <xf numFmtId="164" fontId="55" fillId="60" borderId="32" xfId="0" applyNumberFormat="1" applyFont="1" applyFill="1" applyBorder="1" applyAlignment="1">
      <alignment horizontal="center"/>
    </xf>
    <xf numFmtId="164" fontId="55" fillId="60" borderId="33" xfId="0" applyNumberFormat="1" applyFont="1" applyFill="1" applyBorder="1" applyAlignment="1">
      <alignment horizontal="center"/>
    </xf>
    <xf numFmtId="0" fontId="32" fillId="36" borderId="42" xfId="0" applyFont="1" applyFill="1" applyBorder="1" applyAlignment="1">
      <alignment horizontal="center"/>
    </xf>
    <xf numFmtId="164" fontId="55" fillId="50" borderId="0" xfId="0" applyNumberFormat="1" applyFont="1" applyFill="1" applyBorder="1" applyAlignment="1">
      <alignment horizontal="center"/>
    </xf>
    <xf numFmtId="0" fontId="51" fillId="38" borderId="0" xfId="0" applyFont="1" applyFill="1" applyAlignment="1">
      <alignment vertical="center"/>
    </xf>
    <xf numFmtId="0" fontId="51" fillId="38" borderId="35" xfId="0" applyFont="1" applyFill="1" applyBorder="1" applyAlignment="1">
      <alignment vertical="center"/>
    </xf>
    <xf numFmtId="0" fontId="87" fillId="50" borderId="0" xfId="0" applyFont="1" applyFill="1" applyAlignment="1"/>
    <xf numFmtId="0" fontId="89" fillId="50" borderId="0" xfId="0" applyFont="1" applyFill="1" applyAlignment="1">
      <alignment vertical="center"/>
    </xf>
    <xf numFmtId="0" fontId="37" fillId="38" borderId="0" xfId="0" applyFont="1" applyFill="1" applyAlignment="1">
      <alignment horizontal="center"/>
    </xf>
    <xf numFmtId="0" fontId="34" fillId="60" borderId="41" xfId="0" applyFont="1" applyFill="1" applyBorder="1" applyAlignment="1">
      <alignment horizontal="right" vertical="center"/>
    </xf>
    <xf numFmtId="0" fontId="125" fillId="36" borderId="251" xfId="0" applyFont="1" applyFill="1" applyBorder="1" applyAlignment="1">
      <alignment horizontal="right"/>
    </xf>
    <xf numFmtId="0" fontId="125" fillId="36" borderId="253" xfId="0" applyFont="1" applyFill="1" applyBorder="1" applyAlignment="1">
      <alignment horizontal="right"/>
    </xf>
    <xf numFmtId="0" fontId="34" fillId="60" borderId="42" xfId="0" applyFont="1" applyFill="1" applyBorder="1" applyAlignment="1">
      <alignment horizontal="right"/>
    </xf>
    <xf numFmtId="0" fontId="125" fillId="36" borderId="41" xfId="0" applyFont="1" applyFill="1" applyBorder="1" applyAlignment="1">
      <alignment horizontal="right"/>
    </xf>
    <xf numFmtId="0" fontId="125" fillId="36" borderId="31" xfId="0" applyFont="1" applyFill="1" applyBorder="1" applyAlignment="1">
      <alignment horizontal="right"/>
    </xf>
    <xf numFmtId="0" fontId="34" fillId="60" borderId="41" xfId="0" applyFont="1" applyFill="1" applyBorder="1" applyAlignment="1">
      <alignment horizontal="right"/>
    </xf>
    <xf numFmtId="0" fontId="125" fillId="36" borderId="252" xfId="0" applyFont="1" applyFill="1" applyBorder="1" applyAlignment="1">
      <alignment horizontal="right"/>
    </xf>
    <xf numFmtId="0" fontId="125" fillId="36" borderId="254" xfId="0" applyFont="1" applyFill="1" applyBorder="1" applyAlignment="1">
      <alignment horizontal="right"/>
    </xf>
    <xf numFmtId="0" fontId="38" fillId="38" borderId="0" xfId="0" applyFont="1" applyFill="1" applyAlignment="1" applyProtection="1">
      <alignment horizontal="centerContinuous"/>
    </xf>
    <xf numFmtId="167" fontId="26" fillId="38" borderId="0" xfId="0" applyNumberFormat="1" applyFont="1" applyFill="1" applyAlignment="1">
      <alignment horizontal="centerContinuous"/>
    </xf>
    <xf numFmtId="164" fontId="26" fillId="38" borderId="0" xfId="0" applyNumberFormat="1" applyFont="1" applyFill="1" applyAlignment="1">
      <alignment horizontal="centerContinuous"/>
    </xf>
    <xf numFmtId="0" fontId="127" fillId="38" borderId="0" xfId="0" applyFont="1" applyFill="1" applyBorder="1" applyAlignment="1">
      <alignment horizontal="center"/>
    </xf>
    <xf numFmtId="0" fontId="26" fillId="38" borderId="0" xfId="0" applyFont="1" applyFill="1" applyAlignment="1" applyProtection="1">
      <alignment horizontal="centerContinuous"/>
    </xf>
    <xf numFmtId="164" fontId="26" fillId="38" borderId="0" xfId="0" applyNumberFormat="1" applyFont="1" applyFill="1" applyAlignment="1" applyProtection="1">
      <alignment horizontal="centerContinuous"/>
    </xf>
    <xf numFmtId="0" fontId="55" fillId="60" borderId="38" xfId="0" applyFont="1" applyFill="1" applyBorder="1"/>
    <xf numFmtId="167" fontId="55" fillId="60" borderId="0" xfId="0" applyNumberFormat="1" applyFont="1" applyFill="1" applyBorder="1"/>
    <xf numFmtId="167" fontId="55" fillId="60" borderId="30" xfId="0" applyNumberFormat="1" applyFont="1" applyFill="1" applyBorder="1"/>
    <xf numFmtId="167" fontId="55" fillId="60" borderId="33" xfId="0" applyNumberFormat="1" applyFont="1" applyFill="1" applyBorder="1"/>
    <xf numFmtId="0" fontId="55" fillId="60" borderId="39" xfId="0" applyFont="1" applyFill="1" applyBorder="1"/>
    <xf numFmtId="164" fontId="55" fillId="60" borderId="37" xfId="0" applyNumberFormat="1" applyFont="1" applyFill="1" applyBorder="1" applyAlignment="1">
      <alignment horizontal="right"/>
    </xf>
    <xf numFmtId="170" fontId="55" fillId="60" borderId="31" xfId="0" applyNumberFormat="1" applyFont="1" applyFill="1" applyBorder="1" applyAlignment="1">
      <alignment horizontal="center"/>
    </xf>
    <xf numFmtId="170" fontId="55" fillId="60" borderId="29" xfId="0" applyNumberFormat="1" applyFont="1" applyFill="1" applyBorder="1" applyAlignment="1">
      <alignment horizontal="center"/>
    </xf>
    <xf numFmtId="170" fontId="55" fillId="60" borderId="32" xfId="0" applyNumberFormat="1" applyFont="1" applyFill="1" applyBorder="1" applyAlignment="1">
      <alignment horizontal="center"/>
    </xf>
    <xf numFmtId="0" fontId="55" fillId="60" borderId="37" xfId="0" applyFont="1" applyFill="1" applyBorder="1" applyAlignment="1">
      <alignment horizontal="center"/>
    </xf>
    <xf numFmtId="167" fontId="57" fillId="60" borderId="35" xfId="0" applyNumberFormat="1" applyFont="1" applyFill="1" applyBorder="1" applyAlignment="1">
      <alignment horizontal="center"/>
    </xf>
    <xf numFmtId="0" fontId="57" fillId="60" borderId="31" xfId="0" applyFont="1" applyFill="1" applyBorder="1" applyAlignment="1">
      <alignment horizontal="center"/>
    </xf>
    <xf numFmtId="167" fontId="55" fillId="60" borderId="31" xfId="0" applyNumberFormat="1" applyFont="1" applyFill="1" applyBorder="1"/>
    <xf numFmtId="0" fontId="26" fillId="66" borderId="0" xfId="0" applyFont="1" applyFill="1"/>
    <xf numFmtId="164" fontId="26" fillId="66" borderId="0" xfId="0" applyNumberFormat="1" applyFont="1" applyFill="1" applyAlignment="1">
      <alignment horizontal="center"/>
    </xf>
    <xf numFmtId="0" fontId="26" fillId="66" borderId="0" xfId="0" applyNumberFormat="1" applyFont="1" applyFill="1" applyAlignment="1">
      <alignment horizontal="center"/>
    </xf>
    <xf numFmtId="0" fontId="55" fillId="60" borderId="0" xfId="0" applyFont="1" applyFill="1" applyBorder="1" applyAlignment="1">
      <alignment horizontal="left"/>
    </xf>
    <xf numFmtId="0" fontId="32" fillId="36" borderId="37" xfId="0" applyFont="1" applyFill="1" applyBorder="1" applyAlignment="1">
      <alignment horizontal="center"/>
    </xf>
    <xf numFmtId="0" fontId="48" fillId="46" borderId="40" xfId="0" applyFont="1" applyFill="1" applyBorder="1" applyAlignment="1">
      <alignment horizontal="center"/>
    </xf>
    <xf numFmtId="0" fontId="49" fillId="46" borderId="41" xfId="0" applyFont="1" applyFill="1" applyBorder="1" applyAlignment="1">
      <alignment horizontal="center"/>
    </xf>
    <xf numFmtId="0" fontId="48" fillId="46" borderId="41" xfId="0" applyFont="1" applyFill="1" applyBorder="1"/>
    <xf numFmtId="0" fontId="48" fillId="46" borderId="42" xfId="0" applyFont="1" applyFill="1" applyBorder="1"/>
    <xf numFmtId="0" fontId="49" fillId="60" borderId="39" xfId="0" applyFont="1" applyFill="1" applyBorder="1" applyAlignment="1">
      <alignment horizontal="center"/>
    </xf>
    <xf numFmtId="0" fontId="49" fillId="60" borderId="0" xfId="0" applyFont="1" applyFill="1" applyBorder="1" applyAlignment="1">
      <alignment horizont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8" xfId="0" applyFont="1" applyFill="1" applyBorder="1" applyAlignment="1">
      <alignment horizontal="left"/>
    </xf>
    <xf numFmtId="0" fontId="32" fillId="60" borderId="237" xfId="0" applyFont="1" applyFill="1" applyBorder="1"/>
    <xf numFmtId="0" fontId="55" fillId="60" borderId="238" xfId="0" applyFont="1" applyFill="1" applyBorder="1"/>
    <xf numFmtId="0" fontId="48" fillId="60" borderId="238" xfId="0" applyFont="1" applyFill="1" applyBorder="1" applyAlignment="1">
      <alignment horizontal="center"/>
    </xf>
    <xf numFmtId="0" fontId="55" fillId="60" borderId="238" xfId="0" applyFont="1" applyFill="1" applyBorder="1" applyAlignment="1">
      <alignment horizontal="center"/>
    </xf>
    <xf numFmtId="0" fontId="55" fillId="60" borderId="239" xfId="0" applyFont="1" applyFill="1" applyBorder="1" applyAlignment="1">
      <alignment horizontal="center"/>
    </xf>
    <xf numFmtId="0" fontId="55" fillId="60" borderId="237" xfId="0" applyFont="1" applyFill="1" applyBorder="1"/>
    <xf numFmtId="0" fontId="55" fillId="60" borderId="239" xfId="0" applyFont="1" applyFill="1" applyBorder="1"/>
    <xf numFmtId="0" fontId="32" fillId="60" borderId="240" xfId="0" applyFont="1" applyFill="1" applyBorder="1"/>
    <xf numFmtId="0" fontId="55" fillId="60" borderId="0" xfId="0" applyFont="1" applyFill="1" applyBorder="1" applyAlignment="1">
      <alignment horizontal="center"/>
    </xf>
    <xf numFmtId="0" fontId="55" fillId="60" borderId="241" xfId="0" applyFont="1" applyFill="1" applyBorder="1" applyAlignment="1">
      <alignment horizontal="center"/>
    </xf>
    <xf numFmtId="0" fontId="55" fillId="60" borderId="240" xfId="0" applyFont="1" applyFill="1" applyBorder="1"/>
    <xf numFmtId="0" fontId="55" fillId="60" borderId="240" xfId="0" applyFont="1" applyFill="1" applyBorder="1" applyAlignment="1">
      <alignment horizontal="left"/>
    </xf>
    <xf numFmtId="0" fontId="55" fillId="60" borderId="241" xfId="0" applyFont="1" applyFill="1" applyBorder="1"/>
    <xf numFmtId="0" fontId="49" fillId="60" borderId="238" xfId="0" applyFont="1" applyFill="1" applyBorder="1" applyAlignment="1">
      <alignment horizontal="center"/>
    </xf>
    <xf numFmtId="164" fontId="55" fillId="60" borderId="238" xfId="0" applyNumberFormat="1" applyFont="1" applyFill="1" applyBorder="1"/>
    <xf numFmtId="165" fontId="55" fillId="60" borderId="238" xfId="0" applyNumberFormat="1" applyFont="1" applyFill="1" applyBorder="1" applyAlignment="1">
      <alignment horizontal="center"/>
    </xf>
    <xf numFmtId="0" fontId="57" fillId="60" borderId="239" xfId="0" applyFont="1" applyFill="1" applyBorder="1" applyAlignment="1">
      <alignment horizontal="center"/>
    </xf>
    <xf numFmtId="0" fontId="121" fillId="60" borderId="237" xfId="0" applyFont="1" applyFill="1" applyBorder="1" applyAlignment="1">
      <alignment horizontal="center"/>
    </xf>
    <xf numFmtId="0" fontId="121" fillId="60" borderId="238" xfId="0" applyFont="1" applyFill="1" applyBorder="1"/>
    <xf numFmtId="0" fontId="121" fillId="60" borderId="239" xfId="0" applyFont="1" applyFill="1" applyBorder="1"/>
    <xf numFmtId="0" fontId="57" fillId="60" borderId="237" xfId="0" applyFont="1" applyFill="1" applyBorder="1" applyAlignment="1">
      <alignment horizontal="center"/>
    </xf>
    <xf numFmtId="0" fontId="55" fillId="60" borderId="237" xfId="0" applyFont="1" applyFill="1" applyBorder="1" applyAlignment="1"/>
    <xf numFmtId="0" fontId="55" fillId="60" borderId="238" xfId="0" applyFont="1" applyFill="1" applyBorder="1" applyAlignment="1"/>
    <xf numFmtId="164" fontId="57" fillId="60" borderId="239" xfId="0" applyNumberFormat="1" applyFont="1" applyFill="1" applyBorder="1" applyAlignment="1">
      <alignment horizontal="center"/>
    </xf>
    <xf numFmtId="164" fontId="57" fillId="60" borderId="238" xfId="0" applyNumberFormat="1" applyFont="1" applyFill="1" applyBorder="1" applyAlignment="1">
      <alignment horizontal="center"/>
    </xf>
    <xf numFmtId="164" fontId="55" fillId="60" borderId="237" xfId="0" applyNumberFormat="1" applyFont="1" applyFill="1" applyBorder="1" applyAlignment="1"/>
    <xf numFmtId="164" fontId="55" fillId="60" borderId="238" xfId="0" applyNumberFormat="1" applyFont="1" applyFill="1" applyBorder="1" applyAlignment="1"/>
    <xf numFmtId="164" fontId="55" fillId="60" borderId="239" xfId="0" applyNumberFormat="1" applyFont="1" applyFill="1" applyBorder="1"/>
    <xf numFmtId="165" fontId="55" fillId="60" borderId="0" xfId="0" applyNumberFormat="1" applyFont="1" applyFill="1" applyBorder="1" applyAlignment="1">
      <alignment horizontal="center"/>
    </xf>
    <xf numFmtId="164" fontId="57" fillId="60" borderId="241" xfId="0" applyNumberFormat="1" applyFont="1" applyFill="1" applyBorder="1" applyAlignment="1">
      <alignment horizontal="center"/>
    </xf>
    <xf numFmtId="0" fontId="55" fillId="60" borderId="240" xfId="0" applyFont="1" applyFill="1" applyBorder="1" applyAlignment="1">
      <alignment horizontal="center"/>
    </xf>
    <xf numFmtId="0" fontId="121" fillId="60" borderId="0" xfId="0" applyFont="1" applyFill="1" applyBorder="1"/>
    <xf numFmtId="0" fontId="121" fillId="60" borderId="241" xfId="0" applyFont="1" applyFill="1" applyBorder="1"/>
    <xf numFmtId="0" fontId="57" fillId="60" borderId="240" xfId="0" applyFont="1" applyFill="1" applyBorder="1" applyAlignment="1">
      <alignment horizontal="center"/>
    </xf>
    <xf numFmtId="0" fontId="57" fillId="60" borderId="0" xfId="0" applyFont="1" applyFill="1" applyBorder="1" applyAlignment="1"/>
    <xf numFmtId="0" fontId="55" fillId="60" borderId="240" xfId="0" applyFont="1" applyFill="1" applyBorder="1" applyAlignment="1"/>
    <xf numFmtId="164" fontId="57" fillId="60" borderId="0" xfId="0" applyNumberFormat="1" applyFont="1" applyFill="1" applyBorder="1" applyAlignment="1">
      <alignment horizontal="center"/>
    </xf>
    <xf numFmtId="164" fontId="57" fillId="60" borderId="0" xfId="0" applyNumberFormat="1" applyFont="1" applyFill="1" applyBorder="1" applyAlignment="1"/>
    <xf numFmtId="164" fontId="55" fillId="60" borderId="241" xfId="0" applyNumberFormat="1" applyFont="1" applyFill="1" applyBorder="1"/>
    <xf numFmtId="0" fontId="32" fillId="60" borderId="242" xfId="0" applyFont="1" applyFill="1" applyBorder="1"/>
    <xf numFmtId="0" fontId="55" fillId="60" borderId="243" xfId="0" applyFont="1" applyFill="1" applyBorder="1"/>
    <xf numFmtId="0" fontId="49" fillId="60" borderId="243" xfId="0" applyFont="1" applyFill="1" applyBorder="1" applyAlignment="1">
      <alignment horizontal="center"/>
    </xf>
    <xf numFmtId="164" fontId="55" fillId="60" borderId="243" xfId="0" applyNumberFormat="1" applyFont="1" applyFill="1" applyBorder="1"/>
    <xf numFmtId="165" fontId="55" fillId="60" borderId="243" xfId="0" applyNumberFormat="1" applyFont="1" applyFill="1" applyBorder="1" applyAlignment="1">
      <alignment horizontal="center"/>
    </xf>
    <xf numFmtId="164" fontId="57" fillId="60" borderId="244" xfId="0" applyNumberFormat="1" applyFont="1" applyFill="1" applyBorder="1" applyAlignment="1">
      <alignment horizontal="center"/>
    </xf>
    <xf numFmtId="0" fontId="121" fillId="60" borderId="242" xfId="0" applyFont="1" applyFill="1" applyBorder="1" applyAlignment="1">
      <alignment horizontal="center"/>
    </xf>
    <xf numFmtId="0" fontId="121" fillId="60" borderId="243" xfId="0" applyFont="1" applyFill="1" applyBorder="1"/>
    <xf numFmtId="0" fontId="121" fillId="60" borderId="244" xfId="0" applyFont="1" applyFill="1" applyBorder="1"/>
    <xf numFmtId="0" fontId="57" fillId="60" borderId="242" xfId="0" applyFont="1" applyFill="1" applyBorder="1" applyAlignment="1">
      <alignment horizontal="center"/>
    </xf>
    <xf numFmtId="0" fontId="57" fillId="60" borderId="243" xfId="0" applyFont="1" applyFill="1" applyBorder="1" applyAlignment="1"/>
    <xf numFmtId="0" fontId="55" fillId="60" borderId="242" xfId="0" applyFont="1" applyFill="1" applyBorder="1" applyAlignment="1"/>
    <xf numFmtId="0" fontId="57" fillId="60" borderId="243" xfId="0" applyFont="1" applyFill="1" applyBorder="1" applyAlignment="1">
      <alignment horizontal="center"/>
    </xf>
    <xf numFmtId="164" fontId="57" fillId="60" borderId="243" xfId="0" applyNumberFormat="1" applyFont="1" applyFill="1" applyBorder="1" applyAlignment="1">
      <alignment horizontal="center"/>
    </xf>
    <xf numFmtId="164" fontId="57" fillId="60" borderId="243" xfId="0" applyNumberFormat="1" applyFont="1" applyFill="1" applyBorder="1" applyAlignment="1"/>
    <xf numFmtId="164" fontId="55" fillId="60" borderId="244" xfId="0" applyNumberFormat="1" applyFont="1" applyFill="1" applyBorder="1"/>
    <xf numFmtId="164" fontId="55" fillId="60" borderId="240" xfId="0" applyNumberFormat="1" applyFont="1" applyFill="1" applyBorder="1" applyAlignment="1"/>
    <xf numFmtId="164" fontId="55" fillId="60" borderId="0" xfId="0" applyNumberFormat="1" applyFont="1" applyFill="1" applyBorder="1" applyAlignment="1"/>
    <xf numFmtId="0" fontId="37" fillId="60" borderId="0" xfId="0" applyFont="1" applyFill="1" applyBorder="1" applyAlignment="1">
      <alignment horizontal="center"/>
    </xf>
    <xf numFmtId="0" fontId="32" fillId="36" borderId="38" xfId="0" applyFont="1" applyFill="1" applyBorder="1" applyAlignment="1">
      <alignment horizontal="center"/>
    </xf>
    <xf numFmtId="0" fontId="0" fillId="0" borderId="0" xfId="0"/>
    <xf numFmtId="0" fontId="32" fillId="36" borderId="37" xfId="0" applyFont="1" applyFill="1" applyBorder="1" applyAlignment="1">
      <alignment horizontal="center"/>
    </xf>
    <xf numFmtId="0" fontId="26" fillId="48" borderId="0" xfId="0" applyFont="1" applyFill="1" applyProtection="1"/>
    <xf numFmtId="0" fontId="26" fillId="48" borderId="0" xfId="0" applyFont="1" applyFill="1" applyAlignment="1" applyProtection="1">
      <alignment horizontal="center"/>
    </xf>
    <xf numFmtId="164" fontId="26" fillId="48" borderId="0" xfId="0" applyNumberFormat="1" applyFont="1" applyFill="1" applyProtection="1"/>
    <xf numFmtId="0" fontId="54" fillId="48" borderId="0" xfId="0" applyFont="1" applyFill="1" applyBorder="1" applyAlignment="1" applyProtection="1">
      <alignment horizontal="center" vertical="center"/>
    </xf>
    <xf numFmtId="0" fontId="32" fillId="36" borderId="28" xfId="0" applyFont="1" applyFill="1" applyBorder="1" applyProtection="1"/>
    <xf numFmtId="0" fontId="32" fillId="36" borderId="38" xfId="0" applyFont="1" applyFill="1" applyBorder="1" applyProtection="1"/>
    <xf numFmtId="0" fontId="43" fillId="36" borderId="39" xfId="0" applyFont="1" applyFill="1" applyBorder="1" applyAlignment="1" applyProtection="1">
      <alignment horizontal="center"/>
    </xf>
    <xf numFmtId="0" fontId="48" fillId="36" borderId="39" xfId="0" applyFont="1" applyFill="1" applyBorder="1" applyProtection="1"/>
    <xf numFmtId="164" fontId="32" fillId="36" borderId="39" xfId="0" applyNumberFormat="1" applyFont="1" applyFill="1" applyBorder="1" applyAlignment="1" applyProtection="1">
      <alignment horizontal="right"/>
    </xf>
    <xf numFmtId="0" fontId="32" fillId="36" borderId="39" xfId="0" applyFont="1" applyFill="1" applyBorder="1" applyAlignment="1" applyProtection="1">
      <alignment horizontal="center"/>
    </xf>
    <xf numFmtId="0" fontId="32" fillId="36" borderId="37" xfId="0" applyFont="1" applyFill="1" applyBorder="1" applyAlignment="1" applyProtection="1">
      <alignment horizontal="center"/>
    </xf>
    <xf numFmtId="0" fontId="48" fillId="36" borderId="39" xfId="0" applyFont="1" applyFill="1" applyBorder="1" applyAlignment="1" applyProtection="1">
      <alignment horizontal="center"/>
    </xf>
    <xf numFmtId="0" fontId="32" fillId="36" borderId="43" xfId="0" applyFont="1" applyFill="1" applyBorder="1" applyAlignment="1" applyProtection="1">
      <alignment horizontal="right"/>
    </xf>
    <xf numFmtId="0" fontId="32" fillId="36" borderId="44" xfId="0" applyFont="1" applyFill="1" applyBorder="1" applyAlignment="1" applyProtection="1">
      <alignment horizontal="right"/>
    </xf>
    <xf numFmtId="0" fontId="32" fillId="48" borderId="0" xfId="0" applyFont="1" applyFill="1" applyBorder="1" applyAlignment="1" applyProtection="1">
      <alignment horizontal="center"/>
    </xf>
    <xf numFmtId="0" fontId="26" fillId="48" borderId="0" xfId="0" applyFont="1" applyFill="1" applyBorder="1" applyProtection="1"/>
    <xf numFmtId="0" fontId="51" fillId="48" borderId="0" xfId="0" applyFont="1" applyFill="1" applyAlignment="1" applyProtection="1">
      <alignment vertical="center"/>
    </xf>
    <xf numFmtId="0" fontId="32" fillId="36" borderId="41" xfId="0" applyFont="1" applyFill="1" applyBorder="1" applyProtection="1"/>
    <xf numFmtId="0" fontId="32" fillId="36" borderId="31" xfId="0" applyFont="1" applyFill="1" applyBorder="1" applyAlignment="1" applyProtection="1">
      <alignment horizontal="left"/>
    </xf>
    <xf numFmtId="0" fontId="49" fillId="36" borderId="0" xfId="0" applyFont="1" applyFill="1" applyBorder="1" applyAlignment="1" applyProtection="1">
      <alignment horizontal="center"/>
    </xf>
    <xf numFmtId="164" fontId="32" fillId="36" borderId="0" xfId="0" applyNumberFormat="1" applyFont="1" applyFill="1" applyBorder="1" applyProtection="1"/>
    <xf numFmtId="164" fontId="32" fillId="36" borderId="0" xfId="0" applyNumberFormat="1" applyFont="1" applyFill="1" applyBorder="1" applyAlignment="1" applyProtection="1">
      <alignment horizontal="center"/>
    </xf>
    <xf numFmtId="0" fontId="32" fillId="36" borderId="0" xfId="0" applyFont="1" applyFill="1" applyAlignment="1" applyProtection="1">
      <alignment horizontal="center"/>
    </xf>
    <xf numFmtId="0" fontId="32" fillId="36" borderId="35" xfId="0" applyFont="1" applyFill="1" applyBorder="1" applyAlignment="1" applyProtection="1">
      <alignment horizontal="center"/>
    </xf>
    <xf numFmtId="0" fontId="26" fillId="36" borderId="34" xfId="0" applyFont="1" applyFill="1" applyBorder="1" applyProtection="1"/>
    <xf numFmtId="0" fontId="32" fillId="36" borderId="29" xfId="0" applyFont="1" applyFill="1" applyBorder="1" applyAlignment="1" applyProtection="1"/>
    <xf numFmtId="0" fontId="32" fillId="36" borderId="30" xfId="0" applyFont="1" applyFill="1" applyBorder="1" applyAlignment="1" applyProtection="1"/>
    <xf numFmtId="0" fontId="32" fillId="36" borderId="34" xfId="0" applyFont="1" applyFill="1" applyBorder="1" applyAlignment="1" applyProtection="1"/>
    <xf numFmtId="0" fontId="48" fillId="46" borderId="40" xfId="0" applyFont="1" applyFill="1" applyBorder="1" applyAlignment="1" applyProtection="1">
      <alignment horizontal="center"/>
    </xf>
    <xf numFmtId="0" fontId="55" fillId="60" borderId="229" xfId="0" applyFont="1" applyFill="1" applyBorder="1" applyAlignment="1" applyProtection="1">
      <alignment horizontal="right"/>
    </xf>
    <xf numFmtId="0" fontId="55" fillId="60" borderId="43" xfId="0" applyFont="1" applyFill="1" applyBorder="1" applyAlignment="1" applyProtection="1">
      <alignment horizontal="right"/>
    </xf>
    <xf numFmtId="0" fontId="55" fillId="60" borderId="233" xfId="0" applyFont="1" applyFill="1" applyBorder="1" applyAlignment="1" applyProtection="1">
      <alignment horizontal="right"/>
    </xf>
    <xf numFmtId="0" fontId="55" fillId="46" borderId="33" xfId="0" applyFont="1" applyFill="1" applyBorder="1" applyAlignment="1" applyProtection="1">
      <alignment horizontal="center"/>
    </xf>
    <xf numFmtId="0" fontId="55" fillId="60" borderId="33" xfId="0" applyFont="1" applyFill="1" applyBorder="1" applyAlignment="1" applyProtection="1">
      <alignment horizontal="center"/>
    </xf>
    <xf numFmtId="0" fontId="55" fillId="60" borderId="36" xfId="0" applyFont="1" applyFill="1" applyBorder="1" applyAlignment="1" applyProtection="1">
      <alignment horizontal="center"/>
    </xf>
    <xf numFmtId="0" fontId="55" fillId="60" borderId="29" xfId="0" applyFont="1" applyFill="1" applyBorder="1" applyAlignment="1" applyProtection="1"/>
    <xf numFmtId="0" fontId="55" fillId="60" borderId="30" xfId="0" applyFont="1" applyFill="1" applyBorder="1" applyAlignment="1" applyProtection="1"/>
    <xf numFmtId="0" fontId="55" fillId="60" borderId="34" xfId="0" applyFont="1" applyFill="1" applyBorder="1" applyAlignment="1" applyProtection="1"/>
    <xf numFmtId="0" fontId="87" fillId="38" borderId="0" xfId="0" applyFont="1" applyFill="1" applyAlignment="1" applyProtection="1"/>
    <xf numFmtId="0" fontId="32" fillId="36" borderId="0" xfId="0" applyFont="1" applyFill="1" applyBorder="1" applyAlignment="1" applyProtection="1">
      <alignment horizontal="left"/>
    </xf>
    <xf numFmtId="0" fontId="32" fillId="36" borderId="31" xfId="0" applyFont="1" applyFill="1" applyBorder="1" applyAlignment="1" applyProtection="1"/>
    <xf numFmtId="0" fontId="32" fillId="36" borderId="0" xfId="0" applyFont="1" applyFill="1" applyBorder="1" applyAlignment="1" applyProtection="1"/>
    <xf numFmtId="0" fontId="32" fillId="36" borderId="35" xfId="0" applyFont="1" applyFill="1" applyBorder="1" applyAlignment="1" applyProtection="1"/>
    <xf numFmtId="0" fontId="32" fillId="36" borderId="31" xfId="0" applyFont="1" applyFill="1" applyBorder="1" applyAlignment="1" applyProtection="1">
      <alignment horizontal="center"/>
    </xf>
    <xf numFmtId="0" fontId="49" fillId="46" borderId="41" xfId="0" applyFont="1" applyFill="1" applyBorder="1" applyAlignment="1" applyProtection="1">
      <alignment horizontal="center"/>
    </xf>
    <xf numFmtId="164" fontId="55" fillId="60" borderId="0" xfId="0" applyNumberFormat="1" applyFont="1" applyFill="1" applyBorder="1" applyProtection="1"/>
    <xf numFmtId="164" fontId="55" fillId="60" borderId="35" xfId="0" applyNumberFormat="1" applyFont="1" applyFill="1" applyBorder="1" applyProtection="1"/>
    <xf numFmtId="164" fontId="55" fillId="46" borderId="0" xfId="0" applyNumberFormat="1" applyFont="1" applyFill="1" applyBorder="1" applyAlignment="1" applyProtection="1">
      <alignment horizontal="center"/>
    </xf>
    <xf numFmtId="0" fontId="55" fillId="60" borderId="0" xfId="0" applyFont="1" applyFill="1" applyAlignment="1" applyProtection="1">
      <alignment horizontal="center"/>
    </xf>
    <xf numFmtId="0" fontId="55" fillId="60" borderId="35" xfId="0" applyFont="1" applyFill="1" applyBorder="1" applyAlignment="1" applyProtection="1">
      <alignment horizontal="center"/>
    </xf>
    <xf numFmtId="0" fontId="55" fillId="60" borderId="31" xfId="0" applyFont="1" applyFill="1" applyBorder="1" applyAlignment="1" applyProtection="1"/>
    <xf numFmtId="0" fontId="55" fillId="60" borderId="0" xfId="0" applyFont="1" applyFill="1" applyBorder="1" applyAlignment="1" applyProtection="1"/>
    <xf numFmtId="0" fontId="55" fillId="60" borderId="35" xfId="0" applyFont="1" applyFill="1" applyBorder="1" applyAlignment="1" applyProtection="1"/>
    <xf numFmtId="0" fontId="55" fillId="60" borderId="31" xfId="0" applyFont="1" applyFill="1" applyBorder="1" applyAlignment="1" applyProtection="1">
      <alignment horizontal="center"/>
    </xf>
    <xf numFmtId="0" fontId="32" fillId="36" borderId="32" xfId="0" applyFont="1" applyFill="1" applyBorder="1" applyAlignment="1" applyProtection="1">
      <alignment horizontal="center"/>
    </xf>
    <xf numFmtId="0" fontId="32" fillId="36" borderId="33" xfId="0" applyFont="1" applyFill="1" applyBorder="1" applyAlignment="1" applyProtection="1">
      <alignment horizontal="center"/>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center"/>
    </xf>
    <xf numFmtId="0" fontId="48" fillId="36" borderId="0" xfId="0" applyFont="1" applyFill="1" applyBorder="1" applyProtection="1"/>
    <xf numFmtId="0" fontId="26" fillId="36" borderId="0" xfId="0" applyFont="1" applyFill="1" applyBorder="1" applyProtection="1"/>
    <xf numFmtId="0" fontId="32" fillId="36" borderId="32" xfId="0" applyFont="1" applyFill="1" applyBorder="1" applyAlignment="1" applyProtection="1"/>
    <xf numFmtId="0" fontId="32" fillId="36" borderId="33" xfId="0" applyFont="1" applyFill="1" applyBorder="1" applyAlignment="1" applyProtection="1"/>
    <xf numFmtId="0" fontId="32" fillId="36" borderId="36" xfId="0" applyFont="1" applyFill="1" applyBorder="1" applyAlignment="1" applyProtection="1"/>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60" borderId="32" xfId="0" applyFont="1" applyFill="1" applyBorder="1" applyAlignment="1" applyProtection="1"/>
    <xf numFmtId="0" fontId="55" fillId="60" borderId="33" xfId="0" applyFont="1" applyFill="1" applyBorder="1" applyAlignment="1" applyProtection="1"/>
    <xf numFmtId="0" fontId="55" fillId="60" borderId="36" xfId="0" applyFont="1" applyFill="1" applyBorder="1" applyAlignment="1" applyProtection="1"/>
    <xf numFmtId="0" fontId="55" fillId="60" borderId="28" xfId="0" applyFont="1" applyFill="1" applyBorder="1" applyAlignment="1" applyProtection="1">
      <alignment horizontal="center"/>
    </xf>
    <xf numFmtId="0" fontId="55" fillId="60" borderId="38" xfId="0" applyFont="1" applyFill="1" applyBorder="1" applyAlignment="1" applyProtection="1">
      <alignment horizontal="center"/>
    </xf>
    <xf numFmtId="3" fontId="32" fillId="36" borderId="30" xfId="0" applyNumberFormat="1" applyFont="1" applyFill="1" applyBorder="1" applyProtection="1"/>
    <xf numFmtId="3" fontId="32" fillId="36" borderId="34" xfId="0" applyNumberFormat="1" applyFont="1" applyFill="1" applyBorder="1" applyProtection="1"/>
    <xf numFmtId="3" fontId="55" fillId="60" borderId="30" xfId="0" applyNumberFormat="1" applyFont="1" applyFill="1" applyBorder="1" applyProtection="1"/>
    <xf numFmtId="3" fontId="55" fillId="60" borderId="34" xfId="0" applyNumberFormat="1" applyFont="1" applyFill="1" applyBorder="1" applyProtection="1"/>
    <xf numFmtId="164" fontId="32" fillId="36" borderId="24" xfId="0" applyNumberFormat="1" applyFont="1" applyFill="1" applyBorder="1" applyProtection="1"/>
    <xf numFmtId="0" fontId="32" fillId="36" borderId="31" xfId="0" applyFont="1" applyFill="1" applyBorder="1" applyProtection="1"/>
    <xf numFmtId="0" fontId="32" fillId="36" borderId="0" xfId="0" applyFont="1" applyFill="1" applyBorder="1" applyProtection="1"/>
    <xf numFmtId="3" fontId="32" fillId="36" borderId="0" xfId="0" applyNumberFormat="1" applyFont="1" applyFill="1" applyBorder="1" applyProtection="1"/>
    <xf numFmtId="3" fontId="32" fillId="36" borderId="35" xfId="0" applyNumberFormat="1" applyFont="1" applyFill="1" applyBorder="1" applyProtection="1"/>
    <xf numFmtId="0" fontId="55" fillId="60" borderId="31" xfId="0" applyFont="1" applyFill="1" applyBorder="1" applyProtection="1"/>
    <xf numFmtId="0" fontId="55" fillId="60" borderId="0" xfId="0" applyFont="1" applyFill="1" applyBorder="1" applyProtection="1"/>
    <xf numFmtId="3" fontId="55" fillId="60" borderId="0" xfId="0" applyNumberFormat="1" applyFont="1" applyFill="1" applyBorder="1" applyProtection="1"/>
    <xf numFmtId="3" fontId="55" fillId="60" borderId="35" xfId="0" applyNumberFormat="1" applyFont="1" applyFill="1" applyBorder="1" applyProtection="1"/>
    <xf numFmtId="0" fontId="32" fillId="36" borderId="32" xfId="0" applyFont="1" applyFill="1" applyBorder="1" applyProtection="1"/>
    <xf numFmtId="0" fontId="32" fillId="36" borderId="33" xfId="0" applyFont="1" applyFill="1" applyBorder="1" applyProtection="1"/>
    <xf numFmtId="166" fontId="32" fillId="36" borderId="33" xfId="0" applyNumberFormat="1" applyFont="1" applyFill="1" applyBorder="1" applyProtection="1"/>
    <xf numFmtId="166" fontId="32" fillId="36" borderId="36" xfId="0" applyNumberFormat="1" applyFont="1" applyFill="1" applyBorder="1" applyProtection="1"/>
    <xf numFmtId="164" fontId="55" fillId="60" borderId="232" xfId="0" applyNumberFormat="1" applyFont="1" applyFill="1" applyBorder="1" applyProtection="1"/>
    <xf numFmtId="164" fontId="55" fillId="60" borderId="235" xfId="0" applyNumberFormat="1" applyFont="1" applyFill="1" applyBorder="1" applyProtection="1"/>
    <xf numFmtId="0" fontId="55" fillId="60" borderId="32" xfId="0" applyFont="1" applyFill="1" applyBorder="1" applyProtection="1"/>
    <xf numFmtId="0" fontId="55" fillId="60" borderId="33" xfId="0" applyFont="1" applyFill="1" applyBorder="1" applyProtection="1"/>
    <xf numFmtId="166" fontId="55" fillId="60" borderId="33" xfId="0" applyNumberFormat="1" applyFont="1" applyFill="1" applyBorder="1" applyProtection="1"/>
    <xf numFmtId="166" fontId="55" fillId="60" borderId="36" xfId="0" applyNumberFormat="1" applyFont="1" applyFill="1" applyBorder="1" applyProtection="1"/>
    <xf numFmtId="0" fontId="62" fillId="36" borderId="28" xfId="0" applyFont="1" applyFill="1" applyBorder="1" applyProtection="1"/>
    <xf numFmtId="0" fontId="32" fillId="36" borderId="35" xfId="0" applyFont="1" applyFill="1" applyBorder="1" applyProtection="1"/>
    <xf numFmtId="0" fontId="55" fillId="60" borderId="35" xfId="0" applyFont="1" applyFill="1" applyBorder="1" applyProtection="1"/>
    <xf numFmtId="0" fontId="62" fillId="36" borderId="41" xfId="0" applyFont="1" applyFill="1" applyBorder="1" applyProtection="1"/>
    <xf numFmtId="164" fontId="32" fillId="36" borderId="35" xfId="0" applyNumberFormat="1" applyFont="1" applyFill="1" applyBorder="1" applyProtection="1"/>
    <xf numFmtId="164" fontId="55" fillId="60" borderId="30" xfId="0" applyNumberFormat="1" applyFont="1" applyFill="1" applyBorder="1" applyProtection="1"/>
    <xf numFmtId="164" fontId="55" fillId="60" borderId="34" xfId="0" applyNumberFormat="1" applyFont="1" applyFill="1" applyBorder="1" applyProtection="1"/>
    <xf numFmtId="165" fontId="32" fillId="36" borderId="0" xfId="0" applyNumberFormat="1" applyFont="1" applyFill="1" applyBorder="1" applyProtection="1"/>
    <xf numFmtId="165" fontId="32" fillId="36" borderId="35" xfId="0" applyNumberFormat="1" applyFont="1" applyFill="1" applyBorder="1" applyProtection="1"/>
    <xf numFmtId="164" fontId="55" fillId="60" borderId="33" xfId="0" applyNumberFormat="1" applyFont="1" applyFill="1" applyBorder="1" applyProtection="1"/>
    <xf numFmtId="164" fontId="55" fillId="60" borderId="36" xfId="0" applyNumberFormat="1" applyFont="1" applyFill="1" applyBorder="1" applyProtection="1"/>
    <xf numFmtId="165" fontId="55" fillId="60" borderId="0" xfId="0" applyNumberFormat="1" applyFont="1" applyFill="1" applyBorder="1" applyProtection="1"/>
    <xf numFmtId="165" fontId="55" fillId="60" borderId="35" xfId="0" applyNumberFormat="1" applyFont="1" applyFill="1" applyBorder="1" applyProtection="1"/>
    <xf numFmtId="0" fontId="62" fillId="36" borderId="65" xfId="0" applyFont="1" applyFill="1" applyBorder="1" applyProtection="1"/>
    <xf numFmtId="0" fontId="37" fillId="48" borderId="0" xfId="0" applyFont="1" applyFill="1" applyBorder="1" applyAlignment="1" applyProtection="1">
      <alignment horizontal="center"/>
    </xf>
    <xf numFmtId="0" fontId="89" fillId="38" borderId="0" xfId="0" applyFont="1" applyFill="1" applyAlignment="1" applyProtection="1">
      <alignment vertical="center"/>
    </xf>
    <xf numFmtId="0" fontId="90" fillId="38" borderId="0" xfId="0" applyFont="1" applyFill="1" applyAlignment="1" applyProtection="1">
      <alignment vertical="center"/>
    </xf>
    <xf numFmtId="164" fontId="26" fillId="48" borderId="0" xfId="0" applyNumberFormat="1" applyFont="1" applyFill="1" applyBorder="1" applyProtection="1"/>
    <xf numFmtId="0" fontId="89" fillId="48" borderId="0" xfId="0" applyFont="1" applyFill="1" applyAlignment="1" applyProtection="1">
      <alignment vertical="center"/>
    </xf>
    <xf numFmtId="0" fontId="128" fillId="48" borderId="0" xfId="0" applyFont="1" applyFill="1" applyAlignment="1" applyProtection="1">
      <alignment vertical="center"/>
    </xf>
    <xf numFmtId="0" fontId="89" fillId="48" borderId="35" xfId="0" applyFont="1" applyFill="1" applyBorder="1" applyAlignment="1" applyProtection="1">
      <alignment vertical="center"/>
    </xf>
    <xf numFmtId="0" fontId="32" fillId="36" borderId="35" xfId="0" applyFont="1" applyFill="1" applyBorder="1" applyAlignment="1" applyProtection="1">
      <alignment horizontal="center" vertical="center"/>
    </xf>
    <xf numFmtId="164" fontId="32" fillId="36" borderId="23" xfId="0" applyNumberFormat="1" applyFont="1" applyFill="1" applyBorder="1" applyProtection="1"/>
    <xf numFmtId="0" fontId="55" fillId="60" borderId="35" xfId="0" applyFont="1" applyFill="1" applyBorder="1" applyAlignment="1" applyProtection="1">
      <alignment horizontal="center" vertical="center"/>
    </xf>
    <xf numFmtId="0" fontId="32" fillId="36" borderId="29" xfId="0" applyFont="1" applyFill="1" applyBorder="1" applyProtection="1"/>
    <xf numFmtId="0" fontId="32" fillId="36" borderId="30" xfId="0" applyFont="1" applyFill="1" applyBorder="1" applyProtection="1"/>
    <xf numFmtId="0" fontId="32" fillId="36" borderId="34" xfId="0" applyFont="1" applyFill="1" applyBorder="1" applyProtection="1"/>
    <xf numFmtId="0" fontId="55" fillId="36" borderId="40" xfId="0" applyFont="1" applyFill="1" applyBorder="1" applyAlignment="1" applyProtection="1">
      <alignment horizontal="right"/>
    </xf>
    <xf numFmtId="0" fontId="55" fillId="60" borderId="29" xfId="0" applyFont="1" applyFill="1" applyBorder="1" applyProtection="1"/>
    <xf numFmtId="0" fontId="55" fillId="60" borderId="30" xfId="0" applyFont="1" applyFill="1" applyBorder="1" applyProtection="1"/>
    <xf numFmtId="0" fontId="55" fillId="60" borderId="34" xfId="0" applyFont="1" applyFill="1" applyBorder="1" applyProtection="1"/>
    <xf numFmtId="0" fontId="55" fillId="60" borderId="40" xfId="0" applyFont="1" applyFill="1" applyBorder="1" applyAlignment="1" applyProtection="1">
      <alignment horizontal="right"/>
    </xf>
    <xf numFmtId="0" fontId="125" fillId="36" borderId="30" xfId="0" applyFont="1" applyFill="1" applyBorder="1" applyAlignment="1" applyProtection="1"/>
    <xf numFmtId="0" fontId="125" fillId="36" borderId="40" xfId="0" applyFont="1" applyFill="1" applyBorder="1" applyAlignment="1" applyProtection="1">
      <alignment horizontal="right"/>
    </xf>
    <xf numFmtId="0" fontId="125" fillId="36" borderId="29" xfId="0" applyFont="1" applyFill="1" applyBorder="1" applyAlignment="1" applyProtection="1">
      <alignment horizontal="right"/>
    </xf>
    <xf numFmtId="0" fontId="34" fillId="60" borderId="40" xfId="0" applyFont="1" applyFill="1" applyBorder="1" applyAlignment="1" applyProtection="1">
      <alignment horizontal="right"/>
    </xf>
    <xf numFmtId="0" fontId="34" fillId="60" borderId="40" xfId="0" applyFont="1" applyFill="1" applyBorder="1" applyAlignment="1" applyProtection="1">
      <alignment horizontal="right" vertical="center"/>
    </xf>
    <xf numFmtId="0" fontId="62" fillId="36" borderId="35" xfId="0" applyFont="1" applyFill="1" applyBorder="1" applyProtection="1"/>
    <xf numFmtId="0" fontId="32" fillId="36" borderId="36" xfId="0" applyFont="1" applyFill="1" applyBorder="1" applyProtection="1"/>
    <xf numFmtId="164" fontId="55" fillId="36" borderId="42" xfId="0" applyNumberFormat="1" applyFont="1" applyFill="1" applyBorder="1" applyAlignment="1" applyProtection="1">
      <alignment horizontal="right"/>
    </xf>
    <xf numFmtId="0" fontId="55" fillId="60" borderId="36" xfId="0" applyFont="1" applyFill="1" applyBorder="1" applyProtection="1"/>
    <xf numFmtId="164" fontId="55" fillId="60" borderId="42" xfId="0" applyNumberFormat="1" applyFont="1" applyFill="1" applyBorder="1" applyAlignment="1" applyProtection="1">
      <alignment horizontal="right"/>
    </xf>
    <xf numFmtId="0" fontId="126" fillId="36" borderId="242" xfId="0" applyFont="1" applyFill="1" applyBorder="1" applyProtection="1"/>
    <xf numFmtId="0" fontId="125" fillId="36" borderId="251" xfId="0" applyFont="1" applyFill="1" applyBorder="1" applyAlignment="1" applyProtection="1">
      <alignment horizontal="right"/>
    </xf>
    <xf numFmtId="0" fontId="125" fillId="36" borderId="253" xfId="0" applyFont="1" applyFill="1" applyBorder="1" applyAlignment="1" applyProtection="1">
      <alignment horizontal="right"/>
    </xf>
    <xf numFmtId="0" fontId="34" fillId="60" borderId="42" xfId="0" applyFont="1" applyFill="1" applyBorder="1" applyAlignment="1" applyProtection="1">
      <alignment horizontal="right"/>
    </xf>
    <xf numFmtId="0" fontId="62" fillId="36" borderId="54" xfId="0" applyFont="1" applyFill="1" applyBorder="1" applyProtection="1"/>
    <xf numFmtId="165" fontId="55" fillId="36" borderId="35" xfId="0" applyNumberFormat="1" applyFont="1" applyFill="1" applyBorder="1" applyProtection="1"/>
    <xf numFmtId="0" fontId="126" fillId="36" borderId="0" xfId="0" applyFont="1" applyFill="1" applyBorder="1" applyProtection="1"/>
    <xf numFmtId="0" fontId="125" fillId="36" borderId="41" xfId="0" applyFont="1" applyFill="1" applyBorder="1" applyAlignment="1" applyProtection="1">
      <alignment horizontal="right"/>
    </xf>
    <xf numFmtId="0" fontId="125" fillId="36" borderId="31" xfId="0" applyFont="1" applyFill="1" applyBorder="1" applyAlignment="1" applyProtection="1">
      <alignment horizontal="right"/>
    </xf>
    <xf numFmtId="0" fontId="34" fillId="60" borderId="41" xfId="0" applyFont="1" applyFill="1" applyBorder="1" applyAlignment="1" applyProtection="1">
      <alignment horizontal="right"/>
    </xf>
    <xf numFmtId="0" fontId="34" fillId="60" borderId="41" xfId="0" applyFont="1" applyFill="1" applyBorder="1" applyAlignment="1" applyProtection="1">
      <alignment horizontal="right" vertical="center"/>
    </xf>
    <xf numFmtId="164" fontId="32" fillId="36" borderId="25" xfId="0" applyNumberFormat="1" applyFont="1" applyFill="1" applyBorder="1" applyProtection="1"/>
    <xf numFmtId="0" fontId="125" fillId="36" borderId="0" xfId="0" applyFont="1" applyFill="1" applyBorder="1" applyAlignment="1" applyProtection="1">
      <alignment vertical="center"/>
    </xf>
    <xf numFmtId="164" fontId="32" fillId="36" borderId="33" xfId="0" applyNumberFormat="1" applyFont="1" applyFill="1" applyBorder="1" applyAlignment="1" applyProtection="1">
      <alignment horizontal="center"/>
    </xf>
    <xf numFmtId="164" fontId="32" fillId="36" borderId="33" xfId="0" applyNumberFormat="1" applyFont="1" applyFill="1" applyBorder="1" applyProtection="1"/>
    <xf numFmtId="0" fontId="32" fillId="36" borderId="36" xfId="0" applyFont="1" applyFill="1" applyBorder="1" applyAlignment="1" applyProtection="1">
      <alignment horizontal="center" vertical="center"/>
    </xf>
    <xf numFmtId="164" fontId="55" fillId="46" borderId="33" xfId="0" applyNumberFormat="1" applyFont="1" applyFill="1" applyBorder="1" applyAlignment="1" applyProtection="1">
      <alignment horizontal="center"/>
    </xf>
    <xf numFmtId="0" fontId="55" fillId="60" borderId="36" xfId="0" applyFont="1" applyFill="1" applyBorder="1" applyAlignment="1" applyProtection="1">
      <alignment horizontal="center" vertical="center"/>
    </xf>
    <xf numFmtId="0" fontId="62" fillId="36" borderId="35" xfId="0" applyFont="1" applyFill="1" applyBorder="1" applyAlignment="1" applyProtection="1">
      <alignment horizontal="center"/>
    </xf>
    <xf numFmtId="0" fontId="48" fillId="36" borderId="30" xfId="0" applyFont="1" applyFill="1" applyBorder="1" applyProtection="1"/>
    <xf numFmtId="164" fontId="32" fillId="36" borderId="30" xfId="0" applyNumberFormat="1" applyFont="1" applyFill="1" applyBorder="1" applyProtection="1"/>
    <xf numFmtId="0" fontId="32" fillId="36" borderId="34" xfId="0" applyFont="1" applyFill="1" applyBorder="1" applyAlignment="1" applyProtection="1">
      <alignment horizontal="center" vertical="center"/>
    </xf>
    <xf numFmtId="0" fontId="26" fillId="36" borderId="30" xfId="0" applyFont="1" applyFill="1" applyBorder="1" applyProtection="1"/>
    <xf numFmtId="0" fontId="32" fillId="36" borderId="30" xfId="0" applyFont="1" applyFill="1" applyBorder="1" applyAlignment="1" applyProtection="1">
      <alignment horizontal="center"/>
    </xf>
    <xf numFmtId="0" fontId="59" fillId="46" borderId="41" xfId="0" applyFont="1" applyFill="1" applyBorder="1" applyProtection="1"/>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vertical="center"/>
    </xf>
    <xf numFmtId="0" fontId="48" fillId="36" borderId="33" xfId="0" applyFont="1" applyFill="1" applyBorder="1" applyProtection="1"/>
    <xf numFmtId="0" fontId="32" fillId="36" borderId="36" xfId="0" applyFont="1" applyFill="1" applyBorder="1" applyAlignment="1" applyProtection="1">
      <alignment horizontal="center"/>
    </xf>
    <xf numFmtId="0" fontId="26" fillId="36" borderId="33" xfId="0" applyFont="1" applyFill="1" applyBorder="1" applyProtection="1"/>
    <xf numFmtId="164" fontId="32" fillId="36" borderId="30" xfId="0" applyNumberFormat="1" applyFont="1" applyFill="1" applyBorder="1" applyAlignment="1" applyProtection="1">
      <alignment horizontal="center"/>
    </xf>
    <xf numFmtId="0" fontId="32" fillId="36" borderId="0" xfId="0" applyFont="1" applyFill="1" applyProtection="1"/>
    <xf numFmtId="0" fontId="32" fillId="36" borderId="34" xfId="0" applyFont="1" applyFill="1" applyBorder="1" applyAlignment="1" applyProtection="1">
      <alignment horizontal="center"/>
    </xf>
    <xf numFmtId="0" fontId="47" fillId="36" borderId="30" xfId="0" applyFont="1" applyFill="1" applyBorder="1" applyAlignment="1" applyProtection="1">
      <alignment horizontal="center"/>
    </xf>
    <xf numFmtId="164" fontId="32" fillId="36" borderId="30" xfId="0" applyNumberFormat="1" applyFont="1" applyFill="1" applyBorder="1" applyAlignment="1" applyProtection="1">
      <alignment horizontal="right"/>
    </xf>
    <xf numFmtId="0" fontId="55" fillId="60" borderId="34" xfId="0" applyFont="1" applyFill="1" applyBorder="1" applyAlignment="1" applyProtection="1">
      <alignment horizontal="center"/>
    </xf>
    <xf numFmtId="0" fontId="125" fillId="36" borderId="237" xfId="0" applyFont="1" applyFill="1" applyBorder="1" applyAlignment="1" applyProtection="1">
      <alignment vertical="center"/>
    </xf>
    <xf numFmtId="0" fontId="125" fillId="36" borderId="252" xfId="0" applyFont="1" applyFill="1" applyBorder="1" applyAlignment="1" applyProtection="1">
      <alignment horizontal="right"/>
    </xf>
    <xf numFmtId="0" fontId="125" fillId="36" borderId="254" xfId="0" applyFont="1" applyFill="1" applyBorder="1" applyAlignment="1" applyProtection="1">
      <alignment horizontal="right"/>
    </xf>
    <xf numFmtId="164" fontId="47" fillId="36" borderId="0" xfId="0" applyNumberFormat="1" applyFont="1" applyFill="1" applyBorder="1" applyAlignment="1" applyProtection="1">
      <alignment horizontal="right"/>
    </xf>
    <xf numFmtId="0" fontId="47" fillId="36" borderId="0" xfId="0" applyFont="1" applyFill="1" applyBorder="1" applyAlignment="1" applyProtection="1">
      <alignment horizontal="center"/>
    </xf>
    <xf numFmtId="164" fontId="32" fillId="36" borderId="0" xfId="0" applyNumberFormat="1" applyFont="1" applyFill="1" applyBorder="1" applyAlignment="1" applyProtection="1">
      <alignment horizontal="right"/>
    </xf>
    <xf numFmtId="165" fontId="32" fillId="36" borderId="33" xfId="0" applyNumberFormat="1" applyFont="1" applyFill="1" applyBorder="1" applyProtection="1"/>
    <xf numFmtId="165" fontId="55" fillId="36" borderId="36" xfId="0" applyNumberFormat="1" applyFont="1" applyFill="1" applyBorder="1" applyProtection="1"/>
    <xf numFmtId="0" fontId="57" fillId="60" borderId="0" xfId="0" applyFont="1" applyFill="1" applyBorder="1" applyAlignment="1" applyProtection="1">
      <alignment horizontal="center"/>
    </xf>
    <xf numFmtId="165" fontId="55" fillId="60" borderId="33" xfId="0" applyNumberFormat="1" applyFont="1" applyFill="1" applyBorder="1" applyProtection="1"/>
    <xf numFmtId="165" fontId="55" fillId="60" borderId="36" xfId="0" applyNumberFormat="1" applyFont="1" applyFill="1" applyBorder="1" applyProtection="1"/>
    <xf numFmtId="0" fontId="32" fillId="36" borderId="32" xfId="0" applyFont="1" applyFill="1" applyBorder="1" applyAlignment="1" applyProtection="1">
      <alignment horizontal="left"/>
    </xf>
    <xf numFmtId="164" fontId="47" fillId="36" borderId="33" xfId="0" applyNumberFormat="1" applyFont="1" applyFill="1" applyBorder="1" applyAlignment="1" applyProtection="1">
      <alignment horizontal="right"/>
    </xf>
    <xf numFmtId="164" fontId="32" fillId="36" borderId="33" xfId="0" applyNumberFormat="1" applyFont="1" applyFill="1" applyBorder="1" applyAlignment="1" applyProtection="1">
      <alignment horizontal="right"/>
    </xf>
    <xf numFmtId="0" fontId="32" fillId="48" borderId="0" xfId="0" applyFont="1" applyFill="1" applyAlignment="1" applyProtection="1">
      <alignment vertical="center"/>
    </xf>
    <xf numFmtId="0" fontId="51" fillId="48" borderId="0" xfId="0" applyFont="1" applyFill="1" applyBorder="1" applyAlignment="1" applyProtection="1">
      <alignment vertical="center"/>
    </xf>
    <xf numFmtId="0" fontId="32" fillId="48" borderId="0" xfId="0" applyFont="1" applyFill="1" applyBorder="1" applyProtection="1"/>
    <xf numFmtId="0" fontId="32" fillId="48" borderId="0" xfId="0" applyFont="1" applyFill="1" applyBorder="1" applyAlignment="1" applyProtection="1">
      <alignment horizontal="left"/>
    </xf>
    <xf numFmtId="0" fontId="26" fillId="48" borderId="0" xfId="0" applyFont="1" applyFill="1" applyBorder="1" applyAlignment="1" applyProtection="1">
      <alignment horizontal="center"/>
    </xf>
    <xf numFmtId="0" fontId="49" fillId="48" borderId="0" xfId="0" applyFont="1" applyFill="1" applyBorder="1" applyAlignment="1" applyProtection="1">
      <alignment horizontal="center"/>
    </xf>
    <xf numFmtId="164" fontId="47" fillId="48" borderId="0" xfId="0" applyNumberFormat="1" applyFont="1" applyFill="1" applyBorder="1" applyAlignment="1" applyProtection="1">
      <alignment horizontal="right"/>
    </xf>
    <xf numFmtId="164" fontId="32" fillId="48" borderId="0" xfId="0" applyNumberFormat="1" applyFont="1" applyFill="1" applyBorder="1" applyAlignment="1" applyProtection="1">
      <alignment horizontal="center"/>
    </xf>
    <xf numFmtId="0" fontId="32" fillId="48" borderId="0" xfId="0" applyFont="1" applyFill="1" applyAlignment="1" applyProtection="1">
      <alignment horizontal="center" vertical="center"/>
    </xf>
    <xf numFmtId="0" fontId="32" fillId="56" borderId="57" xfId="0" applyFont="1" applyFill="1" applyBorder="1" applyAlignment="1" applyProtection="1">
      <alignment horizontal="center"/>
    </xf>
    <xf numFmtId="0" fontId="32" fillId="64" borderId="57" xfId="0" applyFont="1" applyFill="1" applyBorder="1" applyAlignment="1" applyProtection="1">
      <alignment horizontal="center"/>
    </xf>
    <xf numFmtId="0" fontId="32" fillId="52" borderId="38" xfId="0" applyFont="1" applyFill="1" applyBorder="1" applyAlignment="1" applyProtection="1">
      <alignment horizontal="centerContinuous"/>
    </xf>
    <xf numFmtId="0" fontId="32" fillId="52" borderId="39" xfId="0" applyFont="1" applyFill="1" applyBorder="1" applyAlignment="1" applyProtection="1">
      <alignment horizontal="centerContinuous"/>
    </xf>
    <xf numFmtId="0" fontId="32" fillId="52" borderId="37" xfId="0" applyFont="1" applyFill="1" applyBorder="1" applyAlignment="1" applyProtection="1">
      <alignment horizontal="centerContinuous"/>
    </xf>
    <xf numFmtId="3" fontId="32" fillId="52" borderId="28" xfId="0" applyNumberFormat="1" applyFont="1" applyFill="1" applyBorder="1" applyAlignment="1" applyProtection="1">
      <alignment horizontal="center"/>
    </xf>
    <xf numFmtId="3" fontId="32" fillId="52" borderId="38" xfId="0" applyNumberFormat="1" applyFont="1" applyFill="1" applyBorder="1" applyAlignment="1" applyProtection="1">
      <alignment horizontal="center"/>
    </xf>
    <xf numFmtId="3" fontId="32" fillId="56" borderId="57" xfId="0" applyNumberFormat="1" applyFont="1" applyFill="1" applyBorder="1" applyAlignment="1" applyProtection="1">
      <alignment horizontal="center"/>
    </xf>
    <xf numFmtId="3" fontId="32" fillId="64" borderId="57" xfId="0" applyNumberFormat="1" applyFont="1" applyFill="1" applyBorder="1" applyAlignment="1" applyProtection="1">
      <alignment horizontal="center"/>
    </xf>
    <xf numFmtId="3" fontId="32" fillId="52" borderId="37" xfId="0" applyNumberFormat="1" applyFont="1" applyFill="1" applyBorder="1" applyAlignment="1" applyProtection="1">
      <alignment horizontal="center"/>
    </xf>
    <xf numFmtId="0" fontId="28" fillId="34" borderId="37" xfId="0" applyFont="1" applyFill="1" applyBorder="1" applyAlignment="1" applyProtection="1">
      <alignment horizontal="center"/>
    </xf>
    <xf numFmtId="0" fontId="32" fillId="36" borderId="0" xfId="0" applyFont="1" applyFill="1" applyAlignment="1" applyProtection="1">
      <alignment horizontal="left"/>
    </xf>
    <xf numFmtId="0" fontId="32" fillId="36" borderId="28" xfId="0" applyFont="1" applyFill="1" applyBorder="1" applyAlignment="1" applyProtection="1">
      <alignment horizontal="left"/>
    </xf>
    <xf numFmtId="0" fontId="32" fillId="36" borderId="38" xfId="0" applyFont="1" applyFill="1" applyBorder="1" applyAlignment="1" applyProtection="1">
      <alignment horizontal="left"/>
    </xf>
    <xf numFmtId="0" fontId="55" fillId="56" borderId="57" xfId="0" applyFont="1" applyFill="1" applyBorder="1" applyAlignment="1" applyProtection="1">
      <alignment horizontal="left"/>
    </xf>
    <xf numFmtId="164" fontId="55" fillId="56" borderId="57" xfId="0" applyNumberFormat="1" applyFont="1" applyFill="1" applyBorder="1" applyAlignment="1" applyProtection="1">
      <alignment horizontal="left"/>
    </xf>
    <xf numFmtId="0" fontId="55" fillId="64" borderId="57" xfId="0" applyFont="1" applyFill="1" applyBorder="1" applyAlignment="1" applyProtection="1">
      <alignment horizontal="left"/>
    </xf>
    <xf numFmtId="0" fontId="38" fillId="38" borderId="0" xfId="0" applyFont="1" applyFill="1" applyBorder="1" applyProtection="1">
      <protection locked="0"/>
    </xf>
    <xf numFmtId="0" fontId="38" fillId="38" borderId="0" xfId="0" applyFont="1" applyFill="1" applyBorder="1" applyAlignment="1" applyProtection="1">
      <alignment horizontal="center"/>
      <protection locked="0"/>
    </xf>
    <xf numFmtId="0" fontId="26" fillId="38" borderId="0" xfId="0" applyFont="1" applyFill="1" applyBorder="1" applyProtection="1">
      <protection locked="0"/>
    </xf>
    <xf numFmtId="0" fontId="26" fillId="38" borderId="0" xfId="0" applyFont="1" applyFill="1" applyBorder="1" applyAlignment="1" applyProtection="1">
      <alignment horizontal="center"/>
      <protection locked="0"/>
    </xf>
    <xf numFmtId="0" fontId="127" fillId="38" borderId="0" xfId="0" applyFont="1" applyFill="1" applyBorder="1" applyAlignment="1" applyProtection="1">
      <alignment horizontal="center"/>
      <protection locked="0"/>
    </xf>
    <xf numFmtId="164" fontId="26" fillId="38" borderId="0" xfId="0" applyNumberFormat="1" applyFont="1" applyFill="1" applyBorder="1" applyProtection="1">
      <protection locked="0"/>
    </xf>
    <xf numFmtId="0" fontId="26" fillId="0" borderId="0" xfId="0" applyFont="1" applyFill="1" applyBorder="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0" fontId="26" fillId="0" borderId="0" xfId="0" applyFont="1" applyProtection="1">
      <protection locked="0"/>
    </xf>
    <xf numFmtId="0" fontId="60" fillId="38" borderId="0" xfId="0" applyFont="1" applyFill="1" applyBorder="1" applyAlignment="1" applyProtection="1">
      <alignment horizontal="left"/>
      <protection locked="0"/>
    </xf>
    <xf numFmtId="0" fontId="33" fillId="38" borderId="0" xfId="0" applyFont="1" applyFill="1" applyBorder="1" applyProtection="1">
      <protection locked="0"/>
    </xf>
    <xf numFmtId="0" fontId="30" fillId="38" borderId="0" xfId="0" applyFont="1" applyFill="1" applyBorder="1" applyProtection="1">
      <protection locked="0"/>
    </xf>
    <xf numFmtId="0" fontId="32" fillId="0" borderId="0" xfId="0" applyFont="1" applyFill="1" applyBorder="1" applyProtection="1">
      <protection locked="0"/>
    </xf>
    <xf numFmtId="0" fontId="53" fillId="0" borderId="0" xfId="0" applyFont="1" applyFill="1" applyBorder="1" applyProtection="1">
      <protection locked="0"/>
    </xf>
    <xf numFmtId="0" fontId="53" fillId="0" borderId="0" xfId="0" applyFont="1" applyFill="1" applyProtection="1">
      <protection locked="0"/>
    </xf>
    <xf numFmtId="0" fontId="53" fillId="0" borderId="0" xfId="0" applyFont="1" applyProtection="1">
      <protection locked="0"/>
    </xf>
    <xf numFmtId="0" fontId="53" fillId="0" borderId="0" xfId="0" applyFont="1" applyAlignment="1" applyProtection="1">
      <alignment horizontal="center"/>
      <protection locked="0"/>
    </xf>
    <xf numFmtId="0" fontId="25" fillId="0" borderId="0" xfId="0" applyFont="1" applyProtection="1">
      <protection locked="0"/>
    </xf>
    <xf numFmtId="0" fontId="25" fillId="0" borderId="0" xfId="0" applyFont="1" applyAlignment="1" applyProtection="1">
      <alignment horizontal="center"/>
      <protection locked="0"/>
    </xf>
    <xf numFmtId="164" fontId="25" fillId="0" borderId="0" xfId="0" applyNumberFormat="1" applyFont="1" applyProtection="1">
      <protection locked="0"/>
    </xf>
    <xf numFmtId="0" fontId="53" fillId="0" borderId="0" xfId="0" applyFont="1" applyBorder="1" applyProtection="1">
      <protection locked="0"/>
    </xf>
    <xf numFmtId="0" fontId="110" fillId="36" borderId="0" xfId="0" applyFont="1" applyFill="1" applyAlignment="1" applyProtection="1">
      <alignment horizontal="center" vertical="center"/>
      <protection locked="0"/>
    </xf>
    <xf numFmtId="0" fontId="34" fillId="67" borderId="28" xfId="0" applyFont="1" applyFill="1" applyBorder="1" applyAlignment="1">
      <alignment horizontal="center"/>
    </xf>
    <xf numFmtId="0" fontId="34" fillId="67" borderId="41" xfId="0" applyFont="1" applyFill="1" applyBorder="1"/>
    <xf numFmtId="0" fontId="34" fillId="67" borderId="40" xfId="0" applyFont="1" applyFill="1" applyBorder="1"/>
    <xf numFmtId="0" fontId="34" fillId="67" borderId="42" xfId="0" applyFont="1" applyFill="1" applyBorder="1"/>
    <xf numFmtId="167" fontId="55" fillId="60" borderId="29" xfId="0" applyNumberFormat="1" applyFont="1" applyFill="1" applyBorder="1"/>
    <xf numFmtId="0" fontId="57" fillId="60" borderId="32" xfId="0" applyFont="1" applyFill="1" applyBorder="1" applyAlignment="1">
      <alignment horizontal="center"/>
    </xf>
    <xf numFmtId="170" fontId="34" fillId="67" borderId="42" xfId="0" applyNumberFormat="1" applyFont="1" applyFill="1" applyBorder="1"/>
    <xf numFmtId="170" fontId="34" fillId="67" borderId="40" xfId="0" applyNumberFormat="1" applyFont="1" applyFill="1" applyBorder="1"/>
    <xf numFmtId="170" fontId="34" fillId="67" borderId="41" xfId="0" applyNumberFormat="1" applyFont="1" applyFill="1" applyBorder="1"/>
    <xf numFmtId="164" fontId="34" fillId="60" borderId="30" xfId="0" applyNumberFormat="1" applyFont="1" applyFill="1" applyBorder="1" applyProtection="1"/>
    <xf numFmtId="164" fontId="50" fillId="60" borderId="30" xfId="0" applyNumberFormat="1" applyFont="1" applyFill="1" applyBorder="1" applyAlignment="1" applyProtection="1">
      <alignment horizontal="right"/>
    </xf>
    <xf numFmtId="164" fontId="34" fillId="60" borderId="30" xfId="0" applyNumberFormat="1" applyFont="1" applyFill="1" applyBorder="1" applyAlignment="1" applyProtection="1">
      <alignment horizontal="right"/>
    </xf>
    <xf numFmtId="164" fontId="34" fillId="60" borderId="34" xfId="0" applyNumberFormat="1" applyFont="1" applyFill="1" applyBorder="1" applyProtection="1"/>
    <xf numFmtId="164" fontId="55" fillId="46" borderId="40" xfId="0" applyNumberFormat="1" applyFont="1" applyFill="1" applyBorder="1" applyAlignment="1" applyProtection="1">
      <alignment horizontal="center"/>
    </xf>
    <xf numFmtId="164" fontId="34" fillId="60" borderId="0" xfId="0" applyNumberFormat="1" applyFont="1" applyFill="1" applyBorder="1" applyAlignment="1" applyProtection="1">
      <alignment horizontal="right"/>
    </xf>
    <xf numFmtId="164" fontId="34" fillId="60" borderId="35" xfId="0" applyNumberFormat="1" applyFont="1" applyFill="1" applyBorder="1" applyAlignment="1" applyProtection="1">
      <alignment horizontal="right"/>
    </xf>
    <xf numFmtId="164" fontId="55" fillId="46" borderId="41" xfId="0" applyNumberFormat="1" applyFont="1" applyFill="1" applyBorder="1" applyAlignment="1" applyProtection="1">
      <alignment horizontal="center"/>
    </xf>
    <xf numFmtId="0" fontId="49" fillId="46" borderId="42" xfId="0" applyFont="1" applyFill="1" applyBorder="1" applyAlignment="1" applyProtection="1">
      <alignment horizontal="center"/>
    </xf>
    <xf numFmtId="164" fontId="34" fillId="60" borderId="33" xfId="0" applyNumberFormat="1" applyFont="1" applyFill="1" applyBorder="1" applyAlignment="1" applyProtection="1">
      <alignment horizontal="right"/>
    </xf>
    <xf numFmtId="164" fontId="34" fillId="60" borderId="36" xfId="0" applyNumberFormat="1" applyFont="1" applyFill="1" applyBorder="1" applyAlignment="1" applyProtection="1">
      <alignment horizontal="right"/>
    </xf>
    <xf numFmtId="164" fontId="55" fillId="46" borderId="42" xfId="0" applyNumberFormat="1" applyFont="1" applyFill="1" applyBorder="1" applyAlignment="1" applyProtection="1">
      <alignment horizontal="center"/>
    </xf>
    <xf numFmtId="0" fontId="57" fillId="51" borderId="0" xfId="0" applyFont="1" applyFill="1" applyBorder="1" applyAlignment="1" applyProtection="1">
      <protection locked="0"/>
    </xf>
    <xf numFmtId="0" fontId="57" fillId="51" borderId="0" xfId="0" applyFont="1" applyFill="1" applyBorder="1" applyAlignment="1" applyProtection="1">
      <alignment horizontal="left"/>
      <protection locked="0"/>
    </xf>
    <xf numFmtId="0" fontId="57" fillId="51" borderId="0" xfId="0" applyFont="1" applyFill="1" applyBorder="1" applyAlignment="1" applyProtection="1"/>
    <xf numFmtId="0" fontId="0" fillId="0" borderId="0" xfId="0"/>
    <xf numFmtId="0" fontId="50" fillId="0" borderId="0" xfId="0" applyFont="1"/>
    <xf numFmtId="0" fontId="50" fillId="0" borderId="0" xfId="0" applyFont="1" applyAlignment="1">
      <alignment horizontal="center"/>
    </xf>
    <xf numFmtId="0" fontId="50" fillId="69" borderId="14" xfId="0" applyFont="1" applyFill="1" applyBorder="1" applyAlignment="1">
      <alignment horizontal="center"/>
    </xf>
    <xf numFmtId="0" fontId="50" fillId="69" borderId="13" xfId="0" applyFont="1" applyFill="1" applyBorder="1" applyAlignment="1">
      <alignment horizontal="center"/>
    </xf>
    <xf numFmtId="0" fontId="50" fillId="70" borderId="14" xfId="0" applyFont="1" applyFill="1" applyBorder="1" applyAlignment="1">
      <alignment horizontal="center"/>
    </xf>
    <xf numFmtId="0" fontId="135" fillId="71" borderId="14" xfId="0" applyFont="1" applyFill="1" applyBorder="1" applyAlignment="1">
      <alignment horizontal="center"/>
    </xf>
    <xf numFmtId="0" fontId="135" fillId="72" borderId="0" xfId="0" applyFont="1" applyFill="1" applyAlignment="1">
      <alignment horizontal="center"/>
    </xf>
    <xf numFmtId="0" fontId="135" fillId="73" borderId="0" xfId="0" applyFont="1" applyFill="1" applyAlignment="1">
      <alignment horizontal="center"/>
    </xf>
    <xf numFmtId="0" fontId="135" fillId="0" borderId="0" xfId="0" applyFont="1"/>
    <xf numFmtId="0" fontId="50" fillId="0" borderId="0" xfId="0" applyFont="1" applyAlignment="1">
      <alignment wrapText="1"/>
    </xf>
    <xf numFmtId="0" fontId="135" fillId="68" borderId="0" xfId="0" applyFont="1" applyFill="1"/>
    <xf numFmtId="0" fontId="135" fillId="68" borderId="0" xfId="0" applyFont="1" applyFill="1" applyAlignment="1">
      <alignment wrapText="1"/>
    </xf>
    <xf numFmtId="0" fontId="50" fillId="68" borderId="18" xfId="0" applyFont="1" applyFill="1" applyBorder="1"/>
    <xf numFmtId="0" fontId="135" fillId="69" borderId="0" xfId="0" applyFont="1" applyFill="1"/>
    <xf numFmtId="0" fontId="135" fillId="69" borderId="0" xfId="0" applyFont="1" applyFill="1" applyAlignment="1">
      <alignment wrapText="1"/>
    </xf>
    <xf numFmtId="0" fontId="50" fillId="69" borderId="18" xfId="0" applyFont="1" applyFill="1" applyBorder="1"/>
    <xf numFmtId="0" fontId="135" fillId="70" borderId="0" xfId="0" applyFont="1" applyFill="1" applyAlignment="1">
      <alignment horizontal="center" wrapText="1"/>
    </xf>
    <xf numFmtId="0" fontId="135" fillId="74" borderId="0" xfId="0" applyFont="1" applyFill="1" applyAlignment="1">
      <alignment horizontal="center" wrapText="1"/>
    </xf>
    <xf numFmtId="0" fontId="50" fillId="70" borderId="18" xfId="0" applyFont="1" applyFill="1" applyBorder="1" applyAlignment="1">
      <alignment horizontal="center" wrapText="1"/>
    </xf>
    <xf numFmtId="0" fontId="135" fillId="71" borderId="0" xfId="0" applyFont="1" applyFill="1" applyAlignment="1">
      <alignment horizontal="center" wrapText="1"/>
    </xf>
    <xf numFmtId="0" fontId="135" fillId="71" borderId="0" xfId="0" applyFont="1" applyFill="1" applyAlignment="1">
      <alignment wrapText="1"/>
    </xf>
    <xf numFmtId="0" fontId="135" fillId="74" borderId="14" xfId="0" applyFont="1" applyFill="1" applyBorder="1" applyAlignment="1">
      <alignment wrapText="1"/>
    </xf>
    <xf numFmtId="0" fontId="135" fillId="75" borderId="14" xfId="0" applyFont="1" applyFill="1" applyBorder="1" applyAlignment="1">
      <alignment wrapText="1"/>
    </xf>
    <xf numFmtId="0" fontId="50" fillId="71" borderId="18" xfId="0" applyFont="1" applyFill="1" applyBorder="1" applyAlignment="1">
      <alignment wrapText="1"/>
    </xf>
    <xf numFmtId="0" fontId="135" fillId="72" borderId="0" xfId="0" applyFont="1" applyFill="1" applyAlignment="1">
      <alignment wrapText="1"/>
    </xf>
    <xf numFmtId="0" fontId="135" fillId="72" borderId="21" xfId="0" applyFont="1" applyFill="1" applyBorder="1" applyAlignment="1">
      <alignment wrapText="1"/>
    </xf>
    <xf numFmtId="0" fontId="135" fillId="73" borderId="0" xfId="0" applyFont="1" applyFill="1" applyAlignment="1">
      <alignment wrapText="1"/>
    </xf>
    <xf numFmtId="0" fontId="135" fillId="0" borderId="0" xfId="0" applyFont="1" applyFill="1" applyAlignment="1">
      <alignment wrapText="1"/>
    </xf>
    <xf numFmtId="0" fontId="135" fillId="0" borderId="0" xfId="0" applyFont="1" applyAlignment="1">
      <alignment wrapText="1"/>
    </xf>
    <xf numFmtId="44" fontId="135" fillId="0" borderId="0" xfId="0" applyNumberFormat="1" applyFont="1" applyAlignment="1">
      <alignment wrapText="1"/>
    </xf>
    <xf numFmtId="0" fontId="50" fillId="0" borderId="14" xfId="0" applyFont="1" applyBorder="1" applyAlignment="1">
      <alignment horizontal="center"/>
    </xf>
    <xf numFmtId="0" fontId="50" fillId="0" borderId="14" xfId="0" applyFont="1" applyBorder="1" applyAlignment="1">
      <alignment wrapText="1"/>
    </xf>
    <xf numFmtId="0" fontId="50" fillId="0" borderId="14" xfId="0" applyFont="1" applyBorder="1" applyAlignment="1">
      <alignment horizontal="center" wrapText="1"/>
    </xf>
    <xf numFmtId="0" fontId="135" fillId="68" borderId="14" xfId="0" applyFont="1" applyFill="1" applyBorder="1"/>
    <xf numFmtId="0" fontId="50" fillId="68" borderId="13" xfId="0" applyFont="1" applyFill="1" applyBorder="1"/>
    <xf numFmtId="0" fontId="135" fillId="69" borderId="14" xfId="0" applyFont="1" applyFill="1" applyBorder="1"/>
    <xf numFmtId="0" fontId="135" fillId="69" borderId="14" xfId="0" applyFont="1" applyFill="1" applyBorder="1" applyAlignment="1">
      <alignment wrapText="1"/>
    </xf>
    <xf numFmtId="0" fontId="50" fillId="69" borderId="13" xfId="0" applyFont="1" applyFill="1" applyBorder="1"/>
    <xf numFmtId="0" fontId="135" fillId="70" borderId="14" xfId="0" applyFont="1" applyFill="1" applyBorder="1" applyAlignment="1">
      <alignment horizontal="center" wrapText="1"/>
    </xf>
    <xf numFmtId="0" fontId="135" fillId="74" borderId="14" xfId="0" applyFont="1" applyFill="1" applyBorder="1" applyAlignment="1">
      <alignment horizontal="center" wrapText="1"/>
    </xf>
    <xf numFmtId="0" fontId="50" fillId="70" borderId="13" xfId="0" applyFont="1" applyFill="1" applyBorder="1" applyAlignment="1">
      <alignment horizontal="center" wrapText="1"/>
    </xf>
    <xf numFmtId="0" fontId="135" fillId="71" borderId="14" xfId="0" applyFont="1" applyFill="1" applyBorder="1" applyAlignment="1">
      <alignment horizontal="center" wrapText="1"/>
    </xf>
    <xf numFmtId="0" fontId="135" fillId="71" borderId="14" xfId="0" applyFont="1" applyFill="1" applyBorder="1" applyAlignment="1">
      <alignment wrapText="1"/>
    </xf>
    <xf numFmtId="0" fontId="50" fillId="71" borderId="13" xfId="0" applyFont="1" applyFill="1" applyBorder="1" applyAlignment="1">
      <alignment wrapText="1"/>
    </xf>
    <xf numFmtId="0" fontId="135" fillId="72" borderId="14" xfId="0" applyFont="1" applyFill="1" applyBorder="1" applyAlignment="1">
      <alignment wrapText="1"/>
    </xf>
    <xf numFmtId="0" fontId="135" fillId="72" borderId="13" xfId="0" applyFont="1" applyFill="1" applyBorder="1" applyAlignment="1">
      <alignment wrapText="1"/>
    </xf>
    <xf numFmtId="0" fontId="135" fillId="73" borderId="14" xfId="0" applyFont="1" applyFill="1" applyBorder="1" applyAlignment="1">
      <alignment wrapText="1"/>
    </xf>
    <xf numFmtId="0" fontId="135" fillId="0" borderId="14" xfId="0" applyFont="1" applyFill="1" applyBorder="1" applyAlignment="1">
      <alignment wrapText="1"/>
    </xf>
    <xf numFmtId="0" fontId="135" fillId="0" borderId="14" xfId="0" applyFont="1" applyBorder="1" applyAlignment="1">
      <alignment wrapText="1"/>
    </xf>
    <xf numFmtId="0" fontId="135" fillId="0" borderId="14" xfId="0" applyFont="1" applyBorder="1"/>
    <xf numFmtId="44" fontId="135" fillId="0" borderId="14" xfId="0" applyNumberFormat="1" applyFont="1" applyBorder="1" applyAlignment="1">
      <alignment wrapText="1"/>
    </xf>
    <xf numFmtId="0" fontId="0" fillId="0" borderId="14" xfId="0" applyBorder="1"/>
    <xf numFmtId="44" fontId="0" fillId="0" borderId="0" xfId="0" applyNumberFormat="1" applyFill="1"/>
    <xf numFmtId="44" fontId="0" fillId="0" borderId="21" xfId="45" applyFont="1" applyFill="1" applyBorder="1"/>
    <xf numFmtId="44" fontId="0" fillId="0" borderId="0" xfId="45" applyFont="1" applyFill="1"/>
    <xf numFmtId="44" fontId="0" fillId="54" borderId="21" xfId="45" applyFont="1" applyFill="1" applyBorder="1"/>
    <xf numFmtId="0" fontId="0" fillId="54" borderId="0" xfId="0" applyFill="1"/>
    <xf numFmtId="44" fontId="0" fillId="54" borderId="0" xfId="45" applyFont="1" applyFill="1"/>
    <xf numFmtId="0" fontId="0" fillId="0" borderId="23" xfId="0" applyFill="1" applyBorder="1"/>
    <xf numFmtId="44" fontId="0" fillId="0" borderId="23" xfId="45" applyFont="1" applyFill="1" applyBorder="1"/>
    <xf numFmtId="44" fontId="0" fillId="0" borderId="23" xfId="0" applyNumberFormat="1" applyFill="1" applyBorder="1"/>
    <xf numFmtId="0" fontId="0" fillId="0" borderId="0" xfId="0" applyBorder="1"/>
    <xf numFmtId="0" fontId="0" fillId="0" borderId="26" xfId="0" applyBorder="1"/>
    <xf numFmtId="44" fontId="0" fillId="0" borderId="18" xfId="45" applyFont="1" applyBorder="1"/>
    <xf numFmtId="44" fontId="138" fillId="0" borderId="18" xfId="45" applyFont="1" applyBorder="1"/>
    <xf numFmtId="44" fontId="138" fillId="0" borderId="18" xfId="0" applyNumberFormat="1" applyFont="1" applyBorder="1"/>
    <xf numFmtId="44" fontId="0" fillId="0" borderId="18" xfId="0" applyNumberFormat="1" applyBorder="1"/>
    <xf numFmtId="44" fontId="0" fillId="0" borderId="26" xfId="0" applyNumberFormat="1" applyBorder="1"/>
    <xf numFmtId="44" fontId="0" fillId="0" borderId="0" xfId="0" applyNumberFormat="1" applyBorder="1"/>
    <xf numFmtId="44" fontId="138" fillId="0" borderId="26" xfId="0" applyNumberFormat="1" applyFont="1" applyFill="1" applyBorder="1"/>
    <xf numFmtId="44" fontId="0" fillId="0" borderId="26" xfId="0" applyNumberFormat="1" applyFill="1" applyBorder="1"/>
    <xf numFmtId="44" fontId="0" fillId="0" borderId="21" xfId="45" applyFont="1" applyBorder="1"/>
    <xf numFmtId="44" fontId="138" fillId="0" borderId="0" xfId="0" applyNumberFormat="1" applyFont="1" applyFill="1" applyBorder="1"/>
    <xf numFmtId="44" fontId="0" fillId="0" borderId="0" xfId="0" applyNumberFormat="1" applyFill="1" applyBorder="1"/>
    <xf numFmtId="0" fontId="0" fillId="0" borderId="21" xfId="0" applyBorder="1"/>
    <xf numFmtId="44" fontId="0" fillId="0" borderId="0" xfId="0" applyNumberFormat="1"/>
    <xf numFmtId="0" fontId="138" fillId="0" borderId="14" xfId="0" applyFont="1" applyBorder="1" applyAlignment="1">
      <alignment horizontal="center"/>
    </xf>
    <xf numFmtId="0" fontId="0" fillId="0" borderId="13" xfId="0" applyBorder="1"/>
    <xf numFmtId="16" fontId="0" fillId="0" borderId="0" xfId="0" applyNumberFormat="1" applyFill="1"/>
    <xf numFmtId="44" fontId="0" fillId="0" borderId="19" xfId="45" applyFont="1" applyFill="1" applyBorder="1"/>
    <xf numFmtId="44" fontId="138" fillId="0" borderId="21" xfId="0" applyNumberFormat="1" applyFont="1" applyBorder="1"/>
    <xf numFmtId="44" fontId="138" fillId="0" borderId="26" xfId="0" applyNumberFormat="1" applyFont="1" applyBorder="1"/>
    <xf numFmtId="16" fontId="0" fillId="0" borderId="0" xfId="0" applyNumberFormat="1" applyFill="1" applyBorder="1"/>
    <xf numFmtId="44" fontId="0" fillId="0" borderId="0" xfId="45" applyFont="1" applyFill="1" applyBorder="1"/>
    <xf numFmtId="44" fontId="137" fillId="0" borderId="0" xfId="0" applyNumberFormat="1" applyFont="1" applyFill="1"/>
    <xf numFmtId="44" fontId="0" fillId="54" borderId="0" xfId="0" applyNumberFormat="1" applyFill="1"/>
    <xf numFmtId="0" fontId="138" fillId="0" borderId="26" xfId="0" applyFont="1" applyBorder="1"/>
    <xf numFmtId="0" fontId="138" fillId="0" borderId="0" xfId="0" applyFont="1" applyFill="1" applyBorder="1"/>
    <xf numFmtId="0" fontId="138" fillId="0" borderId="0" xfId="0" applyFont="1"/>
    <xf numFmtId="0" fontId="138" fillId="0" borderId="21" xfId="0" applyFont="1" applyBorder="1"/>
    <xf numFmtId="0" fontId="0" fillId="0" borderId="14" xfId="0" applyFill="1" applyBorder="1"/>
    <xf numFmtId="0" fontId="138" fillId="0" borderId="14" xfId="0" applyFont="1" applyBorder="1"/>
    <xf numFmtId="16" fontId="0" fillId="0" borderId="0" xfId="0" applyNumberFormat="1"/>
    <xf numFmtId="0" fontId="0" fillId="0" borderId="23" xfId="0" applyBorder="1"/>
    <xf numFmtId="0" fontId="0" fillId="0" borderId="19" xfId="0" applyBorder="1"/>
    <xf numFmtId="0" fontId="138" fillId="0" borderId="14" xfId="0" applyFont="1" applyFill="1" applyBorder="1"/>
    <xf numFmtId="0" fontId="138" fillId="0" borderId="13" xfId="0" applyFont="1" applyBorder="1"/>
    <xf numFmtId="44" fontId="0" fillId="0" borderId="0" xfId="45" applyFont="1"/>
    <xf numFmtId="0" fontId="141" fillId="42" borderId="11" xfId="0" applyFont="1" applyFill="1" applyBorder="1" applyAlignment="1">
      <alignment wrapText="1"/>
    </xf>
    <xf numFmtId="0" fontId="141" fillId="42" borderId="11" xfId="0" applyFont="1" applyFill="1" applyBorder="1"/>
    <xf numFmtId="43" fontId="141" fillId="42" borderId="11" xfId="44" applyFont="1" applyFill="1" applyBorder="1" applyAlignment="1">
      <alignment horizontal="center"/>
    </xf>
    <xf numFmtId="43" fontId="0" fillId="0" borderId="0" xfId="44" applyFont="1"/>
    <xf numFmtId="0" fontId="0" fillId="42" borderId="0" xfId="0" applyFill="1"/>
    <xf numFmtId="43" fontId="0" fillId="42" borderId="0" xfId="44" applyFont="1" applyFill="1"/>
    <xf numFmtId="43" fontId="141" fillId="42" borderId="22" xfId="44" applyFont="1" applyFill="1" applyBorder="1" applyAlignment="1">
      <alignment horizontal="center" wrapText="1"/>
    </xf>
    <xf numFmtId="43" fontId="141" fillId="42" borderId="22" xfId="44" applyFont="1" applyFill="1" applyBorder="1" applyAlignment="1">
      <alignment horizontal="center"/>
    </xf>
    <xf numFmtId="0" fontId="0" fillId="38" borderId="0" xfId="0" applyFill="1"/>
    <xf numFmtId="43" fontId="0" fillId="38" borderId="0" xfId="44" applyFont="1" applyFill="1"/>
    <xf numFmtId="43" fontId="138" fillId="42" borderId="0" xfId="0" applyNumberFormat="1" applyFont="1" applyFill="1"/>
    <xf numFmtId="43" fontId="0" fillId="42" borderId="0" xfId="0" applyNumberFormat="1" applyFill="1"/>
    <xf numFmtId="43" fontId="0" fillId="0" borderId="0" xfId="0" applyNumberFormat="1"/>
    <xf numFmtId="43" fontId="137" fillId="0" borderId="0" xfId="0" applyNumberFormat="1" applyFont="1"/>
    <xf numFmtId="43" fontId="142" fillId="42" borderId="0" xfId="44" applyFont="1" applyFill="1"/>
    <xf numFmtId="43" fontId="0" fillId="0" borderId="0" xfId="44" applyFont="1" applyFill="1"/>
    <xf numFmtId="43" fontId="0" fillId="42" borderId="0" xfId="44" applyNumberFormat="1" applyFont="1" applyFill="1"/>
    <xf numFmtId="0" fontId="0" fillId="40" borderId="0" xfId="0" applyFill="1"/>
    <xf numFmtId="43" fontId="138" fillId="0" borderId="0" xfId="44" applyFont="1"/>
    <xf numFmtId="43" fontId="138" fillId="0" borderId="0" xfId="0" applyNumberFormat="1" applyFont="1"/>
    <xf numFmtId="0" fontId="138" fillId="0" borderId="0" xfId="0" applyFont="1" applyAlignment="1">
      <alignment wrapText="1"/>
    </xf>
    <xf numFmtId="44" fontId="0" fillId="0" borderId="0" xfId="0" applyNumberFormat="1" applyAlignment="1">
      <alignment wrapText="1"/>
    </xf>
    <xf numFmtId="0" fontId="0" fillId="0" borderId="0" xfId="0" applyNumberFormat="1"/>
    <xf numFmtId="43" fontId="137" fillId="0" borderId="0" xfId="0" applyNumberFormat="1" applyFont="1" applyFill="1"/>
    <xf numFmtId="0" fontId="141" fillId="42" borderId="0" xfId="0" applyFont="1" applyFill="1" applyAlignment="1">
      <alignment wrapText="1"/>
    </xf>
    <xf numFmtId="0" fontId="141" fillId="42" borderId="0" xfId="0" applyFont="1" applyFill="1"/>
    <xf numFmtId="3" fontId="0" fillId="0" borderId="0" xfId="0" applyNumberFormat="1"/>
    <xf numFmtId="44" fontId="25" fillId="0" borderId="0" xfId="0" applyNumberFormat="1" applyFont="1"/>
    <xf numFmtId="5" fontId="145" fillId="76" borderId="0" xfId="0" applyNumberFormat="1" applyFont="1" applyFill="1" applyAlignment="1">
      <alignment vertical="center"/>
    </xf>
    <xf numFmtId="0" fontId="0" fillId="43" borderId="0" xfId="0" applyFill="1"/>
    <xf numFmtId="0" fontId="0" fillId="42" borderId="23" xfId="0" applyFill="1" applyBorder="1"/>
    <xf numFmtId="0" fontId="0" fillId="42" borderId="0" xfId="0" applyFill="1" applyBorder="1"/>
    <xf numFmtId="0" fontId="26" fillId="33" borderId="116" xfId="0" applyFont="1" applyFill="1" applyBorder="1" applyAlignment="1" applyProtection="1">
      <alignment horizontal="left"/>
    </xf>
    <xf numFmtId="5" fontId="26" fillId="33" borderId="101" xfId="0" applyNumberFormat="1" applyFont="1" applyFill="1" applyBorder="1" applyAlignment="1" applyProtection="1">
      <alignment horizontal="right"/>
    </xf>
    <xf numFmtId="166" fontId="150" fillId="0" borderId="0" xfId="0" applyNumberFormat="1" applyFont="1" applyFill="1" applyProtection="1"/>
    <xf numFmtId="166" fontId="26" fillId="33" borderId="103" xfId="0" applyNumberFormat="1" applyFont="1" applyFill="1" applyBorder="1" applyAlignment="1" applyProtection="1">
      <alignment horizontal="right"/>
    </xf>
    <xf numFmtId="166" fontId="26" fillId="33" borderId="0" xfId="0" applyNumberFormat="1" applyFont="1" applyFill="1" applyBorder="1" applyAlignment="1" applyProtection="1">
      <alignment horizontal="right"/>
    </xf>
    <xf numFmtId="166" fontId="26" fillId="33" borderId="116" xfId="0" applyNumberFormat="1" applyFont="1" applyFill="1" applyBorder="1" applyAlignment="1" applyProtection="1">
      <alignment horizontal="right"/>
    </xf>
    <xf numFmtId="3" fontId="26" fillId="33" borderId="0" xfId="0" applyNumberFormat="1" applyFont="1" applyFill="1" applyBorder="1" applyAlignment="1" applyProtection="1">
      <alignment horizontal="right"/>
    </xf>
    <xf numFmtId="3" fontId="26" fillId="33" borderId="97" xfId="0" applyNumberFormat="1" applyFont="1" applyFill="1" applyBorder="1" applyAlignment="1" applyProtection="1">
      <alignment horizontal="right"/>
    </xf>
    <xf numFmtId="3" fontId="26" fillId="33" borderId="116" xfId="0" applyNumberFormat="1" applyFont="1" applyFill="1" applyBorder="1" applyAlignment="1" applyProtection="1">
      <alignment horizontal="right"/>
    </xf>
    <xf numFmtId="3" fontId="26" fillId="33" borderId="103" xfId="0" applyNumberFormat="1" applyFont="1" applyFill="1" applyBorder="1" applyAlignment="1" applyProtection="1">
      <alignment horizontal="right"/>
    </xf>
    <xf numFmtId="0" fontId="43" fillId="56" borderId="260" xfId="0" applyFont="1" applyFill="1" applyBorder="1" applyProtection="1"/>
    <xf numFmtId="0" fontId="32" fillId="56" borderId="261" xfId="0" applyFont="1" applyFill="1" applyBorder="1" applyAlignment="1" applyProtection="1">
      <alignment horizontal="center" vertical="center"/>
    </xf>
    <xf numFmtId="5" fontId="26" fillId="33" borderId="18" xfId="0" applyNumberFormat="1" applyFont="1" applyFill="1" applyBorder="1" applyAlignment="1" applyProtection="1">
      <alignment horizontal="right"/>
    </xf>
    <xf numFmtId="5" fontId="26" fillId="33" borderId="21" xfId="0" applyNumberFormat="1" applyFont="1" applyFill="1" applyBorder="1" applyAlignment="1" applyProtection="1">
      <alignment horizontal="right"/>
    </xf>
    <xf numFmtId="0" fontId="32" fillId="56" borderId="260" xfId="0" applyFont="1" applyFill="1" applyBorder="1" applyProtection="1"/>
    <xf numFmtId="166" fontId="26" fillId="33" borderId="18" xfId="0" applyNumberFormat="1" applyFont="1" applyFill="1" applyBorder="1" applyProtection="1"/>
    <xf numFmtId="166" fontId="26" fillId="33" borderId="21" xfId="0" applyNumberFormat="1" applyFont="1" applyFill="1" applyBorder="1" applyProtection="1"/>
    <xf numFmtId="166" fontId="26" fillId="33" borderId="262" xfId="0" applyNumberFormat="1" applyFont="1" applyFill="1" applyBorder="1" applyProtection="1"/>
    <xf numFmtId="0" fontId="20" fillId="36" borderId="11" xfId="0" applyFont="1" applyFill="1" applyBorder="1" applyAlignment="1" applyProtection="1">
      <alignment horizontal="center" vertical="center"/>
    </xf>
    <xf numFmtId="0" fontId="26" fillId="33" borderId="14" xfId="0" applyFont="1" applyFill="1" applyBorder="1" applyProtection="1"/>
    <xf numFmtId="0" fontId="26" fillId="33" borderId="13" xfId="0" applyFont="1" applyFill="1" applyBorder="1" applyProtection="1"/>
    <xf numFmtId="0" fontId="32" fillId="56" borderId="263" xfId="0" applyFont="1" applyFill="1" applyBorder="1" applyAlignment="1" applyProtection="1">
      <alignment vertical="center"/>
    </xf>
    <xf numFmtId="0" fontId="43" fillId="56" borderId="264" xfId="0" applyFont="1" applyFill="1" applyBorder="1" applyProtection="1"/>
    <xf numFmtId="5" fontId="26" fillId="33" borderId="18" xfId="0" applyNumberFormat="1" applyFont="1" applyFill="1" applyBorder="1" applyProtection="1"/>
    <xf numFmtId="5" fontId="26" fillId="33" borderId="21" xfId="0" applyNumberFormat="1" applyFont="1" applyFill="1" applyBorder="1" applyAlignment="1" applyProtection="1"/>
    <xf numFmtId="5" fontId="26" fillId="33" borderId="21" xfId="0" applyNumberFormat="1" applyFont="1" applyFill="1" applyBorder="1" applyProtection="1"/>
    <xf numFmtId="168" fontId="26" fillId="33" borderId="21" xfId="0" applyNumberFormat="1" applyFont="1" applyFill="1" applyBorder="1" applyProtection="1"/>
    <xf numFmtId="0" fontId="32" fillId="56" borderId="265" xfId="0" applyFont="1" applyFill="1" applyBorder="1" applyAlignment="1" applyProtection="1">
      <alignment horizontal="center" vertical="center"/>
    </xf>
    <xf numFmtId="0" fontId="26" fillId="33" borderId="10" xfId="0" applyFont="1" applyFill="1" applyBorder="1" applyProtection="1"/>
    <xf numFmtId="5" fontId="26" fillId="33" borderId="15" xfId="0" applyNumberFormat="1" applyFont="1" applyFill="1" applyBorder="1" applyAlignment="1" applyProtection="1">
      <alignment horizontal="right"/>
    </xf>
    <xf numFmtId="0" fontId="26" fillId="33" borderId="20" xfId="0" applyFont="1" applyFill="1" applyBorder="1" applyProtection="1"/>
    <xf numFmtId="5" fontId="26" fillId="33" borderId="22" xfId="0" applyNumberFormat="1" applyFont="1" applyFill="1" applyBorder="1" applyAlignment="1" applyProtection="1">
      <alignment horizontal="right"/>
    </xf>
    <xf numFmtId="0" fontId="26" fillId="33" borderId="20" xfId="0" applyFont="1" applyFill="1" applyBorder="1" applyAlignment="1" applyProtection="1">
      <alignment horizontal="left"/>
    </xf>
    <xf numFmtId="3" fontId="26" fillId="33" borderId="21" xfId="0" applyNumberFormat="1" applyFont="1" applyFill="1" applyBorder="1" applyAlignment="1" applyProtection="1">
      <alignment horizontal="right"/>
    </xf>
    <xf numFmtId="0" fontId="32" fillId="56" borderId="264" xfId="0" applyFont="1" applyFill="1" applyBorder="1" applyProtection="1"/>
    <xf numFmtId="166" fontId="26" fillId="33" borderId="15" xfId="0" applyNumberFormat="1" applyFont="1" applyFill="1" applyBorder="1" applyProtection="1"/>
    <xf numFmtId="166" fontId="26" fillId="33" borderId="22" xfId="0" applyNumberFormat="1" applyFont="1" applyFill="1" applyBorder="1" applyProtection="1"/>
    <xf numFmtId="169" fontId="151" fillId="53" borderId="100" xfId="0" applyNumberFormat="1" applyFont="1" applyFill="1" applyBorder="1" applyProtection="1"/>
    <xf numFmtId="169" fontId="151" fillId="53" borderId="14" xfId="0" applyNumberFormat="1" applyFont="1" applyFill="1" applyBorder="1" applyProtection="1"/>
    <xf numFmtId="44" fontId="138" fillId="0" borderId="21" xfId="0" applyNumberFormat="1" applyFont="1" applyFill="1" applyBorder="1"/>
    <xf numFmtId="44" fontId="0" fillId="0" borderId="21" xfId="0" applyNumberFormat="1" applyFill="1" applyBorder="1"/>
    <xf numFmtId="0" fontId="138" fillId="0" borderId="0" xfId="0" applyFont="1" applyFill="1"/>
    <xf numFmtId="0" fontId="138" fillId="0" borderId="21" xfId="0" applyFont="1" applyFill="1" applyBorder="1"/>
    <xf numFmtId="44" fontId="138" fillId="0" borderId="0" xfId="0" applyNumberFormat="1" applyFont="1" applyFill="1"/>
    <xf numFmtId="44" fontId="138" fillId="0" borderId="21" xfId="45" applyFont="1" applyFill="1" applyBorder="1"/>
    <xf numFmtId="166" fontId="76" fillId="33" borderId="179" xfId="0" applyNumberFormat="1" applyFont="1" applyFill="1" applyBorder="1" applyAlignment="1">
      <alignment horizontal="right"/>
    </xf>
    <xf numFmtId="166" fontId="76" fillId="33" borderId="141" xfId="0" applyNumberFormat="1" applyFont="1" applyFill="1" applyBorder="1" applyAlignment="1">
      <alignment horizontal="right"/>
    </xf>
    <xf numFmtId="166" fontId="76" fillId="33" borderId="165" xfId="0" applyNumberFormat="1" applyFont="1" applyFill="1" applyBorder="1" applyAlignment="1">
      <alignment horizontal="right"/>
    </xf>
    <xf numFmtId="166" fontId="76" fillId="33" borderId="181" xfId="0" applyNumberFormat="1" applyFont="1" applyFill="1" applyBorder="1" applyAlignment="1">
      <alignment horizontal="right"/>
    </xf>
    <xf numFmtId="166" fontId="76" fillId="33" borderId="145" xfId="0" applyNumberFormat="1" applyFont="1" applyFill="1" applyBorder="1" applyAlignment="1">
      <alignment horizontal="right"/>
    </xf>
    <xf numFmtId="166" fontId="76" fillId="33" borderId="183" xfId="0" applyNumberFormat="1" applyFont="1" applyFill="1" applyBorder="1" applyAlignment="1">
      <alignment horizontal="right"/>
    </xf>
    <xf numFmtId="166" fontId="76" fillId="33" borderId="142" xfId="0" applyNumberFormat="1" applyFont="1" applyFill="1" applyBorder="1" applyAlignment="1">
      <alignment horizontal="right"/>
    </xf>
    <xf numFmtId="166" fontId="76" fillId="33" borderId="166" xfId="0" applyNumberFormat="1" applyFont="1" applyFill="1" applyBorder="1" applyAlignment="1">
      <alignment horizontal="right"/>
    </xf>
    <xf numFmtId="166" fontId="76" fillId="33" borderId="184" xfId="0" applyNumberFormat="1" applyFont="1" applyFill="1" applyBorder="1" applyAlignment="1">
      <alignment horizontal="right"/>
    </xf>
    <xf numFmtId="166" fontId="76" fillId="33" borderId="143" xfId="0" applyNumberFormat="1" applyFont="1" applyFill="1" applyBorder="1" applyAlignment="1">
      <alignment horizontal="right"/>
    </xf>
    <xf numFmtId="166" fontId="147" fillId="33" borderId="148" xfId="0" applyNumberFormat="1" applyFont="1" applyFill="1" applyBorder="1" applyAlignment="1">
      <alignment horizontal="right"/>
    </xf>
    <xf numFmtId="166" fontId="76" fillId="33" borderId="148" xfId="0" applyNumberFormat="1" applyFont="1" applyFill="1" applyBorder="1" applyAlignment="1">
      <alignment horizontal="right"/>
    </xf>
    <xf numFmtId="166" fontId="76" fillId="33" borderId="151" xfId="0" applyNumberFormat="1" applyFont="1" applyFill="1" applyBorder="1" applyAlignment="1">
      <alignment horizontal="right"/>
    </xf>
    <xf numFmtId="166" fontId="76" fillId="33" borderId="154" xfId="0" applyNumberFormat="1" applyFont="1" applyFill="1" applyBorder="1" applyAlignment="1">
      <alignment horizontal="right"/>
    </xf>
    <xf numFmtId="0" fontId="87" fillId="38" borderId="0" xfId="0" applyFont="1" applyFill="1" applyBorder="1" applyAlignment="1" applyProtection="1">
      <alignment horizontal="left" vertical="center"/>
    </xf>
    <xf numFmtId="0" fontId="66" fillId="34" borderId="66" xfId="0" applyFont="1" applyFill="1" applyBorder="1" applyAlignment="1" applyProtection="1">
      <alignment horizontal="left" vertical="top" wrapText="1"/>
      <protection locked="0"/>
    </xf>
    <xf numFmtId="0" fontId="66" fillId="34" borderId="51" xfId="0" applyFont="1" applyFill="1" applyBorder="1" applyAlignment="1" applyProtection="1">
      <alignment horizontal="left" vertical="top" wrapText="1"/>
      <protection locked="0"/>
    </xf>
    <xf numFmtId="0" fontId="66" fillId="34" borderId="67" xfId="0" applyFont="1" applyFill="1" applyBorder="1" applyAlignment="1" applyProtection="1">
      <alignment horizontal="left" vertical="top" wrapText="1"/>
      <protection locked="0"/>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0" fontId="66" fillId="34" borderId="70" xfId="0" applyFont="1" applyFill="1" applyBorder="1" applyAlignment="1" applyProtection="1">
      <alignment horizontal="left" vertical="top" wrapText="1"/>
      <protection locked="0"/>
    </xf>
    <xf numFmtId="0" fontId="66" fillId="34" borderId="52" xfId="0" applyFont="1" applyFill="1" applyBorder="1" applyAlignment="1" applyProtection="1">
      <alignment horizontal="left" vertical="top" wrapText="1"/>
      <protection locked="0"/>
    </xf>
    <xf numFmtId="0" fontId="66" fillId="34" borderId="71" xfId="0" applyFont="1" applyFill="1" applyBorder="1" applyAlignment="1" applyProtection="1">
      <alignment horizontal="left" vertical="top" wrapText="1"/>
      <protection locked="0"/>
    </xf>
    <xf numFmtId="0" fontId="87" fillId="33" borderId="0" xfId="0" applyFont="1" applyFill="1" applyAlignment="1" applyProtection="1">
      <alignment horizontal="left"/>
    </xf>
    <xf numFmtId="0" fontId="76" fillId="59" borderId="0" xfId="0" applyFont="1" applyFill="1" applyAlignment="1" applyProtection="1">
      <alignment horizontal="left" vertical="top" wrapText="1"/>
    </xf>
    <xf numFmtId="0" fontId="66" fillId="34" borderId="77" xfId="0" applyFont="1" applyFill="1" applyBorder="1" applyAlignment="1" applyProtection="1">
      <alignment horizontal="left" vertical="top" wrapText="1"/>
      <protection locked="0"/>
    </xf>
    <xf numFmtId="0" fontId="66" fillId="34" borderId="76" xfId="0" applyFont="1" applyFill="1" applyBorder="1" applyAlignment="1" applyProtection="1">
      <alignment horizontal="left" vertical="top" wrapText="1"/>
      <protection locked="0"/>
    </xf>
    <xf numFmtId="0" fontId="66" fillId="34" borderId="78" xfId="0" applyFont="1" applyFill="1" applyBorder="1" applyAlignment="1" applyProtection="1">
      <alignment horizontal="left" vertical="top" wrapText="1"/>
      <protection locked="0"/>
    </xf>
    <xf numFmtId="0" fontId="66" fillId="34" borderId="79" xfId="0" applyFont="1" applyFill="1" applyBorder="1" applyAlignment="1" applyProtection="1">
      <alignment horizontal="left" vertical="top" wrapText="1"/>
      <protection locked="0"/>
    </xf>
    <xf numFmtId="0" fontId="66" fillId="34" borderId="61" xfId="0" applyFont="1" applyFill="1" applyBorder="1" applyAlignment="1" applyProtection="1">
      <alignment horizontal="left" vertical="top" wrapText="1"/>
      <protection locked="0"/>
    </xf>
    <xf numFmtId="0" fontId="66" fillId="34" borderId="80" xfId="0" applyFont="1" applyFill="1" applyBorder="1" applyAlignment="1" applyProtection="1">
      <alignment horizontal="left" vertical="top" wrapText="1"/>
      <protection locked="0"/>
    </xf>
    <xf numFmtId="0" fontId="66" fillId="34" borderId="84" xfId="0" applyFont="1" applyFill="1" applyBorder="1" applyAlignment="1" applyProtection="1">
      <alignment horizontal="left" vertical="top" wrapText="1"/>
      <protection locked="0"/>
    </xf>
    <xf numFmtId="0" fontId="66" fillId="34" borderId="74" xfId="0" applyFont="1" applyFill="1" applyBorder="1" applyAlignment="1" applyProtection="1">
      <alignment horizontal="left" vertical="top" wrapText="1"/>
      <protection locked="0"/>
    </xf>
    <xf numFmtId="0" fontId="66" fillId="34" borderId="85" xfId="0" applyFont="1" applyFill="1" applyBorder="1" applyAlignment="1" applyProtection="1">
      <alignment horizontal="left" vertical="top" wrapText="1"/>
      <protection locked="0"/>
    </xf>
    <xf numFmtId="0" fontId="66" fillId="34" borderId="86" xfId="0" applyFont="1" applyFill="1" applyBorder="1" applyAlignment="1" applyProtection="1">
      <alignment horizontal="left" vertical="top" wrapText="1"/>
      <protection locked="0"/>
    </xf>
    <xf numFmtId="0" fontId="66" fillId="34" borderId="87" xfId="0" applyFont="1" applyFill="1" applyBorder="1" applyAlignment="1" applyProtection="1">
      <alignment horizontal="left" vertical="top" wrapText="1"/>
      <protection locked="0"/>
    </xf>
    <xf numFmtId="0" fontId="66" fillId="34" borderId="88" xfId="0" applyFont="1" applyFill="1" applyBorder="1" applyAlignment="1" applyProtection="1">
      <alignment horizontal="left" vertical="top" wrapText="1"/>
      <protection locked="0"/>
    </xf>
    <xf numFmtId="0" fontId="66" fillId="34" borderId="81" xfId="0" applyFont="1" applyFill="1" applyBorder="1" applyAlignment="1" applyProtection="1">
      <alignment horizontal="left" vertical="top" wrapText="1"/>
      <protection locked="0"/>
    </xf>
    <xf numFmtId="0" fontId="66" fillId="34" borderId="82" xfId="0" applyFont="1" applyFill="1" applyBorder="1" applyAlignment="1" applyProtection="1">
      <alignment horizontal="left" vertical="top" wrapText="1"/>
      <protection locked="0"/>
    </xf>
    <xf numFmtId="0" fontId="66" fillId="34" borderId="83" xfId="0" applyFont="1" applyFill="1" applyBorder="1" applyAlignment="1" applyProtection="1">
      <alignment horizontal="left" vertical="top" wrapText="1"/>
      <protection locked="0"/>
    </xf>
    <xf numFmtId="0" fontId="95" fillId="47" borderId="0" xfId="0" applyFont="1" applyFill="1" applyAlignment="1" applyProtection="1">
      <alignment horizontal="center" vertical="top" wrapText="1"/>
    </xf>
    <xf numFmtId="0" fontId="79" fillId="47" borderId="0" xfId="0" applyFont="1" applyFill="1" applyAlignment="1" applyProtection="1">
      <alignment horizontal="distributed" vertical="center"/>
    </xf>
    <xf numFmtId="0" fontId="66" fillId="34" borderId="72" xfId="0" applyFont="1" applyFill="1" applyBorder="1" applyAlignment="1" applyProtection="1">
      <alignment horizontal="center"/>
      <protection locked="0"/>
    </xf>
    <xf numFmtId="0" fontId="66" fillId="34" borderId="50" xfId="0" applyFont="1" applyFill="1" applyBorder="1" applyAlignment="1" applyProtection="1">
      <alignment horizontal="center"/>
      <protection locked="0"/>
    </xf>
    <xf numFmtId="0" fontId="66" fillId="34" borderId="73" xfId="0" applyFont="1" applyFill="1" applyBorder="1" applyAlignment="1" applyProtection="1">
      <alignment horizontal="center"/>
      <protection locked="0"/>
    </xf>
    <xf numFmtId="0" fontId="108" fillId="34" borderId="72" xfId="0" applyFont="1" applyFill="1" applyBorder="1" applyAlignment="1" applyProtection="1">
      <alignment horizontal="center"/>
      <protection locked="0"/>
    </xf>
    <xf numFmtId="0" fontId="108" fillId="34" borderId="50" xfId="0" applyFont="1" applyFill="1" applyBorder="1" applyAlignment="1" applyProtection="1">
      <alignment horizontal="center"/>
      <protection locked="0"/>
    </xf>
    <xf numFmtId="0" fontId="108" fillId="34" borderId="73" xfId="0" applyFont="1" applyFill="1" applyBorder="1" applyAlignment="1" applyProtection="1">
      <alignment horizontal="center"/>
      <protection locked="0"/>
    </xf>
    <xf numFmtId="0" fontId="63" fillId="36" borderId="62" xfId="0" applyFont="1" applyFill="1" applyBorder="1" applyAlignment="1" applyProtection="1">
      <alignment horizontal="center" vertical="center"/>
    </xf>
    <xf numFmtId="0" fontId="63" fillId="36" borderId="63" xfId="0" applyFont="1" applyFill="1" applyBorder="1" applyAlignment="1" applyProtection="1">
      <alignment horizontal="center" vertical="center"/>
    </xf>
    <xf numFmtId="0" fontId="63" fillId="36" borderId="64" xfId="0" applyFont="1" applyFill="1" applyBorder="1" applyAlignment="1" applyProtection="1">
      <alignment horizontal="center" vertical="center"/>
    </xf>
    <xf numFmtId="0" fontId="63" fillId="36" borderId="51" xfId="0" applyFont="1" applyFill="1" applyBorder="1" applyAlignment="1" applyProtection="1">
      <alignment horizontal="center" vertical="center"/>
    </xf>
    <xf numFmtId="0" fontId="66" fillId="34" borderId="89" xfId="0" applyFont="1" applyFill="1" applyBorder="1" applyAlignment="1" applyProtection="1">
      <alignment horizontal="left"/>
      <protection locked="0"/>
    </xf>
    <xf numFmtId="0" fontId="66" fillId="34" borderId="75" xfId="0" applyFont="1" applyFill="1" applyBorder="1" applyAlignment="1" applyProtection="1">
      <alignment horizontal="left"/>
      <protection locked="0"/>
    </xf>
    <xf numFmtId="0" fontId="66" fillId="34" borderId="90" xfId="0" applyFont="1" applyFill="1" applyBorder="1" applyAlignment="1" applyProtection="1">
      <alignment horizontal="left"/>
      <protection locked="0"/>
    </xf>
    <xf numFmtId="0" fontId="79" fillId="47" borderId="0" xfId="0" applyFont="1" applyFill="1" applyAlignment="1" applyProtection="1">
      <alignment horizontal="center" vertical="distributed" textRotation="90"/>
    </xf>
    <xf numFmtId="0" fontId="63" fillId="36" borderId="0" xfId="0" applyFont="1" applyFill="1" applyAlignment="1" applyProtection="1">
      <alignment horizontal="center" vertical="center"/>
    </xf>
    <xf numFmtId="0" fontId="63" fillId="36" borderId="0" xfId="0" applyFont="1" applyFill="1" applyBorder="1" applyAlignment="1" applyProtection="1">
      <alignment horizontal="center" vertical="center"/>
    </xf>
    <xf numFmtId="0" fontId="76" fillId="51" borderId="0" xfId="0" applyFont="1" applyFill="1" applyAlignment="1" applyProtection="1">
      <alignment horizontal="left" vertical="top" wrapText="1"/>
    </xf>
    <xf numFmtId="0" fontId="63" fillId="36" borderId="221" xfId="0" applyFont="1" applyFill="1" applyBorder="1" applyAlignment="1" applyProtection="1">
      <alignment horizontal="center" vertical="center"/>
    </xf>
    <xf numFmtId="0" fontId="66" fillId="34" borderId="72" xfId="0" applyFont="1" applyFill="1" applyBorder="1" applyAlignment="1" applyProtection="1">
      <alignment horizontal="left" vertical="top"/>
      <protection locked="0"/>
    </xf>
    <xf numFmtId="0" fontId="66" fillId="34" borderId="50" xfId="0" applyFont="1" applyFill="1" applyBorder="1" applyAlignment="1" applyProtection="1">
      <alignment horizontal="left" vertical="top"/>
      <protection locked="0"/>
    </xf>
    <xf numFmtId="0" fontId="66" fillId="34" borderId="73" xfId="0" applyFont="1" applyFill="1" applyBorder="1" applyAlignment="1" applyProtection="1">
      <alignment horizontal="left" vertical="top"/>
      <protection locked="0"/>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66" fillId="34" borderId="72" xfId="0" applyFont="1" applyFill="1" applyBorder="1" applyAlignment="1" applyProtection="1">
      <alignment horizontal="center" vertical="top"/>
      <protection locked="0"/>
    </xf>
    <xf numFmtId="0" fontId="66" fillId="34" borderId="50" xfId="0" applyFont="1" applyFill="1" applyBorder="1" applyAlignment="1" applyProtection="1">
      <alignment horizontal="center" vertical="top"/>
      <protection locked="0"/>
    </xf>
    <xf numFmtId="0" fontId="66" fillId="34" borderId="73" xfId="0" applyFont="1" applyFill="1" applyBorder="1" applyAlignment="1" applyProtection="1">
      <alignment horizontal="center" vertical="top"/>
      <protection locked="0"/>
    </xf>
    <xf numFmtId="0" fontId="33" fillId="33" borderId="103" xfId="0" applyFont="1" applyFill="1" applyBorder="1" applyAlignment="1" applyProtection="1">
      <alignment horizontal="center"/>
    </xf>
    <xf numFmtId="0" fontId="33" fillId="33" borderId="0" xfId="0" applyFont="1" applyFill="1" applyBorder="1" applyAlignment="1" applyProtection="1">
      <alignment horizontal="center"/>
    </xf>
    <xf numFmtId="0" fontId="34" fillId="33" borderId="101" xfId="0" applyFont="1" applyFill="1" applyBorder="1" applyAlignment="1" applyProtection="1">
      <alignment horizontal="center"/>
    </xf>
    <xf numFmtId="0" fontId="34" fillId="33" borderId="115" xfId="0" applyFont="1" applyFill="1" applyBorder="1" applyAlignment="1" applyProtection="1">
      <alignment horizontal="center"/>
    </xf>
    <xf numFmtId="0" fontId="34" fillId="33" borderId="103" xfId="0" applyFont="1" applyFill="1" applyBorder="1" applyAlignment="1" applyProtection="1">
      <alignment horizontal="center"/>
    </xf>
    <xf numFmtId="0" fontId="34" fillId="33" borderId="116" xfId="0" applyFont="1" applyFill="1" applyBorder="1" applyAlignment="1" applyProtection="1">
      <alignment horizontal="center"/>
    </xf>
    <xf numFmtId="0" fontId="26" fillId="33" borderId="0" xfId="0" applyFont="1" applyFill="1" applyAlignment="1" applyProtection="1">
      <alignment horizontal="left" vertical="center" wrapText="1"/>
    </xf>
    <xf numFmtId="0" fontId="26" fillId="33" borderId="0" xfId="0" applyFont="1" applyFill="1" applyAlignment="1" applyProtection="1">
      <alignment horizontal="left" vertical="center"/>
    </xf>
    <xf numFmtId="0" fontId="96" fillId="38" borderId="0" xfId="0" applyFont="1" applyFill="1" applyAlignment="1" applyProtection="1">
      <alignment horizontal="left" vertical="top" wrapText="1"/>
    </xf>
    <xf numFmtId="166" fontId="26" fillId="33" borderId="23" xfId="0" applyNumberFormat="1" applyFont="1" applyFill="1" applyBorder="1" applyAlignment="1" applyProtection="1">
      <alignment horizontal="right"/>
    </xf>
    <xf numFmtId="166" fontId="26" fillId="33" borderId="120" xfId="0" applyNumberFormat="1" applyFont="1" applyFill="1" applyBorder="1" applyAlignment="1" applyProtection="1">
      <alignment horizontal="right"/>
    </xf>
    <xf numFmtId="37" fontId="26" fillId="33" borderId="26" xfId="0" applyNumberFormat="1" applyFont="1" applyFill="1" applyBorder="1" applyAlignment="1" applyProtection="1">
      <alignment horizontal="right"/>
    </xf>
    <xf numFmtId="37" fontId="26" fillId="33" borderId="115" xfId="0" applyNumberFormat="1" applyFont="1" applyFill="1" applyBorder="1" applyAlignment="1" applyProtection="1">
      <alignment horizontal="right"/>
    </xf>
    <xf numFmtId="0" fontId="26" fillId="33" borderId="26" xfId="0" applyFont="1" applyFill="1" applyBorder="1" applyAlignment="1" applyProtection="1">
      <alignment horizontal="right"/>
    </xf>
    <xf numFmtId="0" fontId="26" fillId="33" borderId="115" xfId="0" applyFont="1" applyFill="1" applyBorder="1" applyAlignment="1" applyProtection="1">
      <alignment horizontal="right"/>
    </xf>
    <xf numFmtId="37" fontId="26" fillId="33" borderId="259" xfId="0" applyNumberFormat="1" applyFont="1" applyFill="1" applyBorder="1" applyAlignment="1" applyProtection="1">
      <alignment horizontal="right"/>
    </xf>
    <xf numFmtId="37" fontId="26" fillId="33" borderId="225" xfId="0" applyNumberFormat="1" applyFont="1" applyFill="1" applyBorder="1" applyAlignment="1" applyProtection="1">
      <alignment horizontal="right"/>
    </xf>
    <xf numFmtId="5" fontId="26" fillId="33" borderId="101" xfId="0" applyNumberFormat="1" applyFont="1" applyFill="1" applyBorder="1" applyAlignment="1" applyProtection="1">
      <alignment horizontal="right"/>
    </xf>
    <xf numFmtId="5" fontId="26" fillId="33" borderId="26" xfId="0" applyNumberFormat="1" applyFont="1" applyFill="1" applyBorder="1" applyAlignment="1" applyProtection="1">
      <alignment horizontal="right"/>
    </xf>
    <xf numFmtId="0" fontId="34" fillId="33" borderId="224" xfId="0" applyFont="1" applyFill="1" applyBorder="1" applyAlignment="1" applyProtection="1">
      <alignment horizontal="center"/>
    </xf>
    <xf numFmtId="0" fontId="34" fillId="33" borderId="225" xfId="0" applyFont="1" applyFill="1" applyBorder="1" applyAlignment="1" applyProtection="1">
      <alignment horizontal="center"/>
    </xf>
    <xf numFmtId="0" fontId="34" fillId="33" borderId="94" xfId="0" applyFont="1" applyFill="1" applyBorder="1" applyAlignment="1" applyProtection="1">
      <alignment horizontal="center"/>
    </xf>
    <xf numFmtId="0" fontId="34" fillId="33" borderId="18" xfId="0" applyFont="1" applyFill="1" applyBorder="1" applyAlignment="1" applyProtection="1">
      <alignment horizontal="center"/>
    </xf>
    <xf numFmtId="0" fontId="34" fillId="33" borderId="21" xfId="0" applyFont="1" applyFill="1" applyBorder="1" applyAlignment="1" applyProtection="1">
      <alignment horizontal="center"/>
    </xf>
    <xf numFmtId="0" fontId="33" fillId="33" borderId="101" xfId="0" applyFont="1" applyFill="1" applyBorder="1" applyAlignment="1" applyProtection="1">
      <alignment horizontal="center"/>
    </xf>
    <xf numFmtId="0" fontId="33" fillId="33" borderId="26" xfId="0" applyFont="1" applyFill="1" applyBorder="1" applyAlignment="1" applyProtection="1">
      <alignment horizontal="center"/>
    </xf>
    <xf numFmtId="0" fontId="34" fillId="33" borderId="26" xfId="0" applyFont="1" applyFill="1" applyBorder="1" applyAlignment="1" applyProtection="1">
      <alignment horizontal="center"/>
    </xf>
    <xf numFmtId="0" fontId="34" fillId="33" borderId="259" xfId="0" applyFont="1" applyFill="1" applyBorder="1" applyAlignment="1" applyProtection="1">
      <alignment horizontal="center"/>
    </xf>
    <xf numFmtId="0" fontId="66" fillId="34" borderId="53" xfId="0" applyFont="1" applyFill="1" applyBorder="1" applyAlignment="1" applyProtection="1">
      <alignment horizontal="left"/>
      <protection locked="0"/>
    </xf>
    <xf numFmtId="166" fontId="26" fillId="33" borderId="102" xfId="0" applyNumberFormat="1" applyFont="1" applyFill="1" applyBorder="1" applyAlignment="1" applyProtection="1">
      <alignment horizontal="right"/>
    </xf>
    <xf numFmtId="166" fontId="26" fillId="33" borderId="19" xfId="0" applyNumberFormat="1" applyFont="1" applyFill="1" applyBorder="1" applyAlignment="1" applyProtection="1">
      <alignment horizontal="right"/>
    </xf>
    <xf numFmtId="37" fontId="26" fillId="33" borderId="101" xfId="0" applyNumberFormat="1" applyFont="1" applyFill="1" applyBorder="1" applyAlignment="1" applyProtection="1">
      <alignment horizontal="right"/>
    </xf>
    <xf numFmtId="37" fontId="26" fillId="33" borderId="18" xfId="0" applyNumberFormat="1" applyFont="1" applyFill="1" applyBorder="1" applyAlignment="1" applyProtection="1">
      <alignment horizontal="right"/>
    </xf>
    <xf numFmtId="0" fontId="26" fillId="33" borderId="101" xfId="0" applyFont="1" applyFill="1" applyBorder="1" applyAlignment="1" applyProtection="1">
      <alignment horizontal="right"/>
    </xf>
    <xf numFmtId="0" fontId="26" fillId="33" borderId="18" xfId="0" applyFont="1" applyFill="1" applyBorder="1" applyAlignment="1" applyProtection="1">
      <alignment horizontal="right"/>
    </xf>
    <xf numFmtId="37" fontId="26" fillId="33" borderId="103" xfId="0" applyNumberFormat="1" applyFont="1" applyFill="1" applyBorder="1" applyAlignment="1" applyProtection="1">
      <alignment horizontal="right"/>
    </xf>
    <xf numFmtId="37" fontId="26" fillId="33" borderId="21" xfId="0" applyNumberFormat="1" applyFont="1" applyFill="1" applyBorder="1" applyAlignment="1" applyProtection="1">
      <alignment horizontal="right"/>
    </xf>
    <xf numFmtId="5" fontId="26" fillId="53" borderId="101" xfId="0" applyNumberFormat="1" applyFont="1" applyFill="1" applyBorder="1" applyAlignment="1" applyProtection="1">
      <alignment horizontal="center"/>
    </xf>
    <xf numFmtId="5" fontId="26" fillId="53" borderId="26" xfId="0" applyNumberFormat="1" applyFont="1" applyFill="1" applyBorder="1" applyAlignment="1" applyProtection="1">
      <alignment horizontal="center"/>
    </xf>
    <xf numFmtId="37" fontId="26" fillId="33" borderId="94" xfId="0" applyNumberFormat="1" applyFont="1" applyFill="1" applyBorder="1" applyAlignment="1" applyProtection="1">
      <alignment horizontal="right"/>
    </xf>
    <xf numFmtId="5" fontId="26" fillId="33" borderId="94" xfId="0" applyNumberFormat="1" applyFont="1" applyFill="1" applyBorder="1" applyAlignment="1" applyProtection="1">
      <alignment horizontal="right"/>
    </xf>
    <xf numFmtId="5" fontId="26" fillId="33" borderId="115" xfId="0" applyNumberFormat="1" applyFont="1" applyFill="1" applyBorder="1" applyAlignment="1" applyProtection="1">
      <alignment horizontal="right"/>
    </xf>
    <xf numFmtId="0" fontId="80" fillId="47" borderId="0" xfId="0" applyFont="1" applyFill="1" applyAlignment="1" applyProtection="1">
      <alignment horizontal="center" vertical="distributed" textRotation="90"/>
    </xf>
    <xf numFmtId="37" fontId="26" fillId="33" borderId="0" xfId="0" applyNumberFormat="1" applyFont="1" applyFill="1" applyBorder="1" applyAlignment="1" applyProtection="1">
      <alignment horizontal="right"/>
    </xf>
    <xf numFmtId="0" fontId="34" fillId="33" borderId="228" xfId="0" applyFont="1" applyFill="1" applyBorder="1" applyAlignment="1" applyProtection="1">
      <alignment horizontal="center"/>
    </xf>
    <xf numFmtId="37" fontId="26" fillId="33" borderId="228" xfId="0" applyNumberFormat="1" applyFont="1" applyFill="1" applyBorder="1" applyAlignment="1" applyProtection="1">
      <alignment horizontal="right"/>
    </xf>
    <xf numFmtId="0" fontId="81" fillId="51" borderId="0" xfId="0" applyFont="1" applyFill="1" applyAlignment="1" applyProtection="1">
      <alignment horizontal="center" vertical="center"/>
    </xf>
    <xf numFmtId="0" fontId="26" fillId="53" borderId="101" xfId="0" applyFont="1" applyFill="1" applyBorder="1" applyAlignment="1" applyProtection="1">
      <alignment horizontal="center"/>
    </xf>
    <xf numFmtId="0" fontId="26" fillId="53" borderId="26" xfId="0" applyFont="1" applyFill="1" applyBorder="1" applyAlignment="1" applyProtection="1">
      <alignment horizontal="center"/>
    </xf>
    <xf numFmtId="37" fontId="26" fillId="53" borderId="103" xfId="0" applyNumberFormat="1" applyFont="1" applyFill="1" applyBorder="1" applyAlignment="1" applyProtection="1">
      <alignment horizontal="center"/>
    </xf>
    <xf numFmtId="37" fontId="26" fillId="53" borderId="0" xfId="0" applyNumberFormat="1" applyFont="1" applyFill="1" applyBorder="1" applyAlignment="1" applyProtection="1">
      <alignment horizontal="center"/>
    </xf>
    <xf numFmtId="166" fontId="26" fillId="33" borderId="95" xfId="0" applyNumberFormat="1" applyFont="1" applyFill="1" applyBorder="1" applyAlignment="1" applyProtection="1">
      <alignment horizontal="right"/>
    </xf>
    <xf numFmtId="0" fontId="26" fillId="33" borderId="94" xfId="0" applyFont="1" applyFill="1" applyBorder="1" applyAlignment="1" applyProtection="1">
      <alignment horizontal="right"/>
    </xf>
    <xf numFmtId="37" fontId="26" fillId="33" borderId="224" xfId="0" applyNumberFormat="1" applyFont="1" applyFill="1" applyBorder="1" applyAlignment="1" applyProtection="1">
      <alignment horizontal="right"/>
    </xf>
    <xf numFmtId="37" fontId="26" fillId="53" borderId="101" xfId="0" applyNumberFormat="1" applyFont="1" applyFill="1" applyBorder="1" applyAlignment="1" applyProtection="1">
      <alignment horizontal="center" vertical="center" wrapText="1"/>
    </xf>
    <xf numFmtId="37" fontId="26" fillId="53" borderId="257" xfId="0" applyNumberFormat="1" applyFont="1" applyFill="1" applyBorder="1" applyAlignment="1" applyProtection="1">
      <alignment horizontal="center" vertical="center" wrapText="1"/>
    </xf>
    <xf numFmtId="37" fontId="26" fillId="53" borderId="102" xfId="0" applyNumberFormat="1" applyFont="1" applyFill="1" applyBorder="1" applyAlignment="1" applyProtection="1">
      <alignment horizontal="center" vertical="center" wrapText="1"/>
    </xf>
    <xf numFmtId="37" fontId="26" fillId="53" borderId="258" xfId="0" applyNumberFormat="1" applyFont="1" applyFill="1" applyBorder="1" applyAlignment="1" applyProtection="1">
      <alignment horizontal="center" vertical="center" wrapText="1"/>
    </xf>
    <xf numFmtId="166" fontId="26" fillId="53" borderId="102" xfId="0" applyNumberFormat="1" applyFont="1" applyFill="1" applyBorder="1" applyAlignment="1" applyProtection="1">
      <alignment horizontal="center"/>
    </xf>
    <xf numFmtId="166" fontId="26" fillId="53" borderId="23" xfId="0" applyNumberFormat="1" applyFont="1" applyFill="1" applyBorder="1" applyAlignment="1" applyProtection="1">
      <alignment horizontal="center"/>
    </xf>
    <xf numFmtId="5" fontId="26" fillId="33" borderId="18" xfId="0" applyNumberFormat="1" applyFont="1" applyFill="1" applyBorder="1" applyAlignment="1" applyProtection="1">
      <alignment horizontal="right"/>
    </xf>
    <xf numFmtId="0" fontId="26" fillId="33" borderId="20" xfId="0" applyFont="1" applyFill="1" applyBorder="1" applyAlignment="1" applyProtection="1">
      <alignment horizontal="left"/>
    </xf>
    <xf numFmtId="0" fontId="26" fillId="33" borderId="116" xfId="0" applyFont="1" applyFill="1" applyBorder="1" applyAlignment="1" applyProtection="1">
      <alignment horizontal="left"/>
    </xf>
    <xf numFmtId="37" fontId="26" fillId="33" borderId="116" xfId="0" applyNumberFormat="1" applyFont="1" applyFill="1" applyBorder="1" applyAlignment="1" applyProtection="1">
      <alignment horizontal="right"/>
    </xf>
    <xf numFmtId="5" fontId="35" fillId="0" borderId="100" xfId="0" applyNumberFormat="1" applyFont="1" applyBorder="1" applyAlignment="1">
      <alignment horizontal="center"/>
    </xf>
    <xf numFmtId="5" fontId="35" fillId="0" borderId="121" xfId="0" applyNumberFormat="1" applyFont="1" applyBorder="1" applyAlignment="1">
      <alignment horizontal="center"/>
    </xf>
    <xf numFmtId="5" fontId="35" fillId="0" borderId="14" xfId="0" applyNumberFormat="1" applyFont="1" applyBorder="1" applyAlignment="1">
      <alignment horizontal="center"/>
    </xf>
    <xf numFmtId="5" fontId="35" fillId="0" borderId="13" xfId="0" applyNumberFormat="1" applyFont="1" applyBorder="1" applyAlignment="1">
      <alignment horizontal="center"/>
    </xf>
    <xf numFmtId="169" fontId="35" fillId="0" borderId="14" xfId="0" applyNumberFormat="1" applyFont="1" applyBorder="1" applyAlignment="1" applyProtection="1">
      <alignment horizontal="center"/>
    </xf>
    <xf numFmtId="169" fontId="35" fillId="0" borderId="121" xfId="0" applyNumberFormat="1" applyFont="1" applyBorder="1" applyAlignment="1" applyProtection="1">
      <alignment horizontal="center"/>
    </xf>
    <xf numFmtId="169" fontId="35" fillId="0" borderId="100" xfId="0" applyNumberFormat="1" applyFont="1" applyBorder="1" applyAlignment="1" applyProtection="1">
      <alignment horizontal="center"/>
    </xf>
    <xf numFmtId="0" fontId="60" fillId="33" borderId="10" xfId="0" applyFont="1" applyFill="1" applyBorder="1" applyAlignment="1" applyProtection="1">
      <alignment horizontal="center" vertical="center"/>
    </xf>
    <xf numFmtId="0" fontId="60" fillId="33" borderId="115" xfId="0" applyFont="1" applyFill="1" applyBorder="1" applyAlignment="1" applyProtection="1">
      <alignment horizontal="center" vertical="center"/>
    </xf>
    <xf numFmtId="0" fontId="60" fillId="33" borderId="20" xfId="0" applyFont="1" applyFill="1" applyBorder="1" applyAlignment="1" applyProtection="1">
      <alignment horizontal="center" vertical="center"/>
    </xf>
    <xf numFmtId="0" fontId="60" fillId="33" borderId="116" xfId="0" applyFont="1" applyFill="1" applyBorder="1" applyAlignment="1" applyProtection="1">
      <alignment horizontal="center" vertical="center"/>
    </xf>
    <xf numFmtId="0" fontId="26" fillId="33" borderId="10" xfId="0" applyFont="1" applyFill="1" applyBorder="1" applyAlignment="1" applyProtection="1">
      <alignment horizontal="left"/>
    </xf>
    <xf numFmtId="0" fontId="26" fillId="33" borderId="115" xfId="0" applyFont="1" applyFill="1" applyBorder="1" applyAlignment="1" applyProtection="1">
      <alignment horizontal="left"/>
    </xf>
    <xf numFmtId="0" fontId="26" fillId="0" borderId="12" xfId="0" applyFont="1" applyBorder="1" applyAlignment="1" applyProtection="1">
      <alignment horizontal="left"/>
    </xf>
    <xf numFmtId="0" fontId="26" fillId="0" borderId="121" xfId="0" applyFont="1" applyBorder="1" applyAlignment="1" applyProtection="1">
      <alignment horizontal="left"/>
    </xf>
    <xf numFmtId="0" fontId="95" fillId="33" borderId="12" xfId="0" applyFont="1" applyFill="1" applyBorder="1" applyAlignment="1" applyProtection="1">
      <alignment horizontal="left" vertical="center"/>
    </xf>
    <xf numFmtId="0" fontId="95" fillId="33" borderId="14" xfId="0" applyFont="1" applyFill="1" applyBorder="1" applyAlignment="1" applyProtection="1">
      <alignment horizontal="left" vertical="center"/>
    </xf>
    <xf numFmtId="0" fontId="26" fillId="0" borderId="10" xfId="0" applyFont="1" applyBorder="1" applyAlignment="1" applyProtection="1">
      <alignment horizontal="left" vertical="center"/>
    </xf>
    <xf numFmtId="0" fontId="26" fillId="0" borderId="115" xfId="0" applyFont="1" applyBorder="1" applyAlignment="1" applyProtection="1">
      <alignment horizontal="left" vertical="center"/>
    </xf>
    <xf numFmtId="0" fontId="26" fillId="0" borderId="17" xfId="0" applyFont="1" applyBorder="1" applyAlignment="1" applyProtection="1">
      <alignment horizontal="left" vertical="center"/>
    </xf>
    <xf numFmtId="0" fontId="26" fillId="0" borderId="120" xfId="0" applyFont="1" applyBorder="1" applyAlignment="1" applyProtection="1">
      <alignment horizontal="left" vertical="center"/>
    </xf>
    <xf numFmtId="0" fontId="26" fillId="33" borderId="10" xfId="0" applyFont="1" applyFill="1" applyBorder="1" applyAlignment="1" applyProtection="1">
      <alignment horizontal="left" wrapText="1"/>
    </xf>
    <xf numFmtId="0" fontId="26" fillId="33" borderId="115" xfId="0" applyFont="1" applyFill="1" applyBorder="1" applyAlignment="1" applyProtection="1">
      <alignment horizontal="left" wrapText="1"/>
    </xf>
    <xf numFmtId="0" fontId="26" fillId="33" borderId="20" xfId="0" applyFont="1" applyFill="1" applyBorder="1" applyAlignment="1" applyProtection="1">
      <alignment horizontal="left" wrapText="1"/>
    </xf>
    <xf numFmtId="0" fontId="26" fillId="33" borderId="116" xfId="0" applyFont="1" applyFill="1" applyBorder="1" applyAlignment="1" applyProtection="1">
      <alignment horizontal="left" wrapText="1"/>
    </xf>
    <xf numFmtId="0" fontId="32" fillId="56" borderId="107" xfId="0" applyFont="1" applyFill="1" applyBorder="1" applyAlignment="1" applyProtection="1">
      <alignment horizontal="left" vertical="center" wrapText="1"/>
    </xf>
    <xf numFmtId="0" fontId="32" fillId="56" borderId="124" xfId="0" applyFont="1" applyFill="1" applyBorder="1" applyAlignment="1" applyProtection="1">
      <alignment horizontal="left" vertical="center" wrapText="1"/>
    </xf>
    <xf numFmtId="0" fontId="26" fillId="33" borderId="10" xfId="0" applyFont="1" applyFill="1" applyBorder="1" applyAlignment="1" applyProtection="1">
      <alignment horizontal="left" vertical="center"/>
    </xf>
    <xf numFmtId="0" fontId="26" fillId="33" borderId="115" xfId="0" applyFont="1" applyFill="1" applyBorder="1" applyAlignment="1" applyProtection="1">
      <alignment horizontal="left" vertical="center"/>
    </xf>
    <xf numFmtId="0" fontId="26" fillId="33" borderId="17" xfId="0" applyFont="1" applyFill="1" applyBorder="1" applyAlignment="1" applyProtection="1">
      <alignment horizontal="left" vertical="center"/>
    </xf>
    <xf numFmtId="0" fontId="26" fillId="33" borderId="120" xfId="0" applyFont="1" applyFill="1" applyBorder="1" applyAlignment="1" applyProtection="1">
      <alignment horizontal="left" vertical="center"/>
    </xf>
    <xf numFmtId="0" fontId="26" fillId="0" borderId="10" xfId="0" applyFont="1" applyBorder="1" applyAlignment="1" applyProtection="1">
      <alignment horizontal="left"/>
    </xf>
    <xf numFmtId="0" fontId="26" fillId="0" borderId="115" xfId="0" applyFont="1" applyBorder="1" applyAlignment="1" applyProtection="1">
      <alignment horizontal="left"/>
    </xf>
    <xf numFmtId="3" fontId="26" fillId="53" borderId="100" xfId="0" applyNumberFormat="1" applyFont="1" applyFill="1" applyBorder="1" applyAlignment="1" applyProtection="1">
      <alignment horizontal="center" wrapText="1"/>
    </xf>
    <xf numFmtId="3" fontId="26" fillId="53" borderId="266" xfId="0" applyNumberFormat="1" applyFont="1" applyFill="1" applyBorder="1" applyAlignment="1" applyProtection="1">
      <alignment horizontal="center" wrapText="1"/>
    </xf>
    <xf numFmtId="0" fontId="79" fillId="47" borderId="0" xfId="0" applyFont="1" applyFill="1" applyAlignment="1">
      <alignment horizontal="distributed" vertical="center"/>
    </xf>
    <xf numFmtId="0" fontId="79" fillId="47" borderId="0" xfId="0" applyFont="1" applyFill="1" applyAlignment="1">
      <alignment horizontal="center" vertical="distributed" textRotation="90"/>
    </xf>
    <xf numFmtId="0" fontId="63" fillId="36" borderId="0" xfId="0" applyFont="1" applyFill="1" applyAlignment="1">
      <alignment horizontal="center" vertical="center"/>
    </xf>
    <xf numFmtId="0" fontId="63" fillId="36" borderId="51" xfId="0" applyFont="1" applyFill="1" applyBorder="1" applyAlignment="1">
      <alignment horizontal="center" vertical="center"/>
    </xf>
    <xf numFmtId="0" fontId="82" fillId="38" borderId="0" xfId="0" applyFont="1" applyFill="1" applyAlignment="1">
      <alignment horizontal="left" vertical="center"/>
    </xf>
    <xf numFmtId="0" fontId="109" fillId="38" borderId="0" xfId="0" applyFont="1" applyFill="1" applyAlignment="1">
      <alignment horizontal="left" vertical="center"/>
    </xf>
    <xf numFmtId="0" fontId="38" fillId="38" borderId="0" xfId="0" applyFont="1" applyFill="1" applyAlignment="1">
      <alignment horizontal="left" vertical="top" wrapText="1"/>
    </xf>
    <xf numFmtId="0" fontId="87" fillId="38" borderId="0" xfId="0" applyFont="1" applyFill="1" applyAlignment="1">
      <alignment horizontal="left" vertical="top" wrapText="1"/>
    </xf>
    <xf numFmtId="0" fontId="71" fillId="59" borderId="0" xfId="0" applyFont="1" applyFill="1" applyAlignment="1" applyProtection="1">
      <alignment horizontal="left" vertical="top" wrapText="1"/>
    </xf>
    <xf numFmtId="0" fontId="79" fillId="47" borderId="126" xfId="0" applyFont="1" applyFill="1" applyBorder="1" applyAlignment="1">
      <alignment horizontal="center" vertical="center" wrapText="1"/>
    </xf>
    <xf numFmtId="0" fontId="79" fillId="47" borderId="0" xfId="0" applyFont="1" applyFill="1" applyAlignment="1">
      <alignment horizontal="center" vertical="center" wrapText="1"/>
    </xf>
    <xf numFmtId="0" fontId="82" fillId="38" borderId="0" xfId="0" applyFont="1" applyFill="1" applyAlignment="1">
      <alignment horizontal="center" vertical="center" wrapText="1"/>
    </xf>
    <xf numFmtId="0" fontId="26" fillId="33" borderId="0" xfId="0" applyFont="1" applyFill="1" applyAlignment="1">
      <alignment horizontal="left" vertical="center" wrapText="1"/>
    </xf>
    <xf numFmtId="0" fontId="26" fillId="0" borderId="0" xfId="0" applyFont="1" applyAlignment="1">
      <alignment horizontal="left" vertical="center" wrapText="1"/>
    </xf>
    <xf numFmtId="0" fontId="26" fillId="0" borderId="0" xfId="0" applyFont="1" applyAlignment="1" applyProtection="1">
      <alignment horizontal="left" vertical="top" wrapText="1"/>
    </xf>
    <xf numFmtId="0" fontId="79" fillId="47" borderId="126" xfId="0" applyFont="1" applyFill="1" applyBorder="1" applyAlignment="1" applyProtection="1">
      <alignment horizontal="center" vertical="center" wrapText="1"/>
    </xf>
    <xf numFmtId="0" fontId="79" fillId="47" borderId="0" xfId="0" applyFont="1" applyFill="1" applyAlignment="1" applyProtection="1">
      <alignment horizontal="center" vertical="center" wrapText="1"/>
    </xf>
    <xf numFmtId="0" fontId="82" fillId="38" borderId="0" xfId="0" applyFont="1" applyFill="1" applyAlignment="1" applyProtection="1">
      <alignment horizontal="center" vertical="center" wrapText="1"/>
    </xf>
    <xf numFmtId="0" fontId="87" fillId="38" borderId="0" xfId="0" applyFont="1" applyFill="1" applyAlignment="1" applyProtection="1">
      <alignment horizontal="left" vertical="top" wrapText="1"/>
    </xf>
    <xf numFmtId="0" fontId="0" fillId="0" borderId="0" xfId="0" applyAlignment="1">
      <alignment horizontal="left" vertical="center"/>
    </xf>
    <xf numFmtId="0" fontId="0" fillId="0" borderId="12"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96" fillId="38" borderId="0" xfId="0" applyFont="1" applyFill="1" applyAlignment="1">
      <alignment horizontal="left" vertical="center"/>
    </xf>
    <xf numFmtId="0" fontId="38" fillId="38" borderId="0" xfId="0" applyFont="1" applyFill="1" applyAlignment="1">
      <alignment horizontal="left" vertical="center" wrapText="1"/>
    </xf>
    <xf numFmtId="0" fontId="87" fillId="38" borderId="0" xfId="0" applyFont="1" applyFill="1" applyAlignment="1" applyProtection="1">
      <alignment horizontal="left" vertical="top" wrapText="1"/>
      <protection locked="0"/>
    </xf>
    <xf numFmtId="0" fontId="39" fillId="38" borderId="0" xfId="0" applyFont="1" applyFill="1" applyAlignment="1" applyProtection="1">
      <alignment horizontal="left" vertical="top" wrapText="1"/>
      <protection locked="0"/>
    </xf>
    <xf numFmtId="0" fontId="94" fillId="51" borderId="0" xfId="0" applyFont="1" applyFill="1" applyBorder="1" applyAlignment="1">
      <alignment horizontal="center"/>
    </xf>
    <xf numFmtId="0" fontId="103" fillId="33" borderId="132" xfId="0" applyFont="1" applyFill="1" applyBorder="1" applyAlignment="1">
      <alignment horizontal="center"/>
    </xf>
    <xf numFmtId="0" fontId="103" fillId="33" borderId="133" xfId="0" applyFont="1" applyFill="1" applyBorder="1" applyAlignment="1">
      <alignment horizontal="center"/>
    </xf>
    <xf numFmtId="0" fontId="69" fillId="51" borderId="0" xfId="0" applyFont="1" applyFill="1" applyAlignment="1">
      <alignment horizontal="left" vertical="top" wrapText="1"/>
    </xf>
    <xf numFmtId="0" fontId="73" fillId="51" borderId="0" xfId="0" applyFont="1" applyFill="1" applyAlignment="1">
      <alignment horizontal="left" vertical="top" wrapText="1"/>
    </xf>
    <xf numFmtId="0" fontId="103" fillId="33" borderId="0" xfId="0" applyFont="1" applyFill="1" applyBorder="1" applyAlignment="1">
      <alignment horizontal="center" vertical="top"/>
    </xf>
    <xf numFmtId="0" fontId="103" fillId="33" borderId="136" xfId="0" applyFont="1" applyFill="1" applyBorder="1" applyAlignment="1">
      <alignment horizontal="center" vertical="top"/>
    </xf>
    <xf numFmtId="0" fontId="98" fillId="38" borderId="0" xfId="0" applyFont="1" applyFill="1" applyAlignment="1">
      <alignment horizontal="left" vertical="center"/>
    </xf>
    <xf numFmtId="0" fontId="9" fillId="0" borderId="0" xfId="0" applyFont="1" applyAlignment="1">
      <alignment horizontal="left" vertical="center" wrapText="1"/>
    </xf>
    <xf numFmtId="0" fontId="108" fillId="34" borderId="72" xfId="0" applyFont="1" applyFill="1" applyBorder="1" applyAlignment="1" applyProtection="1">
      <alignment horizontal="left"/>
      <protection locked="0"/>
    </xf>
    <xf numFmtId="0" fontId="108" fillId="34" borderId="50" xfId="0" applyFont="1" applyFill="1" applyBorder="1" applyAlignment="1" applyProtection="1">
      <alignment horizontal="left"/>
      <protection locked="0"/>
    </xf>
    <xf numFmtId="0" fontId="108" fillId="34" borderId="73" xfId="0" applyFont="1" applyFill="1" applyBorder="1" applyAlignment="1" applyProtection="1">
      <alignment horizontal="left"/>
      <protection locked="0"/>
    </xf>
    <xf numFmtId="0" fontId="99" fillId="51" borderId="0" xfId="0" applyFont="1" applyFill="1" applyAlignment="1">
      <alignment horizontal="center"/>
    </xf>
    <xf numFmtId="0" fontId="66" fillId="34" borderId="0" xfId="0" applyNumberFormat="1" applyFont="1" applyFill="1" applyBorder="1" applyAlignment="1" applyProtection="1">
      <alignment horizontal="center"/>
      <protection locked="0"/>
    </xf>
    <xf numFmtId="0" fontId="38" fillId="38" borderId="0" xfId="0" applyFont="1" applyFill="1" applyAlignment="1" applyProtection="1">
      <alignment horizontal="left" vertical="center" wrapText="1"/>
    </xf>
    <xf numFmtId="0" fontId="87" fillId="38" borderId="0" xfId="0" applyFont="1" applyFill="1" applyAlignment="1" applyProtection="1">
      <alignment horizontal="left" vertical="center"/>
    </xf>
    <xf numFmtId="0" fontId="87" fillId="51" borderId="0" xfId="0" applyFont="1" applyFill="1" applyAlignment="1">
      <alignment horizontal="left" vertical="top" wrapText="1"/>
    </xf>
    <xf numFmtId="0" fontId="72" fillId="51" borderId="0" xfId="0" applyFont="1" applyFill="1" applyAlignment="1">
      <alignment horizontal="left" vertical="top" wrapText="1"/>
    </xf>
    <xf numFmtId="0" fontId="79" fillId="33" borderId="0" xfId="0" applyFont="1" applyFill="1" applyBorder="1" applyAlignment="1">
      <alignment horizontal="center" vertical="center"/>
    </xf>
    <xf numFmtId="0" fontId="79" fillId="33" borderId="136" xfId="0" applyFont="1" applyFill="1" applyBorder="1" applyAlignment="1">
      <alignment horizontal="center" vertical="center"/>
    </xf>
    <xf numFmtId="0" fontId="83" fillId="56" borderId="159" xfId="0" applyFont="1" applyFill="1" applyBorder="1" applyAlignment="1">
      <alignment horizontal="center"/>
    </xf>
    <xf numFmtId="0" fontId="83" fillId="56" borderId="160" xfId="0" applyFont="1" applyFill="1" applyBorder="1" applyAlignment="1">
      <alignment horizontal="center"/>
    </xf>
    <xf numFmtId="0" fontId="83" fillId="56" borderId="161" xfId="0" applyFont="1" applyFill="1" applyBorder="1" applyAlignment="1">
      <alignment horizontal="center"/>
    </xf>
    <xf numFmtId="0" fontId="84" fillId="33" borderId="132" xfId="0" applyFont="1" applyFill="1" applyBorder="1" applyAlignment="1">
      <alignment horizontal="center" vertical="center"/>
    </xf>
    <xf numFmtId="0" fontId="84" fillId="33" borderId="133" xfId="0" applyFont="1" applyFill="1" applyBorder="1" applyAlignment="1">
      <alignment horizontal="center" vertical="center"/>
    </xf>
    <xf numFmtId="0" fontId="69" fillId="38" borderId="0" xfId="0" applyFont="1" applyFill="1" applyAlignment="1">
      <alignment horizontal="left" vertical="top" wrapText="1"/>
    </xf>
    <xf numFmtId="0" fontId="92" fillId="56" borderId="182" xfId="0" applyFont="1" applyFill="1" applyBorder="1" applyAlignment="1">
      <alignment horizontal="center" vertical="center"/>
    </xf>
    <xf numFmtId="0" fontId="92" fillId="56" borderId="168" xfId="0" applyFont="1" applyFill="1" applyBorder="1" applyAlignment="1">
      <alignment horizontal="center" vertical="center"/>
    </xf>
    <xf numFmtId="0" fontId="92" fillId="56" borderId="177" xfId="0" applyFont="1" applyFill="1" applyBorder="1" applyAlignment="1">
      <alignment horizontal="center" vertical="center"/>
    </xf>
    <xf numFmtId="0" fontId="83" fillId="56" borderId="139"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0" fontId="83" fillId="56" borderId="180" xfId="0" applyFont="1" applyFill="1" applyBorder="1" applyAlignment="1">
      <alignment horizontal="center" vertical="center"/>
    </xf>
    <xf numFmtId="0" fontId="69" fillId="38" borderId="0" xfId="0" applyFont="1" applyFill="1" applyAlignment="1">
      <alignment horizontal="left" vertical="center"/>
    </xf>
    <xf numFmtId="0" fontId="47" fillId="51" borderId="0" xfId="0" applyFont="1" applyFill="1" applyBorder="1" applyAlignment="1">
      <alignment horizontal="center"/>
    </xf>
    <xf numFmtId="0" fontId="32" fillId="51" borderId="91" xfId="0" applyFont="1" applyFill="1" applyBorder="1" applyAlignment="1">
      <alignment horizontal="center"/>
    </xf>
    <xf numFmtId="0" fontId="83" fillId="56" borderId="135" xfId="0" applyFont="1" applyFill="1" applyBorder="1" applyAlignment="1">
      <alignment horizontal="right" vertical="center"/>
    </xf>
    <xf numFmtId="0" fontId="83" fillId="56" borderId="0" xfId="0" applyFont="1" applyFill="1" applyBorder="1" applyAlignment="1">
      <alignment horizontal="right" vertical="center"/>
    </xf>
    <xf numFmtId="0" fontId="83" fillId="56" borderId="137" xfId="0" applyFont="1" applyFill="1" applyBorder="1" applyAlignment="1">
      <alignment horizontal="right" vertical="center"/>
    </xf>
    <xf numFmtId="0" fontId="83" fillId="56" borderId="138" xfId="0" applyFont="1" applyFill="1" applyBorder="1" applyAlignment="1">
      <alignment horizontal="right" vertical="center"/>
    </xf>
    <xf numFmtId="0" fontId="83" fillId="56" borderId="205" xfId="0" applyFont="1" applyFill="1" applyBorder="1" applyAlignment="1">
      <alignment horizontal="center" vertical="center" wrapText="1"/>
    </xf>
    <xf numFmtId="0" fontId="83" fillId="56" borderId="206" xfId="0" applyFont="1" applyFill="1" applyBorder="1" applyAlignment="1">
      <alignment horizontal="center" vertical="center" wrapText="1"/>
    </xf>
    <xf numFmtId="0" fontId="83" fillId="56" borderId="207" xfId="0" applyFont="1" applyFill="1" applyBorder="1" applyAlignment="1">
      <alignment horizontal="center" vertical="center" wrapText="1"/>
    </xf>
    <xf numFmtId="0" fontId="83" fillId="56" borderId="219" xfId="0" applyFont="1" applyFill="1" applyBorder="1" applyAlignment="1">
      <alignment horizontal="center" vertical="center"/>
    </xf>
    <xf numFmtId="0" fontId="83" fillId="56" borderId="206" xfId="0" applyFont="1" applyFill="1" applyBorder="1" applyAlignment="1">
      <alignment horizontal="center" vertical="center"/>
    </xf>
    <xf numFmtId="0" fontId="5" fillId="33" borderId="204" xfId="0" applyFont="1" applyFill="1" applyBorder="1" applyAlignment="1">
      <alignment horizontal="center" textRotation="90"/>
    </xf>
    <xf numFmtId="0" fontId="5" fillId="33" borderId="21" xfId="0" applyFont="1" applyFill="1" applyBorder="1" applyAlignment="1">
      <alignment horizontal="center" textRotation="90"/>
    </xf>
    <xf numFmtId="0" fontId="5" fillId="33" borderId="215" xfId="0" applyFont="1" applyFill="1" applyBorder="1" applyAlignment="1">
      <alignment horizontal="center" textRotation="90"/>
    </xf>
    <xf numFmtId="0" fontId="5" fillId="33" borderId="190" xfId="0" applyFont="1" applyFill="1" applyBorder="1" applyAlignment="1">
      <alignment horizontal="center" textRotation="90"/>
    </xf>
    <xf numFmtId="0" fontId="5" fillId="33" borderId="22" xfId="0" applyFont="1" applyFill="1" applyBorder="1" applyAlignment="1">
      <alignment horizontal="center" textRotation="90"/>
    </xf>
    <xf numFmtId="0" fontId="5" fillId="33" borderId="216" xfId="0" applyFont="1" applyFill="1" applyBorder="1" applyAlignment="1">
      <alignment horizontal="center" textRotation="90"/>
    </xf>
    <xf numFmtId="0" fontId="5" fillId="33" borderId="191" xfId="0" applyFont="1" applyFill="1" applyBorder="1" applyAlignment="1">
      <alignment horizontal="center" textRotation="90"/>
    </xf>
    <xf numFmtId="0" fontId="5" fillId="33" borderId="187" xfId="0" applyFont="1" applyFill="1" applyBorder="1" applyAlignment="1">
      <alignment horizontal="center" textRotation="90"/>
    </xf>
    <xf numFmtId="0" fontId="5" fillId="33" borderId="217" xfId="0" applyFont="1" applyFill="1" applyBorder="1" applyAlignment="1">
      <alignment horizontal="center" textRotation="90"/>
    </xf>
    <xf numFmtId="0" fontId="5" fillId="33" borderId="193" xfId="0" applyFont="1" applyFill="1" applyBorder="1" applyAlignment="1">
      <alignment horizontal="left" vertical="center" wrapText="1"/>
    </xf>
    <xf numFmtId="0" fontId="5" fillId="33" borderId="194" xfId="0" applyFont="1" applyFill="1" applyBorder="1" applyAlignment="1">
      <alignment horizontal="left" vertical="center" wrapText="1"/>
    </xf>
    <xf numFmtId="0" fontId="5" fillId="33" borderId="195" xfId="0" applyFont="1" applyFill="1" applyBorder="1" applyAlignment="1">
      <alignment horizontal="left" vertical="center" wrapText="1"/>
    </xf>
    <xf numFmtId="0" fontId="5" fillId="33" borderId="196"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3" xfId="0" applyFont="1" applyFill="1" applyBorder="1" applyAlignment="1">
      <alignment horizontal="left" vertical="center" wrapText="1"/>
    </xf>
    <xf numFmtId="0" fontId="5" fillId="33" borderId="188" xfId="0" applyFont="1" applyFill="1" applyBorder="1" applyAlignment="1">
      <alignment horizontal="left" vertical="center" wrapText="1"/>
    </xf>
    <xf numFmtId="0" fontId="5" fillId="33" borderId="189" xfId="0" applyFont="1" applyFill="1" applyBorder="1" applyAlignment="1">
      <alignment horizontal="left" vertical="center" wrapText="1"/>
    </xf>
    <xf numFmtId="0" fontId="5" fillId="33" borderId="198" xfId="0" applyFont="1" applyFill="1" applyBorder="1" applyAlignment="1">
      <alignment horizontal="left" vertical="center" wrapText="1"/>
    </xf>
    <xf numFmtId="0" fontId="83" fillId="56" borderId="137" xfId="0" applyFont="1" applyFill="1" applyBorder="1" applyAlignment="1">
      <alignment horizontal="center" vertical="center" wrapText="1"/>
    </xf>
    <xf numFmtId="0" fontId="83" fillId="56" borderId="138" xfId="0" applyFont="1" applyFill="1" applyBorder="1" applyAlignment="1">
      <alignment horizontal="center" vertical="center" wrapText="1"/>
    </xf>
    <xf numFmtId="0" fontId="83" fillId="56" borderId="178" xfId="0" applyFont="1" applyFill="1" applyBorder="1" applyAlignment="1">
      <alignment horizontal="center" vertical="center" wrapText="1"/>
    </xf>
    <xf numFmtId="0" fontId="5" fillId="33" borderId="134" xfId="0" applyFont="1" applyFill="1" applyBorder="1" applyAlignment="1">
      <alignment horizontal="center" vertical="center"/>
    </xf>
    <xf numFmtId="0" fontId="5" fillId="33" borderId="192" xfId="0" applyFont="1" applyFill="1" applyBorder="1" applyAlignment="1">
      <alignment horizontal="center" vertical="center"/>
    </xf>
    <xf numFmtId="0" fontId="5" fillId="33" borderId="144" xfId="0" applyFont="1" applyFill="1" applyBorder="1" applyAlignment="1">
      <alignment horizontal="center" vertical="center"/>
    </xf>
    <xf numFmtId="0" fontId="24" fillId="56" borderId="212" xfId="0" applyFont="1" applyFill="1" applyBorder="1" applyAlignment="1">
      <alignment horizontal="center" vertical="center" wrapText="1"/>
    </xf>
    <xf numFmtId="0" fontId="24" fillId="56" borderId="213" xfId="0" applyFont="1" applyFill="1" applyBorder="1" applyAlignment="1">
      <alignment horizontal="center" vertical="center" wrapText="1"/>
    </xf>
    <xf numFmtId="0" fontId="24" fillId="56" borderId="214" xfId="0" applyFont="1" applyFill="1" applyBorder="1" applyAlignment="1">
      <alignment horizontal="center" vertical="center" wrapText="1"/>
    </xf>
    <xf numFmtId="0" fontId="83" fillId="56" borderId="128" xfId="0" applyFont="1" applyFill="1" applyBorder="1" applyAlignment="1">
      <alignment horizontal="center" vertical="center" wrapText="1"/>
    </xf>
    <xf numFmtId="0" fontId="83" fillId="56" borderId="129" xfId="0" applyFont="1" applyFill="1" applyBorder="1" applyAlignment="1">
      <alignment horizontal="center" vertical="center" wrapText="1"/>
    </xf>
    <xf numFmtId="0" fontId="83" fillId="56" borderId="130" xfId="0" applyFont="1" applyFill="1" applyBorder="1" applyAlignment="1">
      <alignment horizontal="center" vertical="center" wrapText="1"/>
    </xf>
    <xf numFmtId="0" fontId="107" fillId="51" borderId="53" xfId="0" applyFont="1" applyFill="1" applyBorder="1" applyAlignment="1">
      <alignment horizontal="center" vertical="center" wrapText="1"/>
    </xf>
    <xf numFmtId="0" fontId="105" fillId="51" borderId="53" xfId="0" applyFont="1" applyFill="1" applyBorder="1" applyAlignment="1">
      <alignment horizontal="left" vertical="center" wrapText="1"/>
    </xf>
    <xf numFmtId="0" fontId="94" fillId="51" borderId="53" xfId="0" applyFont="1" applyFill="1" applyBorder="1" applyAlignment="1">
      <alignment horizontal="center" vertical="center" wrapText="1"/>
    </xf>
    <xf numFmtId="0" fontId="24" fillId="56" borderId="12" xfId="0" applyFont="1" applyFill="1" applyBorder="1" applyAlignment="1">
      <alignment horizontal="center" vertical="center" wrapText="1"/>
    </xf>
    <xf numFmtId="0" fontId="24" fillId="56" borderId="14" xfId="0" applyFont="1" applyFill="1" applyBorder="1" applyAlignment="1">
      <alignment horizontal="center" vertical="center" wrapText="1"/>
    </xf>
    <xf numFmtId="0" fontId="24" fillId="56" borderId="13" xfId="0" applyFont="1" applyFill="1" applyBorder="1" applyAlignment="1">
      <alignment horizontal="center" vertical="center" wrapText="1"/>
    </xf>
    <xf numFmtId="0" fontId="94" fillId="51" borderId="92" xfId="0" applyFont="1" applyFill="1" applyBorder="1" applyAlignment="1">
      <alignment horizontal="center" vertical="center" wrapText="1"/>
    </xf>
    <xf numFmtId="0" fontId="66" fillId="34" borderId="53" xfId="0" quotePrefix="1" applyFont="1" applyFill="1" applyBorder="1" applyAlignment="1" applyProtection="1">
      <alignment horizontal="center" vertical="center"/>
      <protection locked="0"/>
    </xf>
    <xf numFmtId="0" fontId="66" fillId="34" borderId="53" xfId="0" applyFont="1" applyFill="1" applyBorder="1" applyAlignment="1" applyProtection="1">
      <alignment horizontal="center" vertical="center"/>
      <protection locked="0"/>
    </xf>
    <xf numFmtId="0" fontId="26" fillId="60" borderId="0" xfId="0" applyFont="1" applyFill="1" applyAlignment="1">
      <alignment horizontal="left" vertical="top" wrapText="1"/>
    </xf>
    <xf numFmtId="0" fontId="106" fillId="33" borderId="131" xfId="0" applyFont="1" applyFill="1" applyBorder="1" applyAlignment="1">
      <alignment horizontal="center" vertical="center" wrapText="1"/>
    </xf>
    <xf numFmtId="0" fontId="106" fillId="33" borderId="132" xfId="0" applyFont="1" applyFill="1" applyBorder="1" applyAlignment="1">
      <alignment horizontal="center" vertical="center" wrapText="1"/>
    </xf>
    <xf numFmtId="0" fontId="106" fillId="33" borderId="135" xfId="0" applyFont="1" applyFill="1" applyBorder="1" applyAlignment="1">
      <alignment horizontal="center" vertical="center" wrapText="1"/>
    </xf>
    <xf numFmtId="0" fontId="106" fillId="33" borderId="0" xfId="0" applyFont="1" applyFill="1" applyBorder="1" applyAlignment="1">
      <alignment horizontal="center" vertical="center" wrapText="1"/>
    </xf>
    <xf numFmtId="0" fontId="106" fillId="33" borderId="146" xfId="0" applyFont="1" applyFill="1" applyBorder="1" applyAlignment="1">
      <alignment horizontal="center" vertical="center" wrapText="1"/>
    </xf>
    <xf numFmtId="0" fontId="106" fillId="33" borderId="147" xfId="0" applyFont="1" applyFill="1" applyBorder="1" applyAlignment="1">
      <alignment horizontal="center" vertical="center" wrapText="1"/>
    </xf>
    <xf numFmtId="0" fontId="83" fillId="56" borderId="218" xfId="0" applyFont="1" applyFill="1" applyBorder="1" applyAlignment="1">
      <alignment horizontal="center" vertical="center" wrapText="1"/>
    </xf>
    <xf numFmtId="0" fontId="94" fillId="51" borderId="53" xfId="0" applyFont="1" applyFill="1" applyBorder="1" applyAlignment="1">
      <alignment horizontal="center" vertical="center"/>
    </xf>
    <xf numFmtId="0" fontId="105" fillId="51" borderId="93" xfId="0" applyFont="1" applyFill="1" applyBorder="1" applyAlignment="1">
      <alignment horizontal="left" vertical="center" wrapText="1"/>
    </xf>
    <xf numFmtId="0" fontId="94" fillId="51" borderId="53" xfId="0" applyFont="1" applyFill="1" applyBorder="1" applyAlignment="1">
      <alignment horizontal="center" textRotation="90"/>
    </xf>
    <xf numFmtId="0" fontId="26" fillId="33" borderId="103" xfId="0" applyFont="1" applyFill="1" applyBorder="1" applyAlignment="1" applyProtection="1">
      <alignment horizontal="left"/>
    </xf>
    <xf numFmtId="0" fontId="26" fillId="0" borderId="100" xfId="0" applyFont="1" applyBorder="1" applyAlignment="1" applyProtection="1">
      <alignment horizontal="left"/>
    </xf>
    <xf numFmtId="169" fontId="35" fillId="0" borderId="96" xfId="0" applyNumberFormat="1" applyFont="1" applyBorder="1" applyAlignment="1" applyProtection="1">
      <alignment horizontal="center"/>
    </xf>
    <xf numFmtId="0" fontId="32" fillId="60" borderId="123" xfId="0" applyFont="1" applyFill="1" applyBorder="1" applyAlignment="1" applyProtection="1">
      <alignment horizontal="left" vertical="center" wrapText="1"/>
    </xf>
    <xf numFmtId="0" fontId="32" fillId="60" borderId="124" xfId="0" applyFont="1" applyFill="1" applyBorder="1" applyAlignment="1" applyProtection="1">
      <alignment horizontal="left" vertical="center" wrapText="1"/>
    </xf>
    <xf numFmtId="0" fontId="26" fillId="33" borderId="101" xfId="0" applyFont="1" applyFill="1" applyBorder="1" applyAlignment="1" applyProtection="1">
      <alignment horizontal="left"/>
    </xf>
    <xf numFmtId="0" fontId="26" fillId="0" borderId="101" xfId="0" applyFont="1" applyBorder="1" applyAlignment="1" applyProtection="1">
      <alignment horizontal="left"/>
    </xf>
    <xf numFmtId="0" fontId="26" fillId="0" borderId="101" xfId="0" applyFont="1" applyBorder="1" applyAlignment="1" applyProtection="1">
      <alignment horizontal="left" vertical="center"/>
    </xf>
    <xf numFmtId="0" fontId="26" fillId="0" borderId="102" xfId="0" applyFont="1" applyBorder="1" applyAlignment="1" applyProtection="1">
      <alignment horizontal="left" vertical="center"/>
    </xf>
    <xf numFmtId="0" fontId="26" fillId="33" borderId="101" xfId="0" applyFont="1" applyFill="1" applyBorder="1" applyAlignment="1" applyProtection="1">
      <alignment horizontal="left" vertical="center"/>
    </xf>
    <xf numFmtId="0" fontId="26" fillId="33" borderId="102" xfId="0" applyFont="1" applyFill="1" applyBorder="1" applyAlignment="1" applyProtection="1">
      <alignment horizontal="left" vertical="center"/>
    </xf>
    <xf numFmtId="37" fontId="26" fillId="53" borderId="101" xfId="0" applyNumberFormat="1" applyFont="1" applyFill="1" applyBorder="1" applyAlignment="1" applyProtection="1">
      <alignment horizontal="center"/>
    </xf>
    <xf numFmtId="37" fontId="26" fillId="53" borderId="26" xfId="0" applyNumberFormat="1" applyFont="1" applyFill="1" applyBorder="1" applyAlignment="1" applyProtection="1">
      <alignment horizontal="center"/>
    </xf>
    <xf numFmtId="0" fontId="26" fillId="33" borderId="101" xfId="0" applyFont="1" applyFill="1" applyBorder="1" applyAlignment="1" applyProtection="1">
      <alignment horizontal="left" vertical="center" wrapText="1"/>
    </xf>
    <xf numFmtId="0" fontId="26" fillId="33" borderId="115" xfId="0" applyFont="1" applyFill="1" applyBorder="1" applyAlignment="1" applyProtection="1">
      <alignment horizontal="left" vertical="center" wrapText="1"/>
    </xf>
    <xf numFmtId="0" fontId="26" fillId="33" borderId="103" xfId="0" applyFont="1" applyFill="1" applyBorder="1" applyAlignment="1" applyProtection="1">
      <alignment horizontal="left" vertical="center" wrapText="1"/>
    </xf>
    <xf numFmtId="0" fontId="26" fillId="33" borderId="116" xfId="0" applyFont="1" applyFill="1" applyBorder="1" applyAlignment="1" applyProtection="1">
      <alignment horizontal="left" vertical="center" wrapText="1"/>
    </xf>
    <xf numFmtId="0" fontId="95" fillId="33" borderId="17" xfId="0" applyFont="1" applyFill="1" applyBorder="1" applyAlignment="1" applyProtection="1">
      <alignment horizontal="left" vertical="center"/>
    </xf>
    <xf numFmtId="0" fontId="95" fillId="33" borderId="23" xfId="0" applyFont="1" applyFill="1" applyBorder="1" applyAlignment="1" applyProtection="1">
      <alignment horizontal="left" vertical="center"/>
    </xf>
    <xf numFmtId="0" fontId="60" fillId="33" borderId="101" xfId="0" applyFont="1" applyFill="1" applyBorder="1" applyAlignment="1" applyProtection="1">
      <alignment horizontal="center" vertical="center"/>
    </xf>
    <xf numFmtId="0" fontId="60" fillId="33" borderId="103" xfId="0" applyFont="1" applyFill="1" applyBorder="1" applyAlignment="1" applyProtection="1">
      <alignment horizontal="center" vertical="center"/>
    </xf>
    <xf numFmtId="0" fontId="123" fillId="48" borderId="0" xfId="0" applyFont="1" applyFill="1" applyAlignment="1" applyProtection="1">
      <alignment horizontal="center" vertical="center"/>
    </xf>
    <xf numFmtId="0" fontId="87" fillId="38" borderId="0" xfId="0" applyFont="1" applyFill="1" applyAlignment="1" applyProtection="1">
      <alignment horizontal="left" vertical="top"/>
    </xf>
    <xf numFmtId="0" fontId="87" fillId="38" borderId="35" xfId="0" applyFont="1" applyFill="1" applyBorder="1" applyAlignment="1" applyProtection="1">
      <alignment horizontal="left" vertical="top"/>
    </xf>
    <xf numFmtId="0" fontId="87" fillId="38" borderId="0" xfId="0" applyFont="1" applyFill="1" applyAlignment="1" applyProtection="1">
      <alignment horizontal="left"/>
    </xf>
    <xf numFmtId="0" fontId="87" fillId="38" borderId="35" xfId="0" applyFont="1" applyFill="1" applyBorder="1" applyAlignment="1" applyProtection="1">
      <alignment horizontal="left"/>
    </xf>
    <xf numFmtId="0" fontId="55" fillId="60" borderId="29" xfId="0" applyFont="1" applyFill="1" applyBorder="1" applyAlignment="1" applyProtection="1">
      <alignment horizontal="left" vertical="top" wrapText="1"/>
    </xf>
    <xf numFmtId="0" fontId="55" fillId="60" borderId="30" xfId="0" applyFont="1" applyFill="1" applyBorder="1" applyAlignment="1" applyProtection="1">
      <alignment horizontal="left" vertical="top" wrapText="1"/>
    </xf>
    <xf numFmtId="0" fontId="55" fillId="60" borderId="31" xfId="0" applyFont="1" applyFill="1" applyBorder="1" applyAlignment="1" applyProtection="1">
      <alignment horizontal="left" vertical="top" wrapText="1"/>
    </xf>
    <xf numFmtId="0" fontId="55" fillId="60" borderId="0" xfId="0" applyFont="1" applyFill="1" applyBorder="1" applyAlignment="1" applyProtection="1">
      <alignment horizontal="left" vertical="top" wrapText="1"/>
    </xf>
    <xf numFmtId="0" fontId="55" fillId="60" borderId="31" xfId="0" applyFont="1" applyFill="1" applyBorder="1" applyAlignment="1" applyProtection="1">
      <alignment horizontal="left"/>
    </xf>
    <xf numFmtId="0" fontId="120" fillId="60" borderId="0" xfId="0" applyFont="1" applyFill="1" applyBorder="1" applyProtection="1"/>
    <xf numFmtId="0" fontId="61" fillId="48" borderId="0" xfId="0" applyFont="1" applyFill="1" applyAlignment="1" applyProtection="1">
      <alignment horizontal="center" vertical="center"/>
    </xf>
    <xf numFmtId="0" fontId="55" fillId="48" borderId="39" xfId="0" applyFont="1" applyFill="1" applyBorder="1" applyAlignment="1" applyProtection="1">
      <alignment horizontal="distributed"/>
    </xf>
    <xf numFmtId="0" fontId="32" fillId="48" borderId="39" xfId="0" applyFont="1" applyFill="1" applyBorder="1" applyAlignment="1" applyProtection="1">
      <alignment horizontal="distributed"/>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left"/>
    </xf>
    <xf numFmtId="0" fontId="55" fillId="60" borderId="33" xfId="0" applyFont="1" applyFill="1" applyBorder="1" applyAlignment="1" applyProtection="1">
      <alignment horizontal="left"/>
    </xf>
    <xf numFmtId="0" fontId="55" fillId="60" borderId="29" xfId="0" applyFont="1" applyFill="1" applyBorder="1" applyAlignment="1" applyProtection="1">
      <alignment horizontal="left"/>
    </xf>
    <xf numFmtId="0" fontId="55" fillId="60" borderId="30" xfId="0" applyFont="1" applyFill="1" applyBorder="1" applyAlignment="1" applyProtection="1">
      <alignment horizontal="left"/>
    </xf>
    <xf numFmtId="0" fontId="34" fillId="60" borderId="29" xfId="0" applyFont="1" applyFill="1" applyBorder="1" applyAlignment="1" applyProtection="1">
      <alignment horizontal="left"/>
    </xf>
    <xf numFmtId="0" fontId="34" fillId="60" borderId="30" xfId="0" applyFont="1" applyFill="1" applyBorder="1" applyAlignment="1" applyProtection="1">
      <alignment horizontal="left"/>
    </xf>
    <xf numFmtId="0" fontId="55" fillId="60" borderId="234" xfId="0" applyFont="1" applyFill="1" applyBorder="1" applyAlignment="1" applyProtection="1">
      <alignment horizontal="left"/>
    </xf>
    <xf numFmtId="0" fontId="55" fillId="60" borderId="232" xfId="0" applyFont="1" applyFill="1" applyBorder="1" applyAlignment="1" applyProtection="1">
      <alignment horizontal="left"/>
    </xf>
    <xf numFmtId="0" fontId="28" fillId="34" borderId="0" xfId="0" applyFont="1" applyFill="1" applyBorder="1" applyAlignment="1" applyProtection="1">
      <alignment horizontal="left"/>
    </xf>
    <xf numFmtId="0" fontId="28" fillId="34" borderId="35" xfId="0" applyFont="1" applyFill="1" applyBorder="1" applyAlignment="1" applyProtection="1">
      <alignment horizontal="left"/>
    </xf>
    <xf numFmtId="0" fontId="32" fillId="36" borderId="32" xfId="0" applyFont="1" applyFill="1" applyBorder="1" applyAlignment="1" applyProtection="1">
      <alignment horizontal="left"/>
    </xf>
    <xf numFmtId="0" fontId="32" fillId="36" borderId="33" xfId="0" applyFont="1" applyFill="1" applyBorder="1" applyAlignment="1" applyProtection="1">
      <alignment horizontal="left"/>
    </xf>
    <xf numFmtId="0" fontId="32" fillId="36" borderId="29" xfId="0" applyFont="1" applyFill="1" applyBorder="1" applyAlignment="1" applyProtection="1">
      <alignment horizontal="left"/>
    </xf>
    <xf numFmtId="0" fontId="32" fillId="36" borderId="30" xfId="0" applyFont="1" applyFill="1" applyBorder="1" applyAlignment="1" applyProtection="1">
      <alignment horizontal="left"/>
    </xf>
    <xf numFmtId="0" fontId="32" fillId="36" borderId="31" xfId="0" applyFont="1" applyFill="1" applyBorder="1" applyAlignment="1" applyProtection="1">
      <alignment horizontal="left"/>
    </xf>
    <xf numFmtId="0" fontId="32" fillId="36" borderId="0" xfId="0" applyFont="1" applyFill="1" applyBorder="1" applyAlignment="1" applyProtection="1">
      <alignment horizontal="left"/>
    </xf>
    <xf numFmtId="164" fontId="32" fillId="36" borderId="32" xfId="0" applyNumberFormat="1" applyFont="1" applyFill="1" applyBorder="1" applyAlignment="1" applyProtection="1">
      <alignment horizontal="center"/>
    </xf>
    <xf numFmtId="164" fontId="32" fillId="36" borderId="33" xfId="0" applyNumberFormat="1" applyFont="1" applyFill="1" applyBorder="1" applyAlignment="1" applyProtection="1">
      <alignment horizontal="center"/>
    </xf>
    <xf numFmtId="164" fontId="32" fillId="36" borderId="36" xfId="0" applyNumberFormat="1" applyFont="1" applyFill="1" applyBorder="1" applyAlignment="1" applyProtection="1">
      <alignment horizontal="center"/>
    </xf>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56" borderId="58" xfId="0" applyFont="1" applyFill="1" applyBorder="1" applyAlignment="1" applyProtection="1">
      <alignment horizontal="center"/>
    </xf>
    <xf numFmtId="0" fontId="55" fillId="56" borderId="59" xfId="0" applyFont="1" applyFill="1" applyBorder="1" applyAlignment="1" applyProtection="1">
      <alignment horizontal="center"/>
    </xf>
    <xf numFmtId="0" fontId="55" fillId="56" borderId="60" xfId="0" applyFont="1" applyFill="1" applyBorder="1" applyAlignment="1" applyProtection="1">
      <alignment horizontal="center"/>
    </xf>
    <xf numFmtId="0" fontId="129" fillId="36" borderId="237" xfId="0" applyFont="1" applyFill="1" applyBorder="1" applyAlignment="1" applyProtection="1">
      <alignment horizontal="left" vertical="top" wrapText="1"/>
    </xf>
    <xf numFmtId="0" fontId="129" fillId="36" borderId="238" xfId="0" applyFont="1" applyFill="1" applyBorder="1" applyAlignment="1" applyProtection="1">
      <alignment horizontal="left" vertical="top" wrapText="1"/>
    </xf>
    <xf numFmtId="0" fontId="129" fillId="36" borderId="239" xfId="0" applyFont="1" applyFill="1" applyBorder="1" applyAlignment="1" applyProtection="1">
      <alignment horizontal="left" vertical="top" wrapText="1"/>
    </xf>
    <xf numFmtId="0" fontId="129" fillId="36" borderId="240" xfId="0" applyFont="1" applyFill="1" applyBorder="1" applyAlignment="1" applyProtection="1">
      <alignment horizontal="left" vertical="top" wrapText="1"/>
    </xf>
    <xf numFmtId="0" fontId="129" fillId="36" borderId="0" xfId="0" applyFont="1" applyFill="1" applyBorder="1" applyAlignment="1" applyProtection="1">
      <alignment horizontal="left" vertical="top" wrapText="1"/>
    </xf>
    <xf numFmtId="0" fontId="129" fillId="36" borderId="241" xfId="0" applyFont="1" applyFill="1" applyBorder="1" applyAlignment="1" applyProtection="1">
      <alignment horizontal="left" vertical="top" wrapText="1"/>
    </xf>
    <xf numFmtId="0" fontId="77" fillId="36" borderId="248" xfId="0" applyFont="1" applyFill="1" applyBorder="1" applyAlignment="1" applyProtection="1">
      <alignment horizontal="left" wrapText="1"/>
    </xf>
    <xf numFmtId="0" fontId="77" fillId="36" borderId="249" xfId="0" applyFont="1" applyFill="1" applyBorder="1" applyAlignment="1" applyProtection="1">
      <alignment horizontal="left" wrapText="1"/>
    </xf>
    <xf numFmtId="0" fontId="77" fillId="36" borderId="250" xfId="0" applyFont="1" applyFill="1" applyBorder="1" applyAlignment="1" applyProtection="1">
      <alignment horizontal="left" wrapText="1"/>
    </xf>
    <xf numFmtId="0" fontId="124" fillId="36" borderId="255" xfId="0" applyFont="1" applyFill="1" applyBorder="1" applyAlignment="1" applyProtection="1">
      <alignment horizontal="center"/>
    </xf>
    <xf numFmtId="0" fontId="124" fillId="36" borderId="39" xfId="0" applyFont="1" applyFill="1" applyBorder="1" applyAlignment="1" applyProtection="1">
      <alignment horizontal="center"/>
    </xf>
    <xf numFmtId="0" fontId="124" fillId="36" borderId="37" xfId="0" applyFont="1" applyFill="1" applyBorder="1" applyAlignment="1" applyProtection="1">
      <alignment horizontal="center"/>
    </xf>
    <xf numFmtId="0" fontId="34" fillId="60" borderId="38" xfId="0" applyFont="1" applyFill="1" applyBorder="1" applyAlignment="1" applyProtection="1">
      <alignment horizontal="center"/>
    </xf>
    <xf numFmtId="0" fontId="34" fillId="60" borderId="37" xfId="0" applyFont="1" applyFill="1" applyBorder="1" applyAlignment="1" applyProtection="1">
      <alignment horizontal="center"/>
    </xf>
    <xf numFmtId="0" fontId="0" fillId="0" borderId="0" xfId="0" applyBorder="1" applyProtection="1"/>
    <xf numFmtId="0" fontId="32" fillId="36" borderId="35" xfId="0" applyFont="1" applyFill="1" applyBorder="1" applyAlignment="1" applyProtection="1">
      <alignment horizontal="left"/>
    </xf>
    <xf numFmtId="0" fontId="0" fillId="0" borderId="0" xfId="0" applyProtection="1"/>
    <xf numFmtId="0" fontId="55" fillId="60" borderId="29" xfId="0" applyFont="1" applyFill="1" applyBorder="1" applyAlignment="1" applyProtection="1">
      <alignment horizontal="center"/>
    </xf>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xf>
    <xf numFmtId="0" fontId="55" fillId="60" borderId="40" xfId="0" applyFont="1" applyFill="1" applyBorder="1" applyAlignment="1" applyProtection="1">
      <alignment horizontal="center"/>
    </xf>
    <xf numFmtId="0" fontId="55" fillId="60" borderId="41" xfId="0" applyFont="1" applyFill="1" applyBorder="1" applyAlignment="1" applyProtection="1">
      <alignment horizontal="center"/>
    </xf>
    <xf numFmtId="0" fontId="55" fillId="60" borderId="42" xfId="0" applyFont="1" applyFill="1" applyBorder="1" applyAlignment="1" applyProtection="1">
      <alignment horizontal="center"/>
    </xf>
    <xf numFmtId="0" fontId="55" fillId="60" borderId="0" xfId="0" applyFont="1" applyFill="1" applyBorder="1" applyAlignment="1" applyProtection="1">
      <alignment horizontal="center" vertical="center"/>
    </xf>
    <xf numFmtId="0" fontId="55" fillId="60" borderId="33" xfId="0" applyFont="1" applyFill="1" applyBorder="1" applyAlignment="1" applyProtection="1">
      <alignment horizontal="center" vertical="center"/>
    </xf>
    <xf numFmtId="164" fontId="55" fillId="60" borderId="32" xfId="0" applyNumberFormat="1" applyFont="1" applyFill="1" applyBorder="1" applyAlignment="1" applyProtection="1">
      <alignment horizontal="center"/>
    </xf>
    <xf numFmtId="164" fontId="55" fillId="60" borderId="33" xfId="0" applyNumberFormat="1" applyFont="1" applyFill="1" applyBorder="1" applyAlignment="1" applyProtection="1">
      <alignment horizontal="center"/>
    </xf>
    <xf numFmtId="164" fontId="55" fillId="60" borderId="36" xfId="0" applyNumberFormat="1" applyFont="1" applyFill="1" applyBorder="1" applyAlignment="1" applyProtection="1">
      <alignment horizontal="center"/>
    </xf>
    <xf numFmtId="0" fontId="61" fillId="48" borderId="0" xfId="0" applyFont="1" applyFill="1" applyBorder="1" applyAlignment="1" applyProtection="1">
      <alignment horizontal="center" vertical="center"/>
    </xf>
    <xf numFmtId="0" fontId="61" fillId="48" borderId="33" xfId="0" applyFont="1" applyFill="1" applyBorder="1" applyAlignment="1" applyProtection="1">
      <alignment horizontal="center" vertical="center"/>
    </xf>
    <xf numFmtId="0" fontId="54" fillId="48" borderId="0" xfId="0" applyFont="1" applyFill="1" applyBorder="1" applyAlignment="1" applyProtection="1">
      <alignment horizontal="center" vertical="center"/>
    </xf>
    <xf numFmtId="0" fontId="54" fillId="48" borderId="33" xfId="0" applyFont="1" applyFill="1" applyBorder="1" applyAlignment="1" applyProtection="1">
      <alignment horizontal="center" vertical="center"/>
    </xf>
    <xf numFmtId="0" fontId="62" fillId="36" borderId="38" xfId="0" applyFont="1" applyFill="1" applyBorder="1" applyAlignment="1" applyProtection="1">
      <alignment horizontal="left"/>
    </xf>
    <xf numFmtId="0" fontId="62" fillId="36" borderId="39" xfId="0" applyFont="1" applyFill="1" applyBorder="1" applyAlignment="1" applyProtection="1">
      <alignment horizontal="left"/>
    </xf>
    <xf numFmtId="0" fontId="62" fillId="36" borderId="29" xfId="0" applyFont="1" applyFill="1" applyBorder="1" applyAlignment="1" applyProtection="1">
      <alignment horizontal="left" vertical="top" wrapText="1"/>
    </xf>
    <xf numFmtId="0" fontId="62" fillId="36" borderId="30" xfId="0" applyFont="1" applyFill="1" applyBorder="1" applyAlignment="1" applyProtection="1">
      <alignment horizontal="left" vertical="top" wrapText="1"/>
    </xf>
    <xf numFmtId="0" fontId="62" fillId="36" borderId="31" xfId="0" applyFont="1" applyFill="1" applyBorder="1" applyAlignment="1" applyProtection="1">
      <alignment horizontal="left" vertical="top" wrapText="1"/>
    </xf>
    <xf numFmtId="0" fontId="62" fillId="36" borderId="0" xfId="0" applyFont="1" applyFill="1" applyBorder="1" applyAlignment="1" applyProtection="1">
      <alignment horizontal="left" vertical="top" wrapText="1"/>
    </xf>
    <xf numFmtId="0" fontId="32" fillId="36" borderId="29" xfId="0" applyFont="1" applyFill="1" applyBorder="1" applyAlignment="1" applyProtection="1">
      <alignment horizontal="center"/>
    </xf>
    <xf numFmtId="0" fontId="32" fillId="36" borderId="30" xfId="0" applyFont="1" applyFill="1" applyBorder="1" applyAlignment="1" applyProtection="1">
      <alignment horizontal="center"/>
    </xf>
    <xf numFmtId="0" fontId="32" fillId="36" borderId="34" xfId="0" applyFont="1" applyFill="1" applyBorder="1" applyAlignment="1" applyProtection="1">
      <alignment horizontal="center"/>
    </xf>
    <xf numFmtId="0" fontId="32" fillId="36" borderId="40" xfId="0" applyFont="1" applyFill="1" applyBorder="1" applyAlignment="1" applyProtection="1">
      <alignment horizontal="center"/>
    </xf>
    <xf numFmtId="0" fontId="32" fillId="36" borderId="41" xfId="0" applyFont="1" applyFill="1" applyBorder="1" applyAlignment="1" applyProtection="1">
      <alignment horizontal="center"/>
    </xf>
    <xf numFmtId="0" fontId="32" fillId="36" borderId="42" xfId="0" applyFont="1" applyFill="1" applyBorder="1" applyAlignment="1" applyProtection="1">
      <alignment horizontal="center"/>
    </xf>
    <xf numFmtId="0" fontId="62" fillId="36" borderId="0" xfId="0" applyFont="1" applyFill="1" applyBorder="1" applyAlignment="1" applyProtection="1">
      <alignment horizontal="center" vertical="center"/>
    </xf>
    <xf numFmtId="0" fontId="62" fillId="36" borderId="33" xfId="0" applyFont="1" applyFill="1" applyBorder="1" applyAlignment="1" applyProtection="1">
      <alignment horizontal="center" vertical="center"/>
    </xf>
    <xf numFmtId="0" fontId="32" fillId="36" borderId="38" xfId="0" applyFont="1" applyFill="1" applyBorder="1" applyAlignment="1">
      <alignment horizontal="left"/>
    </xf>
    <xf numFmtId="0" fontId="32" fillId="36" borderId="39" xfId="0" applyFont="1" applyFill="1" applyBorder="1" applyAlignment="1">
      <alignment horizontal="left"/>
    </xf>
    <xf numFmtId="164" fontId="34" fillId="42" borderId="0" xfId="0" applyNumberFormat="1" applyFont="1" applyFill="1" applyAlignment="1">
      <alignment horizontal="left" vertical="top" wrapText="1"/>
    </xf>
    <xf numFmtId="0" fontId="77" fillId="36" borderId="31" xfId="0" applyFont="1" applyFill="1" applyBorder="1" applyAlignment="1">
      <alignment horizontal="center"/>
    </xf>
    <xf numFmtId="0" fontId="77" fillId="36" borderId="0" xfId="0" applyFont="1" applyFill="1" applyBorder="1" applyAlignment="1">
      <alignment horizontal="center"/>
    </xf>
    <xf numFmtId="0" fontId="77" fillId="36" borderId="35" xfId="0" applyFont="1" applyFill="1" applyBorder="1" applyAlignment="1">
      <alignment horizontal="center"/>
    </xf>
    <xf numFmtId="0" fontId="91" fillId="36" borderId="29" xfId="0" applyFont="1" applyFill="1" applyBorder="1" applyAlignment="1">
      <alignment horizontal="left" vertical="top" wrapText="1"/>
    </xf>
    <xf numFmtId="0" fontId="92" fillId="36" borderId="30" xfId="0" applyFont="1" applyFill="1" applyBorder="1" applyAlignment="1">
      <alignment horizontal="left" vertical="top" wrapText="1"/>
    </xf>
    <xf numFmtId="0" fontId="92" fillId="36" borderId="34" xfId="0" applyFont="1" applyFill="1" applyBorder="1" applyAlignment="1">
      <alignment horizontal="left" vertical="top" wrapText="1"/>
    </xf>
    <xf numFmtId="0" fontId="92" fillId="36" borderId="31" xfId="0" applyFont="1" applyFill="1" applyBorder="1" applyAlignment="1">
      <alignment horizontal="left" vertical="top" wrapText="1"/>
    </xf>
    <xf numFmtId="0" fontId="92" fillId="36" borderId="0" xfId="0" applyFont="1" applyFill="1" applyBorder="1" applyAlignment="1">
      <alignment horizontal="left" vertical="top" wrapText="1"/>
    </xf>
    <xf numFmtId="0" fontId="92" fillId="36" borderId="35" xfId="0" applyFont="1" applyFill="1" applyBorder="1" applyAlignment="1">
      <alignment horizontal="left" vertical="top" wrapText="1"/>
    </xf>
    <xf numFmtId="0" fontId="92" fillId="36" borderId="56" xfId="0" applyFont="1" applyFill="1" applyBorder="1" applyAlignment="1">
      <alignment horizontal="left" vertical="top" wrapText="1"/>
    </xf>
    <xf numFmtId="0" fontId="92" fillId="36" borderId="55" xfId="0" applyFont="1" applyFill="1" applyBorder="1" applyAlignment="1">
      <alignment horizontal="left" vertical="top" wrapText="1"/>
    </xf>
    <xf numFmtId="0" fontId="92" fillId="36" borderId="54" xfId="0" applyFont="1" applyFill="1" applyBorder="1" applyAlignment="1">
      <alignment horizontal="left" vertical="top" wrapText="1"/>
    </xf>
    <xf numFmtId="0" fontId="122" fillId="60" borderId="237" xfId="0" applyFont="1" applyFill="1" applyBorder="1" applyAlignment="1">
      <alignment horizontal="left" vertical="top" wrapText="1"/>
    </xf>
    <xf numFmtId="0" fontId="122" fillId="60" borderId="238" xfId="0" applyFont="1" applyFill="1" applyBorder="1" applyAlignment="1">
      <alignment horizontal="left" vertical="top" wrapText="1"/>
    </xf>
    <xf numFmtId="0" fontId="122" fillId="60" borderId="239" xfId="0" applyFont="1" applyFill="1" applyBorder="1" applyAlignment="1">
      <alignment horizontal="left" vertical="top" wrapText="1"/>
    </xf>
    <xf numFmtId="0" fontId="122" fillId="60" borderId="240" xfId="0" applyFont="1" applyFill="1" applyBorder="1" applyAlignment="1">
      <alignment horizontal="left" vertical="top" wrapText="1"/>
    </xf>
    <xf numFmtId="0" fontId="122" fillId="60" borderId="0" xfId="0" applyFont="1" applyFill="1" applyBorder="1" applyAlignment="1">
      <alignment horizontal="left" vertical="top" wrapText="1"/>
    </xf>
    <xf numFmtId="0" fontId="122" fillId="60" borderId="241" xfId="0" applyFont="1" applyFill="1" applyBorder="1" applyAlignment="1">
      <alignment horizontal="left" vertical="top" wrapText="1"/>
    </xf>
    <xf numFmtId="0" fontId="55" fillId="60" borderId="237" xfId="0" applyFont="1" applyFill="1" applyBorder="1" applyAlignment="1">
      <alignment horizontal="left"/>
    </xf>
    <xf numFmtId="0" fontId="55" fillId="60" borderId="238" xfId="0" applyFont="1" applyFill="1" applyBorder="1" applyAlignment="1">
      <alignment horizontal="left"/>
    </xf>
    <xf numFmtId="0" fontId="127" fillId="60" borderId="240" xfId="0" applyFont="1" applyFill="1" applyBorder="1" applyAlignment="1">
      <alignment horizontal="center"/>
    </xf>
    <xf numFmtId="0" fontId="127" fillId="60" borderId="0" xfId="0" applyFont="1" applyFill="1" applyBorder="1" applyAlignment="1">
      <alignment horizontal="center"/>
    </xf>
    <xf numFmtId="0" fontId="127" fillId="60" borderId="241" xfId="0" applyFont="1" applyFill="1" applyBorder="1" applyAlignment="1">
      <alignment horizontal="center"/>
    </xf>
    <xf numFmtId="0" fontId="133" fillId="60" borderId="237" xfId="0" applyFont="1" applyFill="1" applyBorder="1" applyAlignment="1">
      <alignment horizontal="center" vertical="center"/>
    </xf>
    <xf numFmtId="0" fontId="133" fillId="60" borderId="238" xfId="0" applyFont="1" applyFill="1" applyBorder="1" applyAlignment="1">
      <alignment horizontal="center" vertical="center"/>
    </xf>
    <xf numFmtId="0" fontId="133" fillId="60" borderId="239" xfId="0" applyFont="1" applyFill="1" applyBorder="1" applyAlignment="1">
      <alignment horizontal="center" vertical="center"/>
    </xf>
    <xf numFmtId="0" fontId="133" fillId="60" borderId="242" xfId="0" applyFont="1" applyFill="1" applyBorder="1" applyAlignment="1">
      <alignment horizontal="center" vertical="center"/>
    </xf>
    <xf numFmtId="0" fontId="133" fillId="60" borderId="243" xfId="0" applyFont="1" applyFill="1" applyBorder="1" applyAlignment="1">
      <alignment horizontal="center" vertical="center"/>
    </xf>
    <xf numFmtId="0" fontId="133" fillId="60" borderId="244" xfId="0" applyFont="1" applyFill="1" applyBorder="1" applyAlignment="1">
      <alignment horizontal="center" vertical="center"/>
    </xf>
    <xf numFmtId="0" fontId="134" fillId="60" borderId="237" xfId="0" applyFont="1" applyFill="1" applyBorder="1" applyAlignment="1">
      <alignment horizontal="center" vertical="center"/>
    </xf>
    <xf numFmtId="0" fontId="134" fillId="60" borderId="238" xfId="0" applyFont="1" applyFill="1" applyBorder="1" applyAlignment="1">
      <alignment horizontal="center" vertical="center"/>
    </xf>
    <xf numFmtId="0" fontId="134" fillId="60" borderId="239" xfId="0" applyFont="1" applyFill="1" applyBorder="1" applyAlignment="1">
      <alignment horizontal="center" vertical="center"/>
    </xf>
    <xf numFmtId="0" fontId="134" fillId="60" borderId="242" xfId="0" applyFont="1" applyFill="1" applyBorder="1" applyAlignment="1">
      <alignment horizontal="center" vertical="center"/>
    </xf>
    <xf numFmtId="0" fontId="134" fillId="60" borderId="243" xfId="0" applyFont="1" applyFill="1" applyBorder="1" applyAlignment="1">
      <alignment horizontal="center" vertical="center"/>
    </xf>
    <xf numFmtId="0" fontId="134" fillId="60" borderId="244" xfId="0" applyFont="1" applyFill="1" applyBorder="1" applyAlignment="1">
      <alignment horizontal="center" vertical="center"/>
    </xf>
    <xf numFmtId="164" fontId="57" fillId="36" borderId="0" xfId="0" applyNumberFormat="1" applyFont="1" applyFill="1" applyAlignment="1">
      <alignment horizontal="left" vertical="top" wrapText="1"/>
    </xf>
    <xf numFmtId="164" fontId="30" fillId="33" borderId="0" xfId="0" applyNumberFormat="1" applyFont="1" applyFill="1" applyAlignment="1">
      <alignment horizontal="left"/>
    </xf>
    <xf numFmtId="0" fontId="47" fillId="36" borderId="0" xfId="0" applyFont="1" applyFill="1" applyAlignment="1">
      <alignment horizontal="center"/>
    </xf>
    <xf numFmtId="164" fontId="47" fillId="36" borderId="0" xfId="0" applyNumberFormat="1" applyFont="1" applyFill="1" applyAlignment="1">
      <alignment horizontal="center"/>
    </xf>
    <xf numFmtId="164" fontId="57" fillId="36" borderId="0" xfId="0" applyNumberFormat="1" applyFont="1" applyFill="1" applyAlignment="1">
      <alignment horizontal="center"/>
    </xf>
    <xf numFmtId="0" fontId="50" fillId="0" borderId="0" xfId="0" applyFont="1" applyAlignment="1">
      <alignment wrapText="1"/>
    </xf>
    <xf numFmtId="0" fontId="50" fillId="0" borderId="0" xfId="0" applyFont="1" applyAlignment="1">
      <alignment horizontal="center" wrapText="1"/>
    </xf>
    <xf numFmtId="0" fontId="50" fillId="0" borderId="0" xfId="0" applyFont="1" applyAlignment="1">
      <alignment horizontal="center"/>
    </xf>
    <xf numFmtId="9" fontId="0" fillId="0" borderId="0" xfId="0" applyNumberFormat="1" applyAlignment="1">
      <alignment horizontal="center" wrapText="1"/>
    </xf>
    <xf numFmtId="0" fontId="0" fillId="0" borderId="0" xfId="0" applyAlignment="1">
      <alignment horizontal="center" wrapText="1"/>
    </xf>
    <xf numFmtId="0" fontId="50" fillId="70" borderId="12" xfId="0" applyFont="1" applyFill="1" applyBorder="1" applyAlignment="1">
      <alignment horizontal="center"/>
    </xf>
    <xf numFmtId="0" fontId="50" fillId="70" borderId="14" xfId="0" applyFont="1" applyFill="1" applyBorder="1" applyAlignment="1">
      <alignment horizontal="center"/>
    </xf>
    <xf numFmtId="0" fontId="50" fillId="70" borderId="256" xfId="0" applyFont="1" applyFill="1" applyBorder="1" applyAlignment="1">
      <alignment horizontal="center"/>
    </xf>
    <xf numFmtId="0" fontId="135" fillId="71" borderId="12" xfId="0" applyFont="1" applyFill="1" applyBorder="1" applyAlignment="1">
      <alignment horizontal="center"/>
    </xf>
    <xf numFmtId="0" fontId="135" fillId="71" borderId="14" xfId="0" applyFont="1" applyFill="1" applyBorder="1" applyAlignment="1">
      <alignment horizontal="center"/>
    </xf>
    <xf numFmtId="0" fontId="135" fillId="71" borderId="256" xfId="0" applyFont="1" applyFill="1" applyBorder="1" applyAlignment="1">
      <alignment horizontal="center"/>
    </xf>
    <xf numFmtId="0" fontId="135" fillId="72" borderId="12" xfId="0" applyFont="1" applyFill="1" applyBorder="1" applyAlignment="1">
      <alignment horizontal="center"/>
    </xf>
    <xf numFmtId="0" fontId="135" fillId="72" borderId="14" xfId="0" applyFont="1" applyFill="1" applyBorder="1" applyAlignment="1">
      <alignment horizontal="center"/>
    </xf>
    <xf numFmtId="0" fontId="135" fillId="72" borderId="256" xfId="0" applyFont="1" applyFill="1" applyBorder="1" applyAlignment="1">
      <alignment horizontal="center"/>
    </xf>
    <xf numFmtId="0" fontId="0" fillId="0" borderId="0" xfId="0" applyAlignment="1">
      <alignment horizontal="center"/>
    </xf>
    <xf numFmtId="0" fontId="50" fillId="68" borderId="12" xfId="0" applyFont="1" applyFill="1" applyBorder="1" applyAlignment="1">
      <alignment horizontal="center"/>
    </xf>
    <xf numFmtId="0" fontId="50" fillId="68" borderId="14" xfId="0" applyFont="1" applyFill="1" applyBorder="1" applyAlignment="1">
      <alignment horizontal="center"/>
    </xf>
    <xf numFmtId="0" fontId="50" fillId="68" borderId="13" xfId="0" applyFont="1" applyFill="1" applyBorder="1" applyAlignment="1">
      <alignment horizontal="center"/>
    </xf>
    <xf numFmtId="0" fontId="50" fillId="69" borderId="12" xfId="0" applyFont="1" applyFill="1" applyBorder="1" applyAlignment="1">
      <alignment horizontal="center"/>
    </xf>
    <xf numFmtId="0" fontId="50" fillId="69" borderId="14" xfId="0" applyFont="1" applyFill="1" applyBorder="1" applyAlignment="1">
      <alignment horizontal="center"/>
    </xf>
    <xf numFmtId="0" fontId="138" fillId="0" borderId="14" xfId="0" applyFont="1" applyBorder="1" applyAlignment="1">
      <alignment horizontal="center" wrapText="1"/>
    </xf>
    <xf numFmtId="0" fontId="0" fillId="0" borderId="14" xfId="0" applyBorder="1" applyAlignment="1">
      <alignment horizontal="center" wrapText="1"/>
    </xf>
    <xf numFmtId="0" fontId="61" fillId="50" borderId="33" xfId="0" applyFont="1" applyFill="1" applyBorder="1" applyAlignment="1">
      <alignment horizontal="center" vertical="center"/>
    </xf>
    <xf numFmtId="0" fontId="55" fillId="60" borderId="32" xfId="0" applyFont="1" applyFill="1" applyBorder="1" applyAlignment="1">
      <alignment horizontal="left"/>
    </xf>
    <xf numFmtId="0" fontId="55" fillId="60" borderId="36" xfId="0" applyFont="1" applyFill="1" applyBorder="1" applyAlignment="1">
      <alignment horizontal="left"/>
    </xf>
    <xf numFmtId="164" fontId="55" fillId="50" borderId="30" xfId="0" applyNumberFormat="1" applyFont="1" applyFill="1" applyBorder="1" applyAlignment="1">
      <alignment horizontal="center"/>
    </xf>
    <xf numFmtId="0" fontId="55" fillId="60" borderId="31" xfId="0" applyFont="1" applyFill="1" applyBorder="1" applyAlignment="1">
      <alignment horizontal="left"/>
    </xf>
    <xf numFmtId="0" fontId="55" fillId="60" borderId="35" xfId="0" applyFont="1" applyFill="1" applyBorder="1" applyAlignment="1">
      <alignment horizontal="left"/>
    </xf>
    <xf numFmtId="0" fontId="55" fillId="60" borderId="0" xfId="0" applyFont="1" applyFill="1" applyBorder="1" applyAlignment="1">
      <alignment horizontal="left"/>
    </xf>
    <xf numFmtId="0" fontId="55" fillId="60" borderId="34" xfId="0" applyFont="1" applyFill="1" applyBorder="1" applyAlignment="1">
      <alignment horizontal="left"/>
    </xf>
    <xf numFmtId="0" fontId="55" fillId="60" borderId="33" xfId="0" applyFont="1" applyFill="1" applyBorder="1" applyAlignment="1">
      <alignment horizontal="left"/>
    </xf>
    <xf numFmtId="0" fontId="120" fillId="60" borderId="0" xfId="0" applyFont="1" applyFill="1" applyBorder="1"/>
    <xf numFmtId="0" fontId="32" fillId="36" borderId="0" xfId="0" applyFont="1" applyFill="1" applyBorder="1" applyAlignment="1">
      <alignment horizontal="left"/>
    </xf>
    <xf numFmtId="0" fontId="32" fillId="36" borderId="35" xfId="0" applyFont="1" applyFill="1" applyBorder="1" applyAlignment="1">
      <alignment horizontal="left"/>
    </xf>
    <xf numFmtId="0" fontId="32" fillId="36" borderId="31" xfId="0" applyFont="1" applyFill="1" applyBorder="1" applyAlignment="1">
      <alignment horizontal="left"/>
    </xf>
    <xf numFmtId="0" fontId="0" fillId="0" borderId="0" xfId="0"/>
    <xf numFmtId="0" fontId="28" fillId="35" borderId="0" xfId="0" applyFont="1" applyFill="1" applyBorder="1" applyAlignment="1">
      <alignment horizontal="left"/>
    </xf>
    <xf numFmtId="0" fontId="28" fillId="35" borderId="35" xfId="0" applyFont="1" applyFill="1" applyBorder="1" applyAlignment="1">
      <alignment horizontal="left"/>
    </xf>
    <xf numFmtId="0" fontId="32" fillId="36" borderId="32" xfId="0" applyFont="1" applyFill="1" applyBorder="1" applyAlignment="1">
      <alignment horizontal="left"/>
    </xf>
    <xf numFmtId="0" fontId="32" fillId="36" borderId="33"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28" fillId="36" borderId="0" xfId="0" applyFont="1" applyFill="1" applyBorder="1" applyAlignment="1">
      <alignment horizontal="left"/>
    </xf>
    <xf numFmtId="0" fontId="28" fillId="36" borderId="35" xfId="0" applyFont="1" applyFill="1" applyBorder="1" applyAlignment="1">
      <alignment horizontal="left"/>
    </xf>
    <xf numFmtId="0" fontId="55" fillId="56" borderId="58" xfId="0" applyFont="1" applyFill="1" applyBorder="1" applyAlignment="1">
      <alignment horizontal="center"/>
    </xf>
    <xf numFmtId="0" fontId="55" fillId="56" borderId="59" xfId="0" applyFont="1" applyFill="1" applyBorder="1" applyAlignment="1">
      <alignment horizontal="center"/>
    </xf>
    <xf numFmtId="164" fontId="55" fillId="50" borderId="33" xfId="0" applyNumberFormat="1" applyFont="1" applyFill="1" applyBorder="1" applyAlignment="1">
      <alignment horizontal="center"/>
    </xf>
    <xf numFmtId="0" fontId="123" fillId="50" borderId="0" xfId="0" applyFont="1" applyFill="1" applyAlignment="1">
      <alignment horizontal="center" vertical="center"/>
    </xf>
    <xf numFmtId="0" fontId="87" fillId="38" borderId="0" xfId="0" applyFont="1" applyFill="1" applyAlignment="1">
      <alignment horizontal="left"/>
    </xf>
    <xf numFmtId="0" fontId="87" fillId="38" borderId="35" xfId="0" applyFont="1" applyFill="1" applyBorder="1" applyAlignment="1">
      <alignment horizontal="left"/>
    </xf>
    <xf numFmtId="0" fontId="87" fillId="38" borderId="0" xfId="0" applyFont="1" applyFill="1" applyAlignment="1">
      <alignment horizontal="left" wrapText="1"/>
    </xf>
    <xf numFmtId="0" fontId="87" fillId="38" borderId="35" xfId="0" applyFont="1" applyFill="1" applyBorder="1" applyAlignment="1">
      <alignment horizontal="left" wrapText="1"/>
    </xf>
    <xf numFmtId="0" fontId="87" fillId="50" borderId="0" xfId="0" applyFont="1" applyFill="1" applyAlignment="1">
      <alignment horizontal="left" wrapText="1"/>
    </xf>
    <xf numFmtId="0" fontId="87" fillId="50" borderId="35" xfId="0" applyFont="1" applyFill="1" applyBorder="1" applyAlignment="1">
      <alignment horizontal="left" wrapText="1"/>
    </xf>
    <xf numFmtId="0" fontId="129" fillId="36" borderId="237" xfId="0" applyFont="1" applyFill="1" applyBorder="1" applyAlignment="1">
      <alignment horizontal="left" vertical="top" wrapText="1"/>
    </xf>
    <xf numFmtId="0" fontId="129" fillId="36" borderId="238" xfId="0" applyFont="1" applyFill="1" applyBorder="1" applyAlignment="1">
      <alignment horizontal="left" vertical="top" wrapText="1"/>
    </xf>
    <xf numFmtId="0" fontId="129" fillId="36" borderId="239" xfId="0" applyFont="1" applyFill="1" applyBorder="1" applyAlignment="1">
      <alignment horizontal="left" vertical="top" wrapText="1"/>
    </xf>
    <xf numFmtId="0" fontId="129" fillId="36" borderId="240" xfId="0" applyFont="1" applyFill="1" applyBorder="1" applyAlignment="1">
      <alignment horizontal="left" vertical="top" wrapText="1"/>
    </xf>
    <xf numFmtId="0" fontId="129" fillId="36" borderId="0" xfId="0" applyFont="1" applyFill="1" applyBorder="1" applyAlignment="1">
      <alignment horizontal="left" vertical="top" wrapText="1"/>
    </xf>
    <xf numFmtId="0" fontId="129" fillId="36" borderId="241" xfId="0" applyFont="1" applyFill="1" applyBorder="1" applyAlignment="1">
      <alignment horizontal="left" vertical="top" wrapText="1"/>
    </xf>
    <xf numFmtId="0" fontId="124" fillId="36" borderId="255" xfId="0" applyFont="1" applyFill="1" applyBorder="1" applyAlignment="1">
      <alignment horizontal="center"/>
    </xf>
    <xf numFmtId="0" fontId="124" fillId="36" borderId="39" xfId="0" applyFont="1" applyFill="1" applyBorder="1" applyAlignment="1">
      <alignment horizontal="center"/>
    </xf>
    <xf numFmtId="0" fontId="124" fillId="36" borderId="37" xfId="0" applyFont="1" applyFill="1" applyBorder="1" applyAlignment="1">
      <alignment horizontal="center"/>
    </xf>
    <xf numFmtId="0" fontId="34" fillId="60" borderId="38" xfId="0" applyFont="1" applyFill="1" applyBorder="1" applyAlignment="1">
      <alignment horizontal="center"/>
    </xf>
    <xf numFmtId="0" fontId="34" fillId="60" borderId="37" xfId="0" applyFont="1" applyFill="1" applyBorder="1" applyAlignment="1">
      <alignment horizontal="center"/>
    </xf>
    <xf numFmtId="0" fontId="77" fillId="36" borderId="248" xfId="0" applyFont="1" applyFill="1" applyBorder="1" applyAlignment="1">
      <alignment horizontal="left" wrapText="1"/>
    </xf>
    <xf numFmtId="0" fontId="77" fillId="36" borderId="249" xfId="0" applyFont="1" applyFill="1" applyBorder="1" applyAlignment="1">
      <alignment horizontal="left" wrapText="1"/>
    </xf>
    <xf numFmtId="0" fontId="77" fillId="36" borderId="250" xfId="0" applyFont="1" applyFill="1" applyBorder="1" applyAlignment="1">
      <alignment horizontal="left" wrapText="1"/>
    </xf>
    <xf numFmtId="167" fontId="32" fillId="36" borderId="38" xfId="0" applyNumberFormat="1" applyFont="1" applyFill="1" applyBorder="1" applyAlignment="1">
      <alignment horizontal="center"/>
    </xf>
    <xf numFmtId="167" fontId="32" fillId="36" borderId="37" xfId="0" applyNumberFormat="1" applyFont="1" applyFill="1" applyBorder="1" applyAlignment="1">
      <alignment horizontal="center"/>
    </xf>
    <xf numFmtId="0" fontId="62" fillId="36" borderId="32" xfId="0" applyFont="1" applyFill="1" applyBorder="1" applyAlignment="1">
      <alignment horizontal="center"/>
    </xf>
    <xf numFmtId="0" fontId="62" fillId="36" borderId="36" xfId="0" applyFont="1" applyFill="1" applyBorder="1" applyAlignment="1">
      <alignment horizontal="center"/>
    </xf>
    <xf numFmtId="164" fontId="37" fillId="41" borderId="0" xfId="0" applyNumberFormat="1" applyFont="1" applyFill="1" applyAlignment="1">
      <alignment horizontal="left" vertical="top" wrapText="1"/>
    </xf>
    <xf numFmtId="167" fontId="55" fillId="60" borderId="38" xfId="0" applyNumberFormat="1" applyFont="1" applyFill="1" applyBorder="1" applyAlignment="1">
      <alignment horizontal="center"/>
    </xf>
    <xf numFmtId="167" fontId="55" fillId="60" borderId="37" xfId="0" applyNumberFormat="1" applyFont="1" applyFill="1" applyBorder="1" applyAlignment="1">
      <alignment horizontal="center"/>
    </xf>
    <xf numFmtId="0" fontId="131" fillId="60" borderId="32" xfId="0" applyFont="1" applyFill="1" applyBorder="1" applyAlignment="1">
      <alignment horizontal="center"/>
    </xf>
    <xf numFmtId="0" fontId="131" fillId="60" borderId="36" xfId="0" applyFont="1" applyFill="1" applyBorder="1" applyAlignment="1">
      <alignment horizontal="center"/>
    </xf>
    <xf numFmtId="0" fontId="130" fillId="60" borderId="31" xfId="0" applyFont="1" applyFill="1" applyBorder="1" applyAlignment="1">
      <alignment horizontal="center" vertical="center"/>
    </xf>
    <xf numFmtId="0" fontId="130" fillId="60" borderId="0" xfId="0" applyFont="1" applyFill="1" applyBorder="1" applyAlignment="1">
      <alignment horizontal="center" vertical="center"/>
    </xf>
    <xf numFmtId="0" fontId="130" fillId="60" borderId="35" xfId="0" applyFont="1" applyFill="1" applyBorder="1" applyAlignment="1">
      <alignment horizontal="center" vertical="center"/>
    </xf>
    <xf numFmtId="0" fontId="130" fillId="60" borderId="32" xfId="0" applyFont="1" applyFill="1" applyBorder="1" applyAlignment="1">
      <alignment horizontal="center" vertical="center"/>
    </xf>
    <xf numFmtId="0" fontId="130" fillId="60" borderId="33" xfId="0" applyFont="1" applyFill="1" applyBorder="1" applyAlignment="1">
      <alignment horizontal="center" vertical="center"/>
    </xf>
    <xf numFmtId="0" fontId="130" fillId="60" borderId="36" xfId="0" applyFont="1" applyFill="1" applyBorder="1" applyAlignment="1">
      <alignment horizontal="center" vertical="center"/>
    </xf>
    <xf numFmtId="0" fontId="132" fillId="60" borderId="29" xfId="0" applyFont="1" applyFill="1" applyBorder="1" applyAlignment="1">
      <alignment horizontal="center" vertical="center"/>
    </xf>
    <xf numFmtId="0" fontId="132" fillId="60" borderId="30" xfId="0" applyFont="1" applyFill="1" applyBorder="1" applyAlignment="1">
      <alignment horizontal="center" vertical="center"/>
    </xf>
    <xf numFmtId="0" fontId="132" fillId="60" borderId="34" xfId="0" applyFont="1" applyFill="1" applyBorder="1" applyAlignment="1">
      <alignment horizontal="center" vertical="center"/>
    </xf>
    <xf numFmtId="0" fontId="132" fillId="60" borderId="32" xfId="0" applyFont="1" applyFill="1" applyBorder="1" applyAlignment="1">
      <alignment horizontal="center" vertical="center"/>
    </xf>
    <xf numFmtId="0" fontId="132" fillId="60" borderId="33" xfId="0" applyFont="1" applyFill="1" applyBorder="1" applyAlignment="1">
      <alignment horizontal="center" vertical="center"/>
    </xf>
    <xf numFmtId="0" fontId="132" fillId="60" borderId="36" xfId="0" applyFont="1" applyFill="1" applyBorder="1" applyAlignment="1">
      <alignment horizontal="center" vertical="center"/>
    </xf>
    <xf numFmtId="164" fontId="53" fillId="36" borderId="0" xfId="0" applyNumberFormat="1" applyFont="1" applyFill="1" applyAlignment="1">
      <alignment horizontal="left" vertical="top" wrapText="1"/>
    </xf>
  </cellXfs>
  <cellStyles count="98">
    <cellStyle name="20% - Accent1 2" xfId="20"/>
    <cellStyle name="20% - Accent2 2" xfId="24"/>
    <cellStyle name="20% - Accent3 2" xfId="28"/>
    <cellStyle name="20% - Accent4 2" xfId="32"/>
    <cellStyle name="20% - Accent5 2" xfId="36"/>
    <cellStyle name="20% - Accent6 2" xfId="40"/>
    <cellStyle name="40% - Accent1 2" xfId="21"/>
    <cellStyle name="40% - Accent2 2" xfId="25"/>
    <cellStyle name="40% - Accent3 2" xfId="29"/>
    <cellStyle name="40% - Accent4 2" xfId="33"/>
    <cellStyle name="40% - Accent5 2" xfId="37"/>
    <cellStyle name="40% - Accent6 2" xfId="41"/>
    <cellStyle name="60% - Accent1 2" xfId="22"/>
    <cellStyle name="60% - Accent2 2" xfId="26"/>
    <cellStyle name="60% - Accent3 2" xfId="30"/>
    <cellStyle name="60% - Accent4 2" xfId="34"/>
    <cellStyle name="60% - Accent5 2" xfId="38"/>
    <cellStyle name="60% - Accent6 2" xfId="42"/>
    <cellStyle name="Accent1 2" xfId="19"/>
    <cellStyle name="Accent2 2" xfId="23"/>
    <cellStyle name="Accent3 2" xfId="27"/>
    <cellStyle name="Accent4 2" xfId="31"/>
    <cellStyle name="Accent5 2" xfId="35"/>
    <cellStyle name="Accent6 2" xfId="39"/>
    <cellStyle name="Bad 2" xfId="8"/>
    <cellStyle name="Calculation 2" xfId="12"/>
    <cellStyle name="Check Cell 2" xfId="14"/>
    <cellStyle name="Comma" xfId="44" builtinId="3"/>
    <cellStyle name="Currency" xfId="45" builtinId="4"/>
    <cellStyle name="Explanatory Text 2" xfId="17"/>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Good 2" xfId="7"/>
    <cellStyle name="Heading 1 2" xfId="3"/>
    <cellStyle name="Heading 2 2" xfId="4"/>
    <cellStyle name="Heading 3 2" xfId="5"/>
    <cellStyle name="Heading 4 2" xfId="6"/>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Input 2" xfId="10"/>
    <cellStyle name="Linked Cell 2" xfId="13"/>
    <cellStyle name="Neutral 2" xfId="9"/>
    <cellStyle name="Normal" xfId="0" builtinId="0"/>
    <cellStyle name="Normal 2" xfId="2"/>
    <cellStyle name="Normal 3" xfId="43"/>
    <cellStyle name="Note 2" xfId="16"/>
    <cellStyle name="Output 2" xfId="11"/>
    <cellStyle name="Title" xfId="1" builtinId="15" customBuiltin="1"/>
    <cellStyle name="Total 2" xfId="18"/>
    <cellStyle name="Warning Text 2" xfId="15"/>
  </cellStyles>
  <dxfs count="1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1" formatCode="&quot;$&quot;0.0&quot; million&quot;\);\(&quot;$&quot;0.0&quot; million&quot;\)"/>
    </dxf>
    <dxf>
      <font>
        <b/>
        <i val="0"/>
        <color theme="0"/>
      </font>
      <fill>
        <patternFill>
          <bgColor theme="1"/>
        </patternFill>
      </fill>
      <border>
        <left style="thin">
          <color theme="2" tint="-0.749961851863155"/>
        </left>
        <right style="thin">
          <color theme="2" tint="-0.749961851863155"/>
        </right>
        <top style="thin">
          <color theme="2" tint="-0.749961851863155"/>
        </top>
        <bottom style="thin">
          <color theme="2" tint="-0.749961851863155"/>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ont>
        <color rgb="FFC00000"/>
      </font>
      <fill>
        <patternFill>
          <bgColor theme="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right/>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1" formatCode="&quot;$&quot;0.0&quot; million&quot;\);\(&quot;$&quot;0.0&quot; million&quot;\)"/>
    </dxf>
  </dxfs>
  <tableStyles count="0" defaultTableStyle="TableStyleMedium9" defaultPivotStyle="PivotStyleMedium4"/>
  <colors>
    <mruColors>
      <color rgb="FF00FF00"/>
      <color rgb="FF66FF33"/>
      <color rgb="FF66FF99"/>
      <color rgb="FF66FF66"/>
      <color rgb="FF0000FF"/>
      <color rgb="FF00FF99"/>
      <color rgb="FFFFFFFF"/>
      <color rgb="FFFBF997"/>
      <color rgb="FF714E09"/>
      <color rgb="FF68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FY11 Total Statewide Revenue &amp; Disparity</a:t>
            </a:r>
          </a:p>
        </c:rich>
      </c:tx>
      <c:layout>
        <c:manualLayout>
          <c:xMode val="edge"/>
          <c:yMode val="edge"/>
          <c:x val="0.18117283950617299"/>
          <c:y val="2.8935185185185199E-2"/>
        </c:manualLayout>
      </c:layout>
      <c:overlay val="0"/>
      <c:spPr>
        <a:noFill/>
        <a:ln>
          <a:noFill/>
        </a:ln>
        <a:effectLst/>
      </c:spPr>
    </c:title>
    <c:autoTitleDeleted val="0"/>
    <c:plotArea>
      <c:layout>
        <c:manualLayout>
          <c:layoutTarget val="inner"/>
          <c:xMode val="edge"/>
          <c:yMode val="edge"/>
          <c:x val="7.3180045202682995E-2"/>
          <c:y val="0.21103683654126601"/>
          <c:w val="0.724465648391173"/>
          <c:h val="0.53627515310586205"/>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'FIG1'!$N$42:$N$43</c:f>
              <c:strCache>
                <c:ptCount val="2"/>
                <c:pt idx="0">
                  <c:v>District</c:v>
                </c:pt>
                <c:pt idx="1">
                  <c:v>Charter</c:v>
                </c:pt>
              </c:strCache>
            </c:strRef>
          </c:cat>
          <c:val>
            <c:numRef>
              <c:f>'FIG1'!$O$42:$O$43</c:f>
              <c:numCache>
                <c:formatCode>"$"#,##0_);\("$"#,##0\)</c:formatCode>
                <c:ptCount val="2"/>
                <c:pt idx="0">
                  <c:v>11741.223774848462</c:v>
                </c:pt>
                <c:pt idx="1">
                  <c:v>8471.9359651035993</c:v>
                </c:pt>
              </c:numCache>
            </c:numRef>
          </c:val>
          <c:extLst/>
        </c:ser>
        <c:ser>
          <c:idx val="1"/>
          <c:order val="1"/>
          <c:tx>
            <c:v>Disparity</c:v>
          </c:tx>
          <c:spPr>
            <a:solidFill>
              <a:schemeClr val="accent2"/>
            </a:solidFill>
            <a:ln>
              <a:noFill/>
            </a:ln>
            <a:effectLst/>
          </c:spPr>
          <c:invertIfNegative val="0"/>
          <c:dPt>
            <c:idx val="1"/>
            <c:invertIfNegative val="0"/>
            <c:bubble3D val="0"/>
            <c:spPr>
              <a:pattFill prst="openDmnd">
                <a:fgClr>
                  <a:schemeClr val="tx1"/>
                </a:fgClr>
                <a:bgClr>
                  <a:schemeClr val="bg1"/>
                </a:bgClr>
              </a:pattFill>
              <a:ln w="6350">
                <a:solidFill>
                  <a:schemeClr val="tx1">
                    <a:lumMod val="50000"/>
                    <a:lumOff val="50000"/>
                  </a:schemeClr>
                </a:solidFill>
              </a:ln>
              <a:effectLst/>
            </c:spPr>
          </c:dPt>
          <c:dLbls>
            <c:dLbl>
              <c:idx val="1"/>
              <c:layout>
                <c:manualLayout>
                  <c:x val="0.27391975308642003"/>
                  <c:y val="0"/>
                </c:manualLayout>
              </c:layout>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'FIG1'!$N$42:$N$43</c:f>
              <c:strCache>
                <c:ptCount val="2"/>
                <c:pt idx="0">
                  <c:v>District</c:v>
                </c:pt>
                <c:pt idx="1">
                  <c:v>Charter</c:v>
                </c:pt>
              </c:strCache>
            </c:strRef>
          </c:cat>
          <c:val>
            <c:numRef>
              <c:f>'FIG1'!$P$42:$P$43</c:f>
              <c:numCache>
                <c:formatCode>"$"#,##0_);\("$"#,##0\)</c:formatCode>
                <c:ptCount val="2"/>
                <c:pt idx="1">
                  <c:v>3269.2878097448629</c:v>
                </c:pt>
              </c:numCache>
            </c:numRef>
          </c:val>
        </c:ser>
        <c:dLbls>
          <c:showLegendKey val="0"/>
          <c:showVal val="0"/>
          <c:showCatName val="0"/>
          <c:showSerName val="0"/>
          <c:showPercent val="0"/>
          <c:showBubbleSize val="0"/>
        </c:dLbls>
        <c:gapWidth val="45"/>
        <c:overlap val="100"/>
        <c:axId val="504026240"/>
        <c:axId val="504027776"/>
      </c:barChart>
      <c:catAx>
        <c:axId val="504026240"/>
        <c:scaling>
          <c:orientation val="minMax"/>
        </c:scaling>
        <c:delete val="1"/>
        <c:axPos val="l"/>
        <c:numFmt formatCode="General" sourceLinked="1"/>
        <c:majorTickMark val="none"/>
        <c:minorTickMark val="none"/>
        <c:tickLblPos val="nextTo"/>
        <c:crossAx val="504027776"/>
        <c:crosses val="autoZero"/>
        <c:auto val="1"/>
        <c:lblAlgn val="ctr"/>
        <c:lblOffset val="100"/>
        <c:noMultiLvlLbl val="0"/>
      </c:catAx>
      <c:valAx>
        <c:axId val="504027776"/>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95"/>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0402624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FY11 Total Statewide Revenue &amp; Disparity</a:t>
            </a:r>
          </a:p>
        </c:rich>
      </c:tx>
      <c:layout>
        <c:manualLayout>
          <c:xMode val="edge"/>
          <c:yMode val="edge"/>
          <c:x val="0.18117283950617299"/>
          <c:y val="2.8935185185185199E-2"/>
        </c:manualLayout>
      </c:layout>
      <c:overlay val="0"/>
      <c:spPr>
        <a:noFill/>
        <a:ln>
          <a:noFill/>
        </a:ln>
        <a:effectLst/>
      </c:spPr>
    </c:title>
    <c:autoTitleDeleted val="0"/>
    <c:plotArea>
      <c:layout>
        <c:manualLayout>
          <c:layoutTarget val="inner"/>
          <c:xMode val="edge"/>
          <c:yMode val="edge"/>
          <c:x val="7.3180045202682995E-2"/>
          <c:y val="0.21103683654126601"/>
          <c:w val="0.724465648391173"/>
          <c:h val="0.53627515310586205"/>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'FIG1'!$N$51:$N$52</c:f>
              <c:strCache>
                <c:ptCount val="2"/>
                <c:pt idx="0">
                  <c:v>District</c:v>
                </c:pt>
                <c:pt idx="1">
                  <c:v>Charter</c:v>
                </c:pt>
              </c:strCache>
            </c:strRef>
          </c:cat>
          <c:val>
            <c:numRef>
              <c:f>'FIG1'!$O$51:$O$52</c:f>
              <c:numCache>
                <c:formatCode>"$"#,##0_);\("$"#,##0\)</c:formatCode>
                <c:ptCount val="2"/>
                <c:pt idx="0">
                  <c:v>11741.223774848462</c:v>
                </c:pt>
                <c:pt idx="1">
                  <c:v>8471.9359651035993</c:v>
                </c:pt>
              </c:numCache>
            </c:numRef>
          </c:val>
          <c:extLst/>
        </c:ser>
        <c:ser>
          <c:idx val="1"/>
          <c:order val="1"/>
          <c:tx>
            <c:v>Disparity</c:v>
          </c:tx>
          <c:spPr>
            <a:pattFill prst="openDmnd">
              <a:fgClr>
                <a:schemeClr val="tx1"/>
              </a:fgClr>
              <a:bgClr>
                <a:schemeClr val="bg1"/>
              </a:bgClr>
            </a:pattFill>
            <a:ln w="6350">
              <a:solidFill>
                <a:schemeClr val="tx1">
                  <a:lumMod val="50000"/>
                  <a:lumOff val="50000"/>
                </a:schemeClr>
              </a:solidFill>
            </a:ln>
            <a:effectLst/>
          </c:spPr>
          <c:invertIfNegative val="0"/>
          <c:dLbls>
            <c:dLbl>
              <c:idx val="0"/>
              <c:layout>
                <c:manualLayout>
                  <c:x val="0.281635802469136"/>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0.27391975308642003"/>
                  <c:y val="0"/>
                </c:manualLayout>
              </c:layout>
              <c:numFmt formatCode="&quot;$&quot;#,##0;[Red]&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'FIG1'!$N$51:$N$52</c:f>
              <c:strCache>
                <c:ptCount val="2"/>
                <c:pt idx="0">
                  <c:v>District</c:v>
                </c:pt>
                <c:pt idx="1">
                  <c:v>Charter</c:v>
                </c:pt>
              </c:strCache>
            </c:strRef>
          </c:cat>
          <c:val>
            <c:numRef>
              <c:f>'FIG1'!$P$51:$P$52</c:f>
              <c:numCache>
                <c:formatCode>"$"#,##0_);\("$"#,##0\)</c:formatCode>
                <c:ptCount val="2"/>
                <c:pt idx="0">
                  <c:v>-3269.2878097448629</c:v>
                </c:pt>
              </c:numCache>
            </c:numRef>
          </c:val>
        </c:ser>
        <c:dLbls>
          <c:showLegendKey val="0"/>
          <c:showVal val="0"/>
          <c:showCatName val="0"/>
          <c:showSerName val="0"/>
          <c:showPercent val="0"/>
          <c:showBubbleSize val="0"/>
        </c:dLbls>
        <c:gapWidth val="45"/>
        <c:overlap val="100"/>
        <c:axId val="511470592"/>
        <c:axId val="511497728"/>
      </c:barChart>
      <c:catAx>
        <c:axId val="511470592"/>
        <c:scaling>
          <c:orientation val="minMax"/>
        </c:scaling>
        <c:delete val="1"/>
        <c:axPos val="l"/>
        <c:numFmt formatCode="General" sourceLinked="1"/>
        <c:majorTickMark val="none"/>
        <c:minorTickMark val="none"/>
        <c:tickLblPos val="nextTo"/>
        <c:crossAx val="511497728"/>
        <c:crosses val="autoZero"/>
        <c:auto val="1"/>
        <c:lblAlgn val="ctr"/>
        <c:lblOffset val="100"/>
        <c:noMultiLvlLbl val="0"/>
      </c:catAx>
      <c:valAx>
        <c:axId val="511497728"/>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95"/>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11470592"/>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FY11</a:t>
            </a:r>
            <a:r>
              <a:rPr lang="en-US" sz="1100" b="1" baseline="0">
                <a:solidFill>
                  <a:sysClr val="windowText" lastClr="000000"/>
                </a:solidFill>
              </a:rPr>
              <a:t> </a:t>
            </a:r>
            <a:r>
              <a:rPr lang="en-US" sz="1100" b="1">
                <a:solidFill>
                  <a:sysClr val="windowText" lastClr="000000"/>
                </a:solidFill>
              </a:rPr>
              <a:t>Total Statewide Enrollment</a:t>
            </a:r>
          </a:p>
        </c:rich>
      </c:tx>
      <c:layout/>
      <c:overlay val="0"/>
      <c:spPr>
        <a:noFill/>
        <a:ln>
          <a:noFill/>
        </a:ln>
        <a:effectLst/>
      </c:spPr>
    </c:title>
    <c:autoTitleDeleted val="0"/>
    <c:plotArea>
      <c:layout>
        <c:manualLayout>
          <c:layoutTarget val="inner"/>
          <c:xMode val="edge"/>
          <c:yMode val="edge"/>
          <c:x val="0.198511470788374"/>
          <c:y val="0.199490740740741"/>
          <c:w val="0.57684486487800102"/>
          <c:h val="0.54864209682123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dPt>
          <c:dLbls>
            <c:dLbl>
              <c:idx val="0"/>
              <c:layout/>
              <c:tx>
                <c:rich>
                  <a:bodyPr/>
                  <a:lstStyle/>
                  <a:p>
                    <a:fld id="{4B71C6B7-0FFE-48A5-90A8-FB1884B75692}" type="CELLRANGE">
                      <a:rPr lang="en-US"/>
                      <a:pPr/>
                      <a:t>[CELLRANGE]</a:t>
                    </a:fld>
                    <a:endParaRPr lang="en-US" baseline="0"/>
                  </a:p>
                  <a:p>
                    <a:fld id="{DC2AF504-E3E4-448B-85FD-229004B9E67A}"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Lst>
            </c:dLbl>
            <c:dLbl>
              <c:idx val="1"/>
              <c:layout/>
              <c:tx>
                <c:rich>
                  <a:bodyPr/>
                  <a:lstStyle/>
                  <a:p>
                    <a:fld id="{7F67C4CB-4247-4B6B-9D79-12D179464150}" type="CELLRANGE">
                      <a:rPr lang="en-US"/>
                      <a:pPr/>
                      <a:t>[CELLRANGE]</a:t>
                    </a:fld>
                    <a:endParaRPr lang="en-US" baseline="0"/>
                  </a:p>
                  <a:p>
                    <a:fld id="{A710041C-DBC1-4A6C-B590-51E83F44C21C}"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'FIG2'!$N$42:$N$43</c:f>
              <c:strCache>
                <c:ptCount val="2"/>
                <c:pt idx="0">
                  <c:v>District</c:v>
                </c:pt>
                <c:pt idx="1">
                  <c:v>Charter</c:v>
                </c:pt>
              </c:strCache>
            </c:strRef>
          </c:cat>
          <c:val>
            <c:numRef>
              <c:f>'FIG2'!$O$42:$O$43</c:f>
              <c:numCache>
                <c:formatCode>#,##0_);\(#,##0\)</c:formatCode>
                <c:ptCount val="2"/>
                <c:pt idx="0">
                  <c:v>1534300</c:v>
                </c:pt>
                <c:pt idx="1">
                  <c:v>22925</c:v>
                </c:pt>
              </c:numCache>
            </c:numRef>
          </c:val>
          <c:extLst>
            <c:ext xmlns:c15="http://schemas.microsoft.com/office/drawing/2012/chart" uri="{02D57815-91ED-43cb-92C2-25804820EDAC}">
              <c15:datalabelsRange>
                <c15:f>'FIG2'!$P$42:$P$43</c15:f>
                <c15:dlblRangeCache>
                  <c:ptCount val="2"/>
                  <c:pt idx="0">
                    <c:v>98.5%</c:v>
                  </c:pt>
                  <c:pt idx="1">
                    <c:v>1.5%</c:v>
                  </c:pt>
                </c15:dlblRangeCache>
              </c15:datalabelsRange>
            </c:ext>
          </c:extLst>
        </c:ser>
        <c:dLbls>
          <c:showLegendKey val="0"/>
          <c:showVal val="0"/>
          <c:showCatName val="0"/>
          <c:showSerName val="0"/>
          <c:showPercent val="0"/>
          <c:showBubbleSize val="0"/>
        </c:dLbls>
        <c:gapWidth val="50"/>
        <c:axId val="600604032"/>
        <c:axId val="119551104"/>
      </c:barChart>
      <c:catAx>
        <c:axId val="600604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551104"/>
        <c:crosses val="autoZero"/>
        <c:auto val="1"/>
        <c:lblAlgn val="ctr"/>
        <c:lblOffset val="100"/>
        <c:noMultiLvlLbl val="0"/>
      </c:catAx>
      <c:valAx>
        <c:axId val="119551104"/>
        <c:scaling>
          <c:orientation val="minMax"/>
          <c:min val="0"/>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Enrollment</a:t>
                </a:r>
              </a:p>
            </c:rich>
          </c:tx>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060403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District</a:t>
            </a:r>
          </a:p>
        </c:rich>
      </c:tx>
      <c:layout/>
      <c:overlay val="0"/>
      <c:spPr>
        <a:noFill/>
        <a:ln>
          <a:noFill/>
        </a:ln>
        <a:effectLst/>
      </c:spPr>
    </c:title>
    <c:autoTitleDeleted val="0"/>
    <c:plotArea>
      <c:layout>
        <c:manualLayout>
          <c:layoutTarget val="inner"/>
          <c:xMode val="edge"/>
          <c:yMode val="edge"/>
          <c:x val="0.12037037037037"/>
          <c:y val="0.31084545421405702"/>
          <c:w val="0.73996913580246904"/>
          <c:h val="0.572609087926509"/>
        </c:manualLayout>
      </c:layout>
      <c:ofPieChart>
        <c:ofPieType val="bar"/>
        <c:varyColors val="1"/>
        <c:ser>
          <c:idx val="0"/>
          <c:order val="0"/>
          <c:explosion val="3"/>
          <c:dPt>
            <c:idx val="0"/>
            <c:bubble3D val="0"/>
            <c:explosion val="15"/>
            <c:spPr>
              <a:solidFill>
                <a:schemeClr val="accent2">
                  <a:lumMod val="50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2"/>
              </a:solidFill>
              <a:ln w="9525">
                <a:noFill/>
              </a:ln>
              <a:effectLst/>
            </c:spPr>
          </c:dPt>
          <c:dLbls>
            <c:dLbl>
              <c:idx val="0"/>
              <c:layout>
                <c:manualLayout>
                  <c:x val="1.3445367940118601E-2"/>
                  <c:y val="-0.2684023221055700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1574074074074099E-2"/>
                  <c:y val="-0.121527777777778"/>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4.6296296296296301E-2"/>
                  <c:y val="1.7361111111111101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6296296296296301E-2"/>
                  <c:y val="3.4722222222222203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2.31481481481480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8358668708078199"/>
                  <c:y val="1.54837416156314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'FIG4'!$N$41:$N$45</c:f>
              <c:strCache>
                <c:ptCount val="5"/>
                <c:pt idx="0">
                  <c:v>Non-Public Funding</c:v>
                </c:pt>
                <c:pt idx="1">
                  <c:v>Public-Indeter.</c:v>
                </c:pt>
                <c:pt idx="2">
                  <c:v>Local</c:v>
                </c:pt>
                <c:pt idx="3">
                  <c:v>State</c:v>
                </c:pt>
                <c:pt idx="4">
                  <c:v>Federal</c:v>
                </c:pt>
              </c:strCache>
            </c:strRef>
          </c:cat>
          <c:val>
            <c:numRef>
              <c:f>'FIG4'!$O$41:$O$45</c:f>
              <c:numCache>
                <c:formatCode>"$"#,##0_);\("$"#,##0\)</c:formatCode>
                <c:ptCount val="5"/>
                <c:pt idx="0">
                  <c:v>690.48976249103816</c:v>
                </c:pt>
                <c:pt idx="1">
                  <c:v>0</c:v>
                </c:pt>
                <c:pt idx="2">
                  <c:v>4821.3375289513124</c:v>
                </c:pt>
                <c:pt idx="3">
                  <c:v>4723.9235800625665</c:v>
                </c:pt>
                <c:pt idx="4">
                  <c:v>1505.4729033435444</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zero"/>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Charter</a:t>
            </a:r>
          </a:p>
        </c:rich>
      </c:tx>
      <c:layout/>
      <c:overlay val="0"/>
      <c:spPr>
        <a:noFill/>
        <a:ln>
          <a:noFill/>
        </a:ln>
        <a:effectLst/>
      </c:spPr>
    </c:title>
    <c:autoTitleDeleted val="0"/>
    <c:plotArea>
      <c:layout>
        <c:manualLayout>
          <c:layoutTarget val="inner"/>
          <c:xMode val="edge"/>
          <c:yMode val="edge"/>
          <c:x val="0.12037037037037"/>
          <c:y val="0.31084545421405702"/>
          <c:w val="0.73996913580246904"/>
          <c:h val="0.572609087926509"/>
        </c:manualLayout>
      </c:layout>
      <c:ofPieChart>
        <c:ofPieType val="bar"/>
        <c:varyColors val="1"/>
        <c:ser>
          <c:idx val="0"/>
          <c:order val="0"/>
          <c:explosion val="3"/>
          <c:dPt>
            <c:idx val="0"/>
            <c:bubble3D val="0"/>
            <c:explosion val="15"/>
            <c:spPr>
              <a:solidFill>
                <a:schemeClr val="tx2">
                  <a:lumMod val="75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1"/>
              </a:solidFill>
              <a:ln w="9525">
                <a:noFill/>
              </a:ln>
              <a:effectLst/>
            </c:spPr>
          </c:dPt>
          <c:dLbls>
            <c:dLbl>
              <c:idx val="0"/>
              <c:layout>
                <c:manualLayout>
                  <c:x val="1.3445367940118601E-2"/>
                  <c:y val="-0.2684023221055700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2.3148148148148098E-2"/>
                  <c:y val="-0.115740740740741"/>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5.78703703703703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6296296296296301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2.31481481481480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8358668708078199"/>
                  <c:y val="1.54837416156314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'FIG5'!$N$41:$N$45</c:f>
              <c:strCache>
                <c:ptCount val="5"/>
                <c:pt idx="0">
                  <c:v>Non-Public Funding</c:v>
                </c:pt>
                <c:pt idx="1">
                  <c:v>Public-Indeter.</c:v>
                </c:pt>
                <c:pt idx="2">
                  <c:v>Local</c:v>
                </c:pt>
                <c:pt idx="3">
                  <c:v>State</c:v>
                </c:pt>
                <c:pt idx="4">
                  <c:v>Federal</c:v>
                </c:pt>
              </c:strCache>
            </c:strRef>
          </c:cat>
          <c:val>
            <c:numRef>
              <c:f>'FIG5'!$O$41:$O$45</c:f>
              <c:numCache>
                <c:formatCode>"$"#,##0_);\("$"#,##0\)</c:formatCode>
                <c:ptCount val="5"/>
                <c:pt idx="0">
                  <c:v>758.95293347873496</c:v>
                </c:pt>
                <c:pt idx="1">
                  <c:v>107.83856052344602</c:v>
                </c:pt>
                <c:pt idx="2">
                  <c:v>2095.4798211559437</c:v>
                </c:pt>
                <c:pt idx="3">
                  <c:v>4759.4467611777536</c:v>
                </c:pt>
                <c:pt idx="4">
                  <c:v>750.21788876772086</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zero"/>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 Funding, All Sources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'FIG6'!$P$60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cat>
            <c:strRef>
              <c:f>'FIG6'!$O$61:$O$66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'FIG6'!$P$61:$P$66</c:f>
              <c:numCache>
                <c:formatCode>"$"#,##0_);\("$"#,##0\)</c:formatCode>
                <c:ptCount val="6"/>
                <c:pt idx="0">
                  <c:v>8368.7799999999988</c:v>
                </c:pt>
                <c:pt idx="1">
                  <c:v>5791.2499999999991</c:v>
                </c:pt>
                <c:pt idx="2">
                  <c:v>13275.239999999998</c:v>
                </c:pt>
                <c:pt idx="3">
                  <c:v>10537.249999999998</c:v>
                </c:pt>
                <c:pt idx="4">
                  <c:v>14425.579999999998</c:v>
                </c:pt>
                <c:pt idx="5">
                  <c:v>8982.369999999999</c:v>
                </c:pt>
              </c:numCache>
            </c:numRef>
          </c:val>
        </c:ser>
        <c:ser>
          <c:idx val="1"/>
          <c:order val="1"/>
          <c:tx>
            <c:strRef>
              <c:f>'FIG6'!$Q$60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cat>
            <c:strRef>
              <c:f>'FIG6'!$O$61:$O$66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'FIG6'!$Q$61:$Q$66</c:f>
              <c:numCache>
                <c:formatCode>"$"#,##0_);\("$"#,##0\)</c:formatCode>
                <c:ptCount val="6"/>
                <c:pt idx="0">
                  <c:v>9892</c:v>
                </c:pt>
                <c:pt idx="1">
                  <c:v>8880</c:v>
                </c:pt>
                <c:pt idx="2">
                  <c:v>11009</c:v>
                </c:pt>
                <c:pt idx="3">
                  <c:v>8536</c:v>
                </c:pt>
                <c:pt idx="4">
                  <c:v>15720</c:v>
                </c:pt>
                <c:pt idx="5">
                  <c:v>11237</c:v>
                </c:pt>
              </c:numCache>
            </c:numRef>
          </c:val>
        </c:ser>
        <c:ser>
          <c:idx val="2"/>
          <c:order val="2"/>
          <c:tx>
            <c:strRef>
              <c:f>'FIG6'!$R$60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cat>
            <c:strRef>
              <c:f>'FIG6'!$O$61:$O$66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'FIG6'!$R$61:$R$66</c:f>
              <c:numCache>
                <c:formatCode>"$"#,##0_);\("$"#,##0\)</c:formatCode>
                <c:ptCount val="6"/>
                <c:pt idx="0">
                  <c:v>10801.925872860586</c:v>
                </c:pt>
                <c:pt idx="1">
                  <c:v>7794.181087895312</c:v>
                </c:pt>
                <c:pt idx="2">
                  <c:v>11825.764962928102</c:v>
                </c:pt>
                <c:pt idx="3">
                  <c:v>9080.1997260274002</c:v>
                </c:pt>
                <c:pt idx="4">
                  <c:v>17461.932101533373</c:v>
                </c:pt>
                <c:pt idx="5">
                  <c:v>12120.231796783968</c:v>
                </c:pt>
              </c:numCache>
            </c:numRef>
          </c:val>
        </c:ser>
        <c:dLbls>
          <c:showLegendKey val="0"/>
          <c:showVal val="0"/>
          <c:showCatName val="0"/>
          <c:showSerName val="0"/>
          <c:showPercent val="0"/>
          <c:showBubbleSize val="0"/>
        </c:dLbls>
        <c:gapWidth val="90"/>
        <c:axId val="121847808"/>
        <c:axId val="121849728"/>
      </c:barChart>
      <c:catAx>
        <c:axId val="121847808"/>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1849728"/>
        <c:crosses val="autoZero"/>
        <c:auto val="1"/>
        <c:lblAlgn val="ctr"/>
        <c:lblOffset val="100"/>
        <c:noMultiLvlLbl val="0"/>
      </c:catAx>
      <c:valAx>
        <c:axId val="121849728"/>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21847808"/>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a:t>
            </a:r>
            <a:r>
              <a:rPr lang="en-US" sz="1300" baseline="0"/>
              <a:t> Funding, Less Other</a:t>
            </a:r>
            <a:r>
              <a:rPr lang="en-US" sz="1300"/>
              <a:t>--</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'FIG7'!$P$60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cat>
            <c:strRef>
              <c:f>'FIG7'!$O$61:$O$66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'FIG7'!$P$61:$P$66</c:f>
              <c:numCache>
                <c:formatCode>"$"#,##0_);\("$"#,##0\)</c:formatCode>
                <c:ptCount val="6"/>
                <c:pt idx="0">
                  <c:v>0</c:v>
                </c:pt>
                <c:pt idx="1">
                  <c:v>0</c:v>
                </c:pt>
                <c:pt idx="2">
                  <c:v>12252.589999999998</c:v>
                </c:pt>
                <c:pt idx="3">
                  <c:v>10537.249999999998</c:v>
                </c:pt>
                <c:pt idx="4">
                  <c:v>13939.679999999998</c:v>
                </c:pt>
                <c:pt idx="5">
                  <c:v>8462.57</c:v>
                </c:pt>
              </c:numCache>
            </c:numRef>
          </c:val>
        </c:ser>
        <c:ser>
          <c:idx val="1"/>
          <c:order val="1"/>
          <c:tx>
            <c:strRef>
              <c:f>'FIG7'!$Q$60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cat>
            <c:strRef>
              <c:f>'FIG7'!$O$61:$O$66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'FIG7'!$Q$61:$Q$66</c:f>
              <c:numCache>
                <c:formatCode>"$"#,##0_);\("$"#,##0\)</c:formatCode>
                <c:ptCount val="6"/>
                <c:pt idx="0">
                  <c:v>9737</c:v>
                </c:pt>
                <c:pt idx="1">
                  <c:v>8293</c:v>
                </c:pt>
                <c:pt idx="2">
                  <c:v>10751</c:v>
                </c:pt>
                <c:pt idx="3">
                  <c:v>8117</c:v>
                </c:pt>
                <c:pt idx="4">
                  <c:v>15476</c:v>
                </c:pt>
                <c:pt idx="5">
                  <c:v>10217</c:v>
                </c:pt>
              </c:numCache>
            </c:numRef>
          </c:val>
        </c:ser>
        <c:ser>
          <c:idx val="2"/>
          <c:order val="2"/>
          <c:tx>
            <c:strRef>
              <c:f>'FIG7'!$R$60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cat>
            <c:strRef>
              <c:f>'FIG7'!$O$61:$O$66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'FIG7'!$R$61:$R$66</c:f>
              <c:numCache>
                <c:formatCode>"$"#,##0_);\("$"#,##0\)</c:formatCode>
                <c:ptCount val="6"/>
                <c:pt idx="0">
                  <c:v>10166.675291368831</c:v>
                </c:pt>
                <c:pt idx="1">
                  <c:v>7095.944389094876</c:v>
                </c:pt>
                <c:pt idx="2">
                  <c:v>11152.799775481108</c:v>
                </c:pt>
                <c:pt idx="3">
                  <c:v>8162.2400000000007</c:v>
                </c:pt>
                <c:pt idx="4">
                  <c:v>14341.411722714472</c:v>
                </c:pt>
                <c:pt idx="5">
                  <c:v>10708.800000000001</c:v>
                </c:pt>
              </c:numCache>
            </c:numRef>
          </c:val>
        </c:ser>
        <c:dLbls>
          <c:showLegendKey val="0"/>
          <c:showVal val="0"/>
          <c:showCatName val="0"/>
          <c:showSerName val="0"/>
          <c:showPercent val="0"/>
          <c:showBubbleSize val="0"/>
        </c:dLbls>
        <c:gapWidth val="90"/>
        <c:axId val="121914112"/>
        <c:axId val="121916032"/>
      </c:barChart>
      <c:catAx>
        <c:axId val="121914112"/>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1916032"/>
        <c:crosses val="autoZero"/>
        <c:auto val="1"/>
        <c:lblAlgn val="ctr"/>
        <c:lblOffset val="100"/>
        <c:noMultiLvlLbl val="0"/>
      </c:catAx>
      <c:valAx>
        <c:axId val="121916032"/>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21914112"/>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Other Funding, Non-Tax Sources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'FIG8'!$P$60</c:f>
              <c:strCache>
                <c:ptCount val="1"/>
                <c:pt idx="0">
                  <c:v>FY2003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cat>
            <c:strRef>
              <c:f>'FIG8'!$O$61:$O$66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'FIG8'!$P$61:$P$66</c:f>
              <c:numCache>
                <c:formatCode>"$"#,##0_);\("$"#,##0\)</c:formatCode>
                <c:ptCount val="6"/>
                <c:pt idx="0">
                  <c:v>0</c:v>
                </c:pt>
                <c:pt idx="1">
                  <c:v>0</c:v>
                </c:pt>
                <c:pt idx="2">
                  <c:v>1022.6499999999999</c:v>
                </c:pt>
                <c:pt idx="3">
                  <c:v>0</c:v>
                </c:pt>
                <c:pt idx="4">
                  <c:v>492.67999999999995</c:v>
                </c:pt>
                <c:pt idx="5">
                  <c:v>519.79999999999995</c:v>
                </c:pt>
              </c:numCache>
            </c:numRef>
          </c:val>
        </c:ser>
        <c:ser>
          <c:idx val="1"/>
          <c:order val="1"/>
          <c:tx>
            <c:strRef>
              <c:f>'FIG8'!$Q$60</c:f>
              <c:strCache>
                <c:ptCount val="1"/>
                <c:pt idx="0">
                  <c:v>FY2007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cat>
            <c:strRef>
              <c:f>'FIG8'!$O$61:$O$66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'FIG8'!$Q$61:$Q$66</c:f>
              <c:numCache>
                <c:formatCode>"$"#,##0_);\("$"#,##0\)</c:formatCode>
                <c:ptCount val="6"/>
                <c:pt idx="0">
                  <c:v>155</c:v>
                </c:pt>
                <c:pt idx="1">
                  <c:v>587</c:v>
                </c:pt>
                <c:pt idx="2">
                  <c:v>258</c:v>
                </c:pt>
                <c:pt idx="3">
                  <c:v>419</c:v>
                </c:pt>
                <c:pt idx="4">
                  <c:v>244</c:v>
                </c:pt>
                <c:pt idx="5">
                  <c:v>1020</c:v>
                </c:pt>
              </c:numCache>
            </c:numRef>
          </c:val>
        </c:ser>
        <c:ser>
          <c:idx val="2"/>
          <c:order val="2"/>
          <c:tx>
            <c:strRef>
              <c:f>'FIG8'!$R$60</c:f>
              <c:strCache>
                <c:ptCount val="1"/>
                <c:pt idx="0">
                  <c:v>FY2011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cat>
            <c:strRef>
              <c:f>'FIG8'!$O$61:$O$66</c:f>
              <c:strCache>
                <c:ptCount val="6"/>
                <c:pt idx="0">
                  <c:v>Statewide District (D)</c:v>
                </c:pt>
                <c:pt idx="1">
                  <c:v>Statewide Charter (C)</c:v>
                </c:pt>
                <c:pt idx="2">
                  <c:v>Fulton County District-D</c:v>
                </c:pt>
                <c:pt idx="3">
                  <c:v>Fulton County District-C</c:v>
                </c:pt>
                <c:pt idx="4">
                  <c:v>Atlanta Public Schools-D</c:v>
                </c:pt>
                <c:pt idx="5">
                  <c:v>Atlanta Public Schools-C</c:v>
                </c:pt>
              </c:strCache>
            </c:strRef>
          </c:cat>
          <c:val>
            <c:numRef>
              <c:f>'FIG8'!$R$61:$R$66</c:f>
              <c:numCache>
                <c:formatCode>"$"#,##0_);\("$"#,##0\)</c:formatCode>
                <c:ptCount val="6"/>
                <c:pt idx="0">
                  <c:v>634.80000000000007</c:v>
                </c:pt>
                <c:pt idx="1">
                  <c:v>698.28000000000009</c:v>
                </c:pt>
                <c:pt idx="2">
                  <c:v>672.52</c:v>
                </c:pt>
                <c:pt idx="3">
                  <c:v>918.16000000000008</c:v>
                </c:pt>
                <c:pt idx="4">
                  <c:v>3120.6400000000003</c:v>
                </c:pt>
                <c:pt idx="5">
                  <c:v>1411.28</c:v>
                </c:pt>
              </c:numCache>
            </c:numRef>
          </c:val>
        </c:ser>
        <c:dLbls>
          <c:showLegendKey val="0"/>
          <c:showVal val="0"/>
          <c:showCatName val="0"/>
          <c:showSerName val="0"/>
          <c:showPercent val="0"/>
          <c:showBubbleSize val="0"/>
        </c:dLbls>
        <c:gapWidth val="90"/>
        <c:axId val="123897344"/>
        <c:axId val="123899264"/>
      </c:barChart>
      <c:catAx>
        <c:axId val="123897344"/>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3899264"/>
        <c:crosses val="autoZero"/>
        <c:auto val="1"/>
        <c:lblAlgn val="ctr"/>
        <c:lblOffset val="100"/>
        <c:noMultiLvlLbl val="0"/>
      </c:catAx>
      <c:valAx>
        <c:axId val="123899264"/>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23897344"/>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528637</xdr:colOff>
      <xdr:row>5</xdr:row>
      <xdr:rowOff>180975</xdr:rowOff>
    </xdr:from>
    <xdr:to>
      <xdr:col>7</xdr:col>
      <xdr:colOff>448627</xdr:colOff>
      <xdr:row>16</xdr:row>
      <xdr:rowOff>175260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xdr:col>
      <xdr:colOff>466725</xdr:colOff>
      <xdr:row>22</xdr:row>
      <xdr:rowOff>190500</xdr:rowOff>
    </xdr:from>
    <xdr:to>
      <xdr:col>7</xdr:col>
      <xdr:colOff>386715</xdr:colOff>
      <xdr:row>33</xdr:row>
      <xdr:rowOff>184785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209550</xdr:colOff>
      <xdr:row>3</xdr:row>
      <xdr:rowOff>152400</xdr:rowOff>
    </xdr:from>
    <xdr:to>
      <xdr:col>10</xdr:col>
      <xdr:colOff>736599</xdr:colOff>
      <xdr:row>28</xdr:row>
      <xdr:rowOff>142875</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c:userShapes xmlns:c="http://schemas.openxmlformats.org/drawingml/2006/chart">
  <cdr:relSizeAnchor xmlns:cdr="http://schemas.openxmlformats.org/drawingml/2006/chartDrawing">
    <cdr:from>
      <cdr:x>0.06328</cdr:x>
      <cdr:y>0</cdr:y>
    </cdr:from>
    <cdr:to>
      <cdr:x>0.10998</cdr:x>
      <cdr:y>0.05589</cdr:y>
    </cdr:to>
    <cdr:sp macro="" textlink="'FIG6'!$O$39">
      <cdr:nvSpPr>
        <cdr:cNvPr id="3" name="TextBox 1"/>
        <cdr:cNvSpPr txBox="1"/>
      </cdr:nvSpPr>
      <cdr:spPr>
        <a:xfrm xmlns:a="http://schemas.openxmlformats.org/drawingml/2006/main">
          <a:off x="482600" y="0"/>
          <a:ext cx="356150" cy="283389"/>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2</xdr:col>
      <xdr:colOff>190500</xdr:colOff>
      <xdr:row>3</xdr:row>
      <xdr:rowOff>114300</xdr:rowOff>
    </xdr:from>
    <xdr:to>
      <xdr:col>10</xdr:col>
      <xdr:colOff>717549</xdr:colOff>
      <xdr:row>28</xdr:row>
      <xdr:rowOff>104775</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0.0467</cdr:x>
      <cdr:y>0.05589</cdr:y>
    </cdr:to>
    <cdr:sp macro="" textlink="'FIG7'!$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5AF799-9F49-44D1-AFBF-219D492F19B2}"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2</xdr:col>
      <xdr:colOff>101600</xdr:colOff>
      <xdr:row>2</xdr:row>
      <xdr:rowOff>190500</xdr:rowOff>
    </xdr:from>
    <xdr:to>
      <xdr:col>10</xdr:col>
      <xdr:colOff>628649</xdr:colOff>
      <xdr:row>27</xdr:row>
      <xdr:rowOff>177800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523875</xdr:colOff>
      <xdr:row>4</xdr:row>
      <xdr:rowOff>95250</xdr:rowOff>
    </xdr:from>
    <xdr:to>
      <xdr:col>7</xdr:col>
      <xdr:colOff>443865</xdr:colOff>
      <xdr:row>15</xdr:row>
      <xdr:rowOff>89535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c:userShapes xmlns:c="http://schemas.openxmlformats.org/drawingml/2006/chart">
  <cdr:relSizeAnchor xmlns:cdr="http://schemas.openxmlformats.org/drawingml/2006/chartDrawing">
    <cdr:from>
      <cdr:x>0</cdr:x>
      <cdr:y>0</cdr:y>
    </cdr:from>
    <cdr:to>
      <cdr:x>0.08333</cdr:x>
      <cdr:y>0.125</cdr:y>
    </cdr:to>
    <cdr:sp macro="" textlink="'FIG2'!$N$40">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18288" rIns="18288" bIns="18288"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4909949-393D-4C05-997A-1150BEA5FF05}" type="TxLink">
            <a:rPr lang="en-US" sz="800" b="1" i="0" u="none" strike="noStrike">
              <a:solidFill>
                <a:srgbClr val="FFFFFF"/>
              </a:solidFill>
              <a:latin typeface="Arial"/>
              <a:cs typeface="Arial"/>
            </a:rPr>
            <a:pPr algn="ctr"/>
            <a:t>GA</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490537</xdr:colOff>
      <xdr:row>5</xdr:row>
      <xdr:rowOff>66675</xdr:rowOff>
    </xdr:from>
    <xdr:to>
      <xdr:col>7</xdr:col>
      <xdr:colOff>410527</xdr:colOff>
      <xdr:row>16</xdr:row>
      <xdr:rowOff>60960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4'!$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750F81-9984-488F-90D3-DED794412F0E}" type="TxLink">
            <a:rPr lang="en-US" sz="800" b="1" i="0" u="none" strike="noStrike">
              <a:solidFill>
                <a:schemeClr val="bg1"/>
              </a:solidFill>
              <a:latin typeface="Arial"/>
              <a:cs typeface="Arial"/>
            </a:rPr>
            <a:pPr algn="ctr"/>
            <a:t>GA</a:t>
          </a:fld>
          <a:endParaRPr lang="en-US" sz="800">
            <a:solidFill>
              <a:schemeClr val="bg1"/>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2</xdr:col>
      <xdr:colOff>0</xdr:colOff>
      <xdr:row>5</xdr:row>
      <xdr:rowOff>0</xdr:rowOff>
    </xdr:from>
    <xdr:to>
      <xdr:col>7</xdr:col>
      <xdr:colOff>481965</xdr:colOff>
      <xdr:row>15</xdr:row>
      <xdr:rowOff>194310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5'!$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E57D87-B9EE-4C1D-AA0B-04DD754B4F18}" type="TxLink">
            <a:rPr lang="en-US" sz="800" b="1" i="0" u="none" strike="noStrike">
              <a:solidFill>
                <a:srgbClr val="FFFFFF"/>
              </a:solidFill>
              <a:latin typeface="Arial"/>
              <a:cs typeface="Arial"/>
            </a:rPr>
            <a:pPr algn="ctr"/>
            <a:t>GA</a:t>
          </a:fld>
          <a:endParaRPr lang="en-US" sz="800">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REVENUE%20STUDY_TEMPLATE_FY11_20130715_v130_AZ-DEMONSTR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S_FY2011_GA_Batdorff_20130612_v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G1"/>
      <sheetName val="FIG2"/>
      <sheetName val="FIG3"/>
      <sheetName val="FIG4"/>
      <sheetName val="FIG5"/>
      <sheetName val="FIG6"/>
      <sheetName val="FIG7"/>
      <sheetName val="FIG8"/>
      <sheetName val="FIG9"/>
      <sheetName val="FIG10"/>
      <sheetName val="FIG11"/>
      <sheetName val="FIG12"/>
      <sheetName val="CONVERSIONS-CONV"/>
      <sheetName val="$REV-DB"/>
      <sheetName val="$REV-DSUM"/>
      <sheetName val="$REV-DSUM-CONV"/>
      <sheetName val="$REV-PROOF"/>
      <sheetName val="$REV-HEADINGS"/>
      <sheetName val="$REV-NOTES"/>
      <sheetName val="1$REV-DATA-"/>
      <sheetName val="2$REV-DATA-"/>
      <sheetName val="3$REV-DATA-"/>
      <sheetName val="4$REV-DATA-"/>
      <sheetName val="5$REV-DATA-"/>
      <sheetName val="6$REV-DATA-"/>
      <sheetName val="7$REV-DATA-"/>
      <sheetName val="8$REV-DATA-"/>
      <sheetName val="9$REV-DATA-"/>
      <sheetName val="10$REV-DATA-"/>
      <sheetName val="$REV-DATA-END"/>
      <sheetName val="1$REV-ARCHIVE-"/>
      <sheetName val="2$REV-ARCHIVE-"/>
      <sheetName val="3$REV-ARCHIVE-"/>
      <sheetName val="4$REV-ARCHIVE-"/>
      <sheetName val="5$REV-ARCHIVE-"/>
      <sheetName val="6$REV-ARCHIVE-"/>
      <sheetName val="7$REV-ARCHIVE-"/>
      <sheetName val="8$REV-ARCHIVE-"/>
      <sheetName val="$REV-ARCHIVE-END"/>
      <sheetName val="ENR#-DB"/>
      <sheetName val="ENR#-DSUM"/>
      <sheetName val="ENR#-DSUM-CONV"/>
      <sheetName val="ENR#-PROOF"/>
      <sheetName val="ENR#-HEADINGS"/>
      <sheetName val="ENR#-NOTES"/>
      <sheetName val="1ENR#DATA-"/>
      <sheetName val="2ENR#DATA-"/>
      <sheetName val="3ENR#DATA-"/>
      <sheetName val="4ENR#DATA-"/>
      <sheetName val="5ENR#DATA-"/>
      <sheetName val="6ENR#DATA-"/>
      <sheetName val="7ENR#DATA-"/>
      <sheetName val="8ENR#DATA-"/>
      <sheetName val="9ENR#DATA-"/>
      <sheetName val="10ENR#DATA-"/>
      <sheetName val="ENR#DATA-END"/>
      <sheetName val="1ENR#ARCHIVE-"/>
      <sheetName val="2ENR#ARCHIVE-"/>
      <sheetName val="3ENR#ARCHIVE-"/>
      <sheetName val="4ENR#ARCHIVE-"/>
      <sheetName val="5ENR#ARCHIVE-"/>
      <sheetName val="6ENR#ARCHIVE-"/>
      <sheetName val="7ENR#ARCHIVE-"/>
      <sheetName val="8ENR#ARCHIVE-"/>
      <sheetName val="ENR#ARCHIVE-END"/>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4">
          <cell r="T34" t="str">
            <v>UD1</v>
          </cell>
          <cell r="U34" t="str">
            <v>UD2</v>
          </cell>
          <cell r="V34" t="str">
            <v>UD3</v>
          </cell>
          <cell r="W34" t="str">
            <v>UD4</v>
          </cell>
          <cell r="X34" t="str">
            <v>UD5</v>
          </cell>
          <cell r="Y34" t="str">
            <v>UD6</v>
          </cell>
          <cell r="Z34" t="str">
            <v>UD7</v>
          </cell>
          <cell r="AA34" t="str">
            <v>UD8</v>
          </cell>
          <cell r="AB34" t="str">
            <v>UD9</v>
          </cell>
          <cell r="AC34" t="str">
            <v>UD10</v>
          </cell>
          <cell r="AD34" t="str">
            <v>UD11</v>
          </cell>
          <cell r="AE34" t="str">
            <v>UD12</v>
          </cell>
          <cell r="AF34" t="str">
            <v>UD13</v>
          </cell>
          <cell r="AG34" t="str">
            <v>UD14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34">
          <cell r="S34" t="str">
            <v>UD1</v>
          </cell>
          <cell r="T34" t="str">
            <v>UD2</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FIGURE 1"/>
      <sheetName val="$REV-DB"/>
      <sheetName val="$REV-DSUM"/>
      <sheetName val="$REV-PROOF"/>
      <sheetName val="$REV-HEADINGS"/>
      <sheetName val="$REV-NOTES"/>
      <sheetName val="1$REV-DATA-GAcharterAuditdata"/>
      <sheetName val="2$REV-DATA-AllDistrictRevenues"/>
      <sheetName val="3$REV-DATA-AllDistrWorkingfile2"/>
      <sheetName val="4$REV-DATA-CharterDistricts"/>
      <sheetName val="CharterFederalrevenuecalcs"/>
      <sheetName val="6$REV-DATA-CommCHarterDOEdata"/>
      <sheetName val="7$REV-DATA-Dist-charterdeduuct"/>
      <sheetName val="8$REV-DATA-FinalDistrictData"/>
      <sheetName val="9$REV-DATA-"/>
      <sheetName val="10$REV-DATA-"/>
      <sheetName val="$REV-DATA-END"/>
      <sheetName val="1$REV-ARCHIVE-AllDistrictRev"/>
      <sheetName val="2$REV-ARCHIVE-"/>
      <sheetName val="3$REV-ARCHIVE-"/>
      <sheetName val="4$REV-ARCHIVE-"/>
      <sheetName val="5$REV-ARCHIVE-"/>
      <sheetName val="6$REV-ARCHIVE-"/>
      <sheetName val="7$REV-ARCHIVE-"/>
      <sheetName val="8$REV-ARCHIVE-"/>
      <sheetName val="$REV-ARCHIVE-END"/>
      <sheetName val="ENR#-DB"/>
      <sheetName val="ENR#-DSUM"/>
      <sheetName val="ENR#-FORMULA PROOF"/>
      <sheetName val="ENR#-FORMAT"/>
      <sheetName val="ENR#-NOTES"/>
      <sheetName val="1ENR#DistrictFTE-"/>
      <sheetName val="2ENR#DATA-Workingfile2"/>
      <sheetName val="3ENR#DATA-"/>
      <sheetName val="4ENR#DATA-"/>
      <sheetName val="5ENR#DATA-"/>
      <sheetName val="6ENR#DATA-"/>
      <sheetName val="7ENR#DATA-"/>
      <sheetName val="8ENR#DATA-"/>
      <sheetName val="9ENR#DATA-"/>
      <sheetName val="10ENR#DATA-"/>
      <sheetName val="ENR#DATA-END"/>
      <sheetName val="1ENR#ARCHIVE-"/>
      <sheetName val="2ENR#ARCHIVE-"/>
      <sheetName val="3ENR#ARCHIVE-"/>
      <sheetName val="4ENR#ARCHIVE-"/>
      <sheetName val="5ENR#ARCHIVE-"/>
      <sheetName val="6ENR#ARCHIVE-"/>
      <sheetName val="7ENR#ARCHIVE-"/>
      <sheetName val="8ENR#ARCHIVE-"/>
      <sheetName val="ENR#ARCHIVE-END"/>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M5">
            <v>348254</v>
          </cell>
          <cell r="BN5">
            <v>1332160</v>
          </cell>
        </row>
        <row r="9">
          <cell r="BM9">
            <v>570119</v>
          </cell>
          <cell r="BN9">
            <v>7478868</v>
          </cell>
        </row>
        <row r="10">
          <cell r="BM10">
            <v>356077</v>
          </cell>
          <cell r="BN10">
            <v>5053354</v>
          </cell>
        </row>
        <row r="11">
          <cell r="BM11">
            <v>686049</v>
          </cell>
          <cell r="BN11">
            <v>4921175</v>
          </cell>
        </row>
        <row r="13">
          <cell r="G13">
            <v>3260</v>
          </cell>
        </row>
        <row r="26">
          <cell r="BM26">
            <v>348947.36</v>
          </cell>
          <cell r="BN26">
            <v>4361842</v>
          </cell>
        </row>
        <row r="29">
          <cell r="BM29">
            <v>4412328.3599999994</v>
          </cell>
          <cell r="BN29">
            <v>56530342</v>
          </cell>
        </row>
        <row r="30">
          <cell r="G30">
            <v>3927</v>
          </cell>
        </row>
        <row r="38">
          <cell r="BM38">
            <v>30030</v>
          </cell>
          <cell r="BN38">
            <v>1433694</v>
          </cell>
        </row>
        <row r="43">
          <cell r="BM43">
            <v>635865</v>
          </cell>
          <cell r="BN43">
            <v>5693074</v>
          </cell>
        </row>
        <row r="47">
          <cell r="BM47">
            <v>220901</v>
          </cell>
          <cell r="BN47">
            <v>3204213</v>
          </cell>
        </row>
        <row r="60">
          <cell r="BM60">
            <v>9390200.540000001</v>
          </cell>
        </row>
        <row r="62">
          <cell r="G62">
            <v>652</v>
          </cell>
        </row>
        <row r="63">
          <cell r="G63">
            <v>1491</v>
          </cell>
        </row>
        <row r="64">
          <cell r="G64">
            <v>802</v>
          </cell>
        </row>
        <row r="65">
          <cell r="G65">
            <v>1679</v>
          </cell>
        </row>
        <row r="66">
          <cell r="G66">
            <v>68</v>
          </cell>
        </row>
        <row r="67">
          <cell r="G67">
            <v>425</v>
          </cell>
        </row>
        <row r="68">
          <cell r="G68">
            <v>157</v>
          </cell>
        </row>
        <row r="69">
          <cell r="G69">
            <v>743</v>
          </cell>
        </row>
        <row r="70">
          <cell r="G70">
            <v>187</v>
          </cell>
        </row>
        <row r="71">
          <cell r="G71">
            <v>195</v>
          </cell>
        </row>
      </sheetData>
      <sheetData sheetId="8" refreshError="1"/>
      <sheetData sheetId="9">
        <row r="378">
          <cell r="N378">
            <v>0.17932533656616365</v>
          </cell>
        </row>
        <row r="986">
          <cell r="N986">
            <v>0.12654527795218271</v>
          </cell>
        </row>
        <row r="1293">
          <cell r="N1293">
            <v>9.6858069637027019E-2</v>
          </cell>
        </row>
        <row r="1722">
          <cell r="N1722">
            <v>0.12611681423322998</v>
          </cell>
        </row>
        <row r="2314">
          <cell r="N2314">
            <v>8.6774230737886635E-2</v>
          </cell>
        </row>
        <row r="2600">
          <cell r="N2600">
            <v>0.10319100730030051</v>
          </cell>
        </row>
        <row r="6093">
          <cell r="N6093">
            <v>0.11846477391017296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workbookViewId="0"/>
  </sheetViews>
  <sheetFormatPr defaultColWidth="8.83203125" defaultRowHeight="11.25"/>
  <cols>
    <col min="1" max="1" width="3.83203125" customWidth="1"/>
    <col min="2" max="14" width="6.83203125" customWidth="1"/>
    <col min="15" max="15" width="3.83203125" customWidth="1"/>
    <col min="16" max="17" width="6.83203125" customWidth="1"/>
    <col min="18" max="18" width="5.1640625" customWidth="1"/>
    <col min="19" max="20" width="6.83203125" customWidth="1"/>
    <col min="21" max="21" width="76.1640625" customWidth="1"/>
    <col min="22" max="29" width="6.83203125" customWidth="1"/>
  </cols>
  <sheetData>
    <row r="1" spans="1:21" ht="15.95" customHeight="1">
      <c r="A1" s="808"/>
      <c r="B1" s="808"/>
      <c r="C1" s="808"/>
      <c r="D1" s="808"/>
      <c r="E1" s="808"/>
      <c r="F1" s="808"/>
      <c r="G1" s="808"/>
      <c r="H1" s="808"/>
      <c r="I1" s="808"/>
      <c r="J1" s="808"/>
      <c r="K1" s="808"/>
      <c r="L1" s="808"/>
      <c r="M1" s="808"/>
      <c r="N1" s="808"/>
      <c r="O1" s="808"/>
      <c r="R1" s="389"/>
      <c r="S1" s="389"/>
      <c r="T1" s="389"/>
      <c r="U1" s="389"/>
    </row>
    <row r="2" spans="1:21" ht="15.95" customHeight="1">
      <c r="A2" s="808"/>
      <c r="B2" s="809" t="s">
        <v>498</v>
      </c>
      <c r="C2" s="808"/>
      <c r="D2" s="808"/>
      <c r="E2" s="808"/>
      <c r="F2" s="808"/>
      <c r="G2" s="808"/>
      <c r="H2" s="808"/>
      <c r="I2" s="808"/>
      <c r="J2" s="808"/>
      <c r="K2" s="808"/>
      <c r="L2" s="808"/>
      <c r="M2" s="808"/>
      <c r="N2" s="808"/>
      <c r="O2" s="808"/>
      <c r="R2" s="809" t="s">
        <v>673</v>
      </c>
      <c r="S2" s="389"/>
      <c r="T2" s="389"/>
      <c r="U2" s="389"/>
    </row>
    <row r="3" spans="1:21" ht="15.95" customHeight="1">
      <c r="A3" s="808"/>
      <c r="B3" s="808"/>
      <c r="C3" s="808"/>
      <c r="D3" s="808"/>
      <c r="E3" s="808"/>
      <c r="F3" s="808"/>
      <c r="G3" s="808"/>
      <c r="H3" s="808"/>
      <c r="I3" s="808"/>
      <c r="J3" s="808"/>
      <c r="K3" s="808"/>
      <c r="L3" s="808"/>
      <c r="M3" s="808"/>
      <c r="N3" s="808"/>
      <c r="O3" s="808"/>
      <c r="R3" s="389"/>
      <c r="S3" s="389"/>
      <c r="T3" s="389"/>
      <c r="U3" s="389"/>
    </row>
    <row r="4" spans="1:21" ht="15.95" customHeight="1">
      <c r="A4" s="808"/>
      <c r="B4" s="808" t="s">
        <v>499</v>
      </c>
      <c r="C4" s="808"/>
      <c r="D4" s="808"/>
      <c r="E4" s="808"/>
      <c r="F4" s="808"/>
      <c r="G4" s="808"/>
      <c r="H4" s="808"/>
      <c r="I4" s="808"/>
      <c r="J4" s="808"/>
      <c r="K4" s="808"/>
      <c r="L4" s="808"/>
      <c r="M4" s="808"/>
      <c r="N4" s="808"/>
      <c r="O4" s="808"/>
      <c r="R4" s="808" t="s">
        <v>588</v>
      </c>
      <c r="S4" s="389"/>
      <c r="T4" s="389"/>
      <c r="U4" s="389"/>
    </row>
    <row r="5" spans="1:21" ht="15.95" customHeight="1">
      <c r="A5" s="808"/>
      <c r="B5" s="810"/>
      <c r="C5" s="811" t="s">
        <v>500</v>
      </c>
      <c r="D5" s="808"/>
      <c r="E5" s="808"/>
      <c r="F5" s="808"/>
      <c r="G5" s="808"/>
      <c r="H5" s="808"/>
      <c r="I5" s="808"/>
      <c r="J5" s="808"/>
      <c r="K5" s="808"/>
      <c r="L5" s="808"/>
      <c r="M5" s="808"/>
      <c r="N5" s="808"/>
      <c r="O5" s="808"/>
      <c r="R5" s="389"/>
      <c r="S5" s="389" t="s">
        <v>589</v>
      </c>
      <c r="T5" s="389"/>
      <c r="U5" s="389"/>
    </row>
    <row r="6" spans="1:21" ht="15.95" customHeight="1">
      <c r="A6" s="808"/>
      <c r="B6" s="810"/>
      <c r="C6" s="808" t="s">
        <v>508</v>
      </c>
      <c r="D6" s="808"/>
      <c r="E6" s="808"/>
      <c r="F6" s="808"/>
      <c r="G6" s="808"/>
      <c r="H6" s="808"/>
      <c r="I6" s="808"/>
      <c r="J6" s="808"/>
      <c r="K6" s="808"/>
      <c r="L6" s="808"/>
      <c r="M6" s="808"/>
      <c r="N6" s="808"/>
      <c r="O6" s="808"/>
      <c r="R6" s="389"/>
      <c r="S6" s="389" t="s">
        <v>590</v>
      </c>
      <c r="T6" s="389"/>
      <c r="U6" s="389"/>
    </row>
    <row r="7" spans="1:21" ht="15.95" customHeight="1">
      <c r="A7" s="808"/>
      <c r="B7" s="810"/>
      <c r="C7" s="808" t="s">
        <v>509</v>
      </c>
      <c r="D7" s="808"/>
      <c r="E7" s="808"/>
      <c r="F7" s="808"/>
      <c r="G7" s="808"/>
      <c r="H7" s="808"/>
      <c r="I7" s="808"/>
      <c r="J7" s="808"/>
      <c r="K7" s="808"/>
      <c r="L7" s="808"/>
      <c r="M7" s="808"/>
      <c r="N7" s="808"/>
      <c r="O7" s="808"/>
      <c r="R7" s="389"/>
      <c r="S7" s="389" t="s">
        <v>597</v>
      </c>
      <c r="T7" s="389"/>
      <c r="U7" s="389"/>
    </row>
    <row r="8" spans="1:21" ht="15.95" customHeight="1">
      <c r="A8" s="808"/>
      <c r="B8" s="808"/>
      <c r="C8" s="808" t="s">
        <v>510</v>
      </c>
      <c r="D8" s="808"/>
      <c r="E8" s="808"/>
      <c r="F8" s="808"/>
      <c r="G8" s="808"/>
      <c r="H8" s="808"/>
      <c r="I8" s="808"/>
      <c r="J8" s="808"/>
      <c r="K8" s="808"/>
      <c r="L8" s="808"/>
      <c r="M8" s="808"/>
      <c r="N8" s="808"/>
      <c r="O8" s="808"/>
      <c r="R8" s="389"/>
      <c r="S8" s="389"/>
      <c r="T8" s="389" t="s">
        <v>596</v>
      </c>
      <c r="U8" s="389"/>
    </row>
    <row r="9" spans="1:21" ht="15.95" customHeight="1">
      <c r="A9" s="808"/>
      <c r="B9" s="808"/>
      <c r="C9" s="808" t="s">
        <v>511</v>
      </c>
      <c r="D9" s="808"/>
      <c r="E9" s="808"/>
      <c r="F9" s="808"/>
      <c r="G9" s="808"/>
      <c r="H9" s="808"/>
      <c r="I9" s="808"/>
      <c r="J9" s="808"/>
      <c r="K9" s="808"/>
      <c r="L9" s="808"/>
      <c r="M9" s="808"/>
      <c r="N9" s="808"/>
      <c r="O9" s="808"/>
      <c r="R9" s="389"/>
      <c r="S9" s="389" t="s">
        <v>591</v>
      </c>
      <c r="T9" s="389"/>
      <c r="U9" s="389"/>
    </row>
    <row r="10" spans="1:21" ht="15.95" customHeight="1">
      <c r="A10" s="808"/>
      <c r="B10" s="808"/>
      <c r="C10" s="808" t="s">
        <v>575</v>
      </c>
      <c r="D10" s="808"/>
      <c r="E10" s="808"/>
      <c r="F10" s="808"/>
      <c r="G10" s="808"/>
      <c r="H10" s="808"/>
      <c r="I10" s="808"/>
      <c r="J10" s="808"/>
      <c r="K10" s="808"/>
      <c r="L10" s="808"/>
      <c r="M10" s="808"/>
      <c r="N10" s="808"/>
      <c r="O10" s="808"/>
      <c r="R10" s="389"/>
      <c r="S10" s="389" t="s">
        <v>599</v>
      </c>
      <c r="T10" s="389"/>
      <c r="U10" s="389"/>
    </row>
    <row r="11" spans="1:21" ht="15.95" customHeight="1">
      <c r="A11" s="808"/>
      <c r="B11" s="808"/>
      <c r="C11" s="808" t="s">
        <v>576</v>
      </c>
      <c r="D11" s="808"/>
      <c r="E11" s="808"/>
      <c r="F11" s="808"/>
      <c r="G11" s="808"/>
      <c r="H11" s="808"/>
      <c r="I11" s="808"/>
      <c r="J11" s="808"/>
      <c r="K11" s="808"/>
      <c r="L11" s="808"/>
      <c r="M11" s="808"/>
      <c r="N11" s="808"/>
      <c r="O11" s="808"/>
      <c r="R11" s="389"/>
      <c r="S11" s="389"/>
      <c r="T11" s="389" t="s">
        <v>598</v>
      </c>
      <c r="U11" s="389"/>
    </row>
    <row r="12" spans="1:21" ht="15.95" customHeight="1">
      <c r="A12" s="808"/>
      <c r="B12" s="808"/>
      <c r="C12" s="808" t="s">
        <v>577</v>
      </c>
      <c r="D12" s="808"/>
      <c r="E12" s="808"/>
      <c r="F12" s="808"/>
      <c r="G12" s="808"/>
      <c r="H12" s="808"/>
      <c r="I12" s="808"/>
      <c r="J12" s="808"/>
      <c r="K12" s="808"/>
      <c r="L12" s="808"/>
      <c r="M12" s="808"/>
      <c r="N12" s="808"/>
      <c r="O12" s="808"/>
      <c r="R12" s="389"/>
      <c r="S12" s="389"/>
      <c r="T12" s="389"/>
      <c r="U12" s="389"/>
    </row>
    <row r="13" spans="1:21" ht="15.95" customHeight="1">
      <c r="A13" s="808"/>
      <c r="B13" s="808"/>
      <c r="C13" s="808"/>
      <c r="D13" s="808"/>
      <c r="E13" s="808"/>
      <c r="F13" s="808"/>
      <c r="G13" s="808"/>
      <c r="H13" s="808"/>
      <c r="I13" s="808"/>
      <c r="J13" s="808"/>
      <c r="K13" s="808"/>
      <c r="L13" s="808"/>
      <c r="M13" s="808"/>
      <c r="N13" s="808"/>
      <c r="O13" s="808"/>
      <c r="R13" s="389" t="s">
        <v>592</v>
      </c>
      <c r="S13" s="389"/>
      <c r="T13" s="389"/>
      <c r="U13" s="389"/>
    </row>
    <row r="14" spans="1:21" ht="15.95" customHeight="1">
      <c r="A14" s="808"/>
      <c r="B14" s="808"/>
      <c r="C14" s="811" t="s">
        <v>501</v>
      </c>
      <c r="D14" s="808"/>
      <c r="E14" s="808"/>
      <c r="F14" s="808"/>
      <c r="G14" s="808"/>
      <c r="H14" s="808"/>
      <c r="I14" s="808"/>
      <c r="J14" s="808"/>
      <c r="K14" s="808"/>
      <c r="L14" s="808"/>
      <c r="M14" s="808"/>
      <c r="N14" s="808"/>
      <c r="O14" s="808"/>
      <c r="R14" s="389"/>
      <c r="S14" s="389" t="s">
        <v>593</v>
      </c>
      <c r="T14" s="389"/>
      <c r="U14" s="389"/>
    </row>
    <row r="15" spans="1:21" ht="15.95" customHeight="1">
      <c r="A15" s="808"/>
      <c r="B15" s="808"/>
      <c r="C15" s="810">
        <v>1</v>
      </c>
      <c r="D15" s="808" t="s">
        <v>502</v>
      </c>
      <c r="E15" s="808"/>
      <c r="F15" s="808"/>
      <c r="G15" s="808"/>
      <c r="H15" s="808"/>
      <c r="I15" s="808"/>
      <c r="J15" s="808"/>
      <c r="K15" s="808"/>
      <c r="L15" s="808"/>
      <c r="M15" s="808"/>
      <c r="N15" s="808"/>
      <c r="O15" s="808"/>
      <c r="R15" s="389"/>
      <c r="S15" s="389"/>
      <c r="T15" s="389" t="s">
        <v>594</v>
      </c>
      <c r="U15" s="389"/>
    </row>
    <row r="16" spans="1:21" ht="15.95" customHeight="1">
      <c r="A16" s="808"/>
      <c r="B16" s="808"/>
      <c r="C16" s="810">
        <v>2</v>
      </c>
      <c r="D16" s="808" t="s">
        <v>503</v>
      </c>
      <c r="E16" s="808"/>
      <c r="F16" s="808"/>
      <c r="G16" s="808"/>
      <c r="H16" s="808"/>
      <c r="I16" s="808"/>
      <c r="J16" s="808"/>
      <c r="K16" s="808"/>
      <c r="L16" s="808"/>
      <c r="M16" s="808"/>
      <c r="N16" s="808"/>
      <c r="O16" s="808"/>
      <c r="R16" s="389"/>
      <c r="S16" s="389"/>
      <c r="T16" s="389" t="s">
        <v>602</v>
      </c>
      <c r="U16" s="389"/>
    </row>
    <row r="17" spans="1:21" ht="15.95" customHeight="1">
      <c r="A17" s="808"/>
      <c r="B17" s="808"/>
      <c r="C17" s="810">
        <v>3</v>
      </c>
      <c r="D17" s="808" t="s">
        <v>504</v>
      </c>
      <c r="E17" s="808"/>
      <c r="F17" s="808"/>
      <c r="G17" s="808"/>
      <c r="H17" s="808"/>
      <c r="I17" s="808"/>
      <c r="J17" s="808"/>
      <c r="K17" s="808"/>
      <c r="L17" s="808"/>
      <c r="M17" s="808"/>
      <c r="N17" s="808"/>
      <c r="O17" s="808"/>
      <c r="R17" s="389"/>
      <c r="S17" s="389"/>
      <c r="T17" s="389" t="s">
        <v>600</v>
      </c>
      <c r="U17" s="389"/>
    </row>
    <row r="18" spans="1:21" ht="15.95" customHeight="1">
      <c r="A18" s="808"/>
      <c r="B18" s="808"/>
      <c r="C18" s="810">
        <v>4</v>
      </c>
      <c r="D18" s="808" t="s">
        <v>505</v>
      </c>
      <c r="E18" s="808"/>
      <c r="F18" s="808"/>
      <c r="G18" s="808"/>
      <c r="H18" s="808"/>
      <c r="I18" s="808"/>
      <c r="J18" s="808"/>
      <c r="K18" s="808"/>
      <c r="L18" s="808"/>
      <c r="M18" s="808"/>
      <c r="N18" s="808"/>
      <c r="O18" s="808"/>
      <c r="R18" s="389"/>
      <c r="S18" s="389"/>
      <c r="T18" s="389" t="s">
        <v>601</v>
      </c>
      <c r="U18" s="389"/>
    </row>
    <row r="19" spans="1:21" ht="15.95" customHeight="1">
      <c r="A19" s="808"/>
      <c r="B19" s="808"/>
      <c r="C19" s="810">
        <v>5</v>
      </c>
      <c r="D19" s="808" t="s">
        <v>506</v>
      </c>
      <c r="E19" s="808"/>
      <c r="F19" s="808"/>
      <c r="G19" s="808"/>
      <c r="H19" s="808"/>
      <c r="I19" s="808"/>
      <c r="J19" s="808"/>
      <c r="K19" s="808"/>
      <c r="L19" s="808"/>
      <c r="M19" s="808"/>
      <c r="N19" s="808"/>
      <c r="O19" s="808"/>
      <c r="R19" s="389"/>
      <c r="S19" s="389"/>
      <c r="T19" s="389"/>
      <c r="U19" s="389"/>
    </row>
    <row r="20" spans="1:21" ht="15.95" customHeight="1">
      <c r="A20" s="808"/>
      <c r="B20" s="808"/>
      <c r="C20" s="810">
        <v>6</v>
      </c>
      <c r="D20" s="808" t="s">
        <v>507</v>
      </c>
      <c r="E20" s="808"/>
      <c r="F20" s="808"/>
      <c r="G20" s="808"/>
      <c r="H20" s="808"/>
      <c r="I20" s="808"/>
      <c r="J20" s="808"/>
      <c r="K20" s="808"/>
      <c r="L20" s="808"/>
      <c r="M20" s="808"/>
      <c r="N20" s="808"/>
      <c r="O20" s="808"/>
      <c r="R20" s="389" t="s">
        <v>595</v>
      </c>
      <c r="S20" s="389"/>
      <c r="T20" s="389"/>
      <c r="U20" s="389"/>
    </row>
    <row r="21" spans="1:21" ht="15.95" customHeight="1">
      <c r="A21" s="808"/>
      <c r="B21" s="808"/>
      <c r="C21" s="810">
        <v>7</v>
      </c>
      <c r="D21" s="808" t="s">
        <v>519</v>
      </c>
      <c r="E21" s="808"/>
      <c r="F21" s="808"/>
      <c r="G21" s="808"/>
      <c r="H21" s="808"/>
      <c r="I21" s="808"/>
      <c r="J21" s="808"/>
      <c r="K21" s="808"/>
      <c r="L21" s="808"/>
      <c r="M21" s="808"/>
      <c r="N21" s="808"/>
      <c r="O21" s="808"/>
      <c r="R21" s="389"/>
      <c r="S21" s="389"/>
      <c r="T21" s="389"/>
      <c r="U21" s="389"/>
    </row>
    <row r="22" spans="1:21" ht="15.95" customHeight="1">
      <c r="A22" s="808"/>
      <c r="B22" s="808"/>
      <c r="C22" s="808"/>
      <c r="D22" s="808"/>
      <c r="E22" s="808"/>
      <c r="F22" s="808"/>
      <c r="G22" s="808"/>
      <c r="H22" s="808"/>
      <c r="I22" s="808"/>
      <c r="J22" s="808"/>
      <c r="K22" s="808"/>
      <c r="L22" s="808"/>
      <c r="M22" s="808"/>
      <c r="N22" s="808"/>
      <c r="O22" s="808"/>
      <c r="R22" s="389" t="s">
        <v>730</v>
      </c>
      <c r="S22" s="389"/>
      <c r="T22" s="389"/>
      <c r="U22" s="389"/>
    </row>
    <row r="23" spans="1:21" ht="15.95" customHeight="1">
      <c r="A23" s="808"/>
      <c r="B23" s="808"/>
      <c r="C23" s="808"/>
      <c r="D23" s="812" t="s">
        <v>579</v>
      </c>
      <c r="E23" s="813"/>
      <c r="F23" s="813"/>
      <c r="G23" s="813"/>
      <c r="H23" s="813"/>
      <c r="I23" s="813"/>
      <c r="J23" s="813"/>
      <c r="K23" s="813"/>
      <c r="L23" s="813"/>
      <c r="M23" s="813"/>
      <c r="N23" s="813"/>
      <c r="O23" s="814"/>
      <c r="R23" s="389"/>
      <c r="S23" s="389"/>
      <c r="T23" s="389" t="s">
        <v>731</v>
      </c>
      <c r="U23" s="389"/>
    </row>
    <row r="24" spans="1:21" ht="15.95" customHeight="1">
      <c r="A24" s="808"/>
      <c r="B24" s="808"/>
      <c r="C24" s="808"/>
      <c r="D24" s="815" t="s">
        <v>578</v>
      </c>
      <c r="E24" s="817" t="s">
        <v>580</v>
      </c>
      <c r="F24" s="818"/>
      <c r="G24" s="818"/>
      <c r="H24" s="818"/>
      <c r="I24" s="818"/>
      <c r="J24" s="818"/>
      <c r="K24" s="818"/>
      <c r="L24" s="818"/>
      <c r="M24" s="818"/>
      <c r="N24" s="818"/>
      <c r="O24" s="819"/>
      <c r="R24" s="389"/>
      <c r="S24" s="389"/>
      <c r="T24" s="389"/>
      <c r="U24" s="389"/>
    </row>
    <row r="25" spans="1:21" ht="15.95" customHeight="1">
      <c r="A25" s="808"/>
      <c r="B25" s="808"/>
      <c r="C25" s="808"/>
      <c r="D25" s="815" t="s">
        <v>581</v>
      </c>
      <c r="E25" s="817" t="s">
        <v>580</v>
      </c>
      <c r="F25" s="818"/>
      <c r="G25" s="818"/>
      <c r="H25" s="818"/>
      <c r="I25" s="818"/>
      <c r="J25" s="818"/>
      <c r="K25" s="818"/>
      <c r="L25" s="818"/>
      <c r="M25" s="818"/>
      <c r="N25" s="818"/>
      <c r="O25" s="819"/>
      <c r="R25" s="389"/>
      <c r="S25" s="389"/>
      <c r="T25" s="389"/>
      <c r="U25" s="389"/>
    </row>
    <row r="26" spans="1:21" ht="15.95" customHeight="1">
      <c r="A26" s="808"/>
      <c r="B26" s="808"/>
      <c r="C26" s="808"/>
      <c r="D26" s="815" t="s">
        <v>582</v>
      </c>
      <c r="E26" s="817" t="s">
        <v>583</v>
      </c>
      <c r="F26" s="818"/>
      <c r="G26" s="818"/>
      <c r="H26" s="818"/>
      <c r="I26" s="818"/>
      <c r="J26" s="818"/>
      <c r="K26" s="818"/>
      <c r="L26" s="818"/>
      <c r="M26" s="818"/>
      <c r="N26" s="818"/>
      <c r="O26" s="819"/>
      <c r="R26" s="389"/>
      <c r="S26" s="389"/>
      <c r="T26" s="389"/>
      <c r="U26" s="389"/>
    </row>
    <row r="27" spans="1:21" ht="15.95" customHeight="1">
      <c r="A27" s="808"/>
      <c r="B27" s="808"/>
      <c r="C27" s="808"/>
      <c r="D27" s="815" t="s">
        <v>584</v>
      </c>
      <c r="E27" s="817" t="s">
        <v>580</v>
      </c>
      <c r="F27" s="818"/>
      <c r="G27" s="818"/>
      <c r="H27" s="818"/>
      <c r="I27" s="818"/>
      <c r="J27" s="818"/>
      <c r="K27" s="818"/>
      <c r="L27" s="818"/>
      <c r="M27" s="818"/>
      <c r="N27" s="818"/>
      <c r="O27" s="819"/>
      <c r="R27" s="389"/>
      <c r="S27" s="389"/>
      <c r="T27" s="389"/>
      <c r="U27" s="389"/>
    </row>
    <row r="28" spans="1:21" ht="15.95" customHeight="1">
      <c r="A28" s="808"/>
      <c r="B28" s="808"/>
      <c r="C28" s="808"/>
      <c r="D28" s="815" t="s">
        <v>585</v>
      </c>
      <c r="E28" s="817" t="s">
        <v>580</v>
      </c>
      <c r="F28" s="818"/>
      <c r="G28" s="818"/>
      <c r="H28" s="818"/>
      <c r="I28" s="818"/>
      <c r="J28" s="818"/>
      <c r="K28" s="818"/>
      <c r="L28" s="818"/>
      <c r="M28" s="818"/>
      <c r="N28" s="818"/>
      <c r="O28" s="819"/>
      <c r="R28" s="389"/>
      <c r="S28" s="389"/>
      <c r="T28" s="389"/>
      <c r="U28" s="389"/>
    </row>
    <row r="29" spans="1:21" ht="15.95" customHeight="1">
      <c r="A29" s="808"/>
      <c r="B29" s="808"/>
      <c r="C29" s="808"/>
      <c r="D29" s="815" t="s">
        <v>586</v>
      </c>
      <c r="E29" s="817" t="s">
        <v>587</v>
      </c>
      <c r="F29" s="818"/>
      <c r="G29" s="818"/>
      <c r="H29" s="818"/>
      <c r="I29" s="818"/>
      <c r="J29" s="818"/>
      <c r="K29" s="818"/>
      <c r="L29" s="818"/>
      <c r="M29" s="818"/>
      <c r="N29" s="818"/>
      <c r="O29" s="819"/>
      <c r="R29" s="389"/>
      <c r="S29" s="389"/>
      <c r="T29" s="389"/>
      <c r="U29" s="389"/>
    </row>
    <row r="30" spans="1:21" ht="15.95" customHeight="1">
      <c r="A30" s="808"/>
      <c r="B30" s="808"/>
      <c r="C30" s="808"/>
      <c r="D30" s="815" t="s">
        <v>520</v>
      </c>
      <c r="E30" s="817" t="s">
        <v>587</v>
      </c>
      <c r="F30" s="818"/>
      <c r="G30" s="818"/>
      <c r="H30" s="818"/>
      <c r="I30" s="818"/>
      <c r="J30" s="818"/>
      <c r="K30" s="818"/>
      <c r="L30" s="818"/>
      <c r="M30" s="818"/>
      <c r="N30" s="818"/>
      <c r="O30" s="819"/>
      <c r="R30" s="389"/>
      <c r="S30" s="389"/>
      <c r="T30" s="389"/>
      <c r="U30" s="389"/>
    </row>
    <row r="31" spans="1:21" ht="15.95" customHeight="1">
      <c r="A31" s="808"/>
      <c r="B31" s="808"/>
      <c r="C31" s="808"/>
      <c r="D31" s="815" t="s">
        <v>521</v>
      </c>
      <c r="E31" s="817" t="s">
        <v>587</v>
      </c>
      <c r="F31" s="818"/>
      <c r="G31" s="818"/>
      <c r="H31" s="818"/>
      <c r="I31" s="818"/>
      <c r="J31" s="818"/>
      <c r="K31" s="818"/>
      <c r="L31" s="818"/>
      <c r="M31" s="818"/>
      <c r="N31" s="818"/>
      <c r="O31" s="819"/>
      <c r="R31" s="389"/>
      <c r="S31" s="389"/>
      <c r="T31" s="389"/>
      <c r="U31" s="389"/>
    </row>
    <row r="32" spans="1:21" ht="15.95" customHeight="1">
      <c r="A32" s="808"/>
      <c r="B32" s="808"/>
      <c r="C32" s="808"/>
      <c r="D32" s="815" t="s">
        <v>522</v>
      </c>
      <c r="E32" s="817" t="s">
        <v>524</v>
      </c>
      <c r="F32" s="818"/>
      <c r="G32" s="818"/>
      <c r="H32" s="818"/>
      <c r="I32" s="818"/>
      <c r="J32" s="818"/>
      <c r="K32" s="818"/>
      <c r="L32" s="818"/>
      <c r="M32" s="818"/>
      <c r="N32" s="818"/>
      <c r="O32" s="819"/>
      <c r="R32" s="389"/>
      <c r="S32" s="389"/>
      <c r="T32" s="389"/>
      <c r="U32" s="389"/>
    </row>
    <row r="33" spans="1:21" ht="15.95" customHeight="1">
      <c r="A33" s="808"/>
      <c r="B33" s="808"/>
      <c r="C33" s="808"/>
      <c r="D33" s="815" t="s">
        <v>525</v>
      </c>
      <c r="E33" s="817" t="s">
        <v>526</v>
      </c>
      <c r="F33" s="818"/>
      <c r="G33" s="818"/>
      <c r="H33" s="818"/>
      <c r="I33" s="818"/>
      <c r="J33" s="818"/>
      <c r="K33" s="818"/>
      <c r="L33" s="818"/>
      <c r="M33" s="818"/>
      <c r="N33" s="818"/>
      <c r="O33" s="819"/>
      <c r="R33" s="389"/>
      <c r="S33" s="389"/>
      <c r="T33" s="389"/>
      <c r="U33" s="389"/>
    </row>
    <row r="34" spans="1:21" ht="15.95" customHeight="1">
      <c r="A34" s="808"/>
      <c r="B34" s="808"/>
      <c r="C34" s="808"/>
      <c r="D34" s="815" t="s">
        <v>527</v>
      </c>
      <c r="E34" s="817" t="s">
        <v>528</v>
      </c>
      <c r="F34" s="818"/>
      <c r="G34" s="818"/>
      <c r="H34" s="818"/>
      <c r="I34" s="818"/>
      <c r="J34" s="818"/>
      <c r="K34" s="818"/>
      <c r="L34" s="818"/>
      <c r="M34" s="818"/>
      <c r="N34" s="818"/>
      <c r="O34" s="819"/>
      <c r="R34" s="389"/>
      <c r="S34" s="389"/>
      <c r="T34" s="389"/>
      <c r="U34" s="389"/>
    </row>
    <row r="35" spans="1:21" ht="15.95" customHeight="1">
      <c r="A35" s="808"/>
      <c r="B35" s="808"/>
      <c r="C35" s="808"/>
      <c r="D35" s="816" t="s">
        <v>529</v>
      </c>
      <c r="E35" s="820" t="s">
        <v>530</v>
      </c>
      <c r="F35" s="821"/>
      <c r="G35" s="821"/>
      <c r="H35" s="821"/>
      <c r="I35" s="821"/>
      <c r="J35" s="821"/>
      <c r="K35" s="821"/>
      <c r="L35" s="821"/>
      <c r="M35" s="821"/>
      <c r="N35" s="821"/>
      <c r="O35" s="822"/>
      <c r="R35" s="389"/>
      <c r="S35" s="389"/>
      <c r="T35" s="389"/>
      <c r="U35" s="389"/>
    </row>
    <row r="36" spans="1:21" ht="15.95" customHeight="1">
      <c r="A36" s="808"/>
      <c r="B36" s="808"/>
      <c r="C36" s="808"/>
      <c r="D36" s="808"/>
      <c r="E36" s="808"/>
      <c r="F36" s="808"/>
      <c r="G36" s="808"/>
      <c r="H36" s="808"/>
      <c r="I36" s="808"/>
      <c r="J36" s="808"/>
      <c r="K36" s="808"/>
      <c r="L36" s="808"/>
      <c r="M36" s="808"/>
      <c r="N36" s="808"/>
      <c r="O36" s="808"/>
      <c r="R36" s="389"/>
      <c r="S36" s="389"/>
      <c r="T36" s="389"/>
      <c r="U36" s="389"/>
    </row>
    <row r="37" spans="1:21" ht="15.95" customHeight="1">
      <c r="A37" s="808"/>
      <c r="B37" s="808" t="s">
        <v>531</v>
      </c>
      <c r="C37" s="808"/>
      <c r="D37" s="808"/>
      <c r="E37" s="808"/>
      <c r="F37" s="808"/>
      <c r="G37" s="808"/>
      <c r="H37" s="808"/>
      <c r="I37" s="808"/>
      <c r="J37" s="808"/>
      <c r="K37" s="808"/>
      <c r="L37" s="808"/>
      <c r="M37" s="808"/>
      <c r="N37" s="808"/>
      <c r="O37" s="808"/>
      <c r="R37" s="389"/>
      <c r="S37" s="389"/>
      <c r="T37" s="389"/>
      <c r="U37" s="389"/>
    </row>
    <row r="38" spans="1:21" ht="15.95" customHeight="1">
      <c r="A38" s="808"/>
      <c r="B38" s="808"/>
      <c r="C38" s="808" t="s">
        <v>732</v>
      </c>
      <c r="D38" s="808"/>
      <c r="E38" s="808"/>
      <c r="F38" s="808"/>
      <c r="G38" s="808"/>
      <c r="H38" s="808"/>
      <c r="I38" s="808"/>
      <c r="J38" s="808"/>
      <c r="K38" s="808"/>
      <c r="L38" s="808"/>
      <c r="M38" s="808"/>
      <c r="N38" s="808"/>
      <c r="O38" s="808"/>
      <c r="R38" s="389"/>
      <c r="S38" s="389"/>
      <c r="T38" s="389"/>
      <c r="U38" s="389"/>
    </row>
    <row r="39" spans="1:21" ht="15.95" customHeight="1">
      <c r="A39" s="808"/>
      <c r="B39" s="808"/>
      <c r="C39" s="808" t="s">
        <v>532</v>
      </c>
      <c r="D39" s="808"/>
      <c r="E39" s="808"/>
      <c r="F39" s="808"/>
      <c r="G39" s="808"/>
      <c r="H39" s="808"/>
      <c r="I39" s="808"/>
      <c r="J39" s="808"/>
      <c r="K39" s="808"/>
      <c r="L39" s="808"/>
      <c r="M39" s="808"/>
      <c r="N39" s="808"/>
      <c r="O39" s="808"/>
      <c r="R39" s="389"/>
      <c r="S39" s="389"/>
      <c r="T39" s="389"/>
      <c r="U39" s="389"/>
    </row>
    <row r="40" spans="1:21" ht="15.95" customHeight="1">
      <c r="A40" s="808"/>
      <c r="B40" s="808"/>
      <c r="C40" s="808" t="s">
        <v>533</v>
      </c>
      <c r="D40" s="808"/>
      <c r="E40" s="808"/>
      <c r="F40" s="808"/>
      <c r="G40" s="808"/>
      <c r="H40" s="808"/>
      <c r="I40" s="808"/>
      <c r="J40" s="808"/>
      <c r="K40" s="808"/>
      <c r="L40" s="808"/>
      <c r="M40" s="808"/>
      <c r="N40" s="808"/>
      <c r="O40" s="808"/>
      <c r="R40" s="389"/>
      <c r="S40" s="389"/>
      <c r="T40" s="389"/>
      <c r="U40" s="389"/>
    </row>
    <row r="41" spans="1:21" ht="15.95" customHeight="1">
      <c r="A41" s="808"/>
      <c r="B41" s="808"/>
      <c r="C41" s="808" t="s">
        <v>534</v>
      </c>
      <c r="D41" s="808"/>
      <c r="E41" s="808"/>
      <c r="F41" s="808"/>
      <c r="G41" s="808"/>
      <c r="H41" s="808"/>
      <c r="I41" s="808"/>
      <c r="J41" s="808"/>
      <c r="K41" s="808"/>
      <c r="L41" s="808"/>
      <c r="M41" s="808"/>
      <c r="N41" s="808"/>
      <c r="O41" s="808"/>
      <c r="R41" s="389"/>
      <c r="S41" s="389"/>
      <c r="T41" s="389"/>
      <c r="U41" s="389"/>
    </row>
    <row r="42" spans="1:21" ht="15.95" customHeight="1">
      <c r="A42" s="389"/>
      <c r="B42" s="389"/>
      <c r="C42" s="389"/>
      <c r="D42" s="389"/>
      <c r="E42" s="389"/>
      <c r="F42" s="389"/>
      <c r="G42" s="389"/>
      <c r="H42" s="389"/>
      <c r="I42" s="389"/>
      <c r="J42" s="389"/>
      <c r="K42" s="389"/>
      <c r="L42" s="389"/>
      <c r="M42" s="389"/>
      <c r="N42" s="389"/>
      <c r="O42" s="389"/>
      <c r="R42" s="389"/>
      <c r="S42" s="389"/>
      <c r="T42" s="389"/>
      <c r="U42" s="389"/>
    </row>
    <row r="43" spans="1:21" ht="15.95" customHeight="1">
      <c r="A43" s="389"/>
      <c r="B43" s="389"/>
      <c r="C43" s="389"/>
      <c r="D43" s="389"/>
      <c r="E43" s="389"/>
      <c r="F43" s="389"/>
      <c r="G43" s="389"/>
      <c r="H43" s="389"/>
      <c r="I43" s="389"/>
      <c r="J43" s="389"/>
      <c r="K43" s="389"/>
      <c r="L43" s="389"/>
      <c r="M43" s="389"/>
      <c r="N43" s="389"/>
      <c r="O43" s="389"/>
      <c r="R43" s="389"/>
      <c r="S43" s="389"/>
      <c r="T43" s="389"/>
      <c r="U43" s="389"/>
    </row>
    <row r="44" spans="1:21" ht="15.95" customHeight="1">
      <c r="A44" s="389"/>
      <c r="B44" s="389"/>
      <c r="C44" s="389"/>
      <c r="D44" s="389"/>
      <c r="E44" s="389"/>
      <c r="F44" s="389"/>
      <c r="G44" s="389"/>
      <c r="H44" s="389"/>
      <c r="I44" s="389"/>
      <c r="J44" s="389"/>
      <c r="K44" s="389"/>
      <c r="L44" s="389"/>
      <c r="M44" s="389"/>
      <c r="N44" s="389"/>
      <c r="O44" s="389"/>
      <c r="R44" s="389"/>
      <c r="S44" s="389"/>
      <c r="T44" s="389"/>
      <c r="U44" s="389"/>
    </row>
    <row r="45" spans="1:21" ht="15.95" customHeight="1">
      <c r="A45" s="389"/>
      <c r="B45" s="389"/>
      <c r="C45" s="389"/>
      <c r="D45" s="389"/>
      <c r="E45" s="389"/>
      <c r="F45" s="389"/>
      <c r="G45" s="389"/>
      <c r="H45" s="389"/>
      <c r="I45" s="389"/>
      <c r="J45" s="389"/>
      <c r="K45" s="389"/>
      <c r="L45" s="389"/>
      <c r="M45" s="389"/>
      <c r="N45" s="389"/>
      <c r="O45" s="389"/>
      <c r="R45" s="389"/>
      <c r="S45" s="389"/>
      <c r="T45" s="389"/>
      <c r="U45" s="389"/>
    </row>
    <row r="46" spans="1:21" ht="15.95" customHeight="1">
      <c r="A46" s="389"/>
      <c r="B46" s="389"/>
      <c r="C46" s="389"/>
      <c r="D46" s="389"/>
      <c r="E46" s="389"/>
      <c r="F46" s="389"/>
      <c r="G46" s="389"/>
      <c r="H46" s="389"/>
      <c r="I46" s="389"/>
      <c r="J46" s="389"/>
      <c r="K46" s="389"/>
      <c r="L46" s="389"/>
      <c r="M46" s="389"/>
      <c r="N46" s="389"/>
      <c r="O46" s="389"/>
      <c r="R46" s="389"/>
      <c r="S46" s="389"/>
      <c r="T46" s="389"/>
      <c r="U46" s="389"/>
    </row>
    <row r="47" spans="1:21" ht="15.95" customHeight="1">
      <c r="A47" s="389"/>
      <c r="B47" s="389"/>
      <c r="C47" s="389"/>
      <c r="D47" s="389"/>
      <c r="E47" s="389"/>
      <c r="F47" s="389"/>
      <c r="G47" s="389"/>
      <c r="H47" s="389"/>
      <c r="I47" s="389"/>
      <c r="J47" s="389"/>
      <c r="K47" s="389"/>
      <c r="L47" s="389"/>
      <c r="M47" s="389"/>
      <c r="N47" s="389"/>
      <c r="O47" s="389"/>
      <c r="R47" s="389"/>
      <c r="S47" s="389"/>
      <c r="T47" s="389"/>
      <c r="U47" s="389"/>
    </row>
    <row r="48" spans="1:21" ht="15.95" customHeight="1">
      <c r="A48" s="389"/>
      <c r="B48" s="389"/>
      <c r="C48" s="389"/>
      <c r="D48" s="389"/>
      <c r="E48" s="389"/>
      <c r="F48" s="389"/>
      <c r="G48" s="389"/>
      <c r="H48" s="389"/>
      <c r="I48" s="389"/>
      <c r="J48" s="389"/>
      <c r="K48" s="389"/>
      <c r="L48" s="389"/>
      <c r="M48" s="389"/>
      <c r="N48" s="389"/>
      <c r="O48" s="389"/>
      <c r="R48" s="389"/>
      <c r="S48" s="389"/>
      <c r="T48" s="389"/>
      <c r="U48" s="389"/>
    </row>
    <row r="49" spans="1:21" ht="15.95" customHeight="1">
      <c r="A49" s="389"/>
      <c r="B49" s="389"/>
      <c r="C49" s="389"/>
      <c r="D49" s="389"/>
      <c r="E49" s="389"/>
      <c r="F49" s="389"/>
      <c r="G49" s="389"/>
      <c r="H49" s="389"/>
      <c r="I49" s="389"/>
      <c r="J49" s="389"/>
      <c r="K49" s="389"/>
      <c r="L49" s="389"/>
      <c r="M49" s="389"/>
      <c r="N49" s="389"/>
      <c r="O49" s="389"/>
      <c r="R49" s="389"/>
      <c r="S49" s="389"/>
      <c r="T49" s="389"/>
      <c r="U49" s="389"/>
    </row>
    <row r="50" spans="1:21" ht="15.95" customHeight="1">
      <c r="A50" s="389"/>
      <c r="B50" s="389"/>
      <c r="C50" s="389"/>
      <c r="D50" s="389"/>
      <c r="E50" s="389"/>
      <c r="F50" s="389"/>
      <c r="G50" s="389"/>
      <c r="H50" s="389"/>
      <c r="I50" s="389"/>
      <c r="J50" s="389"/>
      <c r="K50" s="389"/>
      <c r="L50" s="389"/>
      <c r="M50" s="389"/>
      <c r="N50" s="389"/>
      <c r="O50" s="389"/>
      <c r="R50" s="389"/>
      <c r="S50" s="389"/>
      <c r="T50" s="389"/>
      <c r="U50" s="389"/>
    </row>
    <row r="51" spans="1:21" ht="15.95" customHeight="1">
      <c r="A51" s="389"/>
      <c r="B51" s="389"/>
      <c r="C51" s="389"/>
      <c r="D51" s="389"/>
      <c r="E51" s="389"/>
      <c r="F51" s="389"/>
      <c r="G51" s="389"/>
      <c r="H51" s="389"/>
      <c r="I51" s="389"/>
      <c r="J51" s="389"/>
      <c r="K51" s="389"/>
      <c r="L51" s="389"/>
      <c r="M51" s="389"/>
      <c r="N51" s="389"/>
      <c r="O51" s="389"/>
      <c r="R51" s="389"/>
      <c r="S51" s="389"/>
      <c r="T51" s="389"/>
      <c r="U51" s="389"/>
    </row>
    <row r="52" spans="1:21" ht="15.95" customHeight="1">
      <c r="A52" s="389"/>
      <c r="B52" s="389"/>
      <c r="C52" s="389"/>
      <c r="D52" s="389"/>
      <c r="E52" s="389"/>
      <c r="F52" s="389"/>
      <c r="G52" s="389"/>
      <c r="H52" s="389"/>
      <c r="I52" s="389"/>
      <c r="J52" s="389"/>
      <c r="K52" s="389"/>
      <c r="L52" s="389"/>
      <c r="M52" s="389"/>
      <c r="N52" s="389"/>
      <c r="O52" s="389"/>
      <c r="R52" s="389"/>
      <c r="S52" s="389"/>
      <c r="T52" s="389"/>
      <c r="U52" s="389"/>
    </row>
    <row r="53" spans="1:21" ht="15.95" customHeight="1">
      <c r="A53" s="389"/>
      <c r="B53" s="389"/>
      <c r="C53" s="389"/>
      <c r="D53" s="389"/>
      <c r="E53" s="389"/>
      <c r="F53" s="389"/>
      <c r="G53" s="389"/>
      <c r="H53" s="389"/>
      <c r="I53" s="389"/>
      <c r="J53" s="389"/>
      <c r="K53" s="389"/>
      <c r="L53" s="389"/>
      <c r="M53" s="389"/>
      <c r="N53" s="389"/>
      <c r="O53" s="389"/>
      <c r="R53" s="389"/>
      <c r="S53" s="389"/>
      <c r="T53" s="389"/>
      <c r="U53" s="389"/>
    </row>
    <row r="54" spans="1:21" ht="15.95" customHeight="1">
      <c r="A54" s="389"/>
      <c r="B54" s="389"/>
      <c r="C54" s="389"/>
      <c r="D54" s="389"/>
      <c r="E54" s="389"/>
      <c r="F54" s="389"/>
      <c r="G54" s="389"/>
      <c r="H54" s="389"/>
      <c r="I54" s="389"/>
      <c r="J54" s="389"/>
      <c r="K54" s="389"/>
      <c r="L54" s="389"/>
      <c r="M54" s="389"/>
      <c r="N54" s="389"/>
      <c r="O54" s="389"/>
      <c r="R54" s="389"/>
      <c r="S54" s="389"/>
      <c r="T54" s="389"/>
      <c r="U54" s="389"/>
    </row>
    <row r="55" spans="1:21" ht="15.95" customHeight="1">
      <c r="A55" s="389"/>
      <c r="B55" s="389"/>
      <c r="C55" s="389"/>
      <c r="D55" s="389"/>
      <c r="E55" s="389"/>
      <c r="F55" s="389"/>
      <c r="G55" s="389"/>
      <c r="H55" s="389"/>
      <c r="I55" s="389"/>
      <c r="J55" s="389"/>
      <c r="K55" s="389"/>
      <c r="L55" s="389"/>
      <c r="M55" s="389"/>
      <c r="N55" s="389"/>
      <c r="O55" s="389"/>
      <c r="R55" s="389"/>
      <c r="S55" s="389"/>
      <c r="T55" s="389"/>
      <c r="U55" s="389"/>
    </row>
    <row r="56" spans="1:21" ht="15.95" customHeight="1">
      <c r="A56" s="389"/>
      <c r="B56" s="389"/>
      <c r="C56" s="389"/>
      <c r="D56" s="389"/>
      <c r="E56" s="389"/>
      <c r="F56" s="389"/>
      <c r="G56" s="389"/>
      <c r="H56" s="389"/>
      <c r="I56" s="389"/>
      <c r="J56" s="389"/>
      <c r="K56" s="389"/>
      <c r="L56" s="389"/>
      <c r="M56" s="389"/>
      <c r="N56" s="389"/>
      <c r="O56" s="389"/>
      <c r="R56" s="389"/>
      <c r="S56" s="389"/>
      <c r="T56" s="389"/>
      <c r="U56" s="389"/>
    </row>
    <row r="57" spans="1:21" ht="15.95" customHeight="1">
      <c r="A57" s="389"/>
      <c r="B57" s="389"/>
      <c r="C57" s="389"/>
      <c r="D57" s="389"/>
      <c r="E57" s="389"/>
      <c r="F57" s="389"/>
      <c r="G57" s="389"/>
      <c r="H57" s="389"/>
      <c r="I57" s="389"/>
      <c r="J57" s="389"/>
      <c r="K57" s="389"/>
      <c r="L57" s="389"/>
      <c r="M57" s="389"/>
      <c r="N57" s="389"/>
      <c r="O57" s="389"/>
      <c r="R57" s="389"/>
      <c r="S57" s="389"/>
      <c r="T57" s="389"/>
      <c r="U57" s="389"/>
    </row>
    <row r="58" spans="1:21" ht="15.95" customHeight="1">
      <c r="A58" s="389"/>
      <c r="B58" s="389"/>
      <c r="C58" s="389"/>
      <c r="D58" s="389"/>
      <c r="E58" s="389"/>
      <c r="F58" s="389"/>
      <c r="G58" s="389"/>
      <c r="H58" s="389"/>
      <c r="I58" s="389"/>
      <c r="J58" s="389"/>
      <c r="K58" s="389"/>
      <c r="L58" s="389"/>
      <c r="M58" s="389"/>
      <c r="N58" s="389"/>
      <c r="O58" s="389"/>
      <c r="R58" s="389"/>
      <c r="S58" s="389"/>
      <c r="T58" s="389"/>
      <c r="U58" s="389"/>
    </row>
    <row r="59" spans="1:21" ht="15.95" customHeight="1">
      <c r="A59" s="389"/>
      <c r="B59" s="389"/>
      <c r="C59" s="389"/>
      <c r="D59" s="389"/>
      <c r="E59" s="389"/>
      <c r="F59" s="389"/>
      <c r="G59" s="389"/>
      <c r="H59" s="389"/>
      <c r="I59" s="389"/>
      <c r="J59" s="389"/>
      <c r="K59" s="389"/>
      <c r="L59" s="389"/>
      <c r="M59" s="389"/>
      <c r="N59" s="389"/>
      <c r="O59" s="389"/>
      <c r="R59" s="389"/>
      <c r="S59" s="389"/>
      <c r="T59" s="389"/>
      <c r="U59" s="389"/>
    </row>
    <row r="60" spans="1:21" ht="15.95" customHeight="1">
      <c r="A60" s="389"/>
      <c r="B60" s="389"/>
      <c r="C60" s="389"/>
      <c r="D60" s="389"/>
      <c r="E60" s="389"/>
      <c r="F60" s="389"/>
      <c r="G60" s="389"/>
      <c r="H60" s="389"/>
      <c r="I60" s="389"/>
      <c r="J60" s="389"/>
      <c r="K60" s="389"/>
      <c r="L60" s="389"/>
      <c r="M60" s="389"/>
      <c r="N60" s="389"/>
      <c r="O60" s="389"/>
      <c r="R60" s="389"/>
      <c r="S60" s="389"/>
      <c r="T60" s="389"/>
      <c r="U60" s="389"/>
    </row>
    <row r="61" spans="1:21" ht="15.95" customHeight="1">
      <c r="A61" s="389"/>
      <c r="B61" s="389"/>
      <c r="C61" s="389"/>
      <c r="D61" s="389"/>
      <c r="E61" s="389"/>
      <c r="F61" s="389"/>
      <c r="G61" s="389"/>
      <c r="H61" s="389"/>
      <c r="I61" s="389"/>
      <c r="J61" s="389"/>
      <c r="K61" s="389"/>
      <c r="L61" s="389"/>
      <c r="M61" s="389"/>
      <c r="N61" s="389"/>
      <c r="O61" s="389"/>
    </row>
    <row r="62" spans="1:21" ht="15.95" customHeight="1">
      <c r="A62" s="389"/>
      <c r="B62" s="389"/>
      <c r="C62" s="389"/>
      <c r="D62" s="389"/>
      <c r="E62" s="389"/>
      <c r="F62" s="389"/>
      <c r="G62" s="389"/>
      <c r="H62" s="389"/>
      <c r="I62" s="389"/>
      <c r="J62" s="389"/>
      <c r="K62" s="389"/>
      <c r="L62" s="389"/>
      <c r="M62" s="389"/>
      <c r="N62" s="389"/>
      <c r="O62" s="389"/>
    </row>
    <row r="63" spans="1:21" ht="15.95" customHeight="1">
      <c r="A63" s="389"/>
      <c r="B63" s="389"/>
      <c r="C63" s="389"/>
      <c r="D63" s="389"/>
      <c r="E63" s="389"/>
      <c r="F63" s="389"/>
      <c r="G63" s="389"/>
      <c r="H63" s="389"/>
      <c r="I63" s="389"/>
      <c r="J63" s="389"/>
      <c r="K63" s="389"/>
      <c r="L63" s="389"/>
      <c r="M63" s="389"/>
      <c r="N63" s="389"/>
      <c r="O63" s="389"/>
    </row>
    <row r="64" spans="1:21" ht="15.95" customHeight="1">
      <c r="A64" s="389"/>
      <c r="B64" s="389"/>
      <c r="C64" s="389"/>
      <c r="D64" s="389"/>
      <c r="E64" s="389"/>
      <c r="F64" s="389"/>
      <c r="G64" s="389"/>
      <c r="H64" s="389"/>
      <c r="I64" s="389"/>
      <c r="J64" s="389"/>
      <c r="K64" s="389"/>
      <c r="L64" s="389"/>
      <c r="M64" s="389"/>
      <c r="N64" s="389"/>
      <c r="O64" s="389"/>
    </row>
    <row r="65" spans="1:15" ht="15.95" customHeight="1">
      <c r="A65" s="389"/>
      <c r="B65" s="389"/>
      <c r="C65" s="389"/>
      <c r="D65" s="389"/>
      <c r="E65" s="389"/>
      <c r="F65" s="389"/>
      <c r="G65" s="389"/>
      <c r="H65" s="389"/>
      <c r="I65" s="389"/>
      <c r="J65" s="389"/>
      <c r="K65" s="389"/>
      <c r="L65" s="389"/>
      <c r="M65" s="389"/>
      <c r="N65" s="389"/>
      <c r="O65" s="389"/>
    </row>
    <row r="66" spans="1:15" ht="15.95" customHeight="1">
      <c r="A66" s="389"/>
      <c r="B66" s="389"/>
      <c r="C66" s="389"/>
      <c r="D66" s="389"/>
      <c r="E66" s="389"/>
      <c r="F66" s="389"/>
      <c r="G66" s="389"/>
      <c r="H66" s="389"/>
      <c r="I66" s="389"/>
      <c r="J66" s="389"/>
      <c r="K66" s="389"/>
      <c r="L66" s="389"/>
      <c r="M66" s="389"/>
      <c r="N66" s="389"/>
      <c r="O66" s="389"/>
    </row>
    <row r="67" spans="1:15" ht="15.95" customHeight="1">
      <c r="A67" s="389"/>
      <c r="B67" s="389"/>
      <c r="C67" s="389"/>
      <c r="D67" s="389"/>
      <c r="E67" s="389"/>
      <c r="F67" s="389"/>
      <c r="G67" s="389"/>
      <c r="H67" s="389"/>
      <c r="I67" s="389"/>
      <c r="J67" s="389"/>
      <c r="K67" s="389"/>
      <c r="L67" s="389"/>
      <c r="M67" s="389"/>
      <c r="N67" s="389"/>
      <c r="O67" s="389"/>
    </row>
    <row r="68" spans="1:15" ht="15.95" customHeight="1">
      <c r="A68" s="389"/>
      <c r="B68" s="389"/>
      <c r="C68" s="389"/>
      <c r="D68" s="389"/>
      <c r="E68" s="389"/>
      <c r="F68" s="389"/>
      <c r="G68" s="389"/>
      <c r="H68" s="389"/>
      <c r="I68" s="389"/>
      <c r="J68" s="389"/>
      <c r="K68" s="389"/>
      <c r="L68" s="389"/>
      <c r="M68" s="389"/>
      <c r="N68" s="389"/>
      <c r="O68" s="389"/>
    </row>
    <row r="69" spans="1:15" ht="15.95" customHeight="1">
      <c r="A69" s="389"/>
      <c r="B69" s="389"/>
      <c r="C69" s="389"/>
      <c r="D69" s="389"/>
      <c r="E69" s="389"/>
      <c r="F69" s="389"/>
      <c r="G69" s="389"/>
      <c r="H69" s="389"/>
      <c r="I69" s="389"/>
      <c r="J69" s="389"/>
      <c r="K69" s="389"/>
      <c r="L69" s="389"/>
      <c r="M69" s="389"/>
      <c r="N69" s="389"/>
      <c r="O69" s="389"/>
    </row>
    <row r="70" spans="1:15" ht="15.95" customHeight="1">
      <c r="A70" s="389"/>
      <c r="B70" s="389"/>
      <c r="C70" s="389"/>
      <c r="D70" s="389"/>
      <c r="E70" s="389"/>
      <c r="F70" s="389"/>
      <c r="G70" s="389"/>
      <c r="H70" s="389"/>
      <c r="I70" s="389"/>
      <c r="J70" s="389"/>
      <c r="K70" s="389"/>
      <c r="L70" s="389"/>
      <c r="M70" s="389"/>
      <c r="N70" s="389"/>
      <c r="O70" s="389"/>
    </row>
    <row r="71" spans="1:15" ht="15.95" customHeight="1">
      <c r="A71" s="389"/>
      <c r="B71" s="389"/>
      <c r="C71" s="389"/>
      <c r="D71" s="389"/>
      <c r="E71" s="389"/>
      <c r="F71" s="389"/>
      <c r="G71" s="389"/>
      <c r="H71" s="389"/>
      <c r="I71" s="389"/>
      <c r="J71" s="389"/>
      <c r="K71" s="389"/>
      <c r="L71" s="389"/>
      <c r="M71" s="389"/>
      <c r="N71" s="389"/>
      <c r="O71" s="389"/>
    </row>
    <row r="72" spans="1:15" ht="15.95" customHeight="1">
      <c r="A72" s="389"/>
      <c r="B72" s="389"/>
      <c r="C72" s="389"/>
      <c r="D72" s="389"/>
      <c r="E72" s="389"/>
      <c r="F72" s="389"/>
      <c r="G72" s="389"/>
      <c r="H72" s="389"/>
      <c r="I72" s="389"/>
      <c r="J72" s="389"/>
      <c r="K72" s="389"/>
      <c r="L72" s="389"/>
      <c r="M72" s="389"/>
      <c r="N72" s="389"/>
      <c r="O72" s="389"/>
    </row>
    <row r="73" spans="1:15" ht="15.95" customHeight="1">
      <c r="A73" s="389"/>
      <c r="B73" s="389"/>
      <c r="C73" s="389"/>
      <c r="D73" s="389"/>
      <c r="E73" s="389"/>
      <c r="F73" s="389"/>
      <c r="G73" s="389"/>
      <c r="H73" s="389"/>
      <c r="I73" s="389"/>
      <c r="J73" s="389"/>
      <c r="K73" s="389"/>
      <c r="L73" s="389"/>
      <c r="M73" s="389"/>
      <c r="N73" s="389"/>
      <c r="O73" s="389"/>
    </row>
    <row r="74" spans="1:15" ht="15.95" customHeight="1">
      <c r="A74" s="389"/>
      <c r="B74" s="389"/>
      <c r="C74" s="389"/>
      <c r="D74" s="389"/>
      <c r="E74" s="389"/>
      <c r="F74" s="389"/>
      <c r="G74" s="389"/>
      <c r="H74" s="389"/>
      <c r="I74" s="389"/>
      <c r="J74" s="389"/>
      <c r="K74" s="389"/>
      <c r="L74" s="389"/>
      <c r="M74" s="389"/>
      <c r="N74" s="389"/>
      <c r="O74" s="389"/>
    </row>
    <row r="75" spans="1:15" ht="15.95" customHeight="1">
      <c r="A75" s="389"/>
      <c r="B75" s="389"/>
      <c r="C75" s="389"/>
      <c r="D75" s="389"/>
      <c r="E75" s="389"/>
      <c r="F75" s="389"/>
      <c r="G75" s="389"/>
      <c r="H75" s="389"/>
      <c r="I75" s="389"/>
      <c r="J75" s="389"/>
      <c r="K75" s="389"/>
      <c r="L75" s="389"/>
      <c r="M75" s="389"/>
      <c r="N75" s="389"/>
      <c r="O75" s="389"/>
    </row>
    <row r="76" spans="1:15" ht="15.95" customHeight="1">
      <c r="A76" s="389"/>
      <c r="B76" s="389"/>
      <c r="C76" s="389"/>
      <c r="D76" s="389"/>
      <c r="E76" s="389"/>
      <c r="F76" s="389"/>
      <c r="G76" s="389"/>
      <c r="H76" s="389"/>
      <c r="I76" s="389"/>
      <c r="J76" s="389"/>
      <c r="K76" s="389"/>
      <c r="L76" s="389"/>
      <c r="M76" s="389"/>
      <c r="N76" s="389"/>
      <c r="O76" s="389"/>
    </row>
    <row r="77" spans="1:15" ht="15.95" customHeight="1">
      <c r="A77" s="389"/>
      <c r="B77" s="389"/>
      <c r="C77" s="389"/>
      <c r="D77" s="389"/>
      <c r="E77" s="389"/>
      <c r="F77" s="389"/>
      <c r="G77" s="389"/>
      <c r="H77" s="389"/>
      <c r="I77" s="389"/>
      <c r="J77" s="389"/>
      <c r="K77" s="389"/>
      <c r="L77" s="389"/>
      <c r="M77" s="389"/>
      <c r="N77" s="389"/>
      <c r="O77" s="389"/>
    </row>
    <row r="78" spans="1:15" ht="15.95" customHeight="1">
      <c r="A78" s="389"/>
      <c r="B78" s="389"/>
      <c r="C78" s="389"/>
      <c r="D78" s="389"/>
      <c r="E78" s="389"/>
      <c r="F78" s="389"/>
      <c r="G78" s="389"/>
      <c r="H78" s="389"/>
      <c r="I78" s="389"/>
      <c r="J78" s="389"/>
      <c r="K78" s="389"/>
      <c r="L78" s="389"/>
      <c r="M78" s="389"/>
      <c r="N78" s="389"/>
      <c r="O78" s="389"/>
    </row>
    <row r="79" spans="1:15" ht="15.95" customHeight="1"/>
    <row r="80" spans="1:15"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sheetData>
  <pageMargins left="1.25" right="1.25" top="1.25" bottom="1.2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S86"/>
  <sheetViews>
    <sheetView workbookViewId="0">
      <selection activeCell="C5" sqref="C5:K13"/>
    </sheetView>
  </sheetViews>
  <sheetFormatPr defaultColWidth="8.83203125" defaultRowHeight="11.25"/>
  <cols>
    <col min="1" max="1" width="4.83203125" style="373" customWidth="1"/>
    <col min="2" max="2" width="9.83203125" style="373" customWidth="1"/>
    <col min="3" max="3" width="4.83203125" style="373" customWidth="1"/>
    <col min="4" max="4" width="6.83203125" style="387" customWidth="1"/>
    <col min="5" max="5" width="8.83203125" style="373" customWidth="1"/>
    <col min="6" max="12" width="9.83203125" style="373" customWidth="1"/>
    <col min="13" max="16" width="9.83203125" style="387" customWidth="1"/>
    <col min="17" max="17" width="4.83203125" style="373" customWidth="1"/>
    <col min="18" max="18" width="5.83203125" style="373" customWidth="1"/>
    <col min="19" max="19" width="28.83203125" style="373" customWidth="1"/>
    <col min="20" max="24" width="9.83203125" style="373" customWidth="1"/>
    <col min="25" max="25" width="6.5" style="373" customWidth="1"/>
    <col min="26" max="26" width="5.83203125" style="373" customWidth="1"/>
    <col min="27" max="29" width="9.83203125" style="373" customWidth="1"/>
    <col min="30" max="30" width="28.83203125" style="373" customWidth="1"/>
    <col min="31" max="31" width="12.83203125" style="373" customWidth="1"/>
    <col min="32" max="32" width="15.5" style="373" customWidth="1"/>
    <col min="33" max="33" width="9.83203125" style="625" customWidth="1"/>
    <col min="34" max="46" width="9.83203125" style="373" customWidth="1"/>
    <col min="47" max="16384" width="8.83203125" style="373"/>
  </cols>
  <sheetData>
    <row r="1" spans="1:38" ht="18" customHeight="1">
      <c r="A1" s="310"/>
      <c r="B1" s="1642" t="s">
        <v>376</v>
      </c>
      <c r="C1" s="1642"/>
      <c r="D1" s="1642"/>
      <c r="E1" s="1642"/>
      <c r="F1" s="1642"/>
      <c r="G1" s="1642"/>
      <c r="H1" s="1642"/>
      <c r="I1" s="1642"/>
      <c r="J1" s="1642"/>
      <c r="K1" s="1642"/>
      <c r="L1" s="1642"/>
      <c r="M1" s="1642"/>
      <c r="N1" s="1642"/>
      <c r="O1" s="1642"/>
      <c r="P1" s="1642"/>
      <c r="Q1" s="310"/>
      <c r="R1" s="309"/>
      <c r="S1" s="309"/>
      <c r="T1" s="309"/>
      <c r="U1" s="309"/>
      <c r="V1" s="309"/>
      <c r="W1" s="309"/>
      <c r="X1" s="309"/>
      <c r="Y1" s="309"/>
      <c r="Z1" s="309"/>
      <c r="AA1" s="359"/>
      <c r="AB1" s="359"/>
      <c r="AC1" s="359"/>
      <c r="AD1" s="625"/>
      <c r="AE1" s="625"/>
      <c r="AF1" s="625"/>
      <c r="AH1" s="625"/>
      <c r="AI1" s="625"/>
      <c r="AJ1" s="625"/>
      <c r="AK1" s="625"/>
      <c r="AL1" s="625"/>
    </row>
    <row r="2" spans="1:38" ht="20.100000000000001" customHeight="1">
      <c r="A2" s="1643" t="s">
        <v>376</v>
      </c>
      <c r="B2" s="1644" t="s">
        <v>392</v>
      </c>
      <c r="C2" s="1644"/>
      <c r="D2" s="1644"/>
      <c r="E2" s="1644"/>
      <c r="F2" s="1644"/>
      <c r="G2" s="1644"/>
      <c r="H2" s="1644"/>
      <c r="I2" s="1644"/>
      <c r="J2" s="1644"/>
      <c r="K2" s="1644"/>
      <c r="L2" s="1644"/>
      <c r="M2" s="1644"/>
      <c r="N2" s="1644"/>
      <c r="O2" s="1644"/>
      <c r="P2" s="1644"/>
      <c r="Q2" s="1643" t="s">
        <v>376</v>
      </c>
      <c r="R2" s="433" t="str">
        <f>S62</f>
        <v>GA</v>
      </c>
      <c r="S2" s="1645" t="s">
        <v>393</v>
      </c>
      <c r="T2" s="1645"/>
      <c r="U2" s="1645"/>
      <c r="V2" s="1645"/>
      <c r="W2" s="1645"/>
      <c r="X2" s="1645"/>
      <c r="Y2" s="1645"/>
      <c r="Z2" s="434"/>
      <c r="AA2" s="436"/>
      <c r="AB2" s="436"/>
      <c r="AC2" s="436"/>
      <c r="AD2" s="625"/>
      <c r="AE2" s="625"/>
      <c r="AF2" s="625"/>
      <c r="AH2" s="625"/>
      <c r="AI2" s="625"/>
      <c r="AJ2" s="625"/>
      <c r="AK2" s="625"/>
      <c r="AL2" s="625"/>
    </row>
    <row r="3" spans="1:38" ht="15.95" customHeight="1">
      <c r="A3" s="1643"/>
      <c r="B3" s="308"/>
      <c r="C3" s="308"/>
      <c r="D3" s="308"/>
      <c r="E3" s="308"/>
      <c r="F3" s="308"/>
      <c r="G3" s="308"/>
      <c r="H3" s="308"/>
      <c r="I3" s="308"/>
      <c r="J3" s="308"/>
      <c r="K3" s="308"/>
      <c r="L3" s="308"/>
      <c r="M3" s="308"/>
      <c r="N3" s="308"/>
      <c r="O3" s="308"/>
      <c r="P3" s="308"/>
      <c r="Q3" s="1643"/>
      <c r="R3" s="1491" t="s">
        <v>210</v>
      </c>
      <c r="S3" s="1492"/>
      <c r="T3" s="1492"/>
      <c r="U3" s="1492"/>
      <c r="V3" s="1492"/>
      <c r="W3" s="1492"/>
      <c r="X3" s="1492"/>
      <c r="Y3" s="1492"/>
      <c r="Z3" s="1493"/>
      <c r="AA3" s="359"/>
      <c r="AB3" s="359"/>
      <c r="AC3" s="359"/>
      <c r="AD3" s="625"/>
      <c r="AE3" s="625"/>
      <c r="AF3" s="625"/>
      <c r="AH3" s="625"/>
      <c r="AI3" s="625"/>
      <c r="AJ3" s="625"/>
      <c r="AK3" s="625"/>
      <c r="AL3" s="625"/>
    </row>
    <row r="4" spans="1:38" ht="15.95" customHeight="1" thickBot="1">
      <c r="A4" s="1643"/>
      <c r="B4" s="308"/>
      <c r="C4" s="308"/>
      <c r="D4" s="308"/>
      <c r="E4" s="313"/>
      <c r="F4" s="313"/>
      <c r="G4" s="313"/>
      <c r="H4" s="313"/>
      <c r="I4" s="313"/>
      <c r="J4" s="308"/>
      <c r="K4" s="308"/>
      <c r="L4" s="308"/>
      <c r="M4" s="308"/>
      <c r="N4" s="308"/>
      <c r="O4" s="308"/>
      <c r="P4" s="308"/>
      <c r="Q4" s="1643"/>
      <c r="R4" s="1491"/>
      <c r="S4" s="1492"/>
      <c r="T4" s="1492"/>
      <c r="U4" s="1492"/>
      <c r="V4" s="1492"/>
      <c r="W4" s="1492"/>
      <c r="X4" s="1492"/>
      <c r="Y4" s="1492"/>
      <c r="Z4" s="1493"/>
      <c r="AA4" s="359"/>
      <c r="AB4" s="359"/>
      <c r="AC4" s="359"/>
      <c r="AD4" s="625"/>
      <c r="AE4" s="625"/>
      <c r="AF4" s="625"/>
      <c r="AH4" s="625"/>
      <c r="AI4" s="625"/>
      <c r="AJ4" s="625"/>
      <c r="AK4" s="625"/>
      <c r="AL4" s="625"/>
    </row>
    <row r="5" spans="1:38" ht="21.95" customHeight="1">
      <c r="A5" s="1643"/>
      <c r="B5" s="308"/>
      <c r="C5" s="638" t="str">
        <f>'FIG9'!$S$62</f>
        <v>GA</v>
      </c>
      <c r="D5" s="1670" t="s">
        <v>440</v>
      </c>
      <c r="E5" s="1670"/>
      <c r="F5" s="1670"/>
      <c r="G5" s="1670"/>
      <c r="H5" s="1670"/>
      <c r="I5" s="1670"/>
      <c r="J5" s="1670"/>
      <c r="K5" s="1671"/>
      <c r="L5" s="308"/>
      <c r="M5" s="308"/>
      <c r="N5" s="308"/>
      <c r="O5" s="308"/>
      <c r="P5" s="308"/>
      <c r="Q5" s="1643"/>
      <c r="R5" s="1491"/>
      <c r="S5" s="1492"/>
      <c r="T5" s="1492"/>
      <c r="U5" s="1492"/>
      <c r="V5" s="1492"/>
      <c r="W5" s="1492"/>
      <c r="X5" s="1492"/>
      <c r="Y5" s="1492"/>
      <c r="Z5" s="1493"/>
      <c r="AA5" s="359"/>
      <c r="AB5" s="359"/>
      <c r="AC5" s="359"/>
      <c r="AD5" s="625"/>
      <c r="AE5" s="625"/>
      <c r="AF5" s="625"/>
      <c r="AH5" s="625"/>
      <c r="AI5" s="625"/>
      <c r="AJ5" s="625"/>
      <c r="AK5" s="625"/>
      <c r="AL5" s="625"/>
    </row>
    <row r="6" spans="1:38" ht="21.95" customHeight="1" thickBot="1">
      <c r="A6" s="1643"/>
      <c r="B6" s="308"/>
      <c r="C6" s="639"/>
      <c r="D6" s="1674" t="s">
        <v>433</v>
      </c>
      <c r="E6" s="1674"/>
      <c r="F6" s="1674"/>
      <c r="G6" s="1674"/>
      <c r="H6" s="1674"/>
      <c r="I6" s="1674"/>
      <c r="J6" s="1674"/>
      <c r="K6" s="1675"/>
      <c r="L6" s="308"/>
      <c r="M6" s="308"/>
      <c r="N6" s="308"/>
      <c r="O6" s="308"/>
      <c r="P6" s="308"/>
      <c r="Q6" s="1643"/>
      <c r="R6" s="1494"/>
      <c r="S6" s="1495"/>
      <c r="T6" s="1495"/>
      <c r="U6" s="1495"/>
      <c r="V6" s="1495"/>
      <c r="W6" s="1495"/>
      <c r="X6" s="1495"/>
      <c r="Y6" s="1495"/>
      <c r="Z6" s="1496"/>
      <c r="AA6" s="359"/>
      <c r="AB6" s="359"/>
      <c r="AC6" s="359"/>
      <c r="AD6" s="625"/>
      <c r="AE6" s="625"/>
      <c r="AF6" s="625"/>
      <c r="AH6" s="625"/>
      <c r="AI6" s="625"/>
      <c r="AJ6" s="625"/>
      <c r="AK6" s="625"/>
      <c r="AL6" s="625"/>
    </row>
    <row r="7" spans="1:38" ht="18" customHeight="1" thickBot="1">
      <c r="A7" s="1643"/>
      <c r="B7" s="308"/>
      <c r="C7" s="633" t="s">
        <v>396</v>
      </c>
      <c r="D7" s="634"/>
      <c r="E7" s="635" t="str">
        <f>T42</f>
        <v>FY2003</v>
      </c>
      <c r="F7" s="636" t="s">
        <v>399</v>
      </c>
      <c r="G7" s="637" t="s">
        <v>145</v>
      </c>
      <c r="H7" s="637" t="s">
        <v>144</v>
      </c>
      <c r="I7" s="637" t="s">
        <v>143</v>
      </c>
      <c r="J7" s="645" t="s">
        <v>149</v>
      </c>
      <c r="K7" s="646" t="s">
        <v>146</v>
      </c>
      <c r="L7" s="308"/>
      <c r="M7" s="308"/>
      <c r="N7" s="308"/>
      <c r="O7" s="308"/>
      <c r="P7" s="308"/>
      <c r="Q7" s="1643"/>
      <c r="R7" s="1488"/>
      <c r="S7" s="1489"/>
      <c r="T7" s="1489"/>
      <c r="U7" s="1489"/>
      <c r="V7" s="1489"/>
      <c r="W7" s="1489"/>
      <c r="X7" s="1489"/>
      <c r="Y7" s="1489"/>
      <c r="Z7" s="1490"/>
      <c r="AA7" s="359"/>
      <c r="AB7" s="359"/>
      <c r="AC7" s="359"/>
      <c r="AD7" s="625"/>
      <c r="AE7" s="625"/>
      <c r="AF7" s="625"/>
      <c r="AH7" s="625"/>
      <c r="AI7" s="625"/>
      <c r="AJ7" s="625"/>
      <c r="AK7" s="625"/>
      <c r="AL7" s="625"/>
    </row>
    <row r="8" spans="1:38" ht="18" customHeight="1" thickBot="1">
      <c r="A8" s="1643"/>
      <c r="B8" s="308"/>
      <c r="C8" s="647" t="str">
        <f>S44</f>
        <v>Statewide District (D)</v>
      </c>
      <c r="D8" s="648"/>
      <c r="E8" s="648"/>
      <c r="F8" s="649"/>
      <c r="G8" s="1483" t="s">
        <v>1848</v>
      </c>
      <c r="H8" s="1483" t="s">
        <v>1848</v>
      </c>
      <c r="I8" s="1483" t="s">
        <v>1848</v>
      </c>
      <c r="J8" s="1483" t="s">
        <v>1848</v>
      </c>
      <c r="K8" s="1483" t="s">
        <v>1848</v>
      </c>
      <c r="L8" s="308"/>
      <c r="M8" s="308"/>
      <c r="N8" s="308"/>
      <c r="O8" s="308"/>
      <c r="P8" s="308"/>
      <c r="Q8" s="1643"/>
      <c r="R8" s="1491"/>
      <c r="S8" s="1492"/>
      <c r="T8" s="1492"/>
      <c r="U8" s="1492"/>
      <c r="V8" s="1492"/>
      <c r="W8" s="1492"/>
      <c r="X8" s="1492"/>
      <c r="Y8" s="1492"/>
      <c r="Z8" s="1493"/>
      <c r="AA8" s="359"/>
      <c r="AB8" s="452"/>
      <c r="AC8" s="359"/>
      <c r="AD8" s="625"/>
      <c r="AE8" s="625"/>
      <c r="AF8" s="625"/>
      <c r="AH8" s="625"/>
      <c r="AI8" s="625"/>
      <c r="AJ8" s="625"/>
      <c r="AK8" s="625"/>
      <c r="AL8" s="625"/>
    </row>
    <row r="9" spans="1:38" ht="18" customHeight="1" thickBot="1">
      <c r="A9" s="1643"/>
      <c r="B9" s="308"/>
      <c r="C9" s="654" t="str">
        <f>S45</f>
        <v>Statewide Charter (C)</v>
      </c>
      <c r="D9" s="655"/>
      <c r="E9" s="655"/>
      <c r="F9" s="655"/>
      <c r="G9" s="1483" t="s">
        <v>1848</v>
      </c>
      <c r="H9" s="1483" t="s">
        <v>1848</v>
      </c>
      <c r="I9" s="1483" t="s">
        <v>1848</v>
      </c>
      <c r="J9" s="1483" t="s">
        <v>1848</v>
      </c>
      <c r="K9" s="1483" t="s">
        <v>1848</v>
      </c>
      <c r="L9" s="308"/>
      <c r="M9" s="308"/>
      <c r="N9" s="308"/>
      <c r="O9" s="308"/>
      <c r="P9" s="308"/>
      <c r="Q9" s="1643"/>
      <c r="R9" s="1491"/>
      <c r="S9" s="1492"/>
      <c r="T9" s="1492"/>
      <c r="U9" s="1492"/>
      <c r="V9" s="1492"/>
      <c r="W9" s="1492"/>
      <c r="X9" s="1492"/>
      <c r="Y9" s="1492"/>
      <c r="Z9" s="1493"/>
      <c r="AA9" s="359"/>
      <c r="AB9" s="359"/>
      <c r="AC9" s="359"/>
      <c r="AD9" s="625"/>
      <c r="AE9" s="625"/>
      <c r="AF9" s="625"/>
      <c r="AH9" s="625"/>
      <c r="AI9" s="625"/>
      <c r="AJ9" s="625"/>
      <c r="AK9" s="625"/>
      <c r="AL9" s="625"/>
    </row>
    <row r="10" spans="1:38" ht="18" customHeight="1" thickTop="1" thickBot="1">
      <c r="A10" s="1643"/>
      <c r="B10" s="308"/>
      <c r="C10" s="640" t="str">
        <f>IF($S$46="FA1L1 District","",S46)</f>
        <v>Fulton County District-D</v>
      </c>
      <c r="D10" s="631"/>
      <c r="E10" s="631"/>
      <c r="F10" s="631"/>
      <c r="G10" s="671">
        <f>((T68*$X$63)-(T46*$U$63))/(T46*$U$63)</f>
        <v>1.0938668075171667</v>
      </c>
      <c r="H10" s="671">
        <f>((U68*$X$63)-(U46*$U$63))/(U46*$U$63)</f>
        <v>-6.8084835404017968E-2</v>
      </c>
      <c r="I10" s="671">
        <f>((V68*$X$63)-(V46*$U$63))/(V46*$U$63)</f>
        <v>-0.16690607811530095</v>
      </c>
      <c r="J10" s="673">
        <f>((W68*$X$63)-(W46*$U$63))/(W46*$U$63)</f>
        <v>-0.34193987439789081</v>
      </c>
      <c r="K10" s="676">
        <f>((X68*$X$63)-(X46*$U$63))/(X46*$U$63)</f>
        <v>-0.10918635271918971</v>
      </c>
      <c r="L10" s="308"/>
      <c r="M10" s="308"/>
      <c r="N10" s="308"/>
      <c r="O10" s="308"/>
      <c r="P10" s="308"/>
      <c r="Q10" s="1643"/>
      <c r="R10" s="1494"/>
      <c r="S10" s="1495"/>
      <c r="T10" s="1495"/>
      <c r="U10" s="1495"/>
      <c r="V10" s="1495"/>
      <c r="W10" s="1495"/>
      <c r="X10" s="1495"/>
      <c r="Y10" s="1495"/>
      <c r="Z10" s="1496"/>
      <c r="AA10" s="359"/>
      <c r="AB10" s="359"/>
      <c r="AC10" s="359"/>
      <c r="AD10" s="625"/>
      <c r="AE10" s="625"/>
      <c r="AF10" s="625"/>
      <c r="AH10" s="625"/>
      <c r="AI10" s="625"/>
      <c r="AJ10" s="625"/>
      <c r="AK10" s="625"/>
      <c r="AL10" s="625"/>
    </row>
    <row r="11" spans="1:38" ht="18" customHeight="1" thickBot="1">
      <c r="A11" s="1643"/>
      <c r="B11" s="308"/>
      <c r="C11" s="650" t="str">
        <f>IF($S$46="FA1L1 District","",S47)</f>
        <v>Fulton County District-C</v>
      </c>
      <c r="D11" s="651"/>
      <c r="E11" s="651"/>
      <c r="F11" s="651"/>
      <c r="G11" s="670">
        <f t="shared" ref="G11:I13" si="0">((T69*$X$63)-(T47*$U$63))/(T47*$U$63)</f>
        <v>-0.22245047358016654</v>
      </c>
      <c r="H11" s="670">
        <f t="shared" si="0"/>
        <v>1.1538651052962201</v>
      </c>
      <c r="I11" s="670">
        <f t="shared" si="0"/>
        <v>-0.58535219735828481</v>
      </c>
      <c r="J11" s="1483" t="s">
        <v>1848</v>
      </c>
      <c r="K11" s="678">
        <f>((X69*$X$63)-(X47*$U$63))/(X47*$U$63)</f>
        <v>-0.13827614168522132</v>
      </c>
      <c r="L11" s="308"/>
      <c r="M11" s="308"/>
      <c r="N11" s="308"/>
      <c r="O11" s="308"/>
      <c r="P11" s="308"/>
      <c r="Q11" s="1643"/>
      <c r="R11" s="1488"/>
      <c r="S11" s="1489"/>
      <c r="T11" s="1489"/>
      <c r="U11" s="1489"/>
      <c r="V11" s="1489"/>
      <c r="W11" s="1489"/>
      <c r="X11" s="1489"/>
      <c r="Y11" s="1489"/>
      <c r="Z11" s="1490"/>
      <c r="AA11" s="359"/>
      <c r="AB11" s="359"/>
      <c r="AC11" s="359"/>
      <c r="AD11" s="625"/>
      <c r="AE11" s="625"/>
      <c r="AF11" s="625"/>
      <c r="AH11" s="625"/>
      <c r="AI11" s="625"/>
      <c r="AJ11" s="625"/>
      <c r="AK11" s="625"/>
      <c r="AL11" s="625"/>
    </row>
    <row r="12" spans="1:38" ht="18" customHeight="1">
      <c r="A12" s="1643"/>
      <c r="B12" s="308"/>
      <c r="C12" s="652" t="str">
        <f>IF($S$48="FA3L1 District","",S48)</f>
        <v>Atlanta Public Schools-D</v>
      </c>
      <c r="D12" s="653"/>
      <c r="E12" s="653"/>
      <c r="F12" s="653"/>
      <c r="G12" s="1484">
        <f t="shared" si="0"/>
        <v>0.76243322077491171</v>
      </c>
      <c r="H12" s="1484">
        <f t="shared" si="0"/>
        <v>-0.36993856410766207</v>
      </c>
      <c r="I12" s="1484">
        <f t="shared" si="0"/>
        <v>9.672873608744674E-2</v>
      </c>
      <c r="J12" s="1485">
        <f>((W70*$X$63)-(W48*$U$63))/(W48*$U$63)</f>
        <v>5.3337671081003926</v>
      </c>
      <c r="K12" s="1486">
        <f>((X70*$X$63)-(X48*$U$63))/(X48*$U$63)</f>
        <v>0.21048388359659548</v>
      </c>
      <c r="L12" s="308"/>
      <c r="M12" s="308"/>
      <c r="N12" s="308"/>
      <c r="O12" s="308"/>
      <c r="P12" s="308"/>
      <c r="Q12" s="1643"/>
      <c r="R12" s="1491"/>
      <c r="S12" s="1492"/>
      <c r="T12" s="1492"/>
      <c r="U12" s="1492"/>
      <c r="V12" s="1492"/>
      <c r="W12" s="1492"/>
      <c r="X12" s="1492"/>
      <c r="Y12" s="1492"/>
      <c r="Z12" s="1493"/>
      <c r="AA12" s="359"/>
      <c r="AB12" s="359"/>
      <c r="AC12" s="359"/>
      <c r="AD12" s="625"/>
      <c r="AE12" s="625"/>
      <c r="AF12" s="625"/>
      <c r="AH12" s="625"/>
      <c r="AI12" s="625"/>
      <c r="AJ12" s="625"/>
      <c r="AK12" s="625"/>
      <c r="AL12" s="625"/>
    </row>
    <row r="13" spans="1:38" ht="18" customHeight="1" thickBot="1">
      <c r="A13" s="1643"/>
      <c r="B13" s="308"/>
      <c r="C13" s="641" t="str">
        <f>IF($S$48="FA3L1 District","",S49)</f>
        <v>Atlanta Public Schools-C</v>
      </c>
      <c r="D13" s="642"/>
      <c r="E13" s="642"/>
      <c r="F13" s="642"/>
      <c r="G13" s="670">
        <f t="shared" si="0"/>
        <v>1.0877299490758714</v>
      </c>
      <c r="H13" s="670">
        <f t="shared" si="0"/>
        <v>0.16749834474240191</v>
      </c>
      <c r="I13" s="670">
        <f t="shared" si="0"/>
        <v>0.20089237648749092</v>
      </c>
      <c r="J13" s="675">
        <f>((W71*$X$63)-(W49*$U$63))/(W49*$U$63)</f>
        <v>1.7150203244906506</v>
      </c>
      <c r="K13" s="678">
        <f>((X71*$X$63)-(X49*$U$63))/(X49*$U$63)</f>
        <v>0.34933562041910649</v>
      </c>
      <c r="L13" s="308"/>
      <c r="M13" s="308"/>
      <c r="N13" s="308"/>
      <c r="O13" s="308"/>
      <c r="P13" s="308"/>
      <c r="Q13" s="1643"/>
      <c r="R13" s="1491"/>
      <c r="S13" s="1492"/>
      <c r="T13" s="1492"/>
      <c r="U13" s="1492"/>
      <c r="V13" s="1492"/>
      <c r="W13" s="1492"/>
      <c r="X13" s="1492"/>
      <c r="Y13" s="1492"/>
      <c r="Z13" s="1493"/>
      <c r="AA13" s="359"/>
      <c r="AB13" s="359"/>
      <c r="AC13" s="359"/>
      <c r="AD13" s="625"/>
      <c r="AE13" s="625"/>
      <c r="AF13" s="625"/>
      <c r="AH13" s="625"/>
      <c r="AI13" s="625"/>
      <c r="AJ13" s="625"/>
      <c r="AK13" s="625"/>
      <c r="AL13" s="625"/>
    </row>
    <row r="14" spans="1:38" ht="18" customHeight="1">
      <c r="A14" s="1643"/>
      <c r="B14" s="308"/>
      <c r="C14" s="652" t="str">
        <f>IF($S$50="FA3L1 District","",S50)</f>
        <v>FA3L1 FA3L2-D</v>
      </c>
      <c r="D14" s="653"/>
      <c r="E14" s="653"/>
      <c r="F14" s="653"/>
      <c r="G14" s="656"/>
      <c r="H14" s="656"/>
      <c r="I14" s="656"/>
      <c r="J14" s="658"/>
      <c r="K14" s="660"/>
      <c r="L14" s="308"/>
      <c r="M14" s="308"/>
      <c r="N14" s="308"/>
      <c r="O14" s="308"/>
      <c r="P14" s="308"/>
      <c r="Q14" s="1643"/>
      <c r="R14" s="1491"/>
      <c r="S14" s="1492"/>
      <c r="T14" s="1492"/>
      <c r="U14" s="1492"/>
      <c r="V14" s="1492"/>
      <c r="W14" s="1492"/>
      <c r="X14" s="1492"/>
      <c r="Y14" s="1492"/>
      <c r="Z14" s="1493"/>
      <c r="AA14" s="359"/>
      <c r="AB14" s="359"/>
      <c r="AC14" s="359"/>
      <c r="AD14" s="625"/>
      <c r="AE14" s="625"/>
      <c r="AF14" s="625"/>
      <c r="AH14" s="625"/>
      <c r="AI14" s="625"/>
      <c r="AJ14" s="625"/>
      <c r="AK14" s="625"/>
      <c r="AL14" s="625"/>
    </row>
    <row r="15" spans="1:38" ht="18" customHeight="1" thickBot="1">
      <c r="A15" s="1643"/>
      <c r="B15" s="308"/>
      <c r="C15" s="641" t="str">
        <f>IF($S$50="FA3L1 District","",S51)</f>
        <v>FA3L1 FA3L2-C</v>
      </c>
      <c r="D15" s="642"/>
      <c r="E15" s="642"/>
      <c r="F15" s="642"/>
      <c r="G15" s="657"/>
      <c r="H15" s="657"/>
      <c r="I15" s="657"/>
      <c r="J15" s="659"/>
      <c r="K15" s="661"/>
      <c r="L15" s="308"/>
      <c r="M15" s="308"/>
      <c r="N15" s="308"/>
      <c r="O15" s="308"/>
      <c r="P15" s="308"/>
      <c r="Q15" s="1643"/>
      <c r="R15" s="1491"/>
      <c r="S15" s="1492"/>
      <c r="T15" s="1492"/>
      <c r="U15" s="1492"/>
      <c r="V15" s="1492"/>
      <c r="W15" s="1492"/>
      <c r="X15" s="1492"/>
      <c r="Y15" s="1492"/>
      <c r="Z15" s="1493"/>
      <c r="AA15" s="359"/>
      <c r="AB15" s="359"/>
      <c r="AC15" s="359"/>
      <c r="AD15" s="625"/>
      <c r="AE15" s="625"/>
      <c r="AF15" s="625"/>
      <c r="AH15" s="625"/>
      <c r="AI15" s="625"/>
      <c r="AJ15" s="625"/>
      <c r="AK15" s="625"/>
      <c r="AL15" s="625"/>
    </row>
    <row r="16" spans="1:38" ht="18" customHeight="1">
      <c r="A16" s="1643"/>
      <c r="B16" s="308"/>
      <c r="C16" s="652" t="str">
        <f>IF(S52="FA4L1 District","",S52)</f>
        <v>FA4L1 FA4L2-D</v>
      </c>
      <c r="D16" s="653"/>
      <c r="E16" s="653"/>
      <c r="F16" s="653"/>
      <c r="G16" s="656"/>
      <c r="H16" s="656"/>
      <c r="I16" s="656"/>
      <c r="J16" s="658"/>
      <c r="K16" s="660"/>
      <c r="L16" s="308"/>
      <c r="M16" s="308"/>
      <c r="N16" s="308"/>
      <c r="O16" s="308"/>
      <c r="P16" s="308"/>
      <c r="Q16" s="1643"/>
      <c r="R16" s="1494"/>
      <c r="S16" s="1495"/>
      <c r="T16" s="1495"/>
      <c r="U16" s="1495"/>
      <c r="V16" s="1495"/>
      <c r="W16" s="1495"/>
      <c r="X16" s="1495"/>
      <c r="Y16" s="1495"/>
      <c r="Z16" s="1496"/>
      <c r="AA16" s="359"/>
      <c r="AB16" s="359"/>
      <c r="AC16" s="359"/>
      <c r="AD16" s="625"/>
      <c r="AE16" s="625"/>
      <c r="AF16" s="625"/>
      <c r="AH16" s="625"/>
      <c r="AI16" s="625"/>
      <c r="AJ16" s="625"/>
      <c r="AK16" s="625"/>
      <c r="AL16" s="625"/>
    </row>
    <row r="17" spans="1:38" ht="18" customHeight="1" thickBot="1">
      <c r="A17" s="1643"/>
      <c r="B17" s="308"/>
      <c r="C17" s="641" t="str">
        <f>IF(S52="FA4L1 District","",S53)</f>
        <v>FA4L1 FA4L2-C</v>
      </c>
      <c r="D17" s="642"/>
      <c r="E17" s="642"/>
      <c r="F17" s="642"/>
      <c r="G17" s="657"/>
      <c r="H17" s="657"/>
      <c r="I17" s="657"/>
      <c r="J17" s="659"/>
      <c r="K17" s="661"/>
      <c r="L17" s="308"/>
      <c r="M17" s="308"/>
      <c r="N17" s="308"/>
      <c r="O17" s="308"/>
      <c r="P17" s="308"/>
      <c r="Q17" s="1643"/>
      <c r="R17" s="1488"/>
      <c r="S17" s="1489"/>
      <c r="T17" s="1489"/>
      <c r="U17" s="1489"/>
      <c r="V17" s="1489"/>
      <c r="W17" s="1489"/>
      <c r="X17" s="1489"/>
      <c r="Y17" s="1489"/>
      <c r="Z17" s="1490"/>
      <c r="AA17" s="359"/>
      <c r="AB17" s="359"/>
      <c r="AC17" s="359"/>
      <c r="AD17" s="625"/>
      <c r="AE17" s="625"/>
      <c r="AF17" s="625"/>
      <c r="AH17" s="625"/>
      <c r="AI17" s="625"/>
      <c r="AJ17" s="625"/>
      <c r="AK17" s="625"/>
      <c r="AL17" s="625"/>
    </row>
    <row r="18" spans="1:38" ht="18" customHeight="1">
      <c r="A18" s="1643"/>
      <c r="B18" s="308"/>
      <c r="C18" s="652" t="str">
        <f>IF(S54="FA5L1 District","",S54)</f>
        <v>FA5L1 FA5L2-D</v>
      </c>
      <c r="D18" s="653"/>
      <c r="E18" s="653"/>
      <c r="F18" s="653"/>
      <c r="G18" s="656"/>
      <c r="H18" s="656"/>
      <c r="I18" s="656"/>
      <c r="J18" s="658"/>
      <c r="K18" s="660"/>
      <c r="L18" s="308"/>
      <c r="M18" s="308"/>
      <c r="N18" s="308"/>
      <c r="O18" s="308"/>
      <c r="P18" s="308"/>
      <c r="Q18" s="1643"/>
      <c r="R18" s="1491"/>
      <c r="S18" s="1492"/>
      <c r="T18" s="1492"/>
      <c r="U18" s="1492"/>
      <c r="V18" s="1492"/>
      <c r="W18" s="1492"/>
      <c r="X18" s="1492"/>
      <c r="Y18" s="1492"/>
      <c r="Z18" s="1493"/>
      <c r="AA18" s="359"/>
      <c r="AB18" s="359"/>
      <c r="AC18" s="359"/>
      <c r="AD18" s="625"/>
      <c r="AE18" s="625"/>
      <c r="AF18" s="625"/>
      <c r="AH18" s="625"/>
      <c r="AI18" s="625"/>
      <c r="AJ18" s="625"/>
      <c r="AK18" s="625"/>
      <c r="AL18" s="625"/>
    </row>
    <row r="19" spans="1:38" ht="18" customHeight="1" thickBot="1">
      <c r="A19" s="1643"/>
      <c r="B19" s="308"/>
      <c r="C19" s="641" t="str">
        <f>IF(S54="FA5L1 District","",S55)</f>
        <v>FA5L1 FA5L2-C</v>
      </c>
      <c r="D19" s="642"/>
      <c r="E19" s="642"/>
      <c r="F19" s="642"/>
      <c r="G19" s="657"/>
      <c r="H19" s="657"/>
      <c r="I19" s="657"/>
      <c r="J19" s="659"/>
      <c r="K19" s="661"/>
      <c r="L19" s="308"/>
      <c r="M19" s="308"/>
      <c r="N19" s="308"/>
      <c r="O19" s="308"/>
      <c r="P19" s="308"/>
      <c r="Q19" s="1643"/>
      <c r="R19" s="1491"/>
      <c r="S19" s="1492"/>
      <c r="T19" s="1492"/>
      <c r="U19" s="1492"/>
      <c r="V19" s="1492"/>
      <c r="W19" s="1492"/>
      <c r="X19" s="1492"/>
      <c r="Y19" s="1492"/>
      <c r="Z19" s="1493"/>
      <c r="AA19" s="359"/>
      <c r="AB19" s="359"/>
      <c r="AC19" s="359"/>
      <c r="AD19" s="625"/>
      <c r="AE19" s="625"/>
      <c r="AF19" s="625"/>
      <c r="AH19" s="625"/>
      <c r="AI19" s="625"/>
      <c r="AJ19" s="625"/>
      <c r="AK19" s="625"/>
      <c r="AL19" s="625"/>
    </row>
    <row r="20" spans="1:38" ht="15.95" customHeight="1">
      <c r="A20" s="1643"/>
      <c r="B20" s="308"/>
      <c r="C20" s="308"/>
      <c r="D20" s="308"/>
      <c r="E20" s="308"/>
      <c r="F20" s="308"/>
      <c r="G20" s="308"/>
      <c r="H20" s="308"/>
      <c r="I20" s="308"/>
      <c r="J20" s="308"/>
      <c r="K20" s="308"/>
      <c r="L20" s="308"/>
      <c r="M20" s="308"/>
      <c r="N20" s="308"/>
      <c r="O20" s="308"/>
      <c r="P20" s="308"/>
      <c r="Q20" s="1643"/>
      <c r="R20" s="1491"/>
      <c r="S20" s="1492"/>
      <c r="T20" s="1492"/>
      <c r="U20" s="1492"/>
      <c r="V20" s="1492"/>
      <c r="W20" s="1492"/>
      <c r="X20" s="1492"/>
      <c r="Y20" s="1492"/>
      <c r="Z20" s="1493"/>
      <c r="AA20" s="359"/>
      <c r="AB20" s="359"/>
      <c r="AC20" s="359"/>
      <c r="AD20" s="625"/>
      <c r="AE20" s="625"/>
      <c r="AF20" s="625"/>
      <c r="AH20" s="625"/>
      <c r="AI20" s="625"/>
      <c r="AJ20" s="625"/>
      <c r="AK20" s="625"/>
      <c r="AL20" s="625"/>
    </row>
    <row r="21" spans="1:38" ht="15.95" customHeight="1">
      <c r="A21" s="1643"/>
      <c r="B21" s="308"/>
      <c r="C21" s="308"/>
      <c r="D21" s="308"/>
      <c r="E21" s="308"/>
      <c r="F21" s="308"/>
      <c r="G21" s="308"/>
      <c r="H21" s="308"/>
      <c r="I21" s="308"/>
      <c r="J21" s="308"/>
      <c r="K21" s="308"/>
      <c r="L21" s="308"/>
      <c r="M21" s="308"/>
      <c r="N21" s="308"/>
      <c r="O21" s="308"/>
      <c r="P21" s="308"/>
      <c r="Q21" s="1643"/>
      <c r="R21" s="1491"/>
      <c r="S21" s="1492"/>
      <c r="T21" s="1492"/>
      <c r="U21" s="1492"/>
      <c r="V21" s="1492"/>
      <c r="W21" s="1492"/>
      <c r="X21" s="1492"/>
      <c r="Y21" s="1492"/>
      <c r="Z21" s="1493"/>
      <c r="AA21" s="359"/>
      <c r="AB21" s="359"/>
      <c r="AC21" s="359"/>
      <c r="AD21" s="625"/>
      <c r="AE21" s="625"/>
      <c r="AF21" s="625"/>
      <c r="AH21" s="625"/>
      <c r="AI21" s="625"/>
      <c r="AJ21" s="625"/>
      <c r="AK21" s="625"/>
      <c r="AL21" s="625"/>
    </row>
    <row r="22" spans="1:38" ht="15.95" customHeight="1">
      <c r="A22" s="1643"/>
      <c r="B22" s="308"/>
      <c r="C22" s="308"/>
      <c r="D22" s="308"/>
      <c r="E22" s="308"/>
      <c r="F22" s="308"/>
      <c r="G22" s="308"/>
      <c r="H22" s="308"/>
      <c r="I22" s="308"/>
      <c r="J22" s="308"/>
      <c r="K22" s="308"/>
      <c r="L22" s="308"/>
      <c r="M22" s="308"/>
      <c r="N22" s="308"/>
      <c r="O22" s="308"/>
      <c r="P22" s="308"/>
      <c r="Q22" s="1643"/>
      <c r="R22" s="1491"/>
      <c r="S22" s="1492"/>
      <c r="T22" s="1492"/>
      <c r="U22" s="1492"/>
      <c r="V22" s="1492"/>
      <c r="W22" s="1492"/>
      <c r="X22" s="1492"/>
      <c r="Y22" s="1492"/>
      <c r="Z22" s="1493"/>
      <c r="AA22" s="359"/>
      <c r="AB22" s="359"/>
      <c r="AC22" s="359"/>
      <c r="AD22" s="625"/>
      <c r="AE22" s="625"/>
      <c r="AF22" s="625"/>
      <c r="AH22" s="625"/>
      <c r="AI22" s="625"/>
      <c r="AJ22" s="625"/>
      <c r="AK22" s="625"/>
      <c r="AL22" s="625"/>
    </row>
    <row r="23" spans="1:38" ht="15.95" customHeight="1">
      <c r="A23" s="1643"/>
      <c r="B23" s="308"/>
      <c r="C23" s="308"/>
      <c r="D23" s="308"/>
      <c r="E23" s="308"/>
      <c r="F23" s="308"/>
      <c r="G23" s="308"/>
      <c r="H23" s="308"/>
      <c r="I23" s="308"/>
      <c r="J23" s="308"/>
      <c r="K23" s="308"/>
      <c r="L23" s="308"/>
      <c r="M23" s="308"/>
      <c r="N23" s="308"/>
      <c r="O23" s="308"/>
      <c r="P23" s="308"/>
      <c r="Q23" s="1643"/>
      <c r="R23" s="1491"/>
      <c r="S23" s="1492"/>
      <c r="T23" s="1492"/>
      <c r="U23" s="1492"/>
      <c r="V23" s="1492"/>
      <c r="W23" s="1492"/>
      <c r="X23" s="1492"/>
      <c r="Y23" s="1492"/>
      <c r="Z23" s="1493"/>
      <c r="AA23" s="359"/>
      <c r="AB23" s="359"/>
      <c r="AC23" s="359"/>
      <c r="AD23" s="625"/>
      <c r="AE23" s="625"/>
      <c r="AF23" s="625"/>
      <c r="AH23" s="625"/>
      <c r="AI23" s="625"/>
      <c r="AJ23" s="625"/>
      <c r="AK23" s="625"/>
      <c r="AL23" s="625"/>
    </row>
    <row r="24" spans="1:38" ht="15.95" customHeight="1">
      <c r="A24" s="1643"/>
      <c r="B24" s="308"/>
      <c r="C24" s="308"/>
      <c r="D24" s="308"/>
      <c r="E24" s="308"/>
      <c r="F24" s="308"/>
      <c r="G24" s="308"/>
      <c r="H24" s="308"/>
      <c r="I24" s="308"/>
      <c r="J24" s="308"/>
      <c r="K24" s="308"/>
      <c r="L24" s="308"/>
      <c r="M24" s="308"/>
      <c r="N24" s="308"/>
      <c r="O24" s="308"/>
      <c r="P24" s="308"/>
      <c r="Q24" s="1643"/>
      <c r="R24" s="1491"/>
      <c r="S24" s="1492"/>
      <c r="T24" s="1492"/>
      <c r="U24" s="1492"/>
      <c r="V24" s="1492"/>
      <c r="W24" s="1492"/>
      <c r="X24" s="1492"/>
      <c r="Y24" s="1492"/>
      <c r="Z24" s="1493"/>
      <c r="AA24" s="359"/>
      <c r="AB24" s="359"/>
      <c r="AC24" s="359"/>
      <c r="AD24" s="625"/>
      <c r="AE24" s="625"/>
      <c r="AF24" s="625"/>
      <c r="AH24" s="625"/>
      <c r="AI24" s="625"/>
      <c r="AJ24" s="625"/>
      <c r="AK24" s="625"/>
      <c r="AL24" s="625"/>
    </row>
    <row r="25" spans="1:38" ht="15.95" customHeight="1">
      <c r="A25" s="1643"/>
      <c r="B25" s="308"/>
      <c r="C25" s="308"/>
      <c r="D25" s="308"/>
      <c r="E25" s="308"/>
      <c r="F25" s="308"/>
      <c r="G25" s="308"/>
      <c r="H25" s="308"/>
      <c r="I25" s="308"/>
      <c r="J25" s="308"/>
      <c r="K25" s="308"/>
      <c r="L25" s="308"/>
      <c r="M25" s="308"/>
      <c r="N25" s="308"/>
      <c r="O25" s="308"/>
      <c r="P25" s="308"/>
      <c r="Q25" s="1643"/>
      <c r="R25" s="1491"/>
      <c r="S25" s="1492"/>
      <c r="T25" s="1492"/>
      <c r="U25" s="1492"/>
      <c r="V25" s="1492"/>
      <c r="W25" s="1492"/>
      <c r="X25" s="1492"/>
      <c r="Y25" s="1492"/>
      <c r="Z25" s="1493"/>
      <c r="AA25" s="359"/>
      <c r="AB25" s="359"/>
      <c r="AC25" s="359"/>
      <c r="AD25" s="625"/>
      <c r="AE25" s="625"/>
      <c r="AF25" s="625"/>
      <c r="AH25" s="625"/>
      <c r="AI25" s="625"/>
      <c r="AJ25" s="625"/>
      <c r="AK25" s="625"/>
      <c r="AL25" s="625"/>
    </row>
    <row r="26" spans="1:38" ht="15.95" customHeight="1">
      <c r="A26" s="1643"/>
      <c r="B26" s="308"/>
      <c r="C26" s="308"/>
      <c r="D26" s="308"/>
      <c r="E26" s="308"/>
      <c r="F26" s="308"/>
      <c r="G26" s="308"/>
      <c r="H26" s="308"/>
      <c r="I26" s="308"/>
      <c r="J26" s="308"/>
      <c r="K26" s="308"/>
      <c r="L26" s="308"/>
      <c r="M26" s="308"/>
      <c r="N26" s="308"/>
      <c r="O26" s="308"/>
      <c r="P26" s="308"/>
      <c r="Q26" s="1643"/>
      <c r="R26" s="1491"/>
      <c r="S26" s="1492"/>
      <c r="T26" s="1492"/>
      <c r="U26" s="1492"/>
      <c r="V26" s="1492"/>
      <c r="W26" s="1492"/>
      <c r="X26" s="1492"/>
      <c r="Y26" s="1492"/>
      <c r="Z26" s="1493"/>
      <c r="AA26" s="359"/>
      <c r="AB26" s="359"/>
      <c r="AC26" s="359"/>
      <c r="AD26" s="625"/>
      <c r="AE26" s="625"/>
      <c r="AF26" s="625"/>
      <c r="AH26" s="625"/>
      <c r="AI26" s="625"/>
      <c r="AJ26" s="625"/>
      <c r="AK26" s="625"/>
      <c r="AL26" s="625"/>
    </row>
    <row r="27" spans="1:38" ht="15.95" customHeight="1">
      <c r="A27" s="1643"/>
      <c r="B27" s="308"/>
      <c r="C27" s="308"/>
      <c r="D27" s="308"/>
      <c r="E27" s="308"/>
      <c r="F27" s="308"/>
      <c r="G27" s="308"/>
      <c r="H27" s="308"/>
      <c r="I27" s="308"/>
      <c r="J27" s="308"/>
      <c r="K27" s="308"/>
      <c r="L27" s="308"/>
      <c r="M27" s="308"/>
      <c r="N27" s="308"/>
      <c r="O27" s="308"/>
      <c r="P27" s="308"/>
      <c r="Q27" s="1643"/>
      <c r="R27" s="1491"/>
      <c r="S27" s="1492"/>
      <c r="T27" s="1492"/>
      <c r="U27" s="1492"/>
      <c r="V27" s="1492"/>
      <c r="W27" s="1492"/>
      <c r="X27" s="1492"/>
      <c r="Y27" s="1492"/>
      <c r="Z27" s="1493"/>
      <c r="AA27" s="359"/>
      <c r="AB27" s="359"/>
      <c r="AC27" s="359"/>
      <c r="AD27" s="625"/>
      <c r="AE27" s="625"/>
      <c r="AF27" s="625"/>
      <c r="AH27" s="625"/>
      <c r="AI27" s="625"/>
      <c r="AJ27" s="625"/>
      <c r="AK27" s="625"/>
      <c r="AL27" s="625"/>
    </row>
    <row r="28" spans="1:38" ht="15.95" customHeight="1">
      <c r="A28" s="1643"/>
      <c r="B28" s="308"/>
      <c r="C28" s="308"/>
      <c r="D28" s="308"/>
      <c r="E28" s="308"/>
      <c r="F28" s="308"/>
      <c r="G28" s="308"/>
      <c r="H28" s="308"/>
      <c r="I28" s="308"/>
      <c r="J28" s="308"/>
      <c r="K28" s="308"/>
      <c r="L28" s="308"/>
      <c r="M28" s="308"/>
      <c r="N28" s="308"/>
      <c r="O28" s="308"/>
      <c r="P28" s="308"/>
      <c r="Q28" s="1643"/>
      <c r="R28" s="1491"/>
      <c r="S28" s="1492"/>
      <c r="T28" s="1492"/>
      <c r="U28" s="1492"/>
      <c r="V28" s="1492"/>
      <c r="W28" s="1492"/>
      <c r="X28" s="1492"/>
      <c r="Y28" s="1492"/>
      <c r="Z28" s="1493"/>
      <c r="AA28" s="359"/>
      <c r="AB28" s="359"/>
      <c r="AC28" s="359"/>
      <c r="AD28" s="625"/>
      <c r="AE28" s="625"/>
      <c r="AF28" s="625"/>
      <c r="AH28" s="625"/>
      <c r="AI28" s="625"/>
      <c r="AJ28" s="625"/>
      <c r="AK28" s="625"/>
      <c r="AL28" s="625"/>
    </row>
    <row r="29" spans="1:38" ht="15.95" customHeight="1">
      <c r="A29" s="1643"/>
      <c r="B29" s="308"/>
      <c r="C29" s="308"/>
      <c r="D29" s="308"/>
      <c r="E29" s="308"/>
      <c r="F29" s="308"/>
      <c r="G29" s="308"/>
      <c r="H29" s="308"/>
      <c r="I29" s="308"/>
      <c r="J29" s="308"/>
      <c r="K29" s="308"/>
      <c r="L29" s="308"/>
      <c r="M29" s="308"/>
      <c r="N29" s="308"/>
      <c r="O29" s="308"/>
      <c r="P29" s="308"/>
      <c r="Q29" s="1643"/>
      <c r="R29" s="1494"/>
      <c r="S29" s="1495"/>
      <c r="T29" s="1495"/>
      <c r="U29" s="1495"/>
      <c r="V29" s="1495"/>
      <c r="W29" s="1495"/>
      <c r="X29" s="1495"/>
      <c r="Y29" s="1495"/>
      <c r="Z29" s="1496"/>
      <c r="AA29" s="359"/>
      <c r="AB29" s="359"/>
      <c r="AC29" s="359"/>
      <c r="AD29" s="625"/>
      <c r="AE29" s="625"/>
      <c r="AF29" s="625"/>
      <c r="AH29" s="625"/>
      <c r="AI29" s="625"/>
      <c r="AJ29" s="625"/>
      <c r="AK29" s="625"/>
      <c r="AL29" s="625"/>
    </row>
    <row r="30" spans="1:38" ht="15.95" customHeight="1">
      <c r="A30" s="1643"/>
      <c r="B30" s="308"/>
      <c r="C30" s="308"/>
      <c r="D30" s="308"/>
      <c r="E30" s="308"/>
      <c r="F30" s="308"/>
      <c r="G30" s="308"/>
      <c r="H30" s="308"/>
      <c r="I30" s="308"/>
      <c r="J30" s="308"/>
      <c r="K30" s="308"/>
      <c r="L30" s="308"/>
      <c r="M30" s="308"/>
      <c r="N30" s="308"/>
      <c r="O30" s="308"/>
      <c r="P30" s="308"/>
      <c r="Q30" s="1643"/>
      <c r="R30" s="1537" t="s">
        <v>461</v>
      </c>
      <c r="S30" s="1538"/>
      <c r="T30" s="1538"/>
      <c r="U30" s="1538"/>
      <c r="V30" s="1538"/>
      <c r="W30" s="1538"/>
      <c r="X30" s="1538"/>
      <c r="Y30" s="1538"/>
      <c r="Z30" s="1539"/>
      <c r="AA30" s="359"/>
      <c r="AB30" s="359"/>
      <c r="AC30" s="359"/>
      <c r="AD30" s="625"/>
      <c r="AE30" s="625"/>
      <c r="AF30" s="625"/>
      <c r="AH30" s="625"/>
      <c r="AI30" s="625"/>
      <c r="AJ30" s="625"/>
      <c r="AK30" s="625"/>
      <c r="AL30" s="625"/>
    </row>
    <row r="31" spans="1:38" ht="15.95" customHeight="1">
      <c r="A31" s="1643"/>
      <c r="B31" s="308"/>
      <c r="C31" s="1672"/>
      <c r="D31" s="1672"/>
      <c r="E31" s="1673"/>
      <c r="F31" s="1673"/>
      <c r="G31" s="1673"/>
      <c r="H31" s="1673"/>
      <c r="I31" s="1673"/>
      <c r="J31" s="1673"/>
      <c r="K31" s="1673"/>
      <c r="L31" s="308"/>
      <c r="M31" s="308"/>
      <c r="N31" s="308"/>
      <c r="O31" s="308"/>
      <c r="P31" s="308"/>
      <c r="Q31" s="1643"/>
      <c r="R31" s="1537"/>
      <c r="S31" s="1538"/>
      <c r="T31" s="1538"/>
      <c r="U31" s="1538"/>
      <c r="V31" s="1538"/>
      <c r="W31" s="1538"/>
      <c r="X31" s="1538"/>
      <c r="Y31" s="1538"/>
      <c r="Z31" s="1539"/>
      <c r="AA31" s="359"/>
      <c r="AB31" s="359"/>
      <c r="AC31" s="359"/>
      <c r="AD31" s="625"/>
      <c r="AE31" s="625"/>
      <c r="AF31" s="625"/>
      <c r="AH31" s="625"/>
      <c r="AI31" s="625"/>
      <c r="AJ31" s="625"/>
      <c r="AK31" s="625"/>
      <c r="AL31" s="625"/>
    </row>
    <row r="32" spans="1:38" ht="15.95" customHeight="1">
      <c r="A32" s="1643"/>
      <c r="B32" s="308"/>
      <c r="C32" s="1673"/>
      <c r="D32" s="1673"/>
      <c r="E32" s="1673"/>
      <c r="F32" s="1673"/>
      <c r="G32" s="1673"/>
      <c r="H32" s="1673"/>
      <c r="I32" s="1673"/>
      <c r="J32" s="1673"/>
      <c r="K32" s="1673"/>
      <c r="L32" s="308"/>
      <c r="M32" s="308"/>
      <c r="N32" s="308"/>
      <c r="O32" s="308"/>
      <c r="P32" s="308"/>
      <c r="Q32" s="1643"/>
      <c r="R32" s="1537"/>
      <c r="S32" s="1538"/>
      <c r="T32" s="1538"/>
      <c r="U32" s="1538"/>
      <c r="V32" s="1538"/>
      <c r="W32" s="1538"/>
      <c r="X32" s="1538"/>
      <c r="Y32" s="1538"/>
      <c r="Z32" s="1539"/>
      <c r="AA32" s="359"/>
      <c r="AB32" s="359"/>
      <c r="AC32" s="359"/>
      <c r="AD32" s="625"/>
      <c r="AE32" s="625"/>
      <c r="AF32" s="625"/>
      <c r="AH32" s="625"/>
      <c r="AI32" s="625"/>
      <c r="AJ32" s="625"/>
      <c r="AK32" s="625"/>
      <c r="AL32" s="625"/>
    </row>
    <row r="33" spans="1:38" ht="15.95" customHeight="1">
      <c r="A33" s="1643"/>
      <c r="B33" s="308"/>
      <c r="C33" s="1673"/>
      <c r="D33" s="1673"/>
      <c r="E33" s="1673"/>
      <c r="F33" s="1673"/>
      <c r="G33" s="1673"/>
      <c r="H33" s="1673"/>
      <c r="I33" s="1673"/>
      <c r="J33" s="1673"/>
      <c r="K33" s="1673"/>
      <c r="L33" s="308"/>
      <c r="M33" s="308"/>
      <c r="N33" s="308"/>
      <c r="O33" s="308"/>
      <c r="P33" s="308"/>
      <c r="Q33" s="1643"/>
      <c r="R33" s="1537"/>
      <c r="S33" s="1538"/>
      <c r="T33" s="1538"/>
      <c r="U33" s="1538"/>
      <c r="V33" s="1538"/>
      <c r="W33" s="1538"/>
      <c r="X33" s="1538"/>
      <c r="Y33" s="1538"/>
      <c r="Z33" s="1539"/>
      <c r="AA33" s="359"/>
      <c r="AB33" s="359"/>
      <c r="AC33" s="359"/>
      <c r="AD33" s="625"/>
      <c r="AE33" s="625"/>
      <c r="AF33" s="625"/>
      <c r="AH33" s="625"/>
      <c r="AI33" s="625"/>
      <c r="AJ33" s="625"/>
      <c r="AK33" s="625"/>
      <c r="AL33" s="625"/>
    </row>
    <row r="34" spans="1:38" ht="15.95" customHeight="1">
      <c r="A34" s="1643"/>
      <c r="B34" s="308"/>
      <c r="C34" s="308"/>
      <c r="D34" s="308"/>
      <c r="E34" s="308"/>
      <c r="F34" s="308"/>
      <c r="G34" s="308"/>
      <c r="H34" s="308"/>
      <c r="I34" s="308"/>
      <c r="J34" s="308"/>
      <c r="K34" s="308"/>
      <c r="L34" s="308"/>
      <c r="M34" s="308"/>
      <c r="N34" s="308"/>
      <c r="O34" s="308"/>
      <c r="P34" s="308"/>
      <c r="Q34" s="1643"/>
      <c r="R34" s="1678"/>
      <c r="S34" s="1679"/>
      <c r="T34" s="1679"/>
      <c r="U34" s="1679"/>
      <c r="V34" s="1679"/>
      <c r="W34" s="1679"/>
      <c r="X34" s="1679"/>
      <c r="Y34" s="1679"/>
      <c r="Z34" s="1680"/>
      <c r="AA34" s="359"/>
      <c r="AB34" s="359"/>
      <c r="AC34" s="359"/>
      <c r="AD34" s="625"/>
      <c r="AE34" s="625"/>
      <c r="AF34" s="625"/>
      <c r="AH34" s="625"/>
      <c r="AI34" s="625"/>
      <c r="AJ34" s="625"/>
      <c r="AK34" s="625"/>
      <c r="AL34" s="625"/>
    </row>
    <row r="35" spans="1:38" ht="15.95" customHeight="1">
      <c r="A35" s="1643"/>
      <c r="B35" s="308"/>
      <c r="C35" s="308"/>
      <c r="D35" s="308"/>
      <c r="E35" s="308"/>
      <c r="F35" s="308"/>
      <c r="G35" s="308"/>
      <c r="H35" s="308"/>
      <c r="I35" s="308"/>
      <c r="J35" s="308"/>
      <c r="K35" s="308"/>
      <c r="L35" s="308"/>
      <c r="M35" s="308"/>
      <c r="N35" s="308"/>
      <c r="O35" s="308"/>
      <c r="P35" s="308"/>
      <c r="Q35" s="1643"/>
      <c r="R35" s="1519"/>
      <c r="S35" s="1520"/>
      <c r="T35" s="1520"/>
      <c r="U35" s="1520"/>
      <c r="V35" s="1520"/>
      <c r="W35" s="1520"/>
      <c r="X35" s="1520"/>
      <c r="Y35" s="1520"/>
      <c r="Z35" s="1521"/>
      <c r="AA35" s="359"/>
      <c r="AB35" s="359"/>
      <c r="AC35" s="359"/>
      <c r="AD35" s="625"/>
      <c r="AE35" s="625"/>
      <c r="AF35" s="625"/>
      <c r="AH35" s="625"/>
      <c r="AI35" s="625"/>
      <c r="AJ35" s="625"/>
      <c r="AK35" s="625"/>
      <c r="AL35" s="625"/>
    </row>
    <row r="36" spans="1:38" ht="20.100000000000001" customHeight="1">
      <c r="A36" s="1643"/>
      <c r="B36" s="1644" t="s">
        <v>392</v>
      </c>
      <c r="C36" s="1644"/>
      <c r="D36" s="1644"/>
      <c r="E36" s="1644"/>
      <c r="F36" s="1644"/>
      <c r="G36" s="1644"/>
      <c r="H36" s="1644"/>
      <c r="I36" s="1644"/>
      <c r="J36" s="1644"/>
      <c r="K36" s="1644"/>
      <c r="L36" s="1644"/>
      <c r="M36" s="1644"/>
      <c r="N36" s="1644"/>
      <c r="O36" s="1644"/>
      <c r="P36" s="1644"/>
      <c r="Q36" s="1643"/>
      <c r="R36" s="435" t="str">
        <f>S62</f>
        <v>GA</v>
      </c>
      <c r="S36" s="1645" t="s">
        <v>394</v>
      </c>
      <c r="T36" s="1645"/>
      <c r="U36" s="1645"/>
      <c r="V36" s="1645"/>
      <c r="W36" s="1645"/>
      <c r="X36" s="1645"/>
      <c r="Y36" s="1645"/>
      <c r="Z36" s="435"/>
      <c r="AA36" s="436"/>
      <c r="AB36" s="436"/>
      <c r="AC36" s="436"/>
      <c r="AD36" s="625"/>
      <c r="AE36" s="625"/>
      <c r="AF36" s="625"/>
      <c r="AH36" s="625"/>
      <c r="AI36" s="625"/>
      <c r="AJ36" s="625"/>
      <c r="AK36" s="625"/>
      <c r="AL36" s="625"/>
    </row>
    <row r="37" spans="1:38" ht="18" customHeight="1">
      <c r="A37" s="310"/>
      <c r="B37" s="1642" t="s">
        <v>376</v>
      </c>
      <c r="C37" s="1642"/>
      <c r="D37" s="1642"/>
      <c r="E37" s="1642"/>
      <c r="F37" s="1642"/>
      <c r="G37" s="1642"/>
      <c r="H37" s="1642"/>
      <c r="I37" s="1642"/>
      <c r="J37" s="1642"/>
      <c r="K37" s="1642"/>
      <c r="L37" s="1642"/>
      <c r="M37" s="1642"/>
      <c r="N37" s="1642"/>
      <c r="O37" s="1642"/>
      <c r="P37" s="1642"/>
      <c r="Q37" s="310"/>
      <c r="R37" s="1676" t="s">
        <v>432</v>
      </c>
      <c r="S37" s="1676"/>
      <c r="T37" s="1676"/>
      <c r="U37" s="1676"/>
      <c r="V37" s="1676"/>
      <c r="W37" s="1676"/>
      <c r="X37" s="1676"/>
      <c r="Y37" s="1676"/>
      <c r="Z37" s="1676"/>
      <c r="AA37" s="443"/>
      <c r="AB37" s="443"/>
      <c r="AC37" s="443"/>
      <c r="AD37" s="625"/>
      <c r="AE37" s="625"/>
      <c r="AF37" s="625"/>
      <c r="AH37" s="625"/>
      <c r="AI37" s="625"/>
      <c r="AJ37" s="625"/>
      <c r="AK37" s="625"/>
      <c r="AL37" s="625"/>
    </row>
    <row r="38" spans="1:38" ht="15.95" customHeight="1">
      <c r="A38" s="447"/>
      <c r="B38" s="447"/>
      <c r="C38" s="447"/>
      <c r="D38" s="447"/>
      <c r="E38" s="447"/>
      <c r="F38" s="447"/>
      <c r="G38" s="447"/>
      <c r="H38" s="447"/>
      <c r="I38" s="447"/>
      <c r="J38" s="447"/>
      <c r="K38" s="447"/>
      <c r="L38" s="447"/>
      <c r="M38" s="447"/>
      <c r="N38" s="447"/>
      <c r="O38" s="447"/>
      <c r="P38" s="447"/>
      <c r="Q38" s="309"/>
      <c r="R38" s="388"/>
      <c r="S38" s="388"/>
      <c r="T38" s="388"/>
      <c r="U38" s="388"/>
      <c r="V38" s="388"/>
      <c r="W38" s="388"/>
      <c r="X38" s="388"/>
      <c r="Y38" s="388"/>
      <c r="Z38" s="388"/>
      <c r="AA38" s="625"/>
      <c r="AB38" s="625"/>
      <c r="AC38" s="625"/>
      <c r="AD38" s="625"/>
      <c r="AE38" s="625"/>
      <c r="AF38" s="625"/>
      <c r="AH38" s="625"/>
      <c r="AI38" s="625"/>
      <c r="AJ38" s="625"/>
      <c r="AK38" s="625"/>
      <c r="AL38" s="625"/>
    </row>
    <row r="39" spans="1:38" ht="15.95" customHeight="1">
      <c r="A39" s="447"/>
      <c r="B39" s="447"/>
      <c r="C39" s="1498" t="s">
        <v>496</v>
      </c>
      <c r="D39" s="1498"/>
      <c r="E39" s="1498"/>
      <c r="F39" s="1498"/>
      <c r="G39" s="1498"/>
      <c r="H39" s="1498"/>
      <c r="I39" s="1498"/>
      <c r="J39" s="1498"/>
      <c r="K39" s="1498"/>
      <c r="L39" s="1498"/>
      <c r="M39" s="1498"/>
      <c r="N39" s="447"/>
      <c r="O39" s="447"/>
      <c r="P39" s="447"/>
      <c r="Q39" s="309"/>
      <c r="R39" s="388"/>
      <c r="S39" s="1665" t="s">
        <v>484</v>
      </c>
      <c r="T39" s="1665"/>
      <c r="U39" s="1665"/>
      <c r="V39" s="1665"/>
      <c r="W39" s="1665"/>
      <c r="X39" s="1665"/>
      <c r="Y39" s="1665"/>
      <c r="Z39" s="1665"/>
      <c r="AA39" s="625"/>
      <c r="AB39" s="625"/>
      <c r="AC39" s="625"/>
      <c r="AD39" s="1677" t="s">
        <v>458</v>
      </c>
      <c r="AE39" s="625"/>
      <c r="AF39" s="625"/>
      <c r="AH39" s="625"/>
      <c r="AI39" s="625"/>
      <c r="AJ39" s="625"/>
      <c r="AK39" s="625"/>
      <c r="AL39" s="625"/>
    </row>
    <row r="40" spans="1:38" ht="15.95" customHeight="1">
      <c r="A40" s="447"/>
      <c r="B40" s="447"/>
      <c r="C40" s="1498"/>
      <c r="D40" s="1498"/>
      <c r="E40" s="1498"/>
      <c r="F40" s="1498"/>
      <c r="G40" s="1498"/>
      <c r="H40" s="1498"/>
      <c r="I40" s="1498"/>
      <c r="J40" s="1498"/>
      <c r="K40" s="1498"/>
      <c r="L40" s="1498"/>
      <c r="M40" s="1498"/>
      <c r="N40" s="447"/>
      <c r="O40" s="447"/>
      <c r="P40" s="447"/>
      <c r="Q40" s="309"/>
      <c r="R40" s="388"/>
      <c r="S40" s="1665"/>
      <c r="T40" s="1665"/>
      <c r="U40" s="1665"/>
      <c r="V40" s="1665"/>
      <c r="W40" s="1665"/>
      <c r="X40" s="1665"/>
      <c r="Y40" s="1665"/>
      <c r="Z40" s="1665"/>
      <c r="AA40" s="625"/>
      <c r="AB40" s="625"/>
      <c r="AC40" s="625"/>
      <c r="AD40" s="1677"/>
      <c r="AE40" s="625"/>
      <c r="AF40" s="625"/>
      <c r="AH40" s="625"/>
      <c r="AI40" s="625"/>
      <c r="AJ40" s="625"/>
      <c r="AK40" s="625"/>
      <c r="AL40" s="625"/>
    </row>
    <row r="41" spans="1:38" ht="15.95" customHeight="1">
      <c r="A41" s="447"/>
      <c r="B41" s="447"/>
      <c r="C41" s="1498"/>
      <c r="D41" s="1498"/>
      <c r="E41" s="1498"/>
      <c r="F41" s="1498"/>
      <c r="G41" s="1498"/>
      <c r="H41" s="1498"/>
      <c r="I41" s="1498"/>
      <c r="J41" s="1498"/>
      <c r="K41" s="1498"/>
      <c r="L41" s="1498"/>
      <c r="M41" s="1498"/>
      <c r="N41" s="447"/>
      <c r="O41" s="447"/>
      <c r="P41" s="447"/>
      <c r="Q41" s="309"/>
      <c r="R41" s="388"/>
      <c r="S41" s="441" t="s">
        <v>401</v>
      </c>
      <c r="T41" s="1669" t="s">
        <v>395</v>
      </c>
      <c r="U41" s="1669"/>
      <c r="V41" s="1669"/>
      <c r="W41" s="1669"/>
      <c r="X41" s="1669"/>
      <c r="Y41" s="389"/>
      <c r="Z41" s="389"/>
      <c r="AA41" s="625"/>
      <c r="AB41" s="625"/>
      <c r="AC41" s="625"/>
      <c r="AD41" s="1677"/>
      <c r="AE41" s="625"/>
      <c r="AF41" s="625"/>
      <c r="AH41" s="625"/>
      <c r="AI41" s="625"/>
      <c r="AJ41" s="625"/>
      <c r="AK41" s="625"/>
      <c r="AL41" s="625"/>
    </row>
    <row r="42" spans="1:38" ht="15.95" customHeight="1">
      <c r="A42" s="447"/>
      <c r="B42" s="447"/>
      <c r="C42" s="1498"/>
      <c r="D42" s="1498"/>
      <c r="E42" s="1498"/>
      <c r="F42" s="1498"/>
      <c r="G42" s="1498"/>
      <c r="H42" s="1498"/>
      <c r="I42" s="1498"/>
      <c r="J42" s="1498"/>
      <c r="K42" s="1498"/>
      <c r="L42" s="1498"/>
      <c r="M42" s="1498"/>
      <c r="N42" s="447"/>
      <c r="O42" s="447"/>
      <c r="P42" s="447"/>
      <c r="Q42" s="309"/>
      <c r="R42" s="388"/>
      <c r="S42" s="441" t="s">
        <v>445</v>
      </c>
      <c r="T42" s="1682" t="s">
        <v>397</v>
      </c>
      <c r="U42" s="1682"/>
      <c r="V42" s="1682"/>
      <c r="W42" s="1682"/>
      <c r="X42" s="1682"/>
      <c r="Y42" s="389"/>
      <c r="Z42" s="389"/>
      <c r="AA42" s="625"/>
      <c r="AB42" s="625"/>
      <c r="AC42" s="625"/>
      <c r="AD42" s="1677"/>
      <c r="AE42" s="625"/>
      <c r="AF42" s="1662" t="s">
        <v>487</v>
      </c>
      <c r="AG42" s="1663"/>
      <c r="AH42" s="1663"/>
      <c r="AI42" s="1663"/>
      <c r="AJ42" s="1663"/>
      <c r="AK42" s="1663"/>
      <c r="AL42" s="1664"/>
    </row>
    <row r="43" spans="1:38" ht="15.95" customHeight="1">
      <c r="A43" s="447"/>
      <c r="B43" s="447"/>
      <c r="C43" s="1498"/>
      <c r="D43" s="1498"/>
      <c r="E43" s="1498"/>
      <c r="F43" s="1498"/>
      <c r="G43" s="1498"/>
      <c r="H43" s="1498"/>
      <c r="I43" s="1498"/>
      <c r="J43" s="1498"/>
      <c r="K43" s="1498"/>
      <c r="L43" s="1498"/>
      <c r="M43" s="1498"/>
      <c r="N43" s="447"/>
      <c r="O43" s="447"/>
      <c r="P43" s="447"/>
      <c r="Q43" s="309"/>
      <c r="R43" s="388"/>
      <c r="S43" s="441"/>
      <c r="T43" s="500" t="s">
        <v>145</v>
      </c>
      <c r="U43" s="619" t="s">
        <v>144</v>
      </c>
      <c r="V43" s="500" t="s">
        <v>143</v>
      </c>
      <c r="W43" s="619" t="s">
        <v>149</v>
      </c>
      <c r="X43" s="619" t="s">
        <v>146</v>
      </c>
      <c r="Y43" s="389"/>
      <c r="Z43" s="389"/>
      <c r="AA43" s="625"/>
      <c r="AB43" s="625"/>
      <c r="AC43" s="625"/>
      <c r="AD43" s="428"/>
      <c r="AE43" s="625"/>
      <c r="AF43" s="744"/>
      <c r="AG43" s="744"/>
      <c r="AH43" s="744"/>
      <c r="AI43" s="744"/>
      <c r="AJ43" s="744"/>
      <c r="AK43" s="744"/>
      <c r="AL43" s="744"/>
    </row>
    <row r="44" spans="1:38" ht="15.95" customHeight="1">
      <c r="A44" s="447"/>
      <c r="B44" s="447"/>
      <c r="C44" s="1498"/>
      <c r="D44" s="1498"/>
      <c r="E44" s="1498"/>
      <c r="F44" s="1498"/>
      <c r="G44" s="1498"/>
      <c r="H44" s="1498"/>
      <c r="I44" s="1498"/>
      <c r="J44" s="1498"/>
      <c r="K44" s="1498"/>
      <c r="L44" s="1498"/>
      <c r="M44" s="1498"/>
      <c r="N44" s="447"/>
      <c r="O44" s="447"/>
      <c r="P44" s="447"/>
      <c r="Q44" s="309"/>
      <c r="R44" s="388"/>
      <c r="S44" s="441" t="s">
        <v>382</v>
      </c>
      <c r="T44" s="741">
        <v>0</v>
      </c>
      <c r="U44" s="741">
        <v>0</v>
      </c>
      <c r="V44" s="741">
        <v>0</v>
      </c>
      <c r="W44" s="741">
        <v>0</v>
      </c>
      <c r="X44" s="741">
        <v>0</v>
      </c>
      <c r="Y44" s="389"/>
      <c r="Z44" s="389"/>
      <c r="AA44" s="625"/>
      <c r="AB44" s="625"/>
      <c r="AC44" s="628"/>
      <c r="AD44" s="742" t="s">
        <v>382</v>
      </c>
      <c r="AE44" s="615"/>
      <c r="AF44" s="744"/>
      <c r="AG44" s="744"/>
      <c r="AH44" s="744">
        <v>2400</v>
      </c>
      <c r="AI44" s="744">
        <v>4000</v>
      </c>
      <c r="AJ44" s="744">
        <v>3200</v>
      </c>
      <c r="AK44" s="744">
        <v>2000</v>
      </c>
      <c r="AL44" s="744">
        <v>12800</v>
      </c>
    </row>
    <row r="45" spans="1:38" ht="15.95" customHeight="1">
      <c r="A45" s="447"/>
      <c r="B45" s="447"/>
      <c r="C45" s="1498"/>
      <c r="D45" s="1498"/>
      <c r="E45" s="1498"/>
      <c r="F45" s="1498"/>
      <c r="G45" s="1498"/>
      <c r="H45" s="1498"/>
      <c r="I45" s="1498"/>
      <c r="J45" s="1498"/>
      <c r="K45" s="1498"/>
      <c r="L45" s="1498"/>
      <c r="M45" s="1498"/>
      <c r="N45" s="447"/>
      <c r="O45" s="447"/>
      <c r="P45" s="447"/>
      <c r="Q45" s="309"/>
      <c r="R45" s="388"/>
      <c r="S45" s="441" t="s">
        <v>383</v>
      </c>
      <c r="T45" s="741">
        <v>0</v>
      </c>
      <c r="U45" s="741">
        <v>0</v>
      </c>
      <c r="V45" s="741">
        <v>0</v>
      </c>
      <c r="W45" s="741">
        <v>0</v>
      </c>
      <c r="X45" s="741">
        <v>0</v>
      </c>
      <c r="Y45" s="389"/>
      <c r="Z45" s="389"/>
      <c r="AA45" s="625"/>
      <c r="AB45" s="628"/>
      <c r="AC45" s="628"/>
      <c r="AD45" s="743" t="s">
        <v>383</v>
      </c>
      <c r="AE45" s="615"/>
      <c r="AF45" s="744"/>
      <c r="AG45" s="744"/>
      <c r="AH45" s="744">
        <v>2160</v>
      </c>
      <c r="AI45" s="744">
        <v>3600</v>
      </c>
      <c r="AJ45" s="744">
        <v>2880</v>
      </c>
      <c r="AK45" s="744">
        <v>1800</v>
      </c>
      <c r="AL45" s="744">
        <v>11520</v>
      </c>
    </row>
    <row r="46" spans="1:38" ht="15.95" customHeight="1">
      <c r="A46" s="447"/>
      <c r="B46" s="447"/>
      <c r="C46" s="1498"/>
      <c r="D46" s="1498"/>
      <c r="E46" s="1498"/>
      <c r="F46" s="1498"/>
      <c r="G46" s="1498"/>
      <c r="H46" s="1498"/>
      <c r="I46" s="1498"/>
      <c r="J46" s="1498"/>
      <c r="K46" s="1498"/>
      <c r="L46" s="1498"/>
      <c r="M46" s="1498"/>
      <c r="N46" s="447"/>
      <c r="O46" s="447"/>
      <c r="P46" s="447"/>
      <c r="Q46" s="309"/>
      <c r="R46" s="388"/>
      <c r="S46" s="438" t="str">
        <f>'FIG3'!$W$52&amp;" "&amp;'FIG3'!$X$52&amp;"-D"</f>
        <v>Fulton County District-D</v>
      </c>
      <c r="T46" s="741">
        <v>431</v>
      </c>
      <c r="U46" s="741">
        <v>2966</v>
      </c>
      <c r="V46" s="741">
        <v>7446</v>
      </c>
      <c r="W46" s="741">
        <v>905</v>
      </c>
      <c r="X46" s="741">
        <v>11748</v>
      </c>
      <c r="Y46" s="389"/>
      <c r="Z46" s="389"/>
      <c r="AA46" s="625"/>
      <c r="AB46" s="628"/>
      <c r="AC46" s="628"/>
      <c r="AD46" s="735" t="str">
        <f>'FIG3'!$W$52&amp;" "&amp;'FIG3'!$X$52&amp;"-D"</f>
        <v>Fulton County District-D</v>
      </c>
      <c r="AE46" s="615"/>
      <c r="AF46" s="744" t="s">
        <v>456</v>
      </c>
      <c r="AG46" s="744"/>
      <c r="AH46" s="744">
        <v>1920</v>
      </c>
      <c r="AI46" s="744">
        <v>3200</v>
      </c>
      <c r="AJ46" s="744">
        <v>2560</v>
      </c>
      <c r="AK46" s="744">
        <v>1600</v>
      </c>
      <c r="AL46" s="744">
        <v>10240</v>
      </c>
    </row>
    <row r="47" spans="1:38" ht="15.95" customHeight="1">
      <c r="A47" s="447"/>
      <c r="B47" s="447"/>
      <c r="C47" s="1498"/>
      <c r="D47" s="1498"/>
      <c r="E47" s="1498"/>
      <c r="F47" s="1498"/>
      <c r="G47" s="1498"/>
      <c r="H47" s="1498"/>
      <c r="I47" s="1498"/>
      <c r="J47" s="1498"/>
      <c r="K47" s="1498"/>
      <c r="L47" s="1498"/>
      <c r="M47" s="1498"/>
      <c r="N47" s="447"/>
      <c r="O47" s="447"/>
      <c r="P47" s="447"/>
      <c r="Q47" s="309"/>
      <c r="R47" s="388"/>
      <c r="S47" s="438" t="str">
        <f>'FIG3'!$W$52&amp;" "&amp;'FIG3'!$X$52&amp;"-C"</f>
        <v>Fulton County District-C</v>
      </c>
      <c r="T47" s="741">
        <v>1059</v>
      </c>
      <c r="U47" s="741">
        <v>1672</v>
      </c>
      <c r="V47" s="741">
        <v>6594</v>
      </c>
      <c r="W47" s="741">
        <v>0</v>
      </c>
      <c r="X47" s="741">
        <v>9325</v>
      </c>
      <c r="Y47" s="389"/>
      <c r="Z47" s="389"/>
      <c r="AA47" s="625"/>
      <c r="AB47" s="628"/>
      <c r="AC47" s="628"/>
      <c r="AD47" s="735" t="str">
        <f>'FIG3'!$W$52&amp;" "&amp;'FIG3'!$X$52&amp;"-C"</f>
        <v>Fulton County District-C</v>
      </c>
      <c r="AE47" s="615"/>
      <c r="AF47" s="744" t="s">
        <v>457</v>
      </c>
      <c r="AG47" s="744"/>
      <c r="AH47" s="744">
        <v>1728</v>
      </c>
      <c r="AI47" s="744">
        <v>2880</v>
      </c>
      <c r="AJ47" s="744">
        <v>2304</v>
      </c>
      <c r="AK47" s="744">
        <v>1440</v>
      </c>
      <c r="AL47" s="744">
        <v>9216</v>
      </c>
    </row>
    <row r="48" spans="1:38" ht="15.95" customHeight="1">
      <c r="A48" s="447"/>
      <c r="B48" s="447"/>
      <c r="C48" s="447"/>
      <c r="D48" s="447"/>
      <c r="E48" s="447"/>
      <c r="F48" s="447"/>
      <c r="G48" s="447"/>
      <c r="H48" s="447"/>
      <c r="I48" s="447"/>
      <c r="J48" s="447"/>
      <c r="K48" s="447"/>
      <c r="L48" s="447"/>
      <c r="M48" s="447"/>
      <c r="N48" s="447"/>
      <c r="O48" s="447"/>
      <c r="P48" s="447"/>
      <c r="Q48" s="309"/>
      <c r="R48" s="388"/>
      <c r="S48" s="438" t="str">
        <f>'FIG3'!$W$53&amp;" "&amp;'FIG3'!$X$53&amp;"-D"</f>
        <v>Atlanta Public Schools-D</v>
      </c>
      <c r="T48" s="741">
        <v>1055</v>
      </c>
      <c r="U48" s="741">
        <v>3286</v>
      </c>
      <c r="V48" s="741">
        <v>7989</v>
      </c>
      <c r="W48" s="741">
        <v>436</v>
      </c>
      <c r="X48" s="741">
        <v>12766</v>
      </c>
      <c r="Y48" s="389"/>
      <c r="Z48" s="389"/>
      <c r="AA48" s="625"/>
      <c r="AB48" s="628"/>
      <c r="AC48" s="628"/>
      <c r="AD48" s="735" t="str">
        <f>'FIG3'!$W$53&amp;" "&amp;'FIG3'!$X$53&amp;"-D"</f>
        <v>Atlanta Public Schools-D</v>
      </c>
      <c r="AE48" s="615"/>
      <c r="AF48" s="744" t="s">
        <v>385</v>
      </c>
      <c r="AG48" s="744"/>
      <c r="AH48" s="744">
        <v>1440</v>
      </c>
      <c r="AI48" s="744">
        <v>2400</v>
      </c>
      <c r="AJ48" s="744">
        <v>1920</v>
      </c>
      <c r="AK48" s="744">
        <v>1200</v>
      </c>
      <c r="AL48" s="744">
        <v>7680</v>
      </c>
    </row>
    <row r="49" spans="1:38" ht="15.95" customHeight="1">
      <c r="A49" s="447"/>
      <c r="B49" s="447"/>
      <c r="C49" s="447"/>
      <c r="D49" s="447"/>
      <c r="E49" s="447"/>
      <c r="F49" s="447"/>
      <c r="G49" s="447"/>
      <c r="H49" s="447"/>
      <c r="I49" s="447"/>
      <c r="J49" s="447"/>
      <c r="K49" s="447"/>
      <c r="L49" s="447"/>
      <c r="M49" s="447"/>
      <c r="N49" s="447"/>
      <c r="O49" s="447"/>
      <c r="P49" s="447"/>
      <c r="Q49" s="309"/>
      <c r="R49" s="388"/>
      <c r="S49" s="438" t="str">
        <f>'FIG3'!$W$53&amp;" "&amp;'FIG3'!$X$53&amp;"-C"</f>
        <v>Atlanta Public Schools-C</v>
      </c>
      <c r="T49" s="741">
        <v>401</v>
      </c>
      <c r="U49" s="741">
        <v>3764</v>
      </c>
      <c r="V49" s="741">
        <v>3323</v>
      </c>
      <c r="W49" s="741">
        <v>460</v>
      </c>
      <c r="X49" s="741">
        <v>7949</v>
      </c>
      <c r="Y49" s="389"/>
      <c r="Z49" s="389"/>
      <c r="AA49" s="625"/>
      <c r="AB49" s="628"/>
      <c r="AC49" s="628"/>
      <c r="AD49" s="735" t="str">
        <f>'FIG3'!$W$53&amp;" "&amp;'FIG3'!$X$53&amp;"-C"</f>
        <v>Atlanta Public Schools-C</v>
      </c>
      <c r="AE49" s="615"/>
      <c r="AF49" s="744" t="s">
        <v>386</v>
      </c>
      <c r="AG49" s="744"/>
      <c r="AH49" s="744">
        <v>1296</v>
      </c>
      <c r="AI49" s="744">
        <v>2160</v>
      </c>
      <c r="AJ49" s="744">
        <v>1728</v>
      </c>
      <c r="AK49" s="744">
        <v>1080</v>
      </c>
      <c r="AL49" s="744">
        <v>6912</v>
      </c>
    </row>
    <row r="50" spans="1:38" ht="15.95" customHeight="1">
      <c r="A50" s="447"/>
      <c r="B50" s="447"/>
      <c r="C50" s="447"/>
      <c r="D50" s="447"/>
      <c r="E50" s="447"/>
      <c r="F50" s="447"/>
      <c r="G50" s="447"/>
      <c r="H50" s="447"/>
      <c r="I50" s="447"/>
      <c r="J50" s="447"/>
      <c r="K50" s="447"/>
      <c r="L50" s="447"/>
      <c r="M50" s="447"/>
      <c r="N50" s="447"/>
      <c r="O50" s="447"/>
      <c r="P50" s="447"/>
      <c r="Q50" s="309"/>
      <c r="R50" s="388"/>
      <c r="S50" s="438" t="str">
        <f>'FIG3'!$W$54&amp;" "&amp;'FIG3'!$X$54&amp;"-D"</f>
        <v>FA3L1 FA3L2-D</v>
      </c>
      <c r="T50" s="741">
        <v>0</v>
      </c>
      <c r="U50" s="741">
        <v>0</v>
      </c>
      <c r="V50" s="741">
        <v>0</v>
      </c>
      <c r="W50" s="741">
        <v>0</v>
      </c>
      <c r="X50" s="741">
        <v>0</v>
      </c>
      <c r="Y50" s="389"/>
      <c r="Z50" s="389"/>
      <c r="AA50" s="625"/>
      <c r="AB50" s="628"/>
      <c r="AC50" s="628"/>
      <c r="AD50" s="735" t="str">
        <f>'FIG3'!$W$54&amp;" "&amp;'FIG3'!$X$54&amp;"-D"</f>
        <v>FA3L1 FA3L2-D</v>
      </c>
      <c r="AE50" s="615"/>
      <c r="AF50" s="744" t="s">
        <v>387</v>
      </c>
      <c r="AG50" s="744"/>
      <c r="AH50" s="744">
        <v>2400</v>
      </c>
      <c r="AI50" s="744">
        <v>4000</v>
      </c>
      <c r="AJ50" s="744">
        <v>3200</v>
      </c>
      <c r="AK50" s="744">
        <v>2000</v>
      </c>
      <c r="AL50" s="744">
        <v>12800</v>
      </c>
    </row>
    <row r="51" spans="1:38" ht="15.95" customHeight="1">
      <c r="A51" s="447"/>
      <c r="B51" s="447"/>
      <c r="C51" s="447"/>
      <c r="D51" s="447"/>
      <c r="E51" s="447"/>
      <c r="F51" s="447"/>
      <c r="G51" s="447"/>
      <c r="H51" s="447"/>
      <c r="I51" s="447"/>
      <c r="J51" s="447"/>
      <c r="K51" s="447"/>
      <c r="L51" s="447"/>
      <c r="M51" s="447"/>
      <c r="N51" s="447"/>
      <c r="O51" s="447"/>
      <c r="P51" s="447"/>
      <c r="Q51" s="309"/>
      <c r="R51" s="388"/>
      <c r="S51" s="438" t="str">
        <f>'FIG3'!$W$54&amp;" "&amp;'FIG3'!$X$54&amp;"-C"</f>
        <v>FA3L1 FA3L2-C</v>
      </c>
      <c r="T51" s="741">
        <v>0</v>
      </c>
      <c r="U51" s="741">
        <v>0</v>
      </c>
      <c r="V51" s="741">
        <v>0</v>
      </c>
      <c r="W51" s="741">
        <v>0</v>
      </c>
      <c r="X51" s="741">
        <v>0</v>
      </c>
      <c r="Y51" s="389"/>
      <c r="Z51" s="389"/>
      <c r="AA51" s="625"/>
      <c r="AB51" s="628"/>
      <c r="AC51" s="628"/>
      <c r="AD51" s="735" t="str">
        <f>'FIG3'!$W$54&amp;" "&amp;'FIG3'!$X$54&amp;"-C"</f>
        <v>FA3L1 FA3L2-C</v>
      </c>
      <c r="AE51" s="615"/>
      <c r="AF51" s="744" t="s">
        <v>451</v>
      </c>
      <c r="AG51" s="744"/>
      <c r="AH51" s="744">
        <v>2160</v>
      </c>
      <c r="AI51" s="744">
        <v>3600</v>
      </c>
      <c r="AJ51" s="744">
        <v>2880</v>
      </c>
      <c r="AK51" s="744">
        <v>1800</v>
      </c>
      <c r="AL51" s="744">
        <v>11520</v>
      </c>
    </row>
    <row r="52" spans="1:38" ht="15.95" customHeight="1">
      <c r="A52" s="447"/>
      <c r="B52" s="447"/>
      <c r="C52" s="447"/>
      <c r="D52" s="447"/>
      <c r="E52" s="447"/>
      <c r="F52" s="447"/>
      <c r="G52" s="447"/>
      <c r="H52" s="447"/>
      <c r="I52" s="447"/>
      <c r="J52" s="447"/>
      <c r="K52" s="447"/>
      <c r="L52" s="447"/>
      <c r="M52" s="447"/>
      <c r="N52" s="447"/>
      <c r="O52" s="447"/>
      <c r="P52" s="447"/>
      <c r="Q52" s="309"/>
      <c r="R52" s="388"/>
      <c r="S52" s="438" t="str">
        <f>'FIG3'!$W$55&amp;" "&amp;'FIG3'!$X$55&amp;"-D"</f>
        <v>FA4L1 FA4L2-D</v>
      </c>
      <c r="T52" s="741">
        <v>0</v>
      </c>
      <c r="U52" s="741">
        <v>0</v>
      </c>
      <c r="V52" s="741">
        <v>0</v>
      </c>
      <c r="W52" s="741">
        <v>0</v>
      </c>
      <c r="X52" s="741">
        <v>0</v>
      </c>
      <c r="Y52" s="389"/>
      <c r="Z52" s="389"/>
      <c r="AA52" s="625"/>
      <c r="AB52" s="625"/>
      <c r="AC52" s="625"/>
      <c r="AD52" s="735" t="str">
        <f>'FIG3'!$W$55&amp;" "&amp;'FIG3'!$X$55&amp;"-D"</f>
        <v>FA4L1 FA4L2-D</v>
      </c>
      <c r="AE52" s="615"/>
      <c r="AF52" s="744" t="s">
        <v>452</v>
      </c>
      <c r="AG52" s="744"/>
      <c r="AH52" s="744">
        <v>2880</v>
      </c>
      <c r="AI52" s="744">
        <v>4800</v>
      </c>
      <c r="AJ52" s="744">
        <v>3840</v>
      </c>
      <c r="AK52" s="744">
        <v>2400</v>
      </c>
      <c r="AL52" s="744">
        <v>15360</v>
      </c>
    </row>
    <row r="53" spans="1:38" ht="15.95" customHeight="1">
      <c r="A53" s="447"/>
      <c r="B53" s="447"/>
      <c r="C53" s="447"/>
      <c r="D53" s="447"/>
      <c r="E53" s="447"/>
      <c r="F53" s="447"/>
      <c r="G53" s="447"/>
      <c r="H53" s="447"/>
      <c r="I53" s="447"/>
      <c r="J53" s="447"/>
      <c r="K53" s="447"/>
      <c r="L53" s="447"/>
      <c r="M53" s="447"/>
      <c r="N53" s="447"/>
      <c r="O53" s="447"/>
      <c r="P53" s="447"/>
      <c r="Q53" s="309"/>
      <c r="R53" s="388"/>
      <c r="S53" s="438" t="str">
        <f>'FIG3'!$W$55&amp;" "&amp;'FIG3'!$X$55&amp;"-C"</f>
        <v>FA4L1 FA4L2-C</v>
      </c>
      <c r="T53" s="741">
        <v>0</v>
      </c>
      <c r="U53" s="741">
        <v>0</v>
      </c>
      <c r="V53" s="741">
        <v>0</v>
      </c>
      <c r="W53" s="741">
        <v>0</v>
      </c>
      <c r="X53" s="741">
        <v>0</v>
      </c>
      <c r="Y53" s="389"/>
      <c r="Z53" s="389"/>
      <c r="AA53" s="625"/>
      <c r="AB53" s="625"/>
      <c r="AC53" s="625"/>
      <c r="AD53" s="735" t="str">
        <f>'FIG3'!$W$55&amp;" "&amp;'FIG3'!$X$55&amp;"-C"</f>
        <v>FA4L1 FA4L2-C</v>
      </c>
      <c r="AE53" s="615"/>
      <c r="AF53" s="744" t="s">
        <v>453</v>
      </c>
      <c r="AG53" s="744"/>
      <c r="AH53" s="744">
        <v>2592</v>
      </c>
      <c r="AI53" s="744">
        <v>4320</v>
      </c>
      <c r="AJ53" s="744">
        <v>3456</v>
      </c>
      <c r="AK53" s="744">
        <v>2160</v>
      </c>
      <c r="AL53" s="744">
        <v>13824</v>
      </c>
    </row>
    <row r="54" spans="1:38" ht="15.95" customHeight="1">
      <c r="A54" s="447"/>
      <c r="B54" s="447"/>
      <c r="C54" s="447"/>
      <c r="D54" s="447"/>
      <c r="E54" s="447"/>
      <c r="F54" s="447"/>
      <c r="G54" s="447"/>
      <c r="H54" s="447"/>
      <c r="I54" s="447"/>
      <c r="J54" s="447"/>
      <c r="K54" s="447"/>
      <c r="L54" s="447"/>
      <c r="M54" s="447"/>
      <c r="N54" s="447"/>
      <c r="O54" s="447"/>
      <c r="P54" s="447"/>
      <c r="Q54" s="309"/>
      <c r="R54" s="388"/>
      <c r="S54" s="438" t="str">
        <f>'FIG3'!$W$56&amp;" "&amp;'FIG3'!$X$56&amp;"-D"</f>
        <v>FA5L1 FA5L2-D</v>
      </c>
      <c r="T54" s="741">
        <v>0</v>
      </c>
      <c r="U54" s="741">
        <v>0</v>
      </c>
      <c r="V54" s="741">
        <v>0</v>
      </c>
      <c r="W54" s="741">
        <v>0</v>
      </c>
      <c r="X54" s="741">
        <v>0</v>
      </c>
      <c r="Y54" s="389"/>
      <c r="Z54" s="389"/>
      <c r="AA54" s="625"/>
      <c r="AB54" s="625"/>
      <c r="AC54" s="625"/>
      <c r="AD54" s="735" t="str">
        <f>'FIG3'!$W$56&amp;" "&amp;'FIG3'!$X$56&amp;"-D"</f>
        <v>FA5L1 FA5L2-D</v>
      </c>
      <c r="AE54" s="615"/>
      <c r="AF54" s="744" t="s">
        <v>454</v>
      </c>
      <c r="AG54" s="744"/>
      <c r="AH54" s="744">
        <v>3360</v>
      </c>
      <c r="AI54" s="744">
        <v>5600</v>
      </c>
      <c r="AJ54" s="744">
        <v>4480</v>
      </c>
      <c r="AK54" s="744">
        <v>2800</v>
      </c>
      <c r="AL54" s="744">
        <v>17920</v>
      </c>
    </row>
    <row r="55" spans="1:38" ht="15.95" customHeight="1">
      <c r="A55" s="447"/>
      <c r="B55" s="447"/>
      <c r="C55" s="447"/>
      <c r="D55" s="447"/>
      <c r="E55" s="447"/>
      <c r="F55" s="447"/>
      <c r="G55" s="447"/>
      <c r="H55" s="447"/>
      <c r="I55" s="447"/>
      <c r="J55" s="447"/>
      <c r="K55" s="447"/>
      <c r="L55" s="447"/>
      <c r="M55" s="447"/>
      <c r="N55" s="447"/>
      <c r="O55" s="447"/>
      <c r="P55" s="447"/>
      <c r="Q55" s="309"/>
      <c r="R55" s="389"/>
      <c r="S55" s="438" t="str">
        <f>'FIG3'!$W$56&amp;" "&amp;'FIG3'!$X$56&amp;"-C"</f>
        <v>FA5L1 FA5L2-C</v>
      </c>
      <c r="T55" s="741">
        <v>0</v>
      </c>
      <c r="U55" s="741">
        <v>0</v>
      </c>
      <c r="V55" s="741">
        <v>0</v>
      </c>
      <c r="W55" s="741">
        <v>0</v>
      </c>
      <c r="X55" s="741">
        <v>0</v>
      </c>
      <c r="Y55" s="388"/>
      <c r="Z55" s="388"/>
      <c r="AA55" s="625"/>
      <c r="AB55" s="625"/>
      <c r="AC55" s="625"/>
      <c r="AD55" s="735" t="str">
        <f>'FIG3'!$W$56&amp;" "&amp;'FIG3'!$X$56&amp;"-C"</f>
        <v>FA5L1 FA5L2-C</v>
      </c>
      <c r="AE55" s="615"/>
      <c r="AF55" s="744" t="s">
        <v>455</v>
      </c>
      <c r="AG55" s="744"/>
      <c r="AH55" s="744">
        <v>3024</v>
      </c>
      <c r="AI55" s="744">
        <v>5040</v>
      </c>
      <c r="AJ55" s="744">
        <v>4032</v>
      </c>
      <c r="AK55" s="744">
        <v>2520</v>
      </c>
      <c r="AL55" s="744">
        <v>16128</v>
      </c>
    </row>
    <row r="56" spans="1:38" ht="15.95" customHeight="1">
      <c r="A56" s="447"/>
      <c r="B56" s="447"/>
      <c r="C56" s="447"/>
      <c r="D56" s="447"/>
      <c r="E56" s="447"/>
      <c r="F56" s="447"/>
      <c r="G56" s="447"/>
      <c r="H56" s="447"/>
      <c r="I56" s="447"/>
      <c r="J56" s="447"/>
      <c r="K56" s="447"/>
      <c r="L56" s="447"/>
      <c r="M56" s="447"/>
      <c r="N56" s="447"/>
      <c r="O56" s="447"/>
      <c r="P56" s="447"/>
      <c r="Q56" s="309"/>
      <c r="R56" s="389"/>
      <c r="S56" s="1665" t="s">
        <v>485</v>
      </c>
      <c r="T56" s="1665"/>
      <c r="U56" s="1665"/>
      <c r="V56" s="1665"/>
      <c r="W56" s="1665"/>
      <c r="X56" s="1665"/>
      <c r="Y56" s="1665"/>
      <c r="Z56" s="1665"/>
      <c r="AA56" s="625"/>
      <c r="AB56" s="625"/>
      <c r="AC56" s="625"/>
      <c r="AD56" s="625"/>
      <c r="AE56" s="625"/>
      <c r="AF56" s="625"/>
      <c r="AH56" s="625"/>
      <c r="AI56" s="625"/>
      <c r="AJ56" s="625"/>
      <c r="AK56" s="625"/>
      <c r="AL56" s="625"/>
    </row>
    <row r="57" spans="1:38" ht="15.95" customHeight="1">
      <c r="A57" s="447"/>
      <c r="B57" s="447"/>
      <c r="C57" s="1514" t="s">
        <v>480</v>
      </c>
      <c r="D57" s="1514"/>
      <c r="E57" s="1514"/>
      <c r="F57" s="1514"/>
      <c r="G57" s="1514"/>
      <c r="H57" s="1514"/>
      <c r="I57" s="1514"/>
      <c r="J57" s="1514"/>
      <c r="K57" s="1514"/>
      <c r="L57" s="1514"/>
      <c r="M57" s="1514"/>
      <c r="N57" s="447"/>
      <c r="O57" s="447"/>
      <c r="P57" s="447"/>
      <c r="Q57" s="309"/>
      <c r="R57" s="389"/>
      <c r="S57" s="1665"/>
      <c r="T57" s="1665"/>
      <c r="U57" s="1665"/>
      <c r="V57" s="1665"/>
      <c r="W57" s="1665"/>
      <c r="X57" s="1665"/>
      <c r="Y57" s="1665"/>
      <c r="Z57" s="1665"/>
      <c r="AA57" s="625"/>
      <c r="AB57" s="1667" t="s">
        <v>523</v>
      </c>
      <c r="AC57" s="1668"/>
      <c r="AD57" s="1668"/>
      <c r="AE57" s="1668"/>
      <c r="AF57" s="625"/>
      <c r="AH57" s="625"/>
      <c r="AI57" s="625"/>
      <c r="AJ57" s="625"/>
      <c r="AK57" s="625"/>
      <c r="AL57" s="625"/>
    </row>
    <row r="58" spans="1:38" ht="15.95" customHeight="1">
      <c r="A58" s="447"/>
      <c r="B58" s="447"/>
      <c r="C58" s="1514"/>
      <c r="D58" s="1514"/>
      <c r="E58" s="1514"/>
      <c r="F58" s="1514"/>
      <c r="G58" s="1514"/>
      <c r="H58" s="1514"/>
      <c r="I58" s="1514"/>
      <c r="J58" s="1514"/>
      <c r="K58" s="1514"/>
      <c r="L58" s="1514"/>
      <c r="M58" s="1514"/>
      <c r="N58" s="447"/>
      <c r="O58" s="447"/>
      <c r="P58" s="447"/>
      <c r="Q58" s="309"/>
      <c r="R58" s="389"/>
      <c r="S58" s="1666" t="s">
        <v>497</v>
      </c>
      <c r="T58" s="1666"/>
      <c r="U58" s="1666"/>
      <c r="V58" s="1666"/>
      <c r="W58" s="1666"/>
      <c r="X58" s="1666"/>
      <c r="Y58" s="1666"/>
      <c r="Z58" s="1666"/>
      <c r="AA58" s="625"/>
      <c r="AB58" s="1668"/>
      <c r="AC58" s="1668"/>
      <c r="AD58" s="1668"/>
      <c r="AE58" s="1668"/>
      <c r="AF58" s="625"/>
      <c r="AH58" s="625"/>
      <c r="AI58" s="625"/>
      <c r="AJ58" s="625"/>
      <c r="AK58" s="625"/>
      <c r="AL58" s="625"/>
    </row>
    <row r="59" spans="1:38" ht="15.95" customHeight="1">
      <c r="A59" s="447"/>
      <c r="B59" s="447"/>
      <c r="C59" s="1514"/>
      <c r="D59" s="1514"/>
      <c r="E59" s="1514"/>
      <c r="F59" s="1514"/>
      <c r="G59" s="1514"/>
      <c r="H59" s="1514"/>
      <c r="I59" s="1514"/>
      <c r="J59" s="1514"/>
      <c r="K59" s="1514"/>
      <c r="L59" s="1514"/>
      <c r="M59" s="1514"/>
      <c r="N59" s="447"/>
      <c r="O59" s="447"/>
      <c r="P59" s="447"/>
      <c r="Q59" s="309"/>
      <c r="R59" s="389"/>
      <c r="S59" s="1666"/>
      <c r="T59" s="1666"/>
      <c r="U59" s="1666"/>
      <c r="V59" s="1666"/>
      <c r="W59" s="1666"/>
      <c r="X59" s="1666"/>
      <c r="Y59" s="1666"/>
      <c r="Z59" s="1666"/>
      <c r="AA59" s="625"/>
      <c r="AB59" s="1668"/>
      <c r="AC59" s="1668"/>
      <c r="AD59" s="1668"/>
      <c r="AE59" s="1668"/>
      <c r="AF59" s="625"/>
      <c r="AH59" s="625"/>
      <c r="AI59" s="625"/>
      <c r="AJ59" s="625"/>
      <c r="AK59" s="625"/>
      <c r="AL59" s="625"/>
    </row>
    <row r="60" spans="1:38" ht="15.95" customHeight="1">
      <c r="A60" s="447"/>
      <c r="B60" s="447"/>
      <c r="C60" s="1514"/>
      <c r="D60" s="1514"/>
      <c r="E60" s="1514"/>
      <c r="F60" s="1514"/>
      <c r="G60" s="1514"/>
      <c r="H60" s="1514"/>
      <c r="I60" s="1514"/>
      <c r="J60" s="1514"/>
      <c r="K60" s="1514"/>
      <c r="L60" s="1514"/>
      <c r="M60" s="1514"/>
      <c r="N60" s="447"/>
      <c r="O60" s="447"/>
      <c r="P60" s="447"/>
      <c r="Q60" s="309"/>
      <c r="R60" s="389"/>
      <c r="S60" s="1665" t="s">
        <v>488</v>
      </c>
      <c r="T60" s="1665"/>
      <c r="U60" s="1665"/>
      <c r="V60" s="1665"/>
      <c r="W60" s="1665"/>
      <c r="X60" s="1665"/>
      <c r="Y60" s="1665"/>
      <c r="Z60" s="1665"/>
      <c r="AA60" s="625"/>
      <c r="AB60" s="1668"/>
      <c r="AC60" s="1668"/>
      <c r="AD60" s="1668"/>
      <c r="AE60" s="1668"/>
      <c r="AF60" s="625"/>
      <c r="AH60" s="625"/>
      <c r="AI60" s="625"/>
      <c r="AJ60" s="625"/>
      <c r="AK60" s="625"/>
      <c r="AL60" s="625"/>
    </row>
    <row r="61" spans="1:38" ht="15.95" customHeight="1">
      <c r="A61" s="447"/>
      <c r="B61" s="447"/>
      <c r="C61" s="1514"/>
      <c r="D61" s="1514"/>
      <c r="E61" s="1514"/>
      <c r="F61" s="1514"/>
      <c r="G61" s="1514"/>
      <c r="H61" s="1514"/>
      <c r="I61" s="1514"/>
      <c r="J61" s="1514"/>
      <c r="K61" s="1514"/>
      <c r="L61" s="1514"/>
      <c r="M61" s="1514"/>
      <c r="N61" s="447"/>
      <c r="O61" s="447"/>
      <c r="P61" s="447"/>
      <c r="Q61" s="309"/>
      <c r="R61" s="389"/>
      <c r="S61" s="1665"/>
      <c r="T61" s="1665"/>
      <c r="U61" s="1665"/>
      <c r="V61" s="1665"/>
      <c r="W61" s="1665"/>
      <c r="X61" s="1665"/>
      <c r="Y61" s="1665"/>
      <c r="Z61" s="1665"/>
      <c r="AA61" s="625"/>
      <c r="AB61" s="1668"/>
      <c r="AC61" s="1668"/>
      <c r="AD61" s="1668"/>
      <c r="AE61" s="1668"/>
      <c r="AF61" s="625"/>
      <c r="AH61" s="625"/>
      <c r="AI61" s="625"/>
      <c r="AJ61" s="625"/>
      <c r="AK61" s="625"/>
      <c r="AL61" s="625"/>
    </row>
    <row r="62" spans="1:38" ht="15.95" customHeight="1">
      <c r="A62" s="447"/>
      <c r="B62" s="447"/>
      <c r="C62" s="1514"/>
      <c r="D62" s="1514"/>
      <c r="E62" s="1514"/>
      <c r="F62" s="1514"/>
      <c r="G62" s="1514"/>
      <c r="H62" s="1514"/>
      <c r="I62" s="1514"/>
      <c r="J62" s="1514"/>
      <c r="K62" s="1514"/>
      <c r="L62" s="1514"/>
      <c r="M62" s="1514"/>
      <c r="N62" s="447"/>
      <c r="O62" s="447"/>
      <c r="P62" s="447"/>
      <c r="Q62" s="309"/>
      <c r="R62" s="389"/>
      <c r="S62" s="475" t="str">
        <f>'FIG3'!W49</f>
        <v>GA</v>
      </c>
      <c r="T62" s="1681" t="s">
        <v>442</v>
      </c>
      <c r="U62" s="1681"/>
      <c r="V62" s="1681"/>
      <c r="W62" s="1681"/>
      <c r="X62" s="1681"/>
      <c r="Y62" s="439"/>
      <c r="Z62" s="439"/>
      <c r="AA62" s="625"/>
      <c r="AB62" s="625"/>
      <c r="AC62" s="625"/>
      <c r="AD62" s="625"/>
      <c r="AE62" s="625"/>
      <c r="AF62" s="625"/>
      <c r="AH62" s="625"/>
      <c r="AI62" s="625"/>
      <c r="AJ62" s="625"/>
      <c r="AK62" s="625"/>
      <c r="AL62" s="625"/>
    </row>
    <row r="63" spans="1:38" ht="15.95" customHeight="1">
      <c r="A63" s="447"/>
      <c r="B63" s="447"/>
      <c r="C63" s="1514"/>
      <c r="D63" s="1514"/>
      <c r="E63" s="1514"/>
      <c r="F63" s="1514"/>
      <c r="G63" s="1514"/>
      <c r="H63" s="1514"/>
      <c r="I63" s="1514"/>
      <c r="J63" s="1514"/>
      <c r="K63" s="1514"/>
      <c r="L63" s="1514"/>
      <c r="M63" s="1514"/>
      <c r="N63" s="447"/>
      <c r="O63" s="447"/>
      <c r="P63" s="447"/>
      <c r="Q63" s="309"/>
      <c r="R63" s="389"/>
      <c r="S63" s="308"/>
      <c r="T63" s="454" t="s">
        <v>443</v>
      </c>
      <c r="U63" s="474">
        <f>IF(T42="FY2003",1.13,IF(T42="FY2007",1,0))</f>
        <v>1.1299999999999999</v>
      </c>
      <c r="V63" s="474"/>
      <c r="W63" s="454" t="s">
        <v>444</v>
      </c>
      <c r="X63" s="619">
        <v>0.92</v>
      </c>
      <c r="Y63" s="439"/>
      <c r="Z63" s="439"/>
      <c r="AA63" s="625"/>
      <c r="AB63" s="745" t="s">
        <v>446</v>
      </c>
      <c r="AC63" s="744"/>
      <c r="AD63" s="744"/>
      <c r="AE63" s="744"/>
      <c r="AF63" s="625"/>
      <c r="AH63" s="625"/>
      <c r="AI63" s="625"/>
      <c r="AJ63" s="625"/>
      <c r="AK63" s="625"/>
      <c r="AL63" s="625"/>
    </row>
    <row r="64" spans="1:38" ht="15.95" customHeight="1">
      <c r="A64" s="447"/>
      <c r="B64" s="447"/>
      <c r="C64" s="1514"/>
      <c r="D64" s="1514"/>
      <c r="E64" s="1514"/>
      <c r="F64" s="1514"/>
      <c r="G64" s="1514"/>
      <c r="H64" s="1514"/>
      <c r="I64" s="1514"/>
      <c r="J64" s="1514"/>
      <c r="K64" s="1514"/>
      <c r="L64" s="1514"/>
      <c r="M64" s="1514"/>
      <c r="N64" s="447"/>
      <c r="O64" s="447"/>
      <c r="P64" s="447"/>
      <c r="Q64" s="309"/>
      <c r="R64" s="389"/>
      <c r="S64" s="441"/>
      <c r="T64" s="500" t="s">
        <v>441</v>
      </c>
      <c r="U64" s="500"/>
      <c r="V64" s="500"/>
      <c r="W64" s="500"/>
      <c r="X64" s="500"/>
      <c r="Y64" s="439"/>
      <c r="Z64" s="439"/>
      <c r="AA64" s="625"/>
      <c r="AB64" s="744"/>
      <c r="AC64" s="744"/>
      <c r="AD64" s="744"/>
      <c r="AE64" s="744"/>
      <c r="AF64" s="625"/>
      <c r="AH64" s="625"/>
      <c r="AI64" s="625"/>
      <c r="AJ64" s="625"/>
      <c r="AK64" s="625"/>
      <c r="AL64" s="625"/>
    </row>
    <row r="65" spans="1:45" ht="15.95" customHeight="1">
      <c r="A65" s="447"/>
      <c r="B65" s="447"/>
      <c r="C65" s="1514"/>
      <c r="D65" s="1514"/>
      <c r="E65" s="1514"/>
      <c r="F65" s="1514"/>
      <c r="G65" s="1514"/>
      <c r="H65" s="1514"/>
      <c r="I65" s="1514"/>
      <c r="J65" s="1514"/>
      <c r="K65" s="1514"/>
      <c r="L65" s="1514"/>
      <c r="M65" s="1514"/>
      <c r="N65" s="447"/>
      <c r="O65" s="447"/>
      <c r="P65" s="447"/>
      <c r="Q65" s="309"/>
      <c r="R65" s="389"/>
      <c r="S65" s="441"/>
      <c r="T65" s="500" t="s">
        <v>145</v>
      </c>
      <c r="U65" s="619" t="s">
        <v>144</v>
      </c>
      <c r="V65" s="500" t="s">
        <v>143</v>
      </c>
      <c r="W65" s="619" t="s">
        <v>149</v>
      </c>
      <c r="X65" s="619" t="s">
        <v>146</v>
      </c>
      <c r="Y65" s="439"/>
      <c r="Z65" s="439"/>
      <c r="AA65" s="625"/>
      <c r="AB65" s="744"/>
      <c r="AC65" s="744"/>
      <c r="AD65" s="744"/>
      <c r="AE65" s="744"/>
      <c r="AF65" s="625"/>
      <c r="AH65" s="625"/>
      <c r="AI65" s="625"/>
      <c r="AJ65" s="625"/>
      <c r="AK65" s="625"/>
      <c r="AL65" s="625"/>
    </row>
    <row r="66" spans="1:45" ht="15.95" customHeight="1">
      <c r="A66" s="447"/>
      <c r="B66" s="447"/>
      <c r="C66" s="494"/>
      <c r="D66" s="494"/>
      <c r="E66" s="494"/>
      <c r="F66" s="494"/>
      <c r="G66" s="494"/>
      <c r="H66" s="494"/>
      <c r="I66" s="494"/>
      <c r="J66" s="494"/>
      <c r="K66" s="494"/>
      <c r="L66" s="494"/>
      <c r="M66" s="494"/>
      <c r="N66" s="447"/>
      <c r="O66" s="447"/>
      <c r="P66" s="447"/>
      <c r="Q66" s="309"/>
      <c r="R66" s="389"/>
      <c r="S66" s="441" t="str">
        <f t="shared" ref="S66:S77" si="1">S44</f>
        <v>Statewide District (D)</v>
      </c>
      <c r="T66" s="445">
        <f>'FIG3'!E13</f>
        <v>1505.4729033435444</v>
      </c>
      <c r="U66" s="445">
        <f>'FIG3'!E14</f>
        <v>4723.9235800625665</v>
      </c>
      <c r="V66" s="445">
        <f>'FIG3'!E15</f>
        <v>4821.3375289513124</v>
      </c>
      <c r="W66" s="445">
        <f>'FIG3'!E16</f>
        <v>690.48976249103816</v>
      </c>
      <c r="X66" s="445">
        <f>'FIG3'!E19</f>
        <v>11741.223774848462</v>
      </c>
      <c r="Y66" s="439"/>
      <c r="Z66" s="439"/>
      <c r="AA66" s="625"/>
      <c r="AB66" s="744"/>
      <c r="AC66" s="744"/>
      <c r="AD66" s="744"/>
      <c r="AE66" s="744"/>
      <c r="AF66" s="625"/>
      <c r="AH66" s="630"/>
      <c r="AI66" s="630"/>
      <c r="AJ66" s="630"/>
      <c r="AK66" s="630"/>
      <c r="AL66" s="630"/>
    </row>
    <row r="67" spans="1:45" ht="15.95" customHeight="1">
      <c r="A67" s="447"/>
      <c r="B67" s="447"/>
      <c r="C67" s="494"/>
      <c r="D67" s="494"/>
      <c r="E67" s="494"/>
      <c r="F67" s="494"/>
      <c r="G67" s="494"/>
      <c r="H67" s="494"/>
      <c r="I67" s="494"/>
      <c r="J67" s="494"/>
      <c r="K67" s="494"/>
      <c r="L67" s="494"/>
      <c r="M67" s="494"/>
      <c r="N67" s="447"/>
      <c r="O67" s="447"/>
      <c r="P67" s="447"/>
      <c r="Q67" s="309"/>
      <c r="R67" s="389"/>
      <c r="S67" s="441" t="str">
        <f t="shared" si="1"/>
        <v>Statewide Charter (C)</v>
      </c>
      <c r="T67" s="445">
        <f>'FIG3'!F13</f>
        <v>750.21788876772086</v>
      </c>
      <c r="U67" s="445">
        <f>'FIG3'!F14</f>
        <v>4759.4467611777536</v>
      </c>
      <c r="V67" s="445">
        <f>'FIG3'!F15</f>
        <v>2095.4798211559437</v>
      </c>
      <c r="W67" s="445">
        <f>'FIG3'!F16</f>
        <v>758.95293347873496</v>
      </c>
      <c r="X67" s="445">
        <f>'FIG3'!F19</f>
        <v>8471.9359651035993</v>
      </c>
      <c r="Y67" s="439"/>
      <c r="Z67" s="439"/>
      <c r="AA67" s="625"/>
      <c r="AB67" s="744"/>
      <c r="AC67" s="744"/>
      <c r="AD67" s="744"/>
      <c r="AE67" s="744"/>
      <c r="AF67" s="625"/>
      <c r="AH67" s="630"/>
      <c r="AI67" s="630"/>
      <c r="AJ67" s="630"/>
      <c r="AK67" s="630"/>
      <c r="AL67" s="630"/>
    </row>
    <row r="68" spans="1:45" ht="15.95" customHeight="1">
      <c r="A68" s="447"/>
      <c r="B68" s="447"/>
      <c r="C68" s="494"/>
      <c r="D68" s="494"/>
      <c r="E68" s="494"/>
      <c r="F68" s="494"/>
      <c r="G68" s="494"/>
      <c r="H68" s="494"/>
      <c r="I68" s="494"/>
      <c r="J68" s="494"/>
      <c r="K68" s="494"/>
      <c r="L68" s="494"/>
      <c r="M68" s="494"/>
      <c r="N68" s="447"/>
      <c r="O68" s="447"/>
      <c r="P68" s="447"/>
      <c r="Q68" s="309"/>
      <c r="R68" s="389"/>
      <c r="S68" s="444" t="str">
        <f t="shared" si="1"/>
        <v>Fulton County District-D</v>
      </c>
      <c r="T68" s="445">
        <f>'FIG3'!I13</f>
        <v>1108.4521209403104</v>
      </c>
      <c r="U68" s="445">
        <f>'FIG3'!I14</f>
        <v>3394.9872036484794</v>
      </c>
      <c r="V68" s="445">
        <f>'FIG3'!I15</f>
        <v>7619.1691270211086</v>
      </c>
      <c r="W68" s="445">
        <f>'FIG3'!I16</f>
        <v>731.48389939890967</v>
      </c>
      <c r="X68" s="445">
        <f>'FIG3'!I19</f>
        <v>12854.092351008807</v>
      </c>
      <c r="Y68" s="389"/>
      <c r="Z68" s="389"/>
      <c r="AA68" s="625"/>
      <c r="AB68" s="1667" t="s">
        <v>486</v>
      </c>
      <c r="AC68" s="1667"/>
      <c r="AD68" s="1667"/>
      <c r="AE68" s="1667"/>
      <c r="AF68" s="625"/>
      <c r="AH68" s="630"/>
      <c r="AI68" s="630"/>
      <c r="AJ68" s="630"/>
      <c r="AK68" s="630"/>
      <c r="AL68" s="630"/>
    </row>
    <row r="69" spans="1:45" ht="15" customHeight="1">
      <c r="A69" s="447"/>
      <c r="B69" s="447"/>
      <c r="C69" s="494"/>
      <c r="D69" s="494"/>
      <c r="E69" s="494"/>
      <c r="F69" s="494"/>
      <c r="G69" s="494"/>
      <c r="H69" s="494"/>
      <c r="I69" s="494"/>
      <c r="J69" s="494"/>
      <c r="K69" s="494"/>
      <c r="L69" s="494"/>
      <c r="M69" s="494"/>
      <c r="N69" s="447"/>
      <c r="O69" s="447"/>
      <c r="P69" s="447"/>
      <c r="Q69" s="309"/>
      <c r="R69" s="389"/>
      <c r="S69" s="444" t="str">
        <f t="shared" si="1"/>
        <v>Fulton County District-C</v>
      </c>
      <c r="T69" s="445">
        <f>'FIG3'!J13</f>
        <v>1011.3806432400239</v>
      </c>
      <c r="U69" s="445">
        <f>'FIG3'!J14</f>
        <v>4423.2897558070281</v>
      </c>
      <c r="V69" s="445">
        <f>'FIG3'!J15</f>
        <v>3358.2956521739134</v>
      </c>
      <c r="W69" s="445">
        <f>'FIG3'!J16</f>
        <v>998.25640262060756</v>
      </c>
      <c r="X69" s="445">
        <f>'FIG3'!J19</f>
        <v>9869.7823108993471</v>
      </c>
      <c r="Y69" s="389"/>
      <c r="Z69" s="389"/>
      <c r="AA69" s="625"/>
      <c r="AB69" s="1667"/>
      <c r="AC69" s="1667"/>
      <c r="AD69" s="1667"/>
      <c r="AE69" s="1667"/>
      <c r="AF69" s="625"/>
      <c r="AH69" s="630"/>
      <c r="AI69" s="630"/>
      <c r="AJ69" s="630"/>
      <c r="AK69" s="630"/>
      <c r="AL69" s="630"/>
    </row>
    <row r="70" spans="1:45" ht="15" customHeight="1">
      <c r="A70" s="447"/>
      <c r="B70" s="447"/>
      <c r="C70" s="494"/>
      <c r="D70" s="494"/>
      <c r="E70" s="494"/>
      <c r="F70" s="494"/>
      <c r="G70" s="494"/>
      <c r="H70" s="494"/>
      <c r="I70" s="494"/>
      <c r="J70" s="494"/>
      <c r="K70" s="494"/>
      <c r="L70" s="494"/>
      <c r="M70" s="494"/>
      <c r="N70" s="447"/>
      <c r="O70" s="447"/>
      <c r="P70" s="447"/>
      <c r="Q70" s="309"/>
      <c r="R70" s="389"/>
      <c r="S70" s="444" t="str">
        <f t="shared" si="1"/>
        <v>Atlanta Public Schools-D</v>
      </c>
      <c r="T70" s="445">
        <f>'FIG3'!K13</f>
        <v>2283.7877871160986</v>
      </c>
      <c r="U70" s="445">
        <f>'FIG3'!K14</f>
        <v>2542.9690462246863</v>
      </c>
      <c r="V70" s="445">
        <f>'FIG3'!K15</f>
        <v>10761.734169609728</v>
      </c>
      <c r="W70" s="445">
        <f>'FIG3'!K16</f>
        <v>3391.869976977066</v>
      </c>
      <c r="X70" s="445">
        <f>'FIG3'!K19</f>
        <v>18980.36097992758</v>
      </c>
      <c r="Y70" s="389"/>
      <c r="Z70" s="389"/>
      <c r="AA70" s="625"/>
      <c r="AB70" s="1667"/>
      <c r="AC70" s="1667"/>
      <c r="AD70" s="1667"/>
      <c r="AE70" s="1667"/>
      <c r="AF70" s="625"/>
      <c r="AH70" s="630"/>
      <c r="AI70" s="630"/>
      <c r="AJ70" s="630"/>
      <c r="AK70" s="630"/>
      <c r="AL70" s="630"/>
      <c r="AM70" s="628"/>
      <c r="AN70" s="628"/>
      <c r="AO70" s="628"/>
      <c r="AP70" s="628"/>
      <c r="AQ70" s="628"/>
      <c r="AR70" s="628"/>
      <c r="AS70" s="628"/>
    </row>
    <row r="71" spans="1:45" ht="15.95" customHeight="1">
      <c r="A71" s="447"/>
      <c r="B71" s="447"/>
      <c r="C71" s="447"/>
      <c r="D71" s="447"/>
      <c r="E71" s="447"/>
      <c r="F71" s="447"/>
      <c r="G71" s="447"/>
      <c r="H71" s="447"/>
      <c r="I71" s="447"/>
      <c r="J71" s="447"/>
      <c r="K71" s="447"/>
      <c r="L71" s="447"/>
      <c r="M71" s="447"/>
      <c r="N71" s="447"/>
      <c r="O71" s="447"/>
      <c r="P71" s="447"/>
      <c r="Q71" s="309"/>
      <c r="R71" s="389"/>
      <c r="S71" s="444" t="str">
        <f t="shared" si="1"/>
        <v>Atlanta Public Schools-C</v>
      </c>
      <c r="T71" s="445">
        <f>'FIG3'!L13</f>
        <v>1028.2750780703798</v>
      </c>
      <c r="U71" s="445">
        <f>'FIG3'!L14</f>
        <v>5397.5478909345138</v>
      </c>
      <c r="V71" s="445">
        <f>'FIG3'!L15</f>
        <v>4901.4552878116992</v>
      </c>
      <c r="W71" s="445">
        <f>'FIG3'!L16</f>
        <v>1533.9864833372174</v>
      </c>
      <c r="X71" s="445">
        <f>'FIG3'!L19</f>
        <v>13174.164996504313</v>
      </c>
      <c r="Y71" s="389"/>
      <c r="Z71" s="389"/>
      <c r="AA71" s="625"/>
      <c r="AB71" s="1667"/>
      <c r="AC71" s="1667"/>
      <c r="AD71" s="1667"/>
      <c r="AE71" s="1667"/>
      <c r="AF71" s="625"/>
      <c r="AH71" s="630"/>
      <c r="AI71" s="630"/>
      <c r="AJ71" s="630"/>
      <c r="AK71" s="630"/>
      <c r="AL71" s="630"/>
      <c r="AM71" s="628"/>
      <c r="AN71" s="628"/>
      <c r="AO71" s="628"/>
      <c r="AP71" s="628"/>
      <c r="AQ71" s="628"/>
      <c r="AR71" s="628"/>
      <c r="AS71" s="628"/>
    </row>
    <row r="72" spans="1:45" ht="15.95" customHeight="1">
      <c r="A72" s="447"/>
      <c r="B72" s="447"/>
      <c r="C72" s="447"/>
      <c r="D72" s="447"/>
      <c r="E72" s="447"/>
      <c r="F72" s="447"/>
      <c r="G72" s="447"/>
      <c r="H72" s="447"/>
      <c r="I72" s="447"/>
      <c r="J72" s="447"/>
      <c r="K72" s="447"/>
      <c r="L72" s="447"/>
      <c r="M72" s="447"/>
      <c r="N72" s="447"/>
      <c r="O72" s="447"/>
      <c r="P72" s="447"/>
      <c r="Q72" s="309"/>
      <c r="R72" s="389"/>
      <c r="S72" s="444" t="str">
        <f t="shared" si="1"/>
        <v>FA3L1 FA3L2-D</v>
      </c>
      <c r="T72" s="445" t="e">
        <f>'FIG3'!M13</f>
        <v>#DIV/0!</v>
      </c>
      <c r="U72" s="445" t="e">
        <f>'FIG3'!M14</f>
        <v>#DIV/0!</v>
      </c>
      <c r="V72" s="445" t="e">
        <f>'FIG3'!M15</f>
        <v>#DIV/0!</v>
      </c>
      <c r="W72" s="445" t="e">
        <f>'FIG3'!M16</f>
        <v>#DIV/0!</v>
      </c>
      <c r="X72" s="445" t="e">
        <f>'FIG3'!M19</f>
        <v>#DIV/0!</v>
      </c>
      <c r="Y72" s="389"/>
      <c r="Z72" s="389"/>
      <c r="AA72" s="625"/>
      <c r="AB72" s="1667"/>
      <c r="AC72" s="1667"/>
      <c r="AD72" s="1667"/>
      <c r="AE72" s="1667"/>
      <c r="AF72" s="625"/>
      <c r="AH72" s="630"/>
      <c r="AI72" s="630"/>
      <c r="AJ72" s="630"/>
      <c r="AK72" s="630"/>
      <c r="AL72" s="630"/>
      <c r="AM72" s="628"/>
      <c r="AN72" s="628"/>
      <c r="AO72" s="628"/>
      <c r="AP72" s="628"/>
      <c r="AQ72" s="628"/>
      <c r="AR72" s="628"/>
      <c r="AS72" s="628"/>
    </row>
    <row r="73" spans="1:45" ht="15.95" customHeight="1">
      <c r="A73" s="447"/>
      <c r="B73" s="447"/>
      <c r="C73" s="447"/>
      <c r="D73" s="447"/>
      <c r="E73" s="447"/>
      <c r="F73" s="447"/>
      <c r="G73" s="447"/>
      <c r="H73" s="447"/>
      <c r="I73" s="447"/>
      <c r="J73" s="447"/>
      <c r="K73" s="447"/>
      <c r="L73" s="447"/>
      <c r="M73" s="447"/>
      <c r="N73" s="447"/>
      <c r="O73" s="447"/>
      <c r="P73" s="447"/>
      <c r="Q73" s="309"/>
      <c r="R73" s="389"/>
      <c r="S73" s="444" t="str">
        <f t="shared" si="1"/>
        <v>FA3L1 FA3L2-C</v>
      </c>
      <c r="T73" s="445" t="e">
        <f>'FIG3'!N13</f>
        <v>#DIV/0!</v>
      </c>
      <c r="U73" s="445" t="e">
        <f>'FIG3'!N14</f>
        <v>#DIV/0!</v>
      </c>
      <c r="V73" s="445" t="e">
        <f>'FIG3'!N15</f>
        <v>#DIV/0!</v>
      </c>
      <c r="W73" s="445" t="e">
        <f>'FIG3'!N16</f>
        <v>#DIV/0!</v>
      </c>
      <c r="X73" s="445" t="e">
        <f>'FIG3'!N19</f>
        <v>#DIV/0!</v>
      </c>
      <c r="Y73" s="389"/>
      <c r="Z73" s="389"/>
      <c r="AA73" s="625"/>
      <c r="AB73" s="1667"/>
      <c r="AC73" s="1667"/>
      <c r="AD73" s="1667"/>
      <c r="AE73" s="1667"/>
      <c r="AF73" s="625"/>
      <c r="AH73" s="630"/>
      <c r="AI73" s="630"/>
      <c r="AJ73" s="630"/>
      <c r="AK73" s="630"/>
      <c r="AL73" s="630"/>
      <c r="AM73" s="628"/>
      <c r="AN73" s="628"/>
      <c r="AO73" s="628"/>
      <c r="AP73" s="628"/>
      <c r="AQ73" s="628"/>
      <c r="AR73" s="628"/>
      <c r="AS73" s="628"/>
    </row>
    <row r="74" spans="1:45" ht="15.95" customHeight="1">
      <c r="A74" s="447"/>
      <c r="B74" s="447"/>
      <c r="C74" s="447"/>
      <c r="D74" s="447"/>
      <c r="E74" s="447"/>
      <c r="F74" s="447"/>
      <c r="G74" s="447"/>
      <c r="H74" s="447"/>
      <c r="I74" s="447"/>
      <c r="J74" s="447"/>
      <c r="K74" s="447"/>
      <c r="L74" s="447"/>
      <c r="M74" s="447"/>
      <c r="N74" s="447"/>
      <c r="O74" s="447"/>
      <c r="P74" s="447"/>
      <c r="Q74" s="309"/>
      <c r="R74" s="389"/>
      <c r="S74" s="444" t="str">
        <f t="shared" si="1"/>
        <v>FA4L1 FA4L2-D</v>
      </c>
      <c r="T74" s="445" t="e">
        <f>'FIG3'!O13</f>
        <v>#DIV/0!</v>
      </c>
      <c r="U74" s="445" t="e">
        <f>'FIG3'!O14</f>
        <v>#DIV/0!</v>
      </c>
      <c r="V74" s="445" t="e">
        <f>'FIG3'!O15</f>
        <v>#DIV/0!</v>
      </c>
      <c r="W74" s="445" t="e">
        <f>'FIG3'!O16</f>
        <v>#DIV/0!</v>
      </c>
      <c r="X74" s="445" t="e">
        <f>'FIG3'!O19</f>
        <v>#DIV/0!</v>
      </c>
      <c r="Y74" s="389"/>
      <c r="Z74" s="389"/>
      <c r="AA74" s="625"/>
      <c r="AB74" s="1667"/>
      <c r="AC74" s="1667"/>
      <c r="AD74" s="1667"/>
      <c r="AE74" s="1667"/>
      <c r="AF74" s="625"/>
      <c r="AH74" s="630"/>
      <c r="AI74" s="630"/>
      <c r="AJ74" s="630"/>
      <c r="AK74" s="630"/>
      <c r="AL74" s="630"/>
      <c r="AM74" s="628"/>
      <c r="AN74" s="628"/>
      <c r="AO74" s="628"/>
      <c r="AP74" s="628"/>
      <c r="AQ74" s="628"/>
      <c r="AR74" s="628"/>
      <c r="AS74" s="628"/>
    </row>
    <row r="75" spans="1:45" ht="15.95" customHeight="1">
      <c r="A75" s="447"/>
      <c r="B75" s="447"/>
      <c r="C75" s="447"/>
      <c r="D75" s="447"/>
      <c r="E75" s="447"/>
      <c r="F75" s="447"/>
      <c r="G75" s="447"/>
      <c r="H75" s="447"/>
      <c r="I75" s="447"/>
      <c r="J75" s="447"/>
      <c r="K75" s="447"/>
      <c r="L75" s="447"/>
      <c r="M75" s="447"/>
      <c r="N75" s="447"/>
      <c r="O75" s="447"/>
      <c r="P75" s="447"/>
      <c r="Q75" s="309"/>
      <c r="R75" s="389"/>
      <c r="S75" s="444" t="str">
        <f t="shared" si="1"/>
        <v>FA4L1 FA4L2-C</v>
      </c>
      <c r="T75" s="445" t="e">
        <f>'FIG3'!P13</f>
        <v>#DIV/0!</v>
      </c>
      <c r="U75" s="445" t="e">
        <f>'FIG3'!P14</f>
        <v>#DIV/0!</v>
      </c>
      <c r="V75" s="445" t="e">
        <f>'FIG3'!P15</f>
        <v>#DIV/0!</v>
      </c>
      <c r="W75" s="445" t="e">
        <f>'FIG3'!P16</f>
        <v>#DIV/0!</v>
      </c>
      <c r="X75" s="445" t="e">
        <f>'FIG3'!P19</f>
        <v>#DIV/0!</v>
      </c>
      <c r="Y75" s="389"/>
      <c r="Z75" s="389"/>
      <c r="AA75" s="625"/>
      <c r="AB75" s="628"/>
      <c r="AC75" s="628"/>
      <c r="AD75" s="628"/>
      <c r="AE75" s="628"/>
      <c r="AF75" s="625"/>
      <c r="AH75" s="630"/>
      <c r="AI75" s="630"/>
      <c r="AJ75" s="630"/>
      <c r="AK75" s="630"/>
      <c r="AL75" s="630"/>
      <c r="AM75" s="628"/>
      <c r="AN75" s="628"/>
      <c r="AO75" s="628"/>
      <c r="AP75" s="628"/>
      <c r="AQ75" s="628"/>
      <c r="AR75" s="628"/>
      <c r="AS75" s="628"/>
    </row>
    <row r="76" spans="1:45" ht="15.95" customHeight="1">
      <c r="A76" s="447"/>
      <c r="B76" s="447"/>
      <c r="C76" s="447"/>
      <c r="D76" s="447"/>
      <c r="E76" s="447"/>
      <c r="F76" s="447"/>
      <c r="G76" s="447"/>
      <c r="H76" s="447"/>
      <c r="I76" s="447"/>
      <c r="J76" s="447"/>
      <c r="K76" s="447"/>
      <c r="L76" s="447"/>
      <c r="M76" s="447"/>
      <c r="N76" s="447"/>
      <c r="O76" s="447"/>
      <c r="P76" s="447"/>
      <c r="Q76" s="309"/>
      <c r="R76" s="389"/>
      <c r="S76" s="444" t="str">
        <f t="shared" si="1"/>
        <v>FA5L1 FA5L2-D</v>
      </c>
      <c r="T76" s="445" t="e">
        <f>'FIG3'!Q13</f>
        <v>#DIV/0!</v>
      </c>
      <c r="U76" s="445" t="e">
        <f>'FIG3'!Q14</f>
        <v>#DIV/0!</v>
      </c>
      <c r="V76" s="445" t="e">
        <f>'FIG3'!Q15</f>
        <v>#DIV/0!</v>
      </c>
      <c r="W76" s="445" t="e">
        <f>'FIG3'!Q16</f>
        <v>#DIV/0!</v>
      </c>
      <c r="X76" s="445" t="e">
        <f>'FIG3'!Q19</f>
        <v>#DIV/0!</v>
      </c>
      <c r="Y76" s="389"/>
      <c r="Z76" s="389"/>
      <c r="AA76" s="625"/>
      <c r="AB76" s="628"/>
      <c r="AC76" s="628"/>
      <c r="AD76" s="628"/>
      <c r="AE76" s="628"/>
      <c r="AF76" s="625"/>
      <c r="AH76" s="630"/>
      <c r="AI76" s="630"/>
      <c r="AJ76" s="630"/>
      <c r="AK76" s="630"/>
      <c r="AL76" s="630"/>
    </row>
    <row r="77" spans="1:45" ht="15.95" customHeight="1">
      <c r="A77" s="447"/>
      <c r="B77" s="447"/>
      <c r="C77" s="447"/>
      <c r="D77" s="447"/>
      <c r="E77" s="447"/>
      <c r="F77" s="447"/>
      <c r="G77" s="447"/>
      <c r="H77" s="447"/>
      <c r="I77" s="447"/>
      <c r="J77" s="447"/>
      <c r="K77" s="447"/>
      <c r="L77" s="447"/>
      <c r="M77" s="447"/>
      <c r="N77" s="447"/>
      <c r="O77" s="447"/>
      <c r="P77" s="447"/>
      <c r="Q77" s="309"/>
      <c r="R77" s="389"/>
      <c r="S77" s="444" t="str">
        <f t="shared" si="1"/>
        <v>FA5L1 FA5L2-C</v>
      </c>
      <c r="T77" s="445" t="e">
        <f>'FIG3'!R13</f>
        <v>#DIV/0!</v>
      </c>
      <c r="U77" s="445" t="e">
        <f>'FIG3'!R14</f>
        <v>#DIV/0!</v>
      </c>
      <c r="V77" s="445" t="e">
        <f>'FIG3'!R15</f>
        <v>#DIV/0!</v>
      </c>
      <c r="W77" s="445" t="e">
        <f>'FIG3'!R16</f>
        <v>#DIV/0!</v>
      </c>
      <c r="X77" s="445" t="e">
        <f>'FIG3'!R19</f>
        <v>#DIV/0!</v>
      </c>
      <c r="Y77" s="389"/>
      <c r="Z77" s="389"/>
      <c r="AA77" s="625"/>
      <c r="AB77" s="625"/>
      <c r="AC77" s="625"/>
      <c r="AD77" s="359"/>
      <c r="AE77" s="625"/>
      <c r="AF77" s="625"/>
      <c r="AH77" s="630"/>
      <c r="AI77" s="630"/>
      <c r="AJ77" s="630"/>
      <c r="AK77" s="630"/>
      <c r="AL77" s="630"/>
    </row>
    <row r="78" spans="1:45" ht="15.95" customHeight="1">
      <c r="A78" s="359"/>
      <c r="B78" s="359"/>
      <c r="C78" s="359"/>
      <c r="D78" s="359"/>
      <c r="E78" s="359"/>
      <c r="F78" s="359"/>
      <c r="G78" s="359"/>
      <c r="H78" s="359"/>
      <c r="I78" s="359"/>
      <c r="J78" s="359"/>
      <c r="K78" s="359"/>
      <c r="L78" s="359"/>
      <c r="M78" s="359"/>
      <c r="N78" s="359"/>
      <c r="O78" s="359"/>
      <c r="P78" s="359"/>
      <c r="Q78" s="359"/>
      <c r="R78" s="359"/>
      <c r="Y78" s="359"/>
      <c r="Z78" s="359"/>
      <c r="AA78" s="359"/>
    </row>
    <row r="79" spans="1:45" ht="15.95" customHeight="1">
      <c r="Q79" s="359"/>
      <c r="R79" s="359"/>
      <c r="Y79" s="359"/>
      <c r="Z79" s="359"/>
      <c r="AA79" s="359"/>
    </row>
    <row r="80" spans="1:45" ht="15.95" customHeight="1">
      <c r="Q80" s="359"/>
      <c r="S80" s="442"/>
      <c r="T80" s="442"/>
      <c r="U80" s="442"/>
      <c r="V80" s="442"/>
      <c r="W80" s="442"/>
      <c r="X80" s="442"/>
      <c r="AA80" s="442"/>
      <c r="AB80" s="442"/>
    </row>
    <row r="81" spans="17:28" ht="15.95" customHeight="1">
      <c r="Q81" s="359"/>
      <c r="S81" s="442"/>
      <c r="T81" s="442"/>
      <c r="U81" s="442"/>
      <c r="V81" s="442"/>
      <c r="W81" s="442"/>
      <c r="X81" s="442"/>
      <c r="Y81" s="442"/>
      <c r="Z81" s="442"/>
      <c r="AA81" s="442"/>
      <c r="AB81" s="442"/>
    </row>
    <row r="82" spans="17:28" ht="15.95" customHeight="1">
      <c r="S82" s="442"/>
      <c r="T82" s="442"/>
      <c r="U82" s="442"/>
      <c r="V82" s="442"/>
      <c r="W82" s="442"/>
      <c r="X82" s="442"/>
      <c r="Y82" s="442"/>
      <c r="Z82" s="442"/>
      <c r="AA82" s="442"/>
      <c r="AB82" s="442"/>
    </row>
    <row r="83" spans="17:28" ht="15.95" customHeight="1">
      <c r="S83" s="442"/>
      <c r="T83" s="442"/>
      <c r="U83" s="442"/>
      <c r="V83" s="442"/>
      <c r="W83" s="442"/>
      <c r="X83" s="442"/>
      <c r="Y83" s="442"/>
      <c r="Z83" s="442"/>
      <c r="AA83" s="442"/>
      <c r="AB83" s="442"/>
    </row>
    <row r="84" spans="17:28" ht="15.95" customHeight="1">
      <c r="Y84" s="442"/>
      <c r="Z84" s="442"/>
    </row>
    <row r="85" spans="17:28" ht="15.95" customHeight="1"/>
    <row r="86" spans="17:28" ht="15.95" customHeight="1"/>
  </sheetData>
  <mergeCells count="35">
    <mergeCell ref="B1:P1"/>
    <mergeCell ref="B37:P37"/>
    <mergeCell ref="R37:Z37"/>
    <mergeCell ref="AB68:AE74"/>
    <mergeCell ref="AD39:AD42"/>
    <mergeCell ref="R34:Z34"/>
    <mergeCell ref="R35:Z35"/>
    <mergeCell ref="R30:Z30"/>
    <mergeCell ref="T62:X62"/>
    <mergeCell ref="R33:Z33"/>
    <mergeCell ref="T42:X42"/>
    <mergeCell ref="C57:M65"/>
    <mergeCell ref="A2:A36"/>
    <mergeCell ref="Q2:Q36"/>
    <mergeCell ref="R3:Z6"/>
    <mergeCell ref="R7:Z10"/>
    <mergeCell ref="R11:Z16"/>
    <mergeCell ref="S2:Y2"/>
    <mergeCell ref="B2:P2"/>
    <mergeCell ref="B36:P36"/>
    <mergeCell ref="D5:K5"/>
    <mergeCell ref="C31:K33"/>
    <mergeCell ref="R31:Z31"/>
    <mergeCell ref="R32:Z32"/>
    <mergeCell ref="D6:K6"/>
    <mergeCell ref="R17:Z29"/>
    <mergeCell ref="S36:Y36"/>
    <mergeCell ref="AF42:AL42"/>
    <mergeCell ref="C39:M47"/>
    <mergeCell ref="S56:Z57"/>
    <mergeCell ref="S58:Z59"/>
    <mergeCell ref="S60:Z61"/>
    <mergeCell ref="S39:Z40"/>
    <mergeCell ref="AB57:AE61"/>
    <mergeCell ref="T41:X41"/>
  </mergeCells>
  <phoneticPr fontId="146" type="noConversion"/>
  <conditionalFormatting sqref="G8:K17">
    <cfRule type="cellIs" dxfId="69" priority="36" operator="lessThan">
      <formula>0</formula>
    </cfRule>
  </conditionalFormatting>
  <conditionalFormatting sqref="F8">
    <cfRule type="cellIs" dxfId="68" priority="35" operator="lessThan">
      <formula>0</formula>
    </cfRule>
  </conditionalFormatting>
  <conditionalFormatting sqref="C16:K17">
    <cfRule type="expression" dxfId="67" priority="81">
      <formula>$S$54="FA5L1 FA5L2-D"</formula>
    </cfRule>
  </conditionalFormatting>
  <conditionalFormatting sqref="C14:K15">
    <cfRule type="expression" dxfId="66" priority="82">
      <formula>$S$52="FA4L1 FA4L2-D"</formula>
    </cfRule>
  </conditionalFormatting>
  <conditionalFormatting sqref="C12:K13">
    <cfRule type="expression" dxfId="65" priority="83">
      <formula>$S$48="FA2L1 FA2L2-D"</formula>
    </cfRule>
  </conditionalFormatting>
  <conditionalFormatting sqref="C10:I11 K10:K11 J10">
    <cfRule type="expression" dxfId="64" priority="84">
      <formula>$S$46="FA1L1 FA1L2-D"</formula>
    </cfRule>
  </conditionalFormatting>
  <conditionalFormatting sqref="S54:S55 V54:W55">
    <cfRule type="expression" dxfId="63" priority="25">
      <formula>$S$54="FA5L1 FA5L2-D"</formula>
    </cfRule>
  </conditionalFormatting>
  <conditionalFormatting sqref="S52:S53 V52:W53">
    <cfRule type="expression" dxfId="62" priority="24">
      <formula>$S$52="FA4L1 FA4L2-D"</formula>
    </cfRule>
  </conditionalFormatting>
  <conditionalFormatting sqref="S50:S51 V50:W51">
    <cfRule type="expression" dxfId="61" priority="23">
      <formula>$S$50="FA3L1 FA3L2-D"</formula>
    </cfRule>
  </conditionalFormatting>
  <conditionalFormatting sqref="S48:S49 V48:W49">
    <cfRule type="expression" dxfId="60" priority="22">
      <formula>$S$48="FA2L1 FA2L2-D"</formula>
    </cfRule>
  </conditionalFormatting>
  <conditionalFormatting sqref="S46:S47 V46:W47">
    <cfRule type="expression" dxfId="59" priority="21">
      <formula>$S$46="FA1L1 FA1L2-D"</formula>
    </cfRule>
  </conditionalFormatting>
  <conditionalFormatting sqref="G18:K19">
    <cfRule type="cellIs" dxfId="58" priority="11" operator="lessThan">
      <formula>0</formula>
    </cfRule>
  </conditionalFormatting>
  <conditionalFormatting sqref="C18:F19">
    <cfRule type="expression" dxfId="57" priority="14">
      <formula>$S$54="FA5L1 FA5L2-D"</formula>
    </cfRule>
  </conditionalFormatting>
  <conditionalFormatting sqref="G18:K19">
    <cfRule type="expression" dxfId="56" priority="12">
      <formula>$S$54="FA5L1 FA5L2-D"</formula>
    </cfRule>
  </conditionalFormatting>
  <conditionalFormatting sqref="T54:U55">
    <cfRule type="expression" dxfId="55" priority="10">
      <formula>$S$54="FA5L1 FA5L2-D"</formula>
    </cfRule>
  </conditionalFormatting>
  <conditionalFormatting sqref="T52:U53">
    <cfRule type="expression" dxfId="54" priority="9">
      <formula>$S$52="FA4L1 FA4L2-D"</formula>
    </cfRule>
  </conditionalFormatting>
  <conditionalFormatting sqref="T50:U51">
    <cfRule type="expression" dxfId="53" priority="8">
      <formula>$S$50="FA3L1 FA3L2-D"</formula>
    </cfRule>
  </conditionalFormatting>
  <conditionalFormatting sqref="T48:U49">
    <cfRule type="expression" dxfId="52" priority="7">
      <formula>$S$48="FA2L1 FA2L2-D"</formula>
    </cfRule>
  </conditionalFormatting>
  <conditionalFormatting sqref="T46:U47">
    <cfRule type="expression" dxfId="51" priority="6">
      <formula>$S$46="FA1L1 FA1L2-D"</formula>
    </cfRule>
  </conditionalFormatting>
  <conditionalFormatting sqref="X54:X55">
    <cfRule type="expression" dxfId="50" priority="5">
      <formula>$S$54="FA5L1 FA5L2-D"</formula>
    </cfRule>
  </conditionalFormatting>
  <conditionalFormatting sqref="X52:X53">
    <cfRule type="expression" dxfId="49" priority="4">
      <formula>$S$52="FA4L1 FA4L2-D"</formula>
    </cfRule>
  </conditionalFormatting>
  <conditionalFormatting sqref="X50:X51">
    <cfRule type="expression" dxfId="48" priority="3">
      <formula>$S$50="FA3L1 FA3L2-D"</formula>
    </cfRule>
  </conditionalFormatting>
  <conditionalFormatting sqref="X48:X49">
    <cfRule type="expression" dxfId="47" priority="2">
      <formula>$S$48="FA2L1 FA2L2-D"</formula>
    </cfRule>
  </conditionalFormatting>
  <conditionalFormatting sqref="X46:X47">
    <cfRule type="expression" dxfId="46" priority="1">
      <formula>$S$46="FA1L1 FA1L2-D"</formula>
    </cfRule>
  </conditionalFormatting>
  <pageMargins left="1.25" right="1.25" top="1.25" bottom="1.25" header="0.3" footer="0.3"/>
  <pageSetup orientation="portrait" horizontalDpi="4294967292" verticalDpi="4294967292"/>
  <rowBreaks count="1" manualBreakCount="1">
    <brk id="35" max="16383" man="1"/>
  </rowBreaks>
  <colBreaks count="1" manualBreakCount="1">
    <brk id="26"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9"/>
  <sheetViews>
    <sheetView workbookViewId="0">
      <selection activeCell="G13" sqref="G13"/>
    </sheetView>
  </sheetViews>
  <sheetFormatPr defaultColWidth="8.83203125" defaultRowHeight="11.25"/>
  <cols>
    <col min="1" max="1" width="4.83203125" style="277" customWidth="1"/>
    <col min="2" max="2" width="9.83203125" style="277" customWidth="1"/>
    <col min="3" max="3" width="4.83203125" style="277" customWidth="1"/>
    <col min="4" max="4" width="13.83203125" style="277" customWidth="1"/>
    <col min="5" max="8" width="12.83203125" style="277" customWidth="1"/>
    <col min="9" max="11" width="9.83203125" style="277" customWidth="1"/>
    <col min="12" max="12" width="4.83203125" style="277" customWidth="1"/>
    <col min="13" max="13" width="6.83203125" style="277" customWidth="1"/>
    <col min="14" max="14" width="28.83203125" style="277" customWidth="1"/>
    <col min="15" max="17" width="12.83203125" style="277" customWidth="1"/>
    <col min="18" max="18" width="9.83203125" style="277" customWidth="1"/>
    <col min="19" max="19" width="5.1640625" style="277" customWidth="1"/>
    <col min="20" max="20" width="6.83203125" style="277" customWidth="1"/>
    <col min="21" max="42" width="9.83203125" style="277" customWidth="1"/>
    <col min="43" max="16384" width="8.83203125" style="277"/>
  </cols>
  <sheetData>
    <row r="1" spans="1:22" s="373" customFormat="1" ht="18" customHeight="1">
      <c r="A1" s="310"/>
      <c r="B1" s="1642" t="s">
        <v>376</v>
      </c>
      <c r="C1" s="1642"/>
      <c r="D1" s="1642"/>
      <c r="E1" s="1642"/>
      <c r="F1" s="1642"/>
      <c r="G1" s="1642"/>
      <c r="H1" s="1642"/>
      <c r="I1" s="1642"/>
      <c r="J1" s="1642"/>
      <c r="K1" s="1642"/>
      <c r="L1" s="310"/>
      <c r="M1" s="309"/>
      <c r="N1" s="309"/>
      <c r="O1" s="309"/>
      <c r="P1" s="309"/>
      <c r="Q1" s="309"/>
      <c r="R1" s="309"/>
      <c r="S1" s="309"/>
      <c r="T1" s="309"/>
      <c r="U1" s="377"/>
      <c r="V1" s="377"/>
    </row>
    <row r="2" spans="1:22" ht="20.100000000000001" customHeight="1">
      <c r="A2" s="1643" t="s">
        <v>376</v>
      </c>
      <c r="B2" s="1644" t="s">
        <v>308</v>
      </c>
      <c r="C2" s="1644"/>
      <c r="D2" s="1644"/>
      <c r="E2" s="1644"/>
      <c r="F2" s="1644"/>
      <c r="G2" s="1644"/>
      <c r="H2" s="1644"/>
      <c r="I2" s="1644"/>
      <c r="J2" s="1644"/>
      <c r="K2" s="1644"/>
      <c r="L2" s="1643" t="s">
        <v>376</v>
      </c>
      <c r="M2" s="433" t="str">
        <f>N40</f>
        <v>GA</v>
      </c>
      <c r="N2" s="1645" t="s">
        <v>309</v>
      </c>
      <c r="O2" s="1645"/>
      <c r="P2" s="1645"/>
      <c r="Q2" s="1645"/>
      <c r="R2" s="1645"/>
      <c r="S2" s="1645"/>
      <c r="T2" s="434"/>
      <c r="U2" s="426"/>
      <c r="V2" s="426"/>
    </row>
    <row r="3" spans="1:22" ht="15.95" customHeight="1">
      <c r="A3" s="1643"/>
      <c r="B3" s="308"/>
      <c r="C3" s="308"/>
      <c r="D3" s="308"/>
      <c r="E3" s="308"/>
      <c r="F3" s="308"/>
      <c r="G3" s="308"/>
      <c r="H3" s="308"/>
      <c r="I3" s="308"/>
      <c r="J3" s="308"/>
      <c r="K3" s="308"/>
      <c r="L3" s="1643"/>
      <c r="M3" s="1491" t="s">
        <v>210</v>
      </c>
      <c r="N3" s="1492"/>
      <c r="O3" s="1492"/>
      <c r="P3" s="1492"/>
      <c r="Q3" s="1492"/>
      <c r="R3" s="1492"/>
      <c r="S3" s="1492"/>
      <c r="T3" s="1493"/>
      <c r="U3" s="424"/>
      <c r="V3" s="424"/>
    </row>
    <row r="4" spans="1:22" s="380" customFormat="1" ht="15.95" customHeight="1" thickBot="1">
      <c r="A4" s="1643"/>
      <c r="B4" s="308"/>
      <c r="C4" s="308"/>
      <c r="D4" s="308"/>
      <c r="E4" s="308"/>
      <c r="F4" s="308"/>
      <c r="G4" s="308"/>
      <c r="H4" s="308"/>
      <c r="I4" s="308"/>
      <c r="J4" s="308"/>
      <c r="K4" s="308"/>
      <c r="L4" s="1643"/>
      <c r="M4" s="1491"/>
      <c r="N4" s="1492"/>
      <c r="O4" s="1492"/>
      <c r="P4" s="1492"/>
      <c r="Q4" s="1492"/>
      <c r="R4" s="1492"/>
      <c r="S4" s="1492"/>
      <c r="T4" s="1493"/>
      <c r="U4" s="424"/>
      <c r="V4" s="424"/>
    </row>
    <row r="5" spans="1:22" ht="21.95" customHeight="1">
      <c r="A5" s="1643"/>
      <c r="B5" s="308"/>
      <c r="C5" s="638" t="str">
        <f>'FIG10'!$N$40</f>
        <v>GA</v>
      </c>
      <c r="D5" s="1670" t="s">
        <v>489</v>
      </c>
      <c r="E5" s="1670"/>
      <c r="F5" s="1670"/>
      <c r="G5" s="1670"/>
      <c r="H5" s="1671"/>
      <c r="I5" s="308"/>
      <c r="J5" s="308"/>
      <c r="K5" s="308"/>
      <c r="L5" s="1643"/>
      <c r="M5" s="1491"/>
      <c r="N5" s="1492"/>
      <c r="O5" s="1492"/>
      <c r="P5" s="1492"/>
      <c r="Q5" s="1492"/>
      <c r="R5" s="1492"/>
      <c r="S5" s="1492"/>
      <c r="T5" s="1493"/>
      <c r="U5" s="424"/>
      <c r="V5" s="424"/>
    </row>
    <row r="6" spans="1:22" ht="21.95" customHeight="1" thickBot="1">
      <c r="A6" s="1643"/>
      <c r="B6" s="308"/>
      <c r="C6" s="664"/>
      <c r="D6" s="1687" t="s">
        <v>490</v>
      </c>
      <c r="E6" s="1687"/>
      <c r="F6" s="1687"/>
      <c r="G6" s="1687"/>
      <c r="H6" s="1688"/>
      <c r="I6" s="308"/>
      <c r="J6" s="308"/>
      <c r="K6" s="308"/>
      <c r="L6" s="1643"/>
      <c r="M6" s="1491"/>
      <c r="N6" s="1492"/>
      <c r="O6" s="1492"/>
      <c r="P6" s="1492"/>
      <c r="Q6" s="1492"/>
      <c r="R6" s="1492"/>
      <c r="S6" s="1492"/>
      <c r="T6" s="1493"/>
      <c r="U6" s="424"/>
      <c r="V6" s="424"/>
    </row>
    <row r="7" spans="1:22" ht="18" customHeight="1" thickBot="1">
      <c r="A7" s="1643"/>
      <c r="B7" s="308"/>
      <c r="C7" s="1689" t="s">
        <v>434</v>
      </c>
      <c r="D7" s="1690"/>
      <c r="E7" s="1691"/>
      <c r="F7" s="632" t="s">
        <v>397</v>
      </c>
      <c r="G7" s="643" t="s">
        <v>400</v>
      </c>
      <c r="H7" s="644" t="s">
        <v>398</v>
      </c>
      <c r="I7" s="308"/>
      <c r="J7" s="308"/>
      <c r="K7" s="308"/>
      <c r="L7" s="1643"/>
      <c r="M7" s="1494"/>
      <c r="N7" s="1495"/>
      <c r="O7" s="1495"/>
      <c r="P7" s="1495"/>
      <c r="Q7" s="1495"/>
      <c r="R7" s="1495"/>
      <c r="S7" s="1495"/>
      <c r="T7" s="1496"/>
      <c r="U7" s="424"/>
      <c r="V7" s="424"/>
    </row>
    <row r="8" spans="1:22" ht="18" customHeight="1" thickBot="1">
      <c r="A8" s="1643"/>
      <c r="B8" s="308"/>
      <c r="C8" s="679" t="str">
        <f>N42</f>
        <v>Statewide</v>
      </c>
      <c r="D8" s="680"/>
      <c r="E8" s="681"/>
      <c r="F8" s="682">
        <f t="shared" ref="F8:H13" si="0">O42</f>
        <v>-0.308</v>
      </c>
      <c r="G8" s="683">
        <f t="shared" si="0"/>
        <v>-0.24</v>
      </c>
      <c r="H8" s="684">
        <f t="shared" si="0"/>
        <v>-0.2784452347078325</v>
      </c>
      <c r="I8" s="308"/>
      <c r="J8" s="308"/>
      <c r="K8" s="308"/>
      <c r="L8" s="1643"/>
      <c r="M8" s="1488"/>
      <c r="N8" s="1489"/>
      <c r="O8" s="1489"/>
      <c r="P8" s="1489"/>
      <c r="Q8" s="1489"/>
      <c r="R8" s="1489"/>
      <c r="S8" s="1489"/>
      <c r="T8" s="1490"/>
      <c r="U8" s="424"/>
      <c r="V8" s="424"/>
    </row>
    <row r="9" spans="1:22" ht="18" customHeight="1" thickTop="1">
      <c r="A9" s="1643"/>
      <c r="B9" s="308"/>
      <c r="C9" s="665" t="str">
        <f>IF(N43="FA1L1 FA1L2","",N43)</f>
        <v>Fulton County District</v>
      </c>
      <c r="D9" s="663"/>
      <c r="E9" s="672"/>
      <c r="F9" s="671">
        <f t="shared" si="0"/>
        <v>-0.20599999999999999</v>
      </c>
      <c r="G9" s="673">
        <f t="shared" si="0"/>
        <v>-0.22500000000000001</v>
      </c>
      <c r="H9" s="676">
        <f t="shared" si="0"/>
        <v>-0.23216808768883998</v>
      </c>
      <c r="I9" s="308"/>
      <c r="J9" s="308"/>
      <c r="K9" s="308"/>
      <c r="L9" s="1643"/>
      <c r="M9" s="1491"/>
      <c r="N9" s="1492"/>
      <c r="O9" s="1492"/>
      <c r="P9" s="1492"/>
      <c r="Q9" s="1492"/>
      <c r="R9" s="1492"/>
      <c r="S9" s="1492"/>
      <c r="T9" s="1493"/>
      <c r="U9" s="424"/>
      <c r="V9" s="424"/>
    </row>
    <row r="10" spans="1:22" s="380" customFormat="1" ht="18" customHeight="1">
      <c r="A10" s="1643"/>
      <c r="B10" s="308"/>
      <c r="C10" s="666" t="str">
        <f>N44</f>
        <v>Atlanta Public Schools</v>
      </c>
      <c r="D10" s="662"/>
      <c r="E10" s="662"/>
      <c r="F10" s="669">
        <f t="shared" si="0"/>
        <v>-0.377</v>
      </c>
      <c r="G10" s="674">
        <f t="shared" si="0"/>
        <v>-0.28499999999999998</v>
      </c>
      <c r="H10" s="677">
        <f t="shared" si="0"/>
        <v>-0.30590545614825398</v>
      </c>
      <c r="I10" s="308"/>
      <c r="J10" s="308"/>
      <c r="K10" s="308"/>
      <c r="L10" s="1643"/>
      <c r="M10" s="1491"/>
      <c r="N10" s="1492"/>
      <c r="O10" s="1492"/>
      <c r="P10" s="1492"/>
      <c r="Q10" s="1492"/>
      <c r="R10" s="1492"/>
      <c r="S10" s="1492"/>
      <c r="T10" s="1493"/>
      <c r="U10" s="424"/>
      <c r="V10" s="424"/>
    </row>
    <row r="11" spans="1:22" s="380" customFormat="1" ht="18" customHeight="1">
      <c r="A11" s="1643"/>
      <c r="B11" s="308"/>
      <c r="C11" s="666" t="str">
        <f>N45</f>
        <v>FA3L1 FA3L2</v>
      </c>
      <c r="D11" s="662"/>
      <c r="E11" s="662"/>
      <c r="F11" s="669">
        <f t="shared" si="0"/>
        <v>0</v>
      </c>
      <c r="G11" s="674">
        <f t="shared" si="0"/>
        <v>0</v>
      </c>
      <c r="H11" s="677" t="e">
        <f t="shared" si="0"/>
        <v>#DIV/0!</v>
      </c>
      <c r="I11" s="308"/>
      <c r="J11" s="308"/>
      <c r="K11" s="308"/>
      <c r="L11" s="1643"/>
      <c r="M11" s="1491"/>
      <c r="N11" s="1492"/>
      <c r="O11" s="1492"/>
      <c r="P11" s="1492"/>
      <c r="Q11" s="1492"/>
      <c r="R11" s="1492"/>
      <c r="S11" s="1492"/>
      <c r="T11" s="1493"/>
      <c r="U11" s="424"/>
      <c r="V11" s="424"/>
    </row>
    <row r="12" spans="1:22" s="380" customFormat="1" ht="18" customHeight="1">
      <c r="A12" s="1643"/>
      <c r="B12" s="308"/>
      <c r="C12" s="666" t="str">
        <f>N46</f>
        <v>FA4L1 FA4L2</v>
      </c>
      <c r="D12" s="662"/>
      <c r="E12" s="662"/>
      <c r="F12" s="669">
        <f t="shared" si="0"/>
        <v>0</v>
      </c>
      <c r="G12" s="674">
        <f t="shared" si="0"/>
        <v>0</v>
      </c>
      <c r="H12" s="677" t="e">
        <f t="shared" si="0"/>
        <v>#DIV/0!</v>
      </c>
      <c r="I12" s="308"/>
      <c r="J12" s="308"/>
      <c r="K12" s="308"/>
      <c r="L12" s="1643"/>
      <c r="M12" s="1491"/>
      <c r="N12" s="1492"/>
      <c r="O12" s="1492"/>
      <c r="P12" s="1492"/>
      <c r="Q12" s="1492"/>
      <c r="R12" s="1492"/>
      <c r="S12" s="1492"/>
      <c r="T12" s="1493"/>
      <c r="U12" s="424"/>
      <c r="V12" s="424"/>
    </row>
    <row r="13" spans="1:22" ht="18" customHeight="1" thickBot="1">
      <c r="A13" s="1643"/>
      <c r="B13" s="308"/>
      <c r="C13" s="667" t="str">
        <f>N47</f>
        <v>FA5L1 FA5L2</v>
      </c>
      <c r="D13" s="668"/>
      <c r="E13" s="668"/>
      <c r="F13" s="670">
        <f t="shared" si="0"/>
        <v>0</v>
      </c>
      <c r="G13" s="675">
        <f t="shared" si="0"/>
        <v>0</v>
      </c>
      <c r="H13" s="678" t="e">
        <f t="shared" si="0"/>
        <v>#DIV/0!</v>
      </c>
      <c r="I13" s="308"/>
      <c r="J13" s="308"/>
      <c r="K13" s="308"/>
      <c r="L13" s="1643"/>
      <c r="M13" s="1491"/>
      <c r="N13" s="1492"/>
      <c r="O13" s="1492"/>
      <c r="P13" s="1492"/>
      <c r="Q13" s="1492"/>
      <c r="R13" s="1492"/>
      <c r="S13" s="1492"/>
      <c r="T13" s="1493"/>
      <c r="U13" s="424"/>
      <c r="V13" s="424"/>
    </row>
    <row r="14" spans="1:22" ht="15.95" customHeight="1">
      <c r="A14" s="1643"/>
      <c r="B14" s="308"/>
      <c r="C14" s="357"/>
      <c r="D14" s="357"/>
      <c r="E14" s="357"/>
      <c r="F14" s="358"/>
      <c r="G14" s="358"/>
      <c r="H14" s="358"/>
      <c r="I14" s="308"/>
      <c r="J14" s="308"/>
      <c r="K14" s="308"/>
      <c r="L14" s="1643"/>
      <c r="M14" s="1494"/>
      <c r="N14" s="1495"/>
      <c r="O14" s="1495"/>
      <c r="P14" s="1495"/>
      <c r="Q14" s="1495"/>
      <c r="R14" s="1495"/>
      <c r="S14" s="1495"/>
      <c r="T14" s="1496"/>
      <c r="U14" s="424"/>
      <c r="V14" s="424"/>
    </row>
    <row r="15" spans="1:22" ht="15.95" customHeight="1">
      <c r="A15" s="1643"/>
      <c r="B15" s="308"/>
      <c r="C15" s="357"/>
      <c r="D15" s="357"/>
      <c r="E15" s="357"/>
      <c r="F15" s="358"/>
      <c r="G15" s="358"/>
      <c r="H15" s="358"/>
      <c r="I15" s="308"/>
      <c r="J15" s="308"/>
      <c r="K15" s="308"/>
      <c r="L15" s="1643"/>
      <c r="M15" s="1488"/>
      <c r="N15" s="1489"/>
      <c r="O15" s="1489"/>
      <c r="P15" s="1489"/>
      <c r="Q15" s="1489"/>
      <c r="R15" s="1489"/>
      <c r="S15" s="1489"/>
      <c r="T15" s="1490"/>
      <c r="U15" s="425"/>
      <c r="V15" s="425"/>
    </row>
    <row r="16" spans="1:22" ht="15.95" customHeight="1">
      <c r="A16" s="1643"/>
      <c r="B16" s="308"/>
      <c r="C16" s="357"/>
      <c r="D16" s="357"/>
      <c r="E16" s="357"/>
      <c r="F16" s="358"/>
      <c r="G16" s="358"/>
      <c r="H16" s="358"/>
      <c r="I16" s="308"/>
      <c r="J16" s="308"/>
      <c r="K16" s="308"/>
      <c r="L16" s="1643"/>
      <c r="M16" s="1491"/>
      <c r="N16" s="1492"/>
      <c r="O16" s="1492"/>
      <c r="P16" s="1492"/>
      <c r="Q16" s="1492"/>
      <c r="R16" s="1492"/>
      <c r="S16" s="1492"/>
      <c r="T16" s="1493"/>
      <c r="U16" s="425"/>
      <c r="V16" s="425"/>
    </row>
    <row r="17" spans="1:22" s="380" customFormat="1" ht="15.95" customHeight="1">
      <c r="A17" s="1643"/>
      <c r="B17" s="308"/>
      <c r="C17" s="357"/>
      <c r="D17" s="357"/>
      <c r="E17" s="357"/>
      <c r="F17" s="358"/>
      <c r="G17" s="358"/>
      <c r="H17" s="358"/>
      <c r="I17" s="308"/>
      <c r="J17" s="308"/>
      <c r="K17" s="308"/>
      <c r="L17" s="1643"/>
      <c r="M17" s="1491"/>
      <c r="N17" s="1492"/>
      <c r="O17" s="1492"/>
      <c r="P17" s="1492"/>
      <c r="Q17" s="1492"/>
      <c r="R17" s="1492"/>
      <c r="S17" s="1492"/>
      <c r="T17" s="1493"/>
      <c r="U17" s="425"/>
      <c r="V17" s="425"/>
    </row>
    <row r="18" spans="1:22" s="380" customFormat="1" ht="15.95" customHeight="1">
      <c r="A18" s="1643"/>
      <c r="B18" s="308"/>
      <c r="C18" s="357"/>
      <c r="D18" s="357"/>
      <c r="E18" s="357"/>
      <c r="F18" s="358"/>
      <c r="G18" s="358"/>
      <c r="H18" s="358"/>
      <c r="I18" s="308"/>
      <c r="J18" s="308"/>
      <c r="K18" s="308"/>
      <c r="L18" s="1643"/>
      <c r="M18" s="1491"/>
      <c r="N18" s="1492"/>
      <c r="O18" s="1492"/>
      <c r="P18" s="1492"/>
      <c r="Q18" s="1492"/>
      <c r="R18" s="1492"/>
      <c r="S18" s="1492"/>
      <c r="T18" s="1493"/>
      <c r="U18" s="425"/>
      <c r="V18" s="425"/>
    </row>
    <row r="19" spans="1:22" s="380" customFormat="1" ht="15.95" customHeight="1">
      <c r="A19" s="1643"/>
      <c r="B19" s="308"/>
      <c r="C19" s="357"/>
      <c r="D19" s="357"/>
      <c r="E19" s="357"/>
      <c r="F19" s="358"/>
      <c r="G19" s="358"/>
      <c r="H19" s="358"/>
      <c r="I19" s="308"/>
      <c r="J19" s="308"/>
      <c r="K19" s="308"/>
      <c r="L19" s="1643"/>
      <c r="M19" s="1491"/>
      <c r="N19" s="1492"/>
      <c r="O19" s="1492"/>
      <c r="P19" s="1492"/>
      <c r="Q19" s="1492"/>
      <c r="R19" s="1492"/>
      <c r="S19" s="1492"/>
      <c r="T19" s="1493"/>
      <c r="U19" s="425"/>
      <c r="V19" s="425"/>
    </row>
    <row r="20" spans="1:22" ht="15.95" customHeight="1">
      <c r="A20" s="1643"/>
      <c r="B20" s="308"/>
      <c r="C20" s="357"/>
      <c r="D20" s="357"/>
      <c r="E20" s="357"/>
      <c r="F20" s="358"/>
      <c r="G20" s="358"/>
      <c r="H20" s="358"/>
      <c r="I20" s="308"/>
      <c r="J20" s="308"/>
      <c r="K20" s="308"/>
      <c r="L20" s="1643"/>
      <c r="M20" s="1491"/>
      <c r="N20" s="1492"/>
      <c r="O20" s="1492"/>
      <c r="P20" s="1492"/>
      <c r="Q20" s="1492"/>
      <c r="R20" s="1492"/>
      <c r="S20" s="1492"/>
      <c r="T20" s="1493"/>
      <c r="U20" s="425"/>
      <c r="V20" s="425"/>
    </row>
    <row r="21" spans="1:22" ht="15.95" customHeight="1">
      <c r="A21" s="1643"/>
      <c r="B21" s="308"/>
      <c r="C21" s="357"/>
      <c r="D21" s="357"/>
      <c r="E21" s="357"/>
      <c r="F21" s="358"/>
      <c r="G21" s="358"/>
      <c r="H21" s="358"/>
      <c r="I21" s="308"/>
      <c r="J21" s="308"/>
      <c r="K21" s="308"/>
      <c r="L21" s="1643"/>
      <c r="M21" s="1491"/>
      <c r="N21" s="1492"/>
      <c r="O21" s="1492"/>
      <c r="P21" s="1492"/>
      <c r="Q21" s="1492"/>
      <c r="R21" s="1492"/>
      <c r="S21" s="1492"/>
      <c r="T21" s="1493"/>
      <c r="U21" s="425"/>
      <c r="V21" s="425"/>
    </row>
    <row r="22" spans="1:22" ht="15.95" customHeight="1">
      <c r="A22" s="1643"/>
      <c r="B22" s="308"/>
      <c r="C22" s="357"/>
      <c r="D22" s="357"/>
      <c r="E22" s="357"/>
      <c r="F22" s="358"/>
      <c r="G22" s="358"/>
      <c r="H22" s="358"/>
      <c r="I22" s="308"/>
      <c r="J22" s="308"/>
      <c r="K22" s="308"/>
      <c r="L22" s="1643"/>
      <c r="M22" s="1491"/>
      <c r="N22" s="1492"/>
      <c r="O22" s="1492"/>
      <c r="P22" s="1492"/>
      <c r="Q22" s="1492"/>
      <c r="R22" s="1492"/>
      <c r="S22" s="1492"/>
      <c r="T22" s="1493"/>
      <c r="U22" s="425"/>
      <c r="V22" s="425"/>
    </row>
    <row r="23" spans="1:22" ht="15.95" customHeight="1">
      <c r="A23" s="1643"/>
      <c r="B23" s="308"/>
      <c r="C23" s="357"/>
      <c r="D23" s="357"/>
      <c r="E23" s="357"/>
      <c r="F23" s="358"/>
      <c r="G23" s="358"/>
      <c r="H23" s="358"/>
      <c r="I23" s="308"/>
      <c r="J23" s="308"/>
      <c r="K23" s="308"/>
      <c r="L23" s="1643"/>
      <c r="M23" s="1494"/>
      <c r="N23" s="1495"/>
      <c r="O23" s="1495"/>
      <c r="P23" s="1495"/>
      <c r="Q23" s="1495"/>
      <c r="R23" s="1495"/>
      <c r="S23" s="1495"/>
      <c r="T23" s="1496"/>
      <c r="U23" s="425"/>
      <c r="V23" s="425"/>
    </row>
    <row r="24" spans="1:22" s="380" customFormat="1" ht="15.95" customHeight="1">
      <c r="A24" s="1643"/>
      <c r="B24" s="308"/>
      <c r="C24" s="357"/>
      <c r="D24" s="357"/>
      <c r="E24" s="357"/>
      <c r="F24" s="358"/>
      <c r="G24" s="358"/>
      <c r="H24" s="358"/>
      <c r="I24" s="308"/>
      <c r="J24" s="308"/>
      <c r="K24" s="308"/>
      <c r="L24" s="1643"/>
      <c r="M24" s="1537" t="s">
        <v>460</v>
      </c>
      <c r="N24" s="1538"/>
      <c r="O24" s="1538"/>
      <c r="P24" s="1538"/>
      <c r="Q24" s="1538"/>
      <c r="R24" s="1538"/>
      <c r="S24" s="1538"/>
      <c r="T24" s="1539"/>
      <c r="U24" s="425"/>
      <c r="V24" s="425"/>
    </row>
    <row r="25" spans="1:22" s="380" customFormat="1" ht="15.95" customHeight="1">
      <c r="A25" s="1643"/>
      <c r="B25" s="308"/>
      <c r="C25" s="357"/>
      <c r="D25" s="357"/>
      <c r="E25" s="357"/>
      <c r="F25" s="358"/>
      <c r="G25" s="358"/>
      <c r="H25" s="358"/>
      <c r="I25" s="308"/>
      <c r="J25" s="308"/>
      <c r="K25" s="308"/>
      <c r="L25" s="1643"/>
      <c r="M25" s="1537"/>
      <c r="N25" s="1538"/>
      <c r="O25" s="1538"/>
      <c r="P25" s="1538"/>
      <c r="Q25" s="1538"/>
      <c r="R25" s="1538"/>
      <c r="S25" s="1538"/>
      <c r="T25" s="1539"/>
      <c r="U25" s="432"/>
      <c r="V25" s="432"/>
    </row>
    <row r="26" spans="1:22" s="380" customFormat="1" ht="15.95" customHeight="1">
      <c r="A26" s="1643"/>
      <c r="B26" s="308"/>
      <c r="C26" s="357"/>
      <c r="D26" s="357"/>
      <c r="E26" s="357"/>
      <c r="F26" s="358"/>
      <c r="G26" s="358"/>
      <c r="H26" s="358"/>
      <c r="I26" s="308"/>
      <c r="J26" s="308"/>
      <c r="K26" s="308"/>
      <c r="L26" s="1643"/>
      <c r="M26" s="1537"/>
      <c r="N26" s="1538"/>
      <c r="O26" s="1538"/>
      <c r="P26" s="1538"/>
      <c r="Q26" s="1538"/>
      <c r="R26" s="1538"/>
      <c r="S26" s="1538"/>
      <c r="T26" s="1539"/>
      <c r="U26" s="432"/>
      <c r="V26" s="432"/>
    </row>
    <row r="27" spans="1:22" ht="15.95" customHeight="1">
      <c r="A27" s="1643"/>
      <c r="B27" s="308"/>
      <c r="C27" s="357"/>
      <c r="D27" s="357"/>
      <c r="E27" s="357"/>
      <c r="F27" s="358"/>
      <c r="G27" s="358"/>
      <c r="H27" s="358"/>
      <c r="I27" s="308"/>
      <c r="J27" s="308"/>
      <c r="K27" s="308"/>
      <c r="L27" s="1643"/>
      <c r="M27" s="1537"/>
      <c r="N27" s="1538"/>
      <c r="O27" s="1538"/>
      <c r="P27" s="1538"/>
      <c r="Q27" s="1538"/>
      <c r="R27" s="1538"/>
      <c r="S27" s="1538"/>
      <c r="T27" s="1539"/>
      <c r="U27" s="425"/>
      <c r="V27" s="425"/>
    </row>
    <row r="28" spans="1:22" ht="15.95" customHeight="1">
      <c r="A28" s="1643"/>
      <c r="B28" s="308"/>
      <c r="C28" s="1685"/>
      <c r="D28" s="1686"/>
      <c r="E28" s="1686"/>
      <c r="F28" s="1686"/>
      <c r="G28" s="1686"/>
      <c r="H28" s="1686"/>
      <c r="I28" s="1686"/>
      <c r="J28" s="1686"/>
      <c r="K28" s="308"/>
      <c r="L28" s="1643"/>
      <c r="M28" s="1537"/>
      <c r="N28" s="1538"/>
      <c r="O28" s="1538"/>
      <c r="P28" s="1538"/>
      <c r="Q28" s="1538"/>
      <c r="R28" s="1538"/>
      <c r="S28" s="1538"/>
      <c r="T28" s="1539"/>
      <c r="U28" s="425"/>
      <c r="V28" s="425"/>
    </row>
    <row r="29" spans="1:22" ht="15.95" customHeight="1">
      <c r="A29" s="1643"/>
      <c r="B29" s="308"/>
      <c r="C29" s="1686"/>
      <c r="D29" s="1686"/>
      <c r="E29" s="1686"/>
      <c r="F29" s="1686"/>
      <c r="G29" s="1686"/>
      <c r="H29" s="1686"/>
      <c r="I29" s="1686"/>
      <c r="J29" s="1686"/>
      <c r="K29" s="308"/>
      <c r="L29" s="1643"/>
      <c r="M29" s="1537"/>
      <c r="N29" s="1538"/>
      <c r="O29" s="1538"/>
      <c r="P29" s="1538"/>
      <c r="Q29" s="1538"/>
      <c r="R29" s="1538"/>
      <c r="S29" s="1538"/>
      <c r="T29" s="1539"/>
      <c r="U29" s="425"/>
      <c r="V29" s="425"/>
    </row>
    <row r="30" spans="1:22" ht="15.95" customHeight="1">
      <c r="A30" s="1643"/>
      <c r="B30" s="308"/>
      <c r="C30" s="1686"/>
      <c r="D30" s="1686"/>
      <c r="E30" s="1686"/>
      <c r="F30" s="1686"/>
      <c r="G30" s="1686"/>
      <c r="H30" s="1686"/>
      <c r="I30" s="1686"/>
      <c r="J30" s="1686"/>
      <c r="K30" s="308"/>
      <c r="L30" s="1643"/>
      <c r="M30" s="1537"/>
      <c r="N30" s="1538"/>
      <c r="O30" s="1538"/>
      <c r="P30" s="1538"/>
      <c r="Q30" s="1538"/>
      <c r="R30" s="1538"/>
      <c r="S30" s="1538"/>
      <c r="T30" s="1539"/>
      <c r="U30" s="425"/>
      <c r="V30" s="425"/>
    </row>
    <row r="31" spans="1:22" ht="15.95" customHeight="1">
      <c r="A31" s="1643"/>
      <c r="B31" s="308"/>
      <c r="C31" s="308"/>
      <c r="D31" s="308"/>
      <c r="E31" s="308"/>
      <c r="F31" s="308"/>
      <c r="G31" s="308"/>
      <c r="H31" s="308"/>
      <c r="I31" s="308"/>
      <c r="J31" s="308"/>
      <c r="K31" s="308"/>
      <c r="L31" s="1643"/>
      <c r="M31" s="1537"/>
      <c r="N31" s="1538"/>
      <c r="O31" s="1538"/>
      <c r="P31" s="1538"/>
      <c r="Q31" s="1538"/>
      <c r="R31" s="1538"/>
      <c r="S31" s="1538"/>
      <c r="T31" s="1539"/>
      <c r="U31" s="425"/>
      <c r="V31" s="425"/>
    </row>
    <row r="32" spans="1:22" ht="15.95" customHeight="1">
      <c r="A32" s="1643"/>
      <c r="B32" s="308"/>
      <c r="C32" s="315"/>
      <c r="D32" s="315"/>
      <c r="E32" s="315"/>
      <c r="F32" s="315"/>
      <c r="G32" s="315"/>
      <c r="H32" s="315"/>
      <c r="I32" s="315"/>
      <c r="J32" s="315"/>
      <c r="K32" s="308"/>
      <c r="L32" s="1643"/>
      <c r="M32" s="1537"/>
      <c r="N32" s="1538"/>
      <c r="O32" s="1538"/>
      <c r="P32" s="1538"/>
      <c r="Q32" s="1538"/>
      <c r="R32" s="1538"/>
      <c r="S32" s="1538"/>
      <c r="T32" s="1539"/>
      <c r="U32" s="425"/>
      <c r="V32" s="425"/>
    </row>
    <row r="33" spans="1:22" ht="15.95" customHeight="1">
      <c r="A33" s="1643"/>
      <c r="B33" s="308"/>
      <c r="C33" s="315"/>
      <c r="D33" s="315"/>
      <c r="E33" s="315"/>
      <c r="F33" s="315"/>
      <c r="G33" s="315"/>
      <c r="H33" s="315"/>
      <c r="I33" s="315"/>
      <c r="J33" s="315"/>
      <c r="K33" s="308"/>
      <c r="L33" s="1643"/>
      <c r="M33" s="1537"/>
      <c r="N33" s="1538"/>
      <c r="O33" s="1538"/>
      <c r="P33" s="1538"/>
      <c r="Q33" s="1538"/>
      <c r="R33" s="1538"/>
      <c r="S33" s="1538"/>
      <c r="T33" s="1539"/>
      <c r="U33" s="425"/>
      <c r="V33" s="425"/>
    </row>
    <row r="34" spans="1:22" ht="15.95" customHeight="1">
      <c r="A34" s="1643"/>
      <c r="B34" s="308"/>
      <c r="C34" s="315"/>
      <c r="D34" s="315"/>
      <c r="E34" s="315"/>
      <c r="F34" s="315"/>
      <c r="G34" s="315"/>
      <c r="H34" s="315"/>
      <c r="I34" s="315"/>
      <c r="J34" s="315"/>
      <c r="K34" s="308"/>
      <c r="L34" s="1643"/>
      <c r="M34" s="1678"/>
      <c r="N34" s="1679"/>
      <c r="O34" s="1679"/>
      <c r="P34" s="1679"/>
      <c r="Q34" s="1679"/>
      <c r="R34" s="1679"/>
      <c r="S34" s="1679"/>
      <c r="T34" s="1680"/>
      <c r="U34" s="377"/>
      <c r="V34" s="377"/>
    </row>
    <row r="35" spans="1:22" ht="15.95" customHeight="1">
      <c r="A35" s="1643"/>
      <c r="B35" s="308"/>
      <c r="C35" s="308"/>
      <c r="D35" s="308"/>
      <c r="E35" s="308"/>
      <c r="F35" s="308"/>
      <c r="G35" s="308"/>
      <c r="H35" s="308"/>
      <c r="I35" s="308"/>
      <c r="J35" s="308"/>
      <c r="K35" s="308"/>
      <c r="L35" s="1643"/>
      <c r="M35" s="1678"/>
      <c r="N35" s="1679"/>
      <c r="O35" s="1679"/>
      <c r="P35" s="1679"/>
      <c r="Q35" s="1679"/>
      <c r="R35" s="1679"/>
      <c r="S35" s="1679"/>
      <c r="T35" s="1680"/>
      <c r="U35" s="377"/>
      <c r="V35" s="377"/>
    </row>
    <row r="36" spans="1:22" ht="20.100000000000001" customHeight="1">
      <c r="A36" s="1643"/>
      <c r="B36" s="1644" t="s">
        <v>308</v>
      </c>
      <c r="C36" s="1644"/>
      <c r="D36" s="1644"/>
      <c r="E36" s="1644"/>
      <c r="F36" s="1644"/>
      <c r="G36" s="1644"/>
      <c r="H36" s="1644"/>
      <c r="I36" s="1644"/>
      <c r="J36" s="1644"/>
      <c r="K36" s="1644"/>
      <c r="L36" s="1643"/>
      <c r="M36" s="396" t="str">
        <f>N40</f>
        <v>GA</v>
      </c>
      <c r="N36" s="1645" t="s">
        <v>310</v>
      </c>
      <c r="O36" s="1645"/>
      <c r="P36" s="1645"/>
      <c r="Q36" s="1645"/>
      <c r="R36" s="1645"/>
      <c r="S36" s="1645"/>
      <c r="T36" s="396"/>
      <c r="U36" s="426"/>
      <c r="V36" s="426"/>
    </row>
    <row r="37" spans="1:22" ht="18" customHeight="1">
      <c r="A37" s="310"/>
      <c r="B37" s="1642" t="s">
        <v>376</v>
      </c>
      <c r="C37" s="1642"/>
      <c r="D37" s="1642"/>
      <c r="E37" s="1642"/>
      <c r="F37" s="1642"/>
      <c r="G37" s="1642"/>
      <c r="H37" s="1642"/>
      <c r="I37" s="1642"/>
      <c r="J37" s="1642"/>
      <c r="K37" s="1642"/>
      <c r="L37" s="310"/>
      <c r="M37" s="1684" t="s">
        <v>436</v>
      </c>
      <c r="N37" s="1684"/>
      <c r="O37" s="1684"/>
      <c r="P37" s="1684"/>
      <c r="Q37" s="1684"/>
      <c r="R37" s="1684"/>
      <c r="S37" s="1684"/>
      <c r="T37" s="1684"/>
      <c r="U37" s="449"/>
      <c r="V37" s="449"/>
    </row>
    <row r="38" spans="1:22" ht="15.95" customHeight="1">
      <c r="A38" s="447"/>
      <c r="B38" s="447"/>
      <c r="C38" s="447"/>
      <c r="D38" s="447"/>
      <c r="E38" s="447"/>
      <c r="F38" s="447"/>
      <c r="G38" s="447"/>
      <c r="H38" s="447"/>
      <c r="I38" s="447"/>
      <c r="J38" s="447"/>
      <c r="K38" s="447"/>
      <c r="L38" s="309"/>
      <c r="M38" s="393"/>
      <c r="N38" s="393"/>
      <c r="O38" s="393"/>
      <c r="P38" s="393"/>
      <c r="Q38" s="393"/>
      <c r="R38" s="393"/>
      <c r="S38" s="393"/>
      <c r="T38" s="393"/>
      <c r="U38" s="311"/>
      <c r="V38" s="311"/>
    </row>
    <row r="39" spans="1:22" ht="15.95" customHeight="1">
      <c r="A39" s="447"/>
      <c r="B39" s="447"/>
      <c r="C39" s="447"/>
      <c r="D39" s="447"/>
      <c r="E39" s="447"/>
      <c r="F39" s="447"/>
      <c r="G39" s="447"/>
      <c r="H39" s="447"/>
      <c r="I39" s="447"/>
      <c r="J39" s="447"/>
      <c r="K39" s="447"/>
      <c r="L39" s="309"/>
      <c r="M39" s="393"/>
      <c r="N39" s="393"/>
      <c r="O39" s="393"/>
      <c r="P39" s="393"/>
      <c r="Q39" s="393"/>
      <c r="R39" s="393"/>
      <c r="S39" s="393"/>
      <c r="T39" s="393"/>
      <c r="U39" s="311"/>
      <c r="V39" s="311"/>
    </row>
    <row r="40" spans="1:22" ht="15.95" customHeight="1">
      <c r="A40" s="447"/>
      <c r="B40" s="1498" t="s">
        <v>496</v>
      </c>
      <c r="C40" s="1498"/>
      <c r="D40" s="1498"/>
      <c r="E40" s="1498"/>
      <c r="F40" s="1498"/>
      <c r="G40" s="1498"/>
      <c r="H40" s="1498"/>
      <c r="I40" s="1498"/>
      <c r="J40" s="1498"/>
      <c r="K40" s="447"/>
      <c r="L40" s="309"/>
      <c r="M40" s="393"/>
      <c r="N40" s="757" t="str">
        <f>'FIG3'!W49</f>
        <v>GA</v>
      </c>
      <c r="O40" s="792"/>
      <c r="P40" s="792"/>
      <c r="Q40" s="792"/>
      <c r="R40" s="393"/>
      <c r="S40" s="393"/>
      <c r="T40" s="393"/>
      <c r="U40" s="311"/>
      <c r="V40" s="311"/>
    </row>
    <row r="41" spans="1:22" ht="15.95" customHeight="1">
      <c r="A41" s="447"/>
      <c r="B41" s="1498"/>
      <c r="C41" s="1498"/>
      <c r="D41" s="1498"/>
      <c r="E41" s="1498"/>
      <c r="F41" s="1498"/>
      <c r="G41" s="1498"/>
      <c r="H41" s="1498"/>
      <c r="I41" s="1498"/>
      <c r="J41" s="1498"/>
      <c r="K41" s="447"/>
      <c r="L41" s="309"/>
      <c r="M41" s="393"/>
      <c r="N41" s="793" t="s">
        <v>402</v>
      </c>
      <c r="O41" s="794" t="s">
        <v>397</v>
      </c>
      <c r="P41" s="795" t="s">
        <v>400</v>
      </c>
      <c r="Q41" s="794" t="s">
        <v>398</v>
      </c>
      <c r="R41" s="393"/>
      <c r="S41" s="394"/>
      <c r="T41" s="393"/>
      <c r="U41" s="311"/>
      <c r="V41" s="311"/>
    </row>
    <row r="42" spans="1:22" ht="15.95" customHeight="1">
      <c r="A42" s="447"/>
      <c r="B42" s="1498"/>
      <c r="C42" s="1498"/>
      <c r="D42" s="1498"/>
      <c r="E42" s="1498"/>
      <c r="F42" s="1498"/>
      <c r="G42" s="1498"/>
      <c r="H42" s="1498"/>
      <c r="I42" s="1498"/>
      <c r="J42" s="1498"/>
      <c r="K42" s="447"/>
      <c r="L42" s="309"/>
      <c r="M42" s="393"/>
      <c r="N42" s="793" t="s">
        <v>151</v>
      </c>
      <c r="O42" s="789">
        <v>-0.308</v>
      </c>
      <c r="P42" s="789">
        <v>-0.24</v>
      </c>
      <c r="Q42" s="796">
        <f>'FIG3'!F11</f>
        <v>-0.2784452347078325</v>
      </c>
      <c r="R42" s="393"/>
      <c r="S42" s="797"/>
      <c r="T42" s="798"/>
      <c r="U42" s="450"/>
      <c r="V42" s="450"/>
    </row>
    <row r="43" spans="1:22" ht="15.95" customHeight="1">
      <c r="A43" s="447"/>
      <c r="B43" s="1498"/>
      <c r="C43" s="1498"/>
      <c r="D43" s="1498"/>
      <c r="E43" s="1498"/>
      <c r="F43" s="1498"/>
      <c r="G43" s="1498"/>
      <c r="H43" s="1498"/>
      <c r="I43" s="1498"/>
      <c r="J43" s="1498"/>
      <c r="K43" s="447"/>
      <c r="L43" s="309"/>
      <c r="M43" s="393"/>
      <c r="N43" s="793" t="str">
        <f>'FIG3'!W52&amp;" "&amp;'FIG3'!X52</f>
        <v>Fulton County District</v>
      </c>
      <c r="O43" s="789">
        <v>-0.20599999999999999</v>
      </c>
      <c r="P43" s="789">
        <v>-0.22500000000000001</v>
      </c>
      <c r="Q43" s="796">
        <f>'FIG3'!J11</f>
        <v>-0.23216808768883998</v>
      </c>
      <c r="R43" s="393"/>
      <c r="S43" s="797"/>
      <c r="T43" s="798"/>
      <c r="U43" s="450"/>
      <c r="V43" s="450"/>
    </row>
    <row r="44" spans="1:22" ht="15.95" customHeight="1">
      <c r="A44" s="447"/>
      <c r="B44" s="1498"/>
      <c r="C44" s="1498"/>
      <c r="D44" s="1498"/>
      <c r="E44" s="1498"/>
      <c r="F44" s="1498"/>
      <c r="G44" s="1498"/>
      <c r="H44" s="1498"/>
      <c r="I44" s="1498"/>
      <c r="J44" s="1498"/>
      <c r="K44" s="447"/>
      <c r="L44" s="309"/>
      <c r="M44" s="393"/>
      <c r="N44" s="793" t="str">
        <f>'FIG3'!W53&amp;" "&amp;'FIG3'!X53</f>
        <v>Atlanta Public Schools</v>
      </c>
      <c r="O44" s="789">
        <v>-0.377</v>
      </c>
      <c r="P44" s="789">
        <v>-0.28499999999999998</v>
      </c>
      <c r="Q44" s="796">
        <f>'FIG3'!L11</f>
        <v>-0.30590545614825398</v>
      </c>
      <c r="R44" s="393"/>
      <c r="S44" s="797"/>
      <c r="T44" s="798"/>
      <c r="U44" s="450"/>
      <c r="V44" s="450"/>
    </row>
    <row r="45" spans="1:22" ht="15.95" customHeight="1">
      <c r="A45" s="447"/>
      <c r="B45" s="1498"/>
      <c r="C45" s="1498"/>
      <c r="D45" s="1498"/>
      <c r="E45" s="1498"/>
      <c r="F45" s="1498"/>
      <c r="G45" s="1498"/>
      <c r="H45" s="1498"/>
      <c r="I45" s="1498"/>
      <c r="J45" s="1498"/>
      <c r="K45" s="447"/>
      <c r="L45" s="309"/>
      <c r="M45" s="393"/>
      <c r="N45" s="793" t="str">
        <f>'FIG3'!W54&amp;" "&amp;'FIG3'!X54</f>
        <v>FA3L1 FA3L2</v>
      </c>
      <c r="O45" s="789">
        <v>0</v>
      </c>
      <c r="P45" s="789">
        <v>0</v>
      </c>
      <c r="Q45" s="796" t="e">
        <f>'FIG3'!N11</f>
        <v>#DIV/0!</v>
      </c>
      <c r="R45" s="393"/>
      <c r="S45" s="797"/>
      <c r="T45" s="798"/>
      <c r="U45" s="450"/>
      <c r="V45" s="450"/>
    </row>
    <row r="46" spans="1:22" ht="15.95" customHeight="1">
      <c r="A46" s="447"/>
      <c r="B46" s="1498"/>
      <c r="C46" s="1498"/>
      <c r="D46" s="1498"/>
      <c r="E46" s="1498"/>
      <c r="F46" s="1498"/>
      <c r="G46" s="1498"/>
      <c r="H46" s="1498"/>
      <c r="I46" s="1498"/>
      <c r="J46" s="1498"/>
      <c r="K46" s="447"/>
      <c r="L46" s="309"/>
      <c r="M46" s="393"/>
      <c r="N46" s="793" t="str">
        <f>'FIG3'!W55&amp;" "&amp;'FIG3'!X55</f>
        <v>FA4L1 FA4L2</v>
      </c>
      <c r="O46" s="789">
        <v>0</v>
      </c>
      <c r="P46" s="789">
        <v>0</v>
      </c>
      <c r="Q46" s="796" t="e">
        <f>'FIG3'!P11</f>
        <v>#DIV/0!</v>
      </c>
      <c r="R46" s="393"/>
      <c r="S46" s="797"/>
      <c r="T46" s="798"/>
      <c r="U46" s="450"/>
      <c r="V46" s="450"/>
    </row>
    <row r="47" spans="1:22" ht="15.95" customHeight="1">
      <c r="A47" s="447"/>
      <c r="B47" s="447"/>
      <c r="C47" s="418"/>
      <c r="D47" s="418"/>
      <c r="E47" s="418"/>
      <c r="F47" s="418"/>
      <c r="G47" s="418"/>
      <c r="H47" s="418"/>
      <c r="I47" s="418"/>
      <c r="J47" s="418"/>
      <c r="K47" s="447"/>
      <c r="L47" s="309"/>
      <c r="M47" s="393"/>
      <c r="N47" s="793" t="str">
        <f>'FIG3'!W56&amp;" "&amp;'FIG3'!X56</f>
        <v>FA5L1 FA5L2</v>
      </c>
      <c r="O47" s="789">
        <v>0</v>
      </c>
      <c r="P47" s="789">
        <v>0</v>
      </c>
      <c r="Q47" s="796" t="e">
        <f>'FIG3'!R11</f>
        <v>#DIV/0!</v>
      </c>
      <c r="R47" s="393"/>
      <c r="S47" s="797"/>
      <c r="T47" s="798"/>
      <c r="U47" s="450"/>
      <c r="V47" s="450"/>
    </row>
    <row r="48" spans="1:22" ht="15.95" customHeight="1">
      <c r="A48" s="447"/>
      <c r="B48" s="447"/>
      <c r="C48" s="418"/>
      <c r="D48" s="418"/>
      <c r="E48" s="418"/>
      <c r="F48" s="418"/>
      <c r="G48" s="418"/>
      <c r="H48" s="418"/>
      <c r="I48" s="418"/>
      <c r="J48" s="418"/>
      <c r="K48" s="447"/>
      <c r="L48" s="309"/>
      <c r="M48" s="393"/>
      <c r="N48" s="799"/>
      <c r="O48" s="790"/>
      <c r="P48" s="790"/>
      <c r="Q48" s="829"/>
      <c r="R48" s="393"/>
      <c r="S48" s="800"/>
      <c r="T48" s="800"/>
      <c r="U48" s="311"/>
      <c r="V48" s="311"/>
    </row>
    <row r="49" spans="1:22" ht="15.95" customHeight="1">
      <c r="A49" s="447"/>
      <c r="B49" s="447"/>
      <c r="C49" s="447"/>
      <c r="D49" s="447"/>
      <c r="E49" s="447"/>
      <c r="F49" s="447"/>
      <c r="G49" s="447"/>
      <c r="H49" s="447"/>
      <c r="I49" s="447"/>
      <c r="J49" s="447"/>
      <c r="K49" s="447"/>
      <c r="L49" s="309"/>
      <c r="M49" s="393"/>
      <c r="N49" s="801"/>
      <c r="O49" s="802"/>
      <c r="P49" s="802"/>
      <c r="Q49" s="802"/>
      <c r="R49" s="802"/>
      <c r="S49" s="802"/>
      <c r="T49" s="802"/>
      <c r="U49" s="451"/>
      <c r="V49" s="451"/>
    </row>
    <row r="50" spans="1:22" ht="15.95" customHeight="1">
      <c r="A50" s="447"/>
      <c r="B50" s="447"/>
      <c r="C50" s="447"/>
      <c r="D50" s="447"/>
      <c r="E50" s="447"/>
      <c r="F50" s="447"/>
      <c r="G50" s="447"/>
      <c r="H50" s="447"/>
      <c r="I50" s="447"/>
      <c r="J50" s="447"/>
      <c r="K50" s="447"/>
      <c r="L50" s="309"/>
      <c r="M50" s="393"/>
      <c r="N50" s="1683" t="s">
        <v>497</v>
      </c>
      <c r="O50" s="1683"/>
      <c r="P50" s="1683"/>
      <c r="Q50" s="1683"/>
      <c r="R50" s="1683"/>
      <c r="S50" s="1683"/>
      <c r="T50" s="1683"/>
      <c r="U50" s="746"/>
      <c r="V50" s="451"/>
    </row>
    <row r="51" spans="1:22" ht="15.95" customHeight="1">
      <c r="A51" s="447"/>
      <c r="B51" s="447"/>
      <c r="C51" s="447"/>
      <c r="D51" s="447"/>
      <c r="E51" s="447"/>
      <c r="F51" s="447"/>
      <c r="G51" s="447"/>
      <c r="H51" s="447"/>
      <c r="I51" s="447"/>
      <c r="J51" s="447"/>
      <c r="K51" s="447"/>
      <c r="L51" s="309"/>
      <c r="M51" s="393"/>
      <c r="N51" s="1683"/>
      <c r="O51" s="1683"/>
      <c r="P51" s="1683"/>
      <c r="Q51" s="1683"/>
      <c r="R51" s="1683"/>
      <c r="S51" s="1683"/>
      <c r="T51" s="1683"/>
      <c r="U51" s="746"/>
      <c r="V51" s="451"/>
    </row>
    <row r="52" spans="1:22" ht="15.95" customHeight="1">
      <c r="A52" s="447"/>
      <c r="B52" s="447"/>
      <c r="C52" s="447"/>
      <c r="D52" s="447"/>
      <c r="E52" s="447"/>
      <c r="F52" s="447"/>
      <c r="G52" s="447"/>
      <c r="H52" s="447"/>
      <c r="I52" s="447"/>
      <c r="J52" s="447"/>
      <c r="K52" s="447"/>
      <c r="L52" s="309"/>
      <c r="M52" s="393"/>
      <c r="N52" s="803"/>
      <c r="O52" s="803"/>
      <c r="P52" s="803"/>
      <c r="Q52" s="803"/>
      <c r="R52" s="803"/>
      <c r="S52" s="803"/>
      <c r="T52" s="804"/>
      <c r="U52" s="451"/>
      <c r="V52" s="451"/>
    </row>
    <row r="53" spans="1:22" ht="15.95" customHeight="1">
      <c r="A53" s="447"/>
      <c r="B53" s="447"/>
      <c r="C53" s="447"/>
      <c r="D53" s="447"/>
      <c r="E53" s="447"/>
      <c r="F53" s="447"/>
      <c r="G53" s="447"/>
      <c r="H53" s="447"/>
      <c r="I53" s="447"/>
      <c r="J53" s="447"/>
      <c r="K53" s="447"/>
      <c r="L53" s="309"/>
      <c r="M53" s="393"/>
      <c r="N53" s="1660" t="s">
        <v>435</v>
      </c>
      <c r="O53" s="1660"/>
      <c r="P53" s="1660"/>
      <c r="Q53" s="1660"/>
      <c r="R53" s="1660"/>
      <c r="S53" s="1660"/>
      <c r="T53" s="1660"/>
      <c r="U53" s="377"/>
      <c r="V53" s="377"/>
    </row>
    <row r="54" spans="1:22" ht="15.95" customHeight="1">
      <c r="A54" s="447"/>
      <c r="B54" s="447"/>
      <c r="C54" s="447"/>
      <c r="D54" s="447"/>
      <c r="E54" s="447"/>
      <c r="F54" s="447"/>
      <c r="G54" s="447"/>
      <c r="H54" s="447"/>
      <c r="I54" s="447"/>
      <c r="J54" s="447"/>
      <c r="K54" s="447"/>
      <c r="L54" s="309"/>
      <c r="M54" s="393"/>
      <c r="N54" s="1660"/>
      <c r="O54" s="1660"/>
      <c r="P54" s="1660"/>
      <c r="Q54" s="1660"/>
      <c r="R54" s="1660"/>
      <c r="S54" s="1660"/>
      <c r="T54" s="1660"/>
      <c r="U54" s="377"/>
      <c r="V54" s="377"/>
    </row>
    <row r="55" spans="1:22" ht="15.95" customHeight="1">
      <c r="A55" s="447"/>
      <c r="B55" s="447"/>
      <c r="C55" s="447"/>
      <c r="D55" s="447"/>
      <c r="E55" s="447"/>
      <c r="F55" s="447"/>
      <c r="G55" s="447"/>
      <c r="H55" s="447"/>
      <c r="I55" s="447"/>
      <c r="J55" s="447"/>
      <c r="K55" s="447"/>
      <c r="L55" s="309"/>
      <c r="M55" s="393"/>
      <c r="N55" s="1660"/>
      <c r="O55" s="1660"/>
      <c r="P55" s="1660"/>
      <c r="Q55" s="1660"/>
      <c r="R55" s="1660"/>
      <c r="S55" s="1660"/>
      <c r="T55" s="1660"/>
      <c r="U55" s="377"/>
      <c r="V55" s="377"/>
    </row>
    <row r="56" spans="1:22" ht="15.95" customHeight="1">
      <c r="A56" s="447"/>
      <c r="B56" s="447"/>
      <c r="C56" s="447"/>
      <c r="D56" s="447"/>
      <c r="E56" s="447"/>
      <c r="F56" s="447"/>
      <c r="G56" s="447"/>
      <c r="H56" s="447"/>
      <c r="I56" s="447"/>
      <c r="J56" s="447"/>
      <c r="K56" s="447"/>
      <c r="L56" s="309"/>
      <c r="M56" s="394"/>
      <c r="N56" s="1660"/>
      <c r="O56" s="1660"/>
      <c r="P56" s="1660"/>
      <c r="Q56" s="1660"/>
      <c r="R56" s="1660"/>
      <c r="S56" s="1660"/>
      <c r="T56" s="1660"/>
      <c r="U56" s="377"/>
      <c r="V56" s="377"/>
    </row>
    <row r="57" spans="1:22" ht="15.95" customHeight="1">
      <c r="A57" s="447"/>
      <c r="B57" s="447"/>
      <c r="C57" s="447"/>
      <c r="D57" s="447"/>
      <c r="E57" s="447"/>
      <c r="F57" s="447"/>
      <c r="G57" s="447"/>
      <c r="H57" s="447"/>
      <c r="I57" s="447"/>
      <c r="J57" s="447"/>
      <c r="K57" s="447"/>
      <c r="L57" s="309"/>
      <c r="M57" s="394"/>
      <c r="N57" s="394"/>
      <c r="O57" s="394"/>
      <c r="P57" s="394"/>
      <c r="Q57" s="394"/>
      <c r="R57" s="394"/>
      <c r="S57" s="394"/>
      <c r="T57" s="394"/>
      <c r="U57" s="377"/>
      <c r="V57" s="377"/>
    </row>
    <row r="58" spans="1:22" ht="15.95" customHeight="1">
      <c r="A58" s="447"/>
      <c r="B58" s="447"/>
      <c r="C58" s="447"/>
      <c r="D58" s="447"/>
      <c r="E58" s="447"/>
      <c r="F58" s="447"/>
      <c r="G58" s="447"/>
      <c r="H58" s="447"/>
      <c r="I58" s="447"/>
      <c r="J58" s="447"/>
      <c r="K58" s="447"/>
      <c r="L58" s="309"/>
      <c r="M58" s="394"/>
      <c r="N58" s="394"/>
      <c r="O58" s="394"/>
      <c r="P58" s="394"/>
      <c r="Q58" s="394"/>
      <c r="R58" s="394"/>
      <c r="S58" s="394"/>
      <c r="T58" s="394"/>
      <c r="U58" s="377"/>
      <c r="V58" s="377"/>
    </row>
    <row r="59" spans="1:22" ht="15.95" customHeight="1"/>
  </sheetData>
  <mergeCells count="31">
    <mergeCell ref="M31:T31"/>
    <mergeCell ref="M32:T32"/>
    <mergeCell ref="D5:H5"/>
    <mergeCell ref="C7:E7"/>
    <mergeCell ref="M26:T26"/>
    <mergeCell ref="M27:T27"/>
    <mergeCell ref="M28:T28"/>
    <mergeCell ref="M29:T29"/>
    <mergeCell ref="M30:T30"/>
    <mergeCell ref="A2:A36"/>
    <mergeCell ref="L2:L36"/>
    <mergeCell ref="C28:J30"/>
    <mergeCell ref="B2:K2"/>
    <mergeCell ref="B36:K36"/>
    <mergeCell ref="D6:H6"/>
    <mergeCell ref="N50:T51"/>
    <mergeCell ref="N53:T56"/>
    <mergeCell ref="B37:K37"/>
    <mergeCell ref="M37:T37"/>
    <mergeCell ref="B1:K1"/>
    <mergeCell ref="M3:T7"/>
    <mergeCell ref="M8:T14"/>
    <mergeCell ref="M15:T23"/>
    <mergeCell ref="M24:T24"/>
    <mergeCell ref="M25:T25"/>
    <mergeCell ref="B40:J46"/>
    <mergeCell ref="N2:S2"/>
    <mergeCell ref="N36:S36"/>
    <mergeCell ref="M33:T33"/>
    <mergeCell ref="M34:T34"/>
    <mergeCell ref="M35:T35"/>
  </mergeCells>
  <phoneticPr fontId="146" type="noConversion"/>
  <conditionalFormatting sqref="F8:H13">
    <cfRule type="cellIs" dxfId="45" priority="22" stopIfTrue="1" operator="lessThan">
      <formula>0</formula>
    </cfRule>
  </conditionalFormatting>
  <conditionalFormatting sqref="C16:H16">
    <cfRule type="expression" dxfId="44" priority="21">
      <formula>$N$47="FA5L1 FA5L2"</formula>
    </cfRule>
  </conditionalFormatting>
  <conditionalFormatting sqref="C15:H15">
    <cfRule type="expression" dxfId="43" priority="20">
      <formula>$N$46="FA4L1 FA4L2"</formula>
    </cfRule>
  </conditionalFormatting>
  <conditionalFormatting sqref="C14:H14">
    <cfRule type="expression" dxfId="42" priority="19">
      <formula>$N$45="FA3L1 FA3L2"</formula>
    </cfRule>
  </conditionalFormatting>
  <conditionalFormatting sqref="C10:H10">
    <cfRule type="expression" dxfId="41" priority="16">
      <formula>$N$44="FA2L1 FA2L2"</formula>
    </cfRule>
  </conditionalFormatting>
  <conditionalFormatting sqref="C9:H9">
    <cfRule type="expression" dxfId="40" priority="15">
      <formula>$N$43="FA1L1 FA1L2"</formula>
    </cfRule>
  </conditionalFormatting>
  <conditionalFormatting sqref="C11:H11">
    <cfRule type="expression" dxfId="39" priority="14">
      <formula>$N$45="FA3L1 FA3L2"</formula>
    </cfRule>
  </conditionalFormatting>
  <conditionalFormatting sqref="C12:H12">
    <cfRule type="expression" dxfId="38" priority="13">
      <formula>$N$46="FA4L1 FA4L2"</formula>
    </cfRule>
  </conditionalFormatting>
  <conditionalFormatting sqref="C13:H13">
    <cfRule type="expression" dxfId="37" priority="11">
      <formula>$N$47="FA5L1 FA5L2"</formula>
    </cfRule>
  </conditionalFormatting>
  <conditionalFormatting sqref="N43:P43">
    <cfRule type="expression" dxfId="36" priority="10">
      <formula>$N$43="FA1L1 FA1L2"</formula>
    </cfRule>
  </conditionalFormatting>
  <conditionalFormatting sqref="N44:P44">
    <cfRule type="expression" dxfId="35" priority="9">
      <formula>$N$44="FA2L1 FA2L2"</formula>
    </cfRule>
  </conditionalFormatting>
  <conditionalFormatting sqref="N45:P45">
    <cfRule type="expression" dxfId="34" priority="8">
      <formula>$N$45="FA3L1 FA3L2"</formula>
    </cfRule>
  </conditionalFormatting>
  <conditionalFormatting sqref="N46:P46">
    <cfRule type="expression" dxfId="33" priority="7">
      <formula>$N$46="FA4L1 FA4L2"</formula>
    </cfRule>
  </conditionalFormatting>
  <conditionalFormatting sqref="N47:P47">
    <cfRule type="expression" dxfId="32" priority="6">
      <formula>$N$47="FA5L1 FA5L2"</formula>
    </cfRule>
  </conditionalFormatting>
  <conditionalFormatting sqref="Q43">
    <cfRule type="expression" dxfId="31" priority="5">
      <formula>$N$43="FA1L1 FA1L2"</formula>
    </cfRule>
  </conditionalFormatting>
  <conditionalFormatting sqref="Q44">
    <cfRule type="expression" dxfId="30" priority="4">
      <formula>$N$44="FA2L1 FA2L2"</formula>
    </cfRule>
  </conditionalFormatting>
  <conditionalFormatting sqref="Q45">
    <cfRule type="expression" dxfId="29" priority="3">
      <formula>$N$45="FA3L1 FA3L2"</formula>
    </cfRule>
  </conditionalFormatting>
  <conditionalFormatting sqref="Q46">
    <cfRule type="expression" dxfId="28" priority="2">
      <formula>$N$46="FA4L1 FA4L2"</formula>
    </cfRule>
  </conditionalFormatting>
  <conditionalFormatting sqref="Q47">
    <cfRule type="expression" dxfId="27" priority="1">
      <formula>$N$47="FA5L1 FA5L2"</formula>
    </cfRule>
  </conditionalFormatting>
  <pageMargins left="1.25" right="1.25" top="1.25" bottom="1.25" header="0.3" footer="0.3"/>
  <pageSetup orientation="portrait"/>
  <rowBreaks count="1" manualBreakCount="1">
    <brk id="35" max="16383" man="1"/>
  </rowBreaks>
  <colBreaks count="1" manualBreakCount="1">
    <brk id="20" max="1048575" man="1"/>
  </colBreaks>
  <ignoredErrors>
    <ignoredError sqref="C9"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A54"/>
  <sheetViews>
    <sheetView topLeftCell="A2" workbookViewId="0">
      <selection activeCell="L9" sqref="L9"/>
    </sheetView>
  </sheetViews>
  <sheetFormatPr defaultColWidth="8.83203125" defaultRowHeight="11.25"/>
  <cols>
    <col min="1" max="1" width="4.83203125" style="277" customWidth="1"/>
    <col min="2" max="2" width="3.83203125" style="277" customWidth="1"/>
    <col min="3" max="3" width="4.83203125" style="277" customWidth="1"/>
    <col min="4" max="4" width="16.83203125" style="387" customWidth="1"/>
    <col min="5" max="5" width="8.83203125" style="277" customWidth="1"/>
    <col min="6" max="7" width="8.83203125" style="299" customWidth="1"/>
    <col min="8" max="13" width="8.83203125" style="277" customWidth="1"/>
    <col min="14" max="14" width="3.83203125" style="277" customWidth="1"/>
    <col min="15" max="16" width="4.83203125" style="277" customWidth="1"/>
    <col min="17" max="17" width="19.1640625" style="277" customWidth="1"/>
    <col min="18" max="22" width="8.33203125" style="277" customWidth="1"/>
    <col min="23" max="25" width="8.33203125" style="299" customWidth="1"/>
    <col min="26" max="26" width="8.33203125" style="277" customWidth="1"/>
    <col min="27" max="27" width="4.83203125" style="277" customWidth="1"/>
    <col min="28" max="47" width="9.83203125" style="277" customWidth="1"/>
    <col min="48" max="16384" width="8.83203125" style="277"/>
  </cols>
  <sheetData>
    <row r="1" spans="1:27" s="373" customFormat="1" ht="18" customHeight="1">
      <c r="A1" s="310"/>
      <c r="B1" s="1642" t="s">
        <v>376</v>
      </c>
      <c r="C1" s="1642"/>
      <c r="D1" s="1642"/>
      <c r="E1" s="1642"/>
      <c r="F1" s="1642"/>
      <c r="G1" s="1642"/>
      <c r="H1" s="1642"/>
      <c r="I1" s="1642"/>
      <c r="J1" s="1642"/>
      <c r="K1" s="1642"/>
      <c r="L1" s="1642"/>
      <c r="M1" s="1642"/>
      <c r="N1" s="1642"/>
      <c r="O1" s="310"/>
      <c r="P1" s="309"/>
      <c r="Q1" s="309"/>
      <c r="R1" s="309"/>
      <c r="S1" s="309"/>
      <c r="T1" s="309"/>
      <c r="U1" s="309"/>
      <c r="V1" s="309"/>
      <c r="W1" s="309"/>
      <c r="X1" s="309"/>
      <c r="Y1" s="309"/>
      <c r="Z1" s="309"/>
      <c r="AA1" s="309"/>
    </row>
    <row r="2" spans="1:27" ht="20.100000000000001" customHeight="1">
      <c r="A2" s="1643" t="s">
        <v>376</v>
      </c>
      <c r="B2" s="1644" t="s">
        <v>311</v>
      </c>
      <c r="C2" s="1644"/>
      <c r="D2" s="1644"/>
      <c r="E2" s="1644"/>
      <c r="F2" s="1644"/>
      <c r="G2" s="1644"/>
      <c r="H2" s="1644"/>
      <c r="I2" s="1644"/>
      <c r="J2" s="1644"/>
      <c r="K2" s="1644"/>
      <c r="L2" s="1644"/>
      <c r="M2" s="1644"/>
      <c r="N2" s="1644"/>
      <c r="O2" s="1643" t="s">
        <v>376</v>
      </c>
      <c r="P2" s="433" t="str">
        <f>Q39</f>
        <v>GA</v>
      </c>
      <c r="Q2" s="1645" t="s">
        <v>312</v>
      </c>
      <c r="R2" s="1645"/>
      <c r="S2" s="1645"/>
      <c r="T2" s="1645"/>
      <c r="U2" s="1645"/>
      <c r="V2" s="1645"/>
      <c r="W2" s="1645"/>
      <c r="X2" s="1645"/>
      <c r="Y2" s="1645"/>
      <c r="Z2" s="1645"/>
      <c r="AA2" s="434"/>
    </row>
    <row r="3" spans="1:27" ht="15" customHeight="1">
      <c r="A3" s="1643"/>
      <c r="B3" s="308"/>
      <c r="C3" s="308"/>
      <c r="D3" s="308"/>
      <c r="E3" s="308"/>
      <c r="F3" s="308"/>
      <c r="G3" s="308"/>
      <c r="H3" s="308"/>
      <c r="I3" s="308"/>
      <c r="J3" s="308"/>
      <c r="K3" s="308"/>
      <c r="L3" s="308"/>
      <c r="M3" s="308"/>
      <c r="N3" s="308"/>
      <c r="O3" s="1643"/>
      <c r="P3" s="1491" t="s">
        <v>1843</v>
      </c>
      <c r="Q3" s="1492"/>
      <c r="R3" s="1492"/>
      <c r="S3" s="1492"/>
      <c r="T3" s="1492"/>
      <c r="U3" s="1492"/>
      <c r="V3" s="1492"/>
      <c r="W3" s="1492"/>
      <c r="X3" s="1492"/>
      <c r="Y3" s="1492"/>
      <c r="Z3" s="1492"/>
      <c r="AA3" s="1493"/>
    </row>
    <row r="4" spans="1:27" ht="15" customHeight="1">
      <c r="A4" s="1643"/>
      <c r="B4" s="308"/>
      <c r="C4" s="308"/>
      <c r="D4" s="308"/>
      <c r="E4" s="308"/>
      <c r="F4" s="308"/>
      <c r="G4" s="308"/>
      <c r="H4" s="308"/>
      <c r="I4" s="308"/>
      <c r="J4" s="308"/>
      <c r="K4" s="308"/>
      <c r="L4" s="308"/>
      <c r="M4" s="308"/>
      <c r="N4" s="308"/>
      <c r="O4" s="1643"/>
      <c r="P4" s="1491"/>
      <c r="Q4" s="1492"/>
      <c r="R4" s="1492"/>
      <c r="S4" s="1492"/>
      <c r="T4" s="1492"/>
      <c r="U4" s="1492"/>
      <c r="V4" s="1492"/>
      <c r="W4" s="1492"/>
      <c r="X4" s="1492"/>
      <c r="Y4" s="1492"/>
      <c r="Z4" s="1492"/>
      <c r="AA4" s="1493"/>
    </row>
    <row r="5" spans="1:27" ht="15" customHeight="1" thickBot="1">
      <c r="A5" s="1643"/>
      <c r="B5" s="308"/>
      <c r="C5" s="308"/>
      <c r="D5" s="308"/>
      <c r="E5" s="308"/>
      <c r="F5" s="308"/>
      <c r="G5" s="308"/>
      <c r="H5" s="308"/>
      <c r="I5" s="308"/>
      <c r="J5" s="308"/>
      <c r="K5" s="308"/>
      <c r="L5" s="308"/>
      <c r="M5" s="308"/>
      <c r="N5" s="308"/>
      <c r="O5" s="1643"/>
      <c r="P5" s="1491"/>
      <c r="Q5" s="1492"/>
      <c r="R5" s="1492"/>
      <c r="S5" s="1492"/>
      <c r="T5" s="1492"/>
      <c r="U5" s="1492"/>
      <c r="V5" s="1492"/>
      <c r="W5" s="1492"/>
      <c r="X5" s="1492"/>
      <c r="Y5" s="1492"/>
      <c r="Z5" s="1492"/>
      <c r="AA5" s="1493"/>
    </row>
    <row r="6" spans="1:27" ht="21.95" customHeight="1" thickBot="1">
      <c r="A6" s="1643"/>
      <c r="B6" s="308"/>
      <c r="C6" s="638" t="str">
        <f>'FIG11'!$Q$39</f>
        <v>GA</v>
      </c>
      <c r="D6" s="1692" t="s">
        <v>1884</v>
      </c>
      <c r="E6" s="1692"/>
      <c r="F6" s="1692"/>
      <c r="G6" s="1692"/>
      <c r="H6" s="1692"/>
      <c r="I6" s="1692"/>
      <c r="J6" s="1692"/>
      <c r="K6" s="1692"/>
      <c r="L6" s="1692"/>
      <c r="M6" s="1693"/>
      <c r="N6" s="308"/>
      <c r="O6" s="1643"/>
      <c r="P6" s="1494"/>
      <c r="Q6" s="1495"/>
      <c r="R6" s="1495"/>
      <c r="S6" s="1495"/>
      <c r="T6" s="1495"/>
      <c r="U6" s="1495"/>
      <c r="V6" s="1495"/>
      <c r="W6" s="1495"/>
      <c r="X6" s="1495"/>
      <c r="Y6" s="1495"/>
      <c r="Z6" s="1495"/>
      <c r="AA6" s="1496"/>
    </row>
    <row r="7" spans="1:27" ht="18" customHeight="1" thickBot="1">
      <c r="A7" s="1643"/>
      <c r="B7" s="308"/>
      <c r="C7" s="687"/>
      <c r="D7" s="691"/>
      <c r="E7" s="1695" t="s">
        <v>320</v>
      </c>
      <c r="F7" s="1696"/>
      <c r="G7" s="1696"/>
      <c r="H7" s="1696"/>
      <c r="I7" s="1696"/>
      <c r="J7" s="1696"/>
      <c r="K7" s="1696"/>
      <c r="L7" s="1696"/>
      <c r="M7" s="1697"/>
      <c r="N7" s="308"/>
      <c r="O7" s="1643"/>
      <c r="P7" s="1488"/>
      <c r="Q7" s="1489"/>
      <c r="R7" s="1489"/>
      <c r="S7" s="1489"/>
      <c r="T7" s="1489"/>
      <c r="U7" s="1489"/>
      <c r="V7" s="1489"/>
      <c r="W7" s="1489"/>
      <c r="X7" s="1489"/>
      <c r="Y7" s="1489"/>
      <c r="Z7" s="1489"/>
      <c r="AA7" s="1490"/>
    </row>
    <row r="8" spans="1:27" ht="18" customHeight="1" thickBot="1">
      <c r="A8" s="1643"/>
      <c r="B8" s="308"/>
      <c r="C8" s="1705" t="s">
        <v>322</v>
      </c>
      <c r="D8" s="1706"/>
      <c r="E8" s="1698" t="s">
        <v>317</v>
      </c>
      <c r="F8" s="1699"/>
      <c r="G8" s="1700"/>
      <c r="H8" s="1698" t="s">
        <v>318</v>
      </c>
      <c r="I8" s="1699"/>
      <c r="J8" s="1701"/>
      <c r="K8" s="1698" t="s">
        <v>319</v>
      </c>
      <c r="L8" s="1699"/>
      <c r="M8" s="1699"/>
      <c r="N8" s="308"/>
      <c r="O8" s="1643"/>
      <c r="P8" s="1491"/>
      <c r="Q8" s="1492"/>
      <c r="R8" s="1492"/>
      <c r="S8" s="1492"/>
      <c r="T8" s="1492"/>
      <c r="U8" s="1492"/>
      <c r="V8" s="1492"/>
      <c r="W8" s="1492"/>
      <c r="X8" s="1492"/>
      <c r="Y8" s="1492"/>
      <c r="Z8" s="1492"/>
      <c r="AA8" s="1493"/>
    </row>
    <row r="9" spans="1:27" ht="18" customHeight="1" thickBot="1">
      <c r="A9" s="1643"/>
      <c r="B9" s="308"/>
      <c r="C9" s="1707" t="s">
        <v>321</v>
      </c>
      <c r="D9" s="1708"/>
      <c r="E9" s="690" t="s">
        <v>476</v>
      </c>
      <c r="F9" s="688" t="s">
        <v>477</v>
      </c>
      <c r="G9" s="689" t="s">
        <v>512</v>
      </c>
      <c r="H9" s="690" t="s">
        <v>476</v>
      </c>
      <c r="I9" s="688" t="s">
        <v>477</v>
      </c>
      <c r="J9" s="689" t="s">
        <v>512</v>
      </c>
      <c r="K9" s="690" t="s">
        <v>476</v>
      </c>
      <c r="L9" s="688" t="s">
        <v>477</v>
      </c>
      <c r="M9" s="688" t="s">
        <v>512</v>
      </c>
      <c r="N9" s="308"/>
      <c r="O9" s="1643"/>
      <c r="P9" s="1491"/>
      <c r="Q9" s="1492"/>
      <c r="R9" s="1492"/>
      <c r="S9" s="1492"/>
      <c r="T9" s="1492"/>
      <c r="U9" s="1492"/>
      <c r="V9" s="1492"/>
      <c r="W9" s="1492"/>
      <c r="X9" s="1492"/>
      <c r="Y9" s="1492"/>
      <c r="Z9" s="1492"/>
      <c r="AA9" s="1493"/>
    </row>
    <row r="10" spans="1:27" ht="18" customHeight="1">
      <c r="A10" s="1643"/>
      <c r="B10" s="308"/>
      <c r="C10" s="685" t="s">
        <v>390</v>
      </c>
      <c r="D10" s="692"/>
      <c r="E10" s="1473">
        <f>R42</f>
        <v>0.50800000000000001</v>
      </c>
      <c r="F10" s="1474">
        <f t="shared" ref="F10:M10" si="0">S42</f>
        <v>0.5</v>
      </c>
      <c r="G10" s="1475">
        <f t="shared" si="0"/>
        <v>0.57599999999999996</v>
      </c>
      <c r="H10" s="1473">
        <f t="shared" si="0"/>
        <v>0.64500000000000002</v>
      </c>
      <c r="I10" s="1474">
        <f t="shared" si="0"/>
        <v>0.47599999999999998</v>
      </c>
      <c r="J10" s="1476">
        <f t="shared" si="0"/>
        <v>0.67800000000000005</v>
      </c>
      <c r="K10" s="1473" t="s">
        <v>157</v>
      </c>
      <c r="L10" s="1474" t="s">
        <v>157</v>
      </c>
      <c r="M10" s="1477">
        <f t="shared" si="0"/>
        <v>0.1</v>
      </c>
      <c r="N10" s="308"/>
      <c r="O10" s="1643"/>
      <c r="P10" s="1494"/>
      <c r="Q10" s="1495"/>
      <c r="R10" s="1495"/>
      <c r="S10" s="1495"/>
      <c r="T10" s="1495"/>
      <c r="U10" s="1495"/>
      <c r="V10" s="1495"/>
      <c r="W10" s="1495"/>
      <c r="X10" s="1495"/>
      <c r="Y10" s="1495"/>
      <c r="Z10" s="1495"/>
      <c r="AA10" s="1496"/>
    </row>
    <row r="11" spans="1:27" ht="18" customHeight="1" thickBot="1">
      <c r="A11" s="1643"/>
      <c r="B11" s="308"/>
      <c r="C11" s="686" t="s">
        <v>391</v>
      </c>
      <c r="D11" s="693"/>
      <c r="E11" s="1478">
        <f>R43</f>
        <v>0.51800000000000002</v>
      </c>
      <c r="F11" s="1479">
        <f t="shared" ref="F11:M11" si="1">S43</f>
        <v>0.56000000000000005</v>
      </c>
      <c r="G11" s="1480">
        <f t="shared" si="1"/>
        <v>0.48599999999999999</v>
      </c>
      <c r="H11" s="1478">
        <f t="shared" si="1"/>
        <v>0.125</v>
      </c>
      <c r="I11" s="1479">
        <f t="shared" si="1"/>
        <v>0.436</v>
      </c>
      <c r="J11" s="1481">
        <f t="shared" si="1"/>
        <v>0.56699999999999995</v>
      </c>
      <c r="K11" s="1478" t="s">
        <v>157</v>
      </c>
      <c r="L11" s="1479" t="s">
        <v>157</v>
      </c>
      <c r="M11" s="1482">
        <f t="shared" si="1"/>
        <v>7.9000000000000001E-2</v>
      </c>
      <c r="N11" s="308"/>
      <c r="O11" s="1643"/>
      <c r="P11" s="1488"/>
      <c r="Q11" s="1489"/>
      <c r="R11" s="1489"/>
      <c r="S11" s="1489"/>
      <c r="T11" s="1489"/>
      <c r="U11" s="1489"/>
      <c r="V11" s="1489"/>
      <c r="W11" s="1489"/>
      <c r="X11" s="1489"/>
      <c r="Y11" s="1489"/>
      <c r="Z11" s="1489"/>
      <c r="AA11" s="1490"/>
    </row>
    <row r="12" spans="1:27" ht="15" customHeight="1">
      <c r="A12" s="1643"/>
      <c r="B12" s="308"/>
      <c r="C12" s="308"/>
      <c r="D12" s="308"/>
      <c r="E12" s="308"/>
      <c r="F12" s="308"/>
      <c r="G12" s="308"/>
      <c r="H12" s="308"/>
      <c r="I12" s="308"/>
      <c r="J12" s="308"/>
      <c r="K12" s="308"/>
      <c r="L12" s="308"/>
      <c r="M12" s="308"/>
      <c r="N12" s="308"/>
      <c r="O12" s="1643"/>
      <c r="P12" s="1491"/>
      <c r="Q12" s="1492"/>
      <c r="R12" s="1492"/>
      <c r="S12" s="1492"/>
      <c r="T12" s="1492"/>
      <c r="U12" s="1492"/>
      <c r="V12" s="1492"/>
      <c r="W12" s="1492"/>
      <c r="X12" s="1492"/>
      <c r="Y12" s="1492"/>
      <c r="Z12" s="1492"/>
      <c r="AA12" s="1493"/>
    </row>
    <row r="13" spans="1:27" s="380" customFormat="1" ht="15" customHeight="1">
      <c r="A13" s="1643"/>
      <c r="B13" s="308"/>
      <c r="C13" s="308"/>
      <c r="D13" s="308"/>
      <c r="E13" s="308"/>
      <c r="F13" s="308"/>
      <c r="G13" s="308"/>
      <c r="H13" s="308"/>
      <c r="I13" s="308"/>
      <c r="J13" s="308"/>
      <c r="K13" s="308"/>
      <c r="L13" s="308"/>
      <c r="M13" s="308"/>
      <c r="N13" s="308"/>
      <c r="O13" s="1643"/>
      <c r="P13" s="1491"/>
      <c r="Q13" s="1492"/>
      <c r="R13" s="1492"/>
      <c r="S13" s="1492"/>
      <c r="T13" s="1492"/>
      <c r="U13" s="1492"/>
      <c r="V13" s="1492"/>
      <c r="W13" s="1492"/>
      <c r="X13" s="1492"/>
      <c r="Y13" s="1492"/>
      <c r="Z13" s="1492"/>
      <c r="AA13" s="1493"/>
    </row>
    <row r="14" spans="1:27" s="380" customFormat="1" ht="15" customHeight="1">
      <c r="A14" s="1643"/>
      <c r="B14" s="308"/>
      <c r="C14" s="308"/>
      <c r="D14" s="308"/>
      <c r="E14" s="308"/>
      <c r="F14" s="308"/>
      <c r="G14" s="308"/>
      <c r="H14" s="308"/>
      <c r="I14" s="308"/>
      <c r="J14" s="308"/>
      <c r="K14" s="308"/>
      <c r="L14" s="308"/>
      <c r="M14" s="308"/>
      <c r="N14" s="308"/>
      <c r="O14" s="1643"/>
      <c r="P14" s="1491"/>
      <c r="Q14" s="1492"/>
      <c r="R14" s="1492"/>
      <c r="S14" s="1492"/>
      <c r="T14" s="1492"/>
      <c r="U14" s="1492"/>
      <c r="V14" s="1492"/>
      <c r="W14" s="1492"/>
      <c r="X14" s="1492"/>
      <c r="Y14" s="1492"/>
      <c r="Z14" s="1492"/>
      <c r="AA14" s="1493"/>
    </row>
    <row r="15" spans="1:27" s="380" customFormat="1" ht="15" customHeight="1">
      <c r="A15" s="1643"/>
      <c r="B15" s="308"/>
      <c r="C15" s="308"/>
      <c r="D15" s="308"/>
      <c r="E15" s="308"/>
      <c r="F15" s="308"/>
      <c r="G15" s="308"/>
      <c r="H15" s="308"/>
      <c r="I15" s="308"/>
      <c r="J15" s="308"/>
      <c r="K15" s="308"/>
      <c r="L15" s="308"/>
      <c r="M15" s="308"/>
      <c r="N15" s="308"/>
      <c r="O15" s="1643"/>
      <c r="P15" s="1491"/>
      <c r="Q15" s="1492"/>
      <c r="R15" s="1492"/>
      <c r="S15" s="1492"/>
      <c r="T15" s="1492"/>
      <c r="U15" s="1492"/>
      <c r="V15" s="1492"/>
      <c r="W15" s="1492"/>
      <c r="X15" s="1492"/>
      <c r="Y15" s="1492"/>
      <c r="Z15" s="1492"/>
      <c r="AA15" s="1493"/>
    </row>
    <row r="16" spans="1:27" s="380" customFormat="1" ht="15" customHeight="1">
      <c r="A16" s="1643"/>
      <c r="B16" s="308"/>
      <c r="C16" s="308"/>
      <c r="D16" s="308"/>
      <c r="E16" s="308"/>
      <c r="F16" s="308"/>
      <c r="G16" s="308"/>
      <c r="H16" s="308"/>
      <c r="I16" s="308"/>
      <c r="J16" s="308"/>
      <c r="K16" s="308"/>
      <c r="L16" s="308"/>
      <c r="M16" s="308"/>
      <c r="N16" s="308"/>
      <c r="O16" s="1643"/>
      <c r="P16" s="1491"/>
      <c r="Q16" s="1492"/>
      <c r="R16" s="1492"/>
      <c r="S16" s="1492"/>
      <c r="T16" s="1492"/>
      <c r="U16" s="1492"/>
      <c r="V16" s="1492"/>
      <c r="W16" s="1492"/>
      <c r="X16" s="1492"/>
      <c r="Y16" s="1492"/>
      <c r="Z16" s="1492"/>
      <c r="AA16" s="1493"/>
    </row>
    <row r="17" spans="1:27" s="380" customFormat="1" ht="15" customHeight="1">
      <c r="A17" s="1643"/>
      <c r="B17" s="308"/>
      <c r="C17" s="308"/>
      <c r="D17" s="308"/>
      <c r="E17" s="308"/>
      <c r="F17" s="308"/>
      <c r="G17" s="308"/>
      <c r="H17" s="308"/>
      <c r="I17" s="308"/>
      <c r="J17" s="308"/>
      <c r="K17" s="308"/>
      <c r="L17" s="308"/>
      <c r="M17" s="308"/>
      <c r="N17" s="308"/>
      <c r="O17" s="1643"/>
      <c r="P17" s="1491"/>
      <c r="Q17" s="1492"/>
      <c r="R17" s="1492"/>
      <c r="S17" s="1492"/>
      <c r="T17" s="1492"/>
      <c r="U17" s="1492"/>
      <c r="V17" s="1492"/>
      <c r="W17" s="1492"/>
      <c r="X17" s="1492"/>
      <c r="Y17" s="1492"/>
      <c r="Z17" s="1492"/>
      <c r="AA17" s="1493"/>
    </row>
    <row r="18" spans="1:27" ht="15" customHeight="1">
      <c r="A18" s="1643"/>
      <c r="B18" s="308"/>
      <c r="C18" s="308"/>
      <c r="D18" s="308"/>
      <c r="E18" s="308"/>
      <c r="F18" s="308"/>
      <c r="G18" s="308"/>
      <c r="H18" s="308"/>
      <c r="I18" s="308"/>
      <c r="J18" s="308"/>
      <c r="K18" s="308"/>
      <c r="L18" s="308"/>
      <c r="M18" s="308"/>
      <c r="N18" s="308"/>
      <c r="O18" s="1643"/>
      <c r="P18" s="1491"/>
      <c r="Q18" s="1492"/>
      <c r="R18" s="1492"/>
      <c r="S18" s="1492"/>
      <c r="T18" s="1492"/>
      <c r="U18" s="1492"/>
      <c r="V18" s="1492"/>
      <c r="W18" s="1492"/>
      <c r="X18" s="1492"/>
      <c r="Y18" s="1492"/>
      <c r="Z18" s="1492"/>
      <c r="AA18" s="1493"/>
    </row>
    <row r="19" spans="1:27" ht="15" customHeight="1">
      <c r="A19" s="1643"/>
      <c r="B19" s="308"/>
      <c r="C19" s="308"/>
      <c r="D19" s="308"/>
      <c r="E19" s="308"/>
      <c r="F19" s="308"/>
      <c r="G19" s="308"/>
      <c r="H19" s="308"/>
      <c r="I19" s="308"/>
      <c r="J19" s="308"/>
      <c r="K19" s="308"/>
      <c r="L19" s="308"/>
      <c r="M19" s="308"/>
      <c r="N19" s="308"/>
      <c r="O19" s="1643"/>
      <c r="P19" s="1491"/>
      <c r="Q19" s="1492"/>
      <c r="R19" s="1492"/>
      <c r="S19" s="1492"/>
      <c r="T19" s="1492"/>
      <c r="U19" s="1492"/>
      <c r="V19" s="1492"/>
      <c r="W19" s="1492"/>
      <c r="X19" s="1492"/>
      <c r="Y19" s="1492"/>
      <c r="Z19" s="1492"/>
      <c r="AA19" s="1493"/>
    </row>
    <row r="20" spans="1:27" ht="15" customHeight="1">
      <c r="A20" s="1643"/>
      <c r="B20" s="308"/>
      <c r="C20" s="308"/>
      <c r="D20" s="308"/>
      <c r="E20" s="308"/>
      <c r="F20" s="308"/>
      <c r="G20" s="308"/>
      <c r="H20" s="308"/>
      <c r="I20" s="308"/>
      <c r="J20" s="308"/>
      <c r="K20" s="308"/>
      <c r="L20" s="308"/>
      <c r="M20" s="308"/>
      <c r="N20" s="308"/>
      <c r="O20" s="1643"/>
      <c r="P20" s="1491"/>
      <c r="Q20" s="1492"/>
      <c r="R20" s="1492"/>
      <c r="S20" s="1492"/>
      <c r="T20" s="1492"/>
      <c r="U20" s="1492"/>
      <c r="V20" s="1492"/>
      <c r="W20" s="1492"/>
      <c r="X20" s="1492"/>
      <c r="Y20" s="1492"/>
      <c r="Z20" s="1492"/>
      <c r="AA20" s="1493"/>
    </row>
    <row r="21" spans="1:27" ht="15" customHeight="1">
      <c r="A21" s="1643"/>
      <c r="B21" s="308"/>
      <c r="C21" s="308"/>
      <c r="D21" s="308"/>
      <c r="E21" s="308"/>
      <c r="F21" s="308"/>
      <c r="G21" s="308"/>
      <c r="H21" s="308"/>
      <c r="I21" s="308"/>
      <c r="J21" s="308"/>
      <c r="K21" s="308"/>
      <c r="L21" s="308"/>
      <c r="M21" s="308"/>
      <c r="N21" s="308"/>
      <c r="O21" s="1643"/>
      <c r="P21" s="1494"/>
      <c r="Q21" s="1495"/>
      <c r="R21" s="1495"/>
      <c r="S21" s="1495"/>
      <c r="T21" s="1495"/>
      <c r="U21" s="1495"/>
      <c r="V21" s="1495"/>
      <c r="W21" s="1495"/>
      <c r="X21" s="1495"/>
      <c r="Y21" s="1495"/>
      <c r="Z21" s="1495"/>
      <c r="AA21" s="1496"/>
    </row>
    <row r="22" spans="1:27" ht="15" customHeight="1">
      <c r="A22" s="1643"/>
      <c r="B22" s="308"/>
      <c r="C22" s="308"/>
      <c r="D22" s="308"/>
      <c r="E22" s="308"/>
      <c r="F22" s="308"/>
      <c r="G22" s="308"/>
      <c r="H22" s="308"/>
      <c r="I22" s="308"/>
      <c r="J22" s="308"/>
      <c r="K22" s="308"/>
      <c r="L22" s="308"/>
      <c r="M22" s="308"/>
      <c r="N22" s="308"/>
      <c r="O22" s="1643"/>
      <c r="P22" s="1488"/>
      <c r="Q22" s="1489"/>
      <c r="R22" s="1489"/>
      <c r="S22" s="1489"/>
      <c r="T22" s="1489"/>
      <c r="U22" s="1489"/>
      <c r="V22" s="1489"/>
      <c r="W22" s="1489"/>
      <c r="X22" s="1489"/>
      <c r="Y22" s="1489"/>
      <c r="Z22" s="1489"/>
      <c r="AA22" s="1490"/>
    </row>
    <row r="23" spans="1:27" ht="15" customHeight="1">
      <c r="A23" s="1643"/>
      <c r="B23" s="308"/>
      <c r="C23" s="308"/>
      <c r="D23" s="308"/>
      <c r="E23" s="308"/>
      <c r="F23" s="308"/>
      <c r="G23" s="308"/>
      <c r="H23" s="308"/>
      <c r="I23" s="308"/>
      <c r="J23" s="308"/>
      <c r="K23" s="308"/>
      <c r="L23" s="308"/>
      <c r="M23" s="308"/>
      <c r="N23" s="308"/>
      <c r="O23" s="1643"/>
      <c r="P23" s="1491"/>
      <c r="Q23" s="1492"/>
      <c r="R23" s="1492"/>
      <c r="S23" s="1492"/>
      <c r="T23" s="1492"/>
      <c r="U23" s="1492"/>
      <c r="V23" s="1492"/>
      <c r="W23" s="1492"/>
      <c r="X23" s="1492"/>
      <c r="Y23" s="1492"/>
      <c r="Z23" s="1492"/>
      <c r="AA23" s="1493"/>
    </row>
    <row r="24" spans="1:27" s="380" customFormat="1" ht="15" customHeight="1">
      <c r="A24" s="1643"/>
      <c r="B24" s="308"/>
      <c r="C24" s="308"/>
      <c r="D24" s="308"/>
      <c r="E24" s="308"/>
      <c r="F24" s="308"/>
      <c r="G24" s="308"/>
      <c r="H24" s="308"/>
      <c r="I24" s="308"/>
      <c r="J24" s="308"/>
      <c r="K24" s="308"/>
      <c r="L24" s="308"/>
      <c r="M24" s="308"/>
      <c r="N24" s="308"/>
      <c r="O24" s="1643"/>
      <c r="P24" s="1491"/>
      <c r="Q24" s="1492"/>
      <c r="R24" s="1492"/>
      <c r="S24" s="1492"/>
      <c r="T24" s="1492"/>
      <c r="U24" s="1492"/>
      <c r="V24" s="1492"/>
      <c r="W24" s="1492"/>
      <c r="X24" s="1492"/>
      <c r="Y24" s="1492"/>
      <c r="Z24" s="1492"/>
      <c r="AA24" s="1493"/>
    </row>
    <row r="25" spans="1:27" s="380" customFormat="1" ht="15" customHeight="1">
      <c r="A25" s="1643"/>
      <c r="B25" s="308"/>
      <c r="C25" s="308"/>
      <c r="D25" s="308"/>
      <c r="E25" s="308"/>
      <c r="F25" s="308"/>
      <c r="G25" s="308"/>
      <c r="H25" s="308"/>
      <c r="I25" s="308"/>
      <c r="J25" s="308"/>
      <c r="K25" s="308"/>
      <c r="L25" s="308"/>
      <c r="M25" s="308"/>
      <c r="N25" s="308"/>
      <c r="O25" s="1643"/>
      <c r="P25" s="1491"/>
      <c r="Q25" s="1492"/>
      <c r="R25" s="1492"/>
      <c r="S25" s="1492"/>
      <c r="T25" s="1492"/>
      <c r="U25" s="1492"/>
      <c r="V25" s="1492"/>
      <c r="W25" s="1492"/>
      <c r="X25" s="1492"/>
      <c r="Y25" s="1492"/>
      <c r="Z25" s="1492"/>
      <c r="AA25" s="1493"/>
    </row>
    <row r="26" spans="1:27" s="380" customFormat="1" ht="15" customHeight="1">
      <c r="A26" s="1643"/>
      <c r="B26" s="308"/>
      <c r="C26" s="308"/>
      <c r="D26" s="308"/>
      <c r="E26" s="308"/>
      <c r="F26" s="308"/>
      <c r="G26" s="308"/>
      <c r="H26" s="308"/>
      <c r="I26" s="308"/>
      <c r="J26" s="308"/>
      <c r="K26" s="308"/>
      <c r="L26" s="308"/>
      <c r="M26" s="308"/>
      <c r="N26" s="308"/>
      <c r="O26" s="1643"/>
      <c r="P26" s="1491"/>
      <c r="Q26" s="1492"/>
      <c r="R26" s="1492"/>
      <c r="S26" s="1492"/>
      <c r="T26" s="1492"/>
      <c r="U26" s="1492"/>
      <c r="V26" s="1492"/>
      <c r="W26" s="1492"/>
      <c r="X26" s="1492"/>
      <c r="Y26" s="1492"/>
      <c r="Z26" s="1492"/>
      <c r="AA26" s="1493"/>
    </row>
    <row r="27" spans="1:27" s="380" customFormat="1" ht="15" customHeight="1">
      <c r="A27" s="1643"/>
      <c r="B27" s="308"/>
      <c r="C27" s="308"/>
      <c r="D27" s="308"/>
      <c r="E27" s="308"/>
      <c r="F27" s="308"/>
      <c r="G27" s="308"/>
      <c r="H27" s="308"/>
      <c r="I27" s="308"/>
      <c r="J27" s="308"/>
      <c r="K27" s="308"/>
      <c r="L27" s="308"/>
      <c r="M27" s="308"/>
      <c r="N27" s="308"/>
      <c r="O27" s="1643"/>
      <c r="P27" s="1494"/>
      <c r="Q27" s="1495"/>
      <c r="R27" s="1495"/>
      <c r="S27" s="1495"/>
      <c r="T27" s="1495"/>
      <c r="U27" s="1495"/>
      <c r="V27" s="1495"/>
      <c r="W27" s="1495"/>
      <c r="X27" s="1495"/>
      <c r="Y27" s="1495"/>
      <c r="Z27" s="1495"/>
      <c r="AA27" s="1496"/>
    </row>
    <row r="28" spans="1:27" s="380" customFormat="1" ht="15" customHeight="1">
      <c r="A28" s="1643"/>
      <c r="B28" s="308"/>
      <c r="C28" s="308"/>
      <c r="D28" s="308"/>
      <c r="E28" s="308"/>
      <c r="F28" s="308"/>
      <c r="G28" s="308"/>
      <c r="H28" s="308"/>
      <c r="I28" s="308"/>
      <c r="J28" s="308"/>
      <c r="K28" s="308"/>
      <c r="L28" s="308"/>
      <c r="M28" s="308"/>
      <c r="N28" s="308"/>
      <c r="O28" s="1643"/>
      <c r="P28" s="1537"/>
      <c r="Q28" s="1538"/>
      <c r="R28" s="1538"/>
      <c r="S28" s="1538"/>
      <c r="T28" s="1538"/>
      <c r="U28" s="1538"/>
      <c r="V28" s="1538"/>
      <c r="W28" s="1538"/>
      <c r="X28" s="1538"/>
      <c r="Y28" s="1538"/>
      <c r="Z28" s="1538"/>
      <c r="AA28" s="1539"/>
    </row>
    <row r="29" spans="1:27" ht="15" customHeight="1">
      <c r="A29" s="1643"/>
      <c r="B29" s="308"/>
      <c r="C29" s="308"/>
      <c r="D29" s="308"/>
      <c r="E29" s="308"/>
      <c r="F29" s="308"/>
      <c r="G29" s="308"/>
      <c r="H29" s="308"/>
      <c r="I29" s="308"/>
      <c r="J29" s="308"/>
      <c r="K29" s="308"/>
      <c r="L29" s="308"/>
      <c r="M29" s="308"/>
      <c r="N29" s="308"/>
      <c r="O29" s="1643"/>
      <c r="P29" s="1537"/>
      <c r="Q29" s="1538"/>
      <c r="R29" s="1538"/>
      <c r="S29" s="1538"/>
      <c r="T29" s="1538"/>
      <c r="U29" s="1538"/>
      <c r="V29" s="1538"/>
      <c r="W29" s="1538"/>
      <c r="X29" s="1538"/>
      <c r="Y29" s="1538"/>
      <c r="Z29" s="1538"/>
      <c r="AA29" s="1539"/>
    </row>
    <row r="30" spans="1:27" ht="15" customHeight="1">
      <c r="A30" s="1643"/>
      <c r="B30" s="308"/>
      <c r="C30" s="308"/>
      <c r="D30" s="308"/>
      <c r="E30" s="308"/>
      <c r="F30" s="308"/>
      <c r="G30" s="308"/>
      <c r="H30" s="308"/>
      <c r="I30" s="308"/>
      <c r="J30" s="308"/>
      <c r="K30" s="308"/>
      <c r="L30" s="308"/>
      <c r="M30" s="308"/>
      <c r="N30" s="308"/>
      <c r="O30" s="1643"/>
      <c r="P30" s="1537"/>
      <c r="Q30" s="1538"/>
      <c r="R30" s="1538"/>
      <c r="S30" s="1538"/>
      <c r="T30" s="1538"/>
      <c r="U30" s="1538"/>
      <c r="V30" s="1538"/>
      <c r="W30" s="1538"/>
      <c r="X30" s="1538"/>
      <c r="Y30" s="1538"/>
      <c r="Z30" s="1538"/>
      <c r="AA30" s="1539"/>
    </row>
    <row r="31" spans="1:27" ht="15" customHeight="1">
      <c r="A31" s="1643"/>
      <c r="B31" s="308"/>
      <c r="C31" s="308"/>
      <c r="D31" s="308"/>
      <c r="E31" s="308"/>
      <c r="F31" s="308"/>
      <c r="G31" s="308"/>
      <c r="H31" s="308"/>
      <c r="I31" s="308"/>
      <c r="J31" s="308"/>
      <c r="K31" s="308"/>
      <c r="L31" s="308"/>
      <c r="M31" s="308"/>
      <c r="N31" s="308"/>
      <c r="O31" s="1643"/>
      <c r="P31" s="1537"/>
      <c r="Q31" s="1538"/>
      <c r="R31" s="1538"/>
      <c r="S31" s="1538"/>
      <c r="T31" s="1538"/>
      <c r="U31" s="1538"/>
      <c r="V31" s="1538"/>
      <c r="W31" s="1538"/>
      <c r="X31" s="1538"/>
      <c r="Y31" s="1538"/>
      <c r="Z31" s="1538"/>
      <c r="AA31" s="1539"/>
    </row>
    <row r="32" spans="1:27" ht="15" customHeight="1">
      <c r="A32" s="1643"/>
      <c r="B32" s="308"/>
      <c r="C32" s="308"/>
      <c r="D32" s="308"/>
      <c r="E32" s="308"/>
      <c r="F32" s="308"/>
      <c r="G32" s="308"/>
      <c r="H32" s="308"/>
      <c r="I32" s="308"/>
      <c r="J32" s="308"/>
      <c r="K32" s="308"/>
      <c r="L32" s="308"/>
      <c r="M32" s="308"/>
      <c r="N32" s="308"/>
      <c r="O32" s="1643"/>
      <c r="P32" s="1537"/>
      <c r="Q32" s="1538"/>
      <c r="R32" s="1538"/>
      <c r="S32" s="1538"/>
      <c r="T32" s="1538"/>
      <c r="U32" s="1538"/>
      <c r="V32" s="1538"/>
      <c r="W32" s="1538"/>
      <c r="X32" s="1538"/>
      <c r="Y32" s="1538"/>
      <c r="Z32" s="1538"/>
      <c r="AA32" s="1539"/>
    </row>
    <row r="33" spans="1:27" ht="15" customHeight="1">
      <c r="A33" s="1643"/>
      <c r="B33" s="308"/>
      <c r="C33" s="308"/>
      <c r="D33" s="308"/>
      <c r="E33" s="308"/>
      <c r="F33" s="308"/>
      <c r="G33" s="308"/>
      <c r="H33" s="308"/>
      <c r="I33" s="308"/>
      <c r="J33" s="308"/>
      <c r="K33" s="308"/>
      <c r="L33" s="308"/>
      <c r="M33" s="308"/>
      <c r="N33" s="308"/>
      <c r="O33" s="1643"/>
      <c r="P33" s="1537"/>
      <c r="Q33" s="1538"/>
      <c r="R33" s="1538"/>
      <c r="S33" s="1538"/>
      <c r="T33" s="1538"/>
      <c r="U33" s="1538"/>
      <c r="V33" s="1538"/>
      <c r="W33" s="1538"/>
      <c r="X33" s="1538"/>
      <c r="Y33" s="1538"/>
      <c r="Z33" s="1538"/>
      <c r="AA33" s="1539"/>
    </row>
    <row r="34" spans="1:27" ht="15" customHeight="1">
      <c r="A34" s="1643"/>
      <c r="B34" s="308"/>
      <c r="C34" s="308"/>
      <c r="D34" s="308"/>
      <c r="E34" s="308"/>
      <c r="F34" s="308"/>
      <c r="G34" s="308"/>
      <c r="H34" s="308"/>
      <c r="I34" s="308"/>
      <c r="J34" s="308"/>
      <c r="K34" s="308"/>
      <c r="L34" s="308"/>
      <c r="M34" s="308"/>
      <c r="N34" s="308"/>
      <c r="O34" s="1643"/>
      <c r="P34" s="1678"/>
      <c r="Q34" s="1679"/>
      <c r="R34" s="1679"/>
      <c r="S34" s="1679"/>
      <c r="T34" s="1679"/>
      <c r="U34" s="1679"/>
      <c r="V34" s="1679"/>
      <c r="W34" s="1679"/>
      <c r="X34" s="1679"/>
      <c r="Y34" s="1679"/>
      <c r="Z34" s="1679"/>
      <c r="AA34" s="1680"/>
    </row>
    <row r="35" spans="1:27" ht="15" customHeight="1">
      <c r="A35" s="1643"/>
      <c r="B35" s="308"/>
      <c r="C35" s="308"/>
      <c r="D35" s="308"/>
      <c r="E35" s="308"/>
      <c r="F35" s="308"/>
      <c r="G35" s="308"/>
      <c r="H35" s="308"/>
      <c r="I35" s="308"/>
      <c r="J35" s="308"/>
      <c r="K35" s="308"/>
      <c r="L35" s="308"/>
      <c r="M35" s="308"/>
      <c r="N35" s="308"/>
      <c r="O35" s="1643"/>
      <c r="P35" s="1678"/>
      <c r="Q35" s="1679"/>
      <c r="R35" s="1679"/>
      <c r="S35" s="1679"/>
      <c r="T35" s="1679"/>
      <c r="U35" s="1679"/>
      <c r="V35" s="1679"/>
      <c r="W35" s="1679"/>
      <c r="X35" s="1679"/>
      <c r="Y35" s="1679"/>
      <c r="Z35" s="1679"/>
      <c r="AA35" s="1680"/>
    </row>
    <row r="36" spans="1:27" ht="20.100000000000001" customHeight="1">
      <c r="A36" s="1643"/>
      <c r="B36" s="1644" t="s">
        <v>311</v>
      </c>
      <c r="C36" s="1644"/>
      <c r="D36" s="1644"/>
      <c r="E36" s="1644"/>
      <c r="F36" s="1644"/>
      <c r="G36" s="1644"/>
      <c r="H36" s="1644"/>
      <c r="I36" s="1644"/>
      <c r="J36" s="1644"/>
      <c r="K36" s="1644"/>
      <c r="L36" s="1644"/>
      <c r="M36" s="1644"/>
      <c r="N36" s="1644"/>
      <c r="O36" s="1643"/>
      <c r="P36" s="396" t="str">
        <f>Q39</f>
        <v>GA</v>
      </c>
      <c r="Q36" s="1645" t="s">
        <v>313</v>
      </c>
      <c r="R36" s="1645"/>
      <c r="S36" s="1645"/>
      <c r="T36" s="1645"/>
      <c r="U36" s="1645"/>
      <c r="V36" s="1645"/>
      <c r="W36" s="1645"/>
      <c r="X36" s="1645"/>
      <c r="Y36" s="1645"/>
      <c r="Z36" s="1645"/>
      <c r="AA36" s="396"/>
    </row>
    <row r="37" spans="1:27" ht="18" customHeight="1">
      <c r="A37" s="310"/>
      <c r="B37" s="1642" t="s">
        <v>376</v>
      </c>
      <c r="C37" s="1642"/>
      <c r="D37" s="1642"/>
      <c r="E37" s="1642"/>
      <c r="F37" s="1642"/>
      <c r="G37" s="1642"/>
      <c r="H37" s="1642"/>
      <c r="I37" s="1642"/>
      <c r="J37" s="1642"/>
      <c r="K37" s="1642"/>
      <c r="L37" s="1642"/>
      <c r="M37" s="1642"/>
      <c r="N37" s="1642"/>
      <c r="O37" s="310"/>
      <c r="P37" s="1702" t="s">
        <v>323</v>
      </c>
      <c r="Q37" s="1702"/>
      <c r="R37" s="1702"/>
      <c r="S37" s="1702"/>
      <c r="T37" s="1702"/>
      <c r="U37" s="1702"/>
      <c r="V37" s="1702"/>
      <c r="W37" s="1702"/>
      <c r="X37" s="1702"/>
      <c r="Y37" s="1702"/>
      <c r="Z37" s="1702"/>
      <c r="AA37" s="1702"/>
    </row>
    <row r="38" spans="1:27" ht="15" customHeight="1">
      <c r="A38" s="447"/>
      <c r="B38" s="447"/>
      <c r="C38" s="447"/>
      <c r="D38" s="447"/>
      <c r="E38" s="447"/>
      <c r="F38" s="447"/>
      <c r="G38" s="447"/>
      <c r="H38" s="447"/>
      <c r="I38" s="447"/>
      <c r="J38" s="447"/>
      <c r="K38" s="447"/>
      <c r="L38" s="447"/>
      <c r="M38" s="447"/>
      <c r="N38" s="447"/>
      <c r="O38" s="309"/>
      <c r="P38" s="388"/>
      <c r="Q38" s="388"/>
      <c r="R38" s="388"/>
      <c r="S38" s="388"/>
      <c r="T38" s="388"/>
      <c r="U38" s="388"/>
      <c r="V38" s="388"/>
      <c r="W38" s="388"/>
      <c r="X38" s="388"/>
      <c r="Y38" s="388"/>
      <c r="Z38" s="388"/>
      <c r="AA38" s="388"/>
    </row>
    <row r="39" spans="1:27" ht="15" customHeight="1">
      <c r="A39" s="447"/>
      <c r="B39" s="447"/>
      <c r="C39" s="447"/>
      <c r="D39" s="447"/>
      <c r="E39" s="447"/>
      <c r="F39" s="447"/>
      <c r="G39" s="447"/>
      <c r="H39" s="447"/>
      <c r="I39" s="447"/>
      <c r="J39" s="447"/>
      <c r="K39" s="447"/>
      <c r="L39" s="447"/>
      <c r="M39" s="447"/>
      <c r="N39" s="447"/>
      <c r="O39" s="309"/>
      <c r="P39" s="388"/>
      <c r="Q39" s="475" t="str">
        <f>'FIG3'!W49</f>
        <v>GA</v>
      </c>
      <c r="R39" s="1703" t="s">
        <v>320</v>
      </c>
      <c r="S39" s="1703"/>
      <c r="T39" s="1703"/>
      <c r="U39" s="1703"/>
      <c r="V39" s="1703"/>
      <c r="W39" s="1703"/>
      <c r="X39" s="1703"/>
      <c r="Y39" s="1703"/>
      <c r="Z39" s="1703"/>
      <c r="AA39" s="388"/>
    </row>
    <row r="40" spans="1:27" ht="15" customHeight="1">
      <c r="A40" s="447"/>
      <c r="B40" s="447"/>
      <c r="C40" s="447"/>
      <c r="D40" s="1498" t="s">
        <v>491</v>
      </c>
      <c r="E40" s="1498"/>
      <c r="F40" s="1498"/>
      <c r="G40" s="1498"/>
      <c r="H40" s="1498"/>
      <c r="I40" s="1498"/>
      <c r="J40" s="1498"/>
      <c r="K40" s="447"/>
      <c r="L40" s="447"/>
      <c r="M40" s="447"/>
      <c r="N40" s="447"/>
      <c r="O40" s="309"/>
      <c r="P40" s="388"/>
      <c r="Q40" s="476" t="s">
        <v>322</v>
      </c>
      <c r="R40" s="1704" t="s">
        <v>317</v>
      </c>
      <c r="S40" s="1704"/>
      <c r="T40" s="1704"/>
      <c r="U40" s="1704" t="s">
        <v>318</v>
      </c>
      <c r="V40" s="1704"/>
      <c r="W40" s="1704"/>
      <c r="X40" s="1704" t="s">
        <v>319</v>
      </c>
      <c r="Y40" s="1704"/>
      <c r="Z40" s="1704"/>
      <c r="AA40" s="388"/>
    </row>
    <row r="41" spans="1:27" ht="15" customHeight="1">
      <c r="A41" s="447"/>
      <c r="B41" s="447"/>
      <c r="C41" s="447"/>
      <c r="D41" s="1498"/>
      <c r="E41" s="1498"/>
      <c r="F41" s="1498"/>
      <c r="G41" s="1498"/>
      <c r="H41" s="1498"/>
      <c r="I41" s="1498"/>
      <c r="J41" s="1498"/>
      <c r="K41" s="447"/>
      <c r="L41" s="447"/>
      <c r="M41" s="447"/>
      <c r="N41" s="447"/>
      <c r="O41" s="309"/>
      <c r="P41" s="388"/>
      <c r="Q41" s="476" t="s">
        <v>321</v>
      </c>
      <c r="R41" s="621" t="s">
        <v>397</v>
      </c>
      <c r="S41" s="621" t="s">
        <v>400</v>
      </c>
      <c r="T41" s="621" t="s">
        <v>398</v>
      </c>
      <c r="U41" s="621" t="s">
        <v>397</v>
      </c>
      <c r="V41" s="621" t="s">
        <v>400</v>
      </c>
      <c r="W41" s="621" t="s">
        <v>398</v>
      </c>
      <c r="X41" s="621" t="s">
        <v>397</v>
      </c>
      <c r="Y41" s="621" t="s">
        <v>400</v>
      </c>
      <c r="Z41" s="621" t="s">
        <v>398</v>
      </c>
      <c r="AA41" s="388"/>
    </row>
    <row r="42" spans="1:27" ht="15" customHeight="1">
      <c r="A42" s="447"/>
      <c r="B42" s="447"/>
      <c r="C42" s="447"/>
      <c r="D42" s="1498"/>
      <c r="E42" s="1498"/>
      <c r="F42" s="1498"/>
      <c r="G42" s="1498"/>
      <c r="H42" s="1498"/>
      <c r="I42" s="1498"/>
      <c r="J42" s="1498"/>
      <c r="K42" s="447"/>
      <c r="L42" s="447"/>
      <c r="M42" s="447"/>
      <c r="N42" s="447"/>
      <c r="O42" s="309"/>
      <c r="P42" s="388"/>
      <c r="Q42" s="477" t="s">
        <v>390</v>
      </c>
      <c r="R42" s="791">
        <v>0.50800000000000001</v>
      </c>
      <c r="S42" s="791">
        <v>0.5</v>
      </c>
      <c r="T42" s="791">
        <v>0.57599999999999996</v>
      </c>
      <c r="U42" s="791">
        <v>0.64500000000000002</v>
      </c>
      <c r="V42" s="791">
        <v>0.47599999999999998</v>
      </c>
      <c r="W42" s="791">
        <v>0.67800000000000005</v>
      </c>
      <c r="X42" s="791">
        <v>0</v>
      </c>
      <c r="Y42" s="791">
        <v>0</v>
      </c>
      <c r="Z42" s="791">
        <v>0.1</v>
      </c>
      <c r="AA42" s="388"/>
    </row>
    <row r="43" spans="1:27" ht="15" customHeight="1">
      <c r="A43" s="447"/>
      <c r="B43" s="447"/>
      <c r="C43" s="447"/>
      <c r="D43" s="1498"/>
      <c r="E43" s="1498"/>
      <c r="F43" s="1498"/>
      <c r="G43" s="1498"/>
      <c r="H43" s="1498"/>
      <c r="I43" s="1498"/>
      <c r="J43" s="1498"/>
      <c r="K43" s="447"/>
      <c r="L43" s="447"/>
      <c r="M43" s="447"/>
      <c r="N43" s="447"/>
      <c r="O43" s="309"/>
      <c r="P43" s="388"/>
      <c r="Q43" s="477" t="s">
        <v>391</v>
      </c>
      <c r="R43" s="791">
        <v>0.51800000000000002</v>
      </c>
      <c r="S43" s="791">
        <v>0.56000000000000005</v>
      </c>
      <c r="T43" s="791">
        <v>0.48599999999999999</v>
      </c>
      <c r="U43" s="791">
        <v>0.125</v>
      </c>
      <c r="V43" s="791">
        <v>0.436</v>
      </c>
      <c r="W43" s="791">
        <v>0.56699999999999995</v>
      </c>
      <c r="X43" s="791">
        <v>0</v>
      </c>
      <c r="Y43" s="791">
        <v>0</v>
      </c>
      <c r="Z43" s="791">
        <v>7.9000000000000001E-2</v>
      </c>
      <c r="AA43" s="388"/>
    </row>
    <row r="44" spans="1:27" ht="15" customHeight="1">
      <c r="A44" s="447"/>
      <c r="B44" s="447"/>
      <c r="C44" s="447"/>
      <c r="D44" s="1498"/>
      <c r="E44" s="1498"/>
      <c r="F44" s="1498"/>
      <c r="G44" s="1498"/>
      <c r="H44" s="1498"/>
      <c r="I44" s="1498"/>
      <c r="J44" s="1498"/>
      <c r="K44" s="447"/>
      <c r="L44" s="447"/>
      <c r="M44" s="447"/>
      <c r="N44" s="447"/>
      <c r="O44" s="309"/>
      <c r="P44" s="388"/>
      <c r="Q44" s="388"/>
      <c r="R44" s="388"/>
      <c r="S44" s="388"/>
      <c r="T44" s="388"/>
      <c r="U44" s="388"/>
      <c r="V44" s="388"/>
      <c r="W44" s="388"/>
      <c r="X44" s="388"/>
      <c r="Y44" s="388"/>
      <c r="Z44" s="388"/>
      <c r="AA44" s="388"/>
    </row>
    <row r="45" spans="1:27" ht="15" customHeight="1">
      <c r="A45" s="447"/>
      <c r="B45" s="447"/>
      <c r="C45" s="447"/>
      <c r="D45" s="1498"/>
      <c r="E45" s="1498"/>
      <c r="F45" s="1498"/>
      <c r="G45" s="1498"/>
      <c r="H45" s="1498"/>
      <c r="I45" s="1498"/>
      <c r="J45" s="1498"/>
      <c r="K45" s="447"/>
      <c r="L45" s="447"/>
      <c r="M45" s="447"/>
      <c r="N45" s="447"/>
      <c r="O45" s="309"/>
      <c r="P45" s="388"/>
      <c r="Q45" s="1694" t="s">
        <v>539</v>
      </c>
      <c r="R45" s="1694"/>
      <c r="S45" s="1694"/>
      <c r="T45" s="1694"/>
      <c r="U45" s="1694"/>
      <c r="V45" s="1694"/>
      <c r="W45" s="1694"/>
      <c r="X45" s="1694"/>
      <c r="Y45" s="1694"/>
      <c r="Z45" s="1694"/>
      <c r="AA45" s="388"/>
    </row>
    <row r="46" spans="1:27" ht="15" customHeight="1">
      <c r="A46" s="447"/>
      <c r="B46" s="447"/>
      <c r="C46" s="447"/>
      <c r="D46" s="1498"/>
      <c r="E46" s="1498"/>
      <c r="F46" s="1498"/>
      <c r="G46" s="1498"/>
      <c r="H46" s="1498"/>
      <c r="I46" s="1498"/>
      <c r="J46" s="1498"/>
      <c r="K46" s="447"/>
      <c r="L46" s="447"/>
      <c r="M46" s="447"/>
      <c r="N46" s="447"/>
      <c r="O46" s="309"/>
      <c r="P46" s="388"/>
      <c r="Q46" s="1694"/>
      <c r="R46" s="1694"/>
      <c r="S46" s="1694"/>
      <c r="T46" s="1694"/>
      <c r="U46" s="1694"/>
      <c r="V46" s="1694"/>
      <c r="W46" s="1694"/>
      <c r="X46" s="1694"/>
      <c r="Y46" s="1694"/>
      <c r="Z46" s="1694"/>
      <c r="AA46" s="388"/>
    </row>
    <row r="47" spans="1:27" ht="15" customHeight="1">
      <c r="A47" s="447"/>
      <c r="B47" s="447"/>
      <c r="C47" s="447"/>
      <c r="D47" s="447"/>
      <c r="E47" s="447"/>
      <c r="F47" s="447"/>
      <c r="G47" s="447"/>
      <c r="H47" s="447"/>
      <c r="I47" s="447"/>
      <c r="J47" s="447"/>
      <c r="K47" s="447"/>
      <c r="L47" s="447"/>
      <c r="M47" s="447"/>
      <c r="N47" s="447"/>
      <c r="O47" s="309"/>
      <c r="P47" s="388"/>
      <c r="Q47" s="1694"/>
      <c r="R47" s="1694"/>
      <c r="S47" s="1694"/>
      <c r="T47" s="1694"/>
      <c r="U47" s="1694"/>
      <c r="V47" s="1694"/>
      <c r="W47" s="1694"/>
      <c r="X47" s="1694"/>
      <c r="Y47" s="1694"/>
      <c r="Z47" s="1694"/>
      <c r="AA47" s="388"/>
    </row>
    <row r="48" spans="1:27" ht="15" customHeight="1">
      <c r="A48" s="447"/>
      <c r="B48" s="447"/>
      <c r="C48" s="447"/>
      <c r="D48" s="447"/>
      <c r="E48" s="447"/>
      <c r="F48" s="447"/>
      <c r="G48" s="447"/>
      <c r="H48" s="447"/>
      <c r="I48" s="447"/>
      <c r="J48" s="447"/>
      <c r="K48" s="447"/>
      <c r="L48" s="447"/>
      <c r="M48" s="447"/>
      <c r="N48" s="447"/>
      <c r="O48" s="309"/>
      <c r="P48" s="388"/>
      <c r="Q48" s="388"/>
      <c r="R48" s="388"/>
      <c r="S48" s="388"/>
      <c r="T48" s="453"/>
      <c r="U48" s="388"/>
      <c r="V48" s="388"/>
      <c r="W48" s="388"/>
      <c r="X48" s="388"/>
      <c r="Y48" s="388"/>
      <c r="Z48" s="388"/>
      <c r="AA48" s="388"/>
    </row>
    <row r="49" spans="1:27" ht="15" customHeight="1">
      <c r="A49" s="447"/>
      <c r="B49" s="447"/>
      <c r="C49" s="447"/>
      <c r="D49" s="447"/>
      <c r="E49" s="447"/>
      <c r="F49" s="447"/>
      <c r="G49" s="447"/>
      <c r="H49" s="447"/>
      <c r="I49" s="447"/>
      <c r="J49" s="447"/>
      <c r="K49" s="447"/>
      <c r="L49" s="447"/>
      <c r="M49" s="447"/>
      <c r="N49" s="447"/>
      <c r="O49" s="309"/>
      <c r="P49" s="388"/>
      <c r="Q49" s="388"/>
      <c r="R49" s="388"/>
      <c r="S49" s="388"/>
      <c r="T49" s="388"/>
      <c r="U49" s="388"/>
      <c r="V49" s="388"/>
      <c r="W49" s="388"/>
      <c r="X49" s="388"/>
      <c r="Y49" s="388"/>
      <c r="Z49" s="388"/>
      <c r="AA49" s="388"/>
    </row>
    <row r="50" spans="1:27" ht="15" customHeight="1">
      <c r="A50" s="447"/>
      <c r="B50" s="447"/>
      <c r="C50" s="447"/>
      <c r="D50" s="447"/>
      <c r="E50" s="447"/>
      <c r="F50" s="447"/>
      <c r="G50" s="447"/>
      <c r="H50" s="447"/>
      <c r="I50" s="447"/>
      <c r="J50" s="447"/>
      <c r="K50" s="447"/>
      <c r="L50" s="447"/>
      <c r="M50" s="447"/>
      <c r="N50" s="447"/>
      <c r="O50" s="309"/>
      <c r="P50" s="388"/>
      <c r="Q50" s="388"/>
      <c r="R50" s="388"/>
      <c r="S50" s="388"/>
      <c r="T50" s="388"/>
      <c r="U50" s="388"/>
      <c r="V50" s="388"/>
      <c r="W50" s="388"/>
      <c r="X50" s="388"/>
      <c r="Y50" s="388"/>
      <c r="Z50" s="388"/>
      <c r="AA50" s="388"/>
    </row>
    <row r="51" spans="1:27" ht="15" customHeight="1">
      <c r="A51" s="447"/>
      <c r="B51" s="447"/>
      <c r="C51" s="447"/>
      <c r="D51" s="447"/>
      <c r="E51" s="447"/>
      <c r="F51" s="447"/>
      <c r="G51" s="447"/>
      <c r="H51" s="447"/>
      <c r="I51" s="447"/>
      <c r="J51" s="447"/>
      <c r="K51" s="447"/>
      <c r="L51" s="447"/>
      <c r="M51" s="447"/>
      <c r="N51" s="447"/>
      <c r="O51" s="309"/>
      <c r="P51" s="388"/>
      <c r="Q51" s="388"/>
      <c r="R51" s="388"/>
      <c r="S51" s="388"/>
      <c r="T51" s="388"/>
      <c r="U51" s="388"/>
      <c r="V51" s="388"/>
      <c r="W51" s="388"/>
      <c r="X51" s="388"/>
      <c r="Y51" s="388"/>
      <c r="Z51" s="388"/>
      <c r="AA51" s="388"/>
    </row>
    <row r="52" spans="1:27" ht="15" customHeight="1">
      <c r="A52" s="447"/>
      <c r="B52" s="447"/>
      <c r="C52" s="447"/>
      <c r="D52" s="447"/>
      <c r="E52" s="447"/>
      <c r="F52" s="447"/>
      <c r="G52" s="447"/>
      <c r="H52" s="447"/>
      <c r="I52" s="447"/>
      <c r="J52" s="447"/>
      <c r="K52" s="447"/>
      <c r="L52" s="447"/>
      <c r="M52" s="447"/>
      <c r="N52" s="447"/>
      <c r="O52" s="309"/>
      <c r="P52" s="388"/>
      <c r="Q52" s="388"/>
      <c r="R52" s="388"/>
      <c r="S52" s="388"/>
      <c r="T52" s="388"/>
      <c r="U52" s="388"/>
      <c r="V52" s="388"/>
      <c r="W52" s="388"/>
      <c r="X52" s="388"/>
      <c r="Y52" s="388"/>
      <c r="Z52" s="388"/>
      <c r="AA52" s="388"/>
    </row>
    <row r="53" spans="1:27" ht="15" customHeight="1">
      <c r="A53" s="447"/>
      <c r="B53" s="447"/>
      <c r="C53" s="447"/>
      <c r="D53" s="447"/>
      <c r="E53" s="447"/>
      <c r="F53" s="447"/>
      <c r="G53" s="447"/>
      <c r="H53" s="447"/>
      <c r="I53" s="447"/>
      <c r="J53" s="447"/>
      <c r="K53" s="447"/>
      <c r="L53" s="447"/>
      <c r="M53" s="447"/>
      <c r="N53" s="447"/>
      <c r="O53" s="309"/>
      <c r="P53" s="388"/>
      <c r="Q53" s="388"/>
      <c r="R53" s="388"/>
      <c r="S53" s="388"/>
      <c r="T53" s="388"/>
      <c r="U53" s="388"/>
      <c r="V53" s="388"/>
      <c r="W53" s="388"/>
      <c r="X53" s="388"/>
      <c r="Y53" s="388"/>
      <c r="Z53" s="388"/>
      <c r="AA53" s="388"/>
    </row>
    <row r="54" spans="1:27" ht="15" customHeight="1">
      <c r="A54" s="447"/>
      <c r="B54" s="447"/>
      <c r="C54" s="447"/>
      <c r="D54" s="447"/>
      <c r="E54" s="447"/>
      <c r="F54" s="447"/>
      <c r="G54" s="447"/>
      <c r="H54" s="447"/>
      <c r="I54" s="447"/>
      <c r="J54" s="447"/>
      <c r="K54" s="447"/>
      <c r="L54" s="447"/>
      <c r="M54" s="447"/>
      <c r="N54" s="447"/>
      <c r="O54" s="309"/>
      <c r="P54" s="388"/>
      <c r="Q54" s="388"/>
      <c r="R54" s="388"/>
      <c r="S54" s="388"/>
      <c r="T54" s="388"/>
      <c r="U54" s="388"/>
      <c r="V54" s="388"/>
      <c r="W54" s="388"/>
      <c r="X54" s="388"/>
      <c r="Y54" s="388"/>
      <c r="Z54" s="388"/>
      <c r="AA54" s="388"/>
    </row>
  </sheetData>
  <mergeCells count="34">
    <mergeCell ref="B1:N1"/>
    <mergeCell ref="A2:A36"/>
    <mergeCell ref="O2:O36"/>
    <mergeCell ref="P3:AA6"/>
    <mergeCell ref="P7:AA10"/>
    <mergeCell ref="P11:AA21"/>
    <mergeCell ref="P29:AA29"/>
    <mergeCell ref="P30:AA30"/>
    <mergeCell ref="P31:AA31"/>
    <mergeCell ref="B2:N2"/>
    <mergeCell ref="B36:N36"/>
    <mergeCell ref="C8:D8"/>
    <mergeCell ref="C9:D9"/>
    <mergeCell ref="X40:Z40"/>
    <mergeCell ref="Q2:Z2"/>
    <mergeCell ref="P35:AA35"/>
    <mergeCell ref="P28:AA28"/>
    <mergeCell ref="P34:AA34"/>
    <mergeCell ref="D40:J46"/>
    <mergeCell ref="D6:M6"/>
    <mergeCell ref="P22:AA27"/>
    <mergeCell ref="Q36:Z36"/>
    <mergeCell ref="Q45:Z47"/>
    <mergeCell ref="E7:M7"/>
    <mergeCell ref="E8:G8"/>
    <mergeCell ref="H8:J8"/>
    <mergeCell ref="K8:M8"/>
    <mergeCell ref="P32:AA32"/>
    <mergeCell ref="P33:AA33"/>
    <mergeCell ref="B37:N37"/>
    <mergeCell ref="P37:AA37"/>
    <mergeCell ref="R39:Z39"/>
    <mergeCell ref="R40:T40"/>
    <mergeCell ref="U40:W40"/>
  </mergeCells>
  <phoneticPr fontId="146" type="noConversion"/>
  <pageMargins left="1" right="1" top="1.25" bottom="1.25" header="0.3" footer="0.3"/>
  <pageSetup orientation="portrait" horizontalDpi="4294967292" verticalDpi="4294967292"/>
  <rowBreaks count="1" manualBreakCount="1">
    <brk id="35" max="16383" man="1"/>
  </rowBreaks>
  <colBreaks count="1" manualBreakCount="1">
    <brk id="27"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E56"/>
  <sheetViews>
    <sheetView workbookViewId="0">
      <selection activeCell="C4" sqref="C4:L18"/>
    </sheetView>
  </sheetViews>
  <sheetFormatPr defaultColWidth="8.83203125" defaultRowHeight="11.25"/>
  <cols>
    <col min="1" max="3" width="4.83203125" style="316" customWidth="1"/>
    <col min="4" max="4" width="27.83203125" style="387" customWidth="1"/>
    <col min="5" max="7" width="13.83203125" style="316" customWidth="1"/>
    <col min="8" max="11" width="5.83203125" style="316" customWidth="1"/>
    <col min="12" max="12" width="5.5" style="316" customWidth="1"/>
    <col min="13" max="15" width="4.83203125" style="316" customWidth="1"/>
    <col min="16" max="16" width="30.33203125" style="316" customWidth="1"/>
    <col min="17" max="19" width="12.83203125" style="316" customWidth="1"/>
    <col min="20" max="23" width="6.33203125" style="316" customWidth="1"/>
    <col min="24" max="24" width="5.6640625" style="316" customWidth="1"/>
    <col min="25" max="44" width="9.83203125" style="316" customWidth="1"/>
    <col min="45" max="16384" width="8.83203125" style="316"/>
  </cols>
  <sheetData>
    <row r="1" spans="1:24" s="373" customFormat="1" ht="18" customHeight="1">
      <c r="A1" s="310"/>
      <c r="B1" s="1642" t="s">
        <v>376</v>
      </c>
      <c r="C1" s="1642"/>
      <c r="D1" s="1642"/>
      <c r="E1" s="1642"/>
      <c r="F1" s="1642"/>
      <c r="G1" s="1642"/>
      <c r="H1" s="1642"/>
      <c r="I1" s="1642"/>
      <c r="J1" s="1642"/>
      <c r="K1" s="1642"/>
      <c r="L1" s="1642"/>
      <c r="M1" s="1642"/>
      <c r="N1" s="310"/>
      <c r="O1" s="309"/>
      <c r="P1" s="309"/>
      <c r="Q1" s="309"/>
      <c r="R1" s="309"/>
      <c r="S1" s="309"/>
      <c r="T1" s="309"/>
      <c r="U1" s="309"/>
      <c r="V1" s="309"/>
      <c r="W1" s="309"/>
      <c r="X1" s="309"/>
    </row>
    <row r="2" spans="1:24" ht="20.100000000000001" customHeight="1">
      <c r="A2" s="1643" t="s">
        <v>376</v>
      </c>
      <c r="B2" s="1644" t="s">
        <v>314</v>
      </c>
      <c r="C2" s="1644"/>
      <c r="D2" s="1644"/>
      <c r="E2" s="1644"/>
      <c r="F2" s="1644"/>
      <c r="G2" s="1644"/>
      <c r="H2" s="1644"/>
      <c r="I2" s="1644"/>
      <c r="J2" s="1644"/>
      <c r="K2" s="1644"/>
      <c r="L2" s="1644"/>
      <c r="M2" s="1644"/>
      <c r="N2" s="1643" t="s">
        <v>376</v>
      </c>
      <c r="O2" s="433" t="str">
        <f>P27</f>
        <v>GA</v>
      </c>
      <c r="P2" s="1645" t="s">
        <v>315</v>
      </c>
      <c r="Q2" s="1645"/>
      <c r="R2" s="1645"/>
      <c r="S2" s="1645"/>
      <c r="T2" s="1645"/>
      <c r="U2" s="1645"/>
      <c r="V2" s="1645"/>
      <c r="W2" s="1645"/>
      <c r="X2" s="434"/>
    </row>
    <row r="3" spans="1:24" ht="20.100000000000001" customHeight="1" thickBot="1">
      <c r="A3" s="1643"/>
      <c r="B3" s="308"/>
      <c r="C3" s="308"/>
      <c r="D3" s="308"/>
      <c r="E3" s="308"/>
      <c r="F3" s="308"/>
      <c r="G3" s="308"/>
      <c r="H3" s="308"/>
      <c r="I3" s="308"/>
      <c r="J3" s="308"/>
      <c r="K3" s="308"/>
      <c r="L3" s="308"/>
      <c r="M3" s="308"/>
      <c r="N3" s="1643"/>
      <c r="O3" s="1491" t="s">
        <v>73</v>
      </c>
      <c r="P3" s="1492"/>
      <c r="Q3" s="1492"/>
      <c r="R3" s="1492"/>
      <c r="S3" s="1492"/>
      <c r="T3" s="1492"/>
      <c r="U3" s="1492"/>
      <c r="V3" s="1492"/>
      <c r="W3" s="1492"/>
      <c r="X3" s="1493"/>
    </row>
    <row r="4" spans="1:24" ht="21.95" customHeight="1" thickBot="1">
      <c r="A4" s="1643"/>
      <c r="B4" s="308"/>
      <c r="C4" s="638" t="str">
        <f>'FIG12'!$P$27</f>
        <v>GA</v>
      </c>
      <c r="D4" s="1692" t="s">
        <v>1885</v>
      </c>
      <c r="E4" s="1692"/>
      <c r="F4" s="1692"/>
      <c r="G4" s="1692"/>
      <c r="H4" s="1692"/>
      <c r="I4" s="1692"/>
      <c r="J4" s="1692"/>
      <c r="K4" s="1692"/>
      <c r="L4" s="1693"/>
      <c r="M4" s="308"/>
      <c r="N4" s="1643"/>
      <c r="O4" s="1491"/>
      <c r="P4" s="1492"/>
      <c r="Q4" s="1492"/>
      <c r="R4" s="1492"/>
      <c r="S4" s="1492"/>
      <c r="T4" s="1492"/>
      <c r="U4" s="1492"/>
      <c r="V4" s="1492"/>
      <c r="W4" s="1492"/>
      <c r="X4" s="1493"/>
    </row>
    <row r="5" spans="1:24" ht="19.5" customHeight="1" thickTop="1" thickBot="1">
      <c r="A5" s="1643"/>
      <c r="B5" s="308"/>
      <c r="C5" s="1710" t="s">
        <v>448</v>
      </c>
      <c r="D5" s="1760"/>
      <c r="E5" s="1709" t="s">
        <v>329</v>
      </c>
      <c r="F5" s="1710"/>
      <c r="G5" s="1711"/>
      <c r="H5" s="1712" t="s">
        <v>328</v>
      </c>
      <c r="I5" s="1713"/>
      <c r="J5" s="1713"/>
      <c r="K5" s="1713"/>
      <c r="L5" s="707" t="s">
        <v>287</v>
      </c>
      <c r="M5" s="308"/>
      <c r="N5" s="1643"/>
      <c r="O5" s="1491"/>
      <c r="P5" s="1492"/>
      <c r="Q5" s="1492"/>
      <c r="R5" s="1492"/>
      <c r="S5" s="1492"/>
      <c r="T5" s="1492"/>
      <c r="U5" s="1492"/>
      <c r="V5" s="1492"/>
      <c r="W5" s="1492"/>
      <c r="X5" s="1493"/>
    </row>
    <row r="6" spans="1:24" ht="14.1" customHeight="1">
      <c r="A6" s="1643"/>
      <c r="B6" s="308"/>
      <c r="C6" s="1754" t="s">
        <v>420</v>
      </c>
      <c r="D6" s="1755"/>
      <c r="E6" s="703" t="s">
        <v>397</v>
      </c>
      <c r="F6" s="694" t="s">
        <v>400</v>
      </c>
      <c r="G6" s="704" t="s">
        <v>398</v>
      </c>
      <c r="H6" s="1714" t="s">
        <v>421</v>
      </c>
      <c r="I6" s="1717" t="s">
        <v>422</v>
      </c>
      <c r="J6" s="1717" t="s">
        <v>423</v>
      </c>
      <c r="K6" s="1720" t="s">
        <v>431</v>
      </c>
      <c r="L6" s="1735" t="str">
        <f>IF(X28=0,"",X28)</f>
        <v/>
      </c>
      <c r="M6" s="308"/>
      <c r="N6" s="1643"/>
      <c r="O6" s="1491"/>
      <c r="P6" s="1492"/>
      <c r="Q6" s="1492"/>
      <c r="R6" s="1492"/>
      <c r="S6" s="1492"/>
      <c r="T6" s="1492"/>
      <c r="U6" s="1492"/>
      <c r="V6" s="1492"/>
      <c r="W6" s="1492"/>
      <c r="X6" s="1493"/>
    </row>
    <row r="7" spans="1:24" ht="65.25" customHeight="1">
      <c r="A7" s="1643"/>
      <c r="B7" s="308"/>
      <c r="C7" s="1756"/>
      <c r="D7" s="1757"/>
      <c r="E7" s="705" t="str">
        <f>Q29</f>
        <v>F</v>
      </c>
      <c r="F7" s="370" t="str">
        <f>R29</f>
        <v>D</v>
      </c>
      <c r="G7" s="706" t="str">
        <f>S29</f>
        <v>F</v>
      </c>
      <c r="H7" s="1715"/>
      <c r="I7" s="1718"/>
      <c r="J7" s="1718"/>
      <c r="K7" s="1721"/>
      <c r="L7" s="1736"/>
      <c r="M7" s="308"/>
      <c r="N7" s="1643"/>
      <c r="O7" s="1494"/>
      <c r="P7" s="1495"/>
      <c r="Q7" s="1495"/>
      <c r="R7" s="1495"/>
      <c r="S7" s="1495"/>
      <c r="T7" s="1495"/>
      <c r="U7" s="1495"/>
      <c r="V7" s="1495"/>
      <c r="W7" s="1495"/>
      <c r="X7" s="1496"/>
    </row>
    <row r="8" spans="1:24" ht="14.1" customHeight="1" thickBot="1">
      <c r="A8" s="1643"/>
      <c r="B8" s="308"/>
      <c r="C8" s="1758"/>
      <c r="D8" s="1759"/>
      <c r="E8" s="1738" t="s">
        <v>330</v>
      </c>
      <c r="F8" s="1739"/>
      <c r="G8" s="1740"/>
      <c r="H8" s="1716"/>
      <c r="I8" s="1719"/>
      <c r="J8" s="1719"/>
      <c r="K8" s="1722"/>
      <c r="L8" s="1737"/>
      <c r="M8" s="308"/>
      <c r="N8" s="1643"/>
      <c r="O8" s="1488"/>
      <c r="P8" s="1489"/>
      <c r="Q8" s="1489"/>
      <c r="R8" s="1489"/>
      <c r="S8" s="1489"/>
      <c r="T8" s="1489"/>
      <c r="U8" s="1489"/>
      <c r="V8" s="1489"/>
      <c r="W8" s="1489"/>
      <c r="X8" s="1490"/>
    </row>
    <row r="9" spans="1:24" ht="20.100000000000001" customHeight="1" thickTop="1" thickBot="1">
      <c r="A9" s="1643"/>
      <c r="B9" s="308"/>
      <c r="C9" s="1732" t="s">
        <v>427</v>
      </c>
      <c r="D9" s="1733"/>
      <c r="E9" s="1733"/>
      <c r="F9" s="1733"/>
      <c r="G9" s="1733"/>
      <c r="H9" s="1733"/>
      <c r="I9" s="1733"/>
      <c r="J9" s="1733"/>
      <c r="K9" s="1733"/>
      <c r="L9" s="1734"/>
      <c r="M9" s="308"/>
      <c r="N9" s="1643"/>
      <c r="O9" s="1491"/>
      <c r="P9" s="1492"/>
      <c r="Q9" s="1492"/>
      <c r="R9" s="1492"/>
      <c r="S9" s="1492"/>
      <c r="T9" s="1492"/>
      <c r="U9" s="1492"/>
      <c r="V9" s="1492"/>
      <c r="W9" s="1492"/>
      <c r="X9" s="1493"/>
    </row>
    <row r="10" spans="1:24" ht="33.950000000000003" customHeight="1">
      <c r="A10" s="1643"/>
      <c r="B10" s="308"/>
      <c r="C10" s="1723" t="s">
        <v>424</v>
      </c>
      <c r="D10" s="1724"/>
      <c r="E10" s="1724"/>
      <c r="F10" s="1724"/>
      <c r="G10" s="1725"/>
      <c r="H10" s="695" t="str">
        <f t="shared" ref="H10:K12" si="0">T32</f>
        <v>Yes</v>
      </c>
      <c r="I10" s="695" t="str">
        <f t="shared" si="0"/>
        <v>Yes</v>
      </c>
      <c r="J10" s="695" t="str">
        <f t="shared" si="0"/>
        <v>Yes</v>
      </c>
      <c r="K10" s="696" t="str">
        <f t="shared" si="0"/>
        <v>Yes</v>
      </c>
      <c r="L10" s="700" t="str">
        <f>IF(X32=0,"",X32)</f>
        <v/>
      </c>
      <c r="M10" s="308"/>
      <c r="N10" s="1643"/>
      <c r="O10" s="1491"/>
      <c r="P10" s="1492"/>
      <c r="Q10" s="1492"/>
      <c r="R10" s="1492"/>
      <c r="S10" s="1492"/>
      <c r="T10" s="1492"/>
      <c r="U10" s="1492"/>
      <c r="V10" s="1492"/>
      <c r="W10" s="1492"/>
      <c r="X10" s="1493"/>
    </row>
    <row r="11" spans="1:24" ht="33.950000000000003" customHeight="1">
      <c r="A11" s="1643"/>
      <c r="B11" s="308"/>
      <c r="C11" s="1726" t="s">
        <v>425</v>
      </c>
      <c r="D11" s="1727"/>
      <c r="E11" s="1727"/>
      <c r="F11" s="1727"/>
      <c r="G11" s="1728"/>
      <c r="H11" s="371" t="str">
        <f t="shared" si="0"/>
        <v>No</v>
      </c>
      <c r="I11" s="371" t="str">
        <f t="shared" si="0"/>
        <v>Yes</v>
      </c>
      <c r="J11" s="371" t="str">
        <f t="shared" si="0"/>
        <v>No</v>
      </c>
      <c r="K11" s="697" t="str">
        <f t="shared" si="0"/>
        <v>No</v>
      </c>
      <c r="L11" s="701" t="str">
        <f>IF(X33=0,"",X33)</f>
        <v/>
      </c>
      <c r="M11" s="308"/>
      <c r="N11" s="1643"/>
      <c r="O11" s="1491"/>
      <c r="P11" s="1492"/>
      <c r="Q11" s="1492"/>
      <c r="R11" s="1492"/>
      <c r="S11" s="1492"/>
      <c r="T11" s="1492"/>
      <c r="U11" s="1492"/>
      <c r="V11" s="1492"/>
      <c r="W11" s="1492"/>
      <c r="X11" s="1493"/>
    </row>
    <row r="12" spans="1:24" ht="33.950000000000003" customHeight="1" thickBot="1">
      <c r="A12" s="1643"/>
      <c r="B12" s="308"/>
      <c r="C12" s="1729" t="s">
        <v>426</v>
      </c>
      <c r="D12" s="1730"/>
      <c r="E12" s="1730"/>
      <c r="F12" s="1730"/>
      <c r="G12" s="1731"/>
      <c r="H12" s="698" t="str">
        <f t="shared" si="0"/>
        <v>No</v>
      </c>
      <c r="I12" s="698" t="str">
        <f t="shared" si="0"/>
        <v>Yes</v>
      </c>
      <c r="J12" s="698" t="str">
        <f t="shared" si="0"/>
        <v>No</v>
      </c>
      <c r="K12" s="699" t="str">
        <f t="shared" si="0"/>
        <v>No</v>
      </c>
      <c r="L12" s="702" t="str">
        <f>IF(X34=0,"",X34)</f>
        <v/>
      </c>
      <c r="M12" s="308"/>
      <c r="N12" s="1643"/>
      <c r="O12" s="1494"/>
      <c r="P12" s="1495"/>
      <c r="Q12" s="1495"/>
      <c r="R12" s="1495"/>
      <c r="S12" s="1495"/>
      <c r="T12" s="1495"/>
      <c r="U12" s="1495"/>
      <c r="V12" s="1495"/>
      <c r="W12" s="1495"/>
      <c r="X12" s="1496"/>
    </row>
    <row r="13" spans="1:24" ht="20.100000000000001" customHeight="1" thickBot="1">
      <c r="A13" s="1643"/>
      <c r="B13" s="308"/>
      <c r="C13" s="1741" t="s">
        <v>428</v>
      </c>
      <c r="D13" s="1742"/>
      <c r="E13" s="1742"/>
      <c r="F13" s="1742"/>
      <c r="G13" s="1742"/>
      <c r="H13" s="1742"/>
      <c r="I13" s="1742"/>
      <c r="J13" s="1742"/>
      <c r="K13" s="1742"/>
      <c r="L13" s="1743"/>
      <c r="M13" s="308"/>
      <c r="N13" s="1643"/>
      <c r="O13" s="1488"/>
      <c r="P13" s="1489"/>
      <c r="Q13" s="1489"/>
      <c r="R13" s="1489"/>
      <c r="S13" s="1489"/>
      <c r="T13" s="1489"/>
      <c r="U13" s="1489"/>
      <c r="V13" s="1489"/>
      <c r="W13" s="1489"/>
      <c r="X13" s="1490"/>
    </row>
    <row r="14" spans="1:24" ht="33.950000000000003" customHeight="1">
      <c r="A14" s="1643"/>
      <c r="B14" s="308"/>
      <c r="C14" s="1723" t="s">
        <v>367</v>
      </c>
      <c r="D14" s="1724"/>
      <c r="E14" s="1724"/>
      <c r="F14" s="1724"/>
      <c r="G14" s="1724"/>
      <c r="H14" s="1724"/>
      <c r="I14" s="1724"/>
      <c r="J14" s="1725"/>
      <c r="K14" s="696" t="str">
        <f>W36</f>
        <v>Yes</v>
      </c>
      <c r="L14" s="700" t="str">
        <f>IF(X36=0,"",X36)</f>
        <v/>
      </c>
      <c r="M14" s="308"/>
      <c r="N14" s="1643"/>
      <c r="O14" s="1491"/>
      <c r="P14" s="1492"/>
      <c r="Q14" s="1492"/>
      <c r="R14" s="1492"/>
      <c r="S14" s="1492"/>
      <c r="T14" s="1492"/>
      <c r="U14" s="1492"/>
      <c r="V14" s="1492"/>
      <c r="W14" s="1492"/>
      <c r="X14" s="1493"/>
    </row>
    <row r="15" spans="1:24" ht="33.950000000000003" customHeight="1" thickBot="1">
      <c r="A15" s="1643"/>
      <c r="B15" s="308"/>
      <c r="C15" s="1729" t="s">
        <v>368</v>
      </c>
      <c r="D15" s="1730"/>
      <c r="E15" s="1730"/>
      <c r="F15" s="1730"/>
      <c r="G15" s="1730"/>
      <c r="H15" s="1730"/>
      <c r="I15" s="1730"/>
      <c r="J15" s="1731"/>
      <c r="K15" s="699" t="str">
        <f>W37</f>
        <v>No</v>
      </c>
      <c r="L15" s="702" t="str">
        <f>IF(X37=0,"",X37)</f>
        <v/>
      </c>
      <c r="M15" s="308"/>
      <c r="N15" s="1643"/>
      <c r="O15" s="1491"/>
      <c r="P15" s="1492"/>
      <c r="Q15" s="1492"/>
      <c r="R15" s="1492"/>
      <c r="S15" s="1492"/>
      <c r="T15" s="1492"/>
      <c r="U15" s="1492"/>
      <c r="V15" s="1492"/>
      <c r="W15" s="1492"/>
      <c r="X15" s="1493"/>
    </row>
    <row r="16" spans="1:24" ht="20.100000000000001" customHeight="1" thickBot="1">
      <c r="A16" s="1643"/>
      <c r="B16" s="308"/>
      <c r="C16" s="1741" t="s">
        <v>430</v>
      </c>
      <c r="D16" s="1742"/>
      <c r="E16" s="1742"/>
      <c r="F16" s="1742"/>
      <c r="G16" s="1742"/>
      <c r="H16" s="1742"/>
      <c r="I16" s="1742"/>
      <c r="J16" s="1742"/>
      <c r="K16" s="1742"/>
      <c r="L16" s="1743"/>
      <c r="M16" s="308"/>
      <c r="N16" s="1643"/>
      <c r="O16" s="1491"/>
      <c r="P16" s="1492"/>
      <c r="Q16" s="1492"/>
      <c r="R16" s="1492"/>
      <c r="S16" s="1492"/>
      <c r="T16" s="1492"/>
      <c r="U16" s="1492"/>
      <c r="V16" s="1492"/>
      <c r="W16" s="1492"/>
      <c r="X16" s="1493"/>
    </row>
    <row r="17" spans="1:31" ht="33.950000000000003" customHeight="1">
      <c r="A17" s="1643"/>
      <c r="B17" s="308"/>
      <c r="C17" s="1723" t="s">
        <v>237</v>
      </c>
      <c r="D17" s="1724"/>
      <c r="E17" s="1724"/>
      <c r="F17" s="1724"/>
      <c r="G17" s="1724"/>
      <c r="H17" s="1724"/>
      <c r="I17" s="1724"/>
      <c r="J17" s="1725"/>
      <c r="K17" s="696" t="str">
        <f>W39</f>
        <v>No</v>
      </c>
      <c r="L17" s="700">
        <f>IF(X39=0,"",X39)</f>
        <v>1</v>
      </c>
      <c r="M17" s="308"/>
      <c r="N17" s="1643"/>
      <c r="O17" s="1491"/>
      <c r="P17" s="1492"/>
      <c r="Q17" s="1492"/>
      <c r="R17" s="1492"/>
      <c r="S17" s="1492"/>
      <c r="T17" s="1492"/>
      <c r="U17" s="1492"/>
      <c r="V17" s="1492"/>
      <c r="W17" s="1492"/>
      <c r="X17" s="1493"/>
    </row>
    <row r="18" spans="1:31" ht="33.950000000000003" customHeight="1" thickBot="1">
      <c r="A18" s="1643"/>
      <c r="B18" s="308"/>
      <c r="C18" s="1729" t="s">
        <v>388</v>
      </c>
      <c r="D18" s="1730"/>
      <c r="E18" s="1730"/>
      <c r="F18" s="1730"/>
      <c r="G18" s="1730"/>
      <c r="H18" s="1730"/>
      <c r="I18" s="1730"/>
      <c r="J18" s="1731"/>
      <c r="K18" s="699" t="str">
        <f>W40</f>
        <v>Yes</v>
      </c>
      <c r="L18" s="702" t="str">
        <f>IF(X40=0,"",X40)</f>
        <v/>
      </c>
      <c r="M18" s="308"/>
      <c r="N18" s="1643"/>
      <c r="O18" s="1494"/>
      <c r="P18" s="1495"/>
      <c r="Q18" s="1495"/>
      <c r="R18" s="1495"/>
      <c r="S18" s="1495"/>
      <c r="T18" s="1495"/>
      <c r="U18" s="1495"/>
      <c r="V18" s="1495"/>
      <c r="W18" s="1495"/>
      <c r="X18" s="1496"/>
    </row>
    <row r="19" spans="1:31" ht="20.100000000000001" customHeight="1">
      <c r="A19" s="1643"/>
      <c r="B19" s="308"/>
      <c r="C19" s="368"/>
      <c r="D19" s="368"/>
      <c r="E19" s="368"/>
      <c r="F19" s="368"/>
      <c r="G19" s="368"/>
      <c r="H19" s="369"/>
      <c r="I19" s="369"/>
      <c r="J19" s="369"/>
      <c r="K19" s="369"/>
      <c r="L19" s="369"/>
      <c r="M19" s="308"/>
      <c r="N19" s="1643"/>
      <c r="O19" s="1537"/>
      <c r="P19" s="1538"/>
      <c r="Q19" s="1538"/>
      <c r="R19" s="1538"/>
      <c r="S19" s="1538"/>
      <c r="T19" s="1538"/>
      <c r="U19" s="1538"/>
      <c r="V19" s="1538"/>
      <c r="W19" s="1538"/>
      <c r="X19" s="1539"/>
    </row>
    <row r="20" spans="1:31" s="380" customFormat="1" ht="20.100000000000001" customHeight="1">
      <c r="A20" s="1643"/>
      <c r="B20" s="308"/>
      <c r="C20" s="368"/>
      <c r="D20" s="368"/>
      <c r="E20" s="368"/>
      <c r="F20" s="368"/>
      <c r="G20" s="368"/>
      <c r="H20" s="369"/>
      <c r="I20" s="369"/>
      <c r="J20" s="369"/>
      <c r="K20" s="369"/>
      <c r="L20" s="369"/>
      <c r="M20" s="308"/>
      <c r="N20" s="1643"/>
      <c r="O20" s="616"/>
      <c r="P20" s="617"/>
      <c r="Q20" s="617"/>
      <c r="R20" s="617"/>
      <c r="S20" s="617"/>
      <c r="T20" s="617"/>
      <c r="U20" s="617"/>
      <c r="V20" s="617"/>
      <c r="W20" s="617"/>
      <c r="X20" s="618"/>
    </row>
    <row r="21" spans="1:31" ht="20.100000000000001" customHeight="1">
      <c r="A21" s="1643"/>
      <c r="B21" s="308"/>
      <c r="C21" s="368"/>
      <c r="D21" s="368"/>
      <c r="E21" s="368"/>
      <c r="F21" s="368"/>
      <c r="G21" s="368"/>
      <c r="H21" s="369"/>
      <c r="I21" s="369"/>
      <c r="J21" s="369"/>
      <c r="K21" s="369"/>
      <c r="L21" s="369"/>
      <c r="M21" s="308"/>
      <c r="N21" s="1643"/>
      <c r="O21" s="1678"/>
      <c r="P21" s="1679"/>
      <c r="Q21" s="1679"/>
      <c r="R21" s="1679"/>
      <c r="S21" s="1679"/>
      <c r="T21" s="1679"/>
      <c r="U21" s="1679"/>
      <c r="V21" s="1679"/>
      <c r="W21" s="1679"/>
      <c r="X21" s="1680"/>
    </row>
    <row r="22" spans="1:31" ht="20.100000000000001" customHeight="1">
      <c r="A22" s="1643"/>
      <c r="B22" s="308"/>
      <c r="C22" s="308"/>
      <c r="D22" s="308"/>
      <c r="E22" s="308"/>
      <c r="F22" s="308"/>
      <c r="G22" s="308"/>
      <c r="H22" s="308"/>
      <c r="I22" s="308"/>
      <c r="J22" s="308"/>
      <c r="K22" s="308"/>
      <c r="L22" s="308"/>
      <c r="M22" s="308"/>
      <c r="N22" s="1643"/>
      <c r="O22" s="1678"/>
      <c r="P22" s="1679"/>
      <c r="Q22" s="1679"/>
      <c r="R22" s="1679"/>
      <c r="S22" s="1679"/>
      <c r="T22" s="1679"/>
      <c r="U22" s="1679"/>
      <c r="V22" s="1679"/>
      <c r="W22" s="1679"/>
      <c r="X22" s="1680"/>
    </row>
    <row r="23" spans="1:31" ht="20.100000000000001" customHeight="1">
      <c r="A23" s="1643"/>
      <c r="B23" s="1644" t="s">
        <v>314</v>
      </c>
      <c r="C23" s="1644"/>
      <c r="D23" s="1644"/>
      <c r="E23" s="1644"/>
      <c r="F23" s="1644"/>
      <c r="G23" s="1644"/>
      <c r="H23" s="1644"/>
      <c r="I23" s="1644"/>
      <c r="J23" s="1644"/>
      <c r="K23" s="1644"/>
      <c r="L23" s="1644"/>
      <c r="M23" s="1644"/>
      <c r="N23" s="1643"/>
      <c r="O23" s="396" t="str">
        <f>P27</f>
        <v>GA</v>
      </c>
      <c r="P23" s="1645" t="s">
        <v>316</v>
      </c>
      <c r="Q23" s="1645"/>
      <c r="R23" s="1645"/>
      <c r="S23" s="1645"/>
      <c r="T23" s="1645"/>
      <c r="U23" s="1645"/>
      <c r="V23" s="1645"/>
      <c r="W23" s="1645"/>
      <c r="X23" s="396"/>
    </row>
    <row r="24" spans="1:31" ht="18" customHeight="1">
      <c r="A24" s="310"/>
      <c r="B24" s="1642" t="s">
        <v>376</v>
      </c>
      <c r="C24" s="1642"/>
      <c r="D24" s="1642"/>
      <c r="E24" s="1642"/>
      <c r="F24" s="1642"/>
      <c r="G24" s="1642"/>
      <c r="H24" s="1642"/>
      <c r="I24" s="1642"/>
      <c r="J24" s="1642"/>
      <c r="K24" s="1642"/>
      <c r="L24" s="1642"/>
      <c r="M24" s="1642"/>
      <c r="N24" s="310"/>
      <c r="O24" s="1646" t="s">
        <v>449</v>
      </c>
      <c r="P24" s="1646"/>
      <c r="Q24" s="1646"/>
      <c r="R24" s="1646"/>
      <c r="S24" s="1646"/>
      <c r="T24" s="1646"/>
      <c r="U24" s="1646"/>
      <c r="V24" s="1646"/>
      <c r="W24" s="1646"/>
      <c r="X24" s="1646"/>
    </row>
    <row r="25" spans="1:31" ht="15.95" customHeight="1">
      <c r="A25" s="447"/>
      <c r="B25" s="447"/>
      <c r="C25" s="447"/>
      <c r="D25" s="447"/>
      <c r="E25" s="447"/>
      <c r="F25" s="447"/>
      <c r="G25" s="447"/>
      <c r="H25" s="447"/>
      <c r="I25" s="447"/>
      <c r="J25" s="447"/>
      <c r="K25" s="447"/>
      <c r="L25" s="447"/>
      <c r="M25" s="447"/>
      <c r="N25" s="309"/>
      <c r="O25" s="388"/>
      <c r="P25" s="388"/>
      <c r="Q25" s="388"/>
      <c r="R25" s="388"/>
      <c r="S25" s="388"/>
      <c r="T25" s="388"/>
      <c r="U25" s="388"/>
      <c r="V25" s="388"/>
      <c r="W25" s="388"/>
      <c r="X25" s="388"/>
    </row>
    <row r="26" spans="1:31" ht="15.95" customHeight="1">
      <c r="A26" s="447"/>
      <c r="B26" s="447"/>
      <c r="C26" s="447"/>
      <c r="D26" s="447"/>
      <c r="E26" s="447"/>
      <c r="F26" s="447"/>
      <c r="G26" s="447"/>
      <c r="H26" s="447"/>
      <c r="I26" s="447"/>
      <c r="J26" s="447"/>
      <c r="K26" s="447"/>
      <c r="L26" s="447"/>
      <c r="M26" s="447"/>
      <c r="N26" s="309"/>
      <c r="O26" s="388"/>
      <c r="P26" s="366" t="s">
        <v>366</v>
      </c>
      <c r="Q26" s="366"/>
      <c r="R26" s="366"/>
      <c r="S26" s="366"/>
      <c r="T26" s="367"/>
      <c r="U26" s="367"/>
      <c r="V26" s="367"/>
      <c r="W26" s="367"/>
      <c r="X26" s="367"/>
    </row>
    <row r="27" spans="1:31" ht="15.95" customHeight="1">
      <c r="A27" s="447"/>
      <c r="B27" s="447"/>
      <c r="C27" s="447"/>
      <c r="D27" s="447"/>
      <c r="E27" s="447"/>
      <c r="F27" s="447"/>
      <c r="G27" s="447"/>
      <c r="H27" s="447"/>
      <c r="I27" s="447"/>
      <c r="J27" s="447"/>
      <c r="K27" s="447"/>
      <c r="L27" s="447"/>
      <c r="M27" s="447"/>
      <c r="N27" s="309"/>
      <c r="O27" s="388"/>
      <c r="P27" s="496" t="str">
        <f>'FIG3'!W49</f>
        <v>GA</v>
      </c>
      <c r="Q27" s="480"/>
      <c r="R27" s="623" t="s">
        <v>329</v>
      </c>
      <c r="S27" s="479"/>
      <c r="T27" s="1761" t="s">
        <v>328</v>
      </c>
      <c r="U27" s="1761"/>
      <c r="V27" s="1761"/>
      <c r="W27" s="1761"/>
      <c r="X27" s="624" t="s">
        <v>287</v>
      </c>
    </row>
    <row r="28" spans="1:31" ht="14.1" customHeight="1">
      <c r="A28" s="447"/>
      <c r="B28" s="447"/>
      <c r="C28" s="447"/>
      <c r="D28" s="447"/>
      <c r="E28" s="708" t="s">
        <v>397</v>
      </c>
      <c r="F28" s="708" t="s">
        <v>400</v>
      </c>
      <c r="G28" s="708" t="s">
        <v>398</v>
      </c>
      <c r="H28" s="447"/>
      <c r="I28" s="447"/>
      <c r="J28" s="447"/>
      <c r="K28" s="447"/>
      <c r="L28" s="447"/>
      <c r="M28" s="447"/>
      <c r="N28" s="309"/>
      <c r="O28" s="388"/>
      <c r="P28" s="1762" t="s">
        <v>420</v>
      </c>
      <c r="Q28" s="622" t="s">
        <v>397</v>
      </c>
      <c r="R28" s="622" t="s">
        <v>400</v>
      </c>
      <c r="S28" s="622" t="s">
        <v>398</v>
      </c>
      <c r="T28" s="1763" t="s">
        <v>421</v>
      </c>
      <c r="U28" s="1763" t="s">
        <v>422</v>
      </c>
      <c r="V28" s="1763" t="s">
        <v>423</v>
      </c>
      <c r="W28" s="1763" t="s">
        <v>431</v>
      </c>
      <c r="X28" s="1751" t="s">
        <v>466</v>
      </c>
    </row>
    <row r="29" spans="1:31" ht="52.5" customHeight="1">
      <c r="A29" s="447"/>
      <c r="B29" s="447"/>
      <c r="C29" s="447"/>
      <c r="D29" s="447"/>
      <c r="E29" s="370" t="str">
        <f>Q29</f>
        <v>F</v>
      </c>
      <c r="F29" s="370" t="str">
        <f>R29</f>
        <v>D</v>
      </c>
      <c r="G29" s="370" t="str">
        <f>S29</f>
        <v>F</v>
      </c>
      <c r="H29" s="447"/>
      <c r="I29" s="447"/>
      <c r="J29" s="447"/>
      <c r="K29" s="447"/>
      <c r="L29" s="447"/>
      <c r="M29" s="447"/>
      <c r="N29" s="309"/>
      <c r="O29" s="388"/>
      <c r="P29" s="1745"/>
      <c r="Q29" s="805" t="s">
        <v>180</v>
      </c>
      <c r="R29" s="805" t="s">
        <v>138</v>
      </c>
      <c r="S29" s="805" t="s">
        <v>180</v>
      </c>
      <c r="T29" s="1763"/>
      <c r="U29" s="1763"/>
      <c r="V29" s="1763"/>
      <c r="W29" s="1763"/>
      <c r="X29" s="1752"/>
      <c r="Z29" s="485" t="s">
        <v>536</v>
      </c>
    </row>
    <row r="30" spans="1:31" ht="14.1" customHeight="1">
      <c r="A30" s="447"/>
      <c r="B30" s="447"/>
      <c r="C30" s="447"/>
      <c r="D30" s="447"/>
      <c r="E30" s="1747" t="s">
        <v>330</v>
      </c>
      <c r="F30" s="1748"/>
      <c r="G30" s="1749"/>
      <c r="H30" s="447"/>
      <c r="I30" s="447"/>
      <c r="J30" s="447"/>
      <c r="K30" s="447"/>
      <c r="L30" s="447"/>
      <c r="M30" s="447"/>
      <c r="N30" s="309"/>
      <c r="O30" s="388"/>
      <c r="P30" s="1745"/>
      <c r="Q30" s="1744" t="s">
        <v>1887</v>
      </c>
      <c r="R30" s="1744"/>
      <c r="S30" s="1744"/>
      <c r="T30" s="1763"/>
      <c r="U30" s="1763"/>
      <c r="V30" s="1763"/>
      <c r="W30" s="1763"/>
      <c r="X30" s="1752"/>
      <c r="Z30" s="142"/>
    </row>
    <row r="31" spans="1:31" ht="15">
      <c r="A31" s="447"/>
      <c r="B31" s="447"/>
      <c r="C31" s="447"/>
      <c r="D31" s="447"/>
      <c r="E31" s="447"/>
      <c r="F31" s="447"/>
      <c r="G31" s="447"/>
      <c r="H31" s="447"/>
      <c r="I31" s="447"/>
      <c r="J31" s="447"/>
      <c r="K31" s="447"/>
      <c r="L31" s="447"/>
      <c r="M31" s="447"/>
      <c r="N31" s="309"/>
      <c r="O31" s="388"/>
      <c r="P31" s="1750" t="s">
        <v>427</v>
      </c>
      <c r="Q31" s="1750"/>
      <c r="R31" s="1750"/>
      <c r="S31" s="1750"/>
      <c r="T31" s="1750"/>
      <c r="U31" s="1750"/>
      <c r="V31" s="1750"/>
      <c r="W31" s="1750"/>
      <c r="X31" s="1750"/>
      <c r="Z31" s="142"/>
    </row>
    <row r="32" spans="1:31" ht="30" customHeight="1">
      <c r="A32" s="447"/>
      <c r="B32" s="478"/>
      <c r="C32" s="478"/>
      <c r="D32" s="478"/>
      <c r="E32" s="1753" t="s">
        <v>447</v>
      </c>
      <c r="F32" s="1753"/>
      <c r="G32" s="1753"/>
      <c r="H32" s="478"/>
      <c r="I32" s="478"/>
      <c r="J32" s="478"/>
      <c r="K32" s="478"/>
      <c r="L32" s="478"/>
      <c r="M32" s="447"/>
      <c r="N32" s="309"/>
      <c r="O32" s="388"/>
      <c r="P32" s="1745" t="s">
        <v>424</v>
      </c>
      <c r="Q32" s="1745"/>
      <c r="R32" s="1745"/>
      <c r="S32" s="1745"/>
      <c r="T32" s="806" t="s">
        <v>1844</v>
      </c>
      <c r="U32" s="806" t="s">
        <v>1844</v>
      </c>
      <c r="V32" s="806" t="s">
        <v>1844</v>
      </c>
      <c r="W32" s="825" t="s">
        <v>1844</v>
      </c>
      <c r="X32" s="827" t="s">
        <v>466</v>
      </c>
      <c r="Z32" s="824" t="s">
        <v>537</v>
      </c>
      <c r="AA32" s="497"/>
      <c r="AB32" s="497"/>
      <c r="AC32" s="497"/>
      <c r="AD32" s="497"/>
      <c r="AE32" s="377"/>
    </row>
    <row r="33" spans="1:31" ht="30" customHeight="1">
      <c r="A33" s="447"/>
      <c r="B33" s="478"/>
      <c r="C33" s="478"/>
      <c r="D33" s="478"/>
      <c r="E33" s="478"/>
      <c r="F33" s="478"/>
      <c r="G33" s="478"/>
      <c r="H33" s="478"/>
      <c r="I33" s="478"/>
      <c r="J33" s="478"/>
      <c r="K33" s="478"/>
      <c r="L33" s="478"/>
      <c r="M33" s="447"/>
      <c r="N33" s="309"/>
      <c r="O33" s="388"/>
      <c r="P33" s="1745" t="s">
        <v>425</v>
      </c>
      <c r="Q33" s="1745"/>
      <c r="R33" s="1745"/>
      <c r="S33" s="1745"/>
      <c r="T33" s="806" t="s">
        <v>1845</v>
      </c>
      <c r="U33" s="806" t="s">
        <v>1844</v>
      </c>
      <c r="V33" s="806" t="s">
        <v>1845</v>
      </c>
      <c r="W33" s="825" t="s">
        <v>1845</v>
      </c>
      <c r="X33" s="827" t="s">
        <v>466</v>
      </c>
      <c r="Z33" s="824" t="s">
        <v>538</v>
      </c>
      <c r="AA33" s="497"/>
      <c r="AB33" s="497"/>
      <c r="AC33" s="497"/>
      <c r="AD33" s="497"/>
      <c r="AE33" s="377"/>
    </row>
    <row r="34" spans="1:31" ht="30" customHeight="1">
      <c r="A34" s="447"/>
      <c r="B34" s="447"/>
      <c r="C34" s="1498" t="s">
        <v>494</v>
      </c>
      <c r="D34" s="1498"/>
      <c r="E34" s="1498"/>
      <c r="F34" s="1498"/>
      <c r="G34" s="1498"/>
      <c r="H34" s="1498"/>
      <c r="I34" s="1498"/>
      <c r="J34" s="1498"/>
      <c r="K34" s="1498"/>
      <c r="L34" s="447"/>
      <c r="M34" s="447"/>
      <c r="N34" s="309"/>
      <c r="O34" s="388"/>
      <c r="P34" s="1745" t="s">
        <v>426</v>
      </c>
      <c r="Q34" s="1745"/>
      <c r="R34" s="1745"/>
      <c r="S34" s="1745"/>
      <c r="T34" s="807" t="s">
        <v>1845</v>
      </c>
      <c r="U34" s="807" t="s">
        <v>1844</v>
      </c>
      <c r="V34" s="807" t="s">
        <v>1845</v>
      </c>
      <c r="W34" s="826" t="s">
        <v>1845</v>
      </c>
      <c r="X34" s="827" t="s">
        <v>466</v>
      </c>
    </row>
    <row r="35" spans="1:31" ht="15">
      <c r="A35" s="447"/>
      <c r="B35" s="447"/>
      <c r="C35" s="1498"/>
      <c r="D35" s="1498"/>
      <c r="E35" s="1498"/>
      <c r="F35" s="1498"/>
      <c r="G35" s="1498"/>
      <c r="H35" s="1498"/>
      <c r="I35" s="1498"/>
      <c r="J35" s="1498"/>
      <c r="K35" s="1498"/>
      <c r="L35" s="447"/>
      <c r="M35" s="447"/>
      <c r="N35" s="309"/>
      <c r="O35" s="388"/>
      <c r="P35" s="1746" t="s">
        <v>428</v>
      </c>
      <c r="Q35" s="1746"/>
      <c r="R35" s="1746"/>
      <c r="S35" s="1746"/>
      <c r="T35" s="1746"/>
      <c r="U35" s="1746"/>
      <c r="V35" s="1746"/>
      <c r="W35" s="1746"/>
      <c r="X35" s="1746"/>
    </row>
    <row r="36" spans="1:31" ht="30" customHeight="1">
      <c r="A36" s="447"/>
      <c r="B36" s="447"/>
      <c r="C36" s="1498"/>
      <c r="D36" s="1498"/>
      <c r="E36" s="1498"/>
      <c r="F36" s="1498"/>
      <c r="G36" s="1498"/>
      <c r="H36" s="1498"/>
      <c r="I36" s="1498"/>
      <c r="J36" s="1498"/>
      <c r="K36" s="1498"/>
      <c r="L36" s="447"/>
      <c r="M36" s="447"/>
      <c r="N36" s="309"/>
      <c r="O36" s="388"/>
      <c r="P36" s="1745" t="s">
        <v>236</v>
      </c>
      <c r="Q36" s="1745"/>
      <c r="R36" s="1745"/>
      <c r="S36" s="1745"/>
      <c r="T36" s="1745"/>
      <c r="U36" s="1745"/>
      <c r="V36" s="1745"/>
      <c r="W36" s="826" t="s">
        <v>1844</v>
      </c>
      <c r="X36" s="827" t="s">
        <v>466</v>
      </c>
    </row>
    <row r="37" spans="1:31" ht="30" customHeight="1">
      <c r="A37" s="447"/>
      <c r="B37" s="447"/>
      <c r="C37" s="1498"/>
      <c r="D37" s="1498"/>
      <c r="E37" s="1498"/>
      <c r="F37" s="1498"/>
      <c r="G37" s="1498"/>
      <c r="H37" s="1498"/>
      <c r="I37" s="1498"/>
      <c r="J37" s="1498"/>
      <c r="K37" s="1498"/>
      <c r="L37" s="447"/>
      <c r="M37" s="447"/>
      <c r="N37" s="309"/>
      <c r="O37" s="388"/>
      <c r="P37" s="1745" t="s">
        <v>429</v>
      </c>
      <c r="Q37" s="1745"/>
      <c r="R37" s="1745"/>
      <c r="S37" s="1745"/>
      <c r="T37" s="1745"/>
      <c r="U37" s="1745"/>
      <c r="V37" s="1745"/>
      <c r="W37" s="826" t="s">
        <v>1845</v>
      </c>
      <c r="X37" s="827" t="s">
        <v>466</v>
      </c>
    </row>
    <row r="38" spans="1:31" ht="15">
      <c r="A38" s="447"/>
      <c r="B38" s="447"/>
      <c r="C38" s="1498"/>
      <c r="D38" s="1498"/>
      <c r="E38" s="1498"/>
      <c r="F38" s="1498"/>
      <c r="G38" s="1498"/>
      <c r="H38" s="1498"/>
      <c r="I38" s="1498"/>
      <c r="J38" s="1498"/>
      <c r="K38" s="1498"/>
      <c r="L38" s="447"/>
      <c r="M38" s="447"/>
      <c r="N38" s="309"/>
      <c r="O38" s="388"/>
      <c r="P38" s="1746" t="s">
        <v>430</v>
      </c>
      <c r="Q38" s="1746"/>
      <c r="R38" s="1746"/>
      <c r="S38" s="1746"/>
      <c r="T38" s="1746"/>
      <c r="U38" s="1746"/>
      <c r="V38" s="1746"/>
      <c r="W38" s="1746"/>
      <c r="X38" s="1746"/>
    </row>
    <row r="39" spans="1:31" ht="30" customHeight="1">
      <c r="A39" s="447"/>
      <c r="B39" s="447"/>
      <c r="C39" s="447"/>
      <c r="D39" s="447"/>
      <c r="E39" s="447"/>
      <c r="F39" s="447"/>
      <c r="G39" s="447"/>
      <c r="H39" s="447"/>
      <c r="I39" s="447"/>
      <c r="J39" s="447"/>
      <c r="K39" s="447"/>
      <c r="L39" s="447"/>
      <c r="M39" s="447"/>
      <c r="N39" s="309"/>
      <c r="O39" s="388"/>
      <c r="P39" s="1745" t="s">
        <v>237</v>
      </c>
      <c r="Q39" s="1745"/>
      <c r="R39" s="1745"/>
      <c r="S39" s="1745"/>
      <c r="T39" s="1745"/>
      <c r="U39" s="1745"/>
      <c r="V39" s="1745"/>
      <c r="W39" s="826" t="s">
        <v>1845</v>
      </c>
      <c r="X39" s="827">
        <v>1</v>
      </c>
    </row>
    <row r="40" spans="1:31" ht="30" customHeight="1">
      <c r="A40" s="447"/>
      <c r="B40" s="447"/>
      <c r="C40" s="447"/>
      <c r="D40" s="447"/>
      <c r="E40" s="447"/>
      <c r="F40" s="447"/>
      <c r="G40" s="447"/>
      <c r="H40" s="447"/>
      <c r="I40" s="447"/>
      <c r="J40" s="447"/>
      <c r="K40" s="447"/>
      <c r="L40" s="447"/>
      <c r="M40" s="447"/>
      <c r="N40" s="309"/>
      <c r="O40" s="388"/>
      <c r="P40" s="1745" t="s">
        <v>388</v>
      </c>
      <c r="Q40" s="1745"/>
      <c r="R40" s="1745"/>
      <c r="S40" s="1745"/>
      <c r="T40" s="1745"/>
      <c r="U40" s="1745"/>
      <c r="V40" s="1745"/>
      <c r="W40" s="826" t="s">
        <v>1844</v>
      </c>
      <c r="X40" s="827" t="s">
        <v>466</v>
      </c>
    </row>
    <row r="41" spans="1:31" ht="15.95" customHeight="1">
      <c r="A41" s="447"/>
      <c r="B41" s="447"/>
      <c r="C41" s="447"/>
      <c r="D41" s="447"/>
      <c r="E41" s="447"/>
      <c r="F41" s="447"/>
      <c r="G41" s="447"/>
      <c r="H41" s="447"/>
      <c r="I41" s="447"/>
      <c r="J41" s="447"/>
      <c r="K41" s="447"/>
      <c r="L41" s="447"/>
      <c r="M41" s="447"/>
      <c r="N41" s="309"/>
      <c r="O41" s="388"/>
      <c r="P41" s="388"/>
      <c r="Q41" s="388"/>
      <c r="R41" s="388"/>
      <c r="S41" s="388"/>
      <c r="T41" s="388"/>
      <c r="U41" s="388"/>
      <c r="V41" s="388"/>
      <c r="W41" s="388"/>
      <c r="X41" s="388"/>
    </row>
    <row r="42" spans="1:31" ht="15.95" customHeight="1">
      <c r="A42" s="447"/>
      <c r="B42" s="447"/>
      <c r="C42" s="447"/>
      <c r="D42" s="447"/>
      <c r="E42" s="447"/>
      <c r="F42" s="447"/>
      <c r="G42" s="447"/>
      <c r="H42" s="447"/>
      <c r="I42" s="447"/>
      <c r="J42" s="447"/>
      <c r="K42" s="447"/>
      <c r="L42" s="447"/>
      <c r="M42" s="447"/>
      <c r="N42" s="309"/>
      <c r="O42" s="389"/>
      <c r="P42" s="1649" t="s">
        <v>493</v>
      </c>
      <c r="Q42" s="1649"/>
      <c r="R42" s="1649"/>
      <c r="S42" s="1649"/>
      <c r="T42" s="1649"/>
      <c r="U42" s="1649"/>
      <c r="V42" s="1649"/>
      <c r="W42" s="1649"/>
      <c r="X42" s="1649"/>
    </row>
    <row r="43" spans="1:31" ht="15.95" customHeight="1">
      <c r="A43" s="447"/>
      <c r="B43" s="447"/>
      <c r="C43" s="447"/>
      <c r="D43" s="447"/>
      <c r="E43" s="447"/>
      <c r="F43" s="447"/>
      <c r="G43" s="447"/>
      <c r="H43" s="447"/>
      <c r="I43" s="447"/>
      <c r="J43" s="447"/>
      <c r="K43" s="447"/>
      <c r="L43" s="447"/>
      <c r="M43" s="447"/>
      <c r="N43" s="309"/>
      <c r="O43" s="389"/>
      <c r="P43" s="1649"/>
      <c r="Q43" s="1649"/>
      <c r="R43" s="1649"/>
      <c r="S43" s="1649"/>
      <c r="T43" s="1649"/>
      <c r="U43" s="1649"/>
      <c r="V43" s="1649"/>
      <c r="W43" s="1649"/>
      <c r="X43" s="1649"/>
    </row>
    <row r="44" spans="1:31" ht="15.95" customHeight="1">
      <c r="A44" s="447"/>
      <c r="B44" s="478"/>
      <c r="C44" s="478"/>
      <c r="D44" s="478"/>
      <c r="E44" s="478"/>
      <c r="F44" s="478"/>
      <c r="G44" s="478"/>
      <c r="H44" s="478"/>
      <c r="I44" s="478"/>
      <c r="J44" s="478"/>
      <c r="K44" s="478"/>
      <c r="L44" s="478"/>
      <c r="M44" s="447"/>
      <c r="N44" s="309"/>
      <c r="O44" s="389"/>
      <c r="P44" s="1649"/>
      <c r="Q44" s="1649"/>
      <c r="R44" s="1649"/>
      <c r="S44" s="1649"/>
      <c r="T44" s="1649"/>
      <c r="U44" s="1649"/>
      <c r="V44" s="1649"/>
      <c r="W44" s="1649"/>
      <c r="X44" s="1649"/>
    </row>
    <row r="45" spans="1:31" ht="15.95" customHeight="1">
      <c r="A45" s="447"/>
      <c r="B45" s="478"/>
      <c r="C45" s="478"/>
      <c r="D45" s="478"/>
      <c r="E45" s="478"/>
      <c r="F45" s="478"/>
      <c r="G45" s="478"/>
      <c r="H45" s="478"/>
      <c r="I45" s="478"/>
      <c r="J45" s="478"/>
      <c r="K45" s="478"/>
      <c r="L45" s="478"/>
      <c r="M45" s="447"/>
      <c r="N45" s="309"/>
      <c r="O45" s="389"/>
      <c r="P45" s="1649"/>
      <c r="Q45" s="1649"/>
      <c r="R45" s="1649"/>
      <c r="S45" s="1649"/>
      <c r="T45" s="1649"/>
      <c r="U45" s="1649"/>
      <c r="V45" s="1649"/>
      <c r="W45" s="1649"/>
      <c r="X45" s="1649"/>
    </row>
    <row r="46" spans="1:31" ht="15.95" customHeight="1">
      <c r="A46" s="447"/>
      <c r="B46" s="447"/>
      <c r="C46" s="447"/>
      <c r="D46" s="447"/>
      <c r="E46" s="447"/>
      <c r="F46" s="447"/>
      <c r="G46" s="447"/>
      <c r="H46" s="447"/>
      <c r="I46" s="447"/>
      <c r="J46" s="447"/>
      <c r="K46" s="447"/>
      <c r="L46" s="447"/>
      <c r="M46" s="447"/>
      <c r="N46" s="309"/>
      <c r="O46" s="389"/>
      <c r="P46" s="1649"/>
      <c r="Q46" s="1649"/>
      <c r="R46" s="1649"/>
      <c r="S46" s="1649"/>
      <c r="T46" s="1649"/>
      <c r="U46" s="1649"/>
      <c r="V46" s="1649"/>
      <c r="W46" s="1649"/>
      <c r="X46" s="1649"/>
    </row>
    <row r="47" spans="1:31" ht="15.95" customHeight="1">
      <c r="A47" s="447"/>
      <c r="B47" s="447"/>
      <c r="C47" s="447"/>
      <c r="D47" s="447"/>
      <c r="E47" s="447"/>
      <c r="F47" s="447"/>
      <c r="G47" s="447"/>
      <c r="H47" s="447"/>
      <c r="I47" s="447"/>
      <c r="J47" s="447"/>
      <c r="K47" s="447"/>
      <c r="L47" s="447"/>
      <c r="M47" s="447"/>
      <c r="N47" s="309"/>
      <c r="O47" s="389"/>
      <c r="P47" s="389"/>
      <c r="Q47" s="389"/>
      <c r="R47" s="389"/>
      <c r="S47" s="389"/>
      <c r="T47" s="389"/>
      <c r="U47" s="389"/>
      <c r="V47" s="389"/>
      <c r="W47" s="389"/>
      <c r="X47" s="389"/>
    </row>
    <row r="48" spans="1:31" ht="15.95" customHeight="1"/>
    <row r="49" spans="3:13" ht="15.95" customHeight="1"/>
    <row r="50" spans="3:13" ht="11.25" customHeight="1">
      <c r="C50" s="481"/>
      <c r="D50" s="481"/>
      <c r="E50" s="481"/>
      <c r="F50" s="481"/>
      <c r="G50" s="481"/>
      <c r="H50" s="481"/>
      <c r="I50" s="481"/>
      <c r="J50" s="481"/>
      <c r="K50" s="481"/>
      <c r="L50" s="481"/>
      <c r="M50" s="481"/>
    </row>
    <row r="51" spans="3:13" ht="11.25" customHeight="1">
      <c r="C51" s="481"/>
      <c r="D51" s="481"/>
      <c r="E51" s="481"/>
      <c r="F51" s="481"/>
      <c r="G51" s="481"/>
      <c r="H51" s="481"/>
      <c r="I51" s="481"/>
      <c r="J51" s="481"/>
      <c r="K51" s="481"/>
      <c r="L51" s="481"/>
      <c r="M51" s="481"/>
    </row>
    <row r="52" spans="3:13" ht="11.25" customHeight="1">
      <c r="C52" s="481"/>
      <c r="D52" s="481"/>
      <c r="E52" s="481"/>
      <c r="F52" s="481"/>
      <c r="G52" s="481"/>
      <c r="H52" s="481"/>
      <c r="I52" s="481"/>
      <c r="J52" s="481"/>
      <c r="K52" s="481"/>
      <c r="L52" s="481"/>
      <c r="M52" s="481"/>
    </row>
    <row r="53" spans="3:13" ht="11.25" customHeight="1">
      <c r="C53" s="481"/>
      <c r="D53" s="481"/>
      <c r="E53" s="481"/>
      <c r="F53" s="481"/>
      <c r="G53" s="481"/>
      <c r="H53" s="481"/>
      <c r="I53" s="481"/>
      <c r="J53" s="481"/>
      <c r="K53" s="481"/>
      <c r="L53" s="481"/>
      <c r="M53" s="481"/>
    </row>
    <row r="54" spans="3:13" ht="11.25" customHeight="1">
      <c r="C54" s="481"/>
      <c r="D54" s="481"/>
      <c r="E54" s="481"/>
      <c r="F54" s="481"/>
      <c r="G54" s="481"/>
      <c r="H54" s="481"/>
      <c r="I54" s="481"/>
      <c r="J54" s="481"/>
      <c r="K54" s="481"/>
      <c r="L54" s="481"/>
      <c r="M54" s="481"/>
    </row>
    <row r="55" spans="3:13" ht="11.25" customHeight="1">
      <c r="C55" s="481"/>
      <c r="D55" s="481"/>
      <c r="E55" s="481"/>
      <c r="F55" s="481"/>
      <c r="G55" s="481"/>
      <c r="H55" s="481"/>
      <c r="I55" s="481"/>
      <c r="J55" s="481"/>
      <c r="K55" s="481"/>
      <c r="L55" s="481"/>
      <c r="M55" s="481"/>
    </row>
    <row r="56" spans="3:13" ht="11.25" customHeight="1">
      <c r="C56" s="481"/>
      <c r="D56" s="481"/>
      <c r="E56" s="481"/>
      <c r="F56" s="481"/>
      <c r="G56" s="481"/>
      <c r="H56" s="481"/>
      <c r="I56" s="481"/>
      <c r="J56" s="481"/>
      <c r="K56" s="481"/>
      <c r="L56" s="481"/>
      <c r="M56" s="481"/>
    </row>
  </sheetData>
  <mergeCells count="58">
    <mergeCell ref="P2:W2"/>
    <mergeCell ref="P23:W23"/>
    <mergeCell ref="P42:X46"/>
    <mergeCell ref="C34:K38"/>
    <mergeCell ref="O21:X21"/>
    <mergeCell ref="O22:X22"/>
    <mergeCell ref="E32:G32"/>
    <mergeCell ref="C6:D8"/>
    <mergeCell ref="D4:L4"/>
    <mergeCell ref="C5:D5"/>
    <mergeCell ref="T27:W27"/>
    <mergeCell ref="P28:P30"/>
    <mergeCell ref="T28:T30"/>
    <mergeCell ref="U28:U30"/>
    <mergeCell ref="V28:V30"/>
    <mergeCell ref="W28:W30"/>
    <mergeCell ref="B1:M1"/>
    <mergeCell ref="P37:V37"/>
    <mergeCell ref="P38:X38"/>
    <mergeCell ref="P39:V39"/>
    <mergeCell ref="P40:V40"/>
    <mergeCell ref="E30:G30"/>
    <mergeCell ref="P31:X31"/>
    <mergeCell ref="P32:S32"/>
    <mergeCell ref="P33:S33"/>
    <mergeCell ref="P34:S34"/>
    <mergeCell ref="P35:X35"/>
    <mergeCell ref="P36:V36"/>
    <mergeCell ref="B24:M24"/>
    <mergeCell ref="O24:X24"/>
    <mergeCell ref="B23:M23"/>
    <mergeCell ref="X28:X30"/>
    <mergeCell ref="C9:L9"/>
    <mergeCell ref="L6:L8"/>
    <mergeCell ref="E8:G8"/>
    <mergeCell ref="C13:L13"/>
    <mergeCell ref="Q30:S30"/>
    <mergeCell ref="C14:J14"/>
    <mergeCell ref="C15:J15"/>
    <mergeCell ref="C16:L16"/>
    <mergeCell ref="C17:J17"/>
    <mergeCell ref="C18:J18"/>
    <mergeCell ref="E5:G5"/>
    <mergeCell ref="A2:A23"/>
    <mergeCell ref="B2:M2"/>
    <mergeCell ref="N2:N23"/>
    <mergeCell ref="O3:X7"/>
    <mergeCell ref="O8:X12"/>
    <mergeCell ref="O13:X18"/>
    <mergeCell ref="O19:X19"/>
    <mergeCell ref="H5:K5"/>
    <mergeCell ref="H6:H8"/>
    <mergeCell ref="I6:I8"/>
    <mergeCell ref="J6:J8"/>
    <mergeCell ref="K6:K8"/>
    <mergeCell ref="C10:G10"/>
    <mergeCell ref="C11:G11"/>
    <mergeCell ref="C12:G12"/>
  </mergeCells>
  <phoneticPr fontId="146" type="noConversion"/>
  <conditionalFormatting sqref="H10:K12 K14:K15 K17:K18">
    <cfRule type="cellIs" dxfId="26" priority="1" operator="equal">
      <formula>"No"</formula>
    </cfRule>
  </conditionalFormatting>
  <pageMargins left="1" right="1" top="1" bottom="1" header="0.3" footer="0.3"/>
  <pageSetup orientation="portrait" horizontalDpi="4294967292" verticalDpi="4294967292"/>
  <rowBreaks count="1" manualBreakCount="1">
    <brk id="22" max="16383" man="1"/>
  </rowBreaks>
  <colBreaks count="1" manualBreakCount="1">
    <brk id="24" max="1048575"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J209"/>
  <sheetViews>
    <sheetView workbookViewId="0"/>
  </sheetViews>
  <sheetFormatPr defaultColWidth="8.83203125" defaultRowHeight="12"/>
  <cols>
    <col min="1" max="1" width="4.83203125" style="3" customWidth="1"/>
    <col min="2" max="2" width="5.5" style="3" customWidth="1"/>
    <col min="3" max="3" width="4.83203125" style="3" customWidth="1"/>
    <col min="4" max="4" width="12.83203125" style="3" customWidth="1"/>
    <col min="5" max="8" width="11.33203125" style="3" customWidth="1"/>
    <col min="9"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515" t="s">
        <v>376</v>
      </c>
      <c r="C1" s="1515"/>
      <c r="D1" s="1515"/>
      <c r="E1" s="1515"/>
      <c r="F1" s="1515"/>
      <c r="G1" s="1515"/>
      <c r="H1" s="1515"/>
      <c r="I1" s="1515"/>
      <c r="J1" s="1515"/>
      <c r="K1" s="1515"/>
      <c r="L1" s="1515"/>
      <c r="M1" s="1515"/>
      <c r="N1" s="1515"/>
      <c r="O1" s="1515"/>
      <c r="P1" s="1515"/>
      <c r="Q1" s="1515"/>
      <c r="R1" s="1515"/>
      <c r="S1" s="1515"/>
      <c r="T1" s="402"/>
      <c r="U1" s="403"/>
      <c r="V1" s="404"/>
      <c r="W1" s="404"/>
      <c r="X1" s="404"/>
      <c r="Y1" s="404"/>
      <c r="Z1" s="404"/>
      <c r="AA1" s="404"/>
      <c r="AB1" s="405"/>
      <c r="AC1" s="272"/>
      <c r="AD1" s="272"/>
      <c r="AE1" s="272"/>
      <c r="AF1" s="265"/>
      <c r="AG1" s="265"/>
      <c r="AH1" s="265"/>
    </row>
    <row r="2" spans="1:34" ht="20.100000000000001" customHeight="1">
      <c r="A2" s="1585" t="s">
        <v>376</v>
      </c>
      <c r="B2" s="1530" t="s">
        <v>609</v>
      </c>
      <c r="C2" s="1530"/>
      <c r="D2" s="1530"/>
      <c r="E2" s="1530"/>
      <c r="F2" s="1530"/>
      <c r="G2" s="1530"/>
      <c r="H2" s="1530"/>
      <c r="I2" s="1530"/>
      <c r="J2" s="1530"/>
      <c r="K2" s="1530"/>
      <c r="L2" s="1530"/>
      <c r="M2" s="1530"/>
      <c r="N2" s="1530"/>
      <c r="O2" s="1530"/>
      <c r="P2" s="1530"/>
      <c r="Q2" s="1530"/>
      <c r="R2" s="1530"/>
      <c r="S2" s="1530"/>
      <c r="T2" s="1585" t="s">
        <v>376</v>
      </c>
      <c r="U2" s="400" t="str">
        <f>W48</f>
        <v>GA</v>
      </c>
      <c r="V2" s="1531" t="s">
        <v>219</v>
      </c>
      <c r="W2" s="1531"/>
      <c r="X2" s="1531"/>
      <c r="Y2" s="1531"/>
      <c r="Z2" s="1531"/>
      <c r="AA2" s="1531"/>
      <c r="AB2" s="401"/>
      <c r="AC2" s="272"/>
      <c r="AD2" s="272"/>
      <c r="AE2" s="272"/>
      <c r="AF2" s="265"/>
      <c r="AG2" s="265"/>
      <c r="AH2" s="265"/>
    </row>
    <row r="3" spans="1:34" ht="21" customHeight="1">
      <c r="A3" s="1585"/>
      <c r="B3" s="406"/>
      <c r="C3" s="407"/>
      <c r="D3" s="407"/>
      <c r="E3" s="407"/>
      <c r="F3" s="407"/>
      <c r="G3" s="407"/>
      <c r="H3" s="407"/>
      <c r="I3" s="1589" t="s">
        <v>152</v>
      </c>
      <c r="J3" s="1589"/>
      <c r="K3" s="1589" t="s">
        <v>153</v>
      </c>
      <c r="L3" s="1589"/>
      <c r="M3" s="1589" t="s">
        <v>154</v>
      </c>
      <c r="N3" s="1589"/>
      <c r="O3" s="1589" t="s">
        <v>155</v>
      </c>
      <c r="P3" s="1589"/>
      <c r="Q3" s="1589" t="s">
        <v>156</v>
      </c>
      <c r="R3" s="1589"/>
      <c r="S3" s="407"/>
      <c r="T3" s="1585"/>
      <c r="U3" s="1499" t="s">
        <v>210</v>
      </c>
      <c r="V3" s="1500"/>
      <c r="W3" s="1500"/>
      <c r="X3" s="1500"/>
      <c r="Y3" s="1500"/>
      <c r="Z3" s="1500"/>
      <c r="AA3" s="1500"/>
      <c r="AB3" s="1501"/>
      <c r="AC3" s="722"/>
      <c r="AD3" s="722"/>
      <c r="AE3" s="722"/>
      <c r="AF3" s="265"/>
      <c r="AG3" s="265"/>
      <c r="AH3" s="265"/>
    </row>
    <row r="4" spans="1:34" ht="21.95" customHeight="1">
      <c r="A4" s="1585"/>
      <c r="B4" s="406"/>
      <c r="C4" s="581" t="str">
        <f>W48</f>
        <v>GA</v>
      </c>
      <c r="D4" s="1781" t="s">
        <v>612</v>
      </c>
      <c r="E4" s="1782"/>
      <c r="F4" s="1782"/>
      <c r="G4" s="1782"/>
      <c r="H4" s="1782"/>
      <c r="I4" s="538"/>
      <c r="J4" s="538"/>
      <c r="K4" s="538"/>
      <c r="L4" s="538"/>
      <c r="M4" s="538"/>
      <c r="N4" s="538"/>
      <c r="O4" s="538"/>
      <c r="P4" s="538"/>
      <c r="Q4" s="538"/>
      <c r="R4" s="538"/>
      <c r="S4" s="407"/>
      <c r="T4" s="1585"/>
      <c r="U4" s="1502"/>
      <c r="V4" s="1503"/>
      <c r="W4" s="1503"/>
      <c r="X4" s="1503"/>
      <c r="Y4" s="1503"/>
      <c r="Z4" s="1503"/>
      <c r="AA4" s="1503"/>
      <c r="AB4" s="1504"/>
      <c r="AC4" s="722"/>
      <c r="AD4" s="722"/>
      <c r="AE4" s="722"/>
      <c r="AF4" s="265"/>
      <c r="AG4" s="265"/>
      <c r="AH4" s="265"/>
    </row>
    <row r="5" spans="1:34" ht="15" customHeight="1">
      <c r="A5" s="1585"/>
      <c r="B5" s="406"/>
      <c r="C5" s="1783" t="str">
        <f>W49</f>
        <v>FY2010-11</v>
      </c>
      <c r="D5" s="1615"/>
      <c r="E5" s="1567"/>
      <c r="F5" s="1568"/>
      <c r="G5" s="1567" t="s">
        <v>166</v>
      </c>
      <c r="H5" s="1568"/>
      <c r="I5" s="1564" t="str">
        <f>W51</f>
        <v>Fulton County</v>
      </c>
      <c r="J5" s="1546"/>
      <c r="K5" s="1545" t="str">
        <f>W52</f>
        <v>Atlanta Public</v>
      </c>
      <c r="L5" s="1546"/>
      <c r="M5" s="1545" t="str">
        <f>W53</f>
        <v>FA3L1</v>
      </c>
      <c r="N5" s="1546"/>
      <c r="O5" s="1545" t="str">
        <f>W54</f>
        <v>FA4L1</v>
      </c>
      <c r="P5" s="1546"/>
      <c r="Q5" s="1545" t="str">
        <f>W55</f>
        <v>FA5L1</v>
      </c>
      <c r="R5" s="1546"/>
      <c r="S5" s="407"/>
      <c r="T5" s="1585"/>
      <c r="U5" s="1502"/>
      <c r="V5" s="1503"/>
      <c r="W5" s="1503"/>
      <c r="X5" s="1503"/>
      <c r="Y5" s="1503"/>
      <c r="Z5" s="1503"/>
      <c r="AA5" s="1503"/>
      <c r="AB5" s="1504"/>
      <c r="AC5" s="722"/>
      <c r="AD5" s="722"/>
      <c r="AE5" s="722"/>
      <c r="AF5" s="265"/>
      <c r="AG5" s="265"/>
      <c r="AH5" s="265"/>
    </row>
    <row r="6" spans="1:34" ht="15" customHeight="1" thickBot="1">
      <c r="A6" s="1585"/>
      <c r="B6" s="406"/>
      <c r="C6" s="1784"/>
      <c r="D6" s="1617"/>
      <c r="E6" s="1543" t="s">
        <v>151</v>
      </c>
      <c r="F6" s="1544"/>
      <c r="G6" s="1543" t="s">
        <v>356</v>
      </c>
      <c r="H6" s="1544"/>
      <c r="I6" s="1562" t="str">
        <f>X51</f>
        <v>District</v>
      </c>
      <c r="J6" s="1563"/>
      <c r="K6" s="1547" t="str">
        <f>X52</f>
        <v>Schools</v>
      </c>
      <c r="L6" s="1548"/>
      <c r="M6" s="1587" t="str">
        <f>X53</f>
        <v>FA3L2</v>
      </c>
      <c r="N6" s="1563"/>
      <c r="O6" s="1587" t="str">
        <f>X54</f>
        <v>FA4L2</v>
      </c>
      <c r="P6" s="1563"/>
      <c r="Q6" s="1547" t="str">
        <f>X55</f>
        <v>FA5L2</v>
      </c>
      <c r="R6" s="1548"/>
      <c r="S6" s="407"/>
      <c r="T6" s="1585"/>
      <c r="U6" s="1502"/>
      <c r="V6" s="1503"/>
      <c r="W6" s="1503"/>
      <c r="X6" s="1503"/>
      <c r="Y6" s="1503"/>
      <c r="Z6" s="1503"/>
      <c r="AA6" s="1503"/>
      <c r="AB6" s="1504"/>
      <c r="AC6" s="722"/>
      <c r="AD6" s="722"/>
      <c r="AE6" s="722"/>
      <c r="AF6" s="265"/>
      <c r="AG6" s="265"/>
      <c r="AH6" s="265"/>
    </row>
    <row r="7" spans="1:34" ht="15" customHeight="1">
      <c r="A7" s="1585"/>
      <c r="B7" s="409"/>
      <c r="C7" s="908" t="s">
        <v>170</v>
      </c>
      <c r="D7" s="904"/>
      <c r="E7" s="905"/>
      <c r="F7" s="905"/>
      <c r="G7" s="905"/>
      <c r="H7" s="905"/>
      <c r="I7" s="905"/>
      <c r="J7" s="905"/>
      <c r="K7" s="905"/>
      <c r="L7" s="905"/>
      <c r="M7" s="905"/>
      <c r="N7" s="905"/>
      <c r="O7" s="905"/>
      <c r="P7" s="905"/>
      <c r="Q7" s="905"/>
      <c r="R7" s="909"/>
      <c r="S7" s="410"/>
      <c r="T7" s="1585"/>
      <c r="U7" s="1502"/>
      <c r="V7" s="1503"/>
      <c r="W7" s="1503"/>
      <c r="X7" s="1503"/>
      <c r="Y7" s="1503"/>
      <c r="Z7" s="1503"/>
      <c r="AA7" s="1503"/>
      <c r="AB7" s="1504"/>
      <c r="AC7" s="722"/>
      <c r="AD7" s="722"/>
      <c r="AE7" s="722"/>
      <c r="AF7" s="265"/>
      <c r="AG7" s="265"/>
      <c r="AH7" s="265"/>
    </row>
    <row r="8" spans="1:34" ht="15" customHeight="1">
      <c r="A8" s="1585"/>
      <c r="B8" s="406"/>
      <c r="C8" s="1769" t="s">
        <v>165</v>
      </c>
      <c r="D8" s="1619"/>
      <c r="E8" s="856"/>
      <c r="F8" s="525">
        <f>E19</f>
        <v>11741.223774848462</v>
      </c>
      <c r="G8" s="531"/>
      <c r="H8" s="515">
        <f>G19</f>
        <v>13060.135195540093</v>
      </c>
      <c r="I8" s="518"/>
      <c r="J8" s="564">
        <f>I19</f>
        <v>12854.092351008807</v>
      </c>
      <c r="K8" s="545"/>
      <c r="L8" s="564">
        <f>K19</f>
        <v>18980.36097992758</v>
      </c>
      <c r="M8" s="545"/>
      <c r="N8" s="564" t="e">
        <f>M19</f>
        <v>#DIV/0!</v>
      </c>
      <c r="O8" s="545"/>
      <c r="P8" s="564" t="e">
        <f>O19</f>
        <v>#DIV/0!</v>
      </c>
      <c r="Q8" s="545"/>
      <c r="R8" s="564" t="e">
        <f>Q19</f>
        <v>#DIV/0!</v>
      </c>
      <c r="S8" s="407"/>
      <c r="T8" s="1585"/>
      <c r="U8" s="1502"/>
      <c r="V8" s="1503"/>
      <c r="W8" s="1503"/>
      <c r="X8" s="1503"/>
      <c r="Y8" s="1503"/>
      <c r="Z8" s="1503"/>
      <c r="AA8" s="1503"/>
      <c r="AB8" s="1504"/>
      <c r="AC8" s="722"/>
      <c r="AD8" s="722"/>
      <c r="AE8" s="722"/>
      <c r="AF8" s="265"/>
      <c r="AG8" s="265"/>
      <c r="AH8" s="265"/>
    </row>
    <row r="9" spans="1:34" ht="15" customHeight="1">
      <c r="A9" s="1585"/>
      <c r="B9" s="406"/>
      <c r="C9" s="1764" t="s">
        <v>164</v>
      </c>
      <c r="D9" s="1605"/>
      <c r="E9" s="539"/>
      <c r="F9" s="526">
        <f>F19</f>
        <v>8471.9359651035993</v>
      </c>
      <c r="G9" s="532"/>
      <c r="H9" s="516">
        <f>H19</f>
        <v>8471.9359651035993</v>
      </c>
      <c r="I9" s="519"/>
      <c r="J9" s="565">
        <f>J19</f>
        <v>9869.7823108993471</v>
      </c>
      <c r="K9" s="540"/>
      <c r="L9" s="565">
        <f>L19</f>
        <v>13174.164996504313</v>
      </c>
      <c r="M9" s="540"/>
      <c r="N9" s="565" t="e">
        <f>N19</f>
        <v>#DIV/0!</v>
      </c>
      <c r="O9" s="540"/>
      <c r="P9" s="565" t="e">
        <f>P19</f>
        <v>#DIV/0!</v>
      </c>
      <c r="Q9" s="540"/>
      <c r="R9" s="565" t="e">
        <f>R19</f>
        <v>#DIV/0!</v>
      </c>
      <c r="S9" s="407"/>
      <c r="T9" s="1585"/>
      <c r="U9" s="1502"/>
      <c r="V9" s="1503"/>
      <c r="W9" s="1503"/>
      <c r="X9" s="1503"/>
      <c r="Y9" s="1503"/>
      <c r="Z9" s="1503"/>
      <c r="AA9" s="1503"/>
      <c r="AB9" s="1504"/>
      <c r="AC9" s="722"/>
      <c r="AD9" s="722"/>
      <c r="AE9" s="722"/>
      <c r="AF9" s="265"/>
      <c r="AG9" s="265"/>
      <c r="AH9" s="265"/>
    </row>
    <row r="10" spans="1:34" ht="15" customHeight="1">
      <c r="A10" s="1585"/>
      <c r="B10" s="406"/>
      <c r="C10" s="1764" t="s">
        <v>171</v>
      </c>
      <c r="D10" s="1605"/>
      <c r="E10" s="540"/>
      <c r="F10" s="527">
        <f>F9-F8</f>
        <v>-3269.2878097448629</v>
      </c>
      <c r="G10" s="532"/>
      <c r="H10" s="517">
        <f>H9-H8</f>
        <v>-4588.199230436494</v>
      </c>
      <c r="I10" s="519"/>
      <c r="J10" s="566">
        <f>J9-J8</f>
        <v>-2984.3100401094598</v>
      </c>
      <c r="K10" s="540"/>
      <c r="L10" s="566">
        <f>L9-L8</f>
        <v>-5806.1959834232675</v>
      </c>
      <c r="M10" s="540"/>
      <c r="N10" s="566" t="e">
        <f>N9-N8</f>
        <v>#DIV/0!</v>
      </c>
      <c r="O10" s="540"/>
      <c r="P10" s="566" t="e">
        <f>P9-P8</f>
        <v>#DIV/0!</v>
      </c>
      <c r="Q10" s="540"/>
      <c r="R10" s="566" t="e">
        <f>R9-R8</f>
        <v>#DIV/0!</v>
      </c>
      <c r="S10" s="407"/>
      <c r="T10" s="1585"/>
      <c r="U10" s="1505"/>
      <c r="V10" s="1506"/>
      <c r="W10" s="1506"/>
      <c r="X10" s="1506"/>
      <c r="Y10" s="1506"/>
      <c r="Z10" s="1506"/>
      <c r="AA10" s="1506"/>
      <c r="AB10" s="1507"/>
      <c r="AC10" s="722"/>
      <c r="AD10" s="722"/>
      <c r="AE10" s="722"/>
      <c r="AF10" s="265"/>
      <c r="AG10" s="265"/>
      <c r="AH10" s="265"/>
    </row>
    <row r="11" spans="1:34" ht="15" customHeight="1" thickBot="1">
      <c r="A11" s="1585"/>
      <c r="B11" s="406"/>
      <c r="C11" s="1764" t="s">
        <v>172</v>
      </c>
      <c r="D11" s="1605"/>
      <c r="E11" s="546"/>
      <c r="F11" s="547">
        <f>F10/F8</f>
        <v>-0.2784452347078325</v>
      </c>
      <c r="G11" s="548"/>
      <c r="H11" s="549">
        <f>H10/H8</f>
        <v>-0.35131330279056516</v>
      </c>
      <c r="I11" s="550"/>
      <c r="J11" s="567">
        <f>J10/J8</f>
        <v>-0.23216808768883998</v>
      </c>
      <c r="K11" s="551"/>
      <c r="L11" s="567">
        <f>L10/L8</f>
        <v>-0.30590545614825398</v>
      </c>
      <c r="M11" s="551"/>
      <c r="N11" s="567" t="e">
        <f>N10/N8</f>
        <v>#DIV/0!</v>
      </c>
      <c r="O11" s="551"/>
      <c r="P11" s="567" t="e">
        <f>P10/P8</f>
        <v>#DIV/0!</v>
      </c>
      <c r="Q11" s="551"/>
      <c r="R11" s="567" t="e">
        <f>R10/R8</f>
        <v>#DIV/0!</v>
      </c>
      <c r="S11" s="407"/>
      <c r="T11" s="1585"/>
      <c r="U11" s="1488"/>
      <c r="V11" s="1489"/>
      <c r="W11" s="1489"/>
      <c r="X11" s="1489"/>
      <c r="Y11" s="1489"/>
      <c r="Z11" s="1489"/>
      <c r="AA11" s="1489"/>
      <c r="AB11" s="1490"/>
      <c r="AC11" s="722"/>
      <c r="AD11" s="722"/>
      <c r="AE11" s="722"/>
      <c r="AF11" s="265"/>
      <c r="AG11" s="265"/>
      <c r="AH11" s="265"/>
    </row>
    <row r="12" spans="1:34" ht="42" customHeight="1">
      <c r="A12" s="1585"/>
      <c r="B12" s="406"/>
      <c r="C12" s="1767" t="s">
        <v>173</v>
      </c>
      <c r="D12" s="1768"/>
      <c r="E12" s="899" t="s">
        <v>165</v>
      </c>
      <c r="F12" s="900" t="s">
        <v>164</v>
      </c>
      <c r="G12" s="899" t="s">
        <v>165</v>
      </c>
      <c r="H12" s="901" t="s">
        <v>164</v>
      </c>
      <c r="I12" s="902" t="s">
        <v>165</v>
      </c>
      <c r="J12" s="903" t="s">
        <v>164</v>
      </c>
      <c r="K12" s="899" t="s">
        <v>165</v>
      </c>
      <c r="L12" s="903" t="s">
        <v>164</v>
      </c>
      <c r="M12" s="899" t="s">
        <v>165</v>
      </c>
      <c r="N12" s="903" t="s">
        <v>164</v>
      </c>
      <c r="O12" s="899" t="s">
        <v>165</v>
      </c>
      <c r="P12" s="903" t="s">
        <v>164</v>
      </c>
      <c r="Q12" s="899" t="s">
        <v>165</v>
      </c>
      <c r="R12" s="903" t="s">
        <v>164</v>
      </c>
      <c r="S12" s="407"/>
      <c r="T12" s="1585"/>
      <c r="U12" s="1491"/>
      <c r="V12" s="1492"/>
      <c r="W12" s="1492"/>
      <c r="X12" s="1492"/>
      <c r="Y12" s="1492"/>
      <c r="Z12" s="1492"/>
      <c r="AA12" s="1492"/>
      <c r="AB12" s="1493"/>
      <c r="AC12" s="722"/>
      <c r="AD12" s="722"/>
      <c r="AE12" s="722"/>
      <c r="AF12" s="265"/>
      <c r="AG12" s="265"/>
      <c r="AH12" s="265"/>
    </row>
    <row r="13" spans="1:34" ht="15" customHeight="1">
      <c r="A13" s="1585"/>
      <c r="B13" s="406"/>
      <c r="C13" s="577" t="s">
        <v>145</v>
      </c>
      <c r="D13" s="578"/>
      <c r="E13" s="541">
        <f>'$REV-DSUM-CONV'!B26/E21</f>
        <v>1505.4729033435444</v>
      </c>
      <c r="F13" s="498">
        <f>'$REV-DSUM-CONV'!B96/E23</f>
        <v>750.21788876772086</v>
      </c>
      <c r="G13" s="533">
        <f>'$REV-DB'!BT22</f>
        <v>1592.6492492079394</v>
      </c>
      <c r="H13" s="559">
        <f t="shared" ref="H13:H18" si="0">F13</f>
        <v>750.21788876772086</v>
      </c>
      <c r="I13" s="520">
        <f>'$REV-DSUM-CONV'!B166/I21</f>
        <v>1108.4521209403104</v>
      </c>
      <c r="J13" s="569">
        <f>'$REV-DSUM-CONV'!B236/I23</f>
        <v>1011.3806432400239</v>
      </c>
      <c r="K13" s="541">
        <f>'$REV-DSUM-CONV'!B306/K21</f>
        <v>2283.7877871160986</v>
      </c>
      <c r="L13" s="569">
        <f>'$REV-DSUM-CONV'!B376/K23</f>
        <v>1028.2750780703798</v>
      </c>
      <c r="M13" s="541" t="e">
        <f>'$REV-DSUM-CONV'!B446/M21</f>
        <v>#DIV/0!</v>
      </c>
      <c r="N13" s="569" t="e">
        <f>'$REV-DSUM-CONV'!B516/M23</f>
        <v>#DIV/0!</v>
      </c>
      <c r="O13" s="541" t="e">
        <f>'$REV-DSUM-CONV'!B586/O21</f>
        <v>#DIV/0!</v>
      </c>
      <c r="P13" s="569" t="e">
        <f>'$REV-DSUM-CONV'!B656/O23</f>
        <v>#DIV/0!</v>
      </c>
      <c r="Q13" s="541" t="e">
        <f>'$REV-DSUM-CONV'!B726/Q21</f>
        <v>#DIV/0!</v>
      </c>
      <c r="R13" s="569" t="e">
        <f>'$REV-DSUM-CONV'!B796/Q23</f>
        <v>#DIV/0!</v>
      </c>
      <c r="S13" s="407"/>
      <c r="T13" s="1585"/>
      <c r="U13" s="1491"/>
      <c r="V13" s="1492"/>
      <c r="W13" s="1492"/>
      <c r="X13" s="1492"/>
      <c r="Y13" s="1492"/>
      <c r="Z13" s="1492"/>
      <c r="AA13" s="1492"/>
      <c r="AB13" s="1493"/>
      <c r="AC13" s="722"/>
      <c r="AD13" s="722"/>
      <c r="AE13" s="722"/>
      <c r="AF13" s="265"/>
      <c r="AG13" s="265"/>
      <c r="AH13" s="265"/>
    </row>
    <row r="14" spans="1:34" ht="15" customHeight="1">
      <c r="A14" s="1585"/>
      <c r="B14" s="406"/>
      <c r="C14" s="579" t="s">
        <v>144</v>
      </c>
      <c r="D14" s="580"/>
      <c r="E14" s="542">
        <f>'$REV-DSUM-CONV'!B36/E21</f>
        <v>4723.9235800625665</v>
      </c>
      <c r="F14" s="528">
        <f>'$REV-DSUM-CONV'!B106/E23</f>
        <v>4759.4467611777536</v>
      </c>
      <c r="G14" s="534">
        <f>'$REV-DB'!BT23</f>
        <v>4221.5145394880419</v>
      </c>
      <c r="H14" s="560">
        <f t="shared" si="0"/>
        <v>4759.4467611777536</v>
      </c>
      <c r="I14" s="521">
        <f>'$REV-DSUM-CONV'!B176/I21</f>
        <v>3394.9872036484794</v>
      </c>
      <c r="J14" s="570">
        <f>'$REV-DSUM-CONV'!B246/I23</f>
        <v>4423.2897558070281</v>
      </c>
      <c r="K14" s="542">
        <f>'$REV-DSUM-CONV'!B316/K21</f>
        <v>2542.9690462246863</v>
      </c>
      <c r="L14" s="570">
        <f>'$REV-DSUM-CONV'!B386/K23</f>
        <v>5397.5478909345138</v>
      </c>
      <c r="M14" s="542" t="e">
        <f>'$REV-DSUM-CONV'!B456/M21</f>
        <v>#DIV/0!</v>
      </c>
      <c r="N14" s="570" t="e">
        <f>'$REV-DSUM-CONV'!B526/M23</f>
        <v>#DIV/0!</v>
      </c>
      <c r="O14" s="542" t="e">
        <f>'$REV-DSUM-CONV'!B596/O21</f>
        <v>#DIV/0!</v>
      </c>
      <c r="P14" s="570" t="e">
        <f>'$REV-DSUM-CONV'!B666/O23</f>
        <v>#DIV/0!</v>
      </c>
      <c r="Q14" s="542" t="e">
        <f>'$REV-DSUM-CONV'!B736/Q21</f>
        <v>#DIV/0!</v>
      </c>
      <c r="R14" s="570" t="e">
        <f>'$REV-DSUM-CONV'!B806/Q23</f>
        <v>#DIV/0!</v>
      </c>
      <c r="S14" s="407"/>
      <c r="T14" s="1585"/>
      <c r="U14" s="1491"/>
      <c r="V14" s="1492"/>
      <c r="W14" s="1492"/>
      <c r="X14" s="1492"/>
      <c r="Y14" s="1492"/>
      <c r="Z14" s="1492"/>
      <c r="AA14" s="1492"/>
      <c r="AB14" s="1493"/>
      <c r="AC14" s="722"/>
      <c r="AD14" s="722"/>
      <c r="AE14" s="722"/>
      <c r="AF14" s="265"/>
      <c r="AG14" s="265"/>
      <c r="AH14" s="265"/>
    </row>
    <row r="15" spans="1:34" ht="15" customHeight="1">
      <c r="A15" s="1585"/>
      <c r="B15" s="406"/>
      <c r="C15" s="579" t="s">
        <v>143</v>
      </c>
      <c r="D15" s="580"/>
      <c r="E15" s="542">
        <f>'$REV-DSUM-CONV'!B46/E21</f>
        <v>4821.3375289513124</v>
      </c>
      <c r="F15" s="528">
        <f>'$REV-DSUM-CONV'!B116/E23</f>
        <v>2095.4798211559437</v>
      </c>
      <c r="G15" s="534">
        <f>'$REV-DB'!BT24</f>
        <v>6102.8847713846008</v>
      </c>
      <c r="H15" s="560">
        <f t="shared" si="0"/>
        <v>2095.4798211559437</v>
      </c>
      <c r="I15" s="521">
        <f>'$REV-DSUM-CONV'!B186/I21</f>
        <v>7619.1691270211086</v>
      </c>
      <c r="J15" s="570">
        <f>'$REV-DSUM-CONV'!B256/I23</f>
        <v>3358.2956521739134</v>
      </c>
      <c r="K15" s="542">
        <f>'$REV-DSUM-CONV'!B326/K21</f>
        <v>10761.734169609728</v>
      </c>
      <c r="L15" s="570">
        <f>'$REV-DSUM-CONV'!B396/K23</f>
        <v>4901.4552878116992</v>
      </c>
      <c r="M15" s="542" t="e">
        <f>'$REV-DSUM-CONV'!B466/M21</f>
        <v>#DIV/0!</v>
      </c>
      <c r="N15" s="570" t="e">
        <f>'$REV-DSUM-CONV'!B536/M23</f>
        <v>#DIV/0!</v>
      </c>
      <c r="O15" s="542" t="e">
        <f>'$REV-DSUM-CONV'!B606/O21</f>
        <v>#DIV/0!</v>
      </c>
      <c r="P15" s="570" t="e">
        <f>'$REV-DSUM-CONV'!B676/O23</f>
        <v>#DIV/0!</v>
      </c>
      <c r="Q15" s="542" t="e">
        <f>'$REV-DSUM-CONV'!B746/Q21</f>
        <v>#DIV/0!</v>
      </c>
      <c r="R15" s="570" t="e">
        <f>'$REV-DSUM-CONV'!B816/Q23</f>
        <v>#DIV/0!</v>
      </c>
      <c r="S15" s="407"/>
      <c r="T15" s="1585"/>
      <c r="U15" s="1491"/>
      <c r="V15" s="1492"/>
      <c r="W15" s="1492"/>
      <c r="X15" s="1492"/>
      <c r="Y15" s="1492"/>
      <c r="Z15" s="1492"/>
      <c r="AA15" s="1492"/>
      <c r="AB15" s="1493"/>
      <c r="AC15" s="722"/>
      <c r="AD15" s="722"/>
      <c r="AE15" s="722"/>
      <c r="AF15" s="265"/>
      <c r="AG15" s="265"/>
      <c r="AH15" s="265"/>
    </row>
    <row r="16" spans="1:34" ht="15" customHeight="1">
      <c r="A16" s="1585"/>
      <c r="B16" s="406"/>
      <c r="C16" s="579" t="s">
        <v>149</v>
      </c>
      <c r="D16" s="580"/>
      <c r="E16" s="542">
        <f>'$REV-DSUM-CONV'!B56/E21</f>
        <v>690.48976249103816</v>
      </c>
      <c r="F16" s="528">
        <f>'$REV-DSUM-CONV'!B126/E23</f>
        <v>758.95293347873496</v>
      </c>
      <c r="G16" s="534">
        <f>'$REV-DB'!BT25</f>
        <v>1143.0866354595119</v>
      </c>
      <c r="H16" s="560">
        <f t="shared" si="0"/>
        <v>758.95293347873496</v>
      </c>
      <c r="I16" s="521">
        <f>'$REV-DSUM-CONV'!B196/I21</f>
        <v>731.48389939890967</v>
      </c>
      <c r="J16" s="570">
        <f>'$REV-DSUM-CONV'!B266/I23</f>
        <v>998.25640262060756</v>
      </c>
      <c r="K16" s="542">
        <f>'$REV-DSUM-CONV'!B336/K21</f>
        <v>3391.869976977066</v>
      </c>
      <c r="L16" s="570">
        <f>'$REV-DSUM-CONV'!B406/K23</f>
        <v>1533.9864833372174</v>
      </c>
      <c r="M16" s="542" t="e">
        <f>'$REV-DSUM-CONV'!B476/M21</f>
        <v>#DIV/0!</v>
      </c>
      <c r="N16" s="570" t="e">
        <f>'$REV-DSUM-CONV'!B546/M23</f>
        <v>#DIV/0!</v>
      </c>
      <c r="O16" s="542" t="e">
        <f>'$REV-DSUM-CONV'!B616/O21</f>
        <v>#DIV/0!</v>
      </c>
      <c r="P16" s="570" t="e">
        <f>'$REV-DSUM-CONV'!B686/O23</f>
        <v>#DIV/0!</v>
      </c>
      <c r="Q16" s="542" t="e">
        <f>'$REV-DSUM-CONV'!B756/Q21</f>
        <v>#DIV/0!</v>
      </c>
      <c r="R16" s="570" t="e">
        <f>'$REV-DSUM-CONV'!B826/Q23</f>
        <v>#DIV/0!</v>
      </c>
      <c r="S16" s="407"/>
      <c r="T16" s="1585"/>
      <c r="U16" s="1491"/>
      <c r="V16" s="1492"/>
      <c r="W16" s="1492"/>
      <c r="X16" s="1492"/>
      <c r="Y16" s="1492"/>
      <c r="Z16" s="1492"/>
      <c r="AA16" s="1492"/>
      <c r="AB16" s="1493"/>
      <c r="AC16" s="722"/>
      <c r="AD16" s="722"/>
      <c r="AE16" s="722"/>
      <c r="AF16" s="265"/>
      <c r="AG16" s="265"/>
      <c r="AH16" s="265"/>
    </row>
    <row r="17" spans="1:34" ht="15" customHeight="1">
      <c r="A17" s="1585"/>
      <c r="B17" s="406"/>
      <c r="C17" s="579" t="s">
        <v>363</v>
      </c>
      <c r="D17" s="580"/>
      <c r="E17" s="542">
        <f>'$REV-DSUM-CONV'!B66/E21</f>
        <v>0</v>
      </c>
      <c r="F17" s="528">
        <f>'$REV-DSUM-CONV'!B136/E23</f>
        <v>107.83856052344602</v>
      </c>
      <c r="G17" s="534">
        <f>'$REV-DB'!BT26</f>
        <v>0</v>
      </c>
      <c r="H17" s="560">
        <f t="shared" si="0"/>
        <v>107.83856052344602</v>
      </c>
      <c r="I17" s="521">
        <f>'$REV-DSUM-CONV'!B206/I21</f>
        <v>0</v>
      </c>
      <c r="J17" s="570">
        <f>'$REV-DSUM-CONV'!B276/I23</f>
        <v>78.55985705777249</v>
      </c>
      <c r="K17" s="542">
        <f>'$REV-DSUM-CONV'!B346/K21</f>
        <v>0</v>
      </c>
      <c r="L17" s="570">
        <f>'$REV-DSUM-CONV'!B416/K23</f>
        <v>312.90025635050102</v>
      </c>
      <c r="M17" s="542" t="e">
        <f>'$REV-DSUM-CONV'!B486/M21</f>
        <v>#DIV/0!</v>
      </c>
      <c r="N17" s="570" t="e">
        <f>'$REV-DSUM-CONV'!B556/M23</f>
        <v>#DIV/0!</v>
      </c>
      <c r="O17" s="542" t="e">
        <f>'$REV-DSUM-CONV'!B626/O21</f>
        <v>#DIV/0!</v>
      </c>
      <c r="P17" s="570" t="e">
        <f>'$REV-DSUM-CONV'!B696/O23</f>
        <v>#DIV/0!</v>
      </c>
      <c r="Q17" s="542" t="e">
        <f>'$REV-DSUM-CONV'!B766/Q21</f>
        <v>#DIV/0!</v>
      </c>
      <c r="R17" s="570" t="e">
        <f>'$REV-DSUM-CONV'!B836/Q23</f>
        <v>#DIV/0!</v>
      </c>
      <c r="S17" s="407"/>
      <c r="T17" s="1585"/>
      <c r="U17" s="1491"/>
      <c r="V17" s="1492"/>
      <c r="W17" s="1492"/>
      <c r="X17" s="1492"/>
      <c r="Y17" s="1492"/>
      <c r="Z17" s="1492"/>
      <c r="AA17" s="1492"/>
      <c r="AB17" s="1493"/>
      <c r="AC17" s="722"/>
      <c r="AD17" s="722"/>
      <c r="AE17" s="722"/>
      <c r="AF17" s="265"/>
      <c r="AG17" s="265"/>
      <c r="AH17" s="265"/>
    </row>
    <row r="18" spans="1:34" ht="15" customHeight="1">
      <c r="A18" s="1585"/>
      <c r="B18" s="406"/>
      <c r="C18" s="579" t="s">
        <v>150</v>
      </c>
      <c r="D18" s="580"/>
      <c r="E18" s="542">
        <f>'$REV-DSUM-CONV'!B76/E21</f>
        <v>0</v>
      </c>
      <c r="F18" s="528">
        <f>'$REV-DSUM-CONV'!B146/E23</f>
        <v>0</v>
      </c>
      <c r="G18" s="534">
        <f>'$REV-DB'!BT27</f>
        <v>0</v>
      </c>
      <c r="H18" s="560">
        <f t="shared" si="0"/>
        <v>0</v>
      </c>
      <c r="I18" s="521">
        <f>'$REV-DSUM-CONV'!B216/I21</f>
        <v>0</v>
      </c>
      <c r="J18" s="570">
        <f>'$REV-DSUM-CONV'!B286/I23</f>
        <v>0</v>
      </c>
      <c r="K18" s="542">
        <f>'$REV-DSUM-CONV'!B356/K21</f>
        <v>0</v>
      </c>
      <c r="L18" s="570">
        <f>'$REV-DSUM-CONV'!B426/K23</f>
        <v>0</v>
      </c>
      <c r="M18" s="542" t="e">
        <f>'$REV-DSUM-CONV'!B496/M21</f>
        <v>#DIV/0!</v>
      </c>
      <c r="N18" s="570" t="e">
        <f>'$REV-DSUM-CONV'!B566/M23</f>
        <v>#DIV/0!</v>
      </c>
      <c r="O18" s="542" t="e">
        <f>'$REV-DSUM-CONV'!B636/O21</f>
        <v>#DIV/0!</v>
      </c>
      <c r="P18" s="570" t="e">
        <f>'$REV-DSUM-CONV'!B706/O23</f>
        <v>#DIV/0!</v>
      </c>
      <c r="Q18" s="542" t="e">
        <f>'$REV-DSUM-CONV'!B776/Q21</f>
        <v>#DIV/0!</v>
      </c>
      <c r="R18" s="570" t="e">
        <f>'$REV-DSUM-CONV'!B846/Q23</f>
        <v>#DIV/0!</v>
      </c>
      <c r="S18" s="407"/>
      <c r="T18" s="1585"/>
      <c r="U18" s="1494"/>
      <c r="V18" s="1495"/>
      <c r="W18" s="1495"/>
      <c r="X18" s="1495"/>
      <c r="Y18" s="1495"/>
      <c r="Z18" s="1495"/>
      <c r="AA18" s="1495"/>
      <c r="AB18" s="1496"/>
      <c r="AC18" s="722"/>
      <c r="AD18" s="722"/>
      <c r="AE18" s="722"/>
      <c r="AF18" s="265"/>
      <c r="AG18" s="265"/>
      <c r="AH18" s="265"/>
    </row>
    <row r="19" spans="1:34" ht="15" customHeight="1" thickBot="1">
      <c r="A19" s="1585"/>
      <c r="B19" s="406"/>
      <c r="C19" s="579" t="s">
        <v>146</v>
      </c>
      <c r="D19" s="580"/>
      <c r="E19" s="542">
        <f>SUM(E13:E18)</f>
        <v>11741.223774848462</v>
      </c>
      <c r="F19" s="528">
        <f>SUM(F13:F18)</f>
        <v>8471.9359651035993</v>
      </c>
      <c r="G19" s="562">
        <f>SUM(G13:G18)</f>
        <v>13060.135195540093</v>
      </c>
      <c r="H19" s="561">
        <f>SUM(H13:H18)</f>
        <v>8471.9359651035993</v>
      </c>
      <c r="I19" s="521">
        <f t="shared" ref="I19:R19" si="1">SUM(I13:I18)</f>
        <v>12854.092351008807</v>
      </c>
      <c r="J19" s="847">
        <f t="shared" si="1"/>
        <v>9869.7823108993471</v>
      </c>
      <c r="K19" s="542">
        <f t="shared" si="1"/>
        <v>18980.36097992758</v>
      </c>
      <c r="L19" s="570">
        <f t="shared" si="1"/>
        <v>13174.164996504313</v>
      </c>
      <c r="M19" s="542" t="e">
        <f t="shared" si="1"/>
        <v>#DIV/0!</v>
      </c>
      <c r="N19" s="847" t="e">
        <f t="shared" si="1"/>
        <v>#DIV/0!</v>
      </c>
      <c r="O19" s="542" t="e">
        <f t="shared" si="1"/>
        <v>#DIV/0!</v>
      </c>
      <c r="P19" s="847" t="e">
        <f t="shared" si="1"/>
        <v>#DIV/0!</v>
      </c>
      <c r="Q19" s="542" t="e">
        <f t="shared" si="1"/>
        <v>#DIV/0!</v>
      </c>
      <c r="R19" s="570" t="e">
        <f t="shared" si="1"/>
        <v>#DIV/0!</v>
      </c>
      <c r="S19" s="407"/>
      <c r="T19" s="1585"/>
      <c r="U19" s="1488"/>
      <c r="V19" s="1489"/>
      <c r="W19" s="1489"/>
      <c r="X19" s="1489"/>
      <c r="Y19" s="1489"/>
      <c r="Z19" s="1489"/>
      <c r="AA19" s="1489"/>
      <c r="AB19" s="1490"/>
      <c r="AC19" s="722"/>
      <c r="AD19" s="722"/>
      <c r="AE19" s="722"/>
      <c r="AF19" s="265"/>
      <c r="AG19" s="265"/>
      <c r="AH19" s="265"/>
    </row>
    <row r="20" spans="1:34" ht="15" customHeight="1">
      <c r="A20" s="1585"/>
      <c r="B20" s="409"/>
      <c r="C20" s="908" t="s">
        <v>174</v>
      </c>
      <c r="D20" s="904"/>
      <c r="E20" s="905"/>
      <c r="F20" s="905"/>
      <c r="G20" s="905"/>
      <c r="H20" s="905"/>
      <c r="I20" s="905"/>
      <c r="J20" s="905"/>
      <c r="K20" s="905"/>
      <c r="L20" s="905"/>
      <c r="M20" s="905"/>
      <c r="N20" s="905"/>
      <c r="O20" s="905"/>
      <c r="P20" s="905"/>
      <c r="Q20" s="905"/>
      <c r="R20" s="909"/>
      <c r="S20" s="410"/>
      <c r="T20" s="1585"/>
      <c r="U20" s="1491"/>
      <c r="V20" s="1492"/>
      <c r="W20" s="1492"/>
      <c r="X20" s="1492"/>
      <c r="Y20" s="1492"/>
      <c r="Z20" s="1492"/>
      <c r="AA20" s="1492"/>
      <c r="AB20" s="1493"/>
      <c r="AC20" s="722"/>
      <c r="AD20" s="722"/>
      <c r="AE20" s="722"/>
      <c r="AF20" s="265"/>
      <c r="AG20" s="265"/>
      <c r="AH20" s="265"/>
    </row>
    <row r="21" spans="1:34" ht="15" customHeight="1">
      <c r="A21" s="1585"/>
      <c r="B21" s="406"/>
      <c r="C21" s="1773" t="s">
        <v>165</v>
      </c>
      <c r="D21" s="1635"/>
      <c r="E21" s="1574">
        <f>'ENR#-DSUM-CONV'!B13</f>
        <v>1534300</v>
      </c>
      <c r="F21" s="1554"/>
      <c r="G21" s="1775" t="s">
        <v>157</v>
      </c>
      <c r="H21" s="1776"/>
      <c r="I21" s="1582">
        <f>'ENR#-DSUM-CONV'!B33</f>
        <v>85844</v>
      </c>
      <c r="J21" s="1555"/>
      <c r="K21" s="1574">
        <f>'ENR#-DSUM-CONV'!B53</f>
        <v>44738</v>
      </c>
      <c r="L21" s="1555"/>
      <c r="M21" s="1574">
        <f>'ENR#-DSUM-CONV'!B73</f>
        <v>0</v>
      </c>
      <c r="N21" s="1555"/>
      <c r="O21" s="1574">
        <f>'ENR#-DSUM-CONV'!B93</f>
        <v>0</v>
      </c>
      <c r="P21" s="1555"/>
      <c r="Q21" s="1574">
        <f>'ENR#-DSUM-CONV'!B113</f>
        <v>0</v>
      </c>
      <c r="R21" s="1555"/>
      <c r="S21" s="407"/>
      <c r="T21" s="1585"/>
      <c r="U21" s="1491"/>
      <c r="V21" s="1492"/>
      <c r="W21" s="1492"/>
      <c r="X21" s="1492"/>
      <c r="Y21" s="1492"/>
      <c r="Z21" s="1492"/>
      <c r="AA21" s="1492"/>
      <c r="AB21" s="1493"/>
      <c r="AC21" s="722"/>
      <c r="AD21" s="722"/>
      <c r="AE21" s="722"/>
      <c r="AF21" s="265"/>
      <c r="AG21" s="265"/>
      <c r="AH21" s="265"/>
    </row>
    <row r="22" spans="1:34" ht="15" customHeight="1">
      <c r="A22" s="1585"/>
      <c r="B22" s="406"/>
      <c r="C22" s="1774"/>
      <c r="D22" s="1637"/>
      <c r="E22" s="1572">
        <f>E21/(E21+E23)</f>
        <v>0.98527829953924451</v>
      </c>
      <c r="F22" s="1552"/>
      <c r="G22" s="1601" t="s">
        <v>157</v>
      </c>
      <c r="H22" s="1602"/>
      <c r="I22" s="1594">
        <f>I21/(I21+I23)</f>
        <v>0.96235510414564696</v>
      </c>
      <c r="J22" s="1553"/>
      <c r="K22" s="1572">
        <f>K21/(K21+K23)</f>
        <v>0.91248036876134531</v>
      </c>
      <c r="L22" s="1553"/>
      <c r="M22" s="1572" t="e">
        <f>M21/(M21+M23)</f>
        <v>#DIV/0!</v>
      </c>
      <c r="N22" s="1553"/>
      <c r="O22" s="1572" t="e">
        <f>O21/(O21+O23)</f>
        <v>#DIV/0!</v>
      </c>
      <c r="P22" s="1553"/>
      <c r="Q22" s="1572" t="e">
        <f>Q21/(Q21+Q23)</f>
        <v>#DIV/0!</v>
      </c>
      <c r="R22" s="1553"/>
      <c r="S22" s="407"/>
      <c r="T22" s="1585"/>
      <c r="U22" s="1491"/>
      <c r="V22" s="1492"/>
      <c r="W22" s="1492"/>
      <c r="X22" s="1492"/>
      <c r="Y22" s="1492"/>
      <c r="Z22" s="1492"/>
      <c r="AA22" s="1492"/>
      <c r="AB22" s="1493"/>
      <c r="AC22" s="722"/>
      <c r="AD22" s="722"/>
      <c r="AE22" s="722"/>
      <c r="AF22" s="265"/>
      <c r="AG22" s="265"/>
      <c r="AH22" s="265"/>
    </row>
    <row r="23" spans="1:34" ht="15" customHeight="1">
      <c r="A23" s="1585"/>
      <c r="B23" s="406"/>
      <c r="C23" s="1773" t="s">
        <v>175</v>
      </c>
      <c r="D23" s="1635"/>
      <c r="E23" s="1574">
        <f>'ENR#-DSUM-CONV'!B23</f>
        <v>22925</v>
      </c>
      <c r="F23" s="1554"/>
      <c r="G23" s="1775" t="s">
        <v>157</v>
      </c>
      <c r="H23" s="1776"/>
      <c r="I23" s="1582">
        <f>'ENR#-DSUM-CONV'!B43</f>
        <v>3358</v>
      </c>
      <c r="J23" s="1555"/>
      <c r="K23" s="1574">
        <f>'ENR#-DSUM-CONV'!B63</f>
        <v>4291</v>
      </c>
      <c r="L23" s="1555"/>
      <c r="M23" s="1574">
        <f>'ENR#-DSUM-CONV'!B83</f>
        <v>0</v>
      </c>
      <c r="N23" s="1555"/>
      <c r="O23" s="1574">
        <f>'ENR#-DSUM-CONV'!B103</f>
        <v>0</v>
      </c>
      <c r="P23" s="1555"/>
      <c r="Q23" s="1574">
        <f>'ENR#-DSUM-CONV'!B123</f>
        <v>0</v>
      </c>
      <c r="R23" s="1555"/>
      <c r="S23" s="407"/>
      <c r="T23" s="1585"/>
      <c r="U23" s="1491"/>
      <c r="V23" s="1492"/>
      <c r="W23" s="1492"/>
      <c r="X23" s="1492"/>
      <c r="Y23" s="1492"/>
      <c r="Z23" s="1492"/>
      <c r="AA23" s="1492"/>
      <c r="AB23" s="1493"/>
      <c r="AC23" s="722"/>
      <c r="AD23" s="722"/>
      <c r="AE23" s="722"/>
      <c r="AF23" s="265"/>
      <c r="AG23" s="265"/>
      <c r="AH23" s="265"/>
    </row>
    <row r="24" spans="1:34" ht="15" customHeight="1">
      <c r="A24" s="1585"/>
      <c r="B24" s="406"/>
      <c r="C24" s="1774"/>
      <c r="D24" s="1637"/>
      <c r="E24" s="1572">
        <f>E23/(E23+E21)</f>
        <v>1.4721700460755511E-2</v>
      </c>
      <c r="F24" s="1552"/>
      <c r="G24" s="1601" t="s">
        <v>157</v>
      </c>
      <c r="H24" s="1602"/>
      <c r="I24" s="1594">
        <f>I23/(I23+I21)</f>
        <v>3.7644895854353044E-2</v>
      </c>
      <c r="J24" s="1553"/>
      <c r="K24" s="1572">
        <f>K23/(K23+K21)</f>
        <v>8.751963123865468E-2</v>
      </c>
      <c r="L24" s="1553"/>
      <c r="M24" s="1572" t="e">
        <f>M23/(M23+M21)</f>
        <v>#DIV/0!</v>
      </c>
      <c r="N24" s="1553"/>
      <c r="O24" s="1572" t="e">
        <f>O23/(O23+O21)</f>
        <v>#DIV/0!</v>
      </c>
      <c r="P24" s="1553"/>
      <c r="Q24" s="1572" t="e">
        <f>Q23/(Q23+Q21)</f>
        <v>#DIV/0!</v>
      </c>
      <c r="R24" s="1553"/>
      <c r="S24" s="407"/>
      <c r="T24" s="1585"/>
      <c r="U24" s="1491"/>
      <c r="V24" s="1492"/>
      <c r="W24" s="1492"/>
      <c r="X24" s="1492"/>
      <c r="Y24" s="1492"/>
      <c r="Z24" s="1492"/>
      <c r="AA24" s="1492"/>
      <c r="AB24" s="1493"/>
      <c r="AC24" s="722"/>
      <c r="AD24" s="722"/>
      <c r="AE24" s="722"/>
      <c r="AF24" s="265"/>
      <c r="AG24" s="265"/>
      <c r="AH24" s="265"/>
    </row>
    <row r="25" spans="1:34" ht="15" customHeight="1">
      <c r="A25" s="1585"/>
      <c r="B25" s="406"/>
      <c r="C25" s="1777" t="s">
        <v>72</v>
      </c>
      <c r="D25" s="1778"/>
      <c r="E25" s="1576"/>
      <c r="F25" s="1556"/>
      <c r="G25" s="1590" t="s">
        <v>157</v>
      </c>
      <c r="H25" s="1591"/>
      <c r="I25" s="1595"/>
      <c r="J25" s="1557"/>
      <c r="K25" s="1576"/>
      <c r="L25" s="1557"/>
      <c r="M25" s="1576"/>
      <c r="N25" s="1557"/>
      <c r="O25" s="1576"/>
      <c r="P25" s="1557"/>
      <c r="Q25" s="1576"/>
      <c r="R25" s="1557"/>
      <c r="S25" s="407"/>
      <c r="T25" s="1585"/>
      <c r="U25" s="1491"/>
      <c r="V25" s="1492"/>
      <c r="W25" s="1492"/>
      <c r="X25" s="1492"/>
      <c r="Y25" s="1492"/>
      <c r="Z25" s="1492"/>
      <c r="AA25" s="1492"/>
      <c r="AB25" s="1493"/>
      <c r="AC25" s="722"/>
      <c r="AD25" s="722"/>
      <c r="AE25" s="722"/>
      <c r="AF25" s="265"/>
      <c r="AG25" s="265"/>
      <c r="AH25" s="265"/>
    </row>
    <row r="26" spans="1:34" ht="15" customHeight="1" thickBot="1">
      <c r="A26" s="1585"/>
      <c r="B26" s="406"/>
      <c r="C26" s="1779"/>
      <c r="D26" s="1780"/>
      <c r="E26" s="1578">
        <f>Y56</f>
        <v>49</v>
      </c>
      <c r="F26" s="1586"/>
      <c r="G26" s="1592" t="s">
        <v>157</v>
      </c>
      <c r="H26" s="1593"/>
      <c r="I26" s="1596">
        <f>Y51</f>
        <v>8</v>
      </c>
      <c r="J26" s="1559"/>
      <c r="K26" s="1578">
        <f>Y52</f>
        <v>13</v>
      </c>
      <c r="L26" s="1606"/>
      <c r="M26" s="1588" t="str">
        <f>Y53</f>
        <v>#</v>
      </c>
      <c r="N26" s="1559"/>
      <c r="O26" s="1588" t="str">
        <f>Y54</f>
        <v>#</v>
      </c>
      <c r="P26" s="1559"/>
      <c r="Q26" s="1578" t="str">
        <f>Y55</f>
        <v>#</v>
      </c>
      <c r="R26" s="1606"/>
      <c r="S26" s="407"/>
      <c r="T26" s="1585"/>
      <c r="U26" s="1491"/>
      <c r="V26" s="1492"/>
      <c r="W26" s="1492"/>
      <c r="X26" s="1492"/>
      <c r="Y26" s="1492"/>
      <c r="Z26" s="1492"/>
      <c r="AA26" s="1492"/>
      <c r="AB26" s="1493"/>
      <c r="AC26" s="722"/>
      <c r="AD26" s="722"/>
      <c r="AE26" s="722"/>
      <c r="AF26" s="265"/>
      <c r="AG26" s="265"/>
      <c r="AH26" s="265"/>
    </row>
    <row r="27" spans="1:34" ht="15" customHeight="1">
      <c r="A27" s="1585"/>
      <c r="B27" s="409"/>
      <c r="C27" s="908" t="s">
        <v>176</v>
      </c>
      <c r="D27" s="904"/>
      <c r="E27" s="906"/>
      <c r="F27" s="906"/>
      <c r="G27" s="907"/>
      <c r="H27" s="907"/>
      <c r="I27" s="906"/>
      <c r="J27" s="906"/>
      <c r="K27" s="906"/>
      <c r="L27" s="906"/>
      <c r="M27" s="906"/>
      <c r="N27" s="906"/>
      <c r="O27" s="906"/>
      <c r="P27" s="906"/>
      <c r="Q27" s="906"/>
      <c r="R27" s="910"/>
      <c r="S27" s="410"/>
      <c r="T27" s="1585"/>
      <c r="U27" s="1491"/>
      <c r="V27" s="1492"/>
      <c r="W27" s="1492"/>
      <c r="X27" s="1492"/>
      <c r="Y27" s="1492"/>
      <c r="Z27" s="1492"/>
      <c r="AA27" s="1492"/>
      <c r="AB27" s="1493"/>
      <c r="AC27" s="722"/>
      <c r="AD27" s="722"/>
      <c r="AE27" s="722"/>
      <c r="AF27" s="265"/>
      <c r="AG27" s="265"/>
      <c r="AH27" s="265"/>
    </row>
    <row r="28" spans="1:34" ht="15" customHeight="1">
      <c r="A28" s="1585"/>
      <c r="B28" s="406"/>
      <c r="C28" s="1771" t="s">
        <v>165</v>
      </c>
      <c r="D28" s="1625"/>
      <c r="E28" s="1560">
        <f>'$REV-DSUM-CONV'!B16</f>
        <v>18014559637.749996</v>
      </c>
      <c r="F28" s="1561"/>
      <c r="G28" s="1580" t="s">
        <v>157</v>
      </c>
      <c r="H28" s="1581"/>
      <c r="I28" s="1583">
        <f>'$REV-DSUM-CONV'!B156</f>
        <v>1103446703.78</v>
      </c>
      <c r="J28" s="1584"/>
      <c r="K28" s="1560">
        <f>'$REV-DSUM-CONV'!B296</f>
        <v>849143389.51999998</v>
      </c>
      <c r="L28" s="1584"/>
      <c r="M28" s="1560">
        <f>'$REV-DSUM-CONV'!B436</f>
        <v>0</v>
      </c>
      <c r="N28" s="1584"/>
      <c r="O28" s="1560">
        <f>'$REV-DSUM-CONV'!B576</f>
        <v>0</v>
      </c>
      <c r="P28" s="1584"/>
      <c r="Q28" s="1560">
        <f>'$REV-DSUM-CONV'!B716</f>
        <v>0</v>
      </c>
      <c r="R28" s="1584"/>
      <c r="S28" s="407"/>
      <c r="T28" s="1585"/>
      <c r="U28" s="1491"/>
      <c r="V28" s="1492"/>
      <c r="W28" s="1492"/>
      <c r="X28" s="1492"/>
      <c r="Y28" s="1492"/>
      <c r="Z28" s="1492"/>
      <c r="AA28" s="1492"/>
      <c r="AB28" s="1493"/>
      <c r="AC28" s="722"/>
      <c r="AD28" s="722"/>
      <c r="AE28" s="722"/>
      <c r="AF28" s="265"/>
      <c r="AG28" s="265"/>
      <c r="AH28" s="265"/>
    </row>
    <row r="29" spans="1:34" ht="15" customHeight="1">
      <c r="A29" s="1585"/>
      <c r="B29" s="406"/>
      <c r="C29" s="1772"/>
      <c r="D29" s="1627"/>
      <c r="E29" s="1572">
        <f>E28/E32</f>
        <v>0.98933376397967698</v>
      </c>
      <c r="F29" s="1552"/>
      <c r="G29" s="1601" t="s">
        <v>157</v>
      </c>
      <c r="H29" s="1602"/>
      <c r="I29" s="1594">
        <f>I28/I32</f>
        <v>0.97084019255841947</v>
      </c>
      <c r="J29" s="1553"/>
      <c r="K29" s="1572">
        <f>K28/K32</f>
        <v>0.93758200107545941</v>
      </c>
      <c r="L29" s="1553"/>
      <c r="M29" s="1572" t="e">
        <f>M28/M32</f>
        <v>#DIV/0!</v>
      </c>
      <c r="N29" s="1553"/>
      <c r="O29" s="1572" t="e">
        <f>O28/O32</f>
        <v>#DIV/0!</v>
      </c>
      <c r="P29" s="1553"/>
      <c r="Q29" s="1572" t="e">
        <f>Q28/Q32</f>
        <v>#DIV/0!</v>
      </c>
      <c r="R29" s="1553"/>
      <c r="S29" s="407"/>
      <c r="T29" s="1585"/>
      <c r="U29" s="1491"/>
      <c r="V29" s="1492"/>
      <c r="W29" s="1492"/>
      <c r="X29" s="1492"/>
      <c r="Y29" s="1492"/>
      <c r="Z29" s="1492"/>
      <c r="AA29" s="1492"/>
      <c r="AB29" s="1493"/>
      <c r="AC29" s="722"/>
      <c r="AD29" s="722"/>
      <c r="AE29" s="722"/>
      <c r="AF29" s="265"/>
      <c r="AG29" s="265"/>
      <c r="AH29" s="265"/>
    </row>
    <row r="30" spans="1:34" ht="15" customHeight="1">
      <c r="A30" s="1585"/>
      <c r="B30" s="406"/>
      <c r="C30" s="1771" t="s">
        <v>164</v>
      </c>
      <c r="D30" s="1625"/>
      <c r="E30" s="1560">
        <f>'$REV-DSUM-CONV'!B86</f>
        <v>194219132.00000003</v>
      </c>
      <c r="F30" s="1561"/>
      <c r="G30" s="1580" t="s">
        <v>157</v>
      </c>
      <c r="H30" s="1581"/>
      <c r="I30" s="1583">
        <f>'$REV-DSUM-CONV'!B226</f>
        <v>33142729</v>
      </c>
      <c r="J30" s="1584"/>
      <c r="K30" s="1560">
        <f>'$REV-DSUM-CONV'!B366</f>
        <v>56530342</v>
      </c>
      <c r="L30" s="1584"/>
      <c r="M30" s="1560">
        <f>'$REV-DSUM-CONV'!B506</f>
        <v>0</v>
      </c>
      <c r="N30" s="1584"/>
      <c r="O30" s="1560">
        <f>'$REV-DSUM-CONV'!B646</f>
        <v>0</v>
      </c>
      <c r="P30" s="1584"/>
      <c r="Q30" s="1560">
        <f>'$REV-DSUM-CONV'!B786</f>
        <v>0</v>
      </c>
      <c r="R30" s="1584"/>
      <c r="S30" s="407"/>
      <c r="T30" s="1585"/>
      <c r="U30" s="1491"/>
      <c r="V30" s="1492"/>
      <c r="W30" s="1492"/>
      <c r="X30" s="1492"/>
      <c r="Y30" s="1492"/>
      <c r="Z30" s="1492"/>
      <c r="AA30" s="1492"/>
      <c r="AB30" s="1493"/>
      <c r="AC30" s="722"/>
      <c r="AD30" s="722"/>
      <c r="AE30" s="722"/>
      <c r="AF30" s="265"/>
      <c r="AG30" s="265"/>
      <c r="AH30" s="265"/>
    </row>
    <row r="31" spans="1:34" ht="15" customHeight="1">
      <c r="A31" s="1585"/>
      <c r="B31" s="406"/>
      <c r="C31" s="1772"/>
      <c r="D31" s="1627"/>
      <c r="E31" s="1572">
        <f>E30/E32</f>
        <v>1.0666236020322994E-2</v>
      </c>
      <c r="F31" s="1552"/>
      <c r="G31" s="1601" t="s">
        <v>157</v>
      </c>
      <c r="H31" s="1602"/>
      <c r="I31" s="1594">
        <f>I30/I32</f>
        <v>2.9159807441580497E-2</v>
      </c>
      <c r="J31" s="1553"/>
      <c r="K31" s="1572">
        <f>K30/K32</f>
        <v>6.2417998924540564E-2</v>
      </c>
      <c r="L31" s="1553"/>
      <c r="M31" s="1572" t="e">
        <f>M30/M32</f>
        <v>#DIV/0!</v>
      </c>
      <c r="N31" s="1553"/>
      <c r="O31" s="1572" t="e">
        <f>O30/O32</f>
        <v>#DIV/0!</v>
      </c>
      <c r="P31" s="1553"/>
      <c r="Q31" s="1572" t="e">
        <f>Q30/Q32</f>
        <v>#DIV/0!</v>
      </c>
      <c r="R31" s="1553"/>
      <c r="S31" s="407"/>
      <c r="T31" s="1585"/>
      <c r="U31" s="1491"/>
      <c r="V31" s="1492"/>
      <c r="W31" s="1492"/>
      <c r="X31" s="1492"/>
      <c r="Y31" s="1492"/>
      <c r="Z31" s="1492"/>
      <c r="AA31" s="1492"/>
      <c r="AB31" s="1493"/>
      <c r="AC31" s="722"/>
      <c r="AD31" s="722"/>
      <c r="AE31" s="722"/>
      <c r="AF31" s="265"/>
      <c r="AG31" s="265"/>
      <c r="AH31" s="265"/>
    </row>
    <row r="32" spans="1:34" ht="15" customHeight="1" thickBot="1">
      <c r="A32" s="1585"/>
      <c r="B32" s="406"/>
      <c r="C32" s="1770" t="s">
        <v>146</v>
      </c>
      <c r="D32" s="1639"/>
      <c r="E32" s="1560">
        <f>E28+E30</f>
        <v>18208778769.749996</v>
      </c>
      <c r="F32" s="1561"/>
      <c r="G32" s="1580" t="s">
        <v>157</v>
      </c>
      <c r="H32" s="1581"/>
      <c r="I32" s="1583">
        <f>I28+I30</f>
        <v>1136589432.78</v>
      </c>
      <c r="J32" s="1584"/>
      <c r="K32" s="1560">
        <f>K28+K30</f>
        <v>905673731.51999998</v>
      </c>
      <c r="L32" s="1584"/>
      <c r="M32" s="1560">
        <f>M28+M30</f>
        <v>0</v>
      </c>
      <c r="N32" s="1584"/>
      <c r="O32" s="1560">
        <f>O28+O30</f>
        <v>0</v>
      </c>
      <c r="P32" s="1584"/>
      <c r="Q32" s="1560">
        <f>Q28+Q30</f>
        <v>0</v>
      </c>
      <c r="R32" s="1584"/>
      <c r="S32" s="407"/>
      <c r="T32" s="1585"/>
      <c r="U32" s="1491"/>
      <c r="V32" s="1492"/>
      <c r="W32" s="1492"/>
      <c r="X32" s="1492"/>
      <c r="Y32" s="1492"/>
      <c r="Z32" s="1492"/>
      <c r="AA32" s="1492"/>
      <c r="AB32" s="1493"/>
      <c r="AC32" s="722"/>
      <c r="AD32" s="722"/>
      <c r="AE32" s="722"/>
      <c r="AF32" s="265"/>
      <c r="AG32" s="265"/>
      <c r="AH32" s="265"/>
    </row>
    <row r="33" spans="1:34" ht="43.5" customHeight="1">
      <c r="A33" s="1585"/>
      <c r="B33" s="406"/>
      <c r="C33" s="1767" t="s">
        <v>177</v>
      </c>
      <c r="D33" s="1768"/>
      <c r="E33" s="899" t="s">
        <v>165</v>
      </c>
      <c r="F33" s="900" t="s">
        <v>164</v>
      </c>
      <c r="G33" s="899" t="s">
        <v>165</v>
      </c>
      <c r="H33" s="901" t="s">
        <v>164</v>
      </c>
      <c r="I33" s="902" t="s">
        <v>165</v>
      </c>
      <c r="J33" s="903" t="s">
        <v>164</v>
      </c>
      <c r="K33" s="899" t="s">
        <v>165</v>
      </c>
      <c r="L33" s="903" t="s">
        <v>164</v>
      </c>
      <c r="M33" s="899" t="s">
        <v>165</v>
      </c>
      <c r="N33" s="903" t="s">
        <v>164</v>
      </c>
      <c r="O33" s="899" t="s">
        <v>165</v>
      </c>
      <c r="P33" s="903" t="s">
        <v>164</v>
      </c>
      <c r="Q33" s="899" t="s">
        <v>165</v>
      </c>
      <c r="R33" s="903" t="s">
        <v>164</v>
      </c>
      <c r="S33" s="407"/>
      <c r="T33" s="1585"/>
      <c r="U33" s="1494"/>
      <c r="V33" s="1495"/>
      <c r="W33" s="1495"/>
      <c r="X33" s="1495"/>
      <c r="Y33" s="1495"/>
      <c r="Z33" s="1495"/>
      <c r="AA33" s="1495"/>
      <c r="AB33" s="1496"/>
      <c r="AC33" s="722"/>
      <c r="AD33" s="722"/>
      <c r="AE33" s="722"/>
      <c r="AF33" s="265"/>
      <c r="AG33" s="265"/>
      <c r="AH33" s="265"/>
    </row>
    <row r="34" spans="1:34" ht="15" customHeight="1">
      <c r="A34" s="1585"/>
      <c r="B34" s="406"/>
      <c r="C34" s="1769" t="s">
        <v>145</v>
      </c>
      <c r="D34" s="1619"/>
      <c r="E34" s="543">
        <f t="shared" ref="E34:R34" si="2">E13/E19</f>
        <v>0.12822112347168638</v>
      </c>
      <c r="F34" s="529">
        <f t="shared" si="2"/>
        <v>8.8553300197016641E-2</v>
      </c>
      <c r="G34" s="535">
        <f t="shared" si="2"/>
        <v>0.12194737844305113</v>
      </c>
      <c r="H34" s="556">
        <f t="shared" si="2"/>
        <v>8.8553300197016641E-2</v>
      </c>
      <c r="I34" s="522">
        <f t="shared" si="2"/>
        <v>8.6233402613862309E-2</v>
      </c>
      <c r="J34" s="571">
        <f t="shared" si="2"/>
        <v>0.10247243671455056</v>
      </c>
      <c r="K34" s="543">
        <f t="shared" si="2"/>
        <v>0.1203237277484494</v>
      </c>
      <c r="L34" s="571">
        <f t="shared" si="2"/>
        <v>7.805239105045568E-2</v>
      </c>
      <c r="M34" s="543" t="e">
        <f t="shared" si="2"/>
        <v>#DIV/0!</v>
      </c>
      <c r="N34" s="571" t="e">
        <f t="shared" si="2"/>
        <v>#DIV/0!</v>
      </c>
      <c r="O34" s="543" t="e">
        <f t="shared" si="2"/>
        <v>#DIV/0!</v>
      </c>
      <c r="P34" s="571" t="e">
        <f t="shared" si="2"/>
        <v>#DIV/0!</v>
      </c>
      <c r="Q34" s="543" t="e">
        <f t="shared" si="2"/>
        <v>#DIV/0!</v>
      </c>
      <c r="R34" s="571" t="e">
        <f t="shared" si="2"/>
        <v>#DIV/0!</v>
      </c>
      <c r="S34" s="407"/>
      <c r="T34" s="1585"/>
      <c r="U34" s="1571" t="s">
        <v>417</v>
      </c>
      <c r="V34" s="1571"/>
      <c r="W34" s="1571"/>
      <c r="X34" s="1571"/>
      <c r="Y34" s="1571"/>
      <c r="Z34" s="1571"/>
      <c r="AA34" s="1571"/>
      <c r="AB34" s="1571"/>
      <c r="AC34" s="722"/>
      <c r="AD34" s="722"/>
      <c r="AE34" s="722"/>
      <c r="AF34" s="265"/>
      <c r="AG34" s="265"/>
      <c r="AH34" s="265"/>
    </row>
    <row r="35" spans="1:34" ht="15" customHeight="1">
      <c r="A35" s="1585"/>
      <c r="B35" s="406"/>
      <c r="C35" s="1764" t="s">
        <v>144</v>
      </c>
      <c r="D35" s="1605"/>
      <c r="E35" s="544">
        <f t="shared" ref="E35:R35" si="3">E14/E19</f>
        <v>0.40233655968485582</v>
      </c>
      <c r="F35" s="530">
        <f t="shared" si="3"/>
        <v>0.56178974685150995</v>
      </c>
      <c r="G35" s="536">
        <f t="shared" si="3"/>
        <v>0.32323666457370576</v>
      </c>
      <c r="H35" s="557">
        <f t="shared" si="3"/>
        <v>0.56178974685150995</v>
      </c>
      <c r="I35" s="523">
        <f t="shared" si="3"/>
        <v>0.26411722515608316</v>
      </c>
      <c r="J35" s="572">
        <f t="shared" si="3"/>
        <v>0.4481648750167796</v>
      </c>
      <c r="K35" s="544">
        <f t="shared" si="3"/>
        <v>0.13397896114378269</v>
      </c>
      <c r="L35" s="572">
        <f t="shared" si="3"/>
        <v>0.40970702070049386</v>
      </c>
      <c r="M35" s="544" t="e">
        <f t="shared" si="3"/>
        <v>#DIV/0!</v>
      </c>
      <c r="N35" s="572" t="e">
        <f t="shared" si="3"/>
        <v>#DIV/0!</v>
      </c>
      <c r="O35" s="544" t="e">
        <f t="shared" si="3"/>
        <v>#DIV/0!</v>
      </c>
      <c r="P35" s="572" t="e">
        <f t="shared" si="3"/>
        <v>#DIV/0!</v>
      </c>
      <c r="Q35" s="544" t="e">
        <f t="shared" si="3"/>
        <v>#DIV/0!</v>
      </c>
      <c r="R35" s="572" t="e">
        <f t="shared" si="3"/>
        <v>#DIV/0!</v>
      </c>
      <c r="S35" s="407"/>
      <c r="T35" s="1585"/>
      <c r="U35" s="1571"/>
      <c r="V35" s="1571"/>
      <c r="W35" s="1571"/>
      <c r="X35" s="1571"/>
      <c r="Y35" s="1571"/>
      <c r="Z35" s="1571"/>
      <c r="AA35" s="1571"/>
      <c r="AB35" s="1571"/>
      <c r="AC35" s="722"/>
      <c r="AD35" s="722"/>
      <c r="AE35" s="722"/>
      <c r="AF35" s="265"/>
      <c r="AG35" s="265"/>
      <c r="AH35" s="265"/>
    </row>
    <row r="36" spans="1:34" ht="15" customHeight="1">
      <c r="A36" s="1585"/>
      <c r="B36" s="406"/>
      <c r="C36" s="1764" t="s">
        <v>143</v>
      </c>
      <c r="D36" s="1605"/>
      <c r="E36" s="544">
        <f t="shared" ref="E36:R36" si="4">E15/E19</f>
        <v>0.41063330547190247</v>
      </c>
      <c r="F36" s="530">
        <f t="shared" si="4"/>
        <v>0.24734368033320223</v>
      </c>
      <c r="G36" s="536">
        <f t="shared" si="4"/>
        <v>0.46729108696123417</v>
      </c>
      <c r="H36" s="557">
        <f t="shared" si="4"/>
        <v>0.24734368033320223</v>
      </c>
      <c r="I36" s="523">
        <f t="shared" si="4"/>
        <v>0.59274267828199834</v>
      </c>
      <c r="J36" s="572">
        <f t="shared" si="4"/>
        <v>0.34026035695491458</v>
      </c>
      <c r="K36" s="544">
        <f t="shared" si="4"/>
        <v>0.56699312415557601</v>
      </c>
      <c r="L36" s="572">
        <f t="shared" si="4"/>
        <v>0.3720505465896527</v>
      </c>
      <c r="M36" s="544" t="e">
        <f t="shared" si="4"/>
        <v>#DIV/0!</v>
      </c>
      <c r="N36" s="572" t="e">
        <f t="shared" si="4"/>
        <v>#DIV/0!</v>
      </c>
      <c r="O36" s="544" t="e">
        <f t="shared" si="4"/>
        <v>#DIV/0!</v>
      </c>
      <c r="P36" s="572" t="e">
        <f t="shared" si="4"/>
        <v>#DIV/0!</v>
      </c>
      <c r="Q36" s="544" t="e">
        <f t="shared" si="4"/>
        <v>#DIV/0!</v>
      </c>
      <c r="R36" s="572" t="e">
        <f t="shared" si="4"/>
        <v>#DIV/0!</v>
      </c>
      <c r="S36" s="407"/>
      <c r="T36" s="1585"/>
      <c r="U36" s="1571"/>
      <c r="V36" s="1571"/>
      <c r="W36" s="1571"/>
      <c r="X36" s="1571"/>
      <c r="Y36" s="1571"/>
      <c r="Z36" s="1571"/>
      <c r="AA36" s="1571"/>
      <c r="AB36" s="1571"/>
      <c r="AC36" s="722"/>
      <c r="AD36" s="722"/>
      <c r="AE36" s="722"/>
      <c r="AF36" s="265"/>
      <c r="AG36" s="265"/>
      <c r="AH36" s="265"/>
    </row>
    <row r="37" spans="1:34" ht="15" customHeight="1">
      <c r="A37" s="1585"/>
      <c r="B37" s="406"/>
      <c r="C37" s="1764" t="s">
        <v>149</v>
      </c>
      <c r="D37" s="1605"/>
      <c r="E37" s="544">
        <f>E16/E19</f>
        <v>5.880901137155526E-2</v>
      </c>
      <c r="F37" s="530">
        <f t="shared" ref="F37:R37" si="5">F16/F19</f>
        <v>8.958435670487909E-2</v>
      </c>
      <c r="G37" s="536">
        <f t="shared" si="5"/>
        <v>8.752487002200901E-2</v>
      </c>
      <c r="H37" s="557">
        <f t="shared" si="5"/>
        <v>8.958435670487909E-2</v>
      </c>
      <c r="I37" s="523">
        <f t="shared" si="5"/>
        <v>5.6906693948056301E-2</v>
      </c>
      <c r="J37" s="572">
        <f t="shared" si="5"/>
        <v>0.10114269709051417</v>
      </c>
      <c r="K37" s="544">
        <f t="shared" si="5"/>
        <v>0.17870418695219187</v>
      </c>
      <c r="L37" s="572">
        <f t="shared" si="5"/>
        <v>0.11643899129426812</v>
      </c>
      <c r="M37" s="544" t="e">
        <f t="shared" si="5"/>
        <v>#DIV/0!</v>
      </c>
      <c r="N37" s="572" t="e">
        <f t="shared" si="5"/>
        <v>#DIV/0!</v>
      </c>
      <c r="O37" s="544" t="e">
        <f t="shared" si="5"/>
        <v>#DIV/0!</v>
      </c>
      <c r="P37" s="572" t="e">
        <f t="shared" si="5"/>
        <v>#DIV/0!</v>
      </c>
      <c r="Q37" s="544" t="e">
        <f t="shared" si="5"/>
        <v>#DIV/0!</v>
      </c>
      <c r="R37" s="572" t="e">
        <f t="shared" si="5"/>
        <v>#DIV/0!</v>
      </c>
      <c r="S37" s="407"/>
      <c r="T37" s="1585"/>
      <c r="U37" s="1571"/>
      <c r="V37" s="1571"/>
      <c r="W37" s="1571"/>
      <c r="X37" s="1571"/>
      <c r="Y37" s="1571"/>
      <c r="Z37" s="1571"/>
      <c r="AA37" s="1571"/>
      <c r="AB37" s="1571"/>
      <c r="AC37" s="722"/>
      <c r="AD37" s="722"/>
      <c r="AE37" s="722"/>
      <c r="AF37" s="265"/>
      <c r="AG37" s="265"/>
      <c r="AH37" s="265"/>
    </row>
    <row r="38" spans="1:34" ht="15" customHeight="1">
      <c r="A38" s="1585"/>
      <c r="B38" s="406"/>
      <c r="C38" s="1764" t="s">
        <v>363</v>
      </c>
      <c r="D38" s="1605"/>
      <c r="E38" s="544">
        <f t="shared" ref="E38:R38" si="6">E17/E19</f>
        <v>0</v>
      </c>
      <c r="F38" s="530">
        <f t="shared" si="6"/>
        <v>1.2728915913392095E-2</v>
      </c>
      <c r="G38" s="536">
        <f t="shared" si="6"/>
        <v>0</v>
      </c>
      <c r="H38" s="557">
        <f t="shared" si="6"/>
        <v>1.2728915913392095E-2</v>
      </c>
      <c r="I38" s="523">
        <f t="shared" si="6"/>
        <v>0</v>
      </c>
      <c r="J38" s="572">
        <f t="shared" si="6"/>
        <v>7.9596342232409398E-3</v>
      </c>
      <c r="K38" s="544">
        <f t="shared" si="6"/>
        <v>0</v>
      </c>
      <c r="L38" s="572">
        <f t="shared" si="6"/>
        <v>2.3751050365129575E-2</v>
      </c>
      <c r="M38" s="544" t="e">
        <f t="shared" si="6"/>
        <v>#DIV/0!</v>
      </c>
      <c r="N38" s="572" t="e">
        <f t="shared" si="6"/>
        <v>#DIV/0!</v>
      </c>
      <c r="O38" s="544" t="e">
        <f t="shared" si="6"/>
        <v>#DIV/0!</v>
      </c>
      <c r="P38" s="572" t="e">
        <f t="shared" si="6"/>
        <v>#DIV/0!</v>
      </c>
      <c r="Q38" s="544" t="e">
        <f t="shared" si="6"/>
        <v>#DIV/0!</v>
      </c>
      <c r="R38" s="572" t="e">
        <f t="shared" si="6"/>
        <v>#DIV/0!</v>
      </c>
      <c r="S38" s="407"/>
      <c r="T38" s="1585"/>
      <c r="U38" s="1571"/>
      <c r="V38" s="1571"/>
      <c r="W38" s="1571"/>
      <c r="X38" s="1571"/>
      <c r="Y38" s="1571"/>
      <c r="Z38" s="1571"/>
      <c r="AA38" s="1571"/>
      <c r="AB38" s="1571"/>
      <c r="AC38" s="722"/>
      <c r="AD38" s="722"/>
      <c r="AE38" s="722"/>
      <c r="AF38" s="265"/>
      <c r="AG38" s="265"/>
      <c r="AH38" s="265"/>
    </row>
    <row r="39" spans="1:34" ht="15" customHeight="1" thickBot="1">
      <c r="A39" s="1585"/>
      <c r="B39" s="406"/>
      <c r="C39" s="1764" t="s">
        <v>150</v>
      </c>
      <c r="D39" s="1605"/>
      <c r="E39" s="544">
        <f t="shared" ref="E39:R39" si="7">E18/E19</f>
        <v>0</v>
      </c>
      <c r="F39" s="530">
        <f t="shared" si="7"/>
        <v>0</v>
      </c>
      <c r="G39" s="563">
        <f t="shared" si="7"/>
        <v>0</v>
      </c>
      <c r="H39" s="558">
        <f t="shared" si="7"/>
        <v>0</v>
      </c>
      <c r="I39" s="848">
        <f t="shared" si="7"/>
        <v>0</v>
      </c>
      <c r="J39" s="849">
        <f t="shared" si="7"/>
        <v>0</v>
      </c>
      <c r="K39" s="544">
        <f t="shared" si="7"/>
        <v>0</v>
      </c>
      <c r="L39" s="572">
        <f t="shared" si="7"/>
        <v>0</v>
      </c>
      <c r="M39" s="850" t="e">
        <f t="shared" si="7"/>
        <v>#DIV/0!</v>
      </c>
      <c r="N39" s="849" t="e">
        <f t="shared" si="7"/>
        <v>#DIV/0!</v>
      </c>
      <c r="O39" s="850" t="e">
        <f t="shared" si="7"/>
        <v>#DIV/0!</v>
      </c>
      <c r="P39" s="849" t="e">
        <f t="shared" si="7"/>
        <v>#DIV/0!</v>
      </c>
      <c r="Q39" s="544" t="e">
        <f t="shared" si="7"/>
        <v>#DIV/0!</v>
      </c>
      <c r="R39" s="572" t="e">
        <f t="shared" si="7"/>
        <v>#DIV/0!</v>
      </c>
      <c r="S39" s="407"/>
      <c r="T39" s="1585"/>
      <c r="U39" s="1516"/>
      <c r="V39" s="1517"/>
      <c r="W39" s="1517"/>
      <c r="X39" s="1517"/>
      <c r="Y39" s="1517"/>
      <c r="Z39" s="1517"/>
      <c r="AA39" s="1517"/>
      <c r="AB39" s="1518"/>
      <c r="AC39" s="722"/>
      <c r="AD39" s="722"/>
      <c r="AE39" s="722"/>
      <c r="AF39" s="265"/>
      <c r="AG39" s="265"/>
      <c r="AH39" s="265"/>
    </row>
    <row r="40" spans="1:34" ht="15" customHeight="1">
      <c r="A40" s="1585"/>
      <c r="B40" s="409"/>
      <c r="C40" s="908" t="s">
        <v>375</v>
      </c>
      <c r="D40" s="904"/>
      <c r="E40" s="905"/>
      <c r="F40" s="905"/>
      <c r="G40" s="905"/>
      <c r="H40" s="905"/>
      <c r="I40" s="905"/>
      <c r="J40" s="905"/>
      <c r="K40" s="905"/>
      <c r="L40" s="905"/>
      <c r="M40" s="905"/>
      <c r="N40" s="905"/>
      <c r="O40" s="905"/>
      <c r="P40" s="905"/>
      <c r="Q40" s="905"/>
      <c r="R40" s="909"/>
      <c r="S40" s="410"/>
      <c r="T40" s="1585"/>
      <c r="U40" s="1516"/>
      <c r="V40" s="1517"/>
      <c r="W40" s="1517"/>
      <c r="X40" s="1517"/>
      <c r="Y40" s="1517"/>
      <c r="Z40" s="1517"/>
      <c r="AA40" s="1517"/>
      <c r="AB40" s="1518"/>
      <c r="AC40" s="722"/>
      <c r="AD40" s="722"/>
      <c r="AE40" s="722"/>
      <c r="AF40" s="265"/>
      <c r="AG40" s="265"/>
      <c r="AH40" s="265"/>
    </row>
    <row r="41" spans="1:34" ht="15" customHeight="1">
      <c r="A41" s="1585"/>
      <c r="B41" s="406"/>
      <c r="C41" s="1765"/>
      <c r="D41" s="1621"/>
      <c r="E41" s="1613">
        <f>F10*E21</f>
        <v>-5016068286.4915428</v>
      </c>
      <c r="F41" s="1611"/>
      <c r="G41" s="537"/>
      <c r="H41" s="524"/>
      <c r="I41" s="1766">
        <f>J10*I21</f>
        <v>-256185111.08315647</v>
      </c>
      <c r="J41" s="1612"/>
      <c r="K41" s="1613">
        <f>L10*K21</f>
        <v>-259757595.90639013</v>
      </c>
      <c r="L41" s="1612"/>
      <c r="M41" s="1613" t="e">
        <f>N10*M21</f>
        <v>#DIV/0!</v>
      </c>
      <c r="N41" s="1612"/>
      <c r="O41" s="1613" t="e">
        <f>P10*O21</f>
        <v>#DIV/0!</v>
      </c>
      <c r="P41" s="1612"/>
      <c r="Q41" s="1613" t="e">
        <f>R10*Q21</f>
        <v>#DIV/0!</v>
      </c>
      <c r="R41" s="1612"/>
      <c r="S41" s="407"/>
      <c r="T41" s="1585"/>
      <c r="U41" s="1516"/>
      <c r="V41" s="1517"/>
      <c r="W41" s="1517"/>
      <c r="X41" s="1517"/>
      <c r="Y41" s="1517"/>
      <c r="Z41" s="1517"/>
      <c r="AA41" s="1517"/>
      <c r="AB41" s="1518"/>
      <c r="AC41" s="722"/>
      <c r="AD41" s="722"/>
      <c r="AE41" s="722"/>
      <c r="AF41" s="265"/>
      <c r="AG41" s="265"/>
      <c r="AH41" s="265"/>
    </row>
    <row r="42" spans="1:34" ht="15" customHeight="1">
      <c r="A42" s="1585"/>
      <c r="B42" s="407"/>
      <c r="C42" s="407"/>
      <c r="D42" s="407"/>
      <c r="E42" s="407"/>
      <c r="F42" s="407"/>
      <c r="G42" s="407"/>
      <c r="H42" s="407"/>
      <c r="I42" s="407"/>
      <c r="J42" s="407"/>
      <c r="K42" s="407"/>
      <c r="L42" s="407"/>
      <c r="M42" s="407"/>
      <c r="N42" s="407"/>
      <c r="O42" s="407"/>
      <c r="P42" s="407"/>
      <c r="Q42" s="407"/>
      <c r="R42" s="407"/>
      <c r="S42" s="407"/>
      <c r="T42" s="1585"/>
      <c r="U42" s="1516"/>
      <c r="V42" s="1517"/>
      <c r="W42" s="1517"/>
      <c r="X42" s="1517"/>
      <c r="Y42" s="1517"/>
      <c r="Z42" s="1517"/>
      <c r="AA42" s="1517"/>
      <c r="AB42" s="1518"/>
      <c r="AC42" s="722"/>
      <c r="AD42" s="722"/>
      <c r="AE42" s="722"/>
      <c r="AF42" s="265"/>
      <c r="AG42" s="265"/>
      <c r="AH42" s="265"/>
    </row>
    <row r="43" spans="1:34" ht="18" customHeight="1">
      <c r="A43" s="1585"/>
      <c r="B43" s="1530" t="s">
        <v>609</v>
      </c>
      <c r="C43" s="1530"/>
      <c r="D43" s="1530"/>
      <c r="E43" s="1530"/>
      <c r="F43" s="1530"/>
      <c r="G43" s="1530"/>
      <c r="H43" s="1530"/>
      <c r="I43" s="1530"/>
      <c r="J43" s="1530"/>
      <c r="K43" s="1530"/>
      <c r="L43" s="1530"/>
      <c r="M43" s="1530"/>
      <c r="N43" s="1530"/>
      <c r="O43" s="1530"/>
      <c r="P43" s="1530"/>
      <c r="Q43" s="1530"/>
      <c r="R43" s="1530"/>
      <c r="S43" s="1530"/>
      <c r="T43" s="1585"/>
      <c r="U43" s="395" t="str">
        <f>W48</f>
        <v>GA</v>
      </c>
      <c r="V43" s="1531" t="s">
        <v>220</v>
      </c>
      <c r="W43" s="1531"/>
      <c r="X43" s="1531"/>
      <c r="Y43" s="1531"/>
      <c r="Z43" s="1531"/>
      <c r="AA43" s="1531"/>
      <c r="AB43" s="395"/>
      <c r="AC43" s="272"/>
      <c r="AD43" s="723"/>
      <c r="AE43" s="272"/>
      <c r="AF43" s="265"/>
      <c r="AG43" s="265"/>
      <c r="AH43" s="265"/>
    </row>
    <row r="44" spans="1:34" ht="18" customHeight="1">
      <c r="A44" s="402"/>
      <c r="B44" s="1515" t="s">
        <v>376</v>
      </c>
      <c r="C44" s="1515"/>
      <c r="D44" s="1515"/>
      <c r="E44" s="1515"/>
      <c r="F44" s="1515"/>
      <c r="G44" s="1515"/>
      <c r="H44" s="1515"/>
      <c r="I44" s="1515"/>
      <c r="J44" s="1515"/>
      <c r="K44" s="1515"/>
      <c r="L44" s="1515"/>
      <c r="M44" s="1515"/>
      <c r="N44" s="1515"/>
      <c r="O44" s="1515"/>
      <c r="P44" s="1515"/>
      <c r="Q44" s="1515"/>
      <c r="R44" s="1515"/>
      <c r="S44" s="1515"/>
      <c r="T44" s="402"/>
      <c r="U44" s="411" t="s">
        <v>327</v>
      </c>
      <c r="V44" s="411"/>
      <c r="W44" s="411"/>
      <c r="X44" s="411"/>
      <c r="Y44" s="411"/>
      <c r="Z44" s="411"/>
      <c r="AA44" s="411"/>
      <c r="AB44" s="411"/>
      <c r="AC44" s="724"/>
      <c r="AD44" s="724"/>
      <c r="AE44" s="724"/>
      <c r="AF44" s="265"/>
      <c r="AG44" s="265"/>
      <c r="AH44" s="265"/>
    </row>
    <row r="45" spans="1:34" ht="15.95" customHeight="1">
      <c r="A45" s="412"/>
      <c r="B45" s="412"/>
      <c r="C45" s="412"/>
      <c r="D45" s="412"/>
      <c r="E45" s="412"/>
      <c r="F45" s="412"/>
      <c r="G45" s="412"/>
      <c r="H45" s="412"/>
      <c r="I45" s="412"/>
      <c r="J45" s="412"/>
      <c r="K45" s="412"/>
      <c r="L45" s="412"/>
      <c r="M45" s="412"/>
      <c r="N45" s="412"/>
      <c r="O45" s="412"/>
      <c r="P45" s="412"/>
      <c r="Q45" s="412"/>
      <c r="R45" s="412"/>
      <c r="S45" s="412"/>
      <c r="T45" s="413"/>
      <c r="U45" s="408"/>
      <c r="V45" s="408"/>
      <c r="W45" s="408"/>
      <c r="X45" s="408"/>
      <c r="Y45" s="408"/>
      <c r="Z45" s="408"/>
      <c r="AA45" s="408"/>
      <c r="AB45" s="408"/>
      <c r="AC45" s="265"/>
      <c r="AD45" s="265"/>
      <c r="AE45" s="265"/>
      <c r="AF45" s="265"/>
      <c r="AG45" s="265"/>
      <c r="AH45" s="265"/>
    </row>
    <row r="46" spans="1:34" ht="15.95" customHeight="1">
      <c r="A46" s="412"/>
      <c r="B46" s="412"/>
      <c r="C46" s="412"/>
      <c r="D46" s="412"/>
      <c r="E46" s="412"/>
      <c r="F46" s="412"/>
      <c r="G46" s="412"/>
      <c r="H46" s="412"/>
      <c r="I46" s="412"/>
      <c r="J46" s="412"/>
      <c r="K46" s="412"/>
      <c r="L46" s="412"/>
      <c r="M46" s="412"/>
      <c r="N46" s="412"/>
      <c r="O46" s="412"/>
      <c r="P46" s="412"/>
      <c r="Q46" s="412"/>
      <c r="R46" s="412"/>
      <c r="S46" s="412"/>
      <c r="T46" s="413"/>
      <c r="U46" s="408"/>
      <c r="V46" s="414"/>
      <c r="W46" s="414"/>
      <c r="X46" s="408"/>
      <c r="Y46" s="408"/>
      <c r="Z46" s="408"/>
      <c r="AA46" s="408"/>
      <c r="AB46" s="408"/>
      <c r="AC46" s="265"/>
      <c r="AD46" s="265"/>
      <c r="AE46" s="265"/>
      <c r="AF46" s="265"/>
      <c r="AG46" s="265"/>
      <c r="AH46" s="265"/>
    </row>
    <row r="47" spans="1:34" ht="15.95" customHeight="1">
      <c r="A47" s="412"/>
      <c r="B47" s="412"/>
      <c r="C47" s="415"/>
      <c r="D47" s="415"/>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1549" t="s">
        <v>492</v>
      </c>
      <c r="AE47" s="1549"/>
      <c r="AF47" s="1549"/>
      <c r="AG47" s="1549"/>
      <c r="AH47" s="1549"/>
    </row>
    <row r="48" spans="1:34" ht="15.95" customHeight="1">
      <c r="A48" s="412"/>
      <c r="B48" s="412"/>
      <c r="C48" s="1498" t="s">
        <v>556</v>
      </c>
      <c r="D48" s="1498"/>
      <c r="E48" s="1498"/>
      <c r="F48" s="1498"/>
      <c r="G48" s="1498"/>
      <c r="H48" s="1498"/>
      <c r="I48" s="1498"/>
      <c r="J48" s="1498"/>
      <c r="K48" s="412"/>
      <c r="L48" s="1514" t="s">
        <v>413</v>
      </c>
      <c r="M48" s="1514"/>
      <c r="N48" s="1514"/>
      <c r="O48" s="1514"/>
      <c r="P48" s="1514"/>
      <c r="Q48" s="1514"/>
      <c r="R48" s="1514"/>
      <c r="S48" s="412"/>
      <c r="T48" s="413"/>
      <c r="U48" s="408"/>
      <c r="V48" s="594" t="s">
        <v>161</v>
      </c>
      <c r="W48" s="1294" t="str">
        <f>'FIG3'!W49</f>
        <v>GA</v>
      </c>
      <c r="X48" s="455"/>
      <c r="Y48" s="456"/>
      <c r="Z48" s="456"/>
      <c r="AA48" s="414"/>
      <c r="AB48" s="408"/>
      <c r="AC48" s="265"/>
      <c r="AD48" s="1549"/>
      <c r="AE48" s="1549"/>
      <c r="AF48" s="1549"/>
      <c r="AG48" s="1549"/>
      <c r="AH48" s="1549"/>
    </row>
    <row r="49" spans="1:36" ht="15.95" customHeight="1">
      <c r="A49" s="412"/>
      <c r="B49" s="412"/>
      <c r="C49" s="1498"/>
      <c r="D49" s="1498"/>
      <c r="E49" s="1498"/>
      <c r="F49" s="1498"/>
      <c r="G49" s="1498"/>
      <c r="H49" s="1498"/>
      <c r="I49" s="1498"/>
      <c r="J49" s="1498"/>
      <c r="K49" s="412"/>
      <c r="L49" s="1514"/>
      <c r="M49" s="1514"/>
      <c r="N49" s="1514"/>
      <c r="O49" s="1514"/>
      <c r="P49" s="1514"/>
      <c r="Q49" s="1514"/>
      <c r="R49" s="1514"/>
      <c r="S49" s="412"/>
      <c r="T49" s="413"/>
      <c r="U49" s="408"/>
      <c r="V49" s="594" t="s">
        <v>162</v>
      </c>
      <c r="W49" s="1294" t="str">
        <f>'FIG3'!W50</f>
        <v>FY2010-11</v>
      </c>
      <c r="X49" s="455"/>
      <c r="Y49" s="456"/>
      <c r="Z49" s="456"/>
      <c r="AA49" s="414"/>
      <c r="AB49" s="408"/>
      <c r="AC49" s="265"/>
      <c r="AD49" s="265"/>
      <c r="AE49" s="265"/>
      <c r="AF49" s="265"/>
      <c r="AG49" s="265"/>
      <c r="AH49" s="265"/>
    </row>
    <row r="50" spans="1:36" ht="15.95" customHeight="1">
      <c r="A50" s="412"/>
      <c r="B50" s="412"/>
      <c r="C50" s="1498"/>
      <c r="D50" s="1498"/>
      <c r="E50" s="1498"/>
      <c r="F50" s="1498"/>
      <c r="G50" s="1498"/>
      <c r="H50" s="1498"/>
      <c r="I50" s="1498"/>
      <c r="J50" s="1498"/>
      <c r="K50" s="412"/>
      <c r="L50" s="1514"/>
      <c r="M50" s="1514"/>
      <c r="N50" s="1514"/>
      <c r="O50" s="1514"/>
      <c r="P50" s="1514"/>
      <c r="Q50" s="1514"/>
      <c r="R50" s="1514"/>
      <c r="S50" s="412"/>
      <c r="T50" s="413"/>
      <c r="U50" s="408"/>
      <c r="V50" s="594"/>
      <c r="W50" s="596" t="s">
        <v>168</v>
      </c>
      <c r="X50" s="596" t="s">
        <v>169</v>
      </c>
      <c r="Y50" s="597" t="s">
        <v>243</v>
      </c>
      <c r="Z50" s="597"/>
      <c r="AA50" s="416"/>
      <c r="AB50" s="408"/>
      <c r="AC50" s="265"/>
      <c r="AD50" s="726"/>
      <c r="AE50" s="271"/>
      <c r="AF50" s="271"/>
      <c r="AG50" s="271"/>
      <c r="AH50" s="271"/>
      <c r="AI50" s="1"/>
      <c r="AJ50" s="1"/>
    </row>
    <row r="51" spans="1:36" ht="15.95" customHeight="1">
      <c r="A51" s="412"/>
      <c r="B51" s="412"/>
      <c r="C51" s="1498"/>
      <c r="D51" s="1498"/>
      <c r="E51" s="1498"/>
      <c r="F51" s="1498"/>
      <c r="G51" s="1498"/>
      <c r="H51" s="1498"/>
      <c r="I51" s="1498"/>
      <c r="J51" s="1498"/>
      <c r="K51" s="412"/>
      <c r="L51" s="1514"/>
      <c r="M51" s="1514"/>
      <c r="N51" s="1514"/>
      <c r="O51" s="1514"/>
      <c r="P51" s="1514"/>
      <c r="Q51" s="1514"/>
      <c r="R51" s="1514"/>
      <c r="S51" s="412"/>
      <c r="T51" s="413"/>
      <c r="U51" s="408"/>
      <c r="V51" s="594" t="s">
        <v>152</v>
      </c>
      <c r="W51" s="1294" t="str">
        <f>'FIG3'!W52</f>
        <v>Fulton County</v>
      </c>
      <c r="X51" s="1294" t="str">
        <f>'FIG3'!X52</f>
        <v>District</v>
      </c>
      <c r="Y51" s="1295">
        <f>'FIG3'!Y52</f>
        <v>8</v>
      </c>
      <c r="Z51" s="1294"/>
      <c r="AA51" s="417"/>
      <c r="AB51" s="408"/>
      <c r="AC51" s="265"/>
      <c r="AD51" s="716" t="s">
        <v>306</v>
      </c>
      <c r="AE51" s="716" t="s">
        <v>307</v>
      </c>
      <c r="AF51" s="717" t="s">
        <v>95</v>
      </c>
      <c r="AG51" s="716"/>
      <c r="AH51" s="271"/>
      <c r="AI51" s="1"/>
      <c r="AJ51" s="1"/>
    </row>
    <row r="52" spans="1:36" ht="15.95" customHeight="1">
      <c r="A52" s="412"/>
      <c r="B52" s="412"/>
      <c r="C52" s="1498"/>
      <c r="D52" s="1498"/>
      <c r="E52" s="1498"/>
      <c r="F52" s="1498"/>
      <c r="G52" s="1498"/>
      <c r="H52" s="1498"/>
      <c r="I52" s="1498"/>
      <c r="J52" s="1498"/>
      <c r="K52" s="412"/>
      <c r="L52" s="1514"/>
      <c r="M52" s="1514"/>
      <c r="N52" s="1514"/>
      <c r="O52" s="1514"/>
      <c r="P52" s="1514"/>
      <c r="Q52" s="1514"/>
      <c r="R52" s="1514"/>
      <c r="S52" s="412"/>
      <c r="T52" s="413"/>
      <c r="U52" s="408"/>
      <c r="V52" s="594" t="s">
        <v>153</v>
      </c>
      <c r="W52" s="1294" t="str">
        <f>'FIG3'!W53</f>
        <v>Atlanta Public</v>
      </c>
      <c r="X52" s="1294" t="str">
        <f>'FIG3'!X53</f>
        <v>Schools</v>
      </c>
      <c r="Y52" s="1295">
        <f>'FIG3'!Y53</f>
        <v>13</v>
      </c>
      <c r="Z52" s="1294"/>
      <c r="AA52" s="417"/>
      <c r="AB52" s="408"/>
      <c r="AC52" s="265"/>
      <c r="AD52" s="716" t="s">
        <v>361</v>
      </c>
      <c r="AE52" s="716" t="s">
        <v>362</v>
      </c>
      <c r="AF52" s="717" t="s">
        <v>95</v>
      </c>
      <c r="AG52" s="716"/>
      <c r="AH52" s="271"/>
      <c r="AI52" s="1"/>
      <c r="AJ52" s="1"/>
    </row>
    <row r="53" spans="1:36" ht="15.95" customHeight="1">
      <c r="A53" s="412"/>
      <c r="B53" s="412"/>
      <c r="C53" s="1498"/>
      <c r="D53" s="1498"/>
      <c r="E53" s="1498"/>
      <c r="F53" s="1498"/>
      <c r="G53" s="1498"/>
      <c r="H53" s="1498"/>
      <c r="I53" s="1498"/>
      <c r="J53" s="1498"/>
      <c r="K53" s="412"/>
      <c r="L53" s="1514"/>
      <c r="M53" s="1514"/>
      <c r="N53" s="1514"/>
      <c r="O53" s="1514"/>
      <c r="P53" s="1514"/>
      <c r="Q53" s="1514"/>
      <c r="R53" s="1514"/>
      <c r="S53" s="412"/>
      <c r="T53" s="413"/>
      <c r="U53" s="408"/>
      <c r="V53" s="594" t="s">
        <v>154</v>
      </c>
      <c r="W53" s="1294" t="str">
        <f>'FIG3'!W54</f>
        <v>FA3L1</v>
      </c>
      <c r="X53" s="1294" t="str">
        <f>'FIG3'!X54</f>
        <v>FA3L2</v>
      </c>
      <c r="Y53" s="1295" t="str">
        <f>'FIG3'!Y54</f>
        <v>#</v>
      </c>
      <c r="Z53" s="1294"/>
      <c r="AA53" s="417"/>
      <c r="AB53" s="408"/>
      <c r="AC53" s="265"/>
      <c r="AD53" s="716" t="s">
        <v>357</v>
      </c>
      <c r="AE53" s="716" t="s">
        <v>240</v>
      </c>
      <c r="AF53" s="717" t="s">
        <v>95</v>
      </c>
      <c r="AG53" s="716"/>
      <c r="AH53" s="271"/>
      <c r="AI53" s="1"/>
      <c r="AJ53" s="1"/>
    </row>
    <row r="54" spans="1:36" ht="15.95" customHeight="1">
      <c r="A54" s="412"/>
      <c r="B54" s="412"/>
      <c r="C54" s="1498"/>
      <c r="D54" s="1498"/>
      <c r="E54" s="1498"/>
      <c r="F54" s="1498"/>
      <c r="G54" s="1498"/>
      <c r="H54" s="1498"/>
      <c r="I54" s="1498"/>
      <c r="J54" s="1498"/>
      <c r="K54" s="412"/>
      <c r="L54" s="1514"/>
      <c r="M54" s="1514"/>
      <c r="N54" s="1514"/>
      <c r="O54" s="1514"/>
      <c r="P54" s="1514"/>
      <c r="Q54" s="1514"/>
      <c r="R54" s="1514"/>
      <c r="S54" s="412"/>
      <c r="T54" s="413"/>
      <c r="U54" s="408"/>
      <c r="V54" s="594" t="s">
        <v>155</v>
      </c>
      <c r="W54" s="1294" t="str">
        <f>'FIG3'!W55</f>
        <v>FA4L1</v>
      </c>
      <c r="X54" s="1294" t="str">
        <f>'FIG3'!X55</f>
        <v>FA4L2</v>
      </c>
      <c r="Y54" s="1295" t="str">
        <f>'FIG3'!Y55</f>
        <v>#</v>
      </c>
      <c r="Z54" s="1294"/>
      <c r="AA54" s="417"/>
      <c r="AB54" s="408"/>
      <c r="AC54" s="265"/>
      <c r="AD54" s="716" t="s">
        <v>358</v>
      </c>
      <c r="AE54" s="716" t="s">
        <v>242</v>
      </c>
      <c r="AF54" s="717" t="s">
        <v>95</v>
      </c>
      <c r="AG54" s="716"/>
      <c r="AH54" s="271"/>
      <c r="AI54" s="1"/>
      <c r="AJ54" s="1"/>
    </row>
    <row r="55" spans="1:36" ht="15.95" customHeight="1">
      <c r="A55" s="412"/>
      <c r="B55" s="412"/>
      <c r="C55" s="1498"/>
      <c r="D55" s="1498"/>
      <c r="E55" s="1498"/>
      <c r="F55" s="1498"/>
      <c r="G55" s="1498"/>
      <c r="H55" s="1498"/>
      <c r="I55" s="1498"/>
      <c r="J55" s="1498"/>
      <c r="K55" s="412"/>
      <c r="L55" s="1514"/>
      <c r="M55" s="1514"/>
      <c r="N55" s="1514"/>
      <c r="O55" s="1514"/>
      <c r="P55" s="1514"/>
      <c r="Q55" s="1514"/>
      <c r="R55" s="1514"/>
      <c r="S55" s="412"/>
      <c r="T55" s="413"/>
      <c r="U55" s="408"/>
      <c r="V55" s="594" t="s">
        <v>156</v>
      </c>
      <c r="W55" s="1294" t="str">
        <f>'FIG3'!W56</f>
        <v>FA5L1</v>
      </c>
      <c r="X55" s="1294" t="str">
        <f>'FIG3'!X56</f>
        <v>FA5L2</v>
      </c>
      <c r="Y55" s="1295" t="str">
        <f>'FIG3'!Y56</f>
        <v>#</v>
      </c>
      <c r="Z55" s="1294"/>
      <c r="AA55" s="417"/>
      <c r="AB55" s="408"/>
      <c r="AC55" s="265"/>
      <c r="AD55" s="716" t="s">
        <v>359</v>
      </c>
      <c r="AE55" s="716" t="s">
        <v>241</v>
      </c>
      <c r="AF55" s="717" t="s">
        <v>95</v>
      </c>
      <c r="AG55" s="716"/>
      <c r="AH55" s="271"/>
      <c r="AI55" s="1"/>
      <c r="AJ55" s="1"/>
    </row>
    <row r="56" spans="1:36" ht="15.95" customHeight="1">
      <c r="A56" s="412"/>
      <c r="B56" s="412"/>
      <c r="C56" s="1498"/>
      <c r="D56" s="1498"/>
      <c r="E56" s="1498"/>
      <c r="F56" s="1498"/>
      <c r="G56" s="1498"/>
      <c r="H56" s="1498"/>
      <c r="I56" s="1498"/>
      <c r="J56" s="1498"/>
      <c r="K56" s="412"/>
      <c r="L56" s="1514"/>
      <c r="M56" s="1514"/>
      <c r="N56" s="1514"/>
      <c r="O56" s="1514"/>
      <c r="P56" s="1514"/>
      <c r="Q56" s="1514"/>
      <c r="R56" s="1514"/>
      <c r="S56" s="412"/>
      <c r="T56" s="413"/>
      <c r="U56" s="408"/>
      <c r="V56" s="595"/>
      <c r="W56" s="462"/>
      <c r="X56" s="594" t="s">
        <v>151</v>
      </c>
      <c r="Y56" s="1295">
        <f>'FIG3'!Y57</f>
        <v>49</v>
      </c>
      <c r="Z56" s="1296"/>
      <c r="AA56" s="417"/>
      <c r="AB56" s="408"/>
      <c r="AC56" s="265"/>
      <c r="AD56" s="729"/>
      <c r="AE56" s="730" t="s">
        <v>151</v>
      </c>
      <c r="AF56" s="717" t="s">
        <v>95</v>
      </c>
      <c r="AG56" s="460"/>
      <c r="AH56" s="271"/>
      <c r="AI56" s="1"/>
      <c r="AJ56" s="1"/>
    </row>
    <row r="57" spans="1:36" ht="15.95" customHeight="1">
      <c r="A57" s="412"/>
      <c r="B57" s="412"/>
      <c r="C57" s="418"/>
      <c r="D57" s="418"/>
      <c r="E57" s="418"/>
      <c r="F57" s="418"/>
      <c r="G57" s="418"/>
      <c r="H57" s="418"/>
      <c r="I57" s="418"/>
      <c r="J57" s="418"/>
      <c r="K57" s="412"/>
      <c r="L57" s="437"/>
      <c r="M57" s="437"/>
      <c r="N57" s="437"/>
      <c r="O57" s="437"/>
      <c r="P57" s="437"/>
      <c r="Q57" s="437"/>
      <c r="R57" s="437"/>
      <c r="S57" s="412"/>
      <c r="T57" s="413"/>
      <c r="U57" s="408"/>
      <c r="V57" s="408"/>
      <c r="W57" s="408"/>
      <c r="X57" s="408"/>
      <c r="Y57" s="408"/>
      <c r="Z57" s="408"/>
      <c r="AA57" s="408"/>
      <c r="AB57" s="408"/>
      <c r="AC57" s="265"/>
      <c r="AD57" s="271"/>
      <c r="AE57" s="271"/>
      <c r="AF57" s="271"/>
      <c r="AG57" s="271"/>
      <c r="AH57" s="271"/>
      <c r="AI57" s="1"/>
      <c r="AJ57" s="1"/>
    </row>
    <row r="58" spans="1:36" ht="15.95" customHeight="1">
      <c r="A58" s="412"/>
      <c r="B58" s="412"/>
      <c r="C58" s="418"/>
      <c r="D58" s="418"/>
      <c r="E58" s="418"/>
      <c r="F58" s="418"/>
      <c r="G58" s="418"/>
      <c r="H58" s="418"/>
      <c r="I58" s="418"/>
      <c r="J58" s="418"/>
      <c r="K58" s="412"/>
      <c r="L58" s="437"/>
      <c r="M58" s="437"/>
      <c r="N58" s="437"/>
      <c r="O58" s="437"/>
      <c r="P58" s="437"/>
      <c r="Q58" s="437"/>
      <c r="R58" s="437"/>
      <c r="S58" s="412"/>
      <c r="T58" s="413"/>
      <c r="U58" s="408"/>
      <c r="V58" s="1551" t="s">
        <v>416</v>
      </c>
      <c r="W58" s="1551"/>
      <c r="X58" s="1551"/>
      <c r="Y58" s="1551"/>
      <c r="Z58" s="1551"/>
      <c r="AA58" s="419"/>
      <c r="AB58" s="419"/>
      <c r="AC58" s="265"/>
      <c r="AD58" s="271"/>
      <c r="AE58" s="271"/>
      <c r="AF58" s="271"/>
      <c r="AG58" s="271"/>
      <c r="AH58" s="271"/>
      <c r="AI58" s="1"/>
      <c r="AJ58" s="1"/>
    </row>
    <row r="59" spans="1:36" ht="15.95" customHeight="1">
      <c r="A59" s="412"/>
      <c r="B59" s="412"/>
      <c r="C59" s="412"/>
      <c r="D59" s="412"/>
      <c r="E59" s="412"/>
      <c r="F59" s="412"/>
      <c r="G59" s="412"/>
      <c r="H59" s="412"/>
      <c r="I59" s="412"/>
      <c r="J59" s="412"/>
      <c r="K59" s="412"/>
      <c r="L59" s="412"/>
      <c r="M59" s="412"/>
      <c r="N59" s="412"/>
      <c r="O59" s="412"/>
      <c r="P59" s="412"/>
      <c r="Q59" s="412"/>
      <c r="R59" s="412"/>
      <c r="S59" s="412"/>
      <c r="T59" s="413"/>
      <c r="U59" s="408"/>
      <c r="V59" s="1551"/>
      <c r="W59" s="1551"/>
      <c r="X59" s="1551"/>
      <c r="Y59" s="1551"/>
      <c r="Z59" s="1551"/>
      <c r="AA59" s="419"/>
      <c r="AB59" s="419"/>
      <c r="AC59" s="265"/>
      <c r="AD59" s="727"/>
      <c r="AE59" s="727"/>
      <c r="AF59" s="728"/>
      <c r="AG59" s="727"/>
      <c r="AH59" s="272"/>
    </row>
    <row r="60" spans="1:36" ht="15.95" customHeight="1">
      <c r="A60" s="412"/>
      <c r="B60" s="412"/>
      <c r="C60" s="412"/>
      <c r="D60" s="412"/>
      <c r="E60" s="412"/>
      <c r="F60" s="412"/>
      <c r="G60" s="412"/>
      <c r="H60" s="412"/>
      <c r="I60" s="412"/>
      <c r="J60" s="412"/>
      <c r="K60" s="412"/>
      <c r="L60" s="412"/>
      <c r="M60" s="412"/>
      <c r="N60" s="412"/>
      <c r="O60" s="412"/>
      <c r="P60" s="412"/>
      <c r="Q60" s="412"/>
      <c r="R60" s="412"/>
      <c r="S60" s="412"/>
      <c r="T60" s="413"/>
      <c r="U60" s="408"/>
      <c r="V60" s="1551"/>
      <c r="W60" s="1551"/>
      <c r="X60" s="1551"/>
      <c r="Y60" s="1551"/>
      <c r="Z60" s="1551"/>
      <c r="AA60" s="419"/>
      <c r="AB60" s="419"/>
      <c r="AC60" s="265"/>
      <c r="AD60" s="727"/>
      <c r="AE60" s="727"/>
      <c r="AF60" s="728"/>
      <c r="AG60" s="727"/>
      <c r="AH60" s="272"/>
    </row>
    <row r="61" spans="1:36" ht="15.95" customHeight="1">
      <c r="A61" s="412"/>
      <c r="B61" s="412"/>
      <c r="C61" s="412"/>
      <c r="D61" s="412"/>
      <c r="E61" s="412"/>
      <c r="F61" s="412"/>
      <c r="G61" s="412"/>
      <c r="H61" s="412"/>
      <c r="I61" s="412"/>
      <c r="J61" s="412"/>
      <c r="K61" s="412"/>
      <c r="L61" s="412"/>
      <c r="M61" s="412"/>
      <c r="N61" s="412"/>
      <c r="O61" s="412"/>
      <c r="P61" s="412"/>
      <c r="Q61" s="412"/>
      <c r="R61" s="412"/>
      <c r="S61" s="412"/>
      <c r="T61" s="413"/>
      <c r="U61" s="408"/>
      <c r="V61" s="1551"/>
      <c r="W61" s="1551"/>
      <c r="X61" s="1551"/>
      <c r="Y61" s="1551"/>
      <c r="Z61" s="1551"/>
      <c r="AA61" s="419"/>
      <c r="AB61" s="419"/>
      <c r="AC61" s="265"/>
      <c r="AD61" s="727"/>
      <c r="AE61" s="727"/>
      <c r="AF61" s="728"/>
      <c r="AG61" s="727"/>
      <c r="AH61" s="272"/>
    </row>
    <row r="62" spans="1:36" ht="15.95" customHeight="1">
      <c r="A62" s="412"/>
      <c r="B62" s="412"/>
      <c r="C62" s="412"/>
      <c r="D62" s="412"/>
      <c r="E62" s="412"/>
      <c r="F62" s="412"/>
      <c r="G62" s="412"/>
      <c r="H62" s="412"/>
      <c r="I62" s="412"/>
      <c r="J62" s="412"/>
      <c r="K62" s="412"/>
      <c r="L62" s="412"/>
      <c r="M62" s="412"/>
      <c r="N62" s="412"/>
      <c r="O62" s="412"/>
      <c r="P62" s="412"/>
      <c r="Q62" s="412"/>
      <c r="R62" s="412"/>
      <c r="S62" s="412"/>
      <c r="T62" s="413"/>
      <c r="U62" s="408"/>
      <c r="V62" s="1551"/>
      <c r="W62" s="1551"/>
      <c r="X62" s="1551"/>
      <c r="Y62" s="1551"/>
      <c r="Z62" s="1551"/>
      <c r="AA62" s="419"/>
      <c r="AB62" s="419"/>
      <c r="AC62" s="265"/>
      <c r="AD62" s="727"/>
      <c r="AE62" s="727"/>
      <c r="AF62" s="728"/>
      <c r="AG62" s="727"/>
      <c r="AH62" s="272"/>
    </row>
    <row r="63" spans="1:36" ht="15.95" customHeight="1">
      <c r="A63" s="412"/>
      <c r="B63" s="412"/>
      <c r="C63" s="412"/>
      <c r="D63" s="412"/>
      <c r="E63" s="412"/>
      <c r="F63" s="412"/>
      <c r="G63" s="412"/>
      <c r="H63" s="412"/>
      <c r="I63" s="412"/>
      <c r="J63" s="412"/>
      <c r="K63" s="412"/>
      <c r="L63" s="412"/>
      <c r="M63" s="412"/>
      <c r="N63" s="412"/>
      <c r="O63" s="412"/>
      <c r="P63" s="412"/>
      <c r="Q63" s="412"/>
      <c r="R63" s="412"/>
      <c r="S63" s="412"/>
      <c r="T63" s="413"/>
      <c r="U63" s="408"/>
      <c r="V63" s="408"/>
      <c r="W63" s="408"/>
      <c r="X63" s="408"/>
      <c r="Y63" s="408"/>
      <c r="Z63" s="408"/>
      <c r="AA63" s="408"/>
      <c r="AB63" s="408"/>
      <c r="AC63" s="265"/>
      <c r="AD63" s="727"/>
      <c r="AE63" s="727"/>
      <c r="AF63" s="728"/>
      <c r="AG63" s="727"/>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20"/>
      <c r="AE64" s="721"/>
      <c r="AF64" s="728"/>
      <c r="AG64" s="727"/>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1550"/>
      <c r="X65" s="1550"/>
      <c r="Y65" s="1550"/>
      <c r="Z65" s="1550"/>
      <c r="AA65" s="408"/>
      <c r="AB65" s="408"/>
      <c r="AC65" s="265"/>
      <c r="AD65" s="272"/>
      <c r="AE65" s="272"/>
      <c r="AF65" s="272"/>
      <c r="AG65" s="272"/>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20"/>
      <c r="W66" s="718"/>
      <c r="X66" s="718"/>
      <c r="Y66" s="719"/>
      <c r="Z66" s="719"/>
      <c r="AA66" s="408"/>
      <c r="AB66" s="408"/>
      <c r="AC66" s="265"/>
      <c r="AD66" s="265"/>
      <c r="AE66" s="265"/>
      <c r="AF66" s="265"/>
      <c r="AG66" s="265"/>
      <c r="AH66" s="265"/>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18"/>
      <c r="X67" s="718"/>
      <c r="Y67" s="719"/>
      <c r="Z67" s="719"/>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18"/>
      <c r="X68" s="718"/>
      <c r="Y68" s="719"/>
      <c r="Z68" s="719"/>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21"/>
      <c r="V69" s="420"/>
      <c r="W69" s="718"/>
      <c r="X69" s="718"/>
      <c r="Y69" s="719"/>
      <c r="Z69" s="719"/>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18"/>
      <c r="X70" s="718"/>
      <c r="Y70" s="719"/>
      <c r="Z70" s="719"/>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08"/>
      <c r="W71" s="408"/>
      <c r="X71" s="408"/>
      <c r="Y71" s="408"/>
      <c r="Z71" s="408"/>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21"/>
      <c r="W72" s="421"/>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T74" s="120"/>
      <c r="U74" s="399"/>
      <c r="V74" s="399"/>
      <c r="W74" s="399"/>
      <c r="X74" s="120"/>
      <c r="Y74" s="120"/>
      <c r="Z74" s="120"/>
      <c r="AA74" s="120"/>
      <c r="AB74" s="120"/>
    </row>
    <row r="75" spans="1:34">
      <c r="T75" s="120"/>
      <c r="U75" s="399"/>
      <c r="V75" s="399"/>
      <c r="W75" s="399"/>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120"/>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sheetData>
  <mergeCells count="148">
    <mergeCell ref="B1:S1"/>
    <mergeCell ref="A2:A43"/>
    <mergeCell ref="B2:S2"/>
    <mergeCell ref="T2:T43"/>
    <mergeCell ref="V2:AA2"/>
    <mergeCell ref="I3:J3"/>
    <mergeCell ref="K3:L3"/>
    <mergeCell ref="M3:N3"/>
    <mergeCell ref="O3:P3"/>
    <mergeCell ref="Q3:R3"/>
    <mergeCell ref="Q6:R6"/>
    <mergeCell ref="C8:D8"/>
    <mergeCell ref="C9:D9"/>
    <mergeCell ref="C10:D10"/>
    <mergeCell ref="C11:D11"/>
    <mergeCell ref="U11:AB18"/>
    <mergeCell ref="C12:D12"/>
    <mergeCell ref="E6:F6"/>
    <mergeCell ref="G6:H6"/>
    <mergeCell ref="I6:J6"/>
    <mergeCell ref="K6:L6"/>
    <mergeCell ref="M6:N6"/>
    <mergeCell ref="O6:P6"/>
    <mergeCell ref="U3:AB10"/>
    <mergeCell ref="D4:H4"/>
    <mergeCell ref="C5:D6"/>
    <mergeCell ref="E5:F5"/>
    <mergeCell ref="G5:H5"/>
    <mergeCell ref="I5:J5"/>
    <mergeCell ref="K5:L5"/>
    <mergeCell ref="M5:N5"/>
    <mergeCell ref="O5:P5"/>
    <mergeCell ref="Q5:R5"/>
    <mergeCell ref="G22:H22"/>
    <mergeCell ref="I22:J22"/>
    <mergeCell ref="K22:L22"/>
    <mergeCell ref="M22:N22"/>
    <mergeCell ref="O22:P22"/>
    <mergeCell ref="Q22:R22"/>
    <mergeCell ref="U19:AB33"/>
    <mergeCell ref="C21:D22"/>
    <mergeCell ref="E21:F21"/>
    <mergeCell ref="G21:H21"/>
    <mergeCell ref="I21:J21"/>
    <mergeCell ref="K21:L21"/>
    <mergeCell ref="M21:N21"/>
    <mergeCell ref="O21:P21"/>
    <mergeCell ref="Q21:R21"/>
    <mergeCell ref="E22:F22"/>
    <mergeCell ref="C25:D26"/>
    <mergeCell ref="E25:F25"/>
    <mergeCell ref="G25:H25"/>
    <mergeCell ref="I25:J25"/>
    <mergeCell ref="K25:L25"/>
    <mergeCell ref="M25:N25"/>
    <mergeCell ref="O23:P23"/>
    <mergeCell ref="Q23:R23"/>
    <mergeCell ref="E24:F24"/>
    <mergeCell ref="G24:H24"/>
    <mergeCell ref="I24:J24"/>
    <mergeCell ref="K24:L24"/>
    <mergeCell ref="M24:N24"/>
    <mergeCell ref="O24:P24"/>
    <mergeCell ref="Q24:R24"/>
    <mergeCell ref="C23:D24"/>
    <mergeCell ref="E23:F23"/>
    <mergeCell ref="G23:H23"/>
    <mergeCell ref="I23:J23"/>
    <mergeCell ref="K23:L23"/>
    <mergeCell ref="M23:N23"/>
    <mergeCell ref="O25:P25"/>
    <mergeCell ref="Q25:R25"/>
    <mergeCell ref="E26:F26"/>
    <mergeCell ref="G26:H26"/>
    <mergeCell ref="I26:J26"/>
    <mergeCell ref="K26:L26"/>
    <mergeCell ref="M26:N26"/>
    <mergeCell ref="O26:P26"/>
    <mergeCell ref="Q26:R26"/>
    <mergeCell ref="O30:P30"/>
    <mergeCell ref="Q30:R30"/>
    <mergeCell ref="E31:F31"/>
    <mergeCell ref="O28:P28"/>
    <mergeCell ref="Q28:R28"/>
    <mergeCell ref="E29:F29"/>
    <mergeCell ref="G29:H29"/>
    <mergeCell ref="I29:J29"/>
    <mergeCell ref="K29:L29"/>
    <mergeCell ref="M29:N29"/>
    <mergeCell ref="O29:P29"/>
    <mergeCell ref="Q29:R29"/>
    <mergeCell ref="G31:H31"/>
    <mergeCell ref="I31:J31"/>
    <mergeCell ref="K31:L31"/>
    <mergeCell ref="M31:N31"/>
    <mergeCell ref="O31:P31"/>
    <mergeCell ref="Q31:R31"/>
    <mergeCell ref="C30:D31"/>
    <mergeCell ref="E30:F30"/>
    <mergeCell ref="G30:H30"/>
    <mergeCell ref="I30:J30"/>
    <mergeCell ref="K30:L30"/>
    <mergeCell ref="M30:N30"/>
    <mergeCell ref="C28:D29"/>
    <mergeCell ref="E28:F28"/>
    <mergeCell ref="G28:H28"/>
    <mergeCell ref="I28:J28"/>
    <mergeCell ref="K28:L28"/>
    <mergeCell ref="M28:N28"/>
    <mergeCell ref="C38:D38"/>
    <mergeCell ref="U38:AB38"/>
    <mergeCell ref="O32:P32"/>
    <mergeCell ref="Q32:R32"/>
    <mergeCell ref="C33:D33"/>
    <mergeCell ref="C34:D34"/>
    <mergeCell ref="U34:AB34"/>
    <mergeCell ref="C35:D35"/>
    <mergeCell ref="U35:AB35"/>
    <mergeCell ref="C32:D32"/>
    <mergeCell ref="E32:F32"/>
    <mergeCell ref="G32:H32"/>
    <mergeCell ref="I32:J32"/>
    <mergeCell ref="K32:L32"/>
    <mergeCell ref="M32:N32"/>
    <mergeCell ref="C36:D36"/>
    <mergeCell ref="U36:AB36"/>
    <mergeCell ref="C37:D37"/>
    <mergeCell ref="U37:AB37"/>
    <mergeCell ref="C39:D39"/>
    <mergeCell ref="U39:AB39"/>
    <mergeCell ref="U40:AB40"/>
    <mergeCell ref="C41:D41"/>
    <mergeCell ref="E41:F41"/>
    <mergeCell ref="I41:J41"/>
    <mergeCell ref="K41:L41"/>
    <mergeCell ref="M41:N41"/>
    <mergeCell ref="O41:P41"/>
    <mergeCell ref="Q41:R41"/>
    <mergeCell ref="V58:Z62"/>
    <mergeCell ref="W65:Z65"/>
    <mergeCell ref="U41:AB41"/>
    <mergeCell ref="U42:AB42"/>
    <mergeCell ref="B43:S43"/>
    <mergeCell ref="V43:AA43"/>
    <mergeCell ref="B44:S44"/>
    <mergeCell ref="AD47:AH48"/>
    <mergeCell ref="C48:J56"/>
    <mergeCell ref="L48:R56"/>
  </mergeCells>
  <phoneticPr fontId="146" type="noConversion"/>
  <conditionalFormatting sqref="E41:R41">
    <cfRule type="cellIs" dxfId="25" priority="7" operator="between">
      <formula>999999</formula>
      <formula>1000000000</formula>
    </cfRule>
  </conditionalFormatting>
  <conditionalFormatting sqref="Q4:R41">
    <cfRule type="expression" dxfId="24" priority="6">
      <formula>$W$55="FA5L1"</formula>
    </cfRule>
  </conditionalFormatting>
  <conditionalFormatting sqref="O4:P41">
    <cfRule type="expression" dxfId="23" priority="5">
      <formula>$W$54="FA4L1"</formula>
    </cfRule>
  </conditionalFormatting>
  <conditionalFormatting sqref="M4:N41">
    <cfRule type="expression" dxfId="22" priority="4">
      <formula>$W$53="FA3L1"</formula>
    </cfRule>
  </conditionalFormatting>
  <conditionalFormatting sqref="K4:L41">
    <cfRule type="expression" dxfId="21" priority="3">
      <formula>$W$52="FA2L1"</formula>
    </cfRule>
  </conditionalFormatting>
  <conditionalFormatting sqref="I5:J41">
    <cfRule type="expression" dxfId="20" priority="2">
      <formula>$W$51="FA1L1"</formula>
    </cfRule>
  </conditionalFormatting>
  <conditionalFormatting sqref="I4:J4">
    <cfRule type="expression" dxfId="19" priority="1">
      <formula>$W$51="FA1L1"</formula>
    </cfRule>
  </conditionalFormatting>
  <pageMargins left="0.7" right="0.7" top="0.75" bottom="0.75" header="0.3" footer="0.3"/>
  <ignoredErrors>
    <ignoredError sqref="W51:W55 W48:W49 X51:Y56" unlocked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CI75"/>
  <sheetViews>
    <sheetView workbookViewId="0">
      <selection sqref="A1:I2"/>
    </sheetView>
  </sheetViews>
  <sheetFormatPr defaultColWidth="8.83203125" defaultRowHeight="11.25"/>
  <cols>
    <col min="1" max="1" width="6.1640625" customWidth="1"/>
    <col min="2" max="2" width="5.83203125" customWidth="1"/>
    <col min="3" max="3" width="7.1640625" customWidth="1"/>
    <col min="4" max="4" width="12.6640625" customWidth="1"/>
    <col min="5" max="5" width="18.5" customWidth="1"/>
    <col min="6" max="6" width="16" customWidth="1"/>
    <col min="7" max="7" width="22.6640625" customWidth="1"/>
    <col min="8" max="8" width="10.83203125" customWidth="1"/>
    <col min="9" max="9" width="16" customWidth="1"/>
    <col min="10" max="10" width="30.1640625" customWidth="1"/>
    <col min="11" max="11" width="12.6640625" customWidth="1"/>
    <col min="12" max="12" width="18.1640625" customWidth="1"/>
    <col min="13" max="13" width="11.1640625" customWidth="1"/>
    <col min="14" max="14" width="16.1640625" customWidth="1"/>
    <col min="15" max="15" width="19.33203125" customWidth="1"/>
    <col min="16" max="16" width="10.1640625" customWidth="1"/>
    <col min="17" max="17" width="21" customWidth="1"/>
    <col min="18" max="18" width="21.6640625" customWidth="1"/>
    <col min="19" max="19" width="27.5" customWidth="1"/>
    <col min="20" max="20" width="19.33203125" customWidth="1"/>
    <col min="21" max="21" width="19.6640625" customWidth="1"/>
    <col min="22" max="22" width="20.33203125" customWidth="1"/>
    <col min="23" max="23" width="19.83203125" customWidth="1"/>
    <col min="24" max="31" width="20.83203125" customWidth="1"/>
    <col min="32" max="32" width="18.6640625" customWidth="1"/>
    <col min="33" max="33" width="23" customWidth="1"/>
    <col min="35" max="36" width="3.83203125" customWidth="1"/>
    <col min="37" max="37" width="25.6640625" customWidth="1"/>
    <col min="38" max="45" width="12.83203125" customWidth="1"/>
    <col min="46" max="46" width="4.83203125" customWidth="1"/>
    <col min="48" max="48" width="29" customWidth="1"/>
    <col min="49" max="49" width="4.33203125" customWidth="1"/>
    <col min="50" max="50" width="14.83203125" customWidth="1"/>
    <col min="51" max="58" width="20.83203125" customWidth="1"/>
    <col min="59" max="59" width="14.6640625" customWidth="1"/>
    <col min="63" max="63" width="3.83203125" customWidth="1"/>
    <col min="64" max="64" width="25.6640625" customWidth="1"/>
    <col min="65" max="72" width="12.83203125" customWidth="1"/>
  </cols>
  <sheetData>
    <row r="1" spans="1:87" s="3" customFormat="1" ht="20.25" customHeight="1" thickBot="1">
      <c r="A1" s="1785" t="s">
        <v>245</v>
      </c>
      <c r="B1" s="1785"/>
      <c r="C1" s="1785"/>
      <c r="D1" s="1785"/>
      <c r="E1" s="1785"/>
      <c r="F1" s="1785"/>
      <c r="G1" s="1785"/>
      <c r="H1" s="1785"/>
      <c r="I1" s="1785"/>
      <c r="J1" s="1038"/>
      <c r="K1" s="1038"/>
      <c r="L1" s="1039"/>
      <c r="M1" s="1039"/>
      <c r="N1" s="1038"/>
      <c r="O1" s="1038"/>
      <c r="P1" s="1038"/>
      <c r="Q1" s="1040"/>
      <c r="R1" s="1038"/>
      <c r="S1" s="1038"/>
      <c r="T1" s="1038"/>
      <c r="U1" s="1038"/>
      <c r="V1" s="1038"/>
      <c r="W1" s="1038"/>
      <c r="X1" s="1038"/>
      <c r="Y1" s="1038"/>
      <c r="Z1" s="1038"/>
      <c r="AA1" s="1038"/>
      <c r="AB1" s="1038"/>
      <c r="AC1" s="1038"/>
      <c r="AD1" s="1038"/>
      <c r="AE1" s="1038"/>
      <c r="AF1" s="1038"/>
      <c r="AG1" s="1038"/>
      <c r="AH1" s="1038"/>
      <c r="AI1" s="1041"/>
      <c r="AJ1" s="1854" t="s">
        <v>196</v>
      </c>
      <c r="AK1" s="1854"/>
      <c r="AL1" s="1854"/>
      <c r="AM1" s="1854"/>
      <c r="AN1" s="1854"/>
      <c r="AO1" s="1854"/>
      <c r="AP1" s="1854"/>
      <c r="AQ1" s="1854"/>
      <c r="AR1" s="1854"/>
      <c r="AS1" s="1854"/>
      <c r="AT1" s="1038"/>
      <c r="AU1" s="1038"/>
      <c r="AV1" s="1796" t="s">
        <v>555</v>
      </c>
      <c r="AW1" s="1796"/>
      <c r="AX1" s="1796"/>
      <c r="AY1" s="1796"/>
      <c r="AZ1" s="1796"/>
      <c r="BA1" s="1796"/>
      <c r="BB1" s="1796"/>
      <c r="BC1" s="1796"/>
      <c r="BD1" s="1796"/>
      <c r="BE1" s="1796"/>
      <c r="BF1" s="1038"/>
      <c r="BG1" s="1038"/>
      <c r="BH1" s="1038"/>
      <c r="BI1" s="1038"/>
      <c r="BJ1" s="1038"/>
      <c r="BK1" s="1852" t="s">
        <v>613</v>
      </c>
      <c r="BL1" s="1852"/>
      <c r="BM1" s="1852"/>
      <c r="BN1" s="1852"/>
      <c r="BO1" s="1852"/>
      <c r="BP1" s="1852"/>
      <c r="BQ1" s="1852"/>
      <c r="BR1" s="1852"/>
      <c r="BS1" s="1852"/>
      <c r="BT1" s="1852"/>
      <c r="BU1" s="1038"/>
      <c r="BV1" s="1038"/>
      <c r="BW1" s="36"/>
      <c r="BX1" s="36"/>
      <c r="BY1" s="36"/>
      <c r="BZ1" s="36"/>
      <c r="CA1" s="36"/>
      <c r="CB1" s="36"/>
      <c r="CC1" s="36"/>
      <c r="CD1" s="36"/>
      <c r="CE1" s="36"/>
      <c r="CF1" s="36"/>
      <c r="CG1" s="36"/>
      <c r="CH1" s="36"/>
      <c r="CI1" s="36"/>
    </row>
    <row r="2" spans="1:87" s="3" customFormat="1" ht="15" customHeight="1" thickTop="1" thickBot="1">
      <c r="A2" s="1785"/>
      <c r="B2" s="1785"/>
      <c r="C2" s="1785"/>
      <c r="D2" s="1785"/>
      <c r="E2" s="1785"/>
      <c r="F2" s="1785"/>
      <c r="G2" s="1785"/>
      <c r="H2" s="1785"/>
      <c r="I2" s="1785"/>
      <c r="J2" s="1042" t="s">
        <v>248</v>
      </c>
      <c r="K2" s="1043" t="s">
        <v>11</v>
      </c>
      <c r="L2" s="1044"/>
      <c r="M2" s="1044"/>
      <c r="N2" s="1856" t="s">
        <v>92</v>
      </c>
      <c r="O2" s="1857"/>
      <c r="P2" s="1045" t="s">
        <v>247</v>
      </c>
      <c r="Q2" s="1046" t="s">
        <v>288</v>
      </c>
      <c r="R2" s="1047" t="s">
        <v>3</v>
      </c>
      <c r="S2" s="1047" t="s">
        <v>118</v>
      </c>
      <c r="T2" s="1048" t="s">
        <v>287</v>
      </c>
      <c r="U2" s="1856" t="s">
        <v>91</v>
      </c>
      <c r="V2" s="1857"/>
      <c r="W2" s="1049" t="s">
        <v>247</v>
      </c>
      <c r="X2" s="1050" t="s">
        <v>85</v>
      </c>
      <c r="Y2" s="1050" t="s">
        <v>86</v>
      </c>
      <c r="Z2" s="1050" t="s">
        <v>87</v>
      </c>
      <c r="AA2" s="1050" t="s">
        <v>88</v>
      </c>
      <c r="AB2" s="1050" t="s">
        <v>197</v>
      </c>
      <c r="AC2" s="1050" t="s">
        <v>84</v>
      </c>
      <c r="AD2" s="1051" t="s">
        <v>89</v>
      </c>
      <c r="AE2" s="1047" t="s">
        <v>3</v>
      </c>
      <c r="AF2" s="1047" t="s">
        <v>119</v>
      </c>
      <c r="AG2" s="1048" t="s">
        <v>287</v>
      </c>
      <c r="AH2" s="1038"/>
      <c r="AI2" s="1038"/>
      <c r="AJ2" s="1855"/>
      <c r="AK2" s="1855"/>
      <c r="AL2" s="1855"/>
      <c r="AM2" s="1855"/>
      <c r="AN2" s="1855"/>
      <c r="AO2" s="1855"/>
      <c r="AP2" s="1855"/>
      <c r="AQ2" s="1855"/>
      <c r="AR2" s="1855"/>
      <c r="AS2" s="1855"/>
      <c r="AT2" s="1038"/>
      <c r="AU2" s="1038"/>
      <c r="AV2" s="1796"/>
      <c r="AW2" s="1796"/>
      <c r="AX2" s="1796"/>
      <c r="AY2" s="1796"/>
      <c r="AZ2" s="1796"/>
      <c r="BA2" s="1796"/>
      <c r="BB2" s="1796"/>
      <c r="BC2" s="1796"/>
      <c r="BD2" s="1796"/>
      <c r="BE2" s="1796"/>
      <c r="BF2" s="1052"/>
      <c r="BG2" s="1052"/>
      <c r="BH2" s="1052"/>
      <c r="BI2" s="1053"/>
      <c r="BJ2" s="1038"/>
      <c r="BK2" s="1853"/>
      <c r="BL2" s="1853"/>
      <c r="BM2" s="1853"/>
      <c r="BN2" s="1853"/>
      <c r="BO2" s="1853"/>
      <c r="BP2" s="1853"/>
      <c r="BQ2" s="1853"/>
      <c r="BR2" s="1853"/>
      <c r="BS2" s="1853"/>
      <c r="BT2" s="1853"/>
      <c r="BU2" s="1038"/>
      <c r="BV2" s="1038"/>
      <c r="BW2" s="36"/>
      <c r="BX2" s="36"/>
      <c r="BY2" s="36"/>
      <c r="BZ2" s="36"/>
      <c r="CA2" s="36"/>
      <c r="CB2" s="36"/>
      <c r="CC2" s="36"/>
      <c r="CD2" s="36"/>
      <c r="CE2" s="36"/>
      <c r="CF2" s="36"/>
      <c r="CG2" s="36"/>
      <c r="CH2" s="36"/>
      <c r="CI2" s="36"/>
    </row>
    <row r="3" spans="1:87" s="3" customFormat="1" ht="15" customHeight="1" thickTop="1" thickBot="1">
      <c r="A3" s="1054"/>
      <c r="B3" s="1786" t="s">
        <v>614</v>
      </c>
      <c r="C3" s="1786"/>
      <c r="D3" s="1786"/>
      <c r="E3" s="1786"/>
      <c r="F3" s="1786"/>
      <c r="G3" s="1786"/>
      <c r="H3" s="1786"/>
      <c r="I3" s="1787"/>
      <c r="J3" s="1055" t="s">
        <v>22</v>
      </c>
      <c r="K3" s="1056" t="s">
        <v>13</v>
      </c>
      <c r="L3" s="1815" t="s">
        <v>19</v>
      </c>
      <c r="M3" s="1815"/>
      <c r="N3" s="1814" t="s">
        <v>409</v>
      </c>
      <c r="O3" s="1815"/>
      <c r="P3" s="1057" t="str">
        <f>IF(AND(R3&gt;-0.01,R3&lt;0.01),"","CHECK!")</f>
        <v/>
      </c>
      <c r="Q3" s="1058">
        <f>SUM($R$36:$R$67)</f>
        <v>18208778769.749996</v>
      </c>
      <c r="R3" s="1059">
        <f>Q3-'$REV-DSUM'!F2</f>
        <v>0</v>
      </c>
      <c r="S3" s="1060" t="s">
        <v>300</v>
      </c>
      <c r="T3" s="1061"/>
      <c r="U3" s="1858" t="s">
        <v>299</v>
      </c>
      <c r="V3" s="1859"/>
      <c r="W3" s="413"/>
      <c r="X3" s="413"/>
      <c r="Y3" s="413"/>
      <c r="Z3" s="413"/>
      <c r="AA3" s="413"/>
      <c r="AB3" s="413"/>
      <c r="AC3" s="413"/>
      <c r="AD3" s="413"/>
      <c r="AE3" s="413"/>
      <c r="AF3" s="413"/>
      <c r="AG3" s="1062"/>
      <c r="AH3" s="1038"/>
      <c r="AI3" s="1038"/>
      <c r="AJ3" s="1063" t="str">
        <f>'FIG3'!W49</f>
        <v>GA</v>
      </c>
      <c r="AK3" s="1064"/>
      <c r="AL3" s="1065"/>
      <c r="AM3" s="1862" t="s">
        <v>181</v>
      </c>
      <c r="AN3" s="1863"/>
      <c r="AO3" s="1863"/>
      <c r="AP3" s="1863"/>
      <c r="AQ3" s="1863"/>
      <c r="AR3" s="1864"/>
      <c r="AS3" s="1865" t="s">
        <v>89</v>
      </c>
      <c r="AT3" s="1038"/>
      <c r="AU3" s="1038"/>
      <c r="AV3" s="1790"/>
      <c r="AW3" s="1791"/>
      <c r="AX3" s="1066" t="s">
        <v>247</v>
      </c>
      <c r="AY3" s="1067" t="s">
        <v>85</v>
      </c>
      <c r="AZ3" s="1068" t="s">
        <v>86</v>
      </c>
      <c r="BA3" s="1068" t="s">
        <v>87</v>
      </c>
      <c r="BB3" s="1068" t="s">
        <v>88</v>
      </c>
      <c r="BC3" s="1068" t="s">
        <v>197</v>
      </c>
      <c r="BD3" s="1068" t="s">
        <v>84</v>
      </c>
      <c r="BE3" s="1069" t="s">
        <v>89</v>
      </c>
      <c r="BF3" s="1070" t="s">
        <v>3</v>
      </c>
      <c r="BG3" s="1071" t="s">
        <v>119</v>
      </c>
      <c r="BH3" s="1072" t="s">
        <v>287</v>
      </c>
      <c r="BI3" s="1038"/>
      <c r="BJ3" s="1038"/>
      <c r="BK3" s="1073" t="str">
        <f>AJ3</f>
        <v>GA</v>
      </c>
      <c r="BL3" s="1074"/>
      <c r="BM3" s="1075"/>
      <c r="BN3" s="1841" t="s">
        <v>181</v>
      </c>
      <c r="BO3" s="1842"/>
      <c r="BP3" s="1842"/>
      <c r="BQ3" s="1842"/>
      <c r="BR3" s="1842"/>
      <c r="BS3" s="1843"/>
      <c r="BT3" s="1844" t="s">
        <v>89</v>
      </c>
      <c r="BU3" s="1038"/>
      <c r="BV3" s="1038"/>
      <c r="BW3" s="36"/>
      <c r="BX3" s="36"/>
      <c r="BY3" s="36"/>
      <c r="BZ3" s="36"/>
      <c r="CA3" s="36"/>
      <c r="CB3" s="36"/>
      <c r="CC3" s="36"/>
      <c r="CD3" s="36"/>
      <c r="CE3" s="36"/>
      <c r="CF3" s="36"/>
      <c r="CG3" s="36"/>
      <c r="CH3" s="36"/>
      <c r="CI3" s="36"/>
    </row>
    <row r="4" spans="1:87" s="3" customFormat="1" ht="15" customHeight="1">
      <c r="A4" s="1054"/>
      <c r="B4" s="1076" t="s">
        <v>302</v>
      </c>
      <c r="C4" s="1788" t="s">
        <v>568</v>
      </c>
      <c r="D4" s="1788"/>
      <c r="E4" s="1788"/>
      <c r="F4" s="1788"/>
      <c r="G4" s="1788"/>
      <c r="H4" s="1788"/>
      <c r="I4" s="1789"/>
      <c r="J4" s="1055" t="s">
        <v>23</v>
      </c>
      <c r="K4" s="1056" t="s">
        <v>182</v>
      </c>
      <c r="L4" s="1815" t="s">
        <v>20</v>
      </c>
      <c r="M4" s="1839"/>
      <c r="N4" s="1056" t="s">
        <v>410</v>
      </c>
      <c r="O4" s="1077"/>
      <c r="P4" s="1057"/>
      <c r="Q4" s="1058">
        <f>SUMIF(L36:L67,"X",R36:R67)</f>
        <v>0</v>
      </c>
      <c r="R4" s="1059"/>
      <c r="S4" s="1060"/>
      <c r="T4" s="1061"/>
      <c r="U4" s="1860"/>
      <c r="V4" s="1861"/>
      <c r="W4" s="1057"/>
      <c r="X4" s="1058"/>
      <c r="Y4" s="1058"/>
      <c r="Z4" s="1058"/>
      <c r="AA4" s="1058"/>
      <c r="AB4" s="1058"/>
      <c r="AC4" s="1058"/>
      <c r="AD4" s="1058"/>
      <c r="AE4" s="1059"/>
      <c r="AF4" s="1060"/>
      <c r="AG4" s="1061"/>
      <c r="AH4" s="1038"/>
      <c r="AI4" s="1038"/>
      <c r="AJ4" s="1078" t="str">
        <f>'FIG3'!W50</f>
        <v>FY2010-11</v>
      </c>
      <c r="AK4" s="1079"/>
      <c r="AL4" s="1080"/>
      <c r="AM4" s="1081"/>
      <c r="AN4" s="1868" t="s">
        <v>370</v>
      </c>
      <c r="AO4" s="1868"/>
      <c r="AP4" s="1868"/>
      <c r="AQ4" s="1868"/>
      <c r="AR4" s="1061"/>
      <c r="AS4" s="1866"/>
      <c r="AT4" s="1038"/>
      <c r="AU4" s="1038"/>
      <c r="AV4" s="1792"/>
      <c r="AW4" s="1793"/>
      <c r="AX4" s="1082"/>
      <c r="AY4" s="1083"/>
      <c r="AZ4" s="1083"/>
      <c r="BA4" s="1083"/>
      <c r="BB4" s="1083"/>
      <c r="BC4" s="1083"/>
      <c r="BD4" s="1083"/>
      <c r="BE4" s="1084"/>
      <c r="BF4" s="1085"/>
      <c r="BG4" s="1086"/>
      <c r="BH4" s="1087"/>
      <c r="BI4" s="1038"/>
      <c r="BJ4" s="1038"/>
      <c r="BK4" s="1088" t="str">
        <f>AJ4</f>
        <v>FY2010-11</v>
      </c>
      <c r="BL4" s="1089"/>
      <c r="BM4" s="1090"/>
      <c r="BN4" s="1091"/>
      <c r="BO4" s="1847" t="s">
        <v>370</v>
      </c>
      <c r="BP4" s="1847"/>
      <c r="BQ4" s="1847"/>
      <c r="BR4" s="1847"/>
      <c r="BS4" s="1087"/>
      <c r="BT4" s="1845"/>
      <c r="BU4" s="1038"/>
      <c r="BV4" s="1038"/>
      <c r="BW4" s="36"/>
      <c r="BX4" s="36"/>
      <c r="BY4" s="36"/>
      <c r="BZ4" s="36"/>
      <c r="CA4" s="36"/>
      <c r="CB4" s="36"/>
      <c r="CC4" s="36"/>
      <c r="CD4" s="36"/>
      <c r="CE4" s="36"/>
      <c r="CF4" s="36"/>
      <c r="CG4" s="36"/>
      <c r="CH4" s="36"/>
      <c r="CI4" s="36"/>
    </row>
    <row r="5" spans="1:87" s="3" customFormat="1" ht="15" customHeight="1" thickBot="1">
      <c r="A5" s="1054"/>
      <c r="B5" s="1076" t="s">
        <v>302</v>
      </c>
      <c r="C5" s="1788" t="s">
        <v>563</v>
      </c>
      <c r="D5" s="1788"/>
      <c r="E5" s="1788"/>
      <c r="F5" s="1788"/>
      <c r="G5" s="1788"/>
      <c r="H5" s="1788"/>
      <c r="I5" s="1789"/>
      <c r="J5" s="1055" t="s">
        <v>24</v>
      </c>
      <c r="K5" s="1056" t="s">
        <v>183</v>
      </c>
      <c r="L5" s="1815" t="s">
        <v>165</v>
      </c>
      <c r="M5" s="1839"/>
      <c r="N5" s="1056" t="s">
        <v>411</v>
      </c>
      <c r="O5" s="1077"/>
      <c r="P5" s="1057"/>
      <c r="Q5" s="1058">
        <f>Q3-Q4</f>
        <v>18208778769.749996</v>
      </c>
      <c r="R5" s="1059"/>
      <c r="S5" s="1060"/>
      <c r="T5" s="1061" t="s">
        <v>249</v>
      </c>
      <c r="U5" s="1056" t="s">
        <v>411</v>
      </c>
      <c r="V5" s="1077"/>
      <c r="W5" s="1057" t="str">
        <f>IF(AND(AE5&gt;-0.01,AE5&lt;0.01),"","CHECK!")</f>
        <v/>
      </c>
      <c r="X5" s="1058">
        <f>SUMIFS($R$36:$R$67,$Q$36:$Q$67,"F",$L36:$L$67,"I")</f>
        <v>2327045820.7000003</v>
      </c>
      <c r="Y5" s="1058">
        <f>SUMIFS($R$36:$R$67,$Q$36:$Q$67,"S",$L36:$L$67,"I")</f>
        <v>7357026265.8899965</v>
      </c>
      <c r="Z5" s="1058">
        <f>SUMIFS($R$36:$R$67,$Q$36:$Q$67,"L",$L36:$L$67,"I")</f>
        <v>7445417045.5699987</v>
      </c>
      <c r="AA5" s="1058">
        <f>SUMIFS($R$36:$R$67,$Q$36:$Q$67,"O",$L36:$L$67,"I")</f>
        <v>1076817438.5899997</v>
      </c>
      <c r="AB5" s="1058">
        <f>SUMIFS($R$36:$R$67,$Q$36:$Q$67,"P",$L36:$L$67,"I")</f>
        <v>2472199</v>
      </c>
      <c r="AC5" s="1058">
        <f>SUMIFS($R$36:$R$67,$Q$36:$Q$67,"N",$L36:$L$67,"I")</f>
        <v>0</v>
      </c>
      <c r="AD5" s="1058">
        <f>SUM(X5:AC5)</f>
        <v>18208778769.749996</v>
      </c>
      <c r="AE5" s="1059">
        <f>AD5-Q5</f>
        <v>0</v>
      </c>
      <c r="AF5" s="1060" t="s">
        <v>115</v>
      </c>
      <c r="AG5" s="1061" t="s">
        <v>249</v>
      </c>
      <c r="AH5" s="1038"/>
      <c r="AI5" s="1038"/>
      <c r="AJ5" s="1078"/>
      <c r="AK5" s="1079"/>
      <c r="AL5" s="1080"/>
      <c r="AM5" s="1092"/>
      <c r="AN5" s="1869"/>
      <c r="AO5" s="1869"/>
      <c r="AP5" s="1869"/>
      <c r="AQ5" s="1869"/>
      <c r="AR5" s="1093"/>
      <c r="AS5" s="1866"/>
      <c r="AT5" s="1038"/>
      <c r="AU5" s="1038"/>
      <c r="AV5" s="1094" t="s">
        <v>411</v>
      </c>
      <c r="AW5" s="1095"/>
      <c r="AX5" s="1082" t="str">
        <f>IF(AND(BF8&gt;-0.01,BF5&lt;0.01),"","CHECK!")</f>
        <v/>
      </c>
      <c r="AY5" s="1083">
        <f t="shared" ref="AY5:BD5" si="0">X5</f>
        <v>2327045820.7000003</v>
      </c>
      <c r="AZ5" s="1083">
        <f t="shared" si="0"/>
        <v>7357026265.8899965</v>
      </c>
      <c r="BA5" s="1083">
        <f t="shared" si="0"/>
        <v>7445417045.5699987</v>
      </c>
      <c r="BB5" s="1083">
        <f t="shared" si="0"/>
        <v>1076817438.5899997</v>
      </c>
      <c r="BC5" s="1083">
        <f t="shared" si="0"/>
        <v>2472199</v>
      </c>
      <c r="BD5" s="1083">
        <f t="shared" si="0"/>
        <v>0</v>
      </c>
      <c r="BE5" s="1084">
        <f>SUM(AY5:BD5)</f>
        <v>18208778769.749996</v>
      </c>
      <c r="BF5" s="1085"/>
      <c r="BG5" s="1086" t="s">
        <v>114</v>
      </c>
      <c r="BH5" s="1087" t="s">
        <v>249</v>
      </c>
      <c r="BI5" s="1038"/>
      <c r="BJ5" s="1038"/>
      <c r="BK5" s="1088"/>
      <c r="BL5" s="1089"/>
      <c r="BM5" s="1090"/>
      <c r="BN5" s="1096"/>
      <c r="BO5" s="1848"/>
      <c r="BP5" s="1848"/>
      <c r="BQ5" s="1848"/>
      <c r="BR5" s="1848"/>
      <c r="BS5" s="1071"/>
      <c r="BT5" s="1845"/>
      <c r="BU5" s="1038"/>
      <c r="BV5" s="1038"/>
      <c r="BW5" s="36"/>
      <c r="BX5" s="36"/>
      <c r="BY5" s="36"/>
      <c r="BZ5" s="36"/>
      <c r="CA5" s="36"/>
      <c r="CB5" s="36"/>
      <c r="CC5" s="36"/>
      <c r="CD5" s="36"/>
      <c r="CE5" s="36"/>
      <c r="CF5" s="36"/>
      <c r="CG5" s="36"/>
      <c r="CH5" s="36"/>
      <c r="CI5" s="36"/>
    </row>
    <row r="6" spans="1:87" s="3" customFormat="1" ht="15" customHeight="1" thickTop="1" thickBot="1">
      <c r="A6" s="1054"/>
      <c r="B6" s="1076" t="s">
        <v>302</v>
      </c>
      <c r="C6" s="1788" t="s">
        <v>303</v>
      </c>
      <c r="D6" s="1788"/>
      <c r="E6" s="1788"/>
      <c r="F6" s="1788"/>
      <c r="G6" s="1788"/>
      <c r="H6" s="1788"/>
      <c r="I6" s="1789"/>
      <c r="J6" s="1055" t="s">
        <v>25</v>
      </c>
      <c r="K6" s="1056" t="s">
        <v>184</v>
      </c>
      <c r="L6" s="1815" t="s">
        <v>167</v>
      </c>
      <c r="M6" s="1839"/>
      <c r="N6" s="1814" t="s">
        <v>373</v>
      </c>
      <c r="O6" s="1840"/>
      <c r="P6" s="1097"/>
      <c r="Q6" s="1058">
        <f>SUMIFS($R$36:$R$67,$L$36:$L$67,"I",$P$36:$P$67,"D")</f>
        <v>18014559637.749996</v>
      </c>
      <c r="R6" s="1059"/>
      <c r="S6" s="1059"/>
      <c r="T6" s="1061" t="s">
        <v>250</v>
      </c>
      <c r="U6" s="1814" t="s">
        <v>373</v>
      </c>
      <c r="V6" s="1838"/>
      <c r="W6" s="1098"/>
      <c r="X6" s="1058">
        <f>SUMIFS($R$36:$R$67,$P$36:$P$67,"D",$Q$36:$Q$67,"F",$L$36:$L$67,"I")</f>
        <v>2309847075.6000004</v>
      </c>
      <c r="Y6" s="1058">
        <f>SUMIFS($R$36:$R$67,$P$36:$P$67,"D",$Q$36:$Q$67,"S",$L$36:$L$67,"I")</f>
        <v>7247915948.8899965</v>
      </c>
      <c r="Z6" s="1058">
        <f>SUMIFS($R$36:$R$67,$P$36:$P$67,"D",$Q$36:$Q$67,"L",$L$36:$L$67,"I")</f>
        <v>7397378170.6699982</v>
      </c>
      <c r="AA6" s="1058">
        <f>SUMIFS($R$36:$R$67,$P$36:$P$67,"D",$Q$36:$Q$67,"O",$L$36:$L$67,"I")</f>
        <v>1059418442.5899998</v>
      </c>
      <c r="AB6" s="1058">
        <f>SUMIFS($R$36:$R$67,$P$36:$P$67,"D",$Q$36:$Q$67,"P",$L$36:$L$67,"I")</f>
        <v>0</v>
      </c>
      <c r="AC6" s="1058">
        <f>SUMIFS($R$36:$R$67,$P$36:$P$67,"D",$Q$36:$Q$67,"N",$L$36:$L$67,"I")</f>
        <v>0</v>
      </c>
      <c r="AD6" s="1058">
        <f t="shared" ref="AD6:AD27" si="1">SUM(X6:AC6)</f>
        <v>18014559637.749996</v>
      </c>
      <c r="AE6" s="1059"/>
      <c r="AF6" s="1060"/>
      <c r="AG6" s="1061" t="s">
        <v>250</v>
      </c>
      <c r="AH6" s="1038"/>
      <c r="AI6" s="1038"/>
      <c r="AJ6" s="1099"/>
      <c r="AK6" s="1100"/>
      <c r="AL6" s="1101"/>
      <c r="AM6" s="1102" t="s">
        <v>41</v>
      </c>
      <c r="AN6" s="1102" t="s">
        <v>152</v>
      </c>
      <c r="AO6" s="1102" t="s">
        <v>153</v>
      </c>
      <c r="AP6" s="1102" t="s">
        <v>154</v>
      </c>
      <c r="AQ6" s="1102" t="s">
        <v>155</v>
      </c>
      <c r="AR6" s="1103" t="s">
        <v>156</v>
      </c>
      <c r="AS6" s="1867"/>
      <c r="AT6" s="1038"/>
      <c r="AU6" s="1038"/>
      <c r="AV6" s="1794" t="s">
        <v>373</v>
      </c>
      <c r="AW6" s="1795"/>
      <c r="AX6" s="1082" t="str">
        <f t="shared" ref="AX6:AX22" si="2">IF(AND(BF6&gt;-0.01,BF6&lt;0.01),"","CHECK!")</f>
        <v/>
      </c>
      <c r="AY6" s="1083">
        <f>X6+SUMIFS($R$36:$R$67,$S$36:$S$67,"Y",$Q$36:$Q$67,"F",$P$36:$P$67,"C",$L$36:$L$67,"I")</f>
        <v>2309847075.6000004</v>
      </c>
      <c r="AZ6" s="1083">
        <f>Y6+SUMIFS($R$36:$R$67,$S$36:$S$67,"Y",$Q$36:$Q$67,"S",$P$36:$P$67,"C",$L$36:$L$67,"I")</f>
        <v>7247915948.8899965</v>
      </c>
      <c r="BA6" s="1083">
        <f>Z6+SUMIFS($R$36:$R$67,$S$36:$S$67,"Y",$Q$36:$Q$67,"L",$P$36:$P$67,"C",$L$36:$L$67,"I")</f>
        <v>7397378170.6699982</v>
      </c>
      <c r="BB6" s="1083">
        <f>AA6+SUMIFS($R$36:$R$67,$S$36:$S$67,"Y",$Q$36:$Q$67,"O",$P$36:$P$67,"C",$L$36:$L$67,"I")</f>
        <v>1059418442.5899998</v>
      </c>
      <c r="BC6" s="1083">
        <f>AB6+SUMIFS($R$36:$R$67,$S$36:$S$67,"Y",$Q$36:$Q$67,"P",$P$36:$P$67,"C",$L$36:$L$67,"I")</f>
        <v>0</v>
      </c>
      <c r="BD6" s="1083">
        <f>AC6+SUMIFS($R$36:$R$67,$S$36:$S$67,"Y",$Q$36:$Q$67,"N",$P$36:$P$67,"C",$L$36:$L$67,"I")</f>
        <v>0</v>
      </c>
      <c r="BE6" s="1084">
        <f t="shared" ref="BE6:BE27" si="3">SUM(AY6:BD6)</f>
        <v>18014559637.749996</v>
      </c>
      <c r="BF6" s="1085">
        <f>BE6-'$REV-DSUM-CONV'!B16</f>
        <v>0</v>
      </c>
      <c r="BG6" s="1086" t="s">
        <v>300</v>
      </c>
      <c r="BH6" s="1087" t="s">
        <v>250</v>
      </c>
      <c r="BI6" s="1038"/>
      <c r="BJ6" s="1038"/>
      <c r="BK6" s="1104"/>
      <c r="BL6" s="1105"/>
      <c r="BM6" s="1106"/>
      <c r="BN6" s="1107" t="s">
        <v>41</v>
      </c>
      <c r="BO6" s="1107" t="s">
        <v>152</v>
      </c>
      <c r="BP6" s="1107" t="s">
        <v>153</v>
      </c>
      <c r="BQ6" s="1107" t="s">
        <v>154</v>
      </c>
      <c r="BR6" s="1107" t="s">
        <v>155</v>
      </c>
      <c r="BS6" s="1108" t="s">
        <v>156</v>
      </c>
      <c r="BT6" s="1846"/>
      <c r="BU6" s="1038"/>
      <c r="BV6" s="1038"/>
      <c r="BW6" s="36"/>
      <c r="BX6" s="36"/>
      <c r="BY6" s="36"/>
      <c r="BZ6" s="36"/>
      <c r="CA6" s="36"/>
      <c r="CB6" s="36"/>
      <c r="CC6" s="36"/>
      <c r="CD6" s="36"/>
      <c r="CE6" s="36"/>
      <c r="CF6" s="36"/>
      <c r="CG6" s="36"/>
      <c r="CH6" s="36"/>
      <c r="CI6" s="36"/>
    </row>
    <row r="7" spans="1:87" s="3" customFormat="1" ht="15" customHeight="1" thickTop="1">
      <c r="A7" s="1054"/>
      <c r="B7" s="1076" t="s">
        <v>302</v>
      </c>
      <c r="C7" s="1788" t="s">
        <v>570</v>
      </c>
      <c r="D7" s="1788"/>
      <c r="E7" s="1788"/>
      <c r="F7" s="1788"/>
      <c r="G7" s="1788"/>
      <c r="H7" s="1788"/>
      <c r="I7" s="1789"/>
      <c r="J7" s="1055" t="s">
        <v>201</v>
      </c>
      <c r="K7" s="1056" t="s">
        <v>14</v>
      </c>
      <c r="L7" s="1815" t="s">
        <v>21</v>
      </c>
      <c r="M7" s="1839"/>
      <c r="N7" s="1814" t="s">
        <v>374</v>
      </c>
      <c r="O7" s="1840"/>
      <c r="P7" s="1097"/>
      <c r="Q7" s="1058">
        <f>SUMIFS($R$36:$R$67,$L$36:$L$67,"I",$P$36:$P$67,"C")</f>
        <v>194219132.00000003</v>
      </c>
      <c r="R7" s="1059"/>
      <c r="S7" s="1059"/>
      <c r="T7" s="1061" t="s">
        <v>251</v>
      </c>
      <c r="U7" s="1814" t="s">
        <v>374</v>
      </c>
      <c r="V7" s="1838"/>
      <c r="W7" s="1098"/>
      <c r="X7" s="1058">
        <f>SUMIFS($R$36:$R$67,$P$36:$P$67,"C",$Q$36:$Q$67,"F",$L$36:$L$67,"I")</f>
        <v>17198745.100000001</v>
      </c>
      <c r="Y7" s="1058">
        <f>SUMIFS($R$36:$R$67,$P$36:$P$67,"C",$Q$36:$Q$67,"S",$L$36:$L$67,"I")</f>
        <v>109110317</v>
      </c>
      <c r="Z7" s="1058">
        <f>SUMIFS($R$36:$R$67,$P$36:$P$67,"C",$Q$36:$Q$67,"L",$L$36:$L$67,"I")</f>
        <v>48038874.900000006</v>
      </c>
      <c r="AA7" s="1058">
        <f>SUMIFS($R$36:$R$67,$P$36:$P$67,"C",$Q$36:$Q$67,"O",$L$36:$L$67,"I")</f>
        <v>17398996</v>
      </c>
      <c r="AB7" s="1058">
        <f>SUMIFS($R$36:$R$67,$P$36:$P$67,"C",$Q$36:$Q$67,"P",$L$36:$L$67,"I")</f>
        <v>2472199</v>
      </c>
      <c r="AC7" s="1058">
        <f>SUMIFS($R$36:$R$67,$P$36:$P$67,"C",$Q$36:$Q$67,"N",$L$36:$L$67,"I")</f>
        <v>0</v>
      </c>
      <c r="AD7" s="1058">
        <f t="shared" si="1"/>
        <v>194219132</v>
      </c>
      <c r="AE7" s="1059"/>
      <c r="AF7" s="1060"/>
      <c r="AG7" s="1061" t="s">
        <v>251</v>
      </c>
      <c r="AH7" s="1038"/>
      <c r="AI7" s="1038"/>
      <c r="AJ7" s="1063" t="s">
        <v>130</v>
      </c>
      <c r="AK7" s="1064"/>
      <c r="AL7" s="1064"/>
      <c r="AM7" s="1109"/>
      <c r="AN7" s="1109"/>
      <c r="AO7" s="1109"/>
      <c r="AP7" s="1109"/>
      <c r="AQ7" s="1109"/>
      <c r="AR7" s="1109"/>
      <c r="AS7" s="1110"/>
      <c r="AT7" s="1038"/>
      <c r="AU7" s="1038"/>
      <c r="AV7" s="1794" t="s">
        <v>374</v>
      </c>
      <c r="AW7" s="1795"/>
      <c r="AX7" s="1082" t="str">
        <f t="shared" si="2"/>
        <v/>
      </c>
      <c r="AY7" s="1083">
        <f>X7-SUMIFS($R$36:$R$67,$S$36:$S$67,"Y",$Q$36:$Q$67,"F",$P$36:$P$67,"C",$L$36:$L$67,"I")</f>
        <v>17198745.100000001</v>
      </c>
      <c r="AZ7" s="1083">
        <f>Y7-SUMIFS($R$36:$R$67,$S$36:$S$67,"Y",$Q$36:$Q$67,"S",$P$36:$P$67,"C",$L$36:$L$67,"I")</f>
        <v>109110317</v>
      </c>
      <c r="BA7" s="1083">
        <f>Z7-SUMIFS($R$36:$R$67,$S$36:$S$67,"Y",$Q$36:$Q$67,"L",$P$36:$P$67,"C",$L$36:$L$67,"I")</f>
        <v>48038874.900000006</v>
      </c>
      <c r="BB7" s="1083">
        <f>AA7-SUMIFS($R$36:$R$67,$S$36:$S$67,"Y",$Q$36:$Q$67,"O",$P$36:$P$67,"C",$L$36:$L$67,"I")</f>
        <v>17398996</v>
      </c>
      <c r="BC7" s="1083">
        <f>AB7-SUMIFS($R$36:$R$67,$S$36:$S$67,"Y",$Q$36:$Q$67,"P",$P$36:$P$67,"C",$L$36:$L$67,"I")</f>
        <v>2472199</v>
      </c>
      <c r="BD7" s="1083">
        <f>AC7-SUMIFS($R$36:$R$67,$S$36:$S$67,"Y",$Q$36:$Q$67,"N",$P$36:$P$67,"C",$L$36:$L$67,"I")</f>
        <v>0</v>
      </c>
      <c r="BE7" s="1084">
        <f t="shared" si="3"/>
        <v>194219132</v>
      </c>
      <c r="BF7" s="1085">
        <f>BE7-'$REV-DSUM-CONV'!B86</f>
        <v>0</v>
      </c>
      <c r="BG7" s="1086" t="s">
        <v>300</v>
      </c>
      <c r="BH7" s="1087" t="s">
        <v>251</v>
      </c>
      <c r="BI7" s="1038"/>
      <c r="BJ7" s="1038"/>
      <c r="BK7" s="1073" t="s">
        <v>130</v>
      </c>
      <c r="BL7" s="1074"/>
      <c r="BM7" s="1074"/>
      <c r="BN7" s="1111"/>
      <c r="BO7" s="1111"/>
      <c r="BP7" s="1111"/>
      <c r="BQ7" s="1111"/>
      <c r="BR7" s="1111"/>
      <c r="BS7" s="1111"/>
      <c r="BT7" s="1112"/>
      <c r="BU7" s="1038"/>
      <c r="BV7" s="1038"/>
      <c r="BW7" s="36"/>
      <c r="BX7" s="36"/>
      <c r="BY7" s="36"/>
      <c r="BZ7" s="36"/>
      <c r="CA7" s="36"/>
      <c r="CB7" s="36"/>
      <c r="CC7" s="36"/>
      <c r="CD7" s="36"/>
      <c r="CE7" s="36"/>
      <c r="CF7" s="36"/>
      <c r="CG7" s="36"/>
      <c r="CH7" s="36"/>
      <c r="CI7" s="36"/>
    </row>
    <row r="8" spans="1:87" s="3" customFormat="1" ht="15" customHeight="1" thickBot="1">
      <c r="A8" s="1054"/>
      <c r="B8" s="1076" t="s">
        <v>302</v>
      </c>
      <c r="C8" s="1788" t="s">
        <v>620</v>
      </c>
      <c r="D8" s="1788"/>
      <c r="E8" s="1788"/>
      <c r="F8" s="1788"/>
      <c r="G8" s="1788"/>
      <c r="H8" s="1788"/>
      <c r="I8" s="1789"/>
      <c r="J8" s="1055" t="s">
        <v>26</v>
      </c>
      <c r="K8" s="1056" t="s">
        <v>15</v>
      </c>
      <c r="L8" s="1815" t="s">
        <v>144</v>
      </c>
      <c r="M8" s="1839"/>
      <c r="N8" s="1814" t="s">
        <v>274</v>
      </c>
      <c r="O8" s="1840"/>
      <c r="P8" s="1057" t="str">
        <f>IF(AND(R8&gt;-0.01,R8&lt;0.01),"","CHECK!")</f>
        <v/>
      </c>
      <c r="Q8" s="1058">
        <f>Q6+Q7</f>
        <v>18208778769.749996</v>
      </c>
      <c r="R8" s="1059">
        <f>Q5-Q8</f>
        <v>0</v>
      </c>
      <c r="S8" s="1060" t="s">
        <v>114</v>
      </c>
      <c r="T8" s="1061" t="s">
        <v>252</v>
      </c>
      <c r="U8" s="1814" t="s">
        <v>274</v>
      </c>
      <c r="V8" s="1838"/>
      <c r="W8" s="1057" t="str">
        <f>IF(AND(AE8&gt;-0.01,AE8&lt;0.01),"","CHECK!")</f>
        <v/>
      </c>
      <c r="X8" s="1113">
        <f t="shared" ref="X8:AC8" si="4">SUM(X6:X7)</f>
        <v>2327045820.7000003</v>
      </c>
      <c r="Y8" s="1113">
        <f t="shared" si="4"/>
        <v>7357026265.8899965</v>
      </c>
      <c r="Z8" s="1113">
        <f t="shared" si="4"/>
        <v>7445417045.5699978</v>
      </c>
      <c r="AA8" s="1113">
        <f t="shared" si="4"/>
        <v>1076817438.5899997</v>
      </c>
      <c r="AB8" s="1113">
        <f t="shared" si="4"/>
        <v>2472199</v>
      </c>
      <c r="AC8" s="1113">
        <f t="shared" si="4"/>
        <v>0</v>
      </c>
      <c r="AD8" s="1113">
        <f t="shared" si="1"/>
        <v>18208778769.749992</v>
      </c>
      <c r="AE8" s="1059">
        <f>AD5-AD8</f>
        <v>0</v>
      </c>
      <c r="AF8" s="1060" t="s">
        <v>114</v>
      </c>
      <c r="AG8" s="1061" t="s">
        <v>252</v>
      </c>
      <c r="AH8" s="1038"/>
      <c r="AI8" s="1038"/>
      <c r="AJ8" s="1114"/>
      <c r="AK8" s="1115" t="s">
        <v>125</v>
      </c>
      <c r="AL8" s="1115"/>
      <c r="AM8" s="1116">
        <f>'ENR#-DB'!Q22</f>
        <v>15276</v>
      </c>
      <c r="AN8" s="1116">
        <f>'ENR#-DB'!Q10</f>
        <v>3358</v>
      </c>
      <c r="AO8" s="1116">
        <f>'ENR#-DB'!Q12</f>
        <v>4291</v>
      </c>
      <c r="AP8" s="1116">
        <f>'ENR#-DB'!Q14</f>
        <v>0</v>
      </c>
      <c r="AQ8" s="1116">
        <f>'ENR#-DB'!Q16</f>
        <v>0</v>
      </c>
      <c r="AR8" s="1116">
        <f>'ENR#-DB'!Q18</f>
        <v>0</v>
      </c>
      <c r="AS8" s="1117">
        <f>SUM(AM8:AR8)</f>
        <v>22925</v>
      </c>
      <c r="AT8" s="1038"/>
      <c r="AU8" s="1038"/>
      <c r="AV8" s="1794" t="s">
        <v>274</v>
      </c>
      <c r="AW8" s="1795"/>
      <c r="AX8" s="1082" t="str">
        <f t="shared" si="2"/>
        <v/>
      </c>
      <c r="AY8" s="1083">
        <f t="shared" ref="AY8:BD8" si="5">AY6+AY7</f>
        <v>2327045820.7000003</v>
      </c>
      <c r="AZ8" s="1083">
        <f t="shared" si="5"/>
        <v>7357026265.8899965</v>
      </c>
      <c r="BA8" s="1083">
        <f t="shared" si="5"/>
        <v>7445417045.5699978</v>
      </c>
      <c r="BB8" s="1083">
        <f t="shared" si="5"/>
        <v>1076817438.5899997</v>
      </c>
      <c r="BC8" s="1083">
        <f t="shared" si="5"/>
        <v>2472199</v>
      </c>
      <c r="BD8" s="1083">
        <f t="shared" si="5"/>
        <v>0</v>
      </c>
      <c r="BE8" s="1084">
        <f t="shared" si="3"/>
        <v>18208778769.749992</v>
      </c>
      <c r="BF8" s="1085">
        <f>BE5-BE8</f>
        <v>0</v>
      </c>
      <c r="BG8" s="1086" t="s">
        <v>114</v>
      </c>
      <c r="BH8" s="1087" t="s">
        <v>252</v>
      </c>
      <c r="BI8" s="1038"/>
      <c r="BJ8" s="1038"/>
      <c r="BK8" s="1118"/>
      <c r="BL8" s="1119" t="s">
        <v>125</v>
      </c>
      <c r="BM8" s="1119"/>
      <c r="BN8" s="1120">
        <f>'ENR#-DB'!Z22</f>
        <v>15276</v>
      </c>
      <c r="BO8" s="1120">
        <f>'ENR#-DB'!Z10</f>
        <v>3358</v>
      </c>
      <c r="BP8" s="1120">
        <f>'ENR#-DB'!Z12</f>
        <v>4291</v>
      </c>
      <c r="BQ8" s="1120">
        <f>'ENR#-DB'!Z14</f>
        <v>0</v>
      </c>
      <c r="BR8" s="1120">
        <f>'ENR#-DB'!Z16</f>
        <v>0</v>
      </c>
      <c r="BS8" s="1120">
        <f>'ENR#-DB'!Z18</f>
        <v>0</v>
      </c>
      <c r="BT8" s="1121">
        <f>SUM(BN8:BS8)</f>
        <v>22925</v>
      </c>
      <c r="BU8" s="1038"/>
      <c r="BV8" s="1038"/>
      <c r="BW8" s="36"/>
      <c r="BX8" s="36"/>
      <c r="BY8" s="36"/>
      <c r="BZ8" s="36"/>
      <c r="CA8" s="36"/>
      <c r="CB8" s="36"/>
      <c r="CC8" s="36"/>
      <c r="CD8" s="36"/>
      <c r="CE8" s="36"/>
      <c r="CF8" s="36"/>
      <c r="CG8" s="36"/>
      <c r="CH8" s="36"/>
      <c r="CI8" s="36"/>
    </row>
    <row r="9" spans="1:87" s="3" customFormat="1" ht="15" customHeight="1" thickBot="1">
      <c r="A9" s="1054"/>
      <c r="B9" s="1076" t="s">
        <v>302</v>
      </c>
      <c r="C9" s="1788" t="s">
        <v>569</v>
      </c>
      <c r="D9" s="1788"/>
      <c r="E9" s="1788"/>
      <c r="F9" s="1788"/>
      <c r="G9" s="1788"/>
      <c r="H9" s="1788"/>
      <c r="I9" s="1789"/>
      <c r="J9" s="1055"/>
      <c r="K9" s="1056" t="s">
        <v>158</v>
      </c>
      <c r="L9" s="1808" t="s">
        <v>43</v>
      </c>
      <c r="M9" s="1809"/>
      <c r="N9" s="1814" t="s">
        <v>275</v>
      </c>
      <c r="O9" s="1815"/>
      <c r="P9" s="1097"/>
      <c r="Q9" s="1058">
        <f>SUMIFS($R$36:$R$67,$O$36:$O$67,"FA1",$P$36:$P$67,"D",$L$36:$L$67,"I")</f>
        <v>1103446703.78</v>
      </c>
      <c r="R9" s="1059"/>
      <c r="S9" s="1059"/>
      <c r="T9" s="1061" t="s">
        <v>253</v>
      </c>
      <c r="U9" s="1814" t="s">
        <v>275</v>
      </c>
      <c r="V9" s="1815"/>
      <c r="W9" s="1098"/>
      <c r="X9" s="1058">
        <f>SUMIFS($R$36:$R$67,$O$36:$O$67,"FA1",$P$36:$P$67,"D",$Q$36:$Q$67,"F",$L$36:$L$67,"I")</f>
        <v>95153963.870000005</v>
      </c>
      <c r="Y9" s="1058">
        <f>SUMIFS($R$36:$R$67,$O$36:$O$67,"FA1",$P$36:$P$67,"D",$Q$36:$Q$67,"S",$L$36:$L$67,"I")</f>
        <v>291439281.51000005</v>
      </c>
      <c r="Z9" s="1058">
        <f>SUMIFS($R$36:$R$67,$O$36:$O$67,"FA1",$P$36:$P$67,"D",$Q$36:$Q$67,"L",$L$36:$L$67,"I")</f>
        <v>654059954.54000008</v>
      </c>
      <c r="AA9" s="1058">
        <f>SUMIFS($R$36:$R$67,$O$36:$O$67,"FA1",$P$36:$P$67,"D",$Q$36:$Q$67,"O",$L$36:$L$67,"I")</f>
        <v>62793503.859999999</v>
      </c>
      <c r="AB9" s="1058">
        <f>SUMIFS($R$36:$R$67,$O$36:$O$67,"FA1",$P$36:$P$67,"D",$Q$36:$Q$67,"P",$L$36:$L$67,"I")</f>
        <v>0</v>
      </c>
      <c r="AC9" s="1058">
        <f>SUMIFS($R$36:$R$67,$O$36:$O$67,"FA1",$P$36:$P$67,"D",$Q$36:$Q$67,"N",$L$36:$L$67,"I")</f>
        <v>0</v>
      </c>
      <c r="AD9" s="1058">
        <f t="shared" si="1"/>
        <v>1103446703.78</v>
      </c>
      <c r="AE9" s="1059"/>
      <c r="AF9" s="1060"/>
      <c r="AG9" s="1061" t="s">
        <v>253</v>
      </c>
      <c r="AH9" s="1038"/>
      <c r="AI9" s="1038"/>
      <c r="AJ9" s="1122"/>
      <c r="AK9" s="1123" t="s">
        <v>129</v>
      </c>
      <c r="AL9" s="1123"/>
      <c r="AM9" s="1124">
        <f>AM8/AS8</f>
        <v>0.66634678298800432</v>
      </c>
      <c r="AN9" s="1124">
        <f>AN8/AS8</f>
        <v>0.14647764449291167</v>
      </c>
      <c r="AO9" s="1124">
        <f>AO8/AS8</f>
        <v>0.18717557251908398</v>
      </c>
      <c r="AP9" s="1124">
        <f>AP8/AS8</f>
        <v>0</v>
      </c>
      <c r="AQ9" s="1124">
        <f>AQ8/AS8</f>
        <v>0</v>
      </c>
      <c r="AR9" s="1124">
        <f>AR8/AS8</f>
        <v>0</v>
      </c>
      <c r="AS9" s="1125">
        <f>SUM(AM9:AR9)</f>
        <v>1</v>
      </c>
      <c r="AT9" s="1038"/>
      <c r="AU9" s="1038"/>
      <c r="AV9" s="1806" t="s">
        <v>275</v>
      </c>
      <c r="AW9" s="1807"/>
      <c r="AX9" s="1082" t="str">
        <f t="shared" si="2"/>
        <v/>
      </c>
      <c r="AY9" s="1126">
        <f>X9+SUMIFS($R$36:$R$67,$S$36:$S$67,"Y",$Q$36:$Q$67,"F",$O$36:$O$67,"FA1",$P$36:$P$67,"C",$L$36:$L$67,"I")</f>
        <v>95153963.870000005</v>
      </c>
      <c r="AZ9" s="1126">
        <f>Y9+SUMIFS($R$36:$R$67,$S$36:$S$67,"Y",$Q$36:$Q$67,"S",$O$36:$O$67,"FA1",$P$36:$P$67,"C",$L$36:$L$67,"I")</f>
        <v>291439281.51000005</v>
      </c>
      <c r="BA9" s="1126">
        <f>Z9+SUMIFS($R$36:$R$67,$S$36:$S$67,"Y",$Q$36:$Q$67,"L",$O$36:$O$67,"FA1",$P$36:$P$67,"C",$L$36:$L$67,"I")</f>
        <v>654059954.54000008</v>
      </c>
      <c r="BB9" s="1126">
        <f>AA9+SUMIFS($R$36:$R$67,$S$36:$S$67,"Y",$Q$36:$Q$67,"O",$O$36:$O$67,"FA1",$P$36:$P$67,"C",$L$36:$L$67,"I")</f>
        <v>62793503.859999999</v>
      </c>
      <c r="BC9" s="1126">
        <f>AB9+SUMIFS($R$36:$R$67,$S$36:$S$67,"Y",$Q$36:$Q$67,"P",$O$36:$O$67,"FA1",$P$36:$P$67,"C",$L$36:$L$67,"I")</f>
        <v>0</v>
      </c>
      <c r="BD9" s="1126">
        <f>AC9+SUMIFS($R$36:$R$67,$S$36:$S$67,"Y",$Q$36:$Q$67,"N",$O$36:$O$67,"FA1",$P$36:$P$67,"C",$L$36:$L$67,"I")</f>
        <v>0</v>
      </c>
      <c r="BE9" s="1127">
        <f t="shared" si="3"/>
        <v>1103446703.78</v>
      </c>
      <c r="BF9" s="1085">
        <f>BE9-'$REV-DSUM-CONV'!B156</f>
        <v>0</v>
      </c>
      <c r="BG9" s="1086" t="s">
        <v>300</v>
      </c>
      <c r="BH9" s="1087" t="s">
        <v>253</v>
      </c>
      <c r="BI9" s="1038"/>
      <c r="BJ9" s="1038"/>
      <c r="BK9" s="1128"/>
      <c r="BL9" s="1129" t="s">
        <v>129</v>
      </c>
      <c r="BM9" s="1129"/>
      <c r="BN9" s="1130">
        <f>BN8/BT8</f>
        <v>0.66634678298800432</v>
      </c>
      <c r="BO9" s="1130">
        <f>BO8/BT8</f>
        <v>0.14647764449291167</v>
      </c>
      <c r="BP9" s="1130">
        <f>BP8/BT8</f>
        <v>0.18717557251908398</v>
      </c>
      <c r="BQ9" s="1130">
        <f>BQ8/BT8</f>
        <v>0</v>
      </c>
      <c r="BR9" s="1130">
        <f>BR8/BT8</f>
        <v>0</v>
      </c>
      <c r="BS9" s="1130">
        <f>BS8/BT8</f>
        <v>0</v>
      </c>
      <c r="BT9" s="1131">
        <f>SUM(BN9:BS9)</f>
        <v>1</v>
      </c>
      <c r="BU9" s="1038"/>
      <c r="BV9" s="1038"/>
      <c r="BW9" s="36"/>
      <c r="BX9" s="36"/>
      <c r="BY9" s="36"/>
      <c r="BZ9" s="36"/>
      <c r="CA9" s="36"/>
      <c r="CB9" s="36"/>
      <c r="CC9" s="36"/>
      <c r="CD9" s="36"/>
      <c r="CE9" s="36"/>
      <c r="CF9" s="36"/>
      <c r="CG9" s="36"/>
      <c r="CH9" s="36"/>
      <c r="CI9" s="36"/>
    </row>
    <row r="10" spans="1:87" s="3" customFormat="1" ht="15" customHeight="1" thickTop="1" thickBot="1">
      <c r="A10" s="1054"/>
      <c r="B10" s="1076" t="s">
        <v>302</v>
      </c>
      <c r="C10" s="1788" t="s">
        <v>304</v>
      </c>
      <c r="D10" s="1788"/>
      <c r="E10" s="1788"/>
      <c r="F10" s="1788"/>
      <c r="G10" s="1788"/>
      <c r="H10" s="1788"/>
      <c r="I10" s="1789"/>
      <c r="J10" s="1132" t="s">
        <v>369</v>
      </c>
      <c r="K10" s="1056" t="s">
        <v>159</v>
      </c>
      <c r="L10" s="1808" t="s">
        <v>44</v>
      </c>
      <c r="M10" s="1809"/>
      <c r="N10" s="1814" t="s">
        <v>276</v>
      </c>
      <c r="O10" s="1815"/>
      <c r="P10" s="1097"/>
      <c r="Q10" s="1058">
        <f>SUMIFS($R$36:$R$67,$O$36:$O$67,"FA1",$P$36:$P$67,"C",$L$36:$L$67,"I")</f>
        <v>33142729</v>
      </c>
      <c r="R10" s="1059"/>
      <c r="S10" s="1059"/>
      <c r="T10" s="1061" t="s">
        <v>254</v>
      </c>
      <c r="U10" s="1814" t="s">
        <v>276</v>
      </c>
      <c r="V10" s="1815"/>
      <c r="W10" s="1098"/>
      <c r="X10" s="1058">
        <f>SUMIFS($R$36:$R$67,$O$36:$O$67,"FA1",$P$36:$P$67,"C",$Q$36:$Q$67,"F",$L$36:$L$67,"I")</f>
        <v>3396216.2</v>
      </c>
      <c r="Y10" s="1058">
        <f>SUMIFS($R$36:$R$67,$O$36:$O$67,"FA1",$P$36:$P$67,"C",$Q$36:$Q$67,"S",$L$36:$L$67,"I")</f>
        <v>14853407</v>
      </c>
      <c r="Z10" s="1058">
        <f>SUMIFS($R$36:$R$67,$O$36:$O$67,"FA1",$P$36:$P$67,"C",$Q$36:$Q$67,"L",$L$36:$L$67,"I")</f>
        <v>11277156.800000001</v>
      </c>
      <c r="AA10" s="1058">
        <f>SUMIFS($R$36:$R$67,$O$36:$O$67,"FA1",$P$36:$P$67,"C",$Q$36:$Q$67,"O",$L$36:$L$67,"I")</f>
        <v>3352145</v>
      </c>
      <c r="AB10" s="1058">
        <f>SUMIFS($R$36:$R$67,$O$36:$O$67,"FA1",$P$36:$P$67,"C",$Q$36:$Q$67,"P",$L$36:$L$67,"I")</f>
        <v>263804</v>
      </c>
      <c r="AC10" s="1058">
        <f>SUMIFS($R$36:$R$67,$O$36:$O$67,"FA1",$P$36:$P$67,"C",$Q$36:$Q$67,"N",$L$36:$L$67,"I")</f>
        <v>0</v>
      </c>
      <c r="AD10" s="1058">
        <f t="shared" si="1"/>
        <v>33142729</v>
      </c>
      <c r="AE10" s="1059"/>
      <c r="AF10" s="1060"/>
      <c r="AG10" s="1061" t="s">
        <v>254</v>
      </c>
      <c r="AH10" s="1038"/>
      <c r="AI10" s="1038"/>
      <c r="AJ10" s="1114"/>
      <c r="AK10" s="1115"/>
      <c r="AL10" s="1115"/>
      <c r="AM10" s="1115"/>
      <c r="AN10" s="1115"/>
      <c r="AO10" s="1115"/>
      <c r="AP10" s="1115"/>
      <c r="AQ10" s="1115"/>
      <c r="AR10" s="1115"/>
      <c r="AS10" s="1133"/>
      <c r="AT10" s="1038"/>
      <c r="AU10" s="1038"/>
      <c r="AV10" s="1794" t="s">
        <v>276</v>
      </c>
      <c r="AW10" s="1799"/>
      <c r="AX10" s="1082" t="str">
        <f t="shared" si="2"/>
        <v/>
      </c>
      <c r="AY10" s="1083">
        <f>X10-SUMIFS($R$36:$R$67,$S$36:$S$67,"Y",$Q$36:$Q$67,"F",$O$36:$O$67,"FA1",$P$36:$P$67,"C",$L$36:$L$67,"I")</f>
        <v>3396216.2</v>
      </c>
      <c r="AZ10" s="1083">
        <f>Y10-SUMIFS($R$36:$R$67,$S$36:$S$67,"Y",$Q$36:$Q$67,"S",$O$36:$O$67,"FA1",$P$36:$P$67,"C",$L$36:$L$67,"I")</f>
        <v>14853407</v>
      </c>
      <c r="BA10" s="1083">
        <f>Z10-SUMIFS($R$36:$R$67,$S$36:$S$67,"Y",$Q$36:$Q$67,"L",$O$36:$O$67,"FA1",$P$36:$P$67,"C",$L$36:$L$67,"I")</f>
        <v>11277156.800000001</v>
      </c>
      <c r="BB10" s="1083">
        <f>AA10-SUMIFS($R$36:$R$67,$S$36:$S$67,"Y",$Q$36:$Q$67,"O",$O$36:$O$67,"FA1",$P$36:$P$67,"C",$L$36:$L$67,"I")</f>
        <v>3352145</v>
      </c>
      <c r="BC10" s="1083">
        <f>AB10-SUMIFS($R$36:$R$67,$S$36:$S$67,"Y",$Q$36:$Q$67,"P",$O$36:$O$67,"FA1",$P$36:$P$67,"C",$L$36:$L$67,"I")</f>
        <v>263804</v>
      </c>
      <c r="BD10" s="1083">
        <f>AC10-SUMIFS($R$36:$R$67,$S$36:$S$67,"Y",$Q$36:$Q$67,"N",$O$36:$O$67,"FA1",$P$36:$P$67,"C",$L$36:$L$67,"I")</f>
        <v>0</v>
      </c>
      <c r="BE10" s="1084">
        <f t="shared" si="3"/>
        <v>33142729</v>
      </c>
      <c r="BF10" s="1085">
        <f>BE10-'$REV-DSUM-CONV'!B226</f>
        <v>0</v>
      </c>
      <c r="BG10" s="1086" t="s">
        <v>300</v>
      </c>
      <c r="BH10" s="1087" t="s">
        <v>254</v>
      </c>
      <c r="BI10" s="1038"/>
      <c r="BJ10" s="1038"/>
      <c r="BK10" s="1118"/>
      <c r="BL10" s="1119"/>
      <c r="BM10" s="1119"/>
      <c r="BN10" s="1119"/>
      <c r="BO10" s="1119"/>
      <c r="BP10" s="1119"/>
      <c r="BQ10" s="1119"/>
      <c r="BR10" s="1119"/>
      <c r="BS10" s="1119"/>
      <c r="BT10" s="1134"/>
      <c r="BU10" s="1038"/>
      <c r="BV10" s="1038"/>
      <c r="BW10" s="36"/>
      <c r="BX10" s="36"/>
      <c r="BY10" s="36"/>
      <c r="BZ10" s="36"/>
      <c r="CA10" s="36"/>
      <c r="CB10" s="36"/>
      <c r="CC10" s="36"/>
      <c r="CD10" s="36"/>
      <c r="CE10" s="36"/>
      <c r="CF10" s="36"/>
      <c r="CG10" s="36"/>
      <c r="CH10" s="36"/>
      <c r="CI10" s="36"/>
    </row>
    <row r="11" spans="1:87" s="3" customFormat="1" ht="15" customHeight="1" thickTop="1">
      <c r="A11" s="1054"/>
      <c r="B11" s="1076" t="s">
        <v>302</v>
      </c>
      <c r="C11" s="1788" t="s">
        <v>572</v>
      </c>
      <c r="D11" s="1788"/>
      <c r="E11" s="1788"/>
      <c r="F11" s="1788"/>
      <c r="G11" s="1788"/>
      <c r="H11" s="1788"/>
      <c r="I11" s="1789"/>
      <c r="J11" s="1135" t="s">
        <v>811</v>
      </c>
      <c r="K11" s="1056" t="s">
        <v>160</v>
      </c>
      <c r="L11" s="1808" t="s">
        <v>45</v>
      </c>
      <c r="M11" s="1809"/>
      <c r="N11" s="1814" t="s">
        <v>277</v>
      </c>
      <c r="O11" s="1815"/>
      <c r="P11" s="1097"/>
      <c r="Q11" s="1058">
        <f>SUMIFS($R$36:$R$67,$O$36:$O$67,"FA2",$P$36:$P$67,"D",$L$36:$L$67,"I")</f>
        <v>849143389.51999998</v>
      </c>
      <c r="R11" s="1059"/>
      <c r="S11" s="1059"/>
      <c r="T11" s="1061" t="s">
        <v>255</v>
      </c>
      <c r="U11" s="1814" t="s">
        <v>277</v>
      </c>
      <c r="V11" s="1815"/>
      <c r="W11" s="1098"/>
      <c r="X11" s="1058">
        <f>SUMIFS($R$36:$R$67,$O$36:$O$67,"FA2",$P$36:$P$67,"D",$Q$36:$Q$67,"F",$L$36:$L$67,"I")</f>
        <v>102172098.02000001</v>
      </c>
      <c r="Y11" s="1058">
        <f>SUMIFS($R$36:$R$67,$O$36:$O$67,"FA2",$P$36:$P$67,"D",$Q$36:$Q$67,"S",$L$36:$L$67,"I")</f>
        <v>113767349.19000001</v>
      </c>
      <c r="Z11" s="1058">
        <f>SUMIFS($R$36:$R$67,$O$36:$O$67,"FA2",$P$36:$P$67,"D",$Q$36:$Q$67,"L",$L$36:$L$67,"I")</f>
        <v>481458463.28000003</v>
      </c>
      <c r="AA11" s="1058">
        <f>SUMIFS($R$36:$R$67,$O$36:$O$67,"FA2",$P$36:$P$67,"D",$Q$36:$Q$67,"O",$L$36:$L$67,"I")</f>
        <v>151745479.02999997</v>
      </c>
      <c r="AB11" s="1058">
        <f>SUMIFS($R$36:$R$67,$O$36:$O$67,"FA2",$P$36:$P$67,"D",$Q$36:$Q$67,"P",$L$36:$L$67,"I")</f>
        <v>0</v>
      </c>
      <c r="AC11" s="1058">
        <f>SUMIFS($R$36:$R$67,$O$36:$O$67,"FA2",$P$36:$P$67,"D",$Q$36:$Q$67,"N",$L$36:$L$67,"I")</f>
        <v>0</v>
      </c>
      <c r="AD11" s="1058">
        <f t="shared" si="1"/>
        <v>849143389.51999998</v>
      </c>
      <c r="AE11" s="1059"/>
      <c r="AF11" s="1060"/>
      <c r="AG11" s="1061" t="s">
        <v>255</v>
      </c>
      <c r="AH11" s="1038"/>
      <c r="AI11" s="1038"/>
      <c r="AJ11" s="1114" t="s">
        <v>131</v>
      </c>
      <c r="AK11" s="1115"/>
      <c r="AL11" s="1115"/>
      <c r="AM11" s="1058"/>
      <c r="AN11" s="1058"/>
      <c r="AO11" s="1058"/>
      <c r="AP11" s="1058"/>
      <c r="AQ11" s="1058"/>
      <c r="AR11" s="1058"/>
      <c r="AS11" s="1136"/>
      <c r="AT11" s="1038"/>
      <c r="AU11" s="1038"/>
      <c r="AV11" s="1802" t="s">
        <v>277</v>
      </c>
      <c r="AW11" s="1803"/>
      <c r="AX11" s="1082" t="str">
        <f t="shared" si="2"/>
        <v/>
      </c>
      <c r="AY11" s="1137">
        <f>X11+SUMIFS($R$36:$R$67,$S$36:$S$67,"Y",$Q$36:$Q$67,"F",$O$36:$O$67,"FA2",$P$36:$P$67,"C",$L$36:$L$67,"I")</f>
        <v>102172098.02000001</v>
      </c>
      <c r="AZ11" s="1137">
        <f>Y11+SUMIFS($R$36:$R$67,$S$36:$S$67,"Y",$Q$36:$Q$67,"S",$O$36:$O$67,"FA2",$P$36:$P$67,"C",$L$36:$L$67,"I")</f>
        <v>113767349.19000001</v>
      </c>
      <c r="BA11" s="1137">
        <f>Z11+SUMIFS($R$36:$R$67,$S$36:$S$67,"Y",$Q$36:$Q$67,"L",$O$36:$O$67,"FA2",$P$36:$P$67,"C",$L$36:$L$67,"I")</f>
        <v>481458463.28000003</v>
      </c>
      <c r="BB11" s="1137">
        <f>AA11+SUMIFS($R$36:$R$67,$S$36:$S$67,"Y",$Q$36:$Q$67,"O",$O$36:$O$67,"FA2",$P$36:$P$67,"C",$L$36:$L$67,"I")</f>
        <v>151745479.02999997</v>
      </c>
      <c r="BC11" s="1137">
        <f>AB11+SUMIFS($R$36:$R$67,$S$36:$S$67,"Y",$Q$36:$Q$67,"P",$O$36:$O$67,"FA2",$P$36:$P$67,"C",$L$36:$L$67,"I")</f>
        <v>0</v>
      </c>
      <c r="BD11" s="1137">
        <f>AC11+SUMIFS($R$36:$R$67,$S$36:$S$67,"Y",$Q$36:$Q$67,"N",$O$36:$O$67,"FA2",$P$36:$P$67,"C",$L$36:$L$67,"I")</f>
        <v>0</v>
      </c>
      <c r="BE11" s="1138">
        <f t="shared" si="3"/>
        <v>849143389.51999998</v>
      </c>
      <c r="BF11" s="1085">
        <f>BE11-'$REV-DSUM-CONV'!B296</f>
        <v>0</v>
      </c>
      <c r="BG11" s="1086" t="s">
        <v>300</v>
      </c>
      <c r="BH11" s="1087" t="s">
        <v>255</v>
      </c>
      <c r="BI11" s="1038"/>
      <c r="BJ11" s="1038"/>
      <c r="BK11" s="1118" t="s">
        <v>131</v>
      </c>
      <c r="BL11" s="1119"/>
      <c r="BM11" s="1119"/>
      <c r="BN11" s="1083"/>
      <c r="BO11" s="1083"/>
      <c r="BP11" s="1083"/>
      <c r="BQ11" s="1083"/>
      <c r="BR11" s="1083"/>
      <c r="BS11" s="1083"/>
      <c r="BT11" s="1084"/>
      <c r="BU11" s="1038"/>
      <c r="BV11" s="1038"/>
      <c r="BW11" s="36"/>
      <c r="BX11" s="36"/>
      <c r="BY11" s="36"/>
      <c r="BZ11" s="36"/>
      <c r="CA11" s="36"/>
      <c r="CB11" s="36"/>
      <c r="CC11" s="36"/>
      <c r="CD11" s="36"/>
      <c r="CE11" s="36"/>
      <c r="CF11" s="36"/>
      <c r="CG11" s="36"/>
      <c r="CH11" s="36"/>
      <c r="CI11" s="36"/>
    </row>
    <row r="12" spans="1:87" s="3" customFormat="1" ht="15" customHeight="1" thickBot="1">
      <c r="A12" s="1054"/>
      <c r="B12" s="1076"/>
      <c r="C12" s="1788" t="s">
        <v>571</v>
      </c>
      <c r="D12" s="1788"/>
      <c r="E12" s="1788"/>
      <c r="F12" s="1788"/>
      <c r="G12" s="1788"/>
      <c r="H12" s="1788"/>
      <c r="I12" s="1789"/>
      <c r="J12" s="1135" t="str">
        <f>'FIG3'!W52</f>
        <v>Fulton County</v>
      </c>
      <c r="K12" s="1056" t="s">
        <v>16</v>
      </c>
      <c r="L12" s="1808" t="s">
        <v>27</v>
      </c>
      <c r="M12" s="1809"/>
      <c r="N12" s="1814" t="s">
        <v>278</v>
      </c>
      <c r="O12" s="1815"/>
      <c r="P12" s="1097"/>
      <c r="Q12" s="1058">
        <f>SUMIFS($R$36:$R$67,$O$36:$O$67,"FA2",$P$36:$P$67,"C",$L$36:$L$67,"I")</f>
        <v>56530342</v>
      </c>
      <c r="R12" s="1059"/>
      <c r="S12" s="1059"/>
      <c r="T12" s="1061" t="s">
        <v>256</v>
      </c>
      <c r="U12" s="1814" t="s">
        <v>278</v>
      </c>
      <c r="V12" s="1815"/>
      <c r="W12" s="1098"/>
      <c r="X12" s="1058">
        <f>SUMIFS($R$36:$R$67,$O$36:$O$67,"FA2",$P$36:$P$67,"C",$Q$36:$Q$67,"F",$L$36:$L$67,"I")</f>
        <v>4412328.3599999994</v>
      </c>
      <c r="Y12" s="1058">
        <f>SUMIFS($R$36:$R$67,$O$36:$O$67,"FA2",$P$36:$P$67,"C",$Q$36:$Q$67,"S",$L$36:$L$67,"I")</f>
        <v>23160878</v>
      </c>
      <c r="Z12" s="1058">
        <f>SUMIFS($R$36:$R$67,$O$36:$O$67,"FA2",$P$36:$P$67,"C",$Q$36:$Q$67,"L",$L$36:$L$67,"I")</f>
        <v>21032144.640000001</v>
      </c>
      <c r="AA12" s="1058">
        <f>SUMIFS($R$36:$R$67,$O$36:$O$67,"FA2",$P$36:$P$67,"C",$Q$36:$Q$67,"O",$L$36:$L$67,"I")</f>
        <v>6582336</v>
      </c>
      <c r="AB12" s="1058">
        <f>SUMIFS($R$36:$R$67,$O$36:$O$67,"FA2",$P$36:$P$67,"C",$Q$36:$Q$67,"P",$L$36:$L$67,"I")</f>
        <v>1342655</v>
      </c>
      <c r="AC12" s="1058">
        <f>SUMIFS($R$36:$R$67,$O$36:$O$67,"FA2",$P$36:$P$67,"C",$Q$36:$Q$67,"N",$L$36:$L$67,"I")</f>
        <v>0</v>
      </c>
      <c r="AD12" s="1058">
        <f t="shared" si="1"/>
        <v>56530342</v>
      </c>
      <c r="AE12" s="1059"/>
      <c r="AF12" s="1060"/>
      <c r="AG12" s="1061" t="s">
        <v>256</v>
      </c>
      <c r="AH12" s="1038"/>
      <c r="AI12" s="1038"/>
      <c r="AJ12" s="1078"/>
      <c r="AK12" s="1079" t="s">
        <v>81</v>
      </c>
      <c r="AL12" s="1079"/>
      <c r="AM12" s="1139">
        <f>X21/'ENR#-DB'!Q21</f>
        <v>1504.946872313385</v>
      </c>
      <c r="AN12" s="1139">
        <f>X9/'ENR#-DB'!Q9</f>
        <v>1108.4521209403104</v>
      </c>
      <c r="AO12" s="1139">
        <f>IFERROR(X11/'ENR#-DB'!Q11,"")</f>
        <v>2283.7877871160986</v>
      </c>
      <c r="AP12" s="1139" t="str">
        <f>IFERROR(X13/'ENR#-DB'!Q13,"")</f>
        <v/>
      </c>
      <c r="AQ12" s="1139" t="str">
        <f>IFERROR(X15/'ENR#-DB'!Q15,"")</f>
        <v/>
      </c>
      <c r="AR12" s="1139" t="str">
        <f>IFERROR(X17/'ENR#-DB'!Q17,"")</f>
        <v/>
      </c>
      <c r="AS12" s="1140">
        <f t="shared" ref="AS12:AS18" si="6">SUM(AM12:AR12)</f>
        <v>4897.1867803697933</v>
      </c>
      <c r="AT12" s="1038"/>
      <c r="AU12" s="1038"/>
      <c r="AV12" s="1800" t="s">
        <v>278</v>
      </c>
      <c r="AW12" s="1801"/>
      <c r="AX12" s="1082" t="str">
        <f t="shared" si="2"/>
        <v/>
      </c>
      <c r="AY12" s="1141">
        <f>X12-SUMIFS($R$36:$R$67,$S$36:$S$67,"Y",$Q$36:$Q$67,"F",$O$36:$O$67,"FA2",$P$36:$P$67,"C",$L$36:$L$67,"I")</f>
        <v>4412328.3599999994</v>
      </c>
      <c r="AZ12" s="1141">
        <f>Y12-SUMIFS($R$36:$R$67,$S$36:$S$67,"Y",$Q$36:$Q$67,"S",$O$36:$O$67,"FA2",$P$36:$P$67,"C",$L$36:$L$67,"I")</f>
        <v>23160878</v>
      </c>
      <c r="BA12" s="1141">
        <f>Z12-SUMIFS($R$36:$R$67,$S$36:$S$67,"Y",$Q$36:$Q$67,"L",$O$36:$O$67,"FA2",$P$36:$P$67,"C",$L$36:$L$67,"I")</f>
        <v>21032144.640000001</v>
      </c>
      <c r="BB12" s="1141">
        <f>AA12-SUMIFS($R$36:$R$67,$S$36:$S$67,"Y",$Q$36:$Q$67,"O",$O$36:$O$67,"FA2",$P$36:$P$67,"C",$L$36:$L$67,"I")</f>
        <v>6582336</v>
      </c>
      <c r="BC12" s="1141">
        <f>AB12-SUMIFS($R$36:$R$67,$S$36:$S$67,"Y",$Q$36:$Q$67,"P",$O$36:$O$67,"FA2",$P$36:$P$67,"C",$L$36:$L$67,"I")</f>
        <v>1342655</v>
      </c>
      <c r="BD12" s="1141">
        <f>AC12-SUMIFS($R$36:$R$67,$S$36:$S$67,"Y",$Q$36:$Q$67,"N",$O$36:$O$67,"FA2",$P$36:$P$67,"C",$L$36:$L$67,"I")</f>
        <v>0</v>
      </c>
      <c r="BE12" s="1142">
        <f t="shared" si="3"/>
        <v>56530342</v>
      </c>
      <c r="BF12" s="1085">
        <f>BE12-'$REV-DSUM-CONV'!B366</f>
        <v>0</v>
      </c>
      <c r="BG12" s="1086" t="s">
        <v>300</v>
      </c>
      <c r="BH12" s="1087" t="s">
        <v>256</v>
      </c>
      <c r="BI12" s="1038"/>
      <c r="BJ12" s="1038"/>
      <c r="BK12" s="1088"/>
      <c r="BL12" s="1089" t="s">
        <v>81</v>
      </c>
      <c r="BM12" s="1089"/>
      <c r="BN12" s="1143">
        <f>AY21/'ENR#-DB'!Z21</f>
        <v>1504.946872313385</v>
      </c>
      <c r="BO12" s="1143">
        <f>AY9/'ENR#-DB'!Z9</f>
        <v>1108.4521209403104</v>
      </c>
      <c r="BP12" s="1143">
        <f>IFERROR(AY11/'ENR#-DB'!Z11,"")</f>
        <v>2283.7877871160986</v>
      </c>
      <c r="BQ12" s="1143" t="str">
        <f>IFERROR(AY13/'ENR#-DB'!Z13,"")</f>
        <v/>
      </c>
      <c r="BR12" s="1143" t="str">
        <f>IFERROR(AY15/'ENR#-DB'!Z15,"")</f>
        <v/>
      </c>
      <c r="BS12" s="1143" t="str">
        <f>IFERROR(AY17/'ENR#-DB'!Z17,"")</f>
        <v/>
      </c>
      <c r="BT12" s="1144">
        <f t="shared" ref="BT12:BT18" si="7">SUM(BN12:BS12)</f>
        <v>4897.1867803697933</v>
      </c>
      <c r="BU12" s="1038"/>
      <c r="BV12" s="1038"/>
      <c r="BW12" s="36"/>
      <c r="BX12" s="36"/>
      <c r="BY12" s="36"/>
      <c r="BZ12" s="36"/>
      <c r="CA12" s="36"/>
      <c r="CB12" s="36"/>
      <c r="CC12" s="36"/>
      <c r="CD12" s="36"/>
      <c r="CE12" s="36"/>
      <c r="CF12" s="36"/>
      <c r="CG12" s="36"/>
      <c r="CH12" s="36"/>
      <c r="CI12" s="36"/>
    </row>
    <row r="13" spans="1:87" s="3" customFormat="1" ht="15" customHeight="1" thickTop="1" thickBot="1">
      <c r="A13" s="1054"/>
      <c r="B13" s="1076" t="s">
        <v>302</v>
      </c>
      <c r="C13" s="1788" t="s">
        <v>566</v>
      </c>
      <c r="D13" s="1788"/>
      <c r="E13" s="1788"/>
      <c r="F13" s="1788"/>
      <c r="G13" s="1788"/>
      <c r="H13" s="1788"/>
      <c r="I13" s="1789"/>
      <c r="J13" s="1145" t="str">
        <f>'FIG3'!X52</f>
        <v>District</v>
      </c>
      <c r="K13" s="1056" t="s">
        <v>17</v>
      </c>
      <c r="L13" s="1808" t="s">
        <v>28</v>
      </c>
      <c r="M13" s="1809"/>
      <c r="N13" s="1814" t="s">
        <v>279</v>
      </c>
      <c r="O13" s="1815"/>
      <c r="P13" s="1097"/>
      <c r="Q13" s="1058">
        <f>SUMIFS($R$36:$R$67,$O$36:$O$67,"FA3",$P$36:$P$67,"D",$L$36:$L$67,"I")</f>
        <v>0</v>
      </c>
      <c r="R13" s="1059"/>
      <c r="S13" s="1059"/>
      <c r="T13" s="1061" t="s">
        <v>257</v>
      </c>
      <c r="U13" s="1814" t="s">
        <v>279</v>
      </c>
      <c r="V13" s="1815"/>
      <c r="W13" s="1098"/>
      <c r="X13" s="1058">
        <f>SUMIFS($R$36:$R$67,$O$36:$O$67,"FA3",$P$36:$P$67,"D",$Q$36:$Q$67,"F",$L$36:$L$67,"I")</f>
        <v>0</v>
      </c>
      <c r="Y13" s="1058">
        <f>SUMIFS($R$36:$R$67,$O$36:$O$67,"FA3",$P$36:$P$67,"D",$Q$36:$Q$67,"S",$L$36:$L$67,"I")</f>
        <v>0</v>
      </c>
      <c r="Z13" s="1058">
        <f>SUMIFS($R$36:$R$67,$O$36:$O$67,"FA3",$P$36:$P$67,"D",$Q$36:$Q$67,"L",$L$36:$L$67,"I")</f>
        <v>0</v>
      </c>
      <c r="AA13" s="1058">
        <f>SUMIFS($R$36:$R$67,$O$36:$O$67,"FA3",$P$36:$P$67,"D",$Q$36:$Q$67,"O",$L$36:$L$67,"I")</f>
        <v>0</v>
      </c>
      <c r="AB13" s="1058">
        <f>SUMIFS($R$36:$R$67,$O$36:$O$67,"FA3",$P$36:$P$67,"D",$Q$36:$Q$67,"P",$L$36:$L$67,"I")</f>
        <v>0</v>
      </c>
      <c r="AC13" s="1058">
        <f>SUMIFS($R$36:$R$67,$O$36:$O$67,"FA3",$P$36:$P$67,"D",$Q$36:$Q$67,"N",$L$36:$L$67,"I")</f>
        <v>0</v>
      </c>
      <c r="AD13" s="1058">
        <f t="shared" si="1"/>
        <v>0</v>
      </c>
      <c r="AE13" s="1059"/>
      <c r="AF13" s="1060"/>
      <c r="AG13" s="1061" t="s">
        <v>257</v>
      </c>
      <c r="AH13" s="1146"/>
      <c r="AI13" s="1053"/>
      <c r="AJ13" s="1078"/>
      <c r="AK13" s="1079" t="s">
        <v>42</v>
      </c>
      <c r="AL13" s="1115"/>
      <c r="AM13" s="1139">
        <f>Y21/'ENR#-DB'!Q21</f>
        <v>4874.7036927573745</v>
      </c>
      <c r="AN13" s="1139">
        <f>Y9/'ENR#-DB'!Q9</f>
        <v>3394.9872036484794</v>
      </c>
      <c r="AO13" s="1139">
        <f>IFERROR(Y11/'ENR#-DB'!Q11,"")</f>
        <v>2542.9690462246863</v>
      </c>
      <c r="AP13" s="1139" t="str">
        <f>IFERROR(Y13/'ENR#-DB'!Q13,"")</f>
        <v/>
      </c>
      <c r="AQ13" s="1139" t="str">
        <f>IFERROR(Y15/'ENR#-DB'!Q15,"")</f>
        <v/>
      </c>
      <c r="AR13" s="1139" t="str">
        <f>IFERROR(Y17/'ENR#-DB'!Q17,"")</f>
        <v/>
      </c>
      <c r="AS13" s="1140">
        <f t="shared" si="6"/>
        <v>10812.65994263054</v>
      </c>
      <c r="AT13" s="1038"/>
      <c r="AU13" s="1038"/>
      <c r="AV13" s="1802" t="s">
        <v>279</v>
      </c>
      <c r="AW13" s="1803"/>
      <c r="AX13" s="1082" t="str">
        <f t="shared" si="2"/>
        <v/>
      </c>
      <c r="AY13" s="1137">
        <f>X13+SUMIFS($R$36:$R$67,$S$36:$S$67,"Y",$Q$36:$Q$67,"F",$O$36:$O$67,"FA3",$P$36:$P$67,"C",$L$36:$L$67,"I")</f>
        <v>0</v>
      </c>
      <c r="AZ13" s="1137">
        <f>Y13+SUMIFS($R$36:$R$67,$S$36:$S$67,"Y",$Q$36:$Q$67,"S",$O$36:$O$67,"FA3",$P$36:$P$67,"C",$L$36:$L$67,"I")</f>
        <v>0</v>
      </c>
      <c r="BA13" s="1137">
        <f>Z13+SUMIFS($R$36:$R$67,$S$36:$S$67,"Y",$Q$36:$Q$67,"L",$O$36:$O$67,"FA3",$P$36:$P$67,"C",$L$36:$L$67,"I")</f>
        <v>0</v>
      </c>
      <c r="BB13" s="1137">
        <f>AA13+SUMIFS($R$36:$R$67,$S$36:$S$67,"Y",$Q$36:$Q$67,"O",$O$36:$O$67,"FA3",$P$36:$P$67,"C",$L$36:$L$67,"I")</f>
        <v>0</v>
      </c>
      <c r="BC13" s="1137">
        <f>AB13+SUMIFS($R$36:$R$67,$S$36:$S$67,"Y",$Q$36:$Q$67,"P",$O$36:$O$67,"FA3",$P$36:$P$67,"C",$L$36:$L$67,"I")</f>
        <v>0</v>
      </c>
      <c r="BD13" s="1137">
        <f>AC13+SUMIFS($R$36:$R$67,$S$36:$S$67,"Y",$Q$36:$Q$67,"N",$O$36:$O$67,"FA3",$P$36:$P$67,"C",$L$36:$L$67,"I")</f>
        <v>0</v>
      </c>
      <c r="BE13" s="1138">
        <f t="shared" si="3"/>
        <v>0</v>
      </c>
      <c r="BF13" s="1085">
        <f>'$REV-DSUM-CONV'!B436</f>
        <v>0</v>
      </c>
      <c r="BG13" s="1086" t="s">
        <v>300</v>
      </c>
      <c r="BH13" s="1087" t="s">
        <v>257</v>
      </c>
      <c r="BI13" s="1038"/>
      <c r="BJ13" s="1038"/>
      <c r="BK13" s="1088"/>
      <c r="BL13" s="1089" t="s">
        <v>42</v>
      </c>
      <c r="BM13" s="1119"/>
      <c r="BN13" s="1143">
        <f>AZ21/'ENR#-DB'!Z21</f>
        <v>4874.7036927573745</v>
      </c>
      <c r="BO13" s="1143">
        <f>AZ9/'ENR#-DB'!Z9</f>
        <v>3394.9872036484794</v>
      </c>
      <c r="BP13" s="1143">
        <f>IFERROR(AZ11/'ENR#-DB'!Z11,"")</f>
        <v>2542.9690462246863</v>
      </c>
      <c r="BQ13" s="1143" t="str">
        <f>IFERROR(AZ13/'ENR#-DB'!Z13,"")</f>
        <v/>
      </c>
      <c r="BR13" s="1143" t="str">
        <f>IFERROR(AZ15/'ENR#-DB'!Z15,"")</f>
        <v/>
      </c>
      <c r="BS13" s="1143" t="str">
        <f>IFERROR(AZ17/'ENR#-DB'!Z17,"")</f>
        <v/>
      </c>
      <c r="BT13" s="1144">
        <f t="shared" si="7"/>
        <v>10812.65994263054</v>
      </c>
      <c r="BU13" s="1038"/>
      <c r="BV13" s="1038"/>
      <c r="BW13" s="36"/>
      <c r="BX13" s="36"/>
      <c r="BY13" s="36"/>
      <c r="BZ13" s="36"/>
      <c r="CA13" s="36"/>
      <c r="CB13" s="36"/>
      <c r="CC13" s="36"/>
      <c r="CD13" s="36"/>
      <c r="CE13" s="36"/>
      <c r="CF13" s="36"/>
      <c r="CG13" s="36"/>
      <c r="CH13" s="36"/>
      <c r="CI13" s="36"/>
    </row>
    <row r="14" spans="1:87" s="3" customFormat="1" ht="15" customHeight="1" thickBot="1">
      <c r="A14" s="1054"/>
      <c r="B14" s="1076" t="s">
        <v>302</v>
      </c>
      <c r="C14" s="1788" t="s">
        <v>558</v>
      </c>
      <c r="D14" s="1788"/>
      <c r="E14" s="1788"/>
      <c r="F14" s="1788"/>
      <c r="G14" s="1788"/>
      <c r="H14" s="1788"/>
      <c r="I14" s="1789"/>
      <c r="J14" s="1135" t="s">
        <v>1836</v>
      </c>
      <c r="K14" s="1056" t="s">
        <v>18</v>
      </c>
      <c r="L14" s="1808" t="s">
        <v>29</v>
      </c>
      <c r="M14" s="1809"/>
      <c r="N14" s="1814" t="s">
        <v>280</v>
      </c>
      <c r="O14" s="1815"/>
      <c r="P14" s="1097"/>
      <c r="Q14" s="1058">
        <f>SUMIFS($R$36:$R$67,$O$36:$O$67,"FA3",$P$36:$P$67,"C",$L$36:$L$67,"I")</f>
        <v>0</v>
      </c>
      <c r="R14" s="1059"/>
      <c r="S14" s="1059"/>
      <c r="T14" s="1061" t="s">
        <v>258</v>
      </c>
      <c r="U14" s="1814" t="s">
        <v>280</v>
      </c>
      <c r="V14" s="1815"/>
      <c r="W14" s="1098"/>
      <c r="X14" s="1058">
        <f>SUMIFS($R$36:$R$67,$O$36:$O$67,"FA3",$P$36:$P$67,"C",$Q$36:$Q$67,"F",$L$36:$L$67,"I")</f>
        <v>0</v>
      </c>
      <c r="Y14" s="1058">
        <f>SUMIFS($R$36:$R$67,$O$36:$O$67,"FA3",$P$36:$P$67,"C",$Q$36:$Q$67,"S",$L$36:$L$67,"I")</f>
        <v>0</v>
      </c>
      <c r="Z14" s="1058">
        <f>SUMIFS($R$36:$R$67,$O$36:$O$67,"FA3",$P$36:$P$67,"C",$Q$36:$Q$67,"L",$L$36:$L$67,"I")</f>
        <v>0</v>
      </c>
      <c r="AA14" s="1058">
        <f>SUMIFS($R$36:$R$67,$O$36:$O$67,"FA3",$P$36:$P$67,"C",$Q$36:$Q$67,"O",$L$36:$L$67,"I")</f>
        <v>0</v>
      </c>
      <c r="AB14" s="1058">
        <f>SUMIFS($R$36:$R$67,$O$36:$O$67,"FA3",$P$36:$P$67,"C",$Q$36:$Q$67,"P",$L$36:$L$67,"I")</f>
        <v>0</v>
      </c>
      <c r="AC14" s="1058">
        <f>SUMIFS($R$36:$R$67,$O$36:$O$67,"FA3",$P$36:$P$67,"C",$Q$36:$Q$67,"N",$L$36:$L$67,"I")</f>
        <v>0</v>
      </c>
      <c r="AD14" s="1058">
        <f t="shared" si="1"/>
        <v>0</v>
      </c>
      <c r="AE14" s="1059"/>
      <c r="AF14" s="1060"/>
      <c r="AG14" s="1061" t="s">
        <v>258</v>
      </c>
      <c r="AH14" s="1146"/>
      <c r="AI14" s="1053"/>
      <c r="AJ14" s="1078"/>
      <c r="AK14" s="1079" t="s">
        <v>82</v>
      </c>
      <c r="AL14" s="1115"/>
      <c r="AM14" s="1139">
        <f>Z21/'ENR#-DB'!Q21</f>
        <v>4460.9100637378724</v>
      </c>
      <c r="AN14" s="1139">
        <f>Z9/'ENR#-DB'!Q9</f>
        <v>7619.1691270211086</v>
      </c>
      <c r="AO14" s="1139">
        <f>IFERROR(Z11/'ENR#-DB'!Q11,"")</f>
        <v>10761.734169609728</v>
      </c>
      <c r="AP14" s="1139" t="str">
        <f>IFERROR(Z13/'ENR#-DB'!Q13,"")</f>
        <v/>
      </c>
      <c r="AQ14" s="1139" t="str">
        <f>IFERROR(Z15/'ENR#-DB'!Q15,"")</f>
        <v/>
      </c>
      <c r="AR14" s="1139" t="str">
        <f>IFERROR(Z17/'ENR#-DB'!Q17,"")</f>
        <v/>
      </c>
      <c r="AS14" s="1140">
        <f t="shared" si="6"/>
        <v>22841.813360368709</v>
      </c>
      <c r="AT14" s="1038"/>
      <c r="AU14" s="1038"/>
      <c r="AV14" s="1800" t="s">
        <v>280</v>
      </c>
      <c r="AW14" s="1801"/>
      <c r="AX14" s="1082" t="str">
        <f t="shared" si="2"/>
        <v/>
      </c>
      <c r="AY14" s="1141">
        <f>X14-SUMIFS($R$36:$R$67,$S$36:$S$67,"Y",$Q$36:$Q$67,"F",$O$36:$O$67,"FA3",$P$36:$P$67,"C",$L$36:$L$67,"I")</f>
        <v>0</v>
      </c>
      <c r="AZ14" s="1141">
        <f>Y14-SUMIFS($R$36:$R$67,$S$36:$S$67,"Y",$Q$36:$Q$67,"S",$O$36:$O$67,"FA3",$P$36:$P$67,"C",$L$36:$L$67,"I")</f>
        <v>0</v>
      </c>
      <c r="BA14" s="1141">
        <f>Z14-SUMIFS($R$36:$R$67,$S$36:$S$67,"Y",$Q$36:$Q$67,"L",$O$36:$O$67,"FA3",$P$36:$P$67,"C",$L$36:$L$67,"I")</f>
        <v>0</v>
      </c>
      <c r="BB14" s="1141">
        <f>AA14-SUMIFS($R$36:$R$67,$S$36:$S$67,"Y",$Q$36:$Q$67,"O",$O$36:$O$67,"FA3",$P$36:$P$67,"C",$L$36:$L$67,"I")</f>
        <v>0</v>
      </c>
      <c r="BC14" s="1141">
        <f>AB14-SUMIFS($R$36:$R$67,$S$36:$S$67,"Y",$Q$36:$Q$67,"P",$O$36:$O$67,"FA3",$P$36:$P$67,"C",$L$36:$L$67,"I")</f>
        <v>0</v>
      </c>
      <c r="BD14" s="1141">
        <f>AC14-SUMIFS($R$36:$R$67,$S$36:$S$67,"Y",$Q$36:$Q$67,"N",$O$36:$O$67,"FA3",$P$36:$P$67,"C",$L$36:$L$67,"I")</f>
        <v>0</v>
      </c>
      <c r="BE14" s="1142">
        <f t="shared" si="3"/>
        <v>0</v>
      </c>
      <c r="BF14" s="1085">
        <f>BE14-'$REV-DSUM-CONV'!B506</f>
        <v>0</v>
      </c>
      <c r="BG14" s="1086" t="s">
        <v>300</v>
      </c>
      <c r="BH14" s="1087" t="s">
        <v>258</v>
      </c>
      <c r="BI14" s="1038"/>
      <c r="BJ14" s="1038"/>
      <c r="BK14" s="1088"/>
      <c r="BL14" s="1089" t="s">
        <v>82</v>
      </c>
      <c r="BM14" s="1119"/>
      <c r="BN14" s="1143">
        <f>BA21/'ENR#-DB'!Z21</f>
        <v>4460.9100637378724</v>
      </c>
      <c r="BO14" s="1143">
        <f>BA9/'ENR#-DB'!Z9</f>
        <v>7619.1691270211086</v>
      </c>
      <c r="BP14" s="1143">
        <f>IFERROR(BA11/'ENR#-DB'!Z11,"")</f>
        <v>10761.734169609728</v>
      </c>
      <c r="BQ14" s="1143" t="str">
        <f>IFERROR(BA13/'ENR#-DB'!Z13,"")</f>
        <v/>
      </c>
      <c r="BR14" s="1143" t="str">
        <f>IFERROR(BA15/'ENR#-DB'!Z15,"")</f>
        <v/>
      </c>
      <c r="BS14" s="1143" t="str">
        <f>IFERROR(BA17/'ENR#-DB'!Z17,"")</f>
        <v/>
      </c>
      <c r="BT14" s="1144">
        <f t="shared" si="7"/>
        <v>22841.813360368709</v>
      </c>
      <c r="BU14" s="1038"/>
      <c r="BV14" s="1038"/>
      <c r="BW14" s="36"/>
      <c r="BX14" s="36"/>
      <c r="BY14" s="36"/>
      <c r="BZ14" s="36"/>
      <c r="CA14" s="36"/>
      <c r="CB14" s="36"/>
      <c r="CC14" s="36"/>
      <c r="CD14" s="36"/>
      <c r="CE14" s="36"/>
      <c r="CF14" s="36"/>
      <c r="CG14" s="36"/>
      <c r="CH14" s="36"/>
      <c r="CI14" s="36"/>
    </row>
    <row r="15" spans="1:87" s="3" customFormat="1" ht="15" customHeight="1" thickTop="1">
      <c r="A15" s="1054"/>
      <c r="B15" s="1147"/>
      <c r="C15" s="1788" t="s">
        <v>559</v>
      </c>
      <c r="D15" s="1788"/>
      <c r="E15" s="1788"/>
      <c r="F15" s="1788"/>
      <c r="G15" s="1788"/>
      <c r="H15" s="1788"/>
      <c r="I15" s="1789"/>
      <c r="J15" s="1135" t="str">
        <f>'FIG3'!W53</f>
        <v>Atlanta Public</v>
      </c>
      <c r="K15" s="1056" t="s">
        <v>40</v>
      </c>
      <c r="L15" s="1808" t="s">
        <v>56</v>
      </c>
      <c r="M15" s="1809"/>
      <c r="N15" s="1814" t="s">
        <v>281</v>
      </c>
      <c r="O15" s="1815"/>
      <c r="P15" s="1097"/>
      <c r="Q15" s="1058">
        <f>SUMIFS($R$36:$R$67,$O$36:$O$67,"FA4",$P$36:$P$67,"D",$L$36:$L$67,"I")</f>
        <v>0</v>
      </c>
      <c r="R15" s="1059"/>
      <c r="S15" s="1059"/>
      <c r="T15" s="1061" t="s">
        <v>259</v>
      </c>
      <c r="U15" s="1814" t="s">
        <v>281</v>
      </c>
      <c r="V15" s="1815"/>
      <c r="W15" s="1098"/>
      <c r="X15" s="1058">
        <f>SUMIFS($R$36:$R$67,$O$36:$O$67,"FA4",$P$36:$P$67,"D",$Q$36:$Q$67,"F",$L$36:$L$67,"I")</f>
        <v>0</v>
      </c>
      <c r="Y15" s="1058">
        <f>SUMIFS($R$36:$R$67,$O$36:$O$67,"FA4",$P$36:$P$67,"D",$Q$36:$Q$67,"S",$L$36:$L$67,"I")</f>
        <v>0</v>
      </c>
      <c r="Z15" s="1058">
        <f>SUMIFS($R$36:$R$67,$O$36:$O$67,"FA4",$P$36:$P$67,"D",$Q$36:$Q$67,"L",$L$36:$L$67,"I")</f>
        <v>0</v>
      </c>
      <c r="AA15" s="1058">
        <f>SUMIFS($R$36:$R$67,$O$36:$O$67,"FA4",$P$36:$P$67,"D",$Q$36:$Q$67,"O",$L$36:$L$67,"I")</f>
        <v>0</v>
      </c>
      <c r="AB15" s="1058">
        <f>SUMIFS($R$36:$R$67,$O$36:$O$67,"FA4",$P$36:$P$67,"D",$Q$36:$Q$67,"P",$L$36:$L$67,"I")</f>
        <v>0</v>
      </c>
      <c r="AC15" s="1058">
        <f>SUMIFS($R$36:$R$67,$O$36:$O$67,"FA4",$P$36:$P$67,"D",$Q$36:$Q$67,"N",$L$36:$L$67,"I")</f>
        <v>0</v>
      </c>
      <c r="AD15" s="1058">
        <f t="shared" si="1"/>
        <v>0</v>
      </c>
      <c r="AE15" s="1059"/>
      <c r="AF15" s="1060"/>
      <c r="AG15" s="1061" t="s">
        <v>259</v>
      </c>
      <c r="AH15" s="1053"/>
      <c r="AI15" s="1053"/>
      <c r="AJ15" s="1078"/>
      <c r="AK15" s="1079" t="s">
        <v>83</v>
      </c>
      <c r="AL15" s="1115"/>
      <c r="AM15" s="1139">
        <f>AA21/'ENR#-DB'!Q21</f>
        <v>601.88688874830973</v>
      </c>
      <c r="AN15" s="1139">
        <f>AA9/'ENR#-DB'!Q9</f>
        <v>731.48389939890967</v>
      </c>
      <c r="AO15" s="1139">
        <f>IFERROR(AA11/'ENR#-DB'!Q11,"")</f>
        <v>3391.869976977066</v>
      </c>
      <c r="AP15" s="1139" t="str">
        <f>IFERROR(AA13/'ENR#-DB'!Q13,"")</f>
        <v/>
      </c>
      <c r="AQ15" s="1139" t="str">
        <f>IFERROR(AA15/'ENR#-DB'!Q15,"")</f>
        <v/>
      </c>
      <c r="AR15" s="1139" t="str">
        <f>IFERROR(AA17/'ENR#-DB'!Q17,"")</f>
        <v/>
      </c>
      <c r="AS15" s="1140">
        <f t="shared" si="6"/>
        <v>4725.2407651242856</v>
      </c>
      <c r="AT15" s="1038"/>
      <c r="AU15" s="1038"/>
      <c r="AV15" s="1802" t="s">
        <v>281</v>
      </c>
      <c r="AW15" s="1803"/>
      <c r="AX15" s="1082" t="str">
        <f t="shared" si="2"/>
        <v/>
      </c>
      <c r="AY15" s="1137">
        <f>X15+SUMIFS($R$36:$R$67,$S$36:$S$67,"Y",$Q$36:$Q$67,"F",$O$36:$O$67,"FA4",$P$36:$P$67,"C",$L$36:$L$67,"I")</f>
        <v>0</v>
      </c>
      <c r="AZ15" s="1137">
        <f>Y15+SUMIFS($R$36:$R$67,$S$36:$S$67,"Y",$Q$36:$Q$67,"S",$O$36:$O$67,"FA4",$P$36:$P$67,"C",$L$36:$L$67,"I")</f>
        <v>0</v>
      </c>
      <c r="BA15" s="1137">
        <f>Z15+SUMIFS($R$36:$R$67,$S$36:$S$67,"Y",$Q$36:$Q$67,"L",$O$36:$O$67,"FA4",$P$36:$P$67,"C",$L$36:$L$67,"I")</f>
        <v>0</v>
      </c>
      <c r="BB15" s="1137">
        <f>AA15+SUMIFS($R$36:$R$67,$S$36:$S$67,"Y",$Q$36:$Q$67,"O",$O$36:$O$67,"FA4",$P$36:$P$67,"C",$L$36:$L$67,"I")</f>
        <v>0</v>
      </c>
      <c r="BC15" s="1137">
        <f>AB15+SUMIFS($R$36:$R$67,$S$36:$S$67,"Y",$Q$36:$Q$67,"P",$O$36:$O$67,"FA4",$P$36:$P$67,"C",$L$36:$L$67,"I")</f>
        <v>0</v>
      </c>
      <c r="BD15" s="1137">
        <f>AC15+SUMIFS($R$36:$R$67,$S$36:$S$67,"Y",$Q$36:$Q$67,"N",$O$36:$O$67,"FA4",$P$36:$P$67,"C",$L$36:$L$67,"I")</f>
        <v>0</v>
      </c>
      <c r="BE15" s="1138">
        <f t="shared" si="3"/>
        <v>0</v>
      </c>
      <c r="BF15" s="1085">
        <f>BE15-'$REV-DSUM-CONV'!B576</f>
        <v>0</v>
      </c>
      <c r="BG15" s="1086" t="s">
        <v>300</v>
      </c>
      <c r="BH15" s="1087" t="s">
        <v>259</v>
      </c>
      <c r="BI15" s="1038"/>
      <c r="BJ15" s="1038"/>
      <c r="BK15" s="1088"/>
      <c r="BL15" s="1089" t="s">
        <v>83</v>
      </c>
      <c r="BM15" s="1119"/>
      <c r="BN15" s="1143">
        <f>BB21/'ENR#-DB'!Z21</f>
        <v>601.88688874830973</v>
      </c>
      <c r="BO15" s="1143">
        <f>BB9/'ENR#-DB'!Z9</f>
        <v>731.48389939890967</v>
      </c>
      <c r="BP15" s="1143">
        <f>IFERROR(BB11/'ENR#-DB'!Z11,"")</f>
        <v>3391.869976977066</v>
      </c>
      <c r="BQ15" s="1143" t="str">
        <f>IFERROR(BB13/'ENR#-DB'!Z13,"")</f>
        <v/>
      </c>
      <c r="BR15" s="1143" t="str">
        <f>IFERROR(BB15/'ENR#-DB'!Z15,"")</f>
        <v/>
      </c>
      <c r="BS15" s="1143" t="str">
        <f>IFERROR(BB17/'ENR#-DB'!Z17,"")</f>
        <v/>
      </c>
      <c r="BT15" s="1144">
        <f t="shared" si="7"/>
        <v>4725.2407651242856</v>
      </c>
      <c r="BU15" s="1038"/>
      <c r="BV15" s="1038"/>
      <c r="BW15" s="36"/>
      <c r="BX15" s="36"/>
      <c r="BY15" s="36"/>
      <c r="BZ15" s="36"/>
      <c r="CA15" s="36"/>
      <c r="CB15" s="36"/>
      <c r="CC15" s="36"/>
      <c r="CD15" s="36"/>
      <c r="CE15" s="36"/>
      <c r="CF15" s="36"/>
      <c r="CG15" s="36"/>
      <c r="CH15" s="36"/>
      <c r="CI15" s="36"/>
    </row>
    <row r="16" spans="1:87" s="3" customFormat="1" ht="15" customHeight="1" thickBot="1">
      <c r="A16" s="1054"/>
      <c r="B16" s="1148"/>
      <c r="C16" s="1788" t="s">
        <v>560</v>
      </c>
      <c r="D16" s="1788"/>
      <c r="E16" s="1788"/>
      <c r="F16" s="1788"/>
      <c r="G16" s="1788"/>
      <c r="H16" s="1788"/>
      <c r="I16" s="1789"/>
      <c r="J16" s="1145" t="str">
        <f>'FIG3'!X53</f>
        <v>Schools</v>
      </c>
      <c r="K16" s="1056" t="s">
        <v>46</v>
      </c>
      <c r="L16" s="1808" t="s">
        <v>57</v>
      </c>
      <c r="M16" s="1809"/>
      <c r="N16" s="1814" t="s">
        <v>282</v>
      </c>
      <c r="O16" s="1815"/>
      <c r="P16" s="1097"/>
      <c r="Q16" s="1058">
        <f>SUMIFS($R$36:$R$67,$O$36:$O$67,"FA4",$P$36:$P$67,"C",$L$36:$L$67,"I")</f>
        <v>0</v>
      </c>
      <c r="R16" s="1059"/>
      <c r="S16" s="1059"/>
      <c r="T16" s="1061" t="s">
        <v>260</v>
      </c>
      <c r="U16" s="1814" t="s">
        <v>282</v>
      </c>
      <c r="V16" s="1815"/>
      <c r="W16" s="1098"/>
      <c r="X16" s="1058">
        <f>SUMIFS($R$36:$R$67,$O$36:$O$67,"FA4",$P$36:$P$67,"C",$Q$36:$Q$67,"F",$L$36:$L$67,"I")</f>
        <v>0</v>
      </c>
      <c r="Y16" s="1058">
        <f>SUMIFS($R$36:$R$67,$O$36:$O$67,"FA4",$P$36:$P$67,"C",$Q$36:$Q$67,"S",$L$36:$L$67,"I")</f>
        <v>0</v>
      </c>
      <c r="Z16" s="1058">
        <f>SUMIFS($R$36:$R$67,$O$36:$O$67,"FA4",$P$36:$P$67,"C",$Q$36:$Q$67,"L",$L$36:$L$67,"I")</f>
        <v>0</v>
      </c>
      <c r="AA16" s="1058">
        <f>SUMIFS($R$36:$R$67,$O$36:$O$67,"FA4",$P$36:$P$67,"C",$Q$36:$Q$67,"O",$L$36:$L$67,"I")</f>
        <v>0</v>
      </c>
      <c r="AB16" s="1058">
        <f>SUMIFS($R$36:$R$67,$O$36:$O$67,"FA4",$P$36:$P$67,"C",$Q$36:$Q$67,"P",$L$36:$L$67,"I")</f>
        <v>0</v>
      </c>
      <c r="AC16" s="1058">
        <f>SUMIFS($R$36:$R$67,$O$36:$O$67,"FA4",$P$36:$P$67,"C",$Q$36:$Q$67,"N",$L$36:$L$67,"I")</f>
        <v>0</v>
      </c>
      <c r="AD16" s="1058">
        <f t="shared" si="1"/>
        <v>0</v>
      </c>
      <c r="AE16" s="1059"/>
      <c r="AF16" s="1060"/>
      <c r="AG16" s="1061" t="s">
        <v>260</v>
      </c>
      <c r="AH16" s="1149"/>
      <c r="AI16" s="1149"/>
      <c r="AJ16" s="1078"/>
      <c r="AK16" s="1079" t="s">
        <v>200</v>
      </c>
      <c r="AL16" s="1115"/>
      <c r="AM16" s="1058">
        <f>AB21/'ENR#-DB'!Q21</f>
        <v>0</v>
      </c>
      <c r="AN16" s="1058">
        <f>AB9/'ENR#-DB'!Q9</f>
        <v>0</v>
      </c>
      <c r="AO16" s="1139">
        <f>IFERROR(AB11/'ENR#-DB'!Q11,"")</f>
        <v>0</v>
      </c>
      <c r="AP16" s="1139" t="str">
        <f>IFERROR(AB13/'ENR#-DB'!Q13,"")</f>
        <v/>
      </c>
      <c r="AQ16" s="1139" t="str">
        <f>IFERROR(AB15/'ENR#-DB'!Q15,"")</f>
        <v/>
      </c>
      <c r="AR16" s="1139" t="str">
        <f>IFERROR(AB17/'ENR#-DB'!Q17,"")</f>
        <v/>
      </c>
      <c r="AS16" s="1140">
        <f t="shared" si="6"/>
        <v>0</v>
      </c>
      <c r="AT16" s="1038"/>
      <c r="AU16" s="1038"/>
      <c r="AV16" s="1800" t="s">
        <v>282</v>
      </c>
      <c r="AW16" s="1801"/>
      <c r="AX16" s="1082" t="str">
        <f t="shared" si="2"/>
        <v/>
      </c>
      <c r="AY16" s="1141">
        <f>X16-SUMIFS($R$36:$R$67,$S$36:$S$67,"Y",$Q$36:$Q$67,"F",$O$36:$O$67,"FA4",$P$36:$P$67,"C",$L$36:$L$67,"I")</f>
        <v>0</v>
      </c>
      <c r="AZ16" s="1141">
        <f>Y16-SUMIFS($R$36:$R$67,$S$36:$S$67,"Y",$Q$36:$Q$67,"S",$O$36:$O$67,"FA4",$P$36:$P$67,"C",$L$36:$L$67,"I")</f>
        <v>0</v>
      </c>
      <c r="BA16" s="1141">
        <f>Z16-SUMIFS($R$36:$R$67,$S$36:$S$67,"Y",$Q$36:$Q$67,"L",$O$36:$O$67,"FA4",$P$36:$P$67,"C",$L$36:$L$67,"I")</f>
        <v>0</v>
      </c>
      <c r="BB16" s="1141">
        <f>AA16-SUMIFS($R$36:$R$67,$S$36:$S$67,"Y",$Q$36:$Q$67,"O",$O$36:$O$67,"FA4",$P$36:$P$67,"C",$L$36:$L$67,"I")</f>
        <v>0</v>
      </c>
      <c r="BC16" s="1141">
        <f>AB16-SUMIFS($R$36:$R$67,$S$36:$S$67,"Y",$Q$36:$Q$67,"P",$O$36:$O$67,"FA4",$P$36:$P$67,"C",$L$36:$L$67,"I")</f>
        <v>0</v>
      </c>
      <c r="BD16" s="1141">
        <f>AC16-SUMIFS($R$36:$R$67,$S$36:$S$67,"Y",$Q$36:$Q$67,"N",$O$36:$O$67,"FA4",$P$36:$P$67,"C",$L$36:$L$67,"I")</f>
        <v>0</v>
      </c>
      <c r="BE16" s="1142">
        <f t="shared" si="3"/>
        <v>0</v>
      </c>
      <c r="BF16" s="1085">
        <f>BE16-'$REV-DSUM-CONV'!B646</f>
        <v>0</v>
      </c>
      <c r="BG16" s="1086" t="s">
        <v>300</v>
      </c>
      <c r="BH16" s="1087" t="s">
        <v>260</v>
      </c>
      <c r="BI16" s="1038"/>
      <c r="BJ16" s="1038"/>
      <c r="BK16" s="1088"/>
      <c r="BL16" s="1089" t="s">
        <v>200</v>
      </c>
      <c r="BM16" s="1119"/>
      <c r="BN16" s="1083">
        <f>BC21/'ENR#-DB'!Z21</f>
        <v>0</v>
      </c>
      <c r="BO16" s="1083">
        <f>BC9/'ENR#-DB'!Z9</f>
        <v>0</v>
      </c>
      <c r="BP16" s="1143">
        <f>IFERROR(BC11/'ENR#-DB'!Z11,"")</f>
        <v>0</v>
      </c>
      <c r="BQ16" s="1143" t="str">
        <f>IFERROR(BC13/'ENR#-DB'!Z13,"")</f>
        <v/>
      </c>
      <c r="BR16" s="1143" t="str">
        <f>IFERROR(BC15/'ENR#-DB'!Z15,"")</f>
        <v/>
      </c>
      <c r="BS16" s="1143" t="str">
        <f>IFERROR(BC17/'ENR#-DB'!Z17,"")</f>
        <v/>
      </c>
      <c r="BT16" s="1144">
        <f t="shared" si="7"/>
        <v>0</v>
      </c>
      <c r="BU16" s="1038"/>
      <c r="BV16" s="1038"/>
      <c r="BW16" s="36"/>
      <c r="BX16" s="36"/>
      <c r="BY16" s="36"/>
      <c r="BZ16" s="36"/>
      <c r="CA16" s="36"/>
      <c r="CB16" s="36"/>
      <c r="CC16" s="36"/>
      <c r="CD16" s="36"/>
      <c r="CE16" s="36"/>
      <c r="CF16" s="36"/>
      <c r="CG16" s="36"/>
      <c r="CH16" s="36"/>
      <c r="CI16" s="36"/>
    </row>
    <row r="17" spans="1:87" s="3" customFormat="1" ht="15" customHeight="1" thickTop="1">
      <c r="A17" s="1054"/>
      <c r="B17" s="1076"/>
      <c r="C17" s="1788"/>
      <c r="D17" s="1788"/>
      <c r="E17" s="1788"/>
      <c r="F17" s="1788"/>
      <c r="G17" s="1788"/>
      <c r="H17" s="1788"/>
      <c r="I17" s="1789"/>
      <c r="J17" s="1135" t="str">
        <f>'FIG3'!V54</f>
        <v>FA3</v>
      </c>
      <c r="K17" s="1056" t="s">
        <v>47</v>
      </c>
      <c r="L17" s="1808" t="s">
        <v>58</v>
      </c>
      <c r="M17" s="1809"/>
      <c r="N17" s="1814" t="s">
        <v>283</v>
      </c>
      <c r="O17" s="1815"/>
      <c r="P17" s="1097"/>
      <c r="Q17" s="1058">
        <f>SUMIFS($R$36:$R$67,$O$36:$O$67,"FA5",$P$36:$P$67,"D",$L$36:$L$67,"I")</f>
        <v>0</v>
      </c>
      <c r="R17" s="1059"/>
      <c r="S17" s="1059"/>
      <c r="T17" s="1061" t="s">
        <v>261</v>
      </c>
      <c r="U17" s="1814" t="s">
        <v>283</v>
      </c>
      <c r="V17" s="1815"/>
      <c r="W17" s="1098"/>
      <c r="X17" s="1058">
        <f>SUMIFS($R$36:$R$67,$O$36:$O$67,"FA5",$P$36:$P$67,"D",$Q$36:$Q$67,"F",$L$36:$L$67,"I")</f>
        <v>0</v>
      </c>
      <c r="Y17" s="1058">
        <f>SUMIFS($R$36:$R$67,$O$36:$O$67,"FA5",$P$36:$P$67,"D",$Q$36:$Q$67,"S",$L$36:$L$67,"I")</f>
        <v>0</v>
      </c>
      <c r="Z17" s="1058">
        <f>SUMIFS($R$36:$R$67,$O$36:$O$67,"FA5",$P$36:$P$67,"D",$Q$36:$Q$67,"L",$L$36:$L$67,"I")</f>
        <v>0</v>
      </c>
      <c r="AA17" s="1058">
        <f>SUMIFS($R$36:$R$67,$O$36:$O$67,"FA5",$P$36:$P$67,"D",$Q$36:$Q$67,"O",$L$36:$L$67,"I")</f>
        <v>0</v>
      </c>
      <c r="AB17" s="1058">
        <f>SUMIFS($R$36:$R$67,$O$36:$O$67,"FA5",$P$36:$P$67,"D",$Q$36:$Q$67,"P",$L$36:$L$67,"I")</f>
        <v>0</v>
      </c>
      <c r="AC17" s="1058">
        <f>SUMIFS($R$36:$R$67,$O$36:$O$67,"FA5",$P$36:$P$67,"D",$Q$36:$Q$67,"N",$L$36:$L$67,"I")</f>
        <v>0</v>
      </c>
      <c r="AD17" s="1058">
        <f t="shared" si="1"/>
        <v>0</v>
      </c>
      <c r="AE17" s="1059"/>
      <c r="AF17" s="1060"/>
      <c r="AG17" s="1061" t="s">
        <v>261</v>
      </c>
      <c r="AH17" s="1149"/>
      <c r="AI17" s="1149"/>
      <c r="AJ17" s="1078"/>
      <c r="AK17" s="1079" t="s">
        <v>127</v>
      </c>
      <c r="AL17" s="1115"/>
      <c r="AM17" s="1139">
        <f>AC21/'ENR#-DB'!Q21</f>
        <v>0</v>
      </c>
      <c r="AN17" s="1139">
        <f>AC9/'ENR#-DB'!Q9</f>
        <v>0</v>
      </c>
      <c r="AO17" s="1139">
        <f>IFERROR(AC11/'ENR#-DB'!Q11,"")</f>
        <v>0</v>
      </c>
      <c r="AP17" s="1139" t="str">
        <f>IFERROR(AC13/'ENR#-DB'!Q13,"")</f>
        <v/>
      </c>
      <c r="AQ17" s="1139" t="str">
        <f>IFERROR(AC15/'ENR#-DB'!Q15,"")</f>
        <v/>
      </c>
      <c r="AR17" s="1139" t="str">
        <f>IFERROR(AC17/'ENR#-DB'!Q17,"")</f>
        <v/>
      </c>
      <c r="AS17" s="1140">
        <f t="shared" si="6"/>
        <v>0</v>
      </c>
      <c r="AT17" s="1038"/>
      <c r="AU17" s="1038"/>
      <c r="AV17" s="1802" t="s">
        <v>283</v>
      </c>
      <c r="AW17" s="1803"/>
      <c r="AX17" s="1082" t="str">
        <f t="shared" si="2"/>
        <v/>
      </c>
      <c r="AY17" s="1137">
        <f>X17+SUMIFS($R$36:$R$67,$S$36:$S$67,"Y",$Q$36:$Q$67,"F",$O$36:$O$67,"FA5",$P$36:$P$67,"C",$L$36:$L$67,"I")</f>
        <v>0</v>
      </c>
      <c r="AZ17" s="1137">
        <f>Y17+SUMIFS($R$36:$R$67,$S$36:$S$67,"Y",$Q$36:$Q$67,"S",$O$36:$O$67,"FA5",$P$36:$P$67,"C",$L$36:$L$67,"I")</f>
        <v>0</v>
      </c>
      <c r="BA17" s="1137">
        <f>Z17+SUMIFS($R$36:$R$67,$S$36:$S$67,"Y",$Q$36:$Q$67,"L",$O$36:$O$67,"FA5",$P$36:$P$67,"C",$L$36:$L$67,"I")</f>
        <v>0</v>
      </c>
      <c r="BB17" s="1137">
        <f>AA17+SUMIFS($R$36:$R$67,$S$36:$S$67,"Y",$Q$36:$Q$67,"O",$O$36:$O$67,"FA5",$P$36:$P$67,"C",$L$36:$L$67,"I")</f>
        <v>0</v>
      </c>
      <c r="BC17" s="1137">
        <f>AB17+SUMIFS($R$36:$R$67,$S$36:$S$67,"Y",$Q$36:$Q$67,"P",$O$36:$O$67,"FA5",$P$36:$P$67,"C",$L$36:$L$67,"I")</f>
        <v>0</v>
      </c>
      <c r="BD17" s="1137">
        <f>AC17+SUMIFS($R$36:$R$67,$S$36:$S$67,"Y",$Q$36:$Q$67,"N",$O$36:$O$67,"FA5",$P$36:$P$67,"C",$L$36:$L$67,"I")</f>
        <v>0</v>
      </c>
      <c r="BE17" s="1138">
        <f t="shared" si="3"/>
        <v>0</v>
      </c>
      <c r="BF17" s="1085">
        <f>BE17-'$REV-DSUM-CONV'!B716</f>
        <v>0</v>
      </c>
      <c r="BG17" s="1086" t="s">
        <v>300</v>
      </c>
      <c r="BH17" s="1087" t="s">
        <v>261</v>
      </c>
      <c r="BI17" s="1038"/>
      <c r="BJ17" s="1038"/>
      <c r="BK17" s="1088"/>
      <c r="BL17" s="1089" t="s">
        <v>127</v>
      </c>
      <c r="BM17" s="1119"/>
      <c r="BN17" s="1143">
        <f>BD21/'ENR#-DB'!Z21</f>
        <v>0</v>
      </c>
      <c r="BO17" s="1143">
        <f>BD9/'ENR#-DB'!Z9</f>
        <v>0</v>
      </c>
      <c r="BP17" s="1143">
        <f>IFERROR(BD11/'ENR#-DB'!Z11,"")</f>
        <v>0</v>
      </c>
      <c r="BQ17" s="1143" t="str">
        <f>IFERROR(BD13/'ENR#-DB'!Z13,"")</f>
        <v/>
      </c>
      <c r="BR17" s="1143" t="str">
        <f>IFERROR(BD15/'ENR#-DB'!Z15,"")</f>
        <v/>
      </c>
      <c r="BS17" s="1143" t="str">
        <f>IFERROR(BD17/'ENR#-DB'!Z17,"")</f>
        <v/>
      </c>
      <c r="BT17" s="1144">
        <f t="shared" si="7"/>
        <v>0</v>
      </c>
      <c r="BU17" s="1038"/>
      <c r="BV17" s="1038"/>
      <c r="BW17" s="36"/>
      <c r="BX17" s="36"/>
      <c r="BY17" s="36"/>
      <c r="BZ17" s="36"/>
      <c r="CA17" s="36"/>
      <c r="CB17" s="36"/>
      <c r="CC17" s="36"/>
      <c r="CD17" s="36"/>
      <c r="CE17" s="36"/>
      <c r="CF17" s="36"/>
      <c r="CG17" s="36"/>
      <c r="CH17" s="36"/>
      <c r="CI17" s="36"/>
    </row>
    <row r="18" spans="1:87" s="3" customFormat="1" ht="15" customHeight="1" thickBot="1">
      <c r="A18" s="1054"/>
      <c r="B18" s="1150"/>
      <c r="C18" s="1150"/>
      <c r="D18" s="1150"/>
      <c r="E18" s="1150"/>
      <c r="F18" s="1150"/>
      <c r="G18" s="1151"/>
      <c r="H18" s="1150"/>
      <c r="I18" s="1152"/>
      <c r="J18" s="1135" t="str">
        <f>'FIG3'!W54</f>
        <v>FA3L1</v>
      </c>
      <c r="K18" s="1056" t="s">
        <v>48</v>
      </c>
      <c r="L18" s="1808" t="s">
        <v>59</v>
      </c>
      <c r="M18" s="1809"/>
      <c r="N18" s="1814" t="s">
        <v>284</v>
      </c>
      <c r="O18" s="1815"/>
      <c r="P18" s="1097"/>
      <c r="Q18" s="1058">
        <f>SUMIFS($R$36:$R$67,$O$36:$O$67,"FA5",$P$36:$P$67,"C",$L$36:$L$67,"I")</f>
        <v>0</v>
      </c>
      <c r="R18" s="1059"/>
      <c r="S18" s="1059"/>
      <c r="T18" s="1153" t="s">
        <v>262</v>
      </c>
      <c r="U18" s="1814" t="s">
        <v>284</v>
      </c>
      <c r="V18" s="1815"/>
      <c r="W18" s="1098"/>
      <c r="X18" s="1058">
        <f>SUMIFS($R$36:$R$67,$O$36:$O$67,"FA5",$P$36:$P$67,"C",$Q$36:$Q$67,"F",$L$36:$L$67,"I")</f>
        <v>0</v>
      </c>
      <c r="Y18" s="1058">
        <f>SUMIFS($R$36:$R$67,$O$36:$O$67,"FA5",$P$36:$P$67,"C",$Q$36:$Q$67,"S",$L$36:$L$67,"I")</f>
        <v>0</v>
      </c>
      <c r="Z18" s="1058">
        <f>SUMIFS($R$36:$R$67,$O$36:$O$67,"FA5",$P$36:$P$67,"C",$Q$36:$Q$67,"L",$L$36:$L$67,"I")</f>
        <v>0</v>
      </c>
      <c r="AA18" s="1058">
        <f>SUMIFS($R$36:$R$67,$O$36:$O$67,"FA5",$P$36:$P$67,"C",$Q$36:$Q$67,"O",$L$36:$L$67,"I")</f>
        <v>0</v>
      </c>
      <c r="AB18" s="1058">
        <f>SUMIFS($R$36:$R$67,$O$36:$O$67,"FA5",$P$36:$P$67,"C",$Q$36:$Q$67,"P",$L$36:$L$67,"I")</f>
        <v>0</v>
      </c>
      <c r="AC18" s="1058">
        <f>SUMIFS($R$36:$R$67,$O$36:$O$67,"FA5",$P$36:$P$67,"C",$Q$36:$Q$67,"N",$L$36:$L$67,"I")</f>
        <v>0</v>
      </c>
      <c r="AD18" s="1154">
        <f t="shared" si="1"/>
        <v>0</v>
      </c>
      <c r="AE18" s="1059"/>
      <c r="AF18" s="1060"/>
      <c r="AG18" s="1153" t="s">
        <v>262</v>
      </c>
      <c r="AH18" s="1053"/>
      <c r="AI18" s="1053"/>
      <c r="AJ18" s="1078" t="s">
        <v>89</v>
      </c>
      <c r="AK18" s="1079"/>
      <c r="AL18" s="1115"/>
      <c r="AM18" s="1139">
        <f t="shared" ref="AM18:AR18" si="8">SUM(AM12:AM17)</f>
        <v>11442.447517556941</v>
      </c>
      <c r="AN18" s="1139">
        <f t="shared" si="8"/>
        <v>12854.092351008807</v>
      </c>
      <c r="AO18" s="1139">
        <f t="shared" si="8"/>
        <v>18980.36097992758</v>
      </c>
      <c r="AP18" s="1139">
        <f t="shared" si="8"/>
        <v>0</v>
      </c>
      <c r="AQ18" s="1139">
        <f t="shared" si="8"/>
        <v>0</v>
      </c>
      <c r="AR18" s="1139">
        <f t="shared" si="8"/>
        <v>0</v>
      </c>
      <c r="AS18" s="1140">
        <f t="shared" si="6"/>
        <v>43276.900848493329</v>
      </c>
      <c r="AT18" s="1038"/>
      <c r="AU18" s="1038"/>
      <c r="AV18" s="1800" t="s">
        <v>284</v>
      </c>
      <c r="AW18" s="1801"/>
      <c r="AX18" s="1082" t="str">
        <f t="shared" si="2"/>
        <v/>
      </c>
      <c r="AY18" s="1141">
        <f>X18-SUMIFS($R$36:$R$67,$S$36:$S$67,"Y",$Q$36:$Q$67,"F",$O$36:$O$67,"FA5",$P$36:$P$67,"C",$L$36:$L$67,"I")</f>
        <v>0</v>
      </c>
      <c r="AZ18" s="1141">
        <f>Y18-SUMIFS($R$36:$R$67,$S$36:$S$67,"Y",$Q$36:$Q$67,"S",$O$36:$O$67,"FA5",$P$36:$P$67,"C",$L$36:$L$67,"I")</f>
        <v>0</v>
      </c>
      <c r="BA18" s="1141">
        <f>Z18-SUMIFS($R$36:$R$67,$S$36:$S$67,"Y",$Q$36:$Q$67,"L",$O$36:$O$67,"FA5",$P$36:$P$67,"C",$L$36:$L$67,"I")</f>
        <v>0</v>
      </c>
      <c r="BB18" s="1141">
        <f>AA18-SUMIFS($R$36:$R$67,$S$36:$S$67,"Y",$Q$36:$Q$67,"O",$O$36:$O$67,"FA5",$P$36:$P$67,"C",$L$36:$L$67,"I")</f>
        <v>0</v>
      </c>
      <c r="BC18" s="1141">
        <f>AB18-SUMIFS($R$36:$R$67,$S$36:$S$67,"Y",$Q$36:$Q$67,"P",$O$36:$O$67,"FA5",$P$36:$P$67,"C",$L$36:$L$67,"I")</f>
        <v>0</v>
      </c>
      <c r="BD18" s="1141">
        <f>AC18-SUMIFS($R$36:$R$67,$S$36:$S$67,"Y",$Q$36:$Q$67,"N",$O$36:$O$67,"FA5",$P$36:$P$67,"C",$L$36:$L$67,"I")</f>
        <v>0</v>
      </c>
      <c r="BE18" s="1142">
        <f t="shared" si="3"/>
        <v>0</v>
      </c>
      <c r="BF18" s="1085">
        <f>BE18-'$REV-DSUM-CONV'!B786</f>
        <v>0</v>
      </c>
      <c r="BG18" s="1086" t="s">
        <v>300</v>
      </c>
      <c r="BH18" s="1155" t="s">
        <v>262</v>
      </c>
      <c r="BI18" s="1038"/>
      <c r="BJ18" s="1038"/>
      <c r="BK18" s="1088" t="s">
        <v>89</v>
      </c>
      <c r="BL18" s="1089"/>
      <c r="BM18" s="1119"/>
      <c r="BN18" s="1143">
        <f t="shared" ref="BN18:BS18" si="9">SUM(BN12:BN17)</f>
        <v>11442.447517556941</v>
      </c>
      <c r="BO18" s="1143">
        <f t="shared" si="9"/>
        <v>12854.092351008807</v>
      </c>
      <c r="BP18" s="1143">
        <f t="shared" si="9"/>
        <v>18980.36097992758</v>
      </c>
      <c r="BQ18" s="1143">
        <f t="shared" si="9"/>
        <v>0</v>
      </c>
      <c r="BR18" s="1143">
        <f t="shared" si="9"/>
        <v>0</v>
      </c>
      <c r="BS18" s="1143">
        <f t="shared" si="9"/>
        <v>0</v>
      </c>
      <c r="BT18" s="1144">
        <f t="shared" si="7"/>
        <v>43276.900848493329</v>
      </c>
      <c r="BU18" s="1038"/>
      <c r="BV18" s="1038"/>
      <c r="BW18" s="36"/>
      <c r="BX18" s="36"/>
      <c r="BY18" s="36"/>
      <c r="BZ18" s="36"/>
      <c r="CA18" s="36"/>
      <c r="CB18" s="36"/>
      <c r="CC18" s="36"/>
      <c r="CD18" s="36"/>
      <c r="CE18" s="36"/>
      <c r="CF18" s="36"/>
      <c r="CG18" s="36"/>
      <c r="CH18" s="36"/>
      <c r="CI18" s="36"/>
    </row>
    <row r="19" spans="1:87" s="3" customFormat="1" ht="15" customHeight="1" thickBot="1">
      <c r="A19" s="1054"/>
      <c r="B19" s="1150"/>
      <c r="C19" s="1150"/>
      <c r="D19" s="1150"/>
      <c r="E19" s="1151"/>
      <c r="F19" s="1150"/>
      <c r="G19" s="1150"/>
      <c r="H19" s="1150"/>
      <c r="I19" s="1152"/>
      <c r="J19" s="1145" t="str">
        <f>'FIG3'!X54</f>
        <v>FA3L2</v>
      </c>
      <c r="K19" s="1056" t="s">
        <v>49</v>
      </c>
      <c r="L19" s="1808" t="s">
        <v>60</v>
      </c>
      <c r="M19" s="1809"/>
      <c r="N19" s="1814" t="s">
        <v>75</v>
      </c>
      <c r="O19" s="1815"/>
      <c r="P19" s="1097"/>
      <c r="Q19" s="1058">
        <f>SUM(Q9,Q11,Q13,Q15,Q17)</f>
        <v>1952590093.3</v>
      </c>
      <c r="R19" s="1059"/>
      <c r="S19" s="1059"/>
      <c r="T19" s="1153" t="s">
        <v>263</v>
      </c>
      <c r="U19" s="1814" t="s">
        <v>75</v>
      </c>
      <c r="V19" s="1815"/>
      <c r="W19" s="1098"/>
      <c r="X19" s="1058">
        <f t="shared" ref="X19:AC20" si="10">SUM(X9,X11,X13,X15,X17)</f>
        <v>197326061.89000002</v>
      </c>
      <c r="Y19" s="1058">
        <f t="shared" si="10"/>
        <v>405206630.70000005</v>
      </c>
      <c r="Z19" s="1058">
        <f t="shared" si="10"/>
        <v>1135518417.8200002</v>
      </c>
      <c r="AA19" s="1058">
        <f t="shared" si="10"/>
        <v>214538982.88999999</v>
      </c>
      <c r="AB19" s="1058">
        <f t="shared" si="10"/>
        <v>0</v>
      </c>
      <c r="AC19" s="1058">
        <f t="shared" si="10"/>
        <v>0</v>
      </c>
      <c r="AD19" s="1058">
        <f t="shared" si="1"/>
        <v>1952590093.3000002</v>
      </c>
      <c r="AE19" s="1059"/>
      <c r="AF19" s="1060"/>
      <c r="AG19" s="1153" t="s">
        <v>263</v>
      </c>
      <c r="AH19" s="1038"/>
      <c r="AI19" s="1038"/>
      <c r="AJ19" s="1078"/>
      <c r="AK19" s="1079"/>
      <c r="AL19" s="1115"/>
      <c r="AM19" s="1115"/>
      <c r="AN19" s="1115"/>
      <c r="AO19" s="1115"/>
      <c r="AP19" s="1115"/>
      <c r="AQ19" s="1115"/>
      <c r="AR19" s="1115"/>
      <c r="AS19" s="1133"/>
      <c r="AT19" s="1038"/>
      <c r="AU19" s="1038"/>
      <c r="AV19" s="1794" t="s">
        <v>75</v>
      </c>
      <c r="AW19" s="1799"/>
      <c r="AX19" s="1082" t="str">
        <f t="shared" si="2"/>
        <v/>
      </c>
      <c r="AY19" s="1083">
        <f t="shared" ref="AY19:BD20" si="11">AY9+AY11+AY13+AY15+AY17</f>
        <v>197326061.89000002</v>
      </c>
      <c r="AZ19" s="1083">
        <f t="shared" si="11"/>
        <v>405206630.70000005</v>
      </c>
      <c r="BA19" s="1083">
        <f t="shared" si="11"/>
        <v>1135518417.8200002</v>
      </c>
      <c r="BB19" s="1083">
        <f t="shared" si="11"/>
        <v>214538982.88999999</v>
      </c>
      <c r="BC19" s="1083">
        <f t="shared" si="11"/>
        <v>0</v>
      </c>
      <c r="BD19" s="1083">
        <f t="shared" si="11"/>
        <v>0</v>
      </c>
      <c r="BE19" s="1084">
        <f t="shared" si="3"/>
        <v>1952590093.3000002</v>
      </c>
      <c r="BF19" s="1085">
        <f>BE19-'$REV-DSUM-CONV'!B896</f>
        <v>0</v>
      </c>
      <c r="BG19" s="1086" t="s">
        <v>300</v>
      </c>
      <c r="BH19" s="1155" t="s">
        <v>263</v>
      </c>
      <c r="BI19" s="1038"/>
      <c r="BJ19" s="1038"/>
      <c r="BK19" s="1088"/>
      <c r="BL19" s="1089"/>
      <c r="BM19" s="1119"/>
      <c r="BN19" s="1119"/>
      <c r="BO19" s="1119"/>
      <c r="BP19" s="1119"/>
      <c r="BQ19" s="1119"/>
      <c r="BR19" s="1119"/>
      <c r="BS19" s="1119"/>
      <c r="BT19" s="1134"/>
      <c r="BU19" s="1038"/>
      <c r="BV19" s="1038"/>
      <c r="BW19" s="36"/>
      <c r="BX19" s="36"/>
      <c r="BY19" s="36"/>
      <c r="BZ19" s="36"/>
      <c r="CA19" s="36"/>
      <c r="CB19" s="36"/>
      <c r="CC19" s="36"/>
      <c r="CD19" s="36"/>
      <c r="CE19" s="36"/>
      <c r="CF19" s="36"/>
      <c r="CG19" s="36"/>
      <c r="CH19" s="36"/>
      <c r="CI19" s="36"/>
    </row>
    <row r="20" spans="1:87" s="3" customFormat="1" ht="15" customHeight="1" thickTop="1" thickBot="1">
      <c r="A20" s="1054"/>
      <c r="B20" s="1824" t="s">
        <v>667</v>
      </c>
      <c r="C20" s="1825"/>
      <c r="D20" s="1826"/>
      <c r="E20" s="1833" t="s">
        <v>615</v>
      </c>
      <c r="F20" s="1834"/>
      <c r="G20" s="1835"/>
      <c r="H20" s="1836" t="s">
        <v>618</v>
      </c>
      <c r="I20" s="1837"/>
      <c r="J20" s="1135" t="str">
        <f>'FIG3'!V55</f>
        <v>FA4</v>
      </c>
      <c r="K20" s="1056" t="s">
        <v>50</v>
      </c>
      <c r="L20" s="1808" t="s">
        <v>61</v>
      </c>
      <c r="M20" s="1809"/>
      <c r="N20" s="1814" t="s">
        <v>76</v>
      </c>
      <c r="O20" s="1815"/>
      <c r="P20" s="1097"/>
      <c r="Q20" s="1058">
        <f>SUM(Q10,Q12,Q14,Q16,Q18)</f>
        <v>89673071</v>
      </c>
      <c r="R20" s="1059"/>
      <c r="S20" s="1059"/>
      <c r="T20" s="1153" t="s">
        <v>264</v>
      </c>
      <c r="U20" s="1814" t="s">
        <v>76</v>
      </c>
      <c r="V20" s="1815"/>
      <c r="W20" s="1098"/>
      <c r="X20" s="1154">
        <f t="shared" si="10"/>
        <v>7808544.5599999996</v>
      </c>
      <c r="Y20" s="1154">
        <f t="shared" si="10"/>
        <v>38014285</v>
      </c>
      <c r="Z20" s="1154">
        <f t="shared" si="10"/>
        <v>32309301.440000001</v>
      </c>
      <c r="AA20" s="1154">
        <f t="shared" si="10"/>
        <v>9934481</v>
      </c>
      <c r="AB20" s="1154">
        <f t="shared" si="10"/>
        <v>1606459</v>
      </c>
      <c r="AC20" s="1154">
        <f t="shared" si="10"/>
        <v>0</v>
      </c>
      <c r="AD20" s="1154">
        <f t="shared" si="1"/>
        <v>89673071</v>
      </c>
      <c r="AE20" s="1059"/>
      <c r="AF20" s="1060"/>
      <c r="AG20" s="1153" t="s">
        <v>264</v>
      </c>
      <c r="AH20" s="1038"/>
      <c r="AI20" s="1038"/>
      <c r="AJ20" s="1156" t="s">
        <v>132</v>
      </c>
      <c r="AK20" s="1157"/>
      <c r="AL20" s="1158"/>
      <c r="AM20" s="1156"/>
      <c r="AN20" s="1157"/>
      <c r="AO20" s="1157"/>
      <c r="AP20" s="1157"/>
      <c r="AQ20" s="1157"/>
      <c r="AR20" s="1158"/>
      <c r="AS20" s="1159" t="s">
        <v>0</v>
      </c>
      <c r="AT20" s="1038"/>
      <c r="AU20" s="1038"/>
      <c r="AV20" s="1794" t="s">
        <v>76</v>
      </c>
      <c r="AW20" s="1799"/>
      <c r="AX20" s="1082" t="str">
        <f t="shared" si="2"/>
        <v/>
      </c>
      <c r="AY20" s="1083">
        <f t="shared" si="11"/>
        <v>7808544.5599999996</v>
      </c>
      <c r="AZ20" s="1083">
        <f t="shared" si="11"/>
        <v>38014285</v>
      </c>
      <c r="BA20" s="1083">
        <f t="shared" si="11"/>
        <v>32309301.440000001</v>
      </c>
      <c r="BB20" s="1083">
        <f t="shared" si="11"/>
        <v>9934481</v>
      </c>
      <c r="BC20" s="1083">
        <f t="shared" si="11"/>
        <v>1606459</v>
      </c>
      <c r="BD20" s="1083">
        <f t="shared" si="11"/>
        <v>0</v>
      </c>
      <c r="BE20" s="1084">
        <f t="shared" si="3"/>
        <v>89673071</v>
      </c>
      <c r="BF20" s="1085">
        <f>BE20-'$REV-DSUM-CONV'!B906</f>
        <v>0</v>
      </c>
      <c r="BG20" s="1086" t="s">
        <v>300</v>
      </c>
      <c r="BH20" s="1155" t="s">
        <v>264</v>
      </c>
      <c r="BI20" s="1038"/>
      <c r="BJ20" s="1038"/>
      <c r="BK20" s="1160" t="s">
        <v>132</v>
      </c>
      <c r="BL20" s="1161"/>
      <c r="BM20" s="1162"/>
      <c r="BN20" s="1160"/>
      <c r="BO20" s="1161"/>
      <c r="BP20" s="1161"/>
      <c r="BQ20" s="1161"/>
      <c r="BR20" s="1161"/>
      <c r="BS20" s="1162"/>
      <c r="BT20" s="1163" t="s">
        <v>0</v>
      </c>
      <c r="BU20" s="1038"/>
      <c r="BV20" s="1038"/>
      <c r="BW20" s="36"/>
      <c r="BX20" s="36"/>
      <c r="BY20" s="36"/>
      <c r="BZ20" s="36"/>
      <c r="CA20" s="36"/>
      <c r="CB20" s="36"/>
      <c r="CC20" s="36"/>
      <c r="CD20" s="36"/>
      <c r="CE20" s="36"/>
      <c r="CF20" s="36"/>
      <c r="CG20" s="36"/>
      <c r="CH20" s="36"/>
      <c r="CI20" s="36"/>
    </row>
    <row r="21" spans="1:87" s="3" customFormat="1" ht="15" customHeight="1" thickTop="1" thickBot="1">
      <c r="A21" s="1054"/>
      <c r="B21" s="1827"/>
      <c r="C21" s="1828"/>
      <c r="D21" s="1829"/>
      <c r="E21" s="1164"/>
      <c r="F21" s="1165" t="s">
        <v>616</v>
      </c>
      <c r="G21" s="1166" t="s">
        <v>617</v>
      </c>
      <c r="H21" s="1167" t="s">
        <v>616</v>
      </c>
      <c r="I21" s="1168" t="s">
        <v>617</v>
      </c>
      <c r="J21" s="1169" t="str">
        <f>'FIG3'!W55</f>
        <v>FA4L1</v>
      </c>
      <c r="K21" s="1056" t="s">
        <v>38</v>
      </c>
      <c r="L21" s="1808" t="s">
        <v>62</v>
      </c>
      <c r="M21" s="1809"/>
      <c r="N21" s="1814" t="s">
        <v>285</v>
      </c>
      <c r="O21" s="1815"/>
      <c r="P21" s="1097"/>
      <c r="Q21" s="1058">
        <f>SUMIFS($R$36:$R$67,$O$36:$O$67,"NFA",$P$36:$P$67,"D",$L$36:$L$67,"I")</f>
        <v>16061969544.449997</v>
      </c>
      <c r="R21" s="1059"/>
      <c r="S21" s="1059"/>
      <c r="T21" s="1153" t="s">
        <v>265</v>
      </c>
      <c r="U21" s="1814" t="s">
        <v>285</v>
      </c>
      <c r="V21" s="1815"/>
      <c r="W21" s="1098"/>
      <c r="X21" s="1058">
        <f>SUMIFS($R$36:$R$67,$O$36:$O$67,"NFA",$P$36:$P$67,"D",$Q$36:$Q$67,"F",$L$36:$L$67,"I")</f>
        <v>2112521013.7100003</v>
      </c>
      <c r="Y21" s="1058">
        <f>SUMIFS($R$36:$R$67,$O$36:$O$67,"NFA",$P$36:$P$67,"D",$Q$36:$Q$67,"S",$L$36:$L$67,"I")</f>
        <v>6842709318.1899967</v>
      </c>
      <c r="Z21" s="1058">
        <f>SUMIFS($R$36:$R$67,$O$36:$O$67,"NFA",$P$36:$P$67,"D",$Q$36:$Q$67,"L",$L$36:$L$67,"I")</f>
        <v>6261859752.8499985</v>
      </c>
      <c r="AA21" s="1058">
        <f>SUMIFS($R$36:$R$67,$O$36:$O$67,"NFA",$P$36:$P$67,"D",$Q$36:$Q$67,"O",$L$36:$L$67,"I")</f>
        <v>844879459.69999981</v>
      </c>
      <c r="AB21" s="1058">
        <f>SUMIFS($R$36:$R$67,$O$36:$O$67,"NFA",$P$36:$P$67,"D",$Q$36:$Q$67,"P",$L$36:$L$67,"I")</f>
        <v>0</v>
      </c>
      <c r="AC21" s="1058">
        <f>SUMIFS($R$36:$R$67,$O$36:$O$67,"NFA",$P$36:$P$67,"D",$Q$36:$Q$67,"N",$L$36:$L$67,"I")</f>
        <v>0</v>
      </c>
      <c r="AD21" s="1058">
        <f t="shared" si="1"/>
        <v>16061969544.449997</v>
      </c>
      <c r="AE21" s="1059"/>
      <c r="AF21" s="1060"/>
      <c r="AG21" s="1153" t="s">
        <v>265</v>
      </c>
      <c r="AH21" s="1038"/>
      <c r="AI21" s="1038"/>
      <c r="AJ21" s="1122" t="s">
        <v>133</v>
      </c>
      <c r="AK21" s="1123"/>
      <c r="AL21" s="1170"/>
      <c r="AM21" s="1816" t="s">
        <v>134</v>
      </c>
      <c r="AN21" s="1817"/>
      <c r="AO21" s="1817"/>
      <c r="AP21" s="1817"/>
      <c r="AQ21" s="1817"/>
      <c r="AR21" s="1818"/>
      <c r="AS21" s="1171" t="s">
        <v>126</v>
      </c>
      <c r="AT21" s="1038"/>
      <c r="AU21" s="1038"/>
      <c r="AV21" s="1794" t="s">
        <v>285</v>
      </c>
      <c r="AW21" s="1799"/>
      <c r="AX21" s="1082" t="str">
        <f t="shared" si="2"/>
        <v/>
      </c>
      <c r="AY21" s="1083">
        <f>X21+SUMIFS($R$36:$R$67,$S$36:$S$67,"Y",$Q$36:$Q$67,"F",$O$36:$O$67,"NFA",$P$36:$P$67,"C",$L$36:$L$67,"I")</f>
        <v>2112521013.7100003</v>
      </c>
      <c r="AZ21" s="1083">
        <f>Y21+SUMIFS($R$36:$R$67,$S$36:$S$67,"Y",$Q$36:$Q$67,"S",$O$36:$O$67,"NFA",$P$36:$P$67,"C",$L$36:$L$67,"I")</f>
        <v>6842709318.1899967</v>
      </c>
      <c r="BA21" s="1083">
        <f>Z21+SUMIFS($R$36:$R$67,$S$36:$S$67,"Y",$Q$36:$Q$67,"L",$O$36:$O$67,"NFA",$P$36:$P$67,"C",$L$36:$L$67,"I")</f>
        <v>6261859752.8499985</v>
      </c>
      <c r="BB21" s="1083">
        <f>AA21+SUMIFS($R$36:$R$67,$S$36:$S$67,"Y",$Q$36:$Q$67,"O",$O$36:$O$67,"NFA",$P$36:$P$67,"C",$L$36:$L$67,"I")</f>
        <v>844879459.69999981</v>
      </c>
      <c r="BC21" s="1083">
        <f>AB21+SUMIFS($R$36:$R$67,$S$36:$S$67,"Y",$Q$36:$Q$67,"P",$O$36:$O$67,"NFA",$P$36:$P$67,"C",$L$36:$L$67,"I")</f>
        <v>0</v>
      </c>
      <c r="BD21" s="1083">
        <f>AC21+SUMIFS($R$36:$R$67,$S$36:$S$67,"Y",$Q$36:$Q$67,"N",$O$36:$O$67,"NFA",$P$36:$P$67,"C",$L$36:$L$67,"I")</f>
        <v>0</v>
      </c>
      <c r="BE21" s="1084">
        <f t="shared" si="3"/>
        <v>16061969544.449997</v>
      </c>
      <c r="BF21" s="1085">
        <f>BE21-'$REV-DSUM-CONV'!B876</f>
        <v>0</v>
      </c>
      <c r="BG21" s="1086" t="s">
        <v>300</v>
      </c>
      <c r="BH21" s="1155" t="s">
        <v>265</v>
      </c>
      <c r="BI21" s="1038"/>
      <c r="BJ21" s="1038"/>
      <c r="BK21" s="1128" t="s">
        <v>133</v>
      </c>
      <c r="BL21" s="1129"/>
      <c r="BM21" s="1172"/>
      <c r="BN21" s="1849" t="s">
        <v>134</v>
      </c>
      <c r="BO21" s="1850"/>
      <c r="BP21" s="1850"/>
      <c r="BQ21" s="1850"/>
      <c r="BR21" s="1850"/>
      <c r="BS21" s="1851"/>
      <c r="BT21" s="1173" t="s">
        <v>126</v>
      </c>
      <c r="BU21" s="1038"/>
      <c r="BV21" s="1038"/>
      <c r="BW21" s="36"/>
      <c r="BX21" s="36"/>
      <c r="BY21" s="36"/>
      <c r="BZ21" s="36"/>
      <c r="CA21" s="36"/>
      <c r="CB21" s="36"/>
      <c r="CC21" s="36"/>
      <c r="CD21" s="36"/>
      <c r="CE21" s="36"/>
      <c r="CF21" s="36"/>
      <c r="CG21" s="36"/>
      <c r="CH21" s="36"/>
      <c r="CI21" s="36"/>
    </row>
    <row r="22" spans="1:87" s="3" customFormat="1" ht="15" customHeight="1" thickBot="1">
      <c r="A22" s="1054"/>
      <c r="B22" s="1827"/>
      <c r="C22" s="1828"/>
      <c r="D22" s="1829"/>
      <c r="E22" s="1174" t="s">
        <v>0</v>
      </c>
      <c r="F22" s="1175">
        <f t="array" ref="F22">SUM(IF(FREQUENCY(MATCH(I$36:I$67,I$36:I$67,0),IF($L$36:$L$67&amp;$P$36:$P$67="IC",MATCH(I$36:I$67,I$36:I$67,0),0))&gt;0,1),0)-1</f>
        <v>1</v>
      </c>
      <c r="G22" s="1176">
        <f t="array" ref="G22">SUM(IF(FREQUENCY(MATCH(J$36:J$67,J$36:J$67,0),IF($L$36:$L$67&amp;$P$36:$P$67="IC",MATCH(J$36:J$67,J$36:J$67,0),0))&gt;0,1),0)-1</f>
        <v>3</v>
      </c>
      <c r="H22" s="1177">
        <f t="array" ref="H22">F22-(SUM(IF(FREQUENCY(MATCH(I$36:I$67,I$36:I$67,0),IF($L$36:$L$67&amp;$P$36:$P$67&amp;$S$36:$S$67="ICY",MATCH(I$36:I$67,I$36:I$67,0),0))&gt;0,1),0)-1)</f>
        <v>1</v>
      </c>
      <c r="I22" s="1177">
        <f t="array" ref="I22">G22-(SUM(IF(FREQUENCY(MATCH(J$36:J$67,J$36:J$67,0),IF($L$36:$L$67&amp;$P$36:$P$67&amp;$S$36:$S$67="ICY",MATCH(J$36:J$67,J$36:J$67,0),0))&gt;0,1),0)-1)</f>
        <v>3</v>
      </c>
      <c r="J22" s="1178" t="str">
        <f>'FIG3'!X55</f>
        <v>FA4L2</v>
      </c>
      <c r="K22" s="1056" t="s">
        <v>51</v>
      </c>
      <c r="L22" s="1808" t="s">
        <v>63</v>
      </c>
      <c r="M22" s="1809"/>
      <c r="N22" s="1814" t="s">
        <v>286</v>
      </c>
      <c r="O22" s="1815"/>
      <c r="P22" s="1097"/>
      <c r="Q22" s="1058">
        <f>SUMIFS($R$36:$R$67,$O$36:$O$67,"NFA",$P$36:$P$67,"C",$L$36:$L$67,"I")</f>
        <v>104546061.00000001</v>
      </c>
      <c r="R22" s="1059"/>
      <c r="S22" s="1059"/>
      <c r="T22" s="1153" t="s">
        <v>266</v>
      </c>
      <c r="U22" s="1814" t="s">
        <v>286</v>
      </c>
      <c r="V22" s="1815"/>
      <c r="W22" s="1098"/>
      <c r="X22" s="1058">
        <f>SUMIFS($R$36:$R$67,$O$36:$O$67,"NFA",$P$36:$P$67,"C",$Q$36:$Q$67,"F",$L$36:$L$67,"I")</f>
        <v>9390200.540000001</v>
      </c>
      <c r="Y22" s="1058">
        <f>SUMIFS($R$36:$R$67,$O$36:$O$67,"NFA",$P$36:$P$67,"C",$Q$36:$Q$67,"S",$L$36:$L$67,"I")</f>
        <v>71096032</v>
      </c>
      <c r="Z22" s="1058">
        <f>SUMIFS($R$36:$R$67,$O$36:$O$67,"NFA",$P$36:$P$67,"C",$Q$36:$Q$67,"L",$L$36:$L$67,"I")</f>
        <v>15729573.460000005</v>
      </c>
      <c r="AA22" s="1058">
        <f>SUMIFS($R$36:$R$67,$O$36:$O$67,"NFA",$P$36:$P$67,"C",$Q$36:$Q$67,"O",$L$36:$L$67,"I")</f>
        <v>7464515</v>
      </c>
      <c r="AB22" s="1058">
        <f>SUMIFS($R$36:$R$67,$O$36:$O$67,"NFA",$P$36:$P$67,"C",$Q$36:$Q$67,"P",$L$36:$L$67,"I")</f>
        <v>865740</v>
      </c>
      <c r="AC22" s="1058">
        <f>SUMIFS($R$36:$R$67,$O$36:$O$67,"NFA",$P$36:$P$67,"C",$Q$36:$Q$67,"N",$L$36:$L$67,"I")</f>
        <v>0</v>
      </c>
      <c r="AD22" s="1154">
        <f t="shared" si="1"/>
        <v>104546061.00000001</v>
      </c>
      <c r="AE22" s="1059"/>
      <c r="AF22" s="1060"/>
      <c r="AG22" s="1153" t="s">
        <v>266</v>
      </c>
      <c r="AH22" s="1038"/>
      <c r="AI22" s="1038"/>
      <c r="AJ22" s="1078"/>
      <c r="AK22" s="1079" t="s">
        <v>81</v>
      </c>
      <c r="AL22" s="1079"/>
      <c r="AM22" s="1139">
        <f t="shared" ref="AM22:AN27" si="12">AM12*AM$9</f>
        <v>1002.816506933883</v>
      </c>
      <c r="AN22" s="1139">
        <f t="shared" si="12"/>
        <v>162.36345570850872</v>
      </c>
      <c r="AO22" s="1139">
        <f t="shared" ref="AO22:AR27" si="13">IFERROR(AO12*AO$9,"")</f>
        <v>427.46928656554763</v>
      </c>
      <c r="AP22" s="1139" t="str">
        <f t="shared" si="13"/>
        <v/>
      </c>
      <c r="AQ22" s="1139" t="str">
        <f t="shared" si="13"/>
        <v/>
      </c>
      <c r="AR22" s="1139" t="str">
        <f t="shared" si="13"/>
        <v/>
      </c>
      <c r="AS22" s="1179">
        <f t="shared" ref="AS22:AS27" si="14">SUM(AM22:AR22)</f>
        <v>1592.6492492079394</v>
      </c>
      <c r="AT22" s="1038"/>
      <c r="AU22" s="1038"/>
      <c r="AV22" s="1794" t="s">
        <v>286</v>
      </c>
      <c r="AW22" s="1799"/>
      <c r="AX22" s="1082" t="str">
        <f t="shared" si="2"/>
        <v/>
      </c>
      <c r="AY22" s="1083">
        <f>X22-SUMIFS($R$36:$R$67,$S$36:$S$67,"Y",$Q$36:$Q$67,"F",$O$36:$O$67,"NFA",$P$36:$P$67,"C",$L$36:$L$67,"I")</f>
        <v>9390200.540000001</v>
      </c>
      <c r="AZ22" s="1083">
        <f>Y22-SUMIFS($R$36:$R$67,$S$36:$S$67,"Y",$Q$36:$Q$67,"S",$O$36:$O$67,"NFA",$P$36:$P$67,"C",$L$36:$L$67,"I")</f>
        <v>71096032</v>
      </c>
      <c r="BA22" s="1083">
        <f>Z22-SUMIFS($R$36:$R$67,$S$36:$S$67,"Y",$Q$36:$Q$67,"L",$O$36:$O$67,"NFA",$P$36:$P$67,"C",$L$36:$L$67,"I")</f>
        <v>15729573.460000005</v>
      </c>
      <c r="BB22" s="1083">
        <f>AA22-SUMIFS($R$36:$R$67,$S$36:$S$67,"Y",$Q$36:$Q$67,"O",$O$36:$O$67,"NFA",$P$36:$P$67,"C",$L$36:$L$67,"I")</f>
        <v>7464515</v>
      </c>
      <c r="BC22" s="1083">
        <f>AB22-SUMIFS($R$36:$R$67,$S$36:$S$67,"Y",$Q$36:$Q$67,"P",$O$36:$O$67,"NFA",$P$36:$P$67,"C",$L$36:$L$67,"I")</f>
        <v>865740</v>
      </c>
      <c r="BD22" s="1083">
        <f>AC22-SUMIFS($R$36:$R$67,$S$36:$S$67,"Y",$Q$36:$Q$67,"N",$O$36:$O$67,"NFA",$P$36:$P$67,"C",$L$36:$L$67,"I")</f>
        <v>0</v>
      </c>
      <c r="BE22" s="1084">
        <f t="shared" si="3"/>
        <v>104546061.00000001</v>
      </c>
      <c r="BF22" s="1085">
        <f>BE22-'$REV-DSUM-CONV'!B886</f>
        <v>0</v>
      </c>
      <c r="BG22" s="1086" t="s">
        <v>300</v>
      </c>
      <c r="BH22" s="1155" t="s">
        <v>266</v>
      </c>
      <c r="BI22" s="1038"/>
      <c r="BJ22" s="1038"/>
      <c r="BK22" s="1088"/>
      <c r="BL22" s="1089" t="s">
        <v>81</v>
      </c>
      <c r="BM22" s="1089"/>
      <c r="BN22" s="1143">
        <f t="shared" ref="BN22:BO27" si="15">BN12*BN$9</f>
        <v>1002.816506933883</v>
      </c>
      <c r="BO22" s="1143">
        <f t="shared" si="15"/>
        <v>162.36345570850872</v>
      </c>
      <c r="BP22" s="1143">
        <f t="shared" ref="BP22:BS27" si="16">IFERROR(BP12*BP$9,"")</f>
        <v>427.46928656554763</v>
      </c>
      <c r="BQ22" s="1143" t="str">
        <f t="shared" si="16"/>
        <v/>
      </c>
      <c r="BR22" s="1143" t="str">
        <f t="shared" si="16"/>
        <v/>
      </c>
      <c r="BS22" s="1143" t="str">
        <f t="shared" si="16"/>
        <v/>
      </c>
      <c r="BT22" s="1144">
        <f t="shared" ref="BT22:BT27" si="17">SUM(BN22:BS22)</f>
        <v>1592.6492492079394</v>
      </c>
      <c r="BU22" s="1038"/>
      <c r="BV22" s="1038"/>
      <c r="BW22" s="36"/>
      <c r="BX22" s="36"/>
      <c r="BY22" s="36"/>
      <c r="BZ22" s="36"/>
      <c r="CA22" s="36"/>
      <c r="CB22" s="36"/>
      <c r="CC22" s="36"/>
      <c r="CD22" s="36"/>
      <c r="CE22" s="36"/>
      <c r="CF22" s="36"/>
      <c r="CG22" s="36"/>
      <c r="CH22" s="36"/>
      <c r="CI22" s="36"/>
    </row>
    <row r="23" spans="1:87" s="3" customFormat="1" ht="15" customHeight="1">
      <c r="A23" s="1054"/>
      <c r="B23" s="1827"/>
      <c r="C23" s="1828"/>
      <c r="D23" s="1829"/>
      <c r="E23" s="1180" t="s">
        <v>152</v>
      </c>
      <c r="F23" s="1181">
        <f t="array" ref="F23">SUM(IF(FREQUENCY(MATCH(I$36:I$67,I$36:I$67,0),IF($L$36:$L$67&amp;$O$36:$O$67&amp;$P$36:$P$67="IFA1C",MATCH(I$36:I$67,I$36:I$67,0),0))&gt;0,1),0)-1</f>
        <v>1</v>
      </c>
      <c r="G23" s="1182">
        <f t="array" ref="G23">SUM(IF(FREQUENCY(MATCH(J$36:J$67,J$36:J$67,0),IF($L$36:$L$67&amp;$O$36:$O$67&amp;$P$36:$P$67="IFA1C",MATCH(J$36:J$67,J$36:J$67,0),0))&gt;0,1),0)-1</f>
        <v>1</v>
      </c>
      <c r="H23" s="1183">
        <f t="array" ref="H23">F23-(SUM(IF(FREQUENCY(MATCH(I$36:I$67,I$36:I$67,0),IF($L$36:$L$67&amp;$O$36:$O$67&amp;$P$36:$P$67&amp;$S$36:$S$67="IFA1CY",MATCH(I$36:I$67,I$36:I$67,0),0))&gt;0,1),0)-1)</f>
        <v>1</v>
      </c>
      <c r="I23" s="1184">
        <f t="array" ref="I23">G23-(SUM(IF(FREQUENCY(MATCH(J$36:J$67,J$36:J$67,0),IF($L$36:$L$67&amp;$O$36:$O$67&amp;$P$36:$P$67&amp;$S$36:$S$67="IFA1CY",MATCH(J$36:J$67,J$36:J$67,0),0))&gt;0,1),0)-1)</f>
        <v>1</v>
      </c>
      <c r="J23" s="1169" t="str">
        <f>'FIG3'!V56</f>
        <v>FA5</v>
      </c>
      <c r="K23" s="1056" t="s">
        <v>52</v>
      </c>
      <c r="L23" s="1808" t="s">
        <v>64</v>
      </c>
      <c r="M23" s="1809"/>
      <c r="N23" s="1814" t="s">
        <v>74</v>
      </c>
      <c r="O23" s="1815"/>
      <c r="P23" s="1057" t="str">
        <f>IF(AND(R23&gt;-0.01,R23&lt;0.01),"","CHECK!")</f>
        <v/>
      </c>
      <c r="Q23" s="1058">
        <f>Q19+Q21</f>
        <v>18014559637.749996</v>
      </c>
      <c r="R23" s="1059">
        <f>Q6-Q23</f>
        <v>0</v>
      </c>
      <c r="S23" s="1060" t="s">
        <v>111</v>
      </c>
      <c r="T23" s="1153" t="s">
        <v>267</v>
      </c>
      <c r="U23" s="1814" t="s">
        <v>74</v>
      </c>
      <c r="V23" s="1815"/>
      <c r="W23" s="1057" t="str">
        <f>IF(AND(AE23&gt;-0.01,AE23&lt;0.01),"","CHECK!")</f>
        <v/>
      </c>
      <c r="X23" s="1058">
        <f t="shared" ref="X23:AC24" si="18">X19+X21</f>
        <v>2309847075.6000004</v>
      </c>
      <c r="Y23" s="1058">
        <f t="shared" si="18"/>
        <v>7247915948.8899965</v>
      </c>
      <c r="Z23" s="1058">
        <f t="shared" si="18"/>
        <v>7397378170.6699982</v>
      </c>
      <c r="AA23" s="1058">
        <f t="shared" si="18"/>
        <v>1059418442.5899998</v>
      </c>
      <c r="AB23" s="1058">
        <f t="shared" si="18"/>
        <v>0</v>
      </c>
      <c r="AC23" s="1058">
        <f t="shared" si="18"/>
        <v>0</v>
      </c>
      <c r="AD23" s="1058">
        <f t="shared" si="1"/>
        <v>18014559637.749996</v>
      </c>
      <c r="AE23" s="1059">
        <f>X6-X23</f>
        <v>0</v>
      </c>
      <c r="AF23" s="1060" t="s">
        <v>111</v>
      </c>
      <c r="AG23" s="1153" t="s">
        <v>267</v>
      </c>
      <c r="AH23" s="1038"/>
      <c r="AI23" s="1038"/>
      <c r="AJ23" s="1078"/>
      <c r="AK23" s="1079" t="s">
        <v>42</v>
      </c>
      <c r="AL23" s="1115"/>
      <c r="AM23" s="1139">
        <f t="shared" si="12"/>
        <v>3248.2431236886214</v>
      </c>
      <c r="AN23" s="1139">
        <f t="shared" si="12"/>
        <v>497.28972867400631</v>
      </c>
      <c r="AO23" s="1139">
        <f t="shared" si="13"/>
        <v>475.98168712541457</v>
      </c>
      <c r="AP23" s="1139" t="str">
        <f t="shared" si="13"/>
        <v/>
      </c>
      <c r="AQ23" s="1139" t="str">
        <f t="shared" si="13"/>
        <v/>
      </c>
      <c r="AR23" s="1139" t="str">
        <f t="shared" si="13"/>
        <v/>
      </c>
      <c r="AS23" s="1179">
        <f t="shared" si="14"/>
        <v>4221.5145394880419</v>
      </c>
      <c r="AT23" s="1038"/>
      <c r="AU23" s="1038"/>
      <c r="AV23" s="1794" t="s">
        <v>74</v>
      </c>
      <c r="AW23" s="1799"/>
      <c r="AX23" s="1082" t="str">
        <f>IF(AND(BF23&gt;-0.01,BF23&lt;0.01),"","CHECK!")</f>
        <v/>
      </c>
      <c r="AY23" s="1083">
        <f t="shared" ref="AY23:BD24" si="19">AY19+AY21</f>
        <v>2309847075.6000004</v>
      </c>
      <c r="AZ23" s="1083">
        <f t="shared" si="19"/>
        <v>7247915948.8899965</v>
      </c>
      <c r="BA23" s="1083">
        <f t="shared" si="19"/>
        <v>7397378170.6699982</v>
      </c>
      <c r="BB23" s="1083">
        <f t="shared" si="19"/>
        <v>1059418442.5899998</v>
      </c>
      <c r="BC23" s="1083">
        <f t="shared" si="19"/>
        <v>0</v>
      </c>
      <c r="BD23" s="1083">
        <f t="shared" si="19"/>
        <v>0</v>
      </c>
      <c r="BE23" s="1084">
        <f t="shared" si="3"/>
        <v>18014559637.749996</v>
      </c>
      <c r="BF23" s="1085">
        <f>AY6-AY23</f>
        <v>0</v>
      </c>
      <c r="BG23" s="1086" t="s">
        <v>111</v>
      </c>
      <c r="BH23" s="1155" t="s">
        <v>267</v>
      </c>
      <c r="BI23" s="1038"/>
      <c r="BJ23" s="1038"/>
      <c r="BK23" s="1088"/>
      <c r="BL23" s="1089" t="s">
        <v>42</v>
      </c>
      <c r="BM23" s="1119"/>
      <c r="BN23" s="1143">
        <f t="shared" si="15"/>
        <v>3248.2431236886214</v>
      </c>
      <c r="BO23" s="1143">
        <f t="shared" si="15"/>
        <v>497.28972867400631</v>
      </c>
      <c r="BP23" s="1143">
        <f t="shared" si="16"/>
        <v>475.98168712541457</v>
      </c>
      <c r="BQ23" s="1143" t="str">
        <f t="shared" si="16"/>
        <v/>
      </c>
      <c r="BR23" s="1143" t="str">
        <f t="shared" si="16"/>
        <v/>
      </c>
      <c r="BS23" s="1143" t="str">
        <f t="shared" si="16"/>
        <v/>
      </c>
      <c r="BT23" s="1144">
        <f t="shared" si="17"/>
        <v>4221.5145394880419</v>
      </c>
      <c r="BU23" s="1038"/>
      <c r="BV23" s="1038"/>
      <c r="BW23" s="36"/>
      <c r="BX23" s="36"/>
      <c r="BY23" s="36"/>
      <c r="BZ23" s="36"/>
      <c r="CA23" s="36"/>
      <c r="CB23" s="36"/>
      <c r="CC23" s="36"/>
      <c r="CD23" s="36"/>
      <c r="CE23" s="36"/>
      <c r="CF23" s="36"/>
      <c r="CG23" s="36"/>
      <c r="CH23" s="36"/>
      <c r="CI23" s="36"/>
    </row>
    <row r="24" spans="1:87" s="3" customFormat="1" ht="15" customHeight="1" thickBot="1">
      <c r="A24" s="1054"/>
      <c r="B24" s="1827"/>
      <c r="C24" s="1828"/>
      <c r="D24" s="1829"/>
      <c r="E24" s="1180" t="s">
        <v>153</v>
      </c>
      <c r="F24" s="1181">
        <f t="array" ref="F24">SUM(IF(FREQUENCY(MATCH(I$36:I$67,I$36:I$67,0),IF($L$36:$L$67&amp;$O$36:$O$67&amp;$P$36:$P$67="IFA2C",MATCH(I$36:I$67,I$36:I$67,0),0))&gt;0,1),0)-1</f>
        <v>1</v>
      </c>
      <c r="G24" s="1182">
        <f t="array" ref="G24">SUM(IF(FREQUENCY(MATCH(J$36:J$67,J$36:J$67,0),IF($L$36:$L$67&amp;$O$36:$O$67&amp;$P$36:$P$67="IFA2C",MATCH(J$36:J$67,J$36:J$67,0),0))&gt;0,1),0)-1</f>
        <v>1</v>
      </c>
      <c r="H24" s="1183">
        <f t="array" ref="H24">F24-(SUM(IF(FREQUENCY(MATCH(I$36:I$67,I$36:I$67,0),IF($L$36:$L$67&amp;$O$36:$O$67&amp;$P$36:$P$67&amp;$S$36:$S$67="IFA2CY",MATCH(I$36:I$67,I$36:I$67,0),0))&gt;0,1),0)-1)</f>
        <v>1</v>
      </c>
      <c r="I24" s="1184">
        <f t="array" ref="I24">G24-(SUM(IF(FREQUENCY(MATCH(J$36:J$67,J$36:J$67,0),IF($L$36:$L$67&amp;$O$36:$O$67&amp;$P$36:$P$67&amp;$S$36:$S$67="IFA2CY",MATCH(J$36:J$67,J$36:J$67,0),0))&gt;0,1),0)-1)</f>
        <v>1</v>
      </c>
      <c r="J24" s="1169" t="str">
        <f>'FIG3'!W56</f>
        <v>FA5L1</v>
      </c>
      <c r="K24" s="1056" t="s">
        <v>53</v>
      </c>
      <c r="L24" s="1808" t="s">
        <v>65</v>
      </c>
      <c r="M24" s="1809"/>
      <c r="N24" s="1814" t="s">
        <v>77</v>
      </c>
      <c r="O24" s="1815"/>
      <c r="P24" s="1057" t="str">
        <f>IF(AND(R24&gt;-0.01,R24&lt;0.01),"","CHECK!")</f>
        <v/>
      </c>
      <c r="Q24" s="1058">
        <f>Q20+Q22</f>
        <v>194219132</v>
      </c>
      <c r="R24" s="1059">
        <f>Q7-Q24</f>
        <v>0</v>
      </c>
      <c r="S24" s="1060" t="s">
        <v>113</v>
      </c>
      <c r="T24" s="1153" t="s">
        <v>268</v>
      </c>
      <c r="U24" s="1814" t="s">
        <v>77</v>
      </c>
      <c r="V24" s="1815"/>
      <c r="W24" s="1057" t="str">
        <f>IF(AND(AE24&gt;-0.01,AE24&lt;0.01),"","CHECK!")</f>
        <v/>
      </c>
      <c r="X24" s="1185">
        <f t="shared" si="18"/>
        <v>17198745.100000001</v>
      </c>
      <c r="Y24" s="1185">
        <f t="shared" si="18"/>
        <v>109110317</v>
      </c>
      <c r="Z24" s="1185">
        <f t="shared" si="18"/>
        <v>48038874.900000006</v>
      </c>
      <c r="AA24" s="1185">
        <f t="shared" si="18"/>
        <v>17398996</v>
      </c>
      <c r="AB24" s="1185">
        <f t="shared" si="18"/>
        <v>2472199</v>
      </c>
      <c r="AC24" s="1185">
        <f t="shared" si="18"/>
        <v>0</v>
      </c>
      <c r="AD24" s="1185">
        <f t="shared" si="1"/>
        <v>194219132</v>
      </c>
      <c r="AE24" s="1059">
        <f>X7-X24</f>
        <v>0</v>
      </c>
      <c r="AF24" s="1060" t="s">
        <v>113</v>
      </c>
      <c r="AG24" s="1153" t="s">
        <v>268</v>
      </c>
      <c r="AH24" s="1038"/>
      <c r="AI24" s="1038"/>
      <c r="AJ24" s="1078"/>
      <c r="AK24" s="1079" t="s">
        <v>82</v>
      </c>
      <c r="AL24" s="1115"/>
      <c r="AM24" s="1139">
        <f t="shared" si="12"/>
        <v>2972.5130701705448</v>
      </c>
      <c r="AN24" s="1139">
        <f t="shared" si="12"/>
        <v>1116.037946719166</v>
      </c>
      <c r="AO24" s="1139">
        <f t="shared" si="13"/>
        <v>2014.3337544948897</v>
      </c>
      <c r="AP24" s="1139" t="str">
        <f t="shared" si="13"/>
        <v/>
      </c>
      <c r="AQ24" s="1139" t="str">
        <f t="shared" si="13"/>
        <v/>
      </c>
      <c r="AR24" s="1139" t="str">
        <f t="shared" si="13"/>
        <v/>
      </c>
      <c r="AS24" s="1179">
        <f t="shared" si="14"/>
        <v>6102.8847713846008</v>
      </c>
      <c r="AT24" s="1038"/>
      <c r="AU24" s="1038"/>
      <c r="AV24" s="1794" t="s">
        <v>77</v>
      </c>
      <c r="AW24" s="1799"/>
      <c r="AX24" s="1082" t="str">
        <f>IF(AND(BF24&gt;-0.01,BF24&lt;0.01),"","CHECK!")</f>
        <v/>
      </c>
      <c r="AY24" s="1083">
        <f t="shared" si="19"/>
        <v>17198745.100000001</v>
      </c>
      <c r="AZ24" s="1083">
        <f t="shared" si="19"/>
        <v>109110317</v>
      </c>
      <c r="BA24" s="1083">
        <f t="shared" si="19"/>
        <v>48038874.900000006</v>
      </c>
      <c r="BB24" s="1083">
        <f t="shared" si="19"/>
        <v>17398996</v>
      </c>
      <c r="BC24" s="1083">
        <f t="shared" si="19"/>
        <v>2472199</v>
      </c>
      <c r="BD24" s="1083">
        <f t="shared" si="19"/>
        <v>0</v>
      </c>
      <c r="BE24" s="1084">
        <f t="shared" si="3"/>
        <v>194219132</v>
      </c>
      <c r="BF24" s="1085">
        <f>AY7-AY24</f>
        <v>0</v>
      </c>
      <c r="BG24" s="1086" t="s">
        <v>113</v>
      </c>
      <c r="BH24" s="1155" t="s">
        <v>268</v>
      </c>
      <c r="BI24" s="1038"/>
      <c r="BJ24" s="1038"/>
      <c r="BK24" s="1088"/>
      <c r="BL24" s="1089" t="s">
        <v>82</v>
      </c>
      <c r="BM24" s="1119"/>
      <c r="BN24" s="1143">
        <f t="shared" si="15"/>
        <v>2972.5130701705448</v>
      </c>
      <c r="BO24" s="1143">
        <f t="shared" si="15"/>
        <v>1116.037946719166</v>
      </c>
      <c r="BP24" s="1143">
        <f t="shared" si="16"/>
        <v>2014.3337544948897</v>
      </c>
      <c r="BQ24" s="1143" t="str">
        <f t="shared" si="16"/>
        <v/>
      </c>
      <c r="BR24" s="1143" t="str">
        <f t="shared" si="16"/>
        <v/>
      </c>
      <c r="BS24" s="1143" t="str">
        <f t="shared" si="16"/>
        <v/>
      </c>
      <c r="BT24" s="1144">
        <f t="shared" si="17"/>
        <v>6102.8847713846008</v>
      </c>
      <c r="BU24" s="1038"/>
      <c r="BV24" s="1038"/>
      <c r="BW24" s="36"/>
      <c r="BX24" s="36"/>
      <c r="BY24" s="36"/>
      <c r="BZ24" s="36"/>
      <c r="CA24" s="36"/>
      <c r="CB24" s="36"/>
      <c r="CC24" s="36"/>
      <c r="CD24" s="36"/>
      <c r="CE24" s="36"/>
      <c r="CF24" s="36"/>
      <c r="CG24" s="36"/>
      <c r="CH24" s="36"/>
      <c r="CI24" s="36"/>
    </row>
    <row r="25" spans="1:87" s="3" customFormat="1" ht="15" customHeight="1" thickBot="1">
      <c r="A25" s="1054"/>
      <c r="B25" s="1827"/>
      <c r="C25" s="1828"/>
      <c r="D25" s="1829"/>
      <c r="E25" s="1186" t="s">
        <v>154</v>
      </c>
      <c r="F25" s="1181">
        <f t="array" ref="F25">SUM(IF(FREQUENCY(MATCH(I$36:I$67,I$36:I$67,0),IF($L$36:$L$67&amp;$O$36:$O$67&amp;$P$36:$P$67="IFA3C",MATCH(I$36:I$67,I$36:I$67,0),0))&gt;0,1),0)-1</f>
        <v>0</v>
      </c>
      <c r="G25" s="1182">
        <f t="array" ref="G25">SUM(IF(FREQUENCY(MATCH(J$36:J$67,J$36:J$67,0),IF($L$36:$L$67&amp;$O$36:$O$67&amp;$P$36:$P$67="IFA3C",MATCH(J$36:J$67,J$36:J$67,0),0))&gt;0,1),0)-1</f>
        <v>0</v>
      </c>
      <c r="H25" s="1184">
        <f t="array" ref="H25">F25-(SUM(IF(FREQUENCY(MATCH(I$36:I$67,I$36:I$67,0),IF($L$36:$L$67&amp;$O$36:$O$67&amp;$P$36:$P$67&amp;$S$36:$S$67="IFA3CY",MATCH(I$36:I$67,I$36:I$67,0),0))&gt;0,1),0)-1)</f>
        <v>0</v>
      </c>
      <c r="I25" s="1184">
        <f t="array" ref="I25">G25-(SUM(IF(FREQUENCY(MATCH(J$36:J$67,J$36:J$67,0),IF($L$36:$L$67&amp;$O$36:$O$67&amp;$P$36:$P$67&amp;$S$36:$S$67="IFA3CY",MATCH(J$36:J$67,J$36:J$67,0),0))&gt;0,1),0)-1)</f>
        <v>0</v>
      </c>
      <c r="J25" s="1178" t="str">
        <f>'FIG3'!X56</f>
        <v>FA5L2</v>
      </c>
      <c r="K25" s="1056" t="s">
        <v>54</v>
      </c>
      <c r="L25" s="1808" t="s">
        <v>66</v>
      </c>
      <c r="M25" s="1809"/>
      <c r="N25" s="1814" t="s">
        <v>80</v>
      </c>
      <c r="O25" s="1815"/>
      <c r="P25" s="1057" t="str">
        <f>IF(AND(R25&gt;-0.01,R25&lt;0.01),"","CHECK!")</f>
        <v/>
      </c>
      <c r="Q25" s="1058">
        <f>Q23+Q24</f>
        <v>18208778769.749996</v>
      </c>
      <c r="R25" s="1187">
        <f>Q5-Q25</f>
        <v>0</v>
      </c>
      <c r="S25" s="1093" t="s">
        <v>120</v>
      </c>
      <c r="T25" s="1153" t="s">
        <v>269</v>
      </c>
      <c r="U25" s="1810" t="s">
        <v>80</v>
      </c>
      <c r="V25" s="1811"/>
      <c r="W25" s="1057" t="str">
        <f>IF(AND(AE25&gt;-0.01,AE25&lt;0.01),"","CHECK!")</f>
        <v/>
      </c>
      <c r="X25" s="1188">
        <f t="shared" ref="X25:AC25" si="20">X23+X24</f>
        <v>2327045820.7000003</v>
      </c>
      <c r="Y25" s="1188">
        <f t="shared" si="20"/>
        <v>7357026265.8899965</v>
      </c>
      <c r="Z25" s="1188">
        <f t="shared" si="20"/>
        <v>7445417045.5699978</v>
      </c>
      <c r="AA25" s="1188">
        <f t="shared" si="20"/>
        <v>1076817438.5899997</v>
      </c>
      <c r="AB25" s="1188">
        <f t="shared" si="20"/>
        <v>2472199</v>
      </c>
      <c r="AC25" s="1188">
        <f t="shared" si="20"/>
        <v>0</v>
      </c>
      <c r="AD25" s="1188">
        <f t="shared" si="1"/>
        <v>18208778769.749992</v>
      </c>
      <c r="AE25" s="1187">
        <f>X8-X25</f>
        <v>0</v>
      </c>
      <c r="AF25" s="1060" t="s">
        <v>117</v>
      </c>
      <c r="AG25" s="1189" t="s">
        <v>269</v>
      </c>
      <c r="AH25" s="1038"/>
      <c r="AI25" s="1038"/>
      <c r="AJ25" s="1078"/>
      <c r="AK25" s="1079" t="s">
        <v>83</v>
      </c>
      <c r="AL25" s="1115"/>
      <c r="AM25" s="1139">
        <f t="shared" si="12"/>
        <v>401.06539204009505</v>
      </c>
      <c r="AN25" s="1139">
        <f t="shared" si="12"/>
        <v>107.14603856844226</v>
      </c>
      <c r="AO25" s="1139">
        <f t="shared" si="13"/>
        <v>634.87520485097457</v>
      </c>
      <c r="AP25" s="1139" t="str">
        <f t="shared" si="13"/>
        <v/>
      </c>
      <c r="AQ25" s="1139" t="str">
        <f t="shared" si="13"/>
        <v/>
      </c>
      <c r="AR25" s="1139" t="str">
        <f t="shared" si="13"/>
        <v/>
      </c>
      <c r="AS25" s="1179">
        <f t="shared" si="14"/>
        <v>1143.0866354595119</v>
      </c>
      <c r="AT25" s="1038"/>
      <c r="AU25" s="1038"/>
      <c r="AV25" s="1800" t="s">
        <v>80</v>
      </c>
      <c r="AW25" s="1801"/>
      <c r="AX25" s="1082" t="str">
        <f>IF(AND(BF25&gt;-0.01,BF25&lt;0.01),"","CHECK!")</f>
        <v/>
      </c>
      <c r="AY25" s="1141">
        <f t="shared" ref="AY25:BD25" si="21">AY23+AY24</f>
        <v>2327045820.7000003</v>
      </c>
      <c r="AZ25" s="1141">
        <f t="shared" si="21"/>
        <v>7357026265.8899965</v>
      </c>
      <c r="BA25" s="1141">
        <f t="shared" si="21"/>
        <v>7445417045.5699978</v>
      </c>
      <c r="BB25" s="1141">
        <f t="shared" si="21"/>
        <v>1076817438.5899997</v>
      </c>
      <c r="BC25" s="1141">
        <f t="shared" si="21"/>
        <v>2472199</v>
      </c>
      <c r="BD25" s="1141">
        <f t="shared" si="21"/>
        <v>0</v>
      </c>
      <c r="BE25" s="1142">
        <f t="shared" si="3"/>
        <v>18208778769.749992</v>
      </c>
      <c r="BF25" s="1190">
        <f>AY8-AY25</f>
        <v>0</v>
      </c>
      <c r="BG25" s="1086" t="s">
        <v>117</v>
      </c>
      <c r="BH25" s="1191" t="s">
        <v>269</v>
      </c>
      <c r="BI25" s="1038"/>
      <c r="BJ25" s="1038"/>
      <c r="BK25" s="1088"/>
      <c r="BL25" s="1089" t="s">
        <v>83</v>
      </c>
      <c r="BM25" s="1119"/>
      <c r="BN25" s="1143">
        <f t="shared" si="15"/>
        <v>401.06539204009505</v>
      </c>
      <c r="BO25" s="1143">
        <f t="shared" si="15"/>
        <v>107.14603856844226</v>
      </c>
      <c r="BP25" s="1143">
        <f t="shared" si="16"/>
        <v>634.87520485097457</v>
      </c>
      <c r="BQ25" s="1143" t="str">
        <f t="shared" si="16"/>
        <v/>
      </c>
      <c r="BR25" s="1143" t="str">
        <f t="shared" si="16"/>
        <v/>
      </c>
      <c r="BS25" s="1143" t="str">
        <f t="shared" si="16"/>
        <v/>
      </c>
      <c r="BT25" s="1144">
        <f t="shared" si="17"/>
        <v>1143.0866354595119</v>
      </c>
      <c r="BU25" s="1038"/>
      <c r="BV25" s="1038"/>
      <c r="BW25" s="36"/>
      <c r="BX25" s="36"/>
      <c r="BY25" s="36"/>
      <c r="BZ25" s="36"/>
      <c r="CA25" s="36"/>
      <c r="CB25" s="36"/>
      <c r="CC25" s="36"/>
      <c r="CD25" s="36"/>
      <c r="CE25" s="36"/>
      <c r="CF25" s="36"/>
      <c r="CG25" s="36"/>
      <c r="CH25" s="36"/>
      <c r="CI25" s="36"/>
    </row>
    <row r="26" spans="1:87" s="3" customFormat="1" ht="15" customHeight="1" thickTop="1">
      <c r="A26" s="1054"/>
      <c r="B26" s="1827"/>
      <c r="C26" s="1828"/>
      <c r="D26" s="1829"/>
      <c r="E26" s="1186" t="s">
        <v>155</v>
      </c>
      <c r="F26" s="1181">
        <f t="array" ref="F26">SUM(IF(FREQUENCY(MATCH(I$36:I$67,I$36:I$67,0),IF($L$36:$L$67&amp;$O$36:$O$67&amp;$P$36:$P$67="IFA4C",MATCH(I$36:I$67,I$36:I$67,0),0))&gt;0,1),0)-1</f>
        <v>0</v>
      </c>
      <c r="G26" s="1182">
        <f t="array" ref="G26">SUM(IF(FREQUENCY(MATCH(J$36:J$67,J$36:J$67,0),IF($L$36:$L$67&amp;$O$36:$O$67&amp;$P$36:$P$67="IFA4C",MATCH(J$36:J$67,J$36:J$67,0),0))&gt;0,1),0)-1</f>
        <v>0</v>
      </c>
      <c r="H26" s="1184">
        <f t="array" ref="H26">F26-(SUM(IF(FREQUENCY(MATCH(I$36:I$67,I$36:I$67,0),IF($L$36:$L$67&amp;$O$36:$O$67&amp;$P$36:$P$67&amp;$S$36:$S$67="IFA4CY",MATCH(I$36:I$67,I$36:I$67,0),0))&gt;0,1),0)-1)</f>
        <v>0</v>
      </c>
      <c r="I26" s="1184">
        <f t="array" ref="I26">G26-(SUM(IF(FREQUENCY(MATCH(J$36:J$67,J$36:J$67,0),IF($L$36:$L$67&amp;$O$36:$O$67&amp;$P$36:$P$67&amp;$S$36:$S$67="IFA4CY",MATCH(J$36:J$67,J$36:J$67,0),0))&gt;0,1),0)-1)</f>
        <v>0</v>
      </c>
      <c r="J26" s="1192"/>
      <c r="K26" s="1056" t="s">
        <v>55</v>
      </c>
      <c r="L26" s="1808" t="s">
        <v>67</v>
      </c>
      <c r="M26" s="1809"/>
      <c r="N26" s="1812" t="s">
        <v>78</v>
      </c>
      <c r="O26" s="1813"/>
      <c r="P26" s="1193"/>
      <c r="Q26" s="1194">
        <f>SUMIFS($R$36:$R$67,$M$36:$M$67,"ADJ*",$P$36:$P$67,"D")</f>
        <v>0</v>
      </c>
      <c r="R26" s="1059"/>
      <c r="S26" s="1059"/>
      <c r="T26" s="1195" t="s">
        <v>270</v>
      </c>
      <c r="U26" s="1812" t="s">
        <v>78</v>
      </c>
      <c r="V26" s="1813"/>
      <c r="W26" s="1196"/>
      <c r="X26" s="1194">
        <f>SUMIFS($R$36:$R$67,$M$36:$M$67,"ADJ*",$P$36:$P$67,"D",$Q$36:$Q$67,"F",$L$36:$L$67,"I")</f>
        <v>0</v>
      </c>
      <c r="Y26" s="1194">
        <f>SUMIFS($R$36:$R$67,$M$36:$M$67,"ADJ*",$P$36:$P$67,"D",$Q$36:$Q$67,"S",$L$36:$L$67,"I")</f>
        <v>0</v>
      </c>
      <c r="Z26" s="1194">
        <f>SUMIFS($R$36:$R$67,$M$36:$M$67,"ADJ*",$P$36:$P$67,"D",$Q$36:$Q$67,"L",$L$36:$L$67,"I")</f>
        <v>0</v>
      </c>
      <c r="AA26" s="1194">
        <f>SUMIFS($R$36:$R$67,$M$36:$M$67,"ADJ*",$P$36:$P$67,"D",$Q$36:$Q$67,"O",$L$36:$L$67,"I")</f>
        <v>0</v>
      </c>
      <c r="AB26" s="1194">
        <f>SUMIFS($R$36:$R$67,$M$36:$M$67,"ADJ*",$P$36:$P$67,"D",$Q$36:$Q$67,"P",$L$36:$L$67,"I")</f>
        <v>0</v>
      </c>
      <c r="AC26" s="1194">
        <f>SUMIFS($R$36:$R$67,$M$36:$M$67,"ADJ*",$P$36:$P$67,"D",$Q$36:$Q$67,"N",$L$36:$L$67,"I")</f>
        <v>0</v>
      </c>
      <c r="AD26" s="1194">
        <f t="shared" si="1"/>
        <v>0</v>
      </c>
      <c r="AE26" s="1059"/>
      <c r="AF26" s="1197"/>
      <c r="AG26" s="1195" t="s">
        <v>270</v>
      </c>
      <c r="AH26" s="1038"/>
      <c r="AI26" s="1038"/>
      <c r="AJ26" s="1078"/>
      <c r="AK26" s="1079" t="s">
        <v>200</v>
      </c>
      <c r="AL26" s="1115"/>
      <c r="AM26" s="1139">
        <f t="shared" si="12"/>
        <v>0</v>
      </c>
      <c r="AN26" s="1139">
        <f t="shared" si="12"/>
        <v>0</v>
      </c>
      <c r="AO26" s="1139">
        <f t="shared" si="13"/>
        <v>0</v>
      </c>
      <c r="AP26" s="1139" t="str">
        <f t="shared" si="13"/>
        <v/>
      </c>
      <c r="AQ26" s="1139" t="str">
        <f t="shared" si="13"/>
        <v/>
      </c>
      <c r="AR26" s="1139" t="str">
        <f t="shared" si="13"/>
        <v/>
      </c>
      <c r="AS26" s="1179">
        <f t="shared" si="14"/>
        <v>0</v>
      </c>
      <c r="AT26" s="1038"/>
      <c r="AU26" s="1038"/>
      <c r="AV26" s="1802" t="s">
        <v>78</v>
      </c>
      <c r="AW26" s="1803"/>
      <c r="AX26" s="1198"/>
      <c r="AY26" s="1137">
        <f>SUMIFS($R$36:$R$67,$M$36:$M$67,"ADJ*",$P$36:$P$67,"D",$Q$36:$Q$67,"F",$L$36:$L$67,"I")</f>
        <v>0</v>
      </c>
      <c r="AZ26" s="1137">
        <f>SUMIFS($R$36:$R$67,$M$36:$M$67,"ADJ*",$P$36:$P$67,"D",$Q$36:$Q$67,"S",$L$36:$L$67,"I")</f>
        <v>0</v>
      </c>
      <c r="BA26" s="1137">
        <f>SUMIFS($R$36:$R$67,$M$36:$M$67,"ADJ*",$P$36:$P$67,"D",$Q$36:$Q$67,"L",$L$36:$L$67,"I")</f>
        <v>0</v>
      </c>
      <c r="BB26" s="1137">
        <f>SUMIFS($R$36:$R$67,$M$36:$M$67,"ADJ*",$P$36:$P$67,"D",$Q$36:$Q$67,"O",$L$36:$L$67,"I")</f>
        <v>0</v>
      </c>
      <c r="BC26" s="1137">
        <f>SUMIFS($R$36:$R$67,$M$36:$M$67,"ADJ*",$P$36:$P$67,"D",$Q$36:$Q$67,"P",$L$36:$L$67,"I")</f>
        <v>0</v>
      </c>
      <c r="BD26" s="1137">
        <f>SUMIFS($R$36:$R$67,$M$36:$M$67,"ADJ*",$P$36:$P$67,"D",$Q$36:$Q$67,"N",$L$36:$L$67,"I")</f>
        <v>0</v>
      </c>
      <c r="BE26" s="1138">
        <f t="shared" si="3"/>
        <v>0</v>
      </c>
      <c r="BF26" s="1085"/>
      <c r="BG26" s="1199"/>
      <c r="BH26" s="1200" t="s">
        <v>270</v>
      </c>
      <c r="BI26" s="1038"/>
      <c r="BJ26" s="1038"/>
      <c r="BK26" s="1088"/>
      <c r="BL26" s="1089" t="s">
        <v>200</v>
      </c>
      <c r="BM26" s="1119"/>
      <c r="BN26" s="1143">
        <f t="shared" si="15"/>
        <v>0</v>
      </c>
      <c r="BO26" s="1143">
        <f t="shared" si="15"/>
        <v>0</v>
      </c>
      <c r="BP26" s="1143">
        <f t="shared" si="16"/>
        <v>0</v>
      </c>
      <c r="BQ26" s="1143" t="str">
        <f t="shared" si="16"/>
        <v/>
      </c>
      <c r="BR26" s="1143" t="str">
        <f t="shared" si="16"/>
        <v/>
      </c>
      <c r="BS26" s="1143" t="str">
        <f t="shared" si="16"/>
        <v/>
      </c>
      <c r="BT26" s="1144">
        <f t="shared" si="17"/>
        <v>0</v>
      </c>
      <c r="BU26" s="1038"/>
      <c r="BV26" s="1038"/>
      <c r="BW26" s="36"/>
      <c r="BX26" s="36"/>
      <c r="BY26" s="36"/>
      <c r="BZ26" s="36"/>
      <c r="CA26" s="36"/>
      <c r="CB26" s="36"/>
      <c r="CC26" s="36"/>
      <c r="CD26" s="36"/>
      <c r="CE26" s="36"/>
      <c r="CF26" s="36"/>
      <c r="CG26" s="36"/>
      <c r="CH26" s="36"/>
      <c r="CI26" s="36"/>
    </row>
    <row r="27" spans="1:87" s="3" customFormat="1" ht="15" customHeight="1" thickBot="1">
      <c r="A27" s="1054"/>
      <c r="B27" s="1827"/>
      <c r="C27" s="1828"/>
      <c r="D27" s="1829"/>
      <c r="E27" s="1186" t="s">
        <v>156</v>
      </c>
      <c r="F27" s="1181">
        <f t="array" ref="F27">SUM(IF(FREQUENCY(MATCH(I$36:I$67,I$36:I$67,0),IF($L$36:$L$67&amp;$O$36:$O$67&amp;$P$36:$P$67="IFA5C",MATCH(I$36:I$67,I$36:I$67,0),0))&gt;0,1),0)-1</f>
        <v>0</v>
      </c>
      <c r="G27" s="1182">
        <f t="array" ref="G27">SUM(IF(FREQUENCY(MATCH(J$36:J$67,J$36:J$67,0),IF($L$36:$L$67&amp;$O$36:$O$67&amp;$P$36:$P$67="IFA5C",MATCH(J$36:J$67,J$36:J$67,0),0))&gt;0,1),0)-1</f>
        <v>0</v>
      </c>
      <c r="H27" s="1184">
        <f t="array" ref="H27">F27-(SUM(IF(FREQUENCY(MATCH(I$36:I$67,I$36:I$67,0),IF($L$36:$L$67&amp;$O$36:$O$67&amp;$P$36:$P$67&amp;$S$36:$S$67="IFA5CY",MATCH(I$36:I$67,I$36:I$67,0),0))&gt;0,1),0)-1)</f>
        <v>0</v>
      </c>
      <c r="I27" s="1184">
        <f t="array" ref="I27">G27-(SUM(IF(FREQUENCY(MATCH(J$36:J$67,J$36:J$67,0),IF($L$36:$L$67&amp;$O$36:$O$67&amp;$P$36:$P$67&amp;$S$36:$S$67="IFA5CY",MATCH(J$36:J$67,J$36:J$67,0),0))&gt;0,1),0)-1)</f>
        <v>0</v>
      </c>
      <c r="J27" s="1133"/>
      <c r="K27" s="1056" t="s">
        <v>296</v>
      </c>
      <c r="L27" s="1808" t="s">
        <v>292</v>
      </c>
      <c r="M27" s="1809"/>
      <c r="N27" s="1810" t="s">
        <v>79</v>
      </c>
      <c r="O27" s="1811"/>
      <c r="P27" s="1201"/>
      <c r="Q27" s="1188">
        <f>SUMIFS($R$36:$R$67,$M$36:$M$67,"ADJ*",$P$36:$P$67,"C")</f>
        <v>0</v>
      </c>
      <c r="R27" s="1187"/>
      <c r="S27" s="1187"/>
      <c r="T27" s="1202" t="s">
        <v>271</v>
      </c>
      <c r="U27" s="1810" t="s">
        <v>79</v>
      </c>
      <c r="V27" s="1811"/>
      <c r="W27" s="1203"/>
      <c r="X27" s="1188">
        <f>SUMIFS($R$36:$R$67,$M$36:$M$67,"ADJ*",$P$36:$P$67,"C",$Q$36:$Q$67,"F",$L$36:$L$67,"I")</f>
        <v>0</v>
      </c>
      <c r="Y27" s="1188">
        <f>SUMIFS($R$36:$R$67,$M$36:$M$67,"ADJ*",$P$36:$P$67,"C",$Q$36:$Q$67,"S",$L$36:$L$67,"I")</f>
        <v>0</v>
      </c>
      <c r="Z27" s="1188">
        <f>SUMIFS($R$36:$R$67,$M$36:$M$67,"ADJ*",$P$36:$P$67,"C",$Q$36:$Q$67,"L",$L$36:$L$67,"I")</f>
        <v>0</v>
      </c>
      <c r="AA27" s="1188">
        <f>SUMIFS($R$36:$R$67,$M$36:$M$67,"ADJ*",$P$36:$P$67,"C",$Q$36:$Q$67,"O",$L$36:$L$67,"I")</f>
        <v>0</v>
      </c>
      <c r="AB27" s="1188">
        <f>SUMIFS($R$36:$R$67,$M$36:$M$67,"ADJ*",$P$36:$P$67,"C",$Q$36:$Q$67,"P",$L$36:$L$67,"I")</f>
        <v>0</v>
      </c>
      <c r="AC27" s="1188">
        <f>SUMIFS($R$36:$R$67,$M$36:$M$67,"ADJ*",$P$36:$P$67,"C",$Q$36:$Q$67,"N",$L$36:$L$67,"I")</f>
        <v>0</v>
      </c>
      <c r="AD27" s="1188">
        <f t="shared" si="1"/>
        <v>0</v>
      </c>
      <c r="AE27" s="1187"/>
      <c r="AF27" s="1093"/>
      <c r="AG27" s="1202" t="s">
        <v>271</v>
      </c>
      <c r="AH27" s="1038"/>
      <c r="AI27" s="1038"/>
      <c r="AJ27" s="1078"/>
      <c r="AK27" s="1079" t="s">
        <v>127</v>
      </c>
      <c r="AL27" s="1115"/>
      <c r="AM27" s="1139">
        <f t="shared" si="12"/>
        <v>0</v>
      </c>
      <c r="AN27" s="1139">
        <f t="shared" si="12"/>
        <v>0</v>
      </c>
      <c r="AO27" s="1139">
        <f t="shared" si="13"/>
        <v>0</v>
      </c>
      <c r="AP27" s="1139" t="str">
        <f t="shared" si="13"/>
        <v/>
      </c>
      <c r="AQ27" s="1139" t="str">
        <f t="shared" si="13"/>
        <v/>
      </c>
      <c r="AR27" s="1139" t="str">
        <f t="shared" si="13"/>
        <v/>
      </c>
      <c r="AS27" s="1179">
        <f t="shared" si="14"/>
        <v>0</v>
      </c>
      <c r="AT27" s="1038"/>
      <c r="AU27" s="1038"/>
      <c r="AV27" s="1800" t="s">
        <v>79</v>
      </c>
      <c r="AW27" s="1801"/>
      <c r="AX27" s="1198"/>
      <c r="AY27" s="1141">
        <f>SUMIFS($R$36:$R$67,$M$36:$M$67,"ADJ*",$P$36:$P$67,"C",$Q$36:$Q$67,"F",$L$36:$L$67,"I")</f>
        <v>0</v>
      </c>
      <c r="AZ27" s="1141">
        <f>SUMIFS($R$36:$R$67,$M$36:$M$67,"ADJ*",$P$36:$P$67,"C",$Q$36:$Q$67,"S",$L$36:$L$67,"I")</f>
        <v>0</v>
      </c>
      <c r="BA27" s="1141">
        <f>SUMIFS($R$36:$R$67,$M$36:$M$67,"ADJ*",$P$36:$P$67,"C",$Q$36:$Q$67,"L",$L$36:$L$67,"I")</f>
        <v>0</v>
      </c>
      <c r="BB27" s="1141">
        <f>SUMIFS($R$36:$R$67,$M$36:$M$67,"ADJ*",$P$36:$P$67,"C",$Q$36:$Q$67,"O",$L$36:$L$67,"I")</f>
        <v>0</v>
      </c>
      <c r="BC27" s="1141">
        <f>SUMIFS($R$36:$R$67,$M$36:$M$67,"ADJ*",$P$36:$P$67,"C",$Q$36:$Q$67,"P",$L$36:$L$67,"I")</f>
        <v>0</v>
      </c>
      <c r="BD27" s="1141">
        <f>SUMIFS($R$36:$R$67,$M$36:$M$67,"ADJ*",$P$36:$P$67,"C",$Q$36:$Q$67,"N",$L$36:$L$67,"I")</f>
        <v>0</v>
      </c>
      <c r="BE27" s="1142">
        <f t="shared" si="3"/>
        <v>0</v>
      </c>
      <c r="BF27" s="1190"/>
      <c r="BG27" s="1071"/>
      <c r="BH27" s="1072" t="s">
        <v>271</v>
      </c>
      <c r="BI27" s="1038"/>
      <c r="BJ27" s="1038"/>
      <c r="BK27" s="1088"/>
      <c r="BL27" s="1089" t="s">
        <v>127</v>
      </c>
      <c r="BM27" s="1119"/>
      <c r="BN27" s="1143">
        <f t="shared" si="15"/>
        <v>0</v>
      </c>
      <c r="BO27" s="1143">
        <f t="shared" si="15"/>
        <v>0</v>
      </c>
      <c r="BP27" s="1143">
        <f t="shared" si="16"/>
        <v>0</v>
      </c>
      <c r="BQ27" s="1143" t="str">
        <f t="shared" si="16"/>
        <v/>
      </c>
      <c r="BR27" s="1143" t="str">
        <f t="shared" si="16"/>
        <v/>
      </c>
      <c r="BS27" s="1143" t="str">
        <f t="shared" si="16"/>
        <v/>
      </c>
      <c r="BT27" s="1144">
        <f t="shared" si="17"/>
        <v>0</v>
      </c>
      <c r="BU27" s="1038"/>
      <c r="BV27" s="1038"/>
      <c r="BW27" s="36"/>
      <c r="BX27" s="36"/>
      <c r="BY27" s="36"/>
      <c r="BZ27" s="36"/>
      <c r="CA27" s="36"/>
      <c r="CB27" s="36"/>
      <c r="CC27" s="36"/>
      <c r="CD27" s="36"/>
      <c r="CE27" s="36"/>
      <c r="CF27" s="36"/>
      <c r="CG27" s="36"/>
      <c r="CH27" s="36"/>
      <c r="CI27" s="36"/>
    </row>
    <row r="28" spans="1:87" s="3" customFormat="1" ht="15" customHeight="1" thickTop="1" thickBot="1">
      <c r="A28" s="1054"/>
      <c r="B28" s="1827"/>
      <c r="C28" s="1828"/>
      <c r="D28" s="1829"/>
      <c r="E28" s="1186" t="s">
        <v>41</v>
      </c>
      <c r="F28" s="1181">
        <f t="array" ref="F28">SUM(IF(FREQUENCY(MATCH(I$36:I$67,I$36:I$67,0),IF($L$36:$L$67&amp;$O$36:$O$67&amp;$P$36:$P$67="INFAC",MATCH(I$36:I$67,I$36:I$67,0),0))&gt;0,1),0)-1</f>
        <v>1</v>
      </c>
      <c r="G28" s="1182">
        <f t="array" ref="G28">SUM(IF(FREQUENCY(MATCH(J$36:J$67,J$36:J$67,0),IF($L$36:$L$67&amp;$O$36:$O$67&amp;$P$36:$P$67="INFAC",MATCH(J$36:J$67,J$36:J$67,0),0))&gt;0,1),0)-1</f>
        <v>1</v>
      </c>
      <c r="H28" s="1183">
        <f t="array" ref="H28">F28-(SUM(IF(FREQUENCY(MATCH(I$36:I$67,I$36:I$67,0),IF($L$36:$L$67&amp;$O$36:$O$67&amp;$P$36:$P$67&amp;$S$36:$S$67="INFACY",MATCH(I$36:I$67,I$36:I$67,0),0))&gt;0,1),0)-1)</f>
        <v>1</v>
      </c>
      <c r="I28" s="1183">
        <f t="array" ref="I28">G28-(SUM(IF(FREQUENCY(MATCH(J$36:J$67,J$36:J$67,0),IF($L$36:$L$67&amp;$O$36:$O$67&amp;$P$36:$P$67&amp;$S$36:$S$67="INFACY",MATCH(J$36:J$67,J$36:J$67,0),0))&gt;0,1),0)-1)</f>
        <v>1</v>
      </c>
      <c r="J28" s="1192" t="s">
        <v>371</v>
      </c>
      <c r="K28" s="1056" t="s">
        <v>297</v>
      </c>
      <c r="L28" s="1808" t="s">
        <v>293</v>
      </c>
      <c r="M28" s="1809"/>
      <c r="N28" s="1812" t="s">
        <v>301</v>
      </c>
      <c r="O28" s="1813"/>
      <c r="P28" s="1057" t="str">
        <f>IF(AND(R28&gt;-0.01,R28&lt;0.01),"","CHECK!")</f>
        <v/>
      </c>
      <c r="Q28" s="1194"/>
      <c r="R28" s="1204">
        <f>Q19+Q20-AD19-AD20</f>
        <v>-2.384185791015625E-7</v>
      </c>
      <c r="S28" s="1205" t="s">
        <v>116</v>
      </c>
      <c r="T28" s="1206" t="s">
        <v>272</v>
      </c>
      <c r="U28" s="1812" t="s">
        <v>301</v>
      </c>
      <c r="V28" s="1813"/>
      <c r="W28" s="1057" t="str">
        <f>IF(AND(AE28&gt;-0.01,AE28&lt;0.01),"","CHECK!")</f>
        <v/>
      </c>
      <c r="X28" s="1194"/>
      <c r="Y28" s="1194"/>
      <c r="Z28" s="1194"/>
      <c r="AA28" s="1207" t="str">
        <f>IF($AD$28=0,"","CHECK TOTALS!")</f>
        <v/>
      </c>
      <c r="AB28" s="1207"/>
      <c r="AC28" s="1208"/>
      <c r="AD28" s="1194"/>
      <c r="AE28" s="1204">
        <f>AD19+AD20-Q19-Q20</f>
        <v>2.384185791015625E-7</v>
      </c>
      <c r="AF28" s="1060" t="s">
        <v>115</v>
      </c>
      <c r="AG28" s="1206" t="s">
        <v>272</v>
      </c>
      <c r="AH28" s="1038"/>
      <c r="AI28" s="1038"/>
      <c r="AJ28" s="1078" t="s">
        <v>89</v>
      </c>
      <c r="AK28" s="1079"/>
      <c r="AL28" s="1115"/>
      <c r="AM28" s="1139">
        <f t="shared" ref="AM28:AS28" si="22">SUM(AM22:AM27)</f>
        <v>7624.6380928331437</v>
      </c>
      <c r="AN28" s="1139">
        <f t="shared" si="22"/>
        <v>1882.8371696701233</v>
      </c>
      <c r="AO28" s="1139">
        <f t="shared" si="22"/>
        <v>3552.6599330368267</v>
      </c>
      <c r="AP28" s="1139">
        <f t="shared" si="22"/>
        <v>0</v>
      </c>
      <c r="AQ28" s="1139">
        <f t="shared" si="22"/>
        <v>0</v>
      </c>
      <c r="AR28" s="1139">
        <f t="shared" si="22"/>
        <v>0</v>
      </c>
      <c r="AS28" s="1179">
        <f t="shared" si="22"/>
        <v>13060.135195540093</v>
      </c>
      <c r="AT28" s="1038"/>
      <c r="AU28" s="1038"/>
      <c r="AV28" s="1804" t="s">
        <v>725</v>
      </c>
      <c r="AW28" s="1805"/>
      <c r="AX28" s="1082" t="str">
        <f>IF(AND(BF28&gt;-0.01,BF28&lt;0.01),"","CHECK!")</f>
        <v/>
      </c>
      <c r="AY28" s="1282">
        <f>'$REV-DSUM-CONV'!B926</f>
        <v>0</v>
      </c>
      <c r="AZ28" s="1282">
        <f>'$REV-DSUM-CONV'!B936</f>
        <v>0</v>
      </c>
      <c r="BA28" s="1282">
        <f>'$REV-DSUM-CONV'!B946</f>
        <v>0</v>
      </c>
      <c r="BB28" s="1283">
        <f>'$REV-DSUM-CONV'!B956</f>
        <v>0</v>
      </c>
      <c r="BC28" s="1283">
        <f>'$REV-DSUM-CONV'!B966</f>
        <v>0</v>
      </c>
      <c r="BD28" s="1284">
        <f>'$REV-DSUM-CONV'!B976</f>
        <v>0</v>
      </c>
      <c r="BE28" s="1285">
        <f>SUM(AY28:BD28)</f>
        <v>0</v>
      </c>
      <c r="BF28" s="1286">
        <f>BE28-'$REV-DSUM-CONV'!B916</f>
        <v>0</v>
      </c>
      <c r="BG28" s="1086" t="s">
        <v>300</v>
      </c>
      <c r="BH28" s="1209" t="s">
        <v>272</v>
      </c>
      <c r="BI28" s="1038"/>
      <c r="BJ28" s="1038"/>
      <c r="BK28" s="1088" t="s">
        <v>89</v>
      </c>
      <c r="BL28" s="1089"/>
      <c r="BM28" s="1119"/>
      <c r="BN28" s="1143">
        <f t="shared" ref="BN28:BT28" si="23">SUM(BN22:BN27)</f>
        <v>7624.6380928331437</v>
      </c>
      <c r="BO28" s="1143">
        <f t="shared" si="23"/>
        <v>1882.8371696701233</v>
      </c>
      <c r="BP28" s="1143">
        <f t="shared" si="23"/>
        <v>3552.6599330368267</v>
      </c>
      <c r="BQ28" s="1143">
        <f t="shared" si="23"/>
        <v>0</v>
      </c>
      <c r="BR28" s="1143">
        <f t="shared" si="23"/>
        <v>0</v>
      </c>
      <c r="BS28" s="1143">
        <f t="shared" si="23"/>
        <v>0</v>
      </c>
      <c r="BT28" s="1144">
        <f t="shared" si="23"/>
        <v>13060.135195540093</v>
      </c>
      <c r="BU28" s="1038"/>
      <c r="BV28" s="1038"/>
      <c r="BW28" s="36"/>
      <c r="BX28" s="36"/>
      <c r="BY28" s="36"/>
      <c r="BZ28" s="36"/>
      <c r="CA28" s="36"/>
      <c r="CB28" s="36"/>
      <c r="CC28" s="36"/>
      <c r="CD28" s="36"/>
      <c r="CE28" s="36"/>
      <c r="CF28" s="36"/>
      <c r="CG28" s="36"/>
      <c r="CH28" s="36"/>
      <c r="CI28" s="36"/>
    </row>
    <row r="29" spans="1:87" s="3" customFormat="1" ht="15" customHeight="1" thickTop="1" thickBot="1">
      <c r="A29" s="1054"/>
      <c r="B29" s="1827"/>
      <c r="C29" s="1828"/>
      <c r="D29" s="1829"/>
      <c r="E29" s="1210" t="s">
        <v>561</v>
      </c>
      <c r="F29" s="1211">
        <f>SUM(F23:F28)</f>
        <v>3</v>
      </c>
      <c r="G29" s="1212">
        <f>SUM(G23:G28)</f>
        <v>3</v>
      </c>
      <c r="H29" s="1167">
        <f>SUM(H23:H28)</f>
        <v>3</v>
      </c>
      <c r="I29" s="1167">
        <f>SUM(I23:I28)</f>
        <v>3</v>
      </c>
      <c r="J29" s="1133"/>
      <c r="K29" s="1056" t="s">
        <v>298</v>
      </c>
      <c r="L29" s="1808" t="s">
        <v>294</v>
      </c>
      <c r="M29" s="1809"/>
      <c r="N29" s="1814" t="s">
        <v>93</v>
      </c>
      <c r="O29" s="1815"/>
      <c r="P29" s="1057" t="str">
        <f>IF(AND(R29&gt;-0.01,R29&lt;0.01),"","CHECK!")</f>
        <v/>
      </c>
      <c r="Q29" s="1213"/>
      <c r="R29" s="1059">
        <f>Q21+Q22-AD21-AD22</f>
        <v>0</v>
      </c>
      <c r="S29" s="1205" t="s">
        <v>116</v>
      </c>
      <c r="T29" s="1061" t="s">
        <v>273</v>
      </c>
      <c r="U29" s="1814" t="s">
        <v>93</v>
      </c>
      <c r="V29" s="1815"/>
      <c r="W29" s="1057" t="str">
        <f>IF(AND(AE29&gt;-0.01,AE29&lt;0.01),"","CHECK!")</f>
        <v/>
      </c>
      <c r="X29" s="1058"/>
      <c r="Y29" s="1058"/>
      <c r="Z29" s="1058"/>
      <c r="AA29" s="1214" t="str">
        <f>IF($AD$29=0,"","CHECK TOTALS!")</f>
        <v/>
      </c>
      <c r="AB29" s="1214"/>
      <c r="AC29" s="1215"/>
      <c r="AD29" s="1058"/>
      <c r="AE29" s="1059">
        <f>AD21+AD22-Q21-Q22</f>
        <v>0</v>
      </c>
      <c r="AF29" s="1060" t="s">
        <v>115</v>
      </c>
      <c r="AG29" s="1061" t="s">
        <v>273</v>
      </c>
      <c r="AH29" s="1038"/>
      <c r="AI29" s="1038"/>
      <c r="AJ29" s="1122"/>
      <c r="AK29" s="1123"/>
      <c r="AL29" s="1123"/>
      <c r="AM29" s="1216"/>
      <c r="AN29" s="1216"/>
      <c r="AO29" s="1216"/>
      <c r="AP29" s="1216"/>
      <c r="AQ29" s="1216"/>
      <c r="AR29" s="1216"/>
      <c r="AS29" s="1217"/>
      <c r="AT29" s="1038"/>
      <c r="AU29" s="1038"/>
      <c r="AV29" s="1794"/>
      <c r="AW29" s="1799"/>
      <c r="AX29" s="1082" t="str">
        <f>IF(AND(BF29&gt;-0.01,BF29&lt;0.01),"","CHECK!")</f>
        <v/>
      </c>
      <c r="AY29" s="1083"/>
      <c r="AZ29" s="1083"/>
      <c r="BA29" s="1083"/>
      <c r="BB29" s="1218"/>
      <c r="BC29" s="1218"/>
      <c r="BD29" s="1287"/>
      <c r="BE29" s="1288" t="s">
        <v>726</v>
      </c>
      <c r="BF29" s="1289">
        <f>Q$23-BE$23+BE$28</f>
        <v>0</v>
      </c>
      <c r="BG29" s="1086" t="s">
        <v>71</v>
      </c>
      <c r="BH29" s="1087" t="s">
        <v>273</v>
      </c>
      <c r="BI29" s="1038"/>
      <c r="BJ29" s="1038"/>
      <c r="BK29" s="1128"/>
      <c r="BL29" s="1129"/>
      <c r="BM29" s="1129"/>
      <c r="BN29" s="1219"/>
      <c r="BO29" s="1219"/>
      <c r="BP29" s="1219"/>
      <c r="BQ29" s="1219"/>
      <c r="BR29" s="1219"/>
      <c r="BS29" s="1219"/>
      <c r="BT29" s="1220"/>
      <c r="BU29" s="1038"/>
      <c r="BV29" s="1038"/>
      <c r="BW29" s="36"/>
      <c r="BX29" s="36"/>
      <c r="BY29" s="36"/>
      <c r="BZ29" s="36"/>
      <c r="CA29" s="36"/>
      <c r="CB29" s="36"/>
      <c r="CC29" s="36"/>
      <c r="CD29" s="36"/>
      <c r="CE29" s="36"/>
      <c r="CF29" s="36"/>
      <c r="CG29" s="36"/>
      <c r="CH29" s="36"/>
      <c r="CI29" s="36"/>
    </row>
    <row r="30" spans="1:87" s="3" customFormat="1" ht="15" customHeight="1" thickTop="1" thickBot="1">
      <c r="A30" s="1054"/>
      <c r="B30" s="1830" t="s">
        <v>562</v>
      </c>
      <c r="C30" s="1831"/>
      <c r="D30" s="1831"/>
      <c r="E30" s="1831"/>
      <c r="F30" s="1831"/>
      <c r="G30" s="1831"/>
      <c r="H30" s="1831"/>
      <c r="I30" s="1832"/>
      <c r="J30" s="1170"/>
      <c r="K30" s="1221" t="s">
        <v>39</v>
      </c>
      <c r="L30" s="1808" t="s">
        <v>295</v>
      </c>
      <c r="M30" s="1809"/>
      <c r="N30" s="1810" t="s">
        <v>94</v>
      </c>
      <c r="O30" s="1811"/>
      <c r="P30" s="1222"/>
      <c r="Q30" s="1222"/>
      <c r="R30" s="1187">
        <f>Q23+Q24-AD23-AD24</f>
        <v>0</v>
      </c>
      <c r="S30" s="1123" t="s">
        <v>116</v>
      </c>
      <c r="T30" s="1202" t="s">
        <v>90</v>
      </c>
      <c r="U30" s="1810" t="s">
        <v>94</v>
      </c>
      <c r="V30" s="1811"/>
      <c r="W30" s="1188"/>
      <c r="X30" s="1188"/>
      <c r="Y30" s="1188"/>
      <c r="Z30" s="1188"/>
      <c r="AA30" s="1188"/>
      <c r="AB30" s="1188"/>
      <c r="AC30" s="1223"/>
      <c r="AD30" s="1188"/>
      <c r="AE30" s="1187">
        <f>AD23+AD24-Q23-Q24</f>
        <v>0</v>
      </c>
      <c r="AF30" s="1093" t="s">
        <v>115</v>
      </c>
      <c r="AG30" s="1202" t="s">
        <v>90</v>
      </c>
      <c r="AH30" s="1038"/>
      <c r="AI30" s="1038"/>
      <c r="AJ30" s="1038"/>
      <c r="AK30" s="1038"/>
      <c r="AL30" s="1038"/>
      <c r="AM30" s="1038"/>
      <c r="AN30" s="1038"/>
      <c r="AO30" s="1038"/>
      <c r="AP30" s="1038"/>
      <c r="AQ30" s="1038"/>
      <c r="AR30" s="1038"/>
      <c r="AS30" s="1038"/>
      <c r="AT30" s="1038"/>
      <c r="AU30" s="1038"/>
      <c r="AV30" s="1800"/>
      <c r="AW30" s="1801"/>
      <c r="AX30" s="1290" t="str">
        <f>IF(AND(BF30&gt;-0.01,BF30&lt;0.01),"","CHECK!")</f>
        <v/>
      </c>
      <c r="AY30" s="1141"/>
      <c r="AZ30" s="1141"/>
      <c r="BA30" s="1141"/>
      <c r="BB30" s="1141"/>
      <c r="BC30" s="1141"/>
      <c r="BD30" s="1291"/>
      <c r="BE30" s="1292" t="s">
        <v>727</v>
      </c>
      <c r="BF30" s="1293">
        <f>Q$24-BE$24-BE$28</f>
        <v>0</v>
      </c>
      <c r="BG30" s="1071" t="s">
        <v>71</v>
      </c>
      <c r="BH30" s="1072" t="s">
        <v>90</v>
      </c>
      <c r="BI30" s="1038"/>
      <c r="BJ30" s="1038"/>
      <c r="BK30" s="1038"/>
      <c r="BL30" s="1038"/>
      <c r="BM30" s="1038"/>
      <c r="BN30" s="1038"/>
      <c r="BO30" s="1038"/>
      <c r="BP30" s="1038"/>
      <c r="BQ30" s="1038"/>
      <c r="BR30" s="1038"/>
      <c r="BS30" s="1038"/>
      <c r="BT30" s="1038"/>
      <c r="BU30" s="1038"/>
      <c r="BV30" s="1038"/>
      <c r="BW30" s="36"/>
      <c r="BX30" s="36"/>
      <c r="BY30" s="36"/>
      <c r="BZ30" s="36"/>
      <c r="CA30" s="36"/>
      <c r="CB30" s="36"/>
      <c r="CC30" s="36"/>
      <c r="CD30" s="36"/>
      <c r="CE30" s="36"/>
      <c r="CF30" s="36"/>
      <c r="CG30" s="36"/>
      <c r="CH30" s="36"/>
      <c r="CI30" s="36"/>
    </row>
    <row r="31" spans="1:87" s="3" customFormat="1" ht="15" customHeight="1" thickTop="1" thickBot="1">
      <c r="A31" s="1224"/>
      <c r="B31" s="1224"/>
      <c r="C31" s="1224"/>
      <c r="D31" s="1054"/>
      <c r="E31" s="1054"/>
      <c r="F31" s="1054"/>
      <c r="G31" s="1054"/>
      <c r="H31" s="1054"/>
      <c r="I31" s="1225"/>
      <c r="J31" s="1226"/>
      <c r="K31" s="1227"/>
      <c r="L31" s="1228"/>
      <c r="M31" s="1228"/>
      <c r="N31" s="1227"/>
      <c r="O31" s="1227"/>
      <c r="P31" s="1229"/>
      <c r="Q31" s="1230"/>
      <c r="R31" s="1231"/>
      <c r="S31" s="1231"/>
      <c r="T31" s="1797" t="s">
        <v>557</v>
      </c>
      <c r="U31" s="1798"/>
      <c r="V31" s="1798"/>
      <c r="W31" s="1798"/>
      <c r="X31" s="1798"/>
      <c r="Y31" s="1798"/>
      <c r="Z31" s="1798"/>
      <c r="AA31" s="1798"/>
      <c r="AB31" s="1798"/>
      <c r="AC31" s="1798"/>
      <c r="AD31" s="1798"/>
      <c r="AE31" s="1798"/>
      <c r="AF31" s="1798"/>
      <c r="AG31" s="1798"/>
      <c r="AH31" s="1038"/>
      <c r="AI31" s="1226"/>
      <c r="AJ31" s="1038"/>
      <c r="AK31" s="1038"/>
      <c r="AL31" s="1038"/>
      <c r="AM31" s="1038"/>
      <c r="AN31" s="1038"/>
      <c r="AO31" s="1038"/>
      <c r="AP31" s="1038"/>
      <c r="AQ31" s="1038"/>
      <c r="AR31" s="1038"/>
      <c r="AS31" s="1038"/>
      <c r="AT31" s="1038"/>
      <c r="AU31" s="1038"/>
      <c r="AV31" s="1038"/>
      <c r="AW31" s="1038"/>
      <c r="AX31" s="1038"/>
      <c r="AY31" s="1038"/>
      <c r="AZ31" s="1038"/>
      <c r="BA31" s="1038"/>
      <c r="BB31" s="1038"/>
      <c r="BC31" s="1038"/>
      <c r="BD31" s="1038"/>
      <c r="BE31" s="1038"/>
      <c r="BF31" s="1038"/>
      <c r="BG31" s="1038"/>
      <c r="BH31" s="1038"/>
      <c r="BI31" s="1038"/>
      <c r="BJ31" s="1038"/>
      <c r="BK31" s="1038"/>
      <c r="BL31" s="1038"/>
      <c r="BM31" s="1038"/>
      <c r="BN31" s="1038"/>
      <c r="BO31" s="1038"/>
      <c r="BP31" s="1038"/>
      <c r="BQ31" s="1038"/>
      <c r="BR31" s="1038"/>
      <c r="BS31" s="1038"/>
      <c r="BT31" s="1038"/>
      <c r="BU31" s="1038"/>
      <c r="BV31" s="1038"/>
      <c r="BW31" s="36"/>
      <c r="BX31" s="36"/>
      <c r="BY31" s="36"/>
      <c r="BZ31" s="36"/>
      <c r="CA31" s="36"/>
      <c r="CB31" s="36"/>
      <c r="CC31" s="36"/>
      <c r="CD31" s="36"/>
      <c r="CE31" s="36"/>
      <c r="CF31" s="36"/>
      <c r="CG31" s="36"/>
      <c r="CH31" s="36"/>
      <c r="CI31" s="36"/>
    </row>
    <row r="32" spans="1:87" s="3" customFormat="1" ht="15.95" customHeight="1" thickTop="1" thickBot="1">
      <c r="A32" s="1232" t="s">
        <v>137</v>
      </c>
      <c r="B32" s="1232" t="s">
        <v>30</v>
      </c>
      <c r="C32" s="1232" t="s">
        <v>147</v>
      </c>
      <c r="D32" s="1102" t="s">
        <v>138</v>
      </c>
      <c r="E32" s="1102" t="s">
        <v>31</v>
      </c>
      <c r="F32" s="1102" t="s">
        <v>180</v>
      </c>
      <c r="G32" s="1102" t="s">
        <v>32</v>
      </c>
      <c r="H32" s="1102" t="s">
        <v>33</v>
      </c>
      <c r="I32" s="1102" t="s">
        <v>34</v>
      </c>
      <c r="J32" s="1102" t="s">
        <v>35</v>
      </c>
      <c r="K32" s="1103" t="s">
        <v>36</v>
      </c>
      <c r="L32" s="1233" t="s">
        <v>179</v>
      </c>
      <c r="M32" s="1233" t="s">
        <v>37</v>
      </c>
      <c r="N32" s="1233" t="s">
        <v>140</v>
      </c>
      <c r="O32" s="1233" t="s">
        <v>2</v>
      </c>
      <c r="P32" s="1233" t="s">
        <v>70</v>
      </c>
      <c r="Q32" s="1233" t="s">
        <v>71</v>
      </c>
      <c r="R32" s="1233" t="s">
        <v>97</v>
      </c>
      <c r="S32" s="1234" t="s">
        <v>139</v>
      </c>
      <c r="T32" s="1048" t="s">
        <v>98</v>
      </c>
      <c r="U32" s="1102" t="s">
        <v>99</v>
      </c>
      <c r="V32" s="1102" t="s">
        <v>100</v>
      </c>
      <c r="W32" s="1102" t="s">
        <v>101</v>
      </c>
      <c r="X32" s="1102" t="s">
        <v>102</v>
      </c>
      <c r="Y32" s="1102" t="s">
        <v>103</v>
      </c>
      <c r="Z32" s="1102" t="s">
        <v>104</v>
      </c>
      <c r="AA32" s="1102" t="s">
        <v>105</v>
      </c>
      <c r="AB32" s="1102" t="s">
        <v>106</v>
      </c>
      <c r="AC32" s="1102" t="s">
        <v>107</v>
      </c>
      <c r="AD32" s="1102" t="s">
        <v>108</v>
      </c>
      <c r="AE32" s="1102" t="s">
        <v>109</v>
      </c>
      <c r="AF32" s="1102" t="s">
        <v>110</v>
      </c>
      <c r="AG32" s="1102" t="s">
        <v>205</v>
      </c>
      <c r="AH32" s="1038"/>
      <c r="AI32" s="1038"/>
      <c r="AJ32" s="1226"/>
      <c r="AK32" s="1226"/>
      <c r="AL32" s="1226"/>
      <c r="AM32" s="1226"/>
      <c r="AN32" s="1226"/>
      <c r="AO32" s="1226"/>
      <c r="AP32" s="1226"/>
      <c r="AQ32" s="1226"/>
      <c r="AR32" s="1226"/>
      <c r="AS32" s="1226"/>
      <c r="AT32" s="1226"/>
      <c r="AU32" s="1038"/>
      <c r="AV32" s="1038"/>
      <c r="AW32" s="1038"/>
      <c r="AX32" s="1038"/>
      <c r="AY32" s="1038"/>
      <c r="AZ32" s="1038"/>
      <c r="BA32" s="1038"/>
      <c r="BB32" s="1038"/>
      <c r="BC32" s="1038"/>
      <c r="BD32" s="1038"/>
      <c r="BE32" s="1038"/>
      <c r="BF32" s="1038"/>
      <c r="BG32" s="1038"/>
      <c r="BH32" s="1038"/>
      <c r="BI32" s="1038"/>
      <c r="BJ32" s="1038"/>
      <c r="BK32" s="1038"/>
      <c r="BL32" s="1038"/>
      <c r="BM32" s="1038"/>
      <c r="BN32" s="1038"/>
      <c r="BO32" s="1038"/>
      <c r="BP32" s="1038"/>
      <c r="BQ32" s="1038"/>
      <c r="BR32" s="1038"/>
      <c r="BS32" s="1038"/>
      <c r="BT32" s="1038"/>
      <c r="BU32" s="1038"/>
      <c r="BV32" s="1038"/>
      <c r="BW32" s="36"/>
      <c r="BX32" s="36"/>
      <c r="BY32" s="36"/>
      <c r="BZ32" s="36"/>
      <c r="CA32" s="36"/>
      <c r="CB32" s="36"/>
      <c r="CC32" s="36"/>
      <c r="CD32" s="36"/>
      <c r="CE32" s="36"/>
      <c r="CF32" s="36"/>
      <c r="CG32" s="36"/>
      <c r="CH32" s="36"/>
      <c r="CI32" s="36"/>
    </row>
    <row r="33" spans="1:87" s="3" customFormat="1" ht="15.95" customHeight="1" thickTop="1" thickBot="1">
      <c r="A33" s="1235" t="s">
        <v>96</v>
      </c>
      <c r="B33" s="1236"/>
      <c r="C33" s="1237"/>
      <c r="D33" s="1238">
        <f t="shared" ref="D33:AG33" si="24">COUNTBLANK(D36:D67)-2</f>
        <v>30</v>
      </c>
      <c r="E33" s="1238">
        <f t="shared" si="24"/>
        <v>30</v>
      </c>
      <c r="F33" s="1238">
        <f t="shared" si="24"/>
        <v>30</v>
      </c>
      <c r="G33" s="1238">
        <f t="shared" si="24"/>
        <v>30</v>
      </c>
      <c r="H33" s="1238">
        <f t="shared" si="24"/>
        <v>30</v>
      </c>
      <c r="I33" s="1238">
        <f>COUNTBLANK(I36:I67)</f>
        <v>22</v>
      </c>
      <c r="J33" s="1238">
        <f>COUNTBLANK(J36:J67)</f>
        <v>3</v>
      </c>
      <c r="K33" s="1239">
        <f t="shared" si="24"/>
        <v>30</v>
      </c>
      <c r="L33" s="1240">
        <f t="shared" si="24"/>
        <v>3</v>
      </c>
      <c r="M33" s="1240">
        <f t="shared" si="24"/>
        <v>3</v>
      </c>
      <c r="N33" s="1240">
        <f t="shared" si="24"/>
        <v>3</v>
      </c>
      <c r="O33" s="1240">
        <f t="shared" si="24"/>
        <v>3</v>
      </c>
      <c r="P33" s="1240">
        <f t="shared" si="24"/>
        <v>3</v>
      </c>
      <c r="Q33" s="1240">
        <f t="shared" si="24"/>
        <v>3</v>
      </c>
      <c r="R33" s="1240">
        <f t="shared" si="24"/>
        <v>3</v>
      </c>
      <c r="S33" s="1241">
        <f t="shared" si="24"/>
        <v>3</v>
      </c>
      <c r="T33" s="1242">
        <f t="shared" si="24"/>
        <v>30</v>
      </c>
      <c r="U33" s="1238">
        <f t="shared" si="24"/>
        <v>30</v>
      </c>
      <c r="V33" s="1238">
        <f t="shared" si="24"/>
        <v>30</v>
      </c>
      <c r="W33" s="1238">
        <f t="shared" si="24"/>
        <v>30</v>
      </c>
      <c r="X33" s="1238">
        <f t="shared" si="24"/>
        <v>30</v>
      </c>
      <c r="Y33" s="1238">
        <f t="shared" si="24"/>
        <v>30</v>
      </c>
      <c r="Z33" s="1238">
        <f t="shared" si="24"/>
        <v>30</v>
      </c>
      <c r="AA33" s="1238">
        <f t="shared" si="24"/>
        <v>30</v>
      </c>
      <c r="AB33" s="1238">
        <f t="shared" si="24"/>
        <v>30</v>
      </c>
      <c r="AC33" s="1238">
        <f t="shared" si="24"/>
        <v>30</v>
      </c>
      <c r="AD33" s="1238">
        <f t="shared" si="24"/>
        <v>30</v>
      </c>
      <c r="AE33" s="1238">
        <f t="shared" si="24"/>
        <v>30</v>
      </c>
      <c r="AF33" s="1238">
        <f t="shared" si="24"/>
        <v>30</v>
      </c>
      <c r="AG33" s="1238">
        <f t="shared" si="24"/>
        <v>30</v>
      </c>
      <c r="AH33" s="1038"/>
      <c r="AI33" s="1038"/>
      <c r="AJ33" s="1226"/>
      <c r="AK33" s="1226"/>
      <c r="AL33" s="1226"/>
      <c r="AM33" s="1226"/>
      <c r="AN33" s="1226"/>
      <c r="AO33" s="1226"/>
      <c r="AP33" s="1226"/>
      <c r="AQ33" s="1226"/>
      <c r="AR33" s="1226"/>
      <c r="AS33" s="1226"/>
      <c r="AT33" s="1038"/>
      <c r="AU33" s="1038"/>
      <c r="AV33" s="1038"/>
      <c r="AW33" s="1038"/>
      <c r="AX33" s="1038"/>
      <c r="AY33" s="1038"/>
      <c r="AZ33" s="1038"/>
      <c r="BA33" s="1038"/>
      <c r="BB33" s="1038"/>
      <c r="BC33" s="1038"/>
      <c r="BD33" s="1038"/>
      <c r="BE33" s="1038"/>
      <c r="BF33" s="1038"/>
      <c r="BG33" s="1038"/>
      <c r="BH33" s="1038"/>
      <c r="BI33" s="1038"/>
      <c r="BJ33" s="1038"/>
      <c r="BK33" s="1038"/>
      <c r="BL33" s="1038"/>
      <c r="BM33" s="1038"/>
      <c r="BN33" s="1038"/>
      <c r="BO33" s="1038"/>
      <c r="BP33" s="1038"/>
      <c r="BQ33" s="1038"/>
      <c r="BR33" s="1038"/>
      <c r="BS33" s="1038"/>
      <c r="BT33" s="1038"/>
      <c r="BU33" s="1038"/>
      <c r="BV33" s="1038"/>
      <c r="BW33" s="36"/>
      <c r="BX33" s="36"/>
      <c r="BY33" s="36"/>
      <c r="BZ33" s="36"/>
      <c r="CA33" s="36"/>
      <c r="CB33" s="36"/>
      <c r="CC33" s="36"/>
      <c r="CD33" s="36"/>
      <c r="CE33" s="36"/>
      <c r="CF33" s="36"/>
      <c r="CG33" s="36"/>
      <c r="CH33" s="36"/>
      <c r="CI33" s="36"/>
    </row>
    <row r="34" spans="1:87" s="3" customFormat="1" ht="15.95" customHeight="1" thickTop="1" thickBot="1">
      <c r="A34" s="1205"/>
      <c r="B34" s="1060" t="s">
        <v>204</v>
      </c>
      <c r="C34" s="1205"/>
      <c r="D34" s="1819" t="s">
        <v>185</v>
      </c>
      <c r="E34" s="1819"/>
      <c r="F34" s="1819"/>
      <c r="G34" s="1819"/>
      <c r="H34" s="1819" t="s">
        <v>181</v>
      </c>
      <c r="I34" s="1819"/>
      <c r="J34" s="1819"/>
      <c r="K34" s="1820"/>
      <c r="L34" s="1821" t="s">
        <v>202</v>
      </c>
      <c r="M34" s="1822"/>
      <c r="N34" s="1822"/>
      <c r="O34" s="1822"/>
      <c r="P34" s="1822"/>
      <c r="Q34" s="1822"/>
      <c r="R34" s="1822"/>
      <c r="S34" s="1823"/>
      <c r="T34" s="1243" t="s">
        <v>541</v>
      </c>
      <c r="U34" s="1243" t="s">
        <v>542</v>
      </c>
      <c r="V34" s="1243" t="s">
        <v>543</v>
      </c>
      <c r="W34" s="1243" t="s">
        <v>544</v>
      </c>
      <c r="X34" s="1243" t="s">
        <v>545</v>
      </c>
      <c r="Y34" s="1243" t="s">
        <v>546</v>
      </c>
      <c r="Z34" s="1243" t="s">
        <v>547</v>
      </c>
      <c r="AA34" s="1243" t="s">
        <v>548</v>
      </c>
      <c r="AB34" s="1243" t="s">
        <v>549</v>
      </c>
      <c r="AC34" s="1243" t="s">
        <v>550</v>
      </c>
      <c r="AD34" s="1243" t="s">
        <v>551</v>
      </c>
      <c r="AE34" s="1243" t="s">
        <v>552</v>
      </c>
      <c r="AF34" s="1243" t="s">
        <v>553</v>
      </c>
      <c r="AG34" s="1243" t="s">
        <v>554</v>
      </c>
      <c r="AH34" s="1038"/>
      <c r="AI34" s="1038"/>
      <c r="AJ34" s="1226"/>
      <c r="AK34" s="1226"/>
      <c r="AL34" s="1226"/>
      <c r="AM34" s="1226"/>
      <c r="AN34" s="1226"/>
      <c r="AO34" s="1226"/>
      <c r="AP34" s="1226"/>
      <c r="AQ34" s="1226"/>
      <c r="AR34" s="1226"/>
      <c r="AS34" s="1226"/>
      <c r="AT34" s="1038"/>
      <c r="AU34" s="1038"/>
      <c r="AV34" s="1038"/>
      <c r="AW34" s="1038"/>
      <c r="AX34" s="1038"/>
      <c r="AY34" s="1038"/>
      <c r="AZ34" s="1038"/>
      <c r="BA34" s="1038"/>
      <c r="BB34" s="1038"/>
      <c r="BC34" s="1038"/>
      <c r="BD34" s="1038"/>
      <c r="BE34" s="1038"/>
      <c r="BF34" s="1038"/>
      <c r="BG34" s="1038"/>
      <c r="BH34" s="1038"/>
      <c r="BI34" s="1038"/>
      <c r="BJ34" s="1038"/>
      <c r="BK34" s="1038"/>
      <c r="BL34" s="1038"/>
      <c r="BM34" s="1038"/>
      <c r="BN34" s="1038"/>
      <c r="BO34" s="1038"/>
      <c r="BP34" s="1038"/>
      <c r="BQ34" s="1038"/>
      <c r="BR34" s="1038"/>
      <c r="BS34" s="1038"/>
      <c r="BT34" s="1038"/>
      <c r="BU34" s="1038"/>
      <c r="BV34" s="1038"/>
      <c r="BW34" s="36"/>
      <c r="BX34" s="36"/>
      <c r="BY34" s="36"/>
      <c r="BZ34" s="36"/>
      <c r="CA34" s="36"/>
      <c r="CB34" s="36"/>
      <c r="CC34" s="36"/>
      <c r="CD34" s="36"/>
      <c r="CE34" s="36"/>
      <c r="CF34" s="36"/>
      <c r="CG34" s="36"/>
      <c r="CH34" s="36"/>
      <c r="CI34" s="36"/>
    </row>
    <row r="35" spans="1:87" s="3" customFormat="1" ht="15.95" customHeight="1" thickTop="1" thickBot="1">
      <c r="A35" s="1244" t="s">
        <v>137</v>
      </c>
      <c r="B35" s="1244" t="s">
        <v>30</v>
      </c>
      <c r="C35" s="1244" t="s">
        <v>147</v>
      </c>
      <c r="D35" s="1245" t="s">
        <v>186</v>
      </c>
      <c r="E35" s="1245" t="s">
        <v>187</v>
      </c>
      <c r="F35" s="1245" t="s">
        <v>188</v>
      </c>
      <c r="G35" s="1245" t="s">
        <v>189</v>
      </c>
      <c r="H35" s="1245" t="s">
        <v>11</v>
      </c>
      <c r="I35" s="1245" t="s">
        <v>190</v>
      </c>
      <c r="J35" s="1245" t="s">
        <v>191</v>
      </c>
      <c r="K35" s="1246" t="s">
        <v>192</v>
      </c>
      <c r="L35" s="1247" t="s">
        <v>203</v>
      </c>
      <c r="M35" s="1247" t="s">
        <v>42</v>
      </c>
      <c r="N35" s="1247" t="s">
        <v>148</v>
      </c>
      <c r="O35" s="1247" t="s">
        <v>193</v>
      </c>
      <c r="P35" s="1247" t="s">
        <v>142</v>
      </c>
      <c r="Q35" s="1247" t="s">
        <v>194</v>
      </c>
      <c r="R35" s="1248" t="s">
        <v>141</v>
      </c>
      <c r="S35" s="1249" t="s">
        <v>672</v>
      </c>
      <c r="T35" s="1048" t="s">
        <v>541</v>
      </c>
      <c r="U35" s="1102" t="s">
        <v>542</v>
      </c>
      <c r="V35" s="1102" t="s">
        <v>543</v>
      </c>
      <c r="W35" s="1102" t="s">
        <v>544</v>
      </c>
      <c r="X35" s="1102" t="s">
        <v>545</v>
      </c>
      <c r="Y35" s="1102" t="s">
        <v>546</v>
      </c>
      <c r="Z35" s="1102" t="s">
        <v>547</v>
      </c>
      <c r="AA35" s="1102" t="s">
        <v>548</v>
      </c>
      <c r="AB35" s="1102" t="s">
        <v>549</v>
      </c>
      <c r="AC35" s="1102" t="s">
        <v>550</v>
      </c>
      <c r="AD35" s="1102" t="s">
        <v>551</v>
      </c>
      <c r="AE35" s="1102" t="s">
        <v>552</v>
      </c>
      <c r="AF35" s="1102" t="s">
        <v>553</v>
      </c>
      <c r="AG35" s="1102" t="s">
        <v>554</v>
      </c>
      <c r="AH35" s="1038"/>
      <c r="AI35" s="1038"/>
      <c r="AJ35" s="1226"/>
      <c r="AK35" s="1226"/>
      <c r="AL35" s="1226"/>
      <c r="AM35" s="1226"/>
      <c r="AN35" s="1226"/>
      <c r="AO35" s="1226"/>
      <c r="AP35" s="1226"/>
      <c r="AQ35" s="1226"/>
      <c r="AR35" s="1226"/>
      <c r="AS35" s="1226"/>
      <c r="AT35" s="1038"/>
      <c r="AU35" s="1038"/>
      <c r="AV35" s="1038"/>
      <c r="AW35" s="1038"/>
      <c r="AX35" s="1038"/>
      <c r="AY35" s="1038"/>
      <c r="AZ35" s="1038"/>
      <c r="BA35" s="1038"/>
      <c r="BB35" s="1038"/>
      <c r="BC35" s="1038"/>
      <c r="BD35" s="1038"/>
      <c r="BE35" s="1038"/>
      <c r="BF35" s="1038"/>
      <c r="BG35" s="1038"/>
      <c r="BH35" s="1038"/>
      <c r="BI35" s="1038"/>
      <c r="BJ35" s="1038"/>
      <c r="BK35" s="1038"/>
      <c r="BL35" s="1038"/>
      <c r="BM35" s="1038"/>
      <c r="BN35" s="1038"/>
      <c r="BO35" s="1038"/>
      <c r="BP35" s="1038"/>
      <c r="BQ35" s="1038"/>
      <c r="BR35" s="1038"/>
      <c r="BS35" s="1038"/>
      <c r="BT35" s="1038"/>
      <c r="BU35" s="1038"/>
      <c r="BV35" s="1038"/>
      <c r="BW35" s="36"/>
      <c r="BX35" s="36"/>
      <c r="BY35" s="36"/>
      <c r="BZ35" s="36"/>
      <c r="CA35" s="36"/>
      <c r="CB35" s="36"/>
      <c r="CC35" s="36"/>
      <c r="CD35" s="36"/>
      <c r="CE35" s="36"/>
      <c r="CF35" s="36"/>
      <c r="CG35" s="36"/>
      <c r="CH35" s="36"/>
      <c r="CI35" s="36"/>
    </row>
    <row r="36" spans="1:87" s="3" customFormat="1" ht="15.95" customHeight="1">
      <c r="A36" s="1250" t="s">
        <v>567</v>
      </c>
      <c r="B36" s="1251"/>
      <c r="C36" s="1250"/>
      <c r="D36" s="1252"/>
      <c r="E36" s="1252"/>
      <c r="F36" s="1252"/>
      <c r="G36" s="1252"/>
      <c r="H36" s="1253"/>
      <c r="I36" s="1254">
        <v>0</v>
      </c>
      <c r="J36" s="1254">
        <v>0</v>
      </c>
      <c r="K36" s="1250"/>
      <c r="L36" s="1252"/>
      <c r="M36" s="1253"/>
      <c r="N36" s="1253"/>
      <c r="O36" s="1252"/>
      <c r="P36" s="1252"/>
      <c r="Q36" s="1252"/>
      <c r="R36" s="1255"/>
      <c r="S36" s="1252"/>
      <c r="T36" s="1250"/>
      <c r="U36" s="1252"/>
      <c r="V36" s="1252"/>
      <c r="W36" s="1252"/>
      <c r="X36" s="1252"/>
      <c r="Y36" s="1252"/>
      <c r="Z36" s="1252"/>
      <c r="AA36" s="1252"/>
      <c r="AB36" s="1252"/>
      <c r="AC36" s="1252"/>
      <c r="AD36" s="1252"/>
      <c r="AE36" s="1252"/>
      <c r="AF36" s="1252"/>
      <c r="AG36" s="1252"/>
      <c r="AH36" s="1256"/>
      <c r="AI36" s="1257"/>
      <c r="AJ36" s="1257"/>
      <c r="AK36" s="1257"/>
      <c r="AL36" s="1257"/>
      <c r="AM36" s="1257"/>
      <c r="AN36" s="1257"/>
      <c r="AO36" s="1257"/>
      <c r="AP36" s="1257"/>
      <c r="AQ36" s="1257"/>
      <c r="AR36" s="1257"/>
      <c r="AS36" s="1257"/>
      <c r="AT36" s="1257"/>
      <c r="AU36" s="1258"/>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row>
    <row r="37" spans="1:87" s="1297" customFormat="1">
      <c r="I37" s="1297">
        <v>660</v>
      </c>
      <c r="J37" s="1297" t="s">
        <v>811</v>
      </c>
      <c r="L37" s="1297" t="s">
        <v>34</v>
      </c>
      <c r="M37" s="1297" t="s">
        <v>1833</v>
      </c>
      <c r="N37" s="1297" t="s">
        <v>163</v>
      </c>
      <c r="O37" s="1297" t="s">
        <v>152</v>
      </c>
      <c r="P37" s="1297" t="s">
        <v>138</v>
      </c>
      <c r="Q37" s="1297" t="s">
        <v>180</v>
      </c>
      <c r="R37" s="1408">
        <f>'7$REV-FinalDistrictData'!F2314</f>
        <v>95153963.870000005</v>
      </c>
      <c r="S37" s="1297" t="s">
        <v>140</v>
      </c>
    </row>
    <row r="38" spans="1:87" s="1297" customFormat="1">
      <c r="I38" s="1297">
        <v>660</v>
      </c>
      <c r="J38" s="1297" t="s">
        <v>811</v>
      </c>
      <c r="L38" s="1297" t="s">
        <v>34</v>
      </c>
      <c r="M38" s="1297" t="s">
        <v>1833</v>
      </c>
      <c r="N38" s="1297" t="s">
        <v>163</v>
      </c>
      <c r="O38" s="1297" t="s">
        <v>152</v>
      </c>
      <c r="P38" s="1297" t="s">
        <v>138</v>
      </c>
      <c r="Q38" s="1297" t="s">
        <v>139</v>
      </c>
      <c r="R38" s="1408">
        <f>'7$REV-FinalDistrictData'!I2314</f>
        <v>291439281.51000005</v>
      </c>
      <c r="S38" s="1297" t="s">
        <v>140</v>
      </c>
    </row>
    <row r="39" spans="1:87" s="1297" customFormat="1">
      <c r="I39" s="1297">
        <v>660</v>
      </c>
      <c r="J39" s="1297" t="s">
        <v>811</v>
      </c>
      <c r="L39" s="1297" t="s">
        <v>34</v>
      </c>
      <c r="M39" s="1297" t="s">
        <v>1833</v>
      </c>
      <c r="N39" s="1297" t="s">
        <v>163</v>
      </c>
      <c r="O39" s="1297" t="s">
        <v>152</v>
      </c>
      <c r="P39" s="1297" t="s">
        <v>138</v>
      </c>
      <c r="Q39" s="1297" t="s">
        <v>179</v>
      </c>
      <c r="R39" s="1408">
        <f>'7$REV-FinalDistrictData'!G2314</f>
        <v>654059954.54000008</v>
      </c>
      <c r="S39" s="1297" t="s">
        <v>140</v>
      </c>
    </row>
    <row r="40" spans="1:87" s="1297" customFormat="1">
      <c r="I40" s="1297">
        <v>660</v>
      </c>
      <c r="J40" s="1297" t="s">
        <v>811</v>
      </c>
      <c r="L40" s="1297" t="s">
        <v>34</v>
      </c>
      <c r="M40" s="1297" t="s">
        <v>1833</v>
      </c>
      <c r="N40" s="1297" t="s">
        <v>163</v>
      </c>
      <c r="O40" s="1297" t="s">
        <v>152</v>
      </c>
      <c r="P40" s="1297" t="s">
        <v>138</v>
      </c>
      <c r="Q40" s="377" t="s">
        <v>2</v>
      </c>
      <c r="R40" s="1408">
        <f>'7$REV-FinalDistrictData'!H2314</f>
        <v>62793503.859999999</v>
      </c>
      <c r="S40" s="377" t="s">
        <v>140</v>
      </c>
    </row>
    <row r="41" spans="1:87" s="1297" customFormat="1">
      <c r="I41" s="1297">
        <v>761</v>
      </c>
      <c r="J41" s="1297" t="s">
        <v>698</v>
      </c>
      <c r="L41" s="1297" t="s">
        <v>34</v>
      </c>
      <c r="M41" s="1297" t="s">
        <v>1833</v>
      </c>
      <c r="N41" s="1297" t="s">
        <v>163</v>
      </c>
      <c r="O41" s="1297" t="s">
        <v>153</v>
      </c>
      <c r="P41" s="1297" t="s">
        <v>138</v>
      </c>
      <c r="Q41" s="1297" t="s">
        <v>180</v>
      </c>
      <c r="R41" s="1408">
        <f>'7$REV-FinalDistrictData'!F6093</f>
        <v>102172098.02000001</v>
      </c>
      <c r="S41" s="377" t="s">
        <v>140</v>
      </c>
    </row>
    <row r="42" spans="1:87" s="1297" customFormat="1">
      <c r="I42" s="1297">
        <v>761</v>
      </c>
      <c r="J42" s="1297" t="s">
        <v>698</v>
      </c>
      <c r="L42" s="1297" t="s">
        <v>34</v>
      </c>
      <c r="M42" s="1297" t="s">
        <v>1833</v>
      </c>
      <c r="N42" s="1297" t="s">
        <v>163</v>
      </c>
      <c r="O42" s="1297" t="s">
        <v>153</v>
      </c>
      <c r="P42" s="1297" t="s">
        <v>138</v>
      </c>
      <c r="Q42" s="1297" t="s">
        <v>139</v>
      </c>
      <c r="R42" s="1408">
        <f>'7$REV-FinalDistrictData'!I6093</f>
        <v>113767349.19000001</v>
      </c>
      <c r="S42" s="377" t="s">
        <v>140</v>
      </c>
    </row>
    <row r="43" spans="1:87" s="1297" customFormat="1">
      <c r="I43" s="1297">
        <v>761</v>
      </c>
      <c r="J43" s="1297" t="s">
        <v>698</v>
      </c>
      <c r="L43" s="1297" t="s">
        <v>34</v>
      </c>
      <c r="M43" s="1297" t="s">
        <v>1833</v>
      </c>
      <c r="N43" s="1297" t="s">
        <v>163</v>
      </c>
      <c r="O43" s="1297" t="s">
        <v>153</v>
      </c>
      <c r="P43" s="1297" t="s">
        <v>138</v>
      </c>
      <c r="Q43" s="1297" t="s">
        <v>179</v>
      </c>
      <c r="R43" s="1408">
        <f>'7$REV-FinalDistrictData'!G6093</f>
        <v>481458463.28000003</v>
      </c>
      <c r="S43" s="377" t="s">
        <v>140</v>
      </c>
    </row>
    <row r="44" spans="1:87" s="1297" customFormat="1">
      <c r="I44" s="1297">
        <v>761</v>
      </c>
      <c r="J44" s="1297" t="s">
        <v>698</v>
      </c>
      <c r="L44" s="1297" t="s">
        <v>34</v>
      </c>
      <c r="M44" s="1297" t="s">
        <v>1833</v>
      </c>
      <c r="N44" s="1297" t="s">
        <v>163</v>
      </c>
      <c r="O44" s="1297" t="s">
        <v>153</v>
      </c>
      <c r="P44" s="1297" t="s">
        <v>138</v>
      </c>
      <c r="Q44" s="377" t="s">
        <v>2</v>
      </c>
      <c r="R44" s="1408">
        <f>'7$REV-FinalDistrictData'!H6093</f>
        <v>151745479.02999997</v>
      </c>
      <c r="S44" s="377" t="s">
        <v>140</v>
      </c>
    </row>
    <row r="45" spans="1:87" s="1297" customFormat="1">
      <c r="J45" s="1297" t="s">
        <v>1835</v>
      </c>
      <c r="L45" s="1297" t="s">
        <v>34</v>
      </c>
      <c r="M45" s="1297" t="s">
        <v>1833</v>
      </c>
      <c r="N45" s="1297" t="s">
        <v>163</v>
      </c>
      <c r="O45" s="1297" t="s">
        <v>41</v>
      </c>
      <c r="P45" s="1297" t="s">
        <v>138</v>
      </c>
      <c r="Q45" s="1297" t="s">
        <v>180</v>
      </c>
      <c r="R45" s="1408">
        <f>'7$REV-FinalDistrictData'!F6821</f>
        <v>2112521013.7100003</v>
      </c>
      <c r="S45" s="377" t="s">
        <v>140</v>
      </c>
    </row>
    <row r="46" spans="1:87" s="1297" customFormat="1">
      <c r="J46" s="1297" t="s">
        <v>1835</v>
      </c>
      <c r="L46" s="1297" t="s">
        <v>34</v>
      </c>
      <c r="M46" s="1297" t="s">
        <v>1833</v>
      </c>
      <c r="N46" s="1297" t="s">
        <v>163</v>
      </c>
      <c r="O46" s="1297" t="s">
        <v>41</v>
      </c>
      <c r="P46" s="1297" t="s">
        <v>138</v>
      </c>
      <c r="Q46" s="1297" t="s">
        <v>139</v>
      </c>
      <c r="R46" s="1408">
        <f>'7$REV-FinalDistrictData'!I6821</f>
        <v>6842709318.1899967</v>
      </c>
      <c r="S46" s="377" t="s">
        <v>140</v>
      </c>
    </row>
    <row r="47" spans="1:87" s="1297" customFormat="1">
      <c r="J47" s="1297" t="s">
        <v>1835</v>
      </c>
      <c r="L47" s="1297" t="s">
        <v>34</v>
      </c>
      <c r="M47" s="1297" t="s">
        <v>1833</v>
      </c>
      <c r="N47" s="1297" t="s">
        <v>163</v>
      </c>
      <c r="O47" s="1297" t="s">
        <v>41</v>
      </c>
      <c r="P47" s="1297" t="s">
        <v>138</v>
      </c>
      <c r="Q47" s="1297" t="s">
        <v>179</v>
      </c>
      <c r="R47" s="1408">
        <f>'7$REV-FinalDistrictData'!G6821</f>
        <v>6261859752.8499985</v>
      </c>
      <c r="S47" s="377" t="s">
        <v>140</v>
      </c>
    </row>
    <row r="48" spans="1:87" s="1297" customFormat="1">
      <c r="J48" s="1297" t="s">
        <v>1835</v>
      </c>
      <c r="L48" s="1297" t="s">
        <v>34</v>
      </c>
      <c r="M48" s="1297" t="s">
        <v>1833</v>
      </c>
      <c r="N48" s="1297" t="s">
        <v>163</v>
      </c>
      <c r="O48" s="1297" t="s">
        <v>41</v>
      </c>
      <c r="P48" s="1297" t="s">
        <v>138</v>
      </c>
      <c r="Q48" s="377" t="s">
        <v>2</v>
      </c>
      <c r="R48" s="1408">
        <f>'7$REV-FinalDistrictData'!H6821</f>
        <v>844879459.69999981</v>
      </c>
      <c r="S48" s="377" t="s">
        <v>140</v>
      </c>
    </row>
    <row r="49" spans="1:46" s="1297" customFormat="1">
      <c r="J49" s="1297" t="s">
        <v>1839</v>
      </c>
      <c r="L49" s="1297" t="s">
        <v>34</v>
      </c>
      <c r="M49" s="1297" t="s">
        <v>1833</v>
      </c>
      <c r="N49" s="1297" t="s">
        <v>163</v>
      </c>
      <c r="O49" s="1297" t="s">
        <v>152</v>
      </c>
      <c r="P49" s="1297" t="s">
        <v>147</v>
      </c>
      <c r="Q49" s="1297" t="s">
        <v>180</v>
      </c>
      <c r="R49" s="1373">
        <f>'1$REV-CharterAuditData'!BM12</f>
        <v>3396216.2</v>
      </c>
      <c r="S49" s="377" t="s">
        <v>140</v>
      </c>
    </row>
    <row r="50" spans="1:46" s="1297" customFormat="1">
      <c r="J50" s="1297" t="s">
        <v>1839</v>
      </c>
      <c r="L50" s="1297" t="s">
        <v>34</v>
      </c>
      <c r="M50" s="1297" t="s">
        <v>1833</v>
      </c>
      <c r="N50" s="1297" t="s">
        <v>163</v>
      </c>
      <c r="O50" s="1297" t="s">
        <v>152</v>
      </c>
      <c r="P50" s="1297" t="s">
        <v>147</v>
      </c>
      <c r="Q50" s="1297" t="s">
        <v>139</v>
      </c>
      <c r="R50" s="1373">
        <f>'1$REV-CharterAuditData'!AZ12</f>
        <v>14853407</v>
      </c>
      <c r="S50" s="377" t="s">
        <v>140</v>
      </c>
    </row>
    <row r="51" spans="1:46" s="1297" customFormat="1">
      <c r="J51" s="1297" t="s">
        <v>1839</v>
      </c>
      <c r="L51" s="1297" t="s">
        <v>34</v>
      </c>
      <c r="M51" s="1297" t="s">
        <v>1833</v>
      </c>
      <c r="N51" s="1297" t="s">
        <v>163</v>
      </c>
      <c r="O51" s="1297" t="s">
        <v>152</v>
      </c>
      <c r="P51" s="1297" t="s">
        <v>147</v>
      </c>
      <c r="Q51" s="1297" t="s">
        <v>179</v>
      </c>
      <c r="R51" s="1373">
        <f>'1$REV-CharterAuditData'!Q12</f>
        <v>11277156.800000001</v>
      </c>
      <c r="S51" s="377" t="s">
        <v>140</v>
      </c>
    </row>
    <row r="52" spans="1:46" s="1297" customFormat="1">
      <c r="J52" s="1297" t="s">
        <v>1839</v>
      </c>
      <c r="L52" s="1297" t="s">
        <v>34</v>
      </c>
      <c r="M52" s="1297" t="s">
        <v>1833</v>
      </c>
      <c r="N52" s="1297" t="s">
        <v>163</v>
      </c>
      <c r="O52" s="1297" t="s">
        <v>152</v>
      </c>
      <c r="P52" s="1297" t="s">
        <v>147</v>
      </c>
      <c r="Q52" s="377" t="s">
        <v>2</v>
      </c>
      <c r="R52" s="1373">
        <f>'1$REV-CharterAuditData'!AM12</f>
        <v>3352145</v>
      </c>
      <c r="S52" s="377" t="s">
        <v>140</v>
      </c>
    </row>
    <row r="53" spans="1:46" s="1297" customFormat="1">
      <c r="J53" s="1297" t="s">
        <v>1839</v>
      </c>
      <c r="L53" s="1297" t="s">
        <v>34</v>
      </c>
      <c r="M53" s="1297" t="s">
        <v>1833</v>
      </c>
      <c r="N53" s="1297" t="s">
        <v>163</v>
      </c>
      <c r="O53" s="1297" t="s">
        <v>152</v>
      </c>
      <c r="P53" s="1297" t="s">
        <v>147</v>
      </c>
      <c r="Q53" s="377" t="s">
        <v>70</v>
      </c>
      <c r="R53" s="1373">
        <f>'1$REV-CharterAuditData'!W12</f>
        <v>263804</v>
      </c>
      <c r="S53" s="377" t="s">
        <v>140</v>
      </c>
    </row>
    <row r="54" spans="1:46" s="1297" customFormat="1">
      <c r="J54" s="1297" t="s">
        <v>1838</v>
      </c>
      <c r="L54" s="1297" t="s">
        <v>34</v>
      </c>
      <c r="M54" s="1297" t="s">
        <v>1833</v>
      </c>
      <c r="N54" s="1297" t="s">
        <v>163</v>
      </c>
      <c r="O54" s="1297" t="s">
        <v>153</v>
      </c>
      <c r="P54" s="1297" t="s">
        <v>147</v>
      </c>
      <c r="Q54" s="1297" t="s">
        <v>180</v>
      </c>
      <c r="R54" s="1373">
        <f>'1$REV-CharterAuditData'!BM29</f>
        <v>4412328.3599999994</v>
      </c>
      <c r="S54" s="377" t="s">
        <v>140</v>
      </c>
    </row>
    <row r="55" spans="1:46" s="1297" customFormat="1">
      <c r="J55" s="1297" t="s">
        <v>1838</v>
      </c>
      <c r="L55" s="1297" t="s">
        <v>34</v>
      </c>
      <c r="M55" s="1297" t="s">
        <v>1833</v>
      </c>
      <c r="N55" s="1297" t="s">
        <v>163</v>
      </c>
      <c r="O55" s="1297" t="s">
        <v>153</v>
      </c>
      <c r="P55" s="1297" t="s">
        <v>147</v>
      </c>
      <c r="Q55" s="1297" t="s">
        <v>139</v>
      </c>
      <c r="R55" s="1373">
        <f>'1$REV-CharterAuditData'!AZ29</f>
        <v>23160878</v>
      </c>
      <c r="S55" s="377" t="s">
        <v>140</v>
      </c>
    </row>
    <row r="56" spans="1:46" s="1297" customFormat="1">
      <c r="J56" s="1297" t="s">
        <v>1838</v>
      </c>
      <c r="L56" s="1297" t="s">
        <v>34</v>
      </c>
      <c r="M56" s="1297" t="s">
        <v>1833</v>
      </c>
      <c r="N56" s="1297" t="s">
        <v>163</v>
      </c>
      <c r="O56" s="1297" t="s">
        <v>153</v>
      </c>
      <c r="P56" s="1297" t="s">
        <v>147</v>
      </c>
      <c r="Q56" s="1297" t="s">
        <v>179</v>
      </c>
      <c r="R56" s="1373">
        <f>'1$REV-CharterAuditData'!Q29</f>
        <v>21032144.640000001</v>
      </c>
      <c r="S56" s="377" t="s">
        <v>140</v>
      </c>
    </row>
    <row r="57" spans="1:46" s="1297" customFormat="1">
      <c r="J57" s="1297" t="s">
        <v>1838</v>
      </c>
      <c r="L57" s="1297" t="s">
        <v>34</v>
      </c>
      <c r="M57" s="1297" t="s">
        <v>1833</v>
      </c>
      <c r="N57" s="1297" t="s">
        <v>163</v>
      </c>
      <c r="O57" s="1297" t="s">
        <v>153</v>
      </c>
      <c r="P57" s="1297" t="s">
        <v>147</v>
      </c>
      <c r="Q57" s="377" t="s">
        <v>2</v>
      </c>
      <c r="R57" s="1373">
        <f>'1$REV-CharterAuditData'!AM29</f>
        <v>6582336</v>
      </c>
      <c r="S57" s="377" t="s">
        <v>140</v>
      </c>
    </row>
    <row r="58" spans="1:46" s="1297" customFormat="1">
      <c r="J58" s="1297" t="s">
        <v>1838</v>
      </c>
      <c r="L58" s="1297" t="s">
        <v>34</v>
      </c>
      <c r="M58" s="1297" t="s">
        <v>1833</v>
      </c>
      <c r="N58" s="1297" t="s">
        <v>163</v>
      </c>
      <c r="O58" s="1297" t="s">
        <v>153</v>
      </c>
      <c r="P58" s="1297" t="s">
        <v>147</v>
      </c>
      <c r="Q58" s="377" t="s">
        <v>70</v>
      </c>
      <c r="R58" s="1373">
        <f>'1$REV-CharterAuditData'!W29</f>
        <v>1342655</v>
      </c>
      <c r="S58" s="377" t="s">
        <v>140</v>
      </c>
    </row>
    <row r="59" spans="1:46" s="1297" customFormat="1">
      <c r="J59" s="1297" t="s">
        <v>1840</v>
      </c>
      <c r="L59" s="1297" t="s">
        <v>34</v>
      </c>
      <c r="M59" s="1297" t="s">
        <v>1833</v>
      </c>
      <c r="N59" s="1297" t="s">
        <v>163</v>
      </c>
      <c r="O59" s="1297" t="s">
        <v>41</v>
      </c>
      <c r="P59" s="1297" t="s">
        <v>147</v>
      </c>
      <c r="Q59" s="1297" t="s">
        <v>180</v>
      </c>
      <c r="R59" s="1373">
        <f>'1$REV-CharterAuditData'!BM60</f>
        <v>9390200.540000001</v>
      </c>
      <c r="S59" s="377" t="s">
        <v>140</v>
      </c>
    </row>
    <row r="60" spans="1:46" s="1297" customFormat="1">
      <c r="J60" s="1297" t="s">
        <v>1840</v>
      </c>
      <c r="L60" s="1297" t="s">
        <v>34</v>
      </c>
      <c r="M60" s="1297" t="s">
        <v>1833</v>
      </c>
      <c r="N60" s="1297" t="s">
        <v>163</v>
      </c>
      <c r="O60" s="1297" t="s">
        <v>41</v>
      </c>
      <c r="P60" s="1297" t="s">
        <v>147</v>
      </c>
      <c r="Q60" s="1297" t="s">
        <v>139</v>
      </c>
      <c r="R60" s="1373">
        <f>'1$REV-CharterAuditData'!AZ60</f>
        <v>71096032</v>
      </c>
      <c r="S60" s="377" t="s">
        <v>140</v>
      </c>
    </row>
    <row r="61" spans="1:46" s="1297" customFormat="1" ht="12.75">
      <c r="A61" s="142"/>
      <c r="B61" s="142"/>
      <c r="C61" s="142"/>
      <c r="D61" s="142"/>
      <c r="E61" s="142"/>
      <c r="F61" s="142"/>
      <c r="G61" s="501"/>
      <c r="H61" s="142"/>
      <c r="I61" s="142"/>
      <c r="J61" s="1297" t="s">
        <v>1840</v>
      </c>
      <c r="K61" s="503"/>
      <c r="L61" s="1297" t="s">
        <v>34</v>
      </c>
      <c r="M61" s="1297" t="s">
        <v>1833</v>
      </c>
      <c r="N61" s="1297" t="s">
        <v>163</v>
      </c>
      <c r="O61" s="1297" t="s">
        <v>41</v>
      </c>
      <c r="P61" s="1297" t="s">
        <v>147</v>
      </c>
      <c r="Q61" s="1297" t="s">
        <v>179</v>
      </c>
      <c r="R61" s="1423">
        <f>'1$REV-CharterAuditData'!Q60</f>
        <v>15729573.460000005</v>
      </c>
      <c r="S61" s="377" t="s">
        <v>140</v>
      </c>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3"/>
    </row>
    <row r="62" spans="1:46" s="1297" customFormat="1">
      <c r="J62" s="1297" t="s">
        <v>1840</v>
      </c>
      <c r="L62" s="1297" t="s">
        <v>34</v>
      </c>
      <c r="M62" s="1297" t="s">
        <v>1833</v>
      </c>
      <c r="N62" s="1297" t="s">
        <v>163</v>
      </c>
      <c r="O62" s="1297" t="s">
        <v>41</v>
      </c>
      <c r="P62" s="1297" t="s">
        <v>147</v>
      </c>
      <c r="Q62" s="377" t="s">
        <v>2</v>
      </c>
      <c r="R62" s="1373">
        <f>'1$REV-CharterAuditData'!AM60</f>
        <v>7464515</v>
      </c>
      <c r="S62" s="377" t="s">
        <v>140</v>
      </c>
    </row>
    <row r="63" spans="1:46" s="1297" customFormat="1">
      <c r="J63" s="1297" t="s">
        <v>1840</v>
      </c>
      <c r="L63" s="1297" t="s">
        <v>34</v>
      </c>
      <c r="M63" s="1297" t="s">
        <v>1833</v>
      </c>
      <c r="N63" s="1297" t="s">
        <v>163</v>
      </c>
      <c r="O63" s="1297" t="s">
        <v>41</v>
      </c>
      <c r="P63" s="1297" t="s">
        <v>147</v>
      </c>
      <c r="Q63" s="377" t="s">
        <v>70</v>
      </c>
      <c r="R63" s="1373">
        <f>'1$REV-CharterAuditData'!W60</f>
        <v>865740</v>
      </c>
      <c r="S63" s="377" t="s">
        <v>140</v>
      </c>
    </row>
    <row r="64" spans="1:46" s="1297" customFormat="1"/>
    <row r="65" spans="1:76" s="1297" customFormat="1"/>
    <row r="66" spans="1:76" s="1297" customFormat="1"/>
    <row r="67" spans="1:76" s="3" customFormat="1" ht="15.95" customHeight="1">
      <c r="A67" s="1260" t="s">
        <v>305</v>
      </c>
      <c r="B67" s="1261" t="s">
        <v>619</v>
      </c>
      <c r="C67" s="1261"/>
      <c r="D67" s="1262"/>
      <c r="E67" s="1252"/>
      <c r="F67" s="1252"/>
      <c r="G67" s="1252"/>
      <c r="H67" s="1253"/>
      <c r="I67" s="1254" t="s">
        <v>574</v>
      </c>
      <c r="J67" s="1254" t="s">
        <v>574</v>
      </c>
      <c r="K67" s="1250"/>
      <c r="L67" s="1252"/>
      <c r="M67" s="1253"/>
      <c r="N67" s="1253"/>
      <c r="O67" s="1253"/>
      <c r="P67" s="1253"/>
      <c r="Q67" s="1253"/>
      <c r="R67" s="1255"/>
      <c r="S67" s="1252"/>
      <c r="T67" s="1250"/>
      <c r="U67" s="1252"/>
      <c r="V67" s="1252"/>
      <c r="W67" s="1252"/>
      <c r="X67" s="1252"/>
      <c r="Y67" s="1250"/>
      <c r="Z67" s="1252"/>
      <c r="AA67" s="1252"/>
      <c r="AB67" s="1252"/>
      <c r="AC67" s="1252"/>
      <c r="AD67" s="1252"/>
      <c r="AE67" s="1252"/>
      <c r="AF67" s="1252"/>
      <c r="AG67" s="1252"/>
      <c r="AH67" s="1256"/>
      <c r="AI67" s="1257"/>
      <c r="AJ67" s="1263"/>
      <c r="AK67" s="1263"/>
      <c r="AL67" s="1263"/>
      <c r="AM67" s="1263"/>
      <c r="AN67" s="1263"/>
      <c r="AO67" s="1263"/>
      <c r="AP67" s="1263"/>
      <c r="AQ67" s="1263"/>
      <c r="AR67" s="1263"/>
      <c r="AS67" s="1263"/>
      <c r="AT67" s="1257"/>
      <c r="AU67" s="1258"/>
      <c r="AV67" s="1259"/>
      <c r="AW67" s="1259"/>
      <c r="AX67" s="1259"/>
      <c r="AY67" s="1259"/>
      <c r="AZ67" s="1259"/>
      <c r="BA67" s="1259"/>
      <c r="BB67" s="1259"/>
      <c r="BC67" s="1259"/>
      <c r="BD67" s="1259"/>
      <c r="BE67" s="1259"/>
      <c r="BF67" s="1259"/>
      <c r="BG67" s="1259"/>
      <c r="BH67" s="1259"/>
      <c r="BI67" s="1259"/>
      <c r="BJ67" s="1259"/>
      <c r="BK67" s="1264"/>
      <c r="BL67" s="1264"/>
      <c r="BM67" s="1264"/>
      <c r="BN67" s="1264"/>
      <c r="BO67" s="1264"/>
      <c r="BP67" s="1264"/>
      <c r="BQ67" s="1264"/>
      <c r="BR67" s="1265"/>
      <c r="BS67" s="1265"/>
      <c r="BT67" s="1265"/>
      <c r="BU67" s="1259"/>
      <c r="BV67" s="1259"/>
      <c r="BW67" s="1259"/>
      <c r="BX67" s="1259"/>
    </row>
    <row r="68" spans="1:76" s="3" customFormat="1" ht="15" customHeight="1">
      <c r="A68" s="1266"/>
      <c r="B68" s="1266"/>
      <c r="C68" s="1266"/>
      <c r="D68" s="1266"/>
      <c r="E68" s="1266"/>
      <c r="F68" s="1266"/>
      <c r="G68" s="1266"/>
      <c r="H68" s="1267"/>
      <c r="I68" s="1266"/>
      <c r="J68" s="1266"/>
      <c r="K68" s="1268"/>
      <c r="L68" s="1269"/>
      <c r="M68" s="1269"/>
      <c r="N68" s="1268"/>
      <c r="O68" s="1268"/>
      <c r="P68" s="1268"/>
      <c r="Q68" s="1270"/>
      <c r="R68" s="1268"/>
      <c r="S68" s="1268"/>
      <c r="T68" s="1268"/>
      <c r="U68" s="1271"/>
      <c r="V68" s="1266"/>
      <c r="W68" s="1266"/>
      <c r="X68" s="1266"/>
      <c r="Y68" s="1266"/>
      <c r="Z68" s="1266"/>
      <c r="AA68" s="1266"/>
      <c r="AB68" s="1266"/>
      <c r="AC68" s="1266"/>
      <c r="AD68" s="1266"/>
      <c r="AE68" s="1266"/>
      <c r="AF68" s="1266"/>
      <c r="AG68" s="1264"/>
      <c r="AH68" s="1264"/>
      <c r="AI68" s="1264"/>
      <c r="AJ68" s="1264"/>
      <c r="AK68" s="1264"/>
      <c r="AL68" s="1264"/>
      <c r="AM68" s="1264"/>
      <c r="AN68" s="1264"/>
      <c r="AO68" s="1264"/>
      <c r="AP68" s="1264"/>
      <c r="AQ68" s="1265"/>
      <c r="AR68" s="1265"/>
      <c r="AS68" s="1265"/>
      <c r="AT68" s="1265"/>
      <c r="AU68" s="1258"/>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row>
    <row r="69" spans="1:76" s="3" customFormat="1" ht="30" customHeight="1">
      <c r="A69" s="1272" t="s">
        <v>535</v>
      </c>
      <c r="B69" s="1272" t="s">
        <v>535</v>
      </c>
      <c r="C69" s="1272" t="s">
        <v>535</v>
      </c>
      <c r="D69" s="1272" t="s">
        <v>535</v>
      </c>
      <c r="E69" s="1272" t="s">
        <v>535</v>
      </c>
      <c r="F69" s="1272" t="s">
        <v>535</v>
      </c>
      <c r="G69" s="1272" t="s">
        <v>535</v>
      </c>
      <c r="H69" s="1272" t="s">
        <v>535</v>
      </c>
      <c r="I69" s="1272" t="s">
        <v>535</v>
      </c>
      <c r="J69" s="1272" t="s">
        <v>535</v>
      </c>
      <c r="K69" s="1272" t="s">
        <v>535</v>
      </c>
      <c r="L69" s="1272" t="s">
        <v>535</v>
      </c>
      <c r="M69" s="1272" t="s">
        <v>535</v>
      </c>
      <c r="N69" s="1272" t="s">
        <v>535</v>
      </c>
      <c r="O69" s="1272" t="s">
        <v>535</v>
      </c>
      <c r="P69" s="1272" t="s">
        <v>535</v>
      </c>
      <c r="Q69" s="1272" t="s">
        <v>535</v>
      </c>
      <c r="R69" s="1272" t="s">
        <v>535</v>
      </c>
      <c r="S69" s="1272" t="s">
        <v>535</v>
      </c>
      <c r="T69" s="1272" t="s">
        <v>535</v>
      </c>
      <c r="U69" s="1272" t="s">
        <v>535</v>
      </c>
      <c r="V69" s="1272" t="s">
        <v>535</v>
      </c>
      <c r="W69" s="1272" t="s">
        <v>535</v>
      </c>
      <c r="X69" s="1272" t="s">
        <v>535</v>
      </c>
      <c r="Y69" s="1272" t="s">
        <v>535</v>
      </c>
      <c r="Z69" s="1272" t="s">
        <v>535</v>
      </c>
      <c r="AA69" s="1272" t="s">
        <v>535</v>
      </c>
      <c r="AB69" s="1272" t="s">
        <v>535</v>
      </c>
      <c r="AC69" s="1272" t="s">
        <v>535</v>
      </c>
      <c r="AD69" s="1272" t="s">
        <v>535</v>
      </c>
      <c r="AE69" s="1272" t="s">
        <v>535</v>
      </c>
      <c r="AF69" s="1272" t="s">
        <v>535</v>
      </c>
      <c r="AG69" s="1272" t="s">
        <v>535</v>
      </c>
      <c r="AH69" s="1266"/>
      <c r="AI69" s="1266"/>
      <c r="AJ69" s="1266"/>
      <c r="AK69" s="1266"/>
      <c r="AL69" s="1266"/>
      <c r="AM69" s="1266"/>
      <c r="AN69" s="1266"/>
      <c r="AO69" s="1266"/>
      <c r="AP69" s="1266"/>
      <c r="AQ69" s="1266"/>
      <c r="AR69" s="1266"/>
      <c r="AS69" s="1266"/>
      <c r="AT69" s="1266"/>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row>
    <row r="70" spans="1:76" s="3" customFormat="1" ht="30" customHeight="1">
      <c r="A70" s="1272" t="s">
        <v>535</v>
      </c>
      <c r="B70" s="1272" t="s">
        <v>535</v>
      </c>
      <c r="C70" s="1272" t="s">
        <v>535</v>
      </c>
      <c r="D70" s="1272" t="s">
        <v>535</v>
      </c>
      <c r="E70" s="1272" t="s">
        <v>535</v>
      </c>
      <c r="F70" s="1272" t="s">
        <v>535</v>
      </c>
      <c r="G70" s="1272" t="s">
        <v>535</v>
      </c>
      <c r="H70" s="1272" t="s">
        <v>535</v>
      </c>
      <c r="I70" s="1272" t="s">
        <v>535</v>
      </c>
      <c r="J70" s="1272" t="s">
        <v>535</v>
      </c>
      <c r="K70" s="1272" t="s">
        <v>535</v>
      </c>
      <c r="L70" s="1272" t="s">
        <v>535</v>
      </c>
      <c r="M70" s="1272" t="s">
        <v>535</v>
      </c>
      <c r="N70" s="1272" t="s">
        <v>535</v>
      </c>
      <c r="O70" s="1272" t="s">
        <v>535</v>
      </c>
      <c r="P70" s="1272" t="s">
        <v>535</v>
      </c>
      <c r="Q70" s="1272" t="s">
        <v>535</v>
      </c>
      <c r="R70" s="1272" t="s">
        <v>535</v>
      </c>
      <c r="S70" s="1272" t="s">
        <v>535</v>
      </c>
      <c r="T70" s="1272" t="s">
        <v>535</v>
      </c>
      <c r="U70" s="1272" t="s">
        <v>535</v>
      </c>
      <c r="V70" s="1272" t="s">
        <v>535</v>
      </c>
      <c r="W70" s="1272" t="s">
        <v>535</v>
      </c>
      <c r="X70" s="1272" t="s">
        <v>535</v>
      </c>
      <c r="Y70" s="1272" t="s">
        <v>535</v>
      </c>
      <c r="Z70" s="1272" t="s">
        <v>535</v>
      </c>
      <c r="AA70" s="1272" t="s">
        <v>535</v>
      </c>
      <c r="AB70" s="1272" t="s">
        <v>535</v>
      </c>
      <c r="AC70" s="1272" t="s">
        <v>535</v>
      </c>
      <c r="AD70" s="1272" t="s">
        <v>535</v>
      </c>
      <c r="AE70" s="1272" t="s">
        <v>535</v>
      </c>
      <c r="AF70" s="1272" t="s">
        <v>535</v>
      </c>
      <c r="AG70" s="1272" t="s">
        <v>535</v>
      </c>
      <c r="AH70" s="1266"/>
      <c r="AI70" s="1266"/>
      <c r="AJ70" s="1266"/>
      <c r="AK70" s="1266"/>
      <c r="AL70" s="1266"/>
      <c r="AM70" s="1266"/>
      <c r="AN70" s="1266"/>
      <c r="AO70" s="1266"/>
      <c r="AP70" s="1266"/>
      <c r="AQ70" s="1266"/>
      <c r="AR70" s="1266"/>
      <c r="AS70" s="1266"/>
      <c r="AT70" s="1266"/>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row>
    <row r="71" spans="1:76" s="3" customFormat="1" ht="30" customHeight="1">
      <c r="A71" s="1272" t="s">
        <v>535</v>
      </c>
      <c r="B71" s="1272" t="s">
        <v>535</v>
      </c>
      <c r="C71" s="1272" t="s">
        <v>535</v>
      </c>
      <c r="D71" s="1272" t="s">
        <v>535</v>
      </c>
      <c r="E71" s="1272" t="s">
        <v>535</v>
      </c>
      <c r="F71" s="1272" t="s">
        <v>535</v>
      </c>
      <c r="G71" s="1272" t="s">
        <v>535</v>
      </c>
      <c r="H71" s="1272" t="s">
        <v>535</v>
      </c>
      <c r="I71" s="1272" t="s">
        <v>535</v>
      </c>
      <c r="J71" s="1272" t="s">
        <v>535</v>
      </c>
      <c r="K71" s="1272" t="s">
        <v>535</v>
      </c>
      <c r="L71" s="1272" t="s">
        <v>535</v>
      </c>
      <c r="M71" s="1272" t="s">
        <v>535</v>
      </c>
      <c r="N71" s="1272" t="s">
        <v>535</v>
      </c>
      <c r="O71" s="1272" t="s">
        <v>535</v>
      </c>
      <c r="P71" s="1272" t="s">
        <v>535</v>
      </c>
      <c r="Q71" s="1272" t="s">
        <v>535</v>
      </c>
      <c r="R71" s="1272" t="s">
        <v>535</v>
      </c>
      <c r="S71" s="1272" t="s">
        <v>535</v>
      </c>
      <c r="T71" s="1272" t="s">
        <v>535</v>
      </c>
      <c r="U71" s="1272" t="s">
        <v>535</v>
      </c>
      <c r="V71" s="1272" t="s">
        <v>535</v>
      </c>
      <c r="W71" s="1272" t="s">
        <v>535</v>
      </c>
      <c r="X71" s="1272" t="s">
        <v>535</v>
      </c>
      <c r="Y71" s="1272" t="s">
        <v>535</v>
      </c>
      <c r="Z71" s="1272" t="s">
        <v>535</v>
      </c>
      <c r="AA71" s="1272" t="s">
        <v>535</v>
      </c>
      <c r="AB71" s="1272" t="s">
        <v>535</v>
      </c>
      <c r="AC71" s="1272" t="s">
        <v>535</v>
      </c>
      <c r="AD71" s="1272" t="s">
        <v>535</v>
      </c>
      <c r="AE71" s="1272" t="s">
        <v>535</v>
      </c>
      <c r="AF71" s="1272" t="s">
        <v>535</v>
      </c>
      <c r="AG71" s="1272" t="s">
        <v>535</v>
      </c>
      <c r="AH71" s="1266"/>
      <c r="AI71" s="1266"/>
      <c r="AJ71" s="1266"/>
      <c r="AK71" s="1266"/>
      <c r="AL71" s="1266"/>
      <c r="AM71" s="1266"/>
      <c r="AN71" s="1266"/>
      <c r="AO71" s="1266"/>
      <c r="AP71" s="1266"/>
      <c r="AQ71" s="1266"/>
      <c r="AR71" s="1266"/>
      <c r="AS71" s="1266"/>
      <c r="AT71" s="1266"/>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row>
    <row r="72" spans="1:76" s="3" customFormat="1" ht="30" customHeight="1">
      <c r="A72" s="1272" t="s">
        <v>535</v>
      </c>
      <c r="B72" s="1272" t="s">
        <v>535</v>
      </c>
      <c r="C72" s="1272" t="s">
        <v>535</v>
      </c>
      <c r="D72" s="1272" t="s">
        <v>535</v>
      </c>
      <c r="E72" s="1272" t="s">
        <v>535</v>
      </c>
      <c r="F72" s="1272" t="s">
        <v>535</v>
      </c>
      <c r="G72" s="1272" t="s">
        <v>535</v>
      </c>
      <c r="H72" s="1272" t="s">
        <v>535</v>
      </c>
      <c r="I72" s="1272" t="s">
        <v>535</v>
      </c>
      <c r="J72" s="1272" t="s">
        <v>535</v>
      </c>
      <c r="K72" s="1272" t="s">
        <v>535</v>
      </c>
      <c r="L72" s="1272" t="s">
        <v>535</v>
      </c>
      <c r="M72" s="1272" t="s">
        <v>535</v>
      </c>
      <c r="N72" s="1272" t="s">
        <v>535</v>
      </c>
      <c r="O72" s="1272" t="s">
        <v>535</v>
      </c>
      <c r="P72" s="1272" t="s">
        <v>535</v>
      </c>
      <c r="Q72" s="1272" t="s">
        <v>535</v>
      </c>
      <c r="R72" s="1272" t="s">
        <v>535</v>
      </c>
      <c r="S72" s="1272" t="s">
        <v>535</v>
      </c>
      <c r="T72" s="1272" t="s">
        <v>535</v>
      </c>
      <c r="U72" s="1272" t="s">
        <v>535</v>
      </c>
      <c r="V72" s="1272" t="s">
        <v>535</v>
      </c>
      <c r="W72" s="1272" t="s">
        <v>535</v>
      </c>
      <c r="X72" s="1272" t="s">
        <v>535</v>
      </c>
      <c r="Y72" s="1272" t="s">
        <v>535</v>
      </c>
      <c r="Z72" s="1272" t="s">
        <v>535</v>
      </c>
      <c r="AA72" s="1272" t="s">
        <v>535</v>
      </c>
      <c r="AB72" s="1272" t="s">
        <v>535</v>
      </c>
      <c r="AC72" s="1272" t="s">
        <v>535</v>
      </c>
      <c r="AD72" s="1272" t="s">
        <v>535</v>
      </c>
      <c r="AE72" s="1272" t="s">
        <v>535</v>
      </c>
      <c r="AF72" s="1272" t="s">
        <v>535</v>
      </c>
      <c r="AG72" s="1272" t="s">
        <v>535</v>
      </c>
      <c r="AH72" s="1266"/>
      <c r="AI72" s="1266"/>
      <c r="AJ72" s="1266"/>
      <c r="AK72" s="1266"/>
      <c r="AL72" s="1266"/>
      <c r="AM72" s="1266"/>
      <c r="AN72" s="1266"/>
      <c r="AO72" s="1266"/>
      <c r="AP72" s="1266"/>
      <c r="AQ72" s="1266"/>
      <c r="AR72" s="1266"/>
      <c r="AS72" s="1266"/>
      <c r="AT72" s="1266"/>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row>
    <row r="73" spans="1:76" s="3" customFormat="1" ht="30" customHeight="1">
      <c r="A73" s="1272" t="s">
        <v>535</v>
      </c>
      <c r="B73" s="1272" t="s">
        <v>535</v>
      </c>
      <c r="C73" s="1272" t="s">
        <v>535</v>
      </c>
      <c r="D73" s="1272" t="s">
        <v>535</v>
      </c>
      <c r="E73" s="1272" t="s">
        <v>535</v>
      </c>
      <c r="F73" s="1272" t="s">
        <v>535</v>
      </c>
      <c r="G73" s="1272" t="s">
        <v>535</v>
      </c>
      <c r="H73" s="1272" t="s">
        <v>535</v>
      </c>
      <c r="I73" s="1272" t="s">
        <v>535</v>
      </c>
      <c r="J73" s="1272" t="s">
        <v>535</v>
      </c>
      <c r="K73" s="1272" t="s">
        <v>535</v>
      </c>
      <c r="L73" s="1272" t="s">
        <v>535</v>
      </c>
      <c r="M73" s="1272" t="s">
        <v>535</v>
      </c>
      <c r="N73" s="1272" t="s">
        <v>535</v>
      </c>
      <c r="O73" s="1272" t="s">
        <v>535</v>
      </c>
      <c r="P73" s="1272" t="s">
        <v>535</v>
      </c>
      <c r="Q73" s="1272" t="s">
        <v>535</v>
      </c>
      <c r="R73" s="1272" t="s">
        <v>535</v>
      </c>
      <c r="S73" s="1272" t="s">
        <v>535</v>
      </c>
      <c r="T73" s="1272" t="s">
        <v>535</v>
      </c>
      <c r="U73" s="1272" t="s">
        <v>535</v>
      </c>
      <c r="V73" s="1272" t="s">
        <v>535</v>
      </c>
      <c r="W73" s="1272" t="s">
        <v>535</v>
      </c>
      <c r="X73" s="1272" t="s">
        <v>535</v>
      </c>
      <c r="Y73" s="1272" t="s">
        <v>535</v>
      </c>
      <c r="Z73" s="1272" t="s">
        <v>535</v>
      </c>
      <c r="AA73" s="1272" t="s">
        <v>535</v>
      </c>
      <c r="AB73" s="1272" t="s">
        <v>535</v>
      </c>
      <c r="AC73" s="1272" t="s">
        <v>535</v>
      </c>
      <c r="AD73" s="1272" t="s">
        <v>535</v>
      </c>
      <c r="AE73" s="1272" t="s">
        <v>535</v>
      </c>
      <c r="AF73" s="1272" t="s">
        <v>535</v>
      </c>
      <c r="AG73" s="1272" t="s">
        <v>535</v>
      </c>
      <c r="AH73" s="1266"/>
      <c r="AI73" s="1266"/>
      <c r="AJ73" s="1266"/>
      <c r="AK73" s="1266"/>
      <c r="AL73" s="1266"/>
      <c r="AM73" s="1266"/>
      <c r="AN73" s="1266"/>
      <c r="AO73" s="1266"/>
      <c r="AP73" s="1266"/>
      <c r="AQ73" s="1266"/>
      <c r="AR73" s="1266"/>
      <c r="AS73" s="1266"/>
      <c r="AT73" s="1266"/>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row>
    <row r="74" spans="1:76">
      <c r="A74" s="744"/>
      <c r="B74" s="744"/>
      <c r="C74" s="744"/>
      <c r="D74" s="744"/>
      <c r="E74" s="744"/>
      <c r="F74" s="744"/>
      <c r="G74" s="744"/>
      <c r="H74" s="744"/>
      <c r="I74" s="744"/>
      <c r="J74" s="744"/>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c r="AT74" s="744"/>
      <c r="AU74" s="744"/>
      <c r="AV74" s="744"/>
      <c r="AW74" s="744"/>
      <c r="AX74" s="744"/>
      <c r="AY74" s="744"/>
      <c r="AZ74" s="744"/>
      <c r="BA74" s="744"/>
      <c r="BB74" s="744"/>
      <c r="BC74" s="744"/>
      <c r="BD74" s="744"/>
      <c r="BE74" s="744"/>
      <c r="BF74" s="744"/>
      <c r="BG74" s="744"/>
      <c r="BH74" s="744"/>
      <c r="BI74" s="744"/>
      <c r="BJ74" s="744"/>
      <c r="BK74" s="744"/>
      <c r="BL74" s="744"/>
      <c r="BM74" s="744"/>
      <c r="BN74" s="744"/>
      <c r="BO74" s="744"/>
      <c r="BP74" s="744"/>
      <c r="BQ74" s="744"/>
      <c r="BR74" s="744"/>
      <c r="BS74" s="744"/>
      <c r="BT74" s="744"/>
      <c r="BU74" s="744"/>
      <c r="BV74" s="744"/>
      <c r="BW74" s="744"/>
      <c r="BX74" s="744"/>
    </row>
    <row r="75" spans="1:76" ht="12.75">
      <c r="A75" s="142"/>
      <c r="B75" s="142"/>
      <c r="C75" s="142"/>
      <c r="D75" s="142"/>
      <c r="E75" s="142"/>
      <c r="F75" s="142"/>
      <c r="G75" s="501"/>
      <c r="H75" s="142"/>
      <c r="I75" s="142"/>
      <c r="J75" s="502"/>
      <c r="K75" s="503"/>
      <c r="L75" s="503"/>
      <c r="M75" s="502"/>
      <c r="N75" s="502"/>
      <c r="O75" s="502"/>
      <c r="P75" s="504"/>
      <c r="Q75" s="502"/>
      <c r="R75" s="502"/>
      <c r="S75" s="50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3"/>
    </row>
  </sheetData>
  <autoFilter ref="A35:AG67"/>
  <sortState ref="A36:AG46">
    <sortCondition ref="I36:I46"/>
  </sortState>
  <mergeCells count="143">
    <mergeCell ref="BN3:BS3"/>
    <mergeCell ref="BT3:BT6"/>
    <mergeCell ref="BO4:BR5"/>
    <mergeCell ref="BN21:BS21"/>
    <mergeCell ref="BK1:BT2"/>
    <mergeCell ref="AJ1:AS2"/>
    <mergeCell ref="N2:O2"/>
    <mergeCell ref="U2:V2"/>
    <mergeCell ref="L3:M3"/>
    <mergeCell ref="N3:O3"/>
    <mergeCell ref="U3:V4"/>
    <mergeCell ref="AM3:AR3"/>
    <mergeCell ref="AS3:AS6"/>
    <mergeCell ref="L4:M4"/>
    <mergeCell ref="L8:M8"/>
    <mergeCell ref="N8:O8"/>
    <mergeCell ref="U8:V8"/>
    <mergeCell ref="L9:M9"/>
    <mergeCell ref="N9:O9"/>
    <mergeCell ref="U9:V9"/>
    <mergeCell ref="AN4:AQ5"/>
    <mergeCell ref="L5:M5"/>
    <mergeCell ref="L6:M6"/>
    <mergeCell ref="N6:O6"/>
    <mergeCell ref="U6:V6"/>
    <mergeCell ref="L7:M7"/>
    <mergeCell ref="N7:O7"/>
    <mergeCell ref="U7:V7"/>
    <mergeCell ref="L12:M12"/>
    <mergeCell ref="N12:O12"/>
    <mergeCell ref="U12:V12"/>
    <mergeCell ref="L13:M13"/>
    <mergeCell ref="N13:O13"/>
    <mergeCell ref="U13:V13"/>
    <mergeCell ref="L10:M10"/>
    <mergeCell ref="N10:O10"/>
    <mergeCell ref="U10:V10"/>
    <mergeCell ref="L11:M11"/>
    <mergeCell ref="N11:O11"/>
    <mergeCell ref="U11:V11"/>
    <mergeCell ref="L14:M14"/>
    <mergeCell ref="N14:O14"/>
    <mergeCell ref="U14:V14"/>
    <mergeCell ref="L15:M15"/>
    <mergeCell ref="N15:O15"/>
    <mergeCell ref="U15:V15"/>
    <mergeCell ref="C15:I15"/>
    <mergeCell ref="C16:I16"/>
    <mergeCell ref="C17:I17"/>
    <mergeCell ref="L18:M18"/>
    <mergeCell ref="N18:O18"/>
    <mergeCell ref="U18:V18"/>
    <mergeCell ref="L19:M19"/>
    <mergeCell ref="N19:O19"/>
    <mergeCell ref="U19:V19"/>
    <mergeCell ref="H20:I20"/>
    <mergeCell ref="L16:M16"/>
    <mergeCell ref="N16:O16"/>
    <mergeCell ref="U16:V16"/>
    <mergeCell ref="L17:M17"/>
    <mergeCell ref="N17:O17"/>
    <mergeCell ref="U17:V17"/>
    <mergeCell ref="L22:M22"/>
    <mergeCell ref="N22:O22"/>
    <mergeCell ref="U22:V22"/>
    <mergeCell ref="L23:M23"/>
    <mergeCell ref="N23:O23"/>
    <mergeCell ref="U23:V23"/>
    <mergeCell ref="B20:D29"/>
    <mergeCell ref="B30:I30"/>
    <mergeCell ref="E20:G20"/>
    <mergeCell ref="L20:M20"/>
    <mergeCell ref="N20:O20"/>
    <mergeCell ref="U20:V20"/>
    <mergeCell ref="L21:M21"/>
    <mergeCell ref="N21:O21"/>
    <mergeCell ref="U21:V21"/>
    <mergeCell ref="D34:G34"/>
    <mergeCell ref="H34:K34"/>
    <mergeCell ref="L34:S34"/>
    <mergeCell ref="L28:M28"/>
    <mergeCell ref="N28:O28"/>
    <mergeCell ref="U28:V28"/>
    <mergeCell ref="L29:M29"/>
    <mergeCell ref="N29:O29"/>
    <mergeCell ref="U29:V29"/>
    <mergeCell ref="AV22:AW22"/>
    <mergeCell ref="AV7:AW7"/>
    <mergeCell ref="AV8:AW8"/>
    <mergeCell ref="AV9:AW9"/>
    <mergeCell ref="AV10:AW10"/>
    <mergeCell ref="AV11:AW11"/>
    <mergeCell ref="AV12:AW12"/>
    <mergeCell ref="AV13:AW13"/>
    <mergeCell ref="L30:M30"/>
    <mergeCell ref="N30:O30"/>
    <mergeCell ref="U30:V30"/>
    <mergeCell ref="L26:M26"/>
    <mergeCell ref="N26:O26"/>
    <mergeCell ref="U26:V26"/>
    <mergeCell ref="L27:M27"/>
    <mergeCell ref="N27:O27"/>
    <mergeCell ref="U27:V27"/>
    <mergeCell ref="L24:M24"/>
    <mergeCell ref="N24:O24"/>
    <mergeCell ref="U24:V24"/>
    <mergeCell ref="L25:M25"/>
    <mergeCell ref="N25:O25"/>
    <mergeCell ref="U25:V25"/>
    <mergeCell ref="AM21:AR21"/>
    <mergeCell ref="C11:I11"/>
    <mergeCell ref="C12:I12"/>
    <mergeCell ref="C13:I13"/>
    <mergeCell ref="C14:I14"/>
    <mergeCell ref="AV3:AW4"/>
    <mergeCell ref="AV6:AW6"/>
    <mergeCell ref="AV1:BE2"/>
    <mergeCell ref="T31:AG31"/>
    <mergeCell ref="AV23:AW23"/>
    <mergeCell ref="AV24:AW24"/>
    <mergeCell ref="AV25:AW25"/>
    <mergeCell ref="AV26:AW26"/>
    <mergeCell ref="AV27:AW27"/>
    <mergeCell ref="AV28:AW28"/>
    <mergeCell ref="AV29:AW29"/>
    <mergeCell ref="AV30:AW30"/>
    <mergeCell ref="AV14:AW14"/>
    <mergeCell ref="AV15:AW15"/>
    <mergeCell ref="AV16:AW16"/>
    <mergeCell ref="AV17:AW17"/>
    <mergeCell ref="AV18:AW18"/>
    <mergeCell ref="AV19:AW19"/>
    <mergeCell ref="AV20:AW20"/>
    <mergeCell ref="AV21:AW21"/>
    <mergeCell ref="A1:I2"/>
    <mergeCell ref="B3:I3"/>
    <mergeCell ref="C4:I4"/>
    <mergeCell ref="C5:I5"/>
    <mergeCell ref="C6:I6"/>
    <mergeCell ref="C7:I7"/>
    <mergeCell ref="C8:I8"/>
    <mergeCell ref="C9:I9"/>
    <mergeCell ref="C10:I10"/>
  </mergeCells>
  <phoneticPr fontId="146" type="noConversion"/>
  <conditionalFormatting sqref="S6:S7 S9:S22 S26:S27 S31 R3:R31 D33:AG33 AE4:AE30">
    <cfRule type="cellIs" dxfId="18" priority="3" operator="notBetween">
      <formula>-0.01</formula>
      <formula>0.01</formula>
    </cfRule>
  </conditionalFormatting>
  <conditionalFormatting sqref="BF4:BF27">
    <cfRule type="cellIs" dxfId="17" priority="2" operator="notBetween">
      <formula>-0.01</formula>
      <formula>0.01</formula>
    </cfRule>
  </conditionalFormatting>
  <conditionalFormatting sqref="BF28:BF30">
    <cfRule type="cellIs" dxfId="16" priority="1" operator="notBetween">
      <formula>-0.01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AH872"/>
  <sheetViews>
    <sheetView workbookViewId="0"/>
  </sheetViews>
  <sheetFormatPr defaultColWidth="8.83203125" defaultRowHeight="12"/>
  <cols>
    <col min="1" max="1" width="4.83203125" style="3" customWidth="1"/>
    <col min="2" max="2" width="43" style="3" customWidth="1"/>
    <col min="3" max="3" width="1.6640625" style="3" customWidth="1"/>
    <col min="4" max="4" width="11.1640625" style="3" customWidth="1"/>
    <col min="5" max="5" width="18.1640625" style="3" customWidth="1"/>
    <col min="6" max="6" width="19.1640625" style="5" customWidth="1"/>
    <col min="7" max="7" width="23" style="3" customWidth="1"/>
    <col min="8" max="8" width="9.6640625" style="5" customWidth="1"/>
    <col min="9" max="9" width="17.5" style="5" customWidth="1"/>
    <col min="10" max="10" width="19" style="3" customWidth="1"/>
    <col min="11" max="11" width="10.83203125" style="3" customWidth="1"/>
    <col min="12" max="12" width="17.5" style="3" customWidth="1"/>
    <col min="13" max="13" width="12.5" style="5" customWidth="1"/>
    <col min="14" max="14" width="19.33203125" style="5" bestFit="1" customWidth="1"/>
    <col min="15" max="15" width="18.5" style="3" customWidth="1"/>
    <col min="16" max="16" width="14.6640625" style="5" customWidth="1"/>
    <col min="17" max="17" width="10.83203125" style="5" customWidth="1"/>
    <col min="18" max="18" width="21.33203125" style="3" customWidth="1"/>
    <col min="19" max="19" width="25.5" style="3" customWidth="1"/>
    <col min="20" max="22" width="10.83203125" style="3" customWidth="1"/>
    <col min="23" max="23" width="12.6640625" style="3" customWidth="1"/>
    <col min="24" max="33" width="10.83203125" style="3" customWidth="1"/>
    <col min="34" max="34" width="8.83203125" style="3"/>
    <col min="35" max="35" width="14.6640625" style="3" customWidth="1"/>
    <col min="36" max="16384" width="8.83203125" style="3"/>
  </cols>
  <sheetData>
    <row r="1" spans="1:34" ht="15.95" customHeight="1" thickTop="1" thickBot="1">
      <c r="A1" s="206"/>
      <c r="B1" s="207" t="s">
        <v>5</v>
      </c>
      <c r="C1" s="207"/>
      <c r="D1" s="207"/>
      <c r="E1" s="334" t="s">
        <v>247</v>
      </c>
      <c r="F1" s="207"/>
      <c r="G1" s="208"/>
      <c r="H1" s="209" t="s">
        <v>3</v>
      </c>
      <c r="I1" s="1876"/>
      <c r="J1" s="1877"/>
      <c r="K1" s="1877"/>
      <c r="L1" s="1878"/>
      <c r="M1" s="79" t="str">
        <f>'$REV-DSUM'!B153</f>
        <v>FA1 = Fulton County District</v>
      </c>
      <c r="N1" s="305"/>
      <c r="O1" s="306" t="s">
        <v>3</v>
      </c>
      <c r="P1" s="1870" t="str">
        <f>IF(B293="FA2 = FA2 FA2L2","",B293)</f>
        <v>FA2 = Atlanta Public Schools</v>
      </c>
      <c r="Q1" s="1871"/>
      <c r="R1" s="81"/>
      <c r="S1" s="306" t="s">
        <v>3</v>
      </c>
      <c r="T1" s="79" t="str">
        <f>IF(B433="FA3 = FA3 FA3L2","",B433)</f>
        <v>FA3 = FA3L1 FA3L2</v>
      </c>
      <c r="U1" s="81"/>
      <c r="V1" s="81"/>
      <c r="W1" s="81"/>
      <c r="X1" s="306" t="s">
        <v>3</v>
      </c>
      <c r="Y1" s="79" t="str">
        <f>IF(B573="FA4 = FA4 FA4L2","",B573)</f>
        <v>FA4 = FA4L1 FA4L2</v>
      </c>
      <c r="Z1" s="81"/>
      <c r="AA1" s="81"/>
      <c r="AB1" s="306" t="s">
        <v>3</v>
      </c>
      <c r="AC1" s="79" t="str">
        <f>IF(B713="FA5 = FA5 FA5L2","",B713)</f>
        <v>FA5 = FA5L1 FA5L2</v>
      </c>
      <c r="AD1" s="81"/>
      <c r="AE1" s="81"/>
      <c r="AF1" s="305" t="s">
        <v>3</v>
      </c>
      <c r="AG1" s="97"/>
    </row>
    <row r="2" spans="1:34" ht="15.95" customHeight="1" thickTop="1">
      <c r="A2" s="72"/>
      <c r="B2" s="64" t="s">
        <v>409</v>
      </c>
      <c r="C2" s="64"/>
      <c r="D2" s="64"/>
      <c r="E2" s="85"/>
      <c r="F2" s="91">
        <f>B866</f>
        <v>18208778769.749996</v>
      </c>
      <c r="G2" s="300"/>
      <c r="H2" s="99"/>
      <c r="I2" s="1879"/>
      <c r="J2" s="1880"/>
      <c r="K2" s="1880"/>
      <c r="L2" s="1881"/>
      <c r="M2" s="72"/>
      <c r="N2" s="300"/>
      <c r="O2" s="99"/>
      <c r="P2" s="302"/>
      <c r="Q2" s="303"/>
      <c r="R2" s="71"/>
      <c r="S2" s="101"/>
      <c r="T2" s="70"/>
      <c r="U2" s="71"/>
      <c r="V2" s="71"/>
      <c r="W2" s="71"/>
      <c r="X2" s="101"/>
      <c r="Y2" s="70"/>
      <c r="Z2" s="71"/>
      <c r="AA2" s="71"/>
      <c r="AB2" s="101"/>
      <c r="AC2" s="70"/>
      <c r="AD2" s="71"/>
      <c r="AE2" s="71"/>
      <c r="AF2" s="75"/>
      <c r="AG2" s="93"/>
    </row>
    <row r="3" spans="1:34" ht="15.95" customHeight="1">
      <c r="A3" s="72"/>
      <c r="B3" s="64" t="s">
        <v>410</v>
      </c>
      <c r="C3" s="64"/>
      <c r="D3" s="64"/>
      <c r="E3" s="85"/>
      <c r="F3" s="91">
        <f>B856</f>
        <v>0</v>
      </c>
      <c r="G3" s="300"/>
      <c r="H3" s="99"/>
      <c r="I3" s="1879"/>
      <c r="J3" s="1880"/>
      <c r="K3" s="1880"/>
      <c r="L3" s="1881"/>
      <c r="M3" s="72"/>
      <c r="N3" s="300"/>
      <c r="O3" s="99"/>
      <c r="P3" s="297"/>
      <c r="Q3" s="298"/>
      <c r="R3" s="64"/>
      <c r="S3" s="99"/>
      <c r="T3" s="72"/>
      <c r="U3" s="64"/>
      <c r="V3" s="64"/>
      <c r="W3" s="64"/>
      <c r="X3" s="99"/>
      <c r="Y3" s="72"/>
      <c r="Z3" s="64"/>
      <c r="AA3" s="64"/>
      <c r="AB3" s="99"/>
      <c r="AC3" s="72"/>
      <c r="AD3" s="64"/>
      <c r="AE3" s="64"/>
      <c r="AF3" s="300"/>
      <c r="AG3" s="94"/>
    </row>
    <row r="4" spans="1:34" ht="15.95" customHeight="1" thickBot="1">
      <c r="A4" s="72"/>
      <c r="B4" s="335" t="s">
        <v>411</v>
      </c>
      <c r="C4" s="335"/>
      <c r="D4" s="335"/>
      <c r="E4" s="336"/>
      <c r="F4" s="337">
        <f>F2-F3</f>
        <v>18208778769.749996</v>
      </c>
      <c r="G4" s="338"/>
      <c r="H4" s="339"/>
      <c r="I4" s="1882"/>
      <c r="J4" s="1883"/>
      <c r="K4" s="1883"/>
      <c r="L4" s="1884"/>
      <c r="M4" s="340"/>
      <c r="N4" s="338"/>
      <c r="O4" s="339"/>
      <c r="P4" s="353"/>
      <c r="Q4" s="354"/>
      <c r="R4" s="335"/>
      <c r="S4" s="339"/>
      <c r="T4" s="340"/>
      <c r="U4" s="335"/>
      <c r="V4" s="335"/>
      <c r="W4" s="335"/>
      <c r="X4" s="339"/>
      <c r="Y4" s="340"/>
      <c r="Z4" s="335"/>
      <c r="AA4" s="335"/>
      <c r="AB4" s="339"/>
      <c r="AC4" s="340"/>
      <c r="AD4" s="335"/>
      <c r="AE4" s="335"/>
      <c r="AF4" s="338"/>
      <c r="AG4" s="341"/>
    </row>
    <row r="5" spans="1:34" ht="15.95" customHeight="1" thickBot="1">
      <c r="A5" s="72"/>
      <c r="B5" s="64" t="s">
        <v>199</v>
      </c>
      <c r="C5" s="64"/>
      <c r="D5" s="64"/>
      <c r="E5" s="85"/>
      <c r="F5" s="91">
        <f>'$REV-DB'!$Q$23</f>
        <v>18014559637.749996</v>
      </c>
      <c r="G5" s="205"/>
      <c r="H5" s="210"/>
      <c r="I5" s="212"/>
      <c r="J5" s="90"/>
      <c r="K5" s="90"/>
      <c r="L5" s="92"/>
      <c r="M5" s="215"/>
      <c r="N5" s="91">
        <f>'$REV-DB'!Q9</f>
        <v>1103446703.78</v>
      </c>
      <c r="O5" s="210"/>
      <c r="P5" s="217"/>
      <c r="Q5" s="218"/>
      <c r="R5" s="91">
        <f>'$REV-DB'!Q11</f>
        <v>849143389.51999998</v>
      </c>
      <c r="S5" s="211"/>
      <c r="T5" s="217"/>
      <c r="U5" s="218"/>
      <c r="V5" s="108"/>
      <c r="W5" s="91">
        <f>'$REV-DB'!Q13</f>
        <v>0</v>
      </c>
      <c r="X5" s="211"/>
      <c r="Y5" s="220"/>
      <c r="Z5" s="106"/>
      <c r="AA5" s="91">
        <f>'$REV-DB'!Q15</f>
        <v>0</v>
      </c>
      <c r="AB5" s="211"/>
      <c r="AC5" s="220"/>
      <c r="AD5" s="106"/>
      <c r="AE5" s="91">
        <f>'$REV-DB'!Q17</f>
        <v>0</v>
      </c>
      <c r="AF5" s="108"/>
      <c r="AG5" s="95"/>
    </row>
    <row r="6" spans="1:34" ht="15.95" customHeight="1" thickTop="1" thickBot="1">
      <c r="A6" s="72"/>
      <c r="B6" s="64" t="s">
        <v>68</v>
      </c>
      <c r="C6" s="64"/>
      <c r="D6" s="64"/>
      <c r="E6" s="85" t="str">
        <f>IF(AND(H6&gt;-0.005,H6&lt;0.005),"","ERROR!")</f>
        <v/>
      </c>
      <c r="F6" s="69">
        <f>B16</f>
        <v>18014559637.749996</v>
      </c>
      <c r="G6" s="205"/>
      <c r="H6" s="211">
        <f>F5-F6</f>
        <v>0</v>
      </c>
      <c r="I6" s="74" t="s">
        <v>349</v>
      </c>
      <c r="J6" s="355" t="str">
        <f>'FIG3'!W50</f>
        <v>FY2010-11</v>
      </c>
      <c r="K6" s="90"/>
      <c r="L6" s="92"/>
      <c r="M6" s="215" t="str">
        <f>IF(AND(O6&gt;-0.005,O6&lt;0.005),"","ERROR!")</f>
        <v/>
      </c>
      <c r="N6" s="69">
        <f>B156</f>
        <v>1103446703.78</v>
      </c>
      <c r="O6" s="211">
        <f>N5-N6</f>
        <v>0</v>
      </c>
      <c r="P6" s="215" t="str">
        <f>IF(AND(S6&gt;-0.005,S6&lt;0.005),"","ERROR!")</f>
        <v/>
      </c>
      <c r="Q6" s="216"/>
      <c r="R6" s="69">
        <f>B296</f>
        <v>849143389.51999998</v>
      </c>
      <c r="S6" s="211">
        <f>R5-R6</f>
        <v>0</v>
      </c>
      <c r="T6" s="217"/>
      <c r="U6" s="85" t="str">
        <f>IF(AND(X6&gt;-0.005,X6&lt;0.005),"","ERROR!")</f>
        <v/>
      </c>
      <c r="V6" s="108" t="str">
        <f>IF(X6=0,"","ERROR!")</f>
        <v/>
      </c>
      <c r="W6" s="69">
        <f>B436</f>
        <v>0</v>
      </c>
      <c r="X6" s="211">
        <f>W5-W6</f>
        <v>0</v>
      </c>
      <c r="Y6" s="215" t="str">
        <f>IF(AND(AB6&gt;-0.005,AB6&lt;0.005),"","ERROR!")</f>
        <v/>
      </c>
      <c r="Z6" s="219"/>
      <c r="AA6" s="69">
        <f>B576</f>
        <v>0</v>
      </c>
      <c r="AB6" s="211">
        <f>AA5-AA6</f>
        <v>0</v>
      </c>
      <c r="AC6" s="215" t="str">
        <f>IF(AND(AF6&gt;-0.005,AF6&lt;0.005),"","ERROR!")</f>
        <v/>
      </c>
      <c r="AD6" s="219"/>
      <c r="AE6" s="69">
        <f>B716</f>
        <v>0</v>
      </c>
      <c r="AF6" s="108">
        <f>AE5-AE6</f>
        <v>0</v>
      </c>
      <c r="AG6" s="95"/>
    </row>
    <row r="7" spans="1:34" ht="15.95" customHeight="1" thickTop="1" thickBot="1">
      <c r="A7" s="72"/>
      <c r="B7" s="335" t="s">
        <v>365</v>
      </c>
      <c r="C7" s="335"/>
      <c r="D7" s="335"/>
      <c r="E7" s="336" t="str">
        <f>IF(AND(H7&gt;-0.005,H7&lt;0.005),"","ERROR!")</f>
        <v/>
      </c>
      <c r="F7" s="337">
        <f>B26+B36+B46+B56+B66+B76</f>
        <v>18014559637.749996</v>
      </c>
      <c r="G7" s="342"/>
      <c r="H7" s="343">
        <f>F6-F7</f>
        <v>0</v>
      </c>
      <c r="I7" s="344"/>
      <c r="J7" s="345"/>
      <c r="K7" s="345"/>
      <c r="L7" s="346"/>
      <c r="M7" s="347" t="str">
        <f>IF(AND(O7&gt;-0.005,O7&lt;0.005),"","ERROR!")</f>
        <v/>
      </c>
      <c r="N7" s="337">
        <f>B166+B176+B186+B196+B216</f>
        <v>1103446703.78</v>
      </c>
      <c r="O7" s="343">
        <f>N6-N7</f>
        <v>0</v>
      </c>
      <c r="P7" s="347" t="str">
        <f>IF(AND(S7&gt;-0.005,S7&lt;0.005),"","ERROR!")</f>
        <v/>
      </c>
      <c r="Q7" s="348"/>
      <c r="R7" s="337">
        <f>B306+B316+B326+B336+B356</f>
        <v>849143389.51999998</v>
      </c>
      <c r="S7" s="343">
        <f>R6-R7</f>
        <v>0</v>
      </c>
      <c r="T7" s="349"/>
      <c r="U7" s="336" t="str">
        <f>IF(AND(X7&gt;-0.005,X7&lt;0.005),"","ERROR!")</f>
        <v/>
      </c>
      <c r="V7" s="350" t="str">
        <f>IF(X7=0,"","ERROR!")</f>
        <v/>
      </c>
      <c r="W7" s="337">
        <f>B446+B456+B466+B476+B496</f>
        <v>0</v>
      </c>
      <c r="X7" s="343">
        <f>W6-W7</f>
        <v>0</v>
      </c>
      <c r="Y7" s="347" t="str">
        <f>IF(AND(AB7&gt;-0.005,AB7&lt;0.005),"","ERROR!")</f>
        <v/>
      </c>
      <c r="Z7" s="351"/>
      <c r="AA7" s="337">
        <f>B586+B596+B606+B616+B636</f>
        <v>0</v>
      </c>
      <c r="AB7" s="343">
        <f>AA6-AA7</f>
        <v>0</v>
      </c>
      <c r="AC7" s="347" t="str">
        <f>IF(AND(AF7&gt;-0.005,AF7&lt;0.005),"","ERROR!")</f>
        <v/>
      </c>
      <c r="AD7" s="351"/>
      <c r="AE7" s="337">
        <f>B726+B736+B746+B756+B776</f>
        <v>0</v>
      </c>
      <c r="AF7" s="350">
        <f>AE6-AE7</f>
        <v>0</v>
      </c>
      <c r="AG7" s="352"/>
    </row>
    <row r="8" spans="1:34" ht="15.95" customHeight="1">
      <c r="A8" s="72"/>
      <c r="B8" s="64" t="s">
        <v>198</v>
      </c>
      <c r="C8" s="64"/>
      <c r="D8" s="64"/>
      <c r="E8" s="85"/>
      <c r="F8" s="91">
        <f>'$REV-DB'!$Q$24</f>
        <v>194219132</v>
      </c>
      <c r="G8" s="205"/>
      <c r="H8" s="211"/>
      <c r="I8" s="1873" t="s">
        <v>350</v>
      </c>
      <c r="J8" s="1874"/>
      <c r="K8" s="1874"/>
      <c r="L8" s="1875"/>
      <c r="M8" s="215"/>
      <c r="N8" s="91">
        <f>'$REV-DB'!Q10</f>
        <v>33142729</v>
      </c>
      <c r="O8" s="211"/>
      <c r="P8" s="217"/>
      <c r="Q8" s="218"/>
      <c r="R8" s="91">
        <f>'$REV-DB'!Q12</f>
        <v>56530342</v>
      </c>
      <c r="S8" s="211"/>
      <c r="T8" s="217"/>
      <c r="U8" s="218"/>
      <c r="V8" s="108"/>
      <c r="W8" s="91">
        <f>'$REV-DB'!Q14</f>
        <v>0</v>
      </c>
      <c r="X8" s="211"/>
      <c r="Y8" s="220"/>
      <c r="Z8" s="106"/>
      <c r="AA8" s="91">
        <f>'$REV-DB'!Q16</f>
        <v>0</v>
      </c>
      <c r="AB8" s="211"/>
      <c r="AC8" s="220"/>
      <c r="AD8" s="106"/>
      <c r="AE8" s="91">
        <f>'$REV-DB'!Q18</f>
        <v>0</v>
      </c>
      <c r="AF8" s="108"/>
      <c r="AG8" s="95"/>
    </row>
    <row r="9" spans="1:34" ht="15.95" customHeight="1">
      <c r="A9" s="72"/>
      <c r="B9" s="64" t="s">
        <v>69</v>
      </c>
      <c r="C9" s="64"/>
      <c r="D9" s="64"/>
      <c r="E9" s="85" t="str">
        <f>IF(AND(H9&gt;-0.005,H9&lt;0.005),"","ERROR!")</f>
        <v/>
      </c>
      <c r="F9" s="63">
        <f>B86</f>
        <v>194219132.00000003</v>
      </c>
      <c r="G9" s="205"/>
      <c r="H9" s="211">
        <f>F8-F9</f>
        <v>0</v>
      </c>
      <c r="I9" s="1873" t="s">
        <v>372</v>
      </c>
      <c r="J9" s="1874"/>
      <c r="K9" s="1874"/>
      <c r="L9" s="1875"/>
      <c r="M9" s="215" t="str">
        <f>IF(AND(O9&gt;-0.005,O9&lt;0.005),"","ERROR!")</f>
        <v/>
      </c>
      <c r="N9" s="69">
        <f>B226</f>
        <v>33142729</v>
      </c>
      <c r="O9" s="211">
        <f>N8-N9</f>
        <v>0</v>
      </c>
      <c r="P9" s="215" t="str">
        <f>IF(AND(S9&gt;-0.005,S9&lt;0.005),"","ERROR!")</f>
        <v/>
      </c>
      <c r="Q9" s="216"/>
      <c r="R9" s="69">
        <f>B366</f>
        <v>56530342</v>
      </c>
      <c r="S9" s="211">
        <f>R8-R9</f>
        <v>0</v>
      </c>
      <c r="T9" s="217"/>
      <c r="U9" s="85" t="str">
        <f>IF(AND(X9&gt;-0.005,X9&lt;0.005),"","ERROR!")</f>
        <v/>
      </c>
      <c r="V9" s="108" t="str">
        <f>IF(X9=0,"","ERROR!")</f>
        <v/>
      </c>
      <c r="W9" s="69">
        <f>B506</f>
        <v>0</v>
      </c>
      <c r="X9" s="211">
        <f>W8-W9</f>
        <v>0</v>
      </c>
      <c r="Y9" s="215" t="str">
        <f>IF(AND(AB9&gt;-0.005,AB9&lt;0.005),"","ERROR!")</f>
        <v/>
      </c>
      <c r="Z9" s="219"/>
      <c r="AA9" s="69">
        <f>B646</f>
        <v>0</v>
      </c>
      <c r="AB9" s="211">
        <f>AA8-AA9</f>
        <v>0</v>
      </c>
      <c r="AC9" s="215" t="str">
        <f>IF(AND(AF9&gt;-0.005,AF9&lt;0.005),"","ERROR!")</f>
        <v/>
      </c>
      <c r="AD9" s="219"/>
      <c r="AE9" s="69">
        <f>B786</f>
        <v>0</v>
      </c>
      <c r="AF9" s="108">
        <f>AE8-AE9</f>
        <v>0</v>
      </c>
      <c r="AG9" s="95"/>
    </row>
    <row r="10" spans="1:34" ht="15.95" customHeight="1">
      <c r="A10" s="72"/>
      <c r="B10" s="64" t="s">
        <v>195</v>
      </c>
      <c r="C10" s="64"/>
      <c r="D10" s="64"/>
      <c r="E10" s="85" t="str">
        <f>IF(AND(H10&gt;-0.005,H10&lt;0.005),"","ERROR!")</f>
        <v/>
      </c>
      <c r="F10" s="91">
        <f>B96+B106+B116+B126+B136+B146</f>
        <v>194219132</v>
      </c>
      <c r="G10" s="205"/>
      <c r="H10" s="211">
        <f>F8-F10</f>
        <v>0</v>
      </c>
      <c r="I10" s="1873" t="s">
        <v>351</v>
      </c>
      <c r="J10" s="1874"/>
      <c r="K10" s="1874"/>
      <c r="L10" s="1875"/>
      <c r="M10" s="215" t="str">
        <f>IF(AND(O10&gt;-0.005,O10&lt;0.005),"","ERROR!")</f>
        <v>ERROR!</v>
      </c>
      <c r="N10" s="91">
        <f>B236+B246+B256+B266+B286</f>
        <v>32878925</v>
      </c>
      <c r="O10" s="211">
        <f>N8-N10</f>
        <v>263804</v>
      </c>
      <c r="P10" s="215" t="str">
        <f>IF(AND(S10&gt;-0.005,S10&lt;0.005),"","ERROR!")</f>
        <v>ERROR!</v>
      </c>
      <c r="Q10" s="216"/>
      <c r="R10" s="91">
        <f>B376+B386+B396+B406+B426</f>
        <v>55187687</v>
      </c>
      <c r="S10" s="211">
        <f>R8-R10</f>
        <v>1342655</v>
      </c>
      <c r="T10" s="217"/>
      <c r="U10" s="85" t="str">
        <f>IF(AND(X10&gt;-0.005,X10&lt;0.005),"","ERROR!")</f>
        <v/>
      </c>
      <c r="V10" s="108" t="str">
        <f>IF(X10=0,"","ERROR!")</f>
        <v/>
      </c>
      <c r="W10" s="91">
        <f>B516+B526+B536+B546+B566</f>
        <v>0</v>
      </c>
      <c r="X10" s="211">
        <f>W5-W10</f>
        <v>0</v>
      </c>
      <c r="Y10" s="215" t="str">
        <f>IF(AND(AB10&gt;-0.005,AB10&lt;0.005),"","ERROR!")</f>
        <v/>
      </c>
      <c r="Z10" s="219"/>
      <c r="AA10" s="91">
        <f>B656+B666+B676+B686+B706</f>
        <v>0</v>
      </c>
      <c r="AB10" s="211">
        <f>AA5-AA10</f>
        <v>0</v>
      </c>
      <c r="AC10" s="215" t="str">
        <f>IF(AND(AF10&gt;-0.005,AF10&lt;0.005),"","ERROR!")</f>
        <v/>
      </c>
      <c r="AD10" s="219"/>
      <c r="AE10" s="91">
        <f>B796+B806+B816+B826+B846</f>
        <v>0</v>
      </c>
      <c r="AF10" s="108">
        <f>AE5-AE10</f>
        <v>0</v>
      </c>
      <c r="AG10" s="95"/>
    </row>
    <row r="11" spans="1:34" ht="15.95" customHeight="1">
      <c r="A11" s="72"/>
      <c r="B11" s="64"/>
      <c r="C11" s="64"/>
      <c r="D11" s="64"/>
      <c r="E11" s="85"/>
      <c r="F11" s="164"/>
      <c r="G11" s="205"/>
      <c r="H11" s="210"/>
      <c r="I11" s="221"/>
      <c r="J11" s="103"/>
      <c r="K11" s="103"/>
      <c r="L11" s="222"/>
      <c r="M11" s="215"/>
      <c r="N11" s="69"/>
      <c r="O11" s="210"/>
      <c r="P11" s="223"/>
      <c r="Q11" s="85"/>
      <c r="R11" s="69"/>
      <c r="S11" s="211"/>
      <c r="T11" s="224"/>
      <c r="U11" s="84"/>
      <c r="V11" s="108"/>
      <c r="W11" s="69"/>
      <c r="X11" s="211"/>
      <c r="Y11" s="165"/>
      <c r="Z11" s="108"/>
      <c r="AA11" s="69"/>
      <c r="AB11" s="211"/>
      <c r="AC11" s="165"/>
      <c r="AD11" s="108"/>
      <c r="AE11" s="69"/>
      <c r="AF11" s="108"/>
      <c r="AG11" s="95"/>
    </row>
    <row r="12" spans="1:34" ht="15.95" customHeight="1" thickBot="1">
      <c r="A12" s="78"/>
      <c r="B12" s="104"/>
      <c r="C12" s="104"/>
      <c r="D12" s="104"/>
      <c r="E12" s="104"/>
      <c r="F12" s="109"/>
      <c r="G12" s="225"/>
      <c r="H12" s="226"/>
      <c r="I12" s="213"/>
      <c r="J12" s="104"/>
      <c r="K12" s="104"/>
      <c r="L12" s="214"/>
      <c r="M12" s="213"/>
      <c r="N12" s="109"/>
      <c r="O12" s="214"/>
      <c r="P12" s="213"/>
      <c r="Q12" s="109"/>
      <c r="R12" s="104"/>
      <c r="S12" s="214"/>
      <c r="T12" s="78"/>
      <c r="U12" s="104"/>
      <c r="V12" s="104"/>
      <c r="W12" s="104"/>
      <c r="X12" s="214"/>
      <c r="Y12" s="78"/>
      <c r="Z12" s="104"/>
      <c r="AA12" s="104"/>
      <c r="AB12" s="214"/>
      <c r="AC12" s="78"/>
      <c r="AD12" s="104"/>
      <c r="AE12" s="104"/>
      <c r="AF12" s="104"/>
      <c r="AG12" s="214"/>
    </row>
    <row r="13" spans="1:34" ht="15.95" customHeight="1" thickTop="1" thickBot="1">
      <c r="A13" s="7"/>
      <c r="B13" s="19" t="s">
        <v>0</v>
      </c>
      <c r="C13" s="7"/>
      <c r="D13" s="17"/>
      <c r="E13" s="17"/>
      <c r="F13" s="18"/>
      <c r="G13" s="17"/>
      <c r="H13" s="18"/>
      <c r="I13" s="18"/>
      <c r="J13" s="17"/>
      <c r="K13" s="17"/>
      <c r="L13" s="17"/>
      <c r="M13" s="18"/>
      <c r="N13" s="9"/>
      <c r="O13" s="17"/>
      <c r="P13" s="18"/>
      <c r="Q13" s="18"/>
      <c r="R13" s="17"/>
      <c r="S13" s="864"/>
      <c r="T13" s="865" t="str">
        <f>'$REV-DB'!$T$34</f>
        <v>UD1</v>
      </c>
      <c r="U13" s="865" t="str">
        <f>'$REV-DB'!$U$34</f>
        <v>UD2</v>
      </c>
      <c r="V13" s="865" t="str">
        <f>'$REV-DB'!$V$34</f>
        <v>UD3</v>
      </c>
      <c r="W13" s="865" t="str">
        <f>'$REV-DB'!$W$34</f>
        <v>UD4</v>
      </c>
      <c r="X13" s="865" t="str">
        <f>'$REV-DB'!$X$34</f>
        <v>UD5</v>
      </c>
      <c r="Y13" s="865" t="str">
        <f>'$REV-DB'!$Y$34</f>
        <v>UD6</v>
      </c>
      <c r="Z13" s="865" t="str">
        <f>'$REV-DB'!$Z$34</f>
        <v>UD7</v>
      </c>
      <c r="AA13" s="865" t="str">
        <f>'$REV-DB'!$AA$34</f>
        <v>UD8</v>
      </c>
      <c r="AB13" s="865" t="str">
        <f>'$REV-DB'!$AB$34</f>
        <v>UD9</v>
      </c>
      <c r="AC13" s="865" t="str">
        <f>'$REV-DB'!$AC$34</f>
        <v>UD10</v>
      </c>
      <c r="AD13" s="865" t="str">
        <f>'$REV-DB'!$AD$34</f>
        <v>UD11</v>
      </c>
      <c r="AE13" s="865" t="str">
        <f>'$REV-DB'!$AE$34</f>
        <v>UD12</v>
      </c>
      <c r="AF13" s="865" t="str">
        <f>'$REV-DB'!$AF$34</f>
        <v>UD13</v>
      </c>
      <c r="AG13" s="865" t="str">
        <f>'$REV-DB'!$AG$34</f>
        <v>UD14</v>
      </c>
    </row>
    <row r="14" spans="1:34" ht="15.95" customHeight="1" thickTop="1" thickBot="1">
      <c r="A14" s="7"/>
      <c r="B14" s="20" t="s">
        <v>4</v>
      </c>
      <c r="C14" s="15"/>
      <c r="D14" s="105" t="s">
        <v>186</v>
      </c>
      <c r="E14" s="105" t="s">
        <v>187</v>
      </c>
      <c r="F14" s="105" t="s">
        <v>188</v>
      </c>
      <c r="G14" s="105" t="s">
        <v>189</v>
      </c>
      <c r="H14" s="276" t="s">
        <v>11</v>
      </c>
      <c r="I14" s="105" t="s">
        <v>190</v>
      </c>
      <c r="J14" s="105" t="s">
        <v>191</v>
      </c>
      <c r="K14" s="105" t="s">
        <v>192</v>
      </c>
      <c r="L14" s="276" t="s">
        <v>203</v>
      </c>
      <c r="M14" s="276" t="s">
        <v>42</v>
      </c>
      <c r="N14" s="105" t="s">
        <v>148</v>
      </c>
      <c r="O14" s="105" t="s">
        <v>193</v>
      </c>
      <c r="P14" s="105" t="s">
        <v>142</v>
      </c>
      <c r="Q14" s="105" t="s">
        <v>194</v>
      </c>
      <c r="R14" s="112" t="s">
        <v>141</v>
      </c>
      <c r="S14" s="112" t="s">
        <v>672</v>
      </c>
      <c r="T14" s="857" t="s">
        <v>541</v>
      </c>
      <c r="U14" s="857" t="s">
        <v>542</v>
      </c>
      <c r="V14" s="857" t="s">
        <v>543</v>
      </c>
      <c r="W14" s="857" t="s">
        <v>544</v>
      </c>
      <c r="X14" s="857" t="s">
        <v>545</v>
      </c>
      <c r="Y14" s="857" t="s">
        <v>546</v>
      </c>
      <c r="Z14" s="857" t="s">
        <v>547</v>
      </c>
      <c r="AA14" s="857" t="s">
        <v>548</v>
      </c>
      <c r="AB14" s="857" t="s">
        <v>549</v>
      </c>
      <c r="AC14" s="857" t="s">
        <v>550</v>
      </c>
      <c r="AD14" s="857" t="s">
        <v>551</v>
      </c>
      <c r="AE14" s="857" t="s">
        <v>552</v>
      </c>
      <c r="AF14" s="857" t="s">
        <v>553</v>
      </c>
      <c r="AG14" s="857" t="s">
        <v>554</v>
      </c>
      <c r="AH14" s="6"/>
    </row>
    <row r="15" spans="1:34" ht="15.95" customHeight="1" thickTop="1">
      <c r="A15" s="7"/>
      <c r="B15" s="19" t="s">
        <v>146</v>
      </c>
      <c r="C15" s="12"/>
      <c r="D15" s="186"/>
      <c r="E15" s="186"/>
      <c r="F15" s="186"/>
      <c r="G15" s="186"/>
      <c r="H15" s="186"/>
      <c r="I15" s="186"/>
      <c r="J15" s="186"/>
      <c r="K15" s="186"/>
      <c r="L15" s="278" t="s">
        <v>34</v>
      </c>
      <c r="M15" s="186"/>
      <c r="N15" s="37" t="str">
        <f>J$6</f>
        <v>FY2010-11</v>
      </c>
      <c r="O15" s="186"/>
      <c r="P15" s="37" t="s">
        <v>138</v>
      </c>
      <c r="Q15" s="186"/>
      <c r="R15" s="186"/>
      <c r="S15" s="187"/>
      <c r="T15" s="187"/>
      <c r="U15" s="187"/>
      <c r="V15" s="188"/>
      <c r="W15" s="188"/>
      <c r="X15" s="188"/>
      <c r="Y15" s="188"/>
      <c r="Z15" s="188"/>
      <c r="AA15" s="188"/>
      <c r="AB15" s="188"/>
      <c r="AC15" s="188"/>
      <c r="AD15" s="188"/>
      <c r="AE15" s="188"/>
      <c r="AF15" s="188"/>
      <c r="AG15" s="188"/>
      <c r="AH15" s="6"/>
    </row>
    <row r="16" spans="1:34" ht="15.95" customHeight="1">
      <c r="A16" s="7"/>
      <c r="B16" s="16">
        <f>DSUM('$REV-DB'!D35:AG67,"AMOUNT",'$REV-DSUM'!D14:AG21)</f>
        <v>18014559637.749996</v>
      </c>
      <c r="C16" s="12"/>
      <c r="D16" s="186"/>
      <c r="E16" s="186"/>
      <c r="F16" s="186"/>
      <c r="G16" s="186"/>
      <c r="H16" s="186"/>
      <c r="I16" s="186"/>
      <c r="J16" s="186"/>
      <c r="K16" s="186"/>
      <c r="L16" s="278" t="s">
        <v>34</v>
      </c>
      <c r="M16" s="186"/>
      <c r="N16" s="37" t="str">
        <f t="shared" ref="N16:N21" si="0">J$6</f>
        <v>FY2010-11</v>
      </c>
      <c r="O16" s="186"/>
      <c r="P16" s="37" t="s">
        <v>138</v>
      </c>
      <c r="Q16" s="186"/>
      <c r="R16" s="186"/>
      <c r="S16" s="187"/>
      <c r="T16" s="187"/>
      <c r="U16" s="187"/>
      <c r="V16" s="188"/>
      <c r="W16" s="188"/>
      <c r="X16" s="188"/>
      <c r="Y16" s="188"/>
      <c r="Z16" s="188"/>
      <c r="AA16" s="188"/>
      <c r="AB16" s="188"/>
      <c r="AC16" s="188"/>
      <c r="AD16" s="188"/>
      <c r="AE16" s="188"/>
      <c r="AF16" s="188"/>
      <c r="AG16" s="188"/>
      <c r="AH16" s="6"/>
    </row>
    <row r="17" spans="1:34" ht="15.95" customHeight="1">
      <c r="A17" s="7"/>
      <c r="B17" s="10"/>
      <c r="C17" s="12"/>
      <c r="D17" s="186"/>
      <c r="E17" s="186"/>
      <c r="F17" s="186"/>
      <c r="G17" s="186"/>
      <c r="H17" s="186"/>
      <c r="I17" s="186"/>
      <c r="J17" s="186"/>
      <c r="K17" s="186"/>
      <c r="L17" s="278" t="s">
        <v>34</v>
      </c>
      <c r="M17" s="186"/>
      <c r="N17" s="37" t="str">
        <f t="shared" si="0"/>
        <v>FY2010-11</v>
      </c>
      <c r="O17" s="186"/>
      <c r="P17" s="37" t="s">
        <v>138</v>
      </c>
      <c r="Q17" s="186"/>
      <c r="R17" s="186"/>
      <c r="S17" s="187"/>
      <c r="T17" s="187"/>
      <c r="U17" s="187"/>
      <c r="V17" s="188"/>
      <c r="W17" s="188"/>
      <c r="X17" s="188"/>
      <c r="Y17" s="188"/>
      <c r="Z17" s="188"/>
      <c r="AA17" s="188"/>
      <c r="AB17" s="188"/>
      <c r="AC17" s="188"/>
      <c r="AD17" s="188"/>
      <c r="AE17" s="188"/>
      <c r="AF17" s="188"/>
      <c r="AG17" s="188"/>
    </row>
    <row r="18" spans="1:34" ht="15.95" customHeight="1">
      <c r="A18" s="7"/>
      <c r="B18" s="1872" t="s">
        <v>291</v>
      </c>
      <c r="C18" s="12"/>
      <c r="D18" s="186"/>
      <c r="E18" s="186"/>
      <c r="F18" s="186"/>
      <c r="G18" s="186"/>
      <c r="H18" s="186"/>
      <c r="I18" s="186"/>
      <c r="J18" s="186"/>
      <c r="K18" s="186"/>
      <c r="L18" s="278" t="s">
        <v>34</v>
      </c>
      <c r="M18" s="186"/>
      <c r="N18" s="37" t="str">
        <f t="shared" si="0"/>
        <v>FY2010-11</v>
      </c>
      <c r="O18" s="186"/>
      <c r="P18" s="37" t="s">
        <v>138</v>
      </c>
      <c r="Q18" s="186"/>
      <c r="R18" s="186"/>
      <c r="S18" s="187"/>
      <c r="T18" s="187"/>
      <c r="U18" s="187"/>
      <c r="V18" s="188"/>
      <c r="W18" s="188"/>
      <c r="X18" s="188"/>
      <c r="Y18" s="188"/>
      <c r="Z18" s="188"/>
      <c r="AA18" s="188"/>
      <c r="AB18" s="188"/>
      <c r="AC18" s="188"/>
      <c r="AD18" s="188"/>
      <c r="AE18" s="188"/>
      <c r="AF18" s="188"/>
      <c r="AG18" s="188"/>
    </row>
    <row r="19" spans="1:34" ht="15.95" customHeight="1">
      <c r="A19" s="7"/>
      <c r="B19" s="1872"/>
      <c r="C19" s="12"/>
      <c r="D19" s="186"/>
      <c r="E19" s="186"/>
      <c r="F19" s="186"/>
      <c r="G19" s="186"/>
      <c r="H19" s="186"/>
      <c r="I19" s="186"/>
      <c r="J19" s="186"/>
      <c r="K19" s="186"/>
      <c r="L19" s="278" t="s">
        <v>34</v>
      </c>
      <c r="M19" s="186"/>
      <c r="N19" s="37" t="str">
        <f t="shared" si="0"/>
        <v>FY2010-11</v>
      </c>
      <c r="O19" s="186"/>
      <c r="P19" s="37" t="s">
        <v>138</v>
      </c>
      <c r="Q19" s="186"/>
      <c r="R19" s="186"/>
      <c r="S19" s="187"/>
      <c r="T19" s="187"/>
      <c r="U19" s="187"/>
      <c r="V19" s="188"/>
      <c r="W19" s="188"/>
      <c r="X19" s="188"/>
      <c r="Y19" s="188"/>
      <c r="Z19" s="188"/>
      <c r="AA19" s="188"/>
      <c r="AB19" s="188"/>
      <c r="AC19" s="188"/>
      <c r="AD19" s="188"/>
      <c r="AE19" s="188"/>
      <c r="AF19" s="188"/>
      <c r="AG19" s="188"/>
    </row>
    <row r="20" spans="1:34" ht="15.95" customHeight="1">
      <c r="A20" s="7"/>
      <c r="B20" s="1872"/>
      <c r="C20" s="12"/>
      <c r="D20" s="186"/>
      <c r="E20" s="186"/>
      <c r="F20" s="186"/>
      <c r="G20" s="186"/>
      <c r="H20" s="186"/>
      <c r="I20" s="186"/>
      <c r="J20" s="186"/>
      <c r="K20" s="186"/>
      <c r="L20" s="278" t="s">
        <v>34</v>
      </c>
      <c r="M20" s="186"/>
      <c r="N20" s="37" t="str">
        <f t="shared" si="0"/>
        <v>FY2010-11</v>
      </c>
      <c r="O20" s="186"/>
      <c r="P20" s="37" t="s">
        <v>138</v>
      </c>
      <c r="Q20" s="186"/>
      <c r="R20" s="186"/>
      <c r="S20" s="187"/>
      <c r="T20" s="187"/>
      <c r="U20" s="187"/>
      <c r="V20" s="188"/>
      <c r="W20" s="188"/>
      <c r="X20" s="188"/>
      <c r="Y20" s="188"/>
      <c r="Z20" s="188"/>
      <c r="AA20" s="188"/>
      <c r="AB20" s="188"/>
      <c r="AC20" s="188"/>
      <c r="AD20" s="188"/>
      <c r="AE20" s="188"/>
      <c r="AF20" s="188"/>
      <c r="AG20" s="188"/>
    </row>
    <row r="21" spans="1:34" ht="15.95" customHeight="1">
      <c r="A21" s="7"/>
      <c r="B21" s="1872"/>
      <c r="C21" s="12"/>
      <c r="D21" s="186"/>
      <c r="E21" s="186"/>
      <c r="F21" s="186"/>
      <c r="G21" s="186"/>
      <c r="H21" s="186"/>
      <c r="I21" s="186"/>
      <c r="J21" s="186"/>
      <c r="K21" s="186"/>
      <c r="L21" s="278" t="s">
        <v>34</v>
      </c>
      <c r="M21" s="186"/>
      <c r="N21" s="37" t="str">
        <f t="shared" si="0"/>
        <v>FY2010-11</v>
      </c>
      <c r="O21" s="186"/>
      <c r="P21" s="37" t="s">
        <v>138</v>
      </c>
      <c r="Q21" s="186"/>
      <c r="R21" s="186"/>
      <c r="S21" s="187"/>
      <c r="T21" s="187"/>
      <c r="U21" s="187"/>
      <c r="V21" s="188"/>
      <c r="W21" s="188"/>
      <c r="X21" s="188"/>
      <c r="Y21" s="188"/>
      <c r="Z21" s="188"/>
      <c r="AA21" s="188"/>
      <c r="AB21" s="188"/>
      <c r="AC21" s="188"/>
      <c r="AD21" s="188"/>
      <c r="AE21" s="188"/>
      <c r="AF21" s="188"/>
      <c r="AG21" s="188"/>
    </row>
    <row r="22" spans="1:34" ht="15.95" customHeight="1">
      <c r="A22" s="11"/>
      <c r="B22" s="12"/>
      <c r="C22" s="12"/>
      <c r="D22" s="13"/>
      <c r="E22" s="13"/>
      <c r="F22" s="14"/>
      <c r="G22" s="13"/>
      <c r="H22" s="14"/>
      <c r="I22" s="14"/>
      <c r="J22" s="13"/>
      <c r="K22" s="13"/>
      <c r="L22" s="13"/>
      <c r="M22" s="14"/>
      <c r="N22" s="14"/>
      <c r="O22" s="13"/>
      <c r="P22" s="14"/>
      <c r="Q22" s="14"/>
      <c r="R22" s="13"/>
      <c r="S22" s="13"/>
      <c r="T22" s="13"/>
      <c r="U22" s="13"/>
      <c r="V22" s="11"/>
      <c r="W22" s="11"/>
      <c r="X22" s="11"/>
      <c r="Y22" s="11"/>
      <c r="Z22" s="11"/>
      <c r="AA22" s="11"/>
      <c r="AB22" s="11"/>
      <c r="AC22" s="11"/>
      <c r="AD22" s="11"/>
      <c r="AE22" s="11"/>
      <c r="AF22" s="11"/>
      <c r="AG22" s="11"/>
    </row>
    <row r="23" spans="1:34" ht="15.95" customHeight="1" thickBot="1">
      <c r="A23" s="7"/>
      <c r="B23" s="19" t="s">
        <v>0</v>
      </c>
      <c r="C23" s="7"/>
      <c r="D23" s="8"/>
      <c r="E23" s="8"/>
      <c r="F23" s="9"/>
      <c r="G23" s="8"/>
      <c r="H23" s="9"/>
      <c r="I23" s="9"/>
      <c r="J23" s="8"/>
      <c r="K23" s="8"/>
      <c r="L23" s="8"/>
      <c r="M23" s="9"/>
      <c r="N23" s="9"/>
      <c r="O23" s="8"/>
      <c r="P23" s="9"/>
      <c r="Q23" s="9"/>
      <c r="R23" s="8"/>
      <c r="S23" s="866"/>
      <c r="T23" s="867" t="str">
        <f>'$REV-DB'!$T$34</f>
        <v>UD1</v>
      </c>
      <c r="U23" s="867" t="str">
        <f>'$REV-DB'!$U$34</f>
        <v>UD2</v>
      </c>
      <c r="V23" s="867" t="str">
        <f>'$REV-DB'!$V$34</f>
        <v>UD3</v>
      </c>
      <c r="W23" s="867" t="str">
        <f>'$REV-DB'!$W$34</f>
        <v>UD4</v>
      </c>
      <c r="X23" s="867" t="str">
        <f>'$REV-DB'!$X$34</f>
        <v>UD5</v>
      </c>
      <c r="Y23" s="867" t="str">
        <f>'$REV-DB'!$Y$34</f>
        <v>UD6</v>
      </c>
      <c r="Z23" s="867" t="str">
        <f>'$REV-DB'!$Z$34</f>
        <v>UD7</v>
      </c>
      <c r="AA23" s="867" t="str">
        <f>'$REV-DB'!$AA$34</f>
        <v>UD8</v>
      </c>
      <c r="AB23" s="867" t="str">
        <f>'$REV-DB'!$AB$34</f>
        <v>UD9</v>
      </c>
      <c r="AC23" s="867" t="str">
        <f>'$REV-DB'!$AC$34</f>
        <v>UD10</v>
      </c>
      <c r="AD23" s="867" t="str">
        <f>'$REV-DB'!$AD$34</f>
        <v>UD11</v>
      </c>
      <c r="AE23" s="867" t="str">
        <f>'$REV-DB'!$AE$34</f>
        <v>UD12</v>
      </c>
      <c r="AF23" s="867" t="str">
        <f>'$REV-DB'!$AF$34</f>
        <v>UD13</v>
      </c>
      <c r="AG23" s="867" t="str">
        <f>'$REV-DB'!$AG$34</f>
        <v>UD14</v>
      </c>
    </row>
    <row r="24" spans="1:34" ht="15.95" customHeight="1" thickTop="1" thickBot="1">
      <c r="A24" s="7"/>
      <c r="B24" s="20" t="s">
        <v>4</v>
      </c>
      <c r="C24" s="15"/>
      <c r="D24" s="105" t="s">
        <v>186</v>
      </c>
      <c r="E24" s="105" t="s">
        <v>187</v>
      </c>
      <c r="F24" s="105" t="s">
        <v>188</v>
      </c>
      <c r="G24" s="105" t="s">
        <v>189</v>
      </c>
      <c r="H24" s="105" t="s">
        <v>11</v>
      </c>
      <c r="I24" s="105" t="s">
        <v>190</v>
      </c>
      <c r="J24" s="105" t="s">
        <v>191</v>
      </c>
      <c r="K24" s="105" t="s">
        <v>192</v>
      </c>
      <c r="L24" s="276" t="s">
        <v>203</v>
      </c>
      <c r="M24" s="105" t="s">
        <v>42</v>
      </c>
      <c r="N24" s="105" t="s">
        <v>148</v>
      </c>
      <c r="O24" s="105" t="s">
        <v>193</v>
      </c>
      <c r="P24" s="105" t="s">
        <v>142</v>
      </c>
      <c r="Q24" s="105" t="s">
        <v>194</v>
      </c>
      <c r="R24" s="112" t="s">
        <v>141</v>
      </c>
      <c r="S24" s="112" t="s">
        <v>672</v>
      </c>
      <c r="T24" s="857" t="s">
        <v>541</v>
      </c>
      <c r="U24" s="857" t="s">
        <v>542</v>
      </c>
      <c r="V24" s="857" t="s">
        <v>543</v>
      </c>
      <c r="W24" s="857" t="s">
        <v>544</v>
      </c>
      <c r="X24" s="857" t="s">
        <v>545</v>
      </c>
      <c r="Y24" s="857" t="s">
        <v>546</v>
      </c>
      <c r="Z24" s="857" t="s">
        <v>547</v>
      </c>
      <c r="AA24" s="857" t="s">
        <v>548</v>
      </c>
      <c r="AB24" s="857" t="s">
        <v>549</v>
      </c>
      <c r="AC24" s="857" t="s">
        <v>550</v>
      </c>
      <c r="AD24" s="857" t="s">
        <v>551</v>
      </c>
      <c r="AE24" s="857" t="s">
        <v>552</v>
      </c>
      <c r="AF24" s="857" t="s">
        <v>553</v>
      </c>
      <c r="AG24" s="857" t="s">
        <v>554</v>
      </c>
      <c r="AH24" s="6"/>
    </row>
    <row r="25" spans="1:34" ht="15.95" customHeight="1" thickTop="1">
      <c r="A25" s="7"/>
      <c r="B25" s="19" t="s">
        <v>145</v>
      </c>
      <c r="C25" s="12"/>
      <c r="D25" s="186"/>
      <c r="E25" s="186"/>
      <c r="F25" s="186"/>
      <c r="G25" s="186"/>
      <c r="H25" s="186"/>
      <c r="I25" s="186"/>
      <c r="J25" s="186"/>
      <c r="K25" s="186"/>
      <c r="L25" s="278" t="s">
        <v>34</v>
      </c>
      <c r="M25" s="186"/>
      <c r="N25" s="37" t="str">
        <f>J$6</f>
        <v>FY2010-11</v>
      </c>
      <c r="O25" s="186"/>
      <c r="P25" s="37" t="s">
        <v>138</v>
      </c>
      <c r="Q25" s="189" t="s">
        <v>180</v>
      </c>
      <c r="R25" s="186"/>
      <c r="S25" s="187"/>
      <c r="T25" s="187"/>
      <c r="U25" s="187"/>
      <c r="V25" s="188"/>
      <c r="W25" s="188"/>
      <c r="X25" s="188"/>
      <c r="Y25" s="188"/>
      <c r="Z25" s="188"/>
      <c r="AA25" s="188"/>
      <c r="AB25" s="188"/>
      <c r="AC25" s="188"/>
      <c r="AD25" s="188"/>
      <c r="AE25" s="188"/>
      <c r="AF25" s="188"/>
      <c r="AG25" s="188"/>
      <c r="AH25" s="6"/>
    </row>
    <row r="26" spans="1:34" ht="15.95" customHeight="1">
      <c r="A26" s="7"/>
      <c r="B26" s="16">
        <f>DSUM('$REV-DB'!D35:AG67,"AMOUNT",'$REV-DSUM'!D24:AG31)</f>
        <v>2309847075.6000004</v>
      </c>
      <c r="C26" s="12"/>
      <c r="D26" s="186"/>
      <c r="E26" s="186"/>
      <c r="F26" s="186"/>
      <c r="G26" s="186"/>
      <c r="H26" s="186"/>
      <c r="I26" s="186"/>
      <c r="J26" s="186"/>
      <c r="K26" s="186"/>
      <c r="L26" s="278" t="s">
        <v>34</v>
      </c>
      <c r="M26" s="186"/>
      <c r="N26" s="37" t="str">
        <f t="shared" ref="N26:N31" si="1">J$6</f>
        <v>FY2010-11</v>
      </c>
      <c r="O26" s="186"/>
      <c r="P26" s="37" t="s">
        <v>138</v>
      </c>
      <c r="Q26" s="189" t="s">
        <v>180</v>
      </c>
      <c r="R26" s="186"/>
      <c r="S26" s="187"/>
      <c r="T26" s="187"/>
      <c r="U26" s="187"/>
      <c r="V26" s="188"/>
      <c r="W26" s="188"/>
      <c r="X26" s="188"/>
      <c r="Y26" s="188"/>
      <c r="Z26" s="188"/>
      <c r="AA26" s="188"/>
      <c r="AB26" s="188"/>
      <c r="AC26" s="188"/>
      <c r="AD26" s="188"/>
      <c r="AE26" s="188"/>
      <c r="AF26" s="188"/>
      <c r="AG26" s="188"/>
      <c r="AH26" s="6"/>
    </row>
    <row r="27" spans="1:34" ht="15.95" customHeight="1">
      <c r="A27" s="7"/>
      <c r="B27" s="10"/>
      <c r="C27" s="12"/>
      <c r="D27" s="186"/>
      <c r="E27" s="186"/>
      <c r="F27" s="186"/>
      <c r="G27" s="186"/>
      <c r="H27" s="186"/>
      <c r="I27" s="186"/>
      <c r="J27" s="186"/>
      <c r="K27" s="186"/>
      <c r="L27" s="278" t="s">
        <v>34</v>
      </c>
      <c r="M27" s="186"/>
      <c r="N27" s="37" t="str">
        <f t="shared" si="1"/>
        <v>FY2010-11</v>
      </c>
      <c r="O27" s="186"/>
      <c r="P27" s="37" t="s">
        <v>138</v>
      </c>
      <c r="Q27" s="189" t="s">
        <v>180</v>
      </c>
      <c r="R27" s="186"/>
      <c r="S27" s="187"/>
      <c r="T27" s="187"/>
      <c r="U27" s="187"/>
      <c r="V27" s="188"/>
      <c r="W27" s="188"/>
      <c r="X27" s="188"/>
      <c r="Y27" s="188"/>
      <c r="Z27" s="188"/>
      <c r="AA27" s="188"/>
      <c r="AB27" s="188"/>
      <c r="AC27" s="188"/>
      <c r="AD27" s="188"/>
      <c r="AE27" s="188"/>
      <c r="AF27" s="188"/>
      <c r="AG27" s="188"/>
    </row>
    <row r="28" spans="1:34" ht="15.95" customHeight="1">
      <c r="A28" s="7"/>
      <c r="B28" s="10"/>
      <c r="C28" s="12"/>
      <c r="D28" s="186"/>
      <c r="E28" s="186"/>
      <c r="F28" s="186"/>
      <c r="G28" s="186"/>
      <c r="H28" s="186"/>
      <c r="I28" s="186"/>
      <c r="J28" s="186"/>
      <c r="K28" s="186"/>
      <c r="L28" s="278" t="s">
        <v>34</v>
      </c>
      <c r="M28" s="186"/>
      <c r="N28" s="37" t="str">
        <f t="shared" si="1"/>
        <v>FY2010-11</v>
      </c>
      <c r="O28" s="186"/>
      <c r="P28" s="37" t="s">
        <v>138</v>
      </c>
      <c r="Q28" s="189" t="s">
        <v>180</v>
      </c>
      <c r="R28" s="186"/>
      <c r="S28" s="187"/>
      <c r="T28" s="187"/>
      <c r="U28" s="187"/>
      <c r="V28" s="188"/>
      <c r="W28" s="188"/>
      <c r="X28" s="188"/>
      <c r="Y28" s="188"/>
      <c r="Z28" s="188"/>
      <c r="AA28" s="188"/>
      <c r="AB28" s="188"/>
      <c r="AC28" s="188"/>
      <c r="AD28" s="188"/>
      <c r="AE28" s="188"/>
      <c r="AF28" s="188"/>
      <c r="AG28" s="188"/>
    </row>
    <row r="29" spans="1:34" ht="15.95" customHeight="1">
      <c r="A29" s="7"/>
      <c r="B29" s="10"/>
      <c r="C29" s="12"/>
      <c r="D29" s="186"/>
      <c r="E29" s="186"/>
      <c r="F29" s="186"/>
      <c r="G29" s="186"/>
      <c r="H29" s="186"/>
      <c r="I29" s="186"/>
      <c r="J29" s="186"/>
      <c r="K29" s="186"/>
      <c r="L29" s="278" t="s">
        <v>34</v>
      </c>
      <c r="M29" s="186"/>
      <c r="N29" s="37" t="str">
        <f t="shared" si="1"/>
        <v>FY2010-11</v>
      </c>
      <c r="O29" s="186"/>
      <c r="P29" s="37" t="s">
        <v>138</v>
      </c>
      <c r="Q29" s="189" t="s">
        <v>180</v>
      </c>
      <c r="R29" s="186"/>
      <c r="S29" s="187"/>
      <c r="T29" s="187"/>
      <c r="U29" s="187"/>
      <c r="V29" s="188"/>
      <c r="W29" s="188"/>
      <c r="X29" s="188"/>
      <c r="Y29" s="188"/>
      <c r="Z29" s="188"/>
      <c r="AA29" s="188"/>
      <c r="AB29" s="188"/>
      <c r="AC29" s="188"/>
      <c r="AD29" s="188"/>
      <c r="AE29" s="188"/>
      <c r="AF29" s="188"/>
      <c r="AG29" s="188"/>
    </row>
    <row r="30" spans="1:34" ht="15.95" customHeight="1">
      <c r="A30" s="7"/>
      <c r="B30" s="10"/>
      <c r="C30" s="12"/>
      <c r="D30" s="186"/>
      <c r="E30" s="186"/>
      <c r="F30" s="186"/>
      <c r="G30" s="186"/>
      <c r="H30" s="186"/>
      <c r="I30" s="186"/>
      <c r="J30" s="186"/>
      <c r="K30" s="186"/>
      <c r="L30" s="278" t="s">
        <v>34</v>
      </c>
      <c r="M30" s="186"/>
      <c r="N30" s="37" t="str">
        <f t="shared" si="1"/>
        <v>FY2010-11</v>
      </c>
      <c r="O30" s="186"/>
      <c r="P30" s="37" t="s">
        <v>138</v>
      </c>
      <c r="Q30" s="189" t="s">
        <v>180</v>
      </c>
      <c r="R30" s="186"/>
      <c r="S30" s="187"/>
      <c r="T30" s="187"/>
      <c r="U30" s="187"/>
      <c r="V30" s="188"/>
      <c r="W30" s="188"/>
      <c r="X30" s="188"/>
      <c r="Y30" s="188"/>
      <c r="Z30" s="188"/>
      <c r="AA30" s="188"/>
      <c r="AB30" s="188"/>
      <c r="AC30" s="188"/>
      <c r="AD30" s="188"/>
      <c r="AE30" s="188"/>
      <c r="AF30" s="188"/>
      <c r="AG30" s="188"/>
    </row>
    <row r="31" spans="1:34" ht="15.95" customHeight="1">
      <c r="A31" s="7"/>
      <c r="B31" s="10"/>
      <c r="C31" s="12"/>
      <c r="D31" s="186"/>
      <c r="E31" s="186"/>
      <c r="F31" s="186"/>
      <c r="G31" s="186"/>
      <c r="H31" s="186"/>
      <c r="I31" s="186"/>
      <c r="J31" s="186"/>
      <c r="K31" s="186"/>
      <c r="L31" s="278" t="s">
        <v>34</v>
      </c>
      <c r="M31" s="186"/>
      <c r="N31" s="37" t="str">
        <f t="shared" si="1"/>
        <v>FY2010-11</v>
      </c>
      <c r="O31" s="186"/>
      <c r="P31" s="37" t="s">
        <v>138</v>
      </c>
      <c r="Q31" s="189" t="s">
        <v>180</v>
      </c>
      <c r="R31" s="186"/>
      <c r="S31" s="187"/>
      <c r="T31" s="187"/>
      <c r="U31" s="187"/>
      <c r="V31" s="188"/>
      <c r="W31" s="188"/>
      <c r="X31" s="188"/>
      <c r="Y31" s="188"/>
      <c r="Z31" s="188"/>
      <c r="AA31" s="188"/>
      <c r="AB31" s="188"/>
      <c r="AC31" s="188"/>
      <c r="AD31" s="188"/>
      <c r="AE31" s="188"/>
      <c r="AF31" s="188"/>
      <c r="AG31" s="188"/>
    </row>
    <row r="32" spans="1:34" ht="15.95" customHeight="1">
      <c r="A32" s="11"/>
      <c r="B32" s="12"/>
      <c r="C32" s="12"/>
      <c r="D32" s="13"/>
      <c r="E32" s="13"/>
      <c r="F32" s="14"/>
      <c r="G32" s="13"/>
      <c r="H32" s="14"/>
      <c r="I32" s="14"/>
      <c r="J32" s="13"/>
      <c r="K32" s="13"/>
      <c r="L32" s="13"/>
      <c r="M32" s="14"/>
      <c r="N32" s="14"/>
      <c r="O32" s="13"/>
      <c r="P32" s="14"/>
      <c r="Q32" s="14"/>
      <c r="R32" s="13"/>
      <c r="S32" s="13"/>
      <c r="T32" s="13"/>
      <c r="U32" s="13"/>
      <c r="V32" s="11"/>
      <c r="W32" s="11"/>
      <c r="X32" s="11"/>
      <c r="Y32" s="11"/>
      <c r="Z32" s="11"/>
      <c r="AA32" s="11"/>
      <c r="AB32" s="11"/>
      <c r="AC32" s="11"/>
      <c r="AD32" s="11"/>
      <c r="AE32" s="11"/>
      <c r="AF32" s="11"/>
      <c r="AG32" s="11"/>
    </row>
    <row r="33" spans="1:34" ht="15.95" customHeight="1" thickBot="1">
      <c r="A33" s="7"/>
      <c r="B33" s="19" t="s">
        <v>0</v>
      </c>
      <c r="C33" s="7"/>
      <c r="D33" s="8"/>
      <c r="E33" s="8"/>
      <c r="F33" s="9"/>
      <c r="G33" s="8"/>
      <c r="H33" s="9"/>
      <c r="I33" s="9"/>
      <c r="J33" s="8"/>
      <c r="K33" s="8"/>
      <c r="L33" s="8"/>
      <c r="M33" s="9"/>
      <c r="N33" s="9"/>
      <c r="O33" s="8"/>
      <c r="P33" s="9"/>
      <c r="Q33" s="9"/>
      <c r="R33" s="8"/>
      <c r="S33" s="866"/>
      <c r="T33" s="867" t="str">
        <f>'$REV-DB'!$T$34</f>
        <v>UD1</v>
      </c>
      <c r="U33" s="867" t="str">
        <f>'$REV-DB'!$U$34</f>
        <v>UD2</v>
      </c>
      <c r="V33" s="867" t="str">
        <f>'$REV-DB'!$V$34</f>
        <v>UD3</v>
      </c>
      <c r="W33" s="867" t="str">
        <f>'$REV-DB'!$W$34</f>
        <v>UD4</v>
      </c>
      <c r="X33" s="867" t="str">
        <f>'$REV-DB'!$X$34</f>
        <v>UD5</v>
      </c>
      <c r="Y33" s="867" t="str">
        <f>'$REV-DB'!$Y$34</f>
        <v>UD6</v>
      </c>
      <c r="Z33" s="867" t="str">
        <f>'$REV-DB'!$Z$34</f>
        <v>UD7</v>
      </c>
      <c r="AA33" s="867" t="str">
        <f>'$REV-DB'!$AA$34</f>
        <v>UD8</v>
      </c>
      <c r="AB33" s="867" t="str">
        <f>'$REV-DB'!$AB$34</f>
        <v>UD9</v>
      </c>
      <c r="AC33" s="867" t="str">
        <f>'$REV-DB'!$AC$34</f>
        <v>UD10</v>
      </c>
      <c r="AD33" s="867" t="str">
        <f>'$REV-DB'!$AD$34</f>
        <v>UD11</v>
      </c>
      <c r="AE33" s="867" t="str">
        <f>'$REV-DB'!$AE$34</f>
        <v>UD12</v>
      </c>
      <c r="AF33" s="867" t="str">
        <f>'$REV-DB'!$AF$34</f>
        <v>UD13</v>
      </c>
      <c r="AG33" s="867" t="str">
        <f>'$REV-DB'!$AG$34</f>
        <v>UD14</v>
      </c>
    </row>
    <row r="34" spans="1:34" ht="15.95" customHeight="1" thickTop="1" thickBot="1">
      <c r="A34" s="7"/>
      <c r="B34" s="20" t="s">
        <v>4</v>
      </c>
      <c r="C34" s="15"/>
      <c r="D34" s="105" t="s">
        <v>186</v>
      </c>
      <c r="E34" s="105" t="s">
        <v>187</v>
      </c>
      <c r="F34" s="105" t="s">
        <v>188</v>
      </c>
      <c r="G34" s="105" t="s">
        <v>189</v>
      </c>
      <c r="H34" s="301" t="s">
        <v>11</v>
      </c>
      <c r="I34" s="301" t="s">
        <v>190</v>
      </c>
      <c r="J34" s="301" t="s">
        <v>191</v>
      </c>
      <c r="K34" s="301" t="s">
        <v>192</v>
      </c>
      <c r="L34" s="301" t="s">
        <v>203</v>
      </c>
      <c r="M34" s="301" t="s">
        <v>42</v>
      </c>
      <c r="N34" s="105" t="s">
        <v>148</v>
      </c>
      <c r="O34" s="105" t="s">
        <v>193</v>
      </c>
      <c r="P34" s="105" t="s">
        <v>142</v>
      </c>
      <c r="Q34" s="105" t="s">
        <v>194</v>
      </c>
      <c r="R34" s="112" t="s">
        <v>141</v>
      </c>
      <c r="S34" s="112" t="s">
        <v>672</v>
      </c>
      <c r="T34" s="857" t="s">
        <v>541</v>
      </c>
      <c r="U34" s="857" t="s">
        <v>542</v>
      </c>
      <c r="V34" s="857" t="s">
        <v>543</v>
      </c>
      <c r="W34" s="857" t="s">
        <v>544</v>
      </c>
      <c r="X34" s="857" t="s">
        <v>545</v>
      </c>
      <c r="Y34" s="857" t="s">
        <v>546</v>
      </c>
      <c r="Z34" s="857" t="s">
        <v>547</v>
      </c>
      <c r="AA34" s="857" t="s">
        <v>548</v>
      </c>
      <c r="AB34" s="857" t="s">
        <v>549</v>
      </c>
      <c r="AC34" s="857" t="s">
        <v>550</v>
      </c>
      <c r="AD34" s="857" t="s">
        <v>551</v>
      </c>
      <c r="AE34" s="857" t="s">
        <v>552</v>
      </c>
      <c r="AF34" s="857" t="s">
        <v>553</v>
      </c>
      <c r="AG34" s="857" t="s">
        <v>554</v>
      </c>
      <c r="AH34" s="6"/>
    </row>
    <row r="35" spans="1:34" ht="15.95" customHeight="1" thickTop="1">
      <c r="A35" s="7"/>
      <c r="B35" s="19" t="s">
        <v>144</v>
      </c>
      <c r="C35" s="12"/>
      <c r="D35" s="186"/>
      <c r="E35" s="186"/>
      <c r="F35" s="186"/>
      <c r="G35" s="186"/>
      <c r="H35" s="186"/>
      <c r="I35" s="186"/>
      <c r="J35" s="186"/>
      <c r="K35" s="186"/>
      <c r="L35" s="278" t="s">
        <v>34</v>
      </c>
      <c r="M35" s="186"/>
      <c r="N35" s="37" t="str">
        <f>J$6</f>
        <v>FY2010-11</v>
      </c>
      <c r="O35" s="186"/>
      <c r="P35" s="37" t="s">
        <v>138</v>
      </c>
      <c r="Q35" s="189" t="s">
        <v>139</v>
      </c>
      <c r="R35" s="186"/>
      <c r="S35" s="187"/>
      <c r="T35" s="187"/>
      <c r="U35" s="187"/>
      <c r="V35" s="188"/>
      <c r="W35" s="188"/>
      <c r="X35" s="188"/>
      <c r="Y35" s="188"/>
      <c r="Z35" s="188"/>
      <c r="AA35" s="188"/>
      <c r="AB35" s="188"/>
      <c r="AC35" s="188"/>
      <c r="AD35" s="188"/>
      <c r="AE35" s="188"/>
      <c r="AF35" s="188"/>
      <c r="AG35" s="188"/>
      <c r="AH35" s="6"/>
    </row>
    <row r="36" spans="1:34" ht="15.95" customHeight="1">
      <c r="A36" s="7"/>
      <c r="B36" s="16">
        <f>DSUM('$REV-DB'!D35:AG67,"AMOUNT",'$REV-DSUM'!D34:AG41)</f>
        <v>7247915948.8899965</v>
      </c>
      <c r="C36" s="12"/>
      <c r="D36" s="186"/>
      <c r="E36" s="186"/>
      <c r="F36" s="186"/>
      <c r="G36" s="186"/>
      <c r="H36" s="186"/>
      <c r="I36" s="186"/>
      <c r="J36" s="186"/>
      <c r="K36" s="186"/>
      <c r="L36" s="278" t="s">
        <v>34</v>
      </c>
      <c r="M36" s="186"/>
      <c r="N36" s="37" t="str">
        <f t="shared" ref="N36:N41" si="2">J$6</f>
        <v>FY2010-11</v>
      </c>
      <c r="O36" s="186"/>
      <c r="P36" s="37" t="s">
        <v>138</v>
      </c>
      <c r="Q36" s="189" t="s">
        <v>139</v>
      </c>
      <c r="R36" s="186"/>
      <c r="S36" s="187"/>
      <c r="T36" s="187"/>
      <c r="U36" s="187"/>
      <c r="V36" s="188"/>
      <c r="W36" s="188"/>
      <c r="X36" s="188"/>
      <c r="Y36" s="188"/>
      <c r="Z36" s="188"/>
      <c r="AA36" s="188"/>
      <c r="AB36" s="188"/>
      <c r="AC36" s="188"/>
      <c r="AD36" s="188"/>
      <c r="AE36" s="188"/>
      <c r="AF36" s="188"/>
      <c r="AG36" s="188"/>
      <c r="AH36" s="6"/>
    </row>
    <row r="37" spans="1:34" ht="15.95" customHeight="1">
      <c r="A37" s="7"/>
      <c r="B37" s="10"/>
      <c r="C37" s="12"/>
      <c r="D37" s="186"/>
      <c r="E37" s="186"/>
      <c r="F37" s="186"/>
      <c r="G37" s="186"/>
      <c r="H37" s="186"/>
      <c r="I37" s="186"/>
      <c r="J37" s="186"/>
      <c r="K37" s="186"/>
      <c r="L37" s="278" t="s">
        <v>34</v>
      </c>
      <c r="M37" s="186"/>
      <c r="N37" s="37" t="str">
        <f t="shared" si="2"/>
        <v>FY2010-11</v>
      </c>
      <c r="O37" s="186"/>
      <c r="P37" s="37" t="s">
        <v>138</v>
      </c>
      <c r="Q37" s="189" t="s">
        <v>139</v>
      </c>
      <c r="R37" s="186"/>
      <c r="S37" s="187"/>
      <c r="T37" s="187"/>
      <c r="U37" s="187"/>
      <c r="V37" s="188"/>
      <c r="W37" s="188"/>
      <c r="X37" s="188"/>
      <c r="Y37" s="188"/>
      <c r="Z37" s="188"/>
      <c r="AA37" s="188"/>
      <c r="AB37" s="188"/>
      <c r="AC37" s="188"/>
      <c r="AD37" s="188"/>
      <c r="AE37" s="188"/>
      <c r="AF37" s="188"/>
      <c r="AG37" s="188"/>
    </row>
    <row r="38" spans="1:34" ht="15.95" customHeight="1">
      <c r="A38" s="7"/>
      <c r="B38" s="10"/>
      <c r="C38" s="12"/>
      <c r="D38" s="186"/>
      <c r="E38" s="186"/>
      <c r="F38" s="186"/>
      <c r="G38" s="186"/>
      <c r="H38" s="186"/>
      <c r="I38" s="186"/>
      <c r="J38" s="186"/>
      <c r="K38" s="186"/>
      <c r="L38" s="278" t="s">
        <v>34</v>
      </c>
      <c r="M38" s="186"/>
      <c r="N38" s="37" t="str">
        <f t="shared" si="2"/>
        <v>FY2010-11</v>
      </c>
      <c r="O38" s="186"/>
      <c r="P38" s="37" t="s">
        <v>138</v>
      </c>
      <c r="Q38" s="189" t="s">
        <v>139</v>
      </c>
      <c r="R38" s="186"/>
      <c r="S38" s="187"/>
      <c r="T38" s="187"/>
      <c r="U38" s="187"/>
      <c r="V38" s="188"/>
      <c r="W38" s="188"/>
      <c r="X38" s="188"/>
      <c r="Y38" s="188"/>
      <c r="Z38" s="188"/>
      <c r="AA38" s="188"/>
      <c r="AB38" s="188"/>
      <c r="AC38" s="188"/>
      <c r="AD38" s="188"/>
      <c r="AE38" s="188"/>
      <c r="AF38" s="188"/>
      <c r="AG38" s="188"/>
    </row>
    <row r="39" spans="1:34" ht="15.95" customHeight="1">
      <c r="A39" s="7"/>
      <c r="B39" s="10"/>
      <c r="C39" s="12"/>
      <c r="D39" s="186"/>
      <c r="E39" s="186"/>
      <c r="F39" s="186"/>
      <c r="G39" s="186"/>
      <c r="H39" s="186"/>
      <c r="I39" s="186"/>
      <c r="J39" s="186"/>
      <c r="K39" s="186"/>
      <c r="L39" s="278" t="s">
        <v>34</v>
      </c>
      <c r="M39" s="186"/>
      <c r="N39" s="37" t="str">
        <f t="shared" si="2"/>
        <v>FY2010-11</v>
      </c>
      <c r="O39" s="186"/>
      <c r="P39" s="37" t="s">
        <v>138</v>
      </c>
      <c r="Q39" s="189" t="s">
        <v>139</v>
      </c>
      <c r="R39" s="186"/>
      <c r="S39" s="187"/>
      <c r="T39" s="187"/>
      <c r="U39" s="187"/>
      <c r="V39" s="188"/>
      <c r="W39" s="188"/>
      <c r="X39" s="188"/>
      <c r="Y39" s="188"/>
      <c r="Z39" s="188"/>
      <c r="AA39" s="188"/>
      <c r="AB39" s="188"/>
      <c r="AC39" s="188"/>
      <c r="AD39" s="188"/>
      <c r="AE39" s="188"/>
      <c r="AF39" s="188"/>
      <c r="AG39" s="188"/>
    </row>
    <row r="40" spans="1:34" ht="15.95" customHeight="1">
      <c r="A40" s="7"/>
      <c r="B40" s="10"/>
      <c r="C40" s="12"/>
      <c r="D40" s="186"/>
      <c r="E40" s="186"/>
      <c r="F40" s="186"/>
      <c r="G40" s="186"/>
      <c r="H40" s="186"/>
      <c r="I40" s="186"/>
      <c r="J40" s="186"/>
      <c r="K40" s="186"/>
      <c r="L40" s="278" t="s">
        <v>34</v>
      </c>
      <c r="M40" s="186"/>
      <c r="N40" s="37" t="str">
        <f t="shared" si="2"/>
        <v>FY2010-11</v>
      </c>
      <c r="O40" s="186"/>
      <c r="P40" s="37" t="s">
        <v>138</v>
      </c>
      <c r="Q40" s="189" t="s">
        <v>139</v>
      </c>
      <c r="R40" s="186"/>
      <c r="S40" s="187"/>
      <c r="T40" s="187"/>
      <c r="U40" s="187"/>
      <c r="V40" s="188"/>
      <c r="W40" s="188"/>
      <c r="X40" s="188"/>
      <c r="Y40" s="188"/>
      <c r="Z40" s="188"/>
      <c r="AA40" s="188"/>
      <c r="AB40" s="188"/>
      <c r="AC40" s="188"/>
      <c r="AD40" s="188"/>
      <c r="AE40" s="188"/>
      <c r="AF40" s="188"/>
      <c r="AG40" s="188"/>
    </row>
    <row r="41" spans="1:34" ht="15.95" customHeight="1">
      <c r="A41" s="7"/>
      <c r="B41" s="10"/>
      <c r="C41" s="12"/>
      <c r="D41" s="186"/>
      <c r="E41" s="186"/>
      <c r="F41" s="186"/>
      <c r="G41" s="186"/>
      <c r="H41" s="186"/>
      <c r="I41" s="186"/>
      <c r="J41" s="186"/>
      <c r="K41" s="186"/>
      <c r="L41" s="278" t="s">
        <v>34</v>
      </c>
      <c r="M41" s="186"/>
      <c r="N41" s="37" t="str">
        <f t="shared" si="2"/>
        <v>FY2010-11</v>
      </c>
      <c r="O41" s="186"/>
      <c r="P41" s="37" t="s">
        <v>138</v>
      </c>
      <c r="Q41" s="189" t="s">
        <v>139</v>
      </c>
      <c r="R41" s="186"/>
      <c r="S41" s="187"/>
      <c r="T41" s="187"/>
      <c r="U41" s="187"/>
      <c r="V41" s="188"/>
      <c r="W41" s="188"/>
      <c r="X41" s="188"/>
      <c r="Y41" s="188"/>
      <c r="Z41" s="188"/>
      <c r="AA41" s="188"/>
      <c r="AB41" s="188"/>
      <c r="AC41" s="188"/>
      <c r="AD41" s="188"/>
      <c r="AE41" s="188"/>
      <c r="AF41" s="188"/>
      <c r="AG41" s="188"/>
    </row>
    <row r="42" spans="1:34" ht="15.95" customHeight="1">
      <c r="A42" s="11"/>
      <c r="B42" s="12"/>
      <c r="C42" s="12"/>
      <c r="D42" s="13"/>
      <c r="E42" s="13"/>
      <c r="F42" s="14"/>
      <c r="G42" s="13"/>
      <c r="H42" s="14"/>
      <c r="I42" s="14"/>
      <c r="J42" s="13"/>
      <c r="K42" s="13"/>
      <c r="L42" s="279"/>
      <c r="M42" s="14"/>
      <c r="N42" s="14"/>
      <c r="O42" s="13"/>
      <c r="P42" s="14"/>
      <c r="Q42" s="14"/>
      <c r="R42" s="13"/>
      <c r="S42" s="13"/>
      <c r="T42" s="13"/>
      <c r="U42" s="13"/>
      <c r="V42" s="11"/>
      <c r="W42" s="11"/>
      <c r="X42" s="11"/>
      <c r="Y42" s="11"/>
      <c r="Z42" s="11"/>
      <c r="AA42" s="11"/>
      <c r="AB42" s="11"/>
      <c r="AC42" s="11"/>
      <c r="AD42" s="11"/>
      <c r="AE42" s="11"/>
      <c r="AF42" s="11"/>
      <c r="AG42" s="11"/>
    </row>
    <row r="43" spans="1:34" ht="15.95" customHeight="1" thickBot="1">
      <c r="A43" s="7"/>
      <c r="B43" s="19" t="s">
        <v>0</v>
      </c>
      <c r="C43" s="7"/>
      <c r="D43" s="8"/>
      <c r="E43" s="8"/>
      <c r="F43" s="9"/>
      <c r="G43" s="8"/>
      <c r="H43" s="9"/>
      <c r="I43" s="9"/>
      <c r="J43" s="8"/>
      <c r="K43" s="8"/>
      <c r="L43" s="280"/>
      <c r="M43" s="9"/>
      <c r="N43" s="9"/>
      <c r="O43" s="8"/>
      <c r="P43" s="9"/>
      <c r="Q43" s="9"/>
      <c r="R43" s="8"/>
      <c r="S43" s="866"/>
      <c r="T43" s="867" t="str">
        <f>'$REV-DB'!$T$34</f>
        <v>UD1</v>
      </c>
      <c r="U43" s="867" t="str">
        <f>'$REV-DB'!$U$34</f>
        <v>UD2</v>
      </c>
      <c r="V43" s="867" t="str">
        <f>'$REV-DB'!$V$34</f>
        <v>UD3</v>
      </c>
      <c r="W43" s="867" t="str">
        <f>'$REV-DB'!$W$34</f>
        <v>UD4</v>
      </c>
      <c r="X43" s="867" t="str">
        <f>'$REV-DB'!$X$34</f>
        <v>UD5</v>
      </c>
      <c r="Y43" s="867" t="str">
        <f>'$REV-DB'!$Y$34</f>
        <v>UD6</v>
      </c>
      <c r="Z43" s="867" t="str">
        <f>'$REV-DB'!$Z$34</f>
        <v>UD7</v>
      </c>
      <c r="AA43" s="867" t="str">
        <f>'$REV-DB'!$AA$34</f>
        <v>UD8</v>
      </c>
      <c r="AB43" s="867" t="str">
        <f>'$REV-DB'!$AB$34</f>
        <v>UD9</v>
      </c>
      <c r="AC43" s="867" t="str">
        <f>'$REV-DB'!$AC$34</f>
        <v>UD10</v>
      </c>
      <c r="AD43" s="867" t="str">
        <f>'$REV-DB'!$AD$34</f>
        <v>UD11</v>
      </c>
      <c r="AE43" s="867" t="str">
        <f>'$REV-DB'!$AE$34</f>
        <v>UD12</v>
      </c>
      <c r="AF43" s="867" t="str">
        <f>'$REV-DB'!$AF$34</f>
        <v>UD13</v>
      </c>
      <c r="AG43" s="867" t="str">
        <f>'$REV-DB'!$AG$34</f>
        <v>UD14</v>
      </c>
    </row>
    <row r="44" spans="1:34" ht="15.95" customHeight="1" thickTop="1" thickBot="1">
      <c r="A44" s="7"/>
      <c r="B44" s="20" t="s">
        <v>4</v>
      </c>
      <c r="C44" s="15"/>
      <c r="D44" s="105" t="s">
        <v>186</v>
      </c>
      <c r="E44" s="105" t="s">
        <v>187</v>
      </c>
      <c r="F44" s="105" t="s">
        <v>188</v>
      </c>
      <c r="G44" s="105" t="s">
        <v>189</v>
      </c>
      <c r="H44" s="301" t="s">
        <v>11</v>
      </c>
      <c r="I44" s="301" t="s">
        <v>190</v>
      </c>
      <c r="J44" s="301" t="s">
        <v>191</v>
      </c>
      <c r="K44" s="301" t="s">
        <v>192</v>
      </c>
      <c r="L44" s="301" t="s">
        <v>203</v>
      </c>
      <c r="M44" s="301" t="s">
        <v>42</v>
      </c>
      <c r="N44" s="105" t="s">
        <v>148</v>
      </c>
      <c r="O44" s="105" t="s">
        <v>193</v>
      </c>
      <c r="P44" s="105" t="s">
        <v>142</v>
      </c>
      <c r="Q44" s="105" t="s">
        <v>194</v>
      </c>
      <c r="R44" s="112" t="s">
        <v>141</v>
      </c>
      <c r="S44" s="112" t="s">
        <v>672</v>
      </c>
      <c r="T44" s="857" t="s">
        <v>541</v>
      </c>
      <c r="U44" s="857" t="s">
        <v>542</v>
      </c>
      <c r="V44" s="857" t="s">
        <v>543</v>
      </c>
      <c r="W44" s="857" t="s">
        <v>544</v>
      </c>
      <c r="X44" s="857" t="s">
        <v>545</v>
      </c>
      <c r="Y44" s="857" t="s">
        <v>546</v>
      </c>
      <c r="Z44" s="857" t="s">
        <v>547</v>
      </c>
      <c r="AA44" s="857" t="s">
        <v>548</v>
      </c>
      <c r="AB44" s="857" t="s">
        <v>549</v>
      </c>
      <c r="AC44" s="857" t="s">
        <v>550</v>
      </c>
      <c r="AD44" s="857" t="s">
        <v>551</v>
      </c>
      <c r="AE44" s="857" t="s">
        <v>552</v>
      </c>
      <c r="AF44" s="857" t="s">
        <v>553</v>
      </c>
      <c r="AG44" s="857" t="s">
        <v>554</v>
      </c>
      <c r="AH44" s="6"/>
    </row>
    <row r="45" spans="1:34" ht="15.95" customHeight="1" thickTop="1">
      <c r="A45" s="7"/>
      <c r="B45" s="19" t="s">
        <v>143</v>
      </c>
      <c r="C45" s="12"/>
      <c r="D45" s="186"/>
      <c r="E45" s="186"/>
      <c r="F45" s="186"/>
      <c r="G45" s="186"/>
      <c r="H45" s="186"/>
      <c r="I45" s="186"/>
      <c r="J45" s="186"/>
      <c r="K45" s="186"/>
      <c r="L45" s="278" t="s">
        <v>34</v>
      </c>
      <c r="M45" s="186"/>
      <c r="N45" s="37" t="str">
        <f>J$6</f>
        <v>FY2010-11</v>
      </c>
      <c r="O45" s="186"/>
      <c r="P45" s="37" t="s">
        <v>138</v>
      </c>
      <c r="Q45" s="189" t="s">
        <v>179</v>
      </c>
      <c r="R45" s="186"/>
      <c r="S45" s="187"/>
      <c r="T45" s="187"/>
      <c r="U45" s="187"/>
      <c r="V45" s="188"/>
      <c r="W45" s="188"/>
      <c r="X45" s="188"/>
      <c r="Y45" s="188"/>
      <c r="Z45" s="188"/>
      <c r="AA45" s="188"/>
      <c r="AB45" s="188"/>
      <c r="AC45" s="188"/>
      <c r="AD45" s="188"/>
      <c r="AE45" s="188"/>
      <c r="AF45" s="188"/>
      <c r="AG45" s="188"/>
      <c r="AH45" s="6"/>
    </row>
    <row r="46" spans="1:34" ht="15.95" customHeight="1">
      <c r="A46" s="7"/>
      <c r="B46" s="16">
        <f>DSUM('$REV-DB'!D35:AG67,"AMOUNT",'$REV-DSUM'!D44:AG51)</f>
        <v>7397378170.6699982</v>
      </c>
      <c r="C46" s="12"/>
      <c r="D46" s="186"/>
      <c r="E46" s="186"/>
      <c r="F46" s="186"/>
      <c r="G46" s="186"/>
      <c r="H46" s="186"/>
      <c r="I46" s="186"/>
      <c r="J46" s="186"/>
      <c r="K46" s="186"/>
      <c r="L46" s="278" t="s">
        <v>34</v>
      </c>
      <c r="M46" s="186"/>
      <c r="N46" s="37" t="str">
        <f t="shared" ref="N46:N51" si="3">J$6</f>
        <v>FY2010-11</v>
      </c>
      <c r="O46" s="186"/>
      <c r="P46" s="37" t="s">
        <v>138</v>
      </c>
      <c r="Q46" s="189" t="s">
        <v>179</v>
      </c>
      <c r="R46" s="186"/>
      <c r="S46" s="187"/>
      <c r="T46" s="187"/>
      <c r="U46" s="187"/>
      <c r="V46" s="188"/>
      <c r="W46" s="188"/>
      <c r="X46" s="188"/>
      <c r="Y46" s="188"/>
      <c r="Z46" s="188"/>
      <c r="AA46" s="188"/>
      <c r="AB46" s="188"/>
      <c r="AC46" s="188"/>
      <c r="AD46" s="188"/>
      <c r="AE46" s="188"/>
      <c r="AF46" s="188"/>
      <c r="AG46" s="188"/>
      <c r="AH46" s="6"/>
    </row>
    <row r="47" spans="1:34" ht="15.95" customHeight="1">
      <c r="A47" s="7"/>
      <c r="B47" s="10"/>
      <c r="C47" s="12"/>
      <c r="D47" s="186"/>
      <c r="E47" s="186"/>
      <c r="F47" s="186"/>
      <c r="G47" s="186"/>
      <c r="H47" s="186"/>
      <c r="I47" s="186"/>
      <c r="J47" s="186"/>
      <c r="K47" s="186"/>
      <c r="L47" s="278" t="s">
        <v>34</v>
      </c>
      <c r="M47" s="186"/>
      <c r="N47" s="37" t="str">
        <f t="shared" si="3"/>
        <v>FY2010-11</v>
      </c>
      <c r="O47" s="186"/>
      <c r="P47" s="37" t="s">
        <v>138</v>
      </c>
      <c r="Q47" s="189" t="s">
        <v>179</v>
      </c>
      <c r="R47" s="186"/>
      <c r="S47" s="187"/>
      <c r="T47" s="187"/>
      <c r="U47" s="187"/>
      <c r="V47" s="188"/>
      <c r="W47" s="188"/>
      <c r="X47" s="188"/>
      <c r="Y47" s="188"/>
      <c r="Z47" s="188"/>
      <c r="AA47" s="188"/>
      <c r="AB47" s="188"/>
      <c r="AC47" s="188"/>
      <c r="AD47" s="188"/>
      <c r="AE47" s="188"/>
      <c r="AF47" s="188"/>
      <c r="AG47" s="188"/>
    </row>
    <row r="48" spans="1:34" ht="15.95" customHeight="1">
      <c r="A48" s="7"/>
      <c r="B48" s="10"/>
      <c r="C48" s="12"/>
      <c r="D48" s="186"/>
      <c r="E48" s="186"/>
      <c r="F48" s="186"/>
      <c r="G48" s="186"/>
      <c r="H48" s="186"/>
      <c r="I48" s="186"/>
      <c r="J48" s="186"/>
      <c r="K48" s="186"/>
      <c r="L48" s="278" t="s">
        <v>34</v>
      </c>
      <c r="M48" s="186"/>
      <c r="N48" s="37" t="str">
        <f t="shared" si="3"/>
        <v>FY2010-11</v>
      </c>
      <c r="O48" s="186"/>
      <c r="P48" s="37" t="s">
        <v>138</v>
      </c>
      <c r="Q48" s="189" t="s">
        <v>179</v>
      </c>
      <c r="R48" s="186"/>
      <c r="S48" s="187"/>
      <c r="T48" s="187"/>
      <c r="U48" s="187"/>
      <c r="V48" s="188"/>
      <c r="W48" s="188"/>
      <c r="X48" s="188"/>
      <c r="Y48" s="188"/>
      <c r="Z48" s="188"/>
      <c r="AA48" s="188"/>
      <c r="AB48" s="188"/>
      <c r="AC48" s="188"/>
      <c r="AD48" s="188"/>
      <c r="AE48" s="188"/>
      <c r="AF48" s="188"/>
      <c r="AG48" s="188"/>
    </row>
    <row r="49" spans="1:34" ht="15.95" customHeight="1">
      <c r="A49" s="7"/>
      <c r="B49" s="10"/>
      <c r="C49" s="12"/>
      <c r="D49" s="186"/>
      <c r="E49" s="186"/>
      <c r="F49" s="186"/>
      <c r="G49" s="186"/>
      <c r="H49" s="186"/>
      <c r="I49" s="186"/>
      <c r="J49" s="186"/>
      <c r="K49" s="186"/>
      <c r="L49" s="278" t="s">
        <v>34</v>
      </c>
      <c r="M49" s="186"/>
      <c r="N49" s="37" t="str">
        <f t="shared" si="3"/>
        <v>FY2010-11</v>
      </c>
      <c r="O49" s="186"/>
      <c r="P49" s="37" t="s">
        <v>138</v>
      </c>
      <c r="Q49" s="189" t="s">
        <v>179</v>
      </c>
      <c r="R49" s="186"/>
      <c r="S49" s="187"/>
      <c r="T49" s="187"/>
      <c r="U49" s="187"/>
      <c r="V49" s="188"/>
      <c r="W49" s="188"/>
      <c r="X49" s="188"/>
      <c r="Y49" s="188"/>
      <c r="Z49" s="188"/>
      <c r="AA49" s="188"/>
      <c r="AB49" s="188"/>
      <c r="AC49" s="188"/>
      <c r="AD49" s="188"/>
      <c r="AE49" s="188"/>
      <c r="AF49" s="188"/>
      <c r="AG49" s="188"/>
    </row>
    <row r="50" spans="1:34" ht="15.95" customHeight="1">
      <c r="A50" s="7"/>
      <c r="B50" s="10"/>
      <c r="C50" s="12"/>
      <c r="D50" s="186"/>
      <c r="E50" s="186"/>
      <c r="F50" s="186"/>
      <c r="G50" s="186"/>
      <c r="H50" s="186"/>
      <c r="I50" s="186"/>
      <c r="J50" s="186"/>
      <c r="K50" s="186"/>
      <c r="L50" s="278" t="s">
        <v>34</v>
      </c>
      <c r="M50" s="186"/>
      <c r="N50" s="37" t="str">
        <f t="shared" si="3"/>
        <v>FY2010-11</v>
      </c>
      <c r="O50" s="186"/>
      <c r="P50" s="37" t="s">
        <v>138</v>
      </c>
      <c r="Q50" s="189" t="s">
        <v>179</v>
      </c>
      <c r="R50" s="186"/>
      <c r="S50" s="187"/>
      <c r="T50" s="187"/>
      <c r="U50" s="187"/>
      <c r="V50" s="188"/>
      <c r="W50" s="188"/>
      <c r="X50" s="188"/>
      <c r="Y50" s="188"/>
      <c r="Z50" s="188"/>
      <c r="AA50" s="188"/>
      <c r="AB50" s="188"/>
      <c r="AC50" s="188"/>
      <c r="AD50" s="188"/>
      <c r="AE50" s="188"/>
      <c r="AF50" s="188"/>
      <c r="AG50" s="188"/>
    </row>
    <row r="51" spans="1:34" ht="15.95" customHeight="1">
      <c r="A51" s="7"/>
      <c r="B51" s="10"/>
      <c r="C51" s="12"/>
      <c r="D51" s="186"/>
      <c r="E51" s="186"/>
      <c r="F51" s="186"/>
      <c r="G51" s="186"/>
      <c r="H51" s="186"/>
      <c r="I51" s="186"/>
      <c r="J51" s="186"/>
      <c r="K51" s="186"/>
      <c r="L51" s="278" t="s">
        <v>34</v>
      </c>
      <c r="M51" s="186"/>
      <c r="N51" s="37" t="str">
        <f t="shared" si="3"/>
        <v>FY2010-11</v>
      </c>
      <c r="O51" s="186"/>
      <c r="P51" s="37" t="s">
        <v>138</v>
      </c>
      <c r="Q51" s="189" t="s">
        <v>179</v>
      </c>
      <c r="R51" s="186"/>
      <c r="S51" s="187"/>
      <c r="T51" s="187"/>
      <c r="U51" s="187"/>
      <c r="V51" s="188"/>
      <c r="W51" s="188"/>
      <c r="X51" s="188"/>
      <c r="Y51" s="188"/>
      <c r="Z51" s="188"/>
      <c r="AA51" s="188"/>
      <c r="AB51" s="188"/>
      <c r="AC51" s="188"/>
      <c r="AD51" s="188"/>
      <c r="AE51" s="188"/>
      <c r="AF51" s="188"/>
      <c r="AG51" s="188"/>
    </row>
    <row r="52" spans="1:34" ht="15.95" customHeight="1">
      <c r="A52" s="11"/>
      <c r="B52" s="12"/>
      <c r="C52" s="12"/>
      <c r="D52" s="13"/>
      <c r="E52" s="13"/>
      <c r="F52" s="14"/>
      <c r="G52" s="13"/>
      <c r="H52" s="14"/>
      <c r="I52" s="14"/>
      <c r="J52" s="13"/>
      <c r="K52" s="13"/>
      <c r="L52" s="279"/>
      <c r="M52" s="14"/>
      <c r="N52" s="14"/>
      <c r="O52" s="13"/>
      <c r="P52" s="14"/>
      <c r="Q52" s="14"/>
      <c r="R52" s="13"/>
      <c r="S52" s="13"/>
      <c r="T52" s="13"/>
      <c r="U52" s="13"/>
      <c r="V52" s="11"/>
      <c r="W52" s="11"/>
      <c r="X52" s="11"/>
      <c r="Y52" s="11"/>
      <c r="Z52" s="11"/>
      <c r="AA52" s="11"/>
      <c r="AB52" s="11"/>
      <c r="AC52" s="11"/>
      <c r="AD52" s="11"/>
      <c r="AE52" s="11"/>
      <c r="AF52" s="11"/>
      <c r="AG52" s="11"/>
    </row>
    <row r="53" spans="1:34" ht="15.95" customHeight="1" thickBot="1">
      <c r="A53" s="7"/>
      <c r="B53" s="19" t="s">
        <v>0</v>
      </c>
      <c r="C53" s="7"/>
      <c r="D53" s="8"/>
      <c r="E53" s="8"/>
      <c r="F53" s="9"/>
      <c r="G53" s="8"/>
      <c r="H53" s="9"/>
      <c r="I53" s="9"/>
      <c r="J53" s="8"/>
      <c r="K53" s="8"/>
      <c r="L53" s="280"/>
      <c r="M53" s="9"/>
      <c r="N53" s="9"/>
      <c r="O53" s="8"/>
      <c r="P53" s="9"/>
      <c r="Q53" s="9"/>
      <c r="R53" s="8"/>
      <c r="S53" s="866"/>
      <c r="T53" s="867" t="str">
        <f>'$REV-DB'!$T$34</f>
        <v>UD1</v>
      </c>
      <c r="U53" s="867" t="str">
        <f>'$REV-DB'!$U$34</f>
        <v>UD2</v>
      </c>
      <c r="V53" s="867" t="str">
        <f>'$REV-DB'!$V$34</f>
        <v>UD3</v>
      </c>
      <c r="W53" s="867" t="str">
        <f>'$REV-DB'!$W$34</f>
        <v>UD4</v>
      </c>
      <c r="X53" s="867" t="str">
        <f>'$REV-DB'!$X$34</f>
        <v>UD5</v>
      </c>
      <c r="Y53" s="867" t="str">
        <f>'$REV-DB'!$Y$34</f>
        <v>UD6</v>
      </c>
      <c r="Z53" s="867" t="str">
        <f>'$REV-DB'!$Z$34</f>
        <v>UD7</v>
      </c>
      <c r="AA53" s="867" t="str">
        <f>'$REV-DB'!$AA$34</f>
        <v>UD8</v>
      </c>
      <c r="AB53" s="867" t="str">
        <f>'$REV-DB'!$AB$34</f>
        <v>UD9</v>
      </c>
      <c r="AC53" s="867" t="str">
        <f>'$REV-DB'!$AC$34</f>
        <v>UD10</v>
      </c>
      <c r="AD53" s="867" t="str">
        <f>'$REV-DB'!$AD$34</f>
        <v>UD11</v>
      </c>
      <c r="AE53" s="867" t="str">
        <f>'$REV-DB'!$AE$34</f>
        <v>UD12</v>
      </c>
      <c r="AF53" s="867" t="str">
        <f>'$REV-DB'!$AF$34</f>
        <v>UD13</v>
      </c>
      <c r="AG53" s="867" t="str">
        <f>'$REV-DB'!$AG$34</f>
        <v>UD14</v>
      </c>
    </row>
    <row r="54" spans="1:34" ht="15.95" customHeight="1" thickTop="1" thickBot="1">
      <c r="A54" s="7"/>
      <c r="B54" s="20" t="s">
        <v>4</v>
      </c>
      <c r="C54" s="15"/>
      <c r="D54" s="105" t="s">
        <v>186</v>
      </c>
      <c r="E54" s="105" t="s">
        <v>187</v>
      </c>
      <c r="F54" s="105" t="s">
        <v>188</v>
      </c>
      <c r="G54" s="105" t="s">
        <v>189</v>
      </c>
      <c r="H54" s="301" t="s">
        <v>11</v>
      </c>
      <c r="I54" s="301" t="s">
        <v>190</v>
      </c>
      <c r="J54" s="301" t="s">
        <v>191</v>
      </c>
      <c r="K54" s="301" t="s">
        <v>192</v>
      </c>
      <c r="L54" s="301" t="s">
        <v>203</v>
      </c>
      <c r="M54" s="301" t="s">
        <v>42</v>
      </c>
      <c r="N54" s="105" t="s">
        <v>148</v>
      </c>
      <c r="O54" s="105" t="s">
        <v>193</v>
      </c>
      <c r="P54" s="105" t="s">
        <v>142</v>
      </c>
      <c r="Q54" s="105" t="s">
        <v>194</v>
      </c>
      <c r="R54" s="112" t="s">
        <v>141</v>
      </c>
      <c r="S54" s="112" t="s">
        <v>672</v>
      </c>
      <c r="T54" s="857" t="s">
        <v>541</v>
      </c>
      <c r="U54" s="857" t="s">
        <v>542</v>
      </c>
      <c r="V54" s="857" t="s">
        <v>543</v>
      </c>
      <c r="W54" s="857" t="s">
        <v>544</v>
      </c>
      <c r="X54" s="857" t="s">
        <v>545</v>
      </c>
      <c r="Y54" s="857" t="s">
        <v>546</v>
      </c>
      <c r="Z54" s="857" t="s">
        <v>547</v>
      </c>
      <c r="AA54" s="857" t="s">
        <v>548</v>
      </c>
      <c r="AB54" s="857" t="s">
        <v>549</v>
      </c>
      <c r="AC54" s="857" t="s">
        <v>550</v>
      </c>
      <c r="AD54" s="857" t="s">
        <v>551</v>
      </c>
      <c r="AE54" s="857" t="s">
        <v>552</v>
      </c>
      <c r="AF54" s="857" t="s">
        <v>553</v>
      </c>
      <c r="AG54" s="857" t="s">
        <v>554</v>
      </c>
      <c r="AH54" s="6"/>
    </row>
    <row r="55" spans="1:34" ht="15.95" customHeight="1" thickTop="1">
      <c r="A55" s="7"/>
      <c r="B55" s="19" t="s">
        <v>149</v>
      </c>
      <c r="C55" s="12"/>
      <c r="D55" s="186"/>
      <c r="E55" s="186"/>
      <c r="F55" s="186"/>
      <c r="G55" s="186"/>
      <c r="H55" s="186"/>
      <c r="I55" s="186"/>
      <c r="J55" s="186"/>
      <c r="K55" s="186"/>
      <c r="L55" s="278" t="s">
        <v>34</v>
      </c>
      <c r="M55" s="186"/>
      <c r="N55" s="37" t="str">
        <f>J$6</f>
        <v>FY2010-11</v>
      </c>
      <c r="O55" s="186"/>
      <c r="P55" s="37" t="s">
        <v>138</v>
      </c>
      <c r="Q55" s="189" t="s">
        <v>2</v>
      </c>
      <c r="R55" s="186"/>
      <c r="S55" s="187"/>
      <c r="T55" s="187"/>
      <c r="U55" s="187"/>
      <c r="V55" s="188"/>
      <c r="W55" s="188"/>
      <c r="X55" s="188"/>
      <c r="Y55" s="188"/>
      <c r="Z55" s="188"/>
      <c r="AA55" s="188"/>
      <c r="AB55" s="188"/>
      <c r="AC55" s="188"/>
      <c r="AD55" s="188"/>
      <c r="AE55" s="188"/>
      <c r="AF55" s="188"/>
      <c r="AG55" s="188"/>
      <c r="AH55" s="6"/>
    </row>
    <row r="56" spans="1:34" ht="15.95" customHeight="1">
      <c r="A56" s="7"/>
      <c r="B56" s="16">
        <f>DSUM('$REV-DB'!D35:AG67,"AMOUNT",'$REV-DSUM'!D54:AG61)</f>
        <v>1059418442.5899998</v>
      </c>
      <c r="C56" s="12"/>
      <c r="D56" s="186"/>
      <c r="E56" s="186"/>
      <c r="F56" s="186"/>
      <c r="G56" s="186"/>
      <c r="H56" s="186"/>
      <c r="I56" s="186"/>
      <c r="J56" s="186"/>
      <c r="K56" s="186"/>
      <c r="L56" s="278" t="s">
        <v>34</v>
      </c>
      <c r="M56" s="186"/>
      <c r="N56" s="37" t="str">
        <f t="shared" ref="N56:N61" si="4">J$6</f>
        <v>FY2010-11</v>
      </c>
      <c r="O56" s="186"/>
      <c r="P56" s="37" t="s">
        <v>138</v>
      </c>
      <c r="Q56" s="189" t="s">
        <v>2</v>
      </c>
      <c r="R56" s="186"/>
      <c r="S56" s="187"/>
      <c r="T56" s="187"/>
      <c r="U56" s="187"/>
      <c r="V56" s="188"/>
      <c r="W56" s="188"/>
      <c r="X56" s="188"/>
      <c r="Y56" s="188"/>
      <c r="Z56" s="188"/>
      <c r="AA56" s="188"/>
      <c r="AB56" s="188"/>
      <c r="AC56" s="188"/>
      <c r="AD56" s="188"/>
      <c r="AE56" s="188"/>
      <c r="AF56" s="188"/>
      <c r="AG56" s="188"/>
      <c r="AH56" s="6"/>
    </row>
    <row r="57" spans="1:34" ht="15.95" customHeight="1">
      <c r="A57" s="7"/>
      <c r="B57" s="10"/>
      <c r="C57" s="12"/>
      <c r="D57" s="186"/>
      <c r="E57" s="186"/>
      <c r="F57" s="186"/>
      <c r="G57" s="186"/>
      <c r="H57" s="186"/>
      <c r="I57" s="186"/>
      <c r="J57" s="186"/>
      <c r="K57" s="186"/>
      <c r="L57" s="278" t="s">
        <v>34</v>
      </c>
      <c r="M57" s="186"/>
      <c r="N57" s="37" t="str">
        <f t="shared" si="4"/>
        <v>FY2010-11</v>
      </c>
      <c r="O57" s="186"/>
      <c r="P57" s="37" t="s">
        <v>138</v>
      </c>
      <c r="Q57" s="189" t="s">
        <v>2</v>
      </c>
      <c r="R57" s="186"/>
      <c r="S57" s="187"/>
      <c r="T57" s="187"/>
      <c r="U57" s="187"/>
      <c r="V57" s="188"/>
      <c r="W57" s="188"/>
      <c r="X57" s="188"/>
      <c r="Y57" s="188"/>
      <c r="Z57" s="188"/>
      <c r="AA57" s="188"/>
      <c r="AB57" s="188"/>
      <c r="AC57" s="188"/>
      <c r="AD57" s="188"/>
      <c r="AE57" s="188"/>
      <c r="AF57" s="188"/>
      <c r="AG57" s="188"/>
    </row>
    <row r="58" spans="1:34" ht="15.95" customHeight="1">
      <c r="A58" s="7"/>
      <c r="B58" s="10"/>
      <c r="C58" s="12"/>
      <c r="D58" s="186"/>
      <c r="E58" s="186"/>
      <c r="F58" s="186"/>
      <c r="G58" s="186"/>
      <c r="H58" s="186"/>
      <c r="I58" s="186"/>
      <c r="J58" s="186"/>
      <c r="K58" s="186"/>
      <c r="L58" s="278" t="s">
        <v>34</v>
      </c>
      <c r="M58" s="186"/>
      <c r="N58" s="37" t="str">
        <f t="shared" si="4"/>
        <v>FY2010-11</v>
      </c>
      <c r="O58" s="186"/>
      <c r="P58" s="37" t="s">
        <v>138</v>
      </c>
      <c r="Q58" s="189" t="s">
        <v>2</v>
      </c>
      <c r="R58" s="186"/>
      <c r="S58" s="187"/>
      <c r="T58" s="187"/>
      <c r="U58" s="187"/>
      <c r="V58" s="188"/>
      <c r="W58" s="188"/>
      <c r="X58" s="188"/>
      <c r="Y58" s="188"/>
      <c r="Z58" s="188"/>
      <c r="AA58" s="188"/>
      <c r="AB58" s="188"/>
      <c r="AC58" s="188"/>
      <c r="AD58" s="188"/>
      <c r="AE58" s="188"/>
      <c r="AF58" s="188"/>
      <c r="AG58" s="188"/>
    </row>
    <row r="59" spans="1:34" ht="15.95" customHeight="1">
      <c r="A59" s="7"/>
      <c r="B59" s="10"/>
      <c r="C59" s="12"/>
      <c r="D59" s="186"/>
      <c r="E59" s="186"/>
      <c r="F59" s="186"/>
      <c r="G59" s="186"/>
      <c r="H59" s="186"/>
      <c r="I59" s="186"/>
      <c r="J59" s="186"/>
      <c r="K59" s="186"/>
      <c r="L59" s="278" t="s">
        <v>34</v>
      </c>
      <c r="M59" s="186"/>
      <c r="N59" s="37" t="str">
        <f t="shared" si="4"/>
        <v>FY2010-11</v>
      </c>
      <c r="O59" s="186"/>
      <c r="P59" s="37" t="s">
        <v>138</v>
      </c>
      <c r="Q59" s="189" t="s">
        <v>2</v>
      </c>
      <c r="R59" s="186"/>
      <c r="S59" s="187"/>
      <c r="T59" s="187"/>
      <c r="U59" s="187"/>
      <c r="V59" s="188"/>
      <c r="W59" s="188"/>
      <c r="X59" s="188"/>
      <c r="Y59" s="188"/>
      <c r="Z59" s="188"/>
      <c r="AA59" s="188"/>
      <c r="AB59" s="188"/>
      <c r="AC59" s="188"/>
      <c r="AD59" s="188"/>
      <c r="AE59" s="188"/>
      <c r="AF59" s="188"/>
      <c r="AG59" s="188"/>
    </row>
    <row r="60" spans="1:34" ht="15.95" customHeight="1">
      <c r="A60" s="7"/>
      <c r="B60" s="10"/>
      <c r="C60" s="12"/>
      <c r="D60" s="186"/>
      <c r="E60" s="186"/>
      <c r="F60" s="186"/>
      <c r="G60" s="186"/>
      <c r="H60" s="186"/>
      <c r="I60" s="186"/>
      <c r="J60" s="186"/>
      <c r="K60" s="186"/>
      <c r="L60" s="278" t="s">
        <v>34</v>
      </c>
      <c r="M60" s="186"/>
      <c r="N60" s="37" t="str">
        <f t="shared" si="4"/>
        <v>FY2010-11</v>
      </c>
      <c r="O60" s="186"/>
      <c r="P60" s="37" t="s">
        <v>138</v>
      </c>
      <c r="Q60" s="189" t="s">
        <v>2</v>
      </c>
      <c r="R60" s="186"/>
      <c r="S60" s="187"/>
      <c r="T60" s="187"/>
      <c r="U60" s="187"/>
      <c r="V60" s="188"/>
      <c r="W60" s="188"/>
      <c r="X60" s="188"/>
      <c r="Y60" s="188"/>
      <c r="Z60" s="188"/>
      <c r="AA60" s="188"/>
      <c r="AB60" s="188"/>
      <c r="AC60" s="188"/>
      <c r="AD60" s="188"/>
      <c r="AE60" s="188"/>
      <c r="AF60" s="188"/>
      <c r="AG60" s="188"/>
    </row>
    <row r="61" spans="1:34" ht="15.95" customHeight="1">
      <c r="A61" s="7"/>
      <c r="B61" s="10"/>
      <c r="C61" s="12"/>
      <c r="D61" s="186"/>
      <c r="E61" s="186"/>
      <c r="F61" s="186"/>
      <c r="G61" s="186"/>
      <c r="H61" s="186"/>
      <c r="I61" s="186"/>
      <c r="J61" s="186"/>
      <c r="K61" s="186"/>
      <c r="L61" s="278" t="s">
        <v>34</v>
      </c>
      <c r="M61" s="186"/>
      <c r="N61" s="37" t="str">
        <f t="shared" si="4"/>
        <v>FY2010-11</v>
      </c>
      <c r="O61" s="186"/>
      <c r="P61" s="37" t="s">
        <v>138</v>
      </c>
      <c r="Q61" s="189" t="s">
        <v>2</v>
      </c>
      <c r="R61" s="186"/>
      <c r="S61" s="187"/>
      <c r="T61" s="187"/>
      <c r="U61" s="187"/>
      <c r="V61" s="188"/>
      <c r="W61" s="188"/>
      <c r="X61" s="188"/>
      <c r="Y61" s="188"/>
      <c r="Z61" s="188"/>
      <c r="AA61" s="188"/>
      <c r="AB61" s="188"/>
      <c r="AC61" s="188"/>
      <c r="AD61" s="188"/>
      <c r="AE61" s="188"/>
      <c r="AF61" s="188"/>
      <c r="AG61" s="188"/>
    </row>
    <row r="62" spans="1:34" ht="15.95" customHeight="1">
      <c r="A62" s="11"/>
      <c r="B62" s="12"/>
      <c r="C62" s="12"/>
      <c r="D62" s="13"/>
      <c r="E62" s="13"/>
      <c r="F62" s="14"/>
      <c r="G62" s="13"/>
      <c r="H62" s="14"/>
      <c r="I62" s="14"/>
      <c r="J62" s="13"/>
      <c r="K62" s="13"/>
      <c r="L62" s="279"/>
      <c r="M62" s="14"/>
      <c r="N62" s="14"/>
      <c r="O62" s="13"/>
      <c r="P62" s="14"/>
      <c r="Q62" s="14"/>
      <c r="R62" s="13"/>
      <c r="S62" s="13"/>
      <c r="T62" s="13"/>
      <c r="U62" s="13"/>
      <c r="V62" s="11"/>
      <c r="W62" s="11"/>
      <c r="X62" s="11"/>
      <c r="Y62" s="11"/>
      <c r="Z62" s="11"/>
      <c r="AA62" s="11"/>
      <c r="AB62" s="11"/>
      <c r="AC62" s="11"/>
      <c r="AD62" s="11"/>
      <c r="AE62" s="11"/>
      <c r="AF62" s="11"/>
      <c r="AG62" s="11"/>
    </row>
    <row r="63" spans="1:34" ht="15.95" customHeight="1" thickBot="1">
      <c r="A63" s="7"/>
      <c r="B63" s="19" t="s">
        <v>0</v>
      </c>
      <c r="C63" s="7"/>
      <c r="D63" s="8"/>
      <c r="E63" s="8"/>
      <c r="F63" s="9"/>
      <c r="G63" s="8"/>
      <c r="H63" s="9"/>
      <c r="I63" s="9"/>
      <c r="J63" s="8"/>
      <c r="K63" s="8"/>
      <c r="L63" s="280"/>
      <c r="M63" s="9"/>
      <c r="N63" s="9"/>
      <c r="O63" s="8"/>
      <c r="P63" s="9"/>
      <c r="Q63" s="9"/>
      <c r="R63" s="8"/>
      <c r="S63" s="866"/>
      <c r="T63" s="867" t="str">
        <f>'$REV-DB'!$T$34</f>
        <v>UD1</v>
      </c>
      <c r="U63" s="867" t="str">
        <f>'$REV-DB'!$U$34</f>
        <v>UD2</v>
      </c>
      <c r="V63" s="867" t="str">
        <f>'$REV-DB'!$V$34</f>
        <v>UD3</v>
      </c>
      <c r="W63" s="867" t="str">
        <f>'$REV-DB'!$W$34</f>
        <v>UD4</v>
      </c>
      <c r="X63" s="867" t="str">
        <f>'$REV-DB'!$X$34</f>
        <v>UD5</v>
      </c>
      <c r="Y63" s="867" t="str">
        <f>'$REV-DB'!$Y$34</f>
        <v>UD6</v>
      </c>
      <c r="Z63" s="867" t="str">
        <f>'$REV-DB'!$Z$34</f>
        <v>UD7</v>
      </c>
      <c r="AA63" s="867" t="str">
        <f>'$REV-DB'!$AA$34</f>
        <v>UD8</v>
      </c>
      <c r="AB63" s="867" t="str">
        <f>'$REV-DB'!$AB$34</f>
        <v>UD9</v>
      </c>
      <c r="AC63" s="867" t="str">
        <f>'$REV-DB'!$AC$34</f>
        <v>UD10</v>
      </c>
      <c r="AD63" s="867" t="str">
        <f>'$REV-DB'!$AD$34</f>
        <v>UD11</v>
      </c>
      <c r="AE63" s="867" t="str">
        <f>'$REV-DB'!$AE$34</f>
        <v>UD12</v>
      </c>
      <c r="AF63" s="867" t="str">
        <f>'$REV-DB'!$AF$34</f>
        <v>UD13</v>
      </c>
      <c r="AG63" s="867" t="str">
        <f>'$REV-DB'!$AG$34</f>
        <v>UD14</v>
      </c>
    </row>
    <row r="64" spans="1:34" ht="15.95" customHeight="1" thickTop="1" thickBot="1">
      <c r="A64" s="7"/>
      <c r="B64" s="20" t="s">
        <v>4</v>
      </c>
      <c r="C64" s="15"/>
      <c r="D64" s="276" t="s">
        <v>186</v>
      </c>
      <c r="E64" s="276" t="s">
        <v>187</v>
      </c>
      <c r="F64" s="276" t="s">
        <v>188</v>
      </c>
      <c r="G64" s="276" t="s">
        <v>189</v>
      </c>
      <c r="H64" s="301" t="s">
        <v>11</v>
      </c>
      <c r="I64" s="301" t="s">
        <v>190</v>
      </c>
      <c r="J64" s="301" t="s">
        <v>191</v>
      </c>
      <c r="K64" s="301" t="s">
        <v>192</v>
      </c>
      <c r="L64" s="301" t="s">
        <v>203</v>
      </c>
      <c r="M64" s="301" t="s">
        <v>42</v>
      </c>
      <c r="N64" s="276" t="s">
        <v>148</v>
      </c>
      <c r="O64" s="276" t="s">
        <v>193</v>
      </c>
      <c r="P64" s="276" t="s">
        <v>142</v>
      </c>
      <c r="Q64" s="276" t="s">
        <v>194</v>
      </c>
      <c r="R64" s="112" t="s">
        <v>141</v>
      </c>
      <c r="S64" s="112" t="s">
        <v>672</v>
      </c>
      <c r="T64" s="857" t="s">
        <v>541</v>
      </c>
      <c r="U64" s="857" t="s">
        <v>542</v>
      </c>
      <c r="V64" s="857" t="s">
        <v>543</v>
      </c>
      <c r="W64" s="857" t="s">
        <v>544</v>
      </c>
      <c r="X64" s="857" t="s">
        <v>545</v>
      </c>
      <c r="Y64" s="857" t="s">
        <v>546</v>
      </c>
      <c r="Z64" s="857" t="s">
        <v>547</v>
      </c>
      <c r="AA64" s="857" t="s">
        <v>548</v>
      </c>
      <c r="AB64" s="857" t="s">
        <v>549</v>
      </c>
      <c r="AC64" s="857" t="s">
        <v>550</v>
      </c>
      <c r="AD64" s="857" t="s">
        <v>551</v>
      </c>
      <c r="AE64" s="857" t="s">
        <v>552</v>
      </c>
      <c r="AF64" s="857" t="s">
        <v>553</v>
      </c>
      <c r="AG64" s="857" t="s">
        <v>554</v>
      </c>
      <c r="AH64" s="6"/>
    </row>
    <row r="65" spans="1:34" ht="15.95" customHeight="1" thickTop="1">
      <c r="A65" s="7"/>
      <c r="B65" s="19" t="s">
        <v>364</v>
      </c>
      <c r="C65" s="12"/>
      <c r="D65" s="186"/>
      <c r="E65" s="186"/>
      <c r="F65" s="186"/>
      <c r="G65" s="186"/>
      <c r="H65" s="186"/>
      <c r="I65" s="186"/>
      <c r="J65" s="186"/>
      <c r="K65" s="186"/>
      <c r="L65" s="278" t="s">
        <v>34</v>
      </c>
      <c r="M65" s="186"/>
      <c r="N65" s="37" t="str">
        <f>J$6</f>
        <v>FY2010-11</v>
      </c>
      <c r="O65" s="186"/>
      <c r="P65" s="37" t="s">
        <v>138</v>
      </c>
      <c r="Q65" s="189" t="s">
        <v>70</v>
      </c>
      <c r="R65" s="186"/>
      <c r="S65" s="187"/>
      <c r="T65" s="187"/>
      <c r="U65" s="187"/>
      <c r="V65" s="188"/>
      <c r="W65" s="188"/>
      <c r="X65" s="188"/>
      <c r="Y65" s="188"/>
      <c r="Z65" s="188"/>
      <c r="AA65" s="188"/>
      <c r="AB65" s="188"/>
      <c r="AC65" s="188"/>
      <c r="AD65" s="188"/>
      <c r="AE65" s="188"/>
      <c r="AF65" s="188"/>
      <c r="AG65" s="188"/>
      <c r="AH65" s="6"/>
    </row>
    <row r="66" spans="1:34" ht="15.95" customHeight="1">
      <c r="A66" s="7"/>
      <c r="B66" s="16">
        <f>DSUM('$REV-DB'!D35:AG67,"AMOUNT",'$REV-DSUM'!D64:AG71)</f>
        <v>0</v>
      </c>
      <c r="C66" s="12"/>
      <c r="D66" s="186"/>
      <c r="E66" s="186"/>
      <c r="F66" s="186"/>
      <c r="G66" s="186"/>
      <c r="H66" s="186"/>
      <c r="I66" s="186"/>
      <c r="J66" s="186"/>
      <c r="K66" s="186"/>
      <c r="L66" s="278" t="s">
        <v>34</v>
      </c>
      <c r="M66" s="186"/>
      <c r="N66" s="37" t="str">
        <f t="shared" ref="N66:N71" si="5">J$6</f>
        <v>FY2010-11</v>
      </c>
      <c r="O66" s="186"/>
      <c r="P66" s="37" t="s">
        <v>138</v>
      </c>
      <c r="Q66" s="189" t="s">
        <v>70</v>
      </c>
      <c r="R66" s="186"/>
      <c r="S66" s="187"/>
      <c r="T66" s="187"/>
      <c r="U66" s="187"/>
      <c r="V66" s="188"/>
      <c r="W66" s="188"/>
      <c r="X66" s="188"/>
      <c r="Y66" s="188"/>
      <c r="Z66" s="188"/>
      <c r="AA66" s="188"/>
      <c r="AB66" s="188"/>
      <c r="AC66" s="188"/>
      <c r="AD66" s="188"/>
      <c r="AE66" s="188"/>
      <c r="AF66" s="188"/>
      <c r="AG66" s="188"/>
      <c r="AH66" s="6"/>
    </row>
    <row r="67" spans="1:34" ht="15.95" customHeight="1">
      <c r="A67" s="7"/>
      <c r="B67" s="10"/>
      <c r="C67" s="12"/>
      <c r="D67" s="186"/>
      <c r="E67" s="186"/>
      <c r="F67" s="186"/>
      <c r="G67" s="186"/>
      <c r="H67" s="186"/>
      <c r="I67" s="186"/>
      <c r="J67" s="186"/>
      <c r="K67" s="186"/>
      <c r="L67" s="278" t="s">
        <v>34</v>
      </c>
      <c r="M67" s="186"/>
      <c r="N67" s="37" t="str">
        <f t="shared" si="5"/>
        <v>FY2010-11</v>
      </c>
      <c r="O67" s="186"/>
      <c r="P67" s="37" t="s">
        <v>138</v>
      </c>
      <c r="Q67" s="189" t="s">
        <v>70</v>
      </c>
      <c r="R67" s="186"/>
      <c r="S67" s="187"/>
      <c r="T67" s="187"/>
      <c r="U67" s="187"/>
      <c r="V67" s="188"/>
      <c r="W67" s="188"/>
      <c r="X67" s="188"/>
      <c r="Y67" s="188"/>
      <c r="Z67" s="188"/>
      <c r="AA67" s="188"/>
      <c r="AB67" s="188"/>
      <c r="AC67" s="188"/>
      <c r="AD67" s="188"/>
      <c r="AE67" s="188"/>
      <c r="AF67" s="188"/>
      <c r="AG67" s="188"/>
    </row>
    <row r="68" spans="1:34" ht="15.95" customHeight="1">
      <c r="A68" s="7"/>
      <c r="B68" s="10"/>
      <c r="C68" s="12"/>
      <c r="D68" s="186"/>
      <c r="E68" s="186"/>
      <c r="F68" s="186"/>
      <c r="G68" s="186"/>
      <c r="H68" s="186"/>
      <c r="I68" s="186"/>
      <c r="J68" s="186"/>
      <c r="K68" s="186"/>
      <c r="L68" s="278" t="s">
        <v>34</v>
      </c>
      <c r="M68" s="186"/>
      <c r="N68" s="37" t="str">
        <f t="shared" si="5"/>
        <v>FY2010-11</v>
      </c>
      <c r="O68" s="186"/>
      <c r="P68" s="37" t="s">
        <v>138</v>
      </c>
      <c r="Q68" s="189" t="s">
        <v>70</v>
      </c>
      <c r="R68" s="186"/>
      <c r="S68" s="187"/>
      <c r="T68" s="187"/>
      <c r="U68" s="187"/>
      <c r="V68" s="188"/>
      <c r="W68" s="188"/>
      <c r="X68" s="188"/>
      <c r="Y68" s="188"/>
      <c r="Z68" s="188"/>
      <c r="AA68" s="188"/>
      <c r="AB68" s="188"/>
      <c r="AC68" s="188"/>
      <c r="AD68" s="188"/>
      <c r="AE68" s="188"/>
      <c r="AF68" s="188"/>
      <c r="AG68" s="188"/>
    </row>
    <row r="69" spans="1:34" ht="15.95" customHeight="1">
      <c r="A69" s="7"/>
      <c r="B69" s="10"/>
      <c r="C69" s="12"/>
      <c r="D69" s="186"/>
      <c r="E69" s="186"/>
      <c r="F69" s="186"/>
      <c r="G69" s="186"/>
      <c r="H69" s="186"/>
      <c r="I69" s="186"/>
      <c r="J69" s="186"/>
      <c r="K69" s="186"/>
      <c r="L69" s="278" t="s">
        <v>34</v>
      </c>
      <c r="M69" s="186"/>
      <c r="N69" s="37" t="str">
        <f t="shared" si="5"/>
        <v>FY2010-11</v>
      </c>
      <c r="O69" s="186"/>
      <c r="P69" s="37" t="s">
        <v>138</v>
      </c>
      <c r="Q69" s="189" t="s">
        <v>70</v>
      </c>
      <c r="R69" s="186"/>
      <c r="S69" s="187"/>
      <c r="T69" s="187"/>
      <c r="U69" s="187"/>
      <c r="V69" s="188"/>
      <c r="W69" s="188"/>
      <c r="X69" s="188"/>
      <c r="Y69" s="188"/>
      <c r="Z69" s="188"/>
      <c r="AA69" s="188"/>
      <c r="AB69" s="188"/>
      <c r="AC69" s="188"/>
      <c r="AD69" s="188"/>
      <c r="AE69" s="188"/>
      <c r="AF69" s="188"/>
      <c r="AG69" s="188"/>
    </row>
    <row r="70" spans="1:34" ht="15.95" customHeight="1">
      <c r="A70" s="7"/>
      <c r="B70" s="10"/>
      <c r="C70" s="12"/>
      <c r="D70" s="186"/>
      <c r="E70" s="186"/>
      <c r="F70" s="186"/>
      <c r="G70" s="186"/>
      <c r="H70" s="186"/>
      <c r="I70" s="186"/>
      <c r="J70" s="186"/>
      <c r="K70" s="186"/>
      <c r="L70" s="278" t="s">
        <v>34</v>
      </c>
      <c r="M70" s="186"/>
      <c r="N70" s="37" t="str">
        <f t="shared" si="5"/>
        <v>FY2010-11</v>
      </c>
      <c r="O70" s="186"/>
      <c r="P70" s="37" t="s">
        <v>138</v>
      </c>
      <c r="Q70" s="189" t="s">
        <v>70</v>
      </c>
      <c r="R70" s="186"/>
      <c r="S70" s="187"/>
      <c r="T70" s="187"/>
      <c r="U70" s="187"/>
      <c r="V70" s="188"/>
      <c r="W70" s="188"/>
      <c r="X70" s="188"/>
      <c r="Y70" s="188"/>
      <c r="Z70" s="188"/>
      <c r="AA70" s="188"/>
      <c r="AB70" s="188"/>
      <c r="AC70" s="188"/>
      <c r="AD70" s="188"/>
      <c r="AE70" s="188"/>
      <c r="AF70" s="188"/>
      <c r="AG70" s="188"/>
    </row>
    <row r="71" spans="1:34" ht="15.95" customHeight="1">
      <c r="A71" s="7"/>
      <c r="B71" s="10"/>
      <c r="C71" s="12"/>
      <c r="D71" s="186"/>
      <c r="E71" s="186"/>
      <c r="F71" s="186"/>
      <c r="G71" s="186"/>
      <c r="H71" s="186"/>
      <c r="I71" s="186"/>
      <c r="J71" s="186"/>
      <c r="K71" s="186"/>
      <c r="L71" s="278" t="s">
        <v>34</v>
      </c>
      <c r="M71" s="186"/>
      <c r="N71" s="37" t="str">
        <f t="shared" si="5"/>
        <v>FY2010-11</v>
      </c>
      <c r="O71" s="186"/>
      <c r="P71" s="37" t="s">
        <v>138</v>
      </c>
      <c r="Q71" s="189" t="s">
        <v>70</v>
      </c>
      <c r="R71" s="186"/>
      <c r="S71" s="187"/>
      <c r="T71" s="187"/>
      <c r="U71" s="187"/>
      <c r="V71" s="188"/>
      <c r="W71" s="188"/>
      <c r="X71" s="188"/>
      <c r="Y71" s="188"/>
      <c r="Z71" s="188"/>
      <c r="AA71" s="188"/>
      <c r="AB71" s="188"/>
      <c r="AC71" s="188"/>
      <c r="AD71" s="188"/>
      <c r="AE71" s="188"/>
      <c r="AF71" s="188"/>
      <c r="AG71" s="188"/>
    </row>
    <row r="72" spans="1:34" ht="15.95" customHeight="1">
      <c r="A72" s="11"/>
      <c r="B72" s="12"/>
      <c r="C72" s="12"/>
      <c r="D72" s="13"/>
      <c r="E72" s="13"/>
      <c r="F72" s="14"/>
      <c r="G72" s="13"/>
      <c r="H72" s="14"/>
      <c r="I72" s="14"/>
      <c r="J72" s="13"/>
      <c r="K72" s="13"/>
      <c r="L72" s="279"/>
      <c r="M72" s="14"/>
      <c r="N72" s="14"/>
      <c r="O72" s="13"/>
      <c r="P72" s="14"/>
      <c r="Q72" s="14"/>
      <c r="R72" s="13"/>
      <c r="S72" s="13"/>
      <c r="T72" s="13"/>
      <c r="U72" s="13"/>
      <c r="V72" s="11"/>
      <c r="W72" s="11"/>
      <c r="X72" s="11"/>
      <c r="Y72" s="11"/>
      <c r="Z72" s="11"/>
      <c r="AA72" s="11"/>
      <c r="AB72" s="11"/>
      <c r="AC72" s="11"/>
      <c r="AD72" s="11"/>
      <c r="AE72" s="11"/>
      <c r="AF72" s="11"/>
      <c r="AG72" s="11"/>
    </row>
    <row r="73" spans="1:34" ht="15.95" customHeight="1" thickBot="1">
      <c r="A73" s="7"/>
      <c r="B73" s="19" t="s">
        <v>0</v>
      </c>
      <c r="C73" s="7"/>
      <c r="D73" s="8"/>
      <c r="E73" s="8"/>
      <c r="F73" s="9"/>
      <c r="G73" s="8"/>
      <c r="H73" s="9"/>
      <c r="I73" s="9"/>
      <c r="J73" s="8"/>
      <c r="K73" s="8"/>
      <c r="L73" s="280"/>
      <c r="M73" s="9"/>
      <c r="N73" s="9"/>
      <c r="O73" s="8"/>
      <c r="P73" s="9"/>
      <c r="Q73" s="9"/>
      <c r="R73" s="8"/>
      <c r="S73" s="866"/>
      <c r="T73" s="867" t="str">
        <f>'$REV-DB'!$T$34</f>
        <v>UD1</v>
      </c>
      <c r="U73" s="867" t="str">
        <f>'$REV-DB'!$U$34</f>
        <v>UD2</v>
      </c>
      <c r="V73" s="867" t="str">
        <f>'$REV-DB'!$V$34</f>
        <v>UD3</v>
      </c>
      <c r="W73" s="867" t="str">
        <f>'$REV-DB'!$W$34</f>
        <v>UD4</v>
      </c>
      <c r="X73" s="867" t="str">
        <f>'$REV-DB'!$X$34</f>
        <v>UD5</v>
      </c>
      <c r="Y73" s="867" t="str">
        <f>'$REV-DB'!$Y$34</f>
        <v>UD6</v>
      </c>
      <c r="Z73" s="867" t="str">
        <f>'$REV-DB'!$Z$34</f>
        <v>UD7</v>
      </c>
      <c r="AA73" s="867" t="str">
        <f>'$REV-DB'!$AA$34</f>
        <v>UD8</v>
      </c>
      <c r="AB73" s="867" t="str">
        <f>'$REV-DB'!$AB$34</f>
        <v>UD9</v>
      </c>
      <c r="AC73" s="867" t="str">
        <f>'$REV-DB'!$AC$34</f>
        <v>UD10</v>
      </c>
      <c r="AD73" s="867" t="str">
        <f>'$REV-DB'!$AD$34</f>
        <v>UD11</v>
      </c>
      <c r="AE73" s="867" t="str">
        <f>'$REV-DB'!$AE$34</f>
        <v>UD12</v>
      </c>
      <c r="AF73" s="867" t="str">
        <f>'$REV-DB'!$AF$34</f>
        <v>UD13</v>
      </c>
      <c r="AG73" s="867" t="str">
        <f>'$REV-DB'!$AG$34</f>
        <v>UD14</v>
      </c>
    </row>
    <row r="74" spans="1:34" ht="15.95" customHeight="1" thickTop="1" thickBot="1">
      <c r="A74" s="7"/>
      <c r="B74" s="20" t="s">
        <v>4</v>
      </c>
      <c r="C74" s="15"/>
      <c r="D74" s="105" t="s">
        <v>186</v>
      </c>
      <c r="E74" s="105" t="s">
        <v>187</v>
      </c>
      <c r="F74" s="105" t="s">
        <v>188</v>
      </c>
      <c r="G74" s="105" t="s">
        <v>189</v>
      </c>
      <c r="H74" s="301" t="s">
        <v>11</v>
      </c>
      <c r="I74" s="301" t="s">
        <v>190</v>
      </c>
      <c r="J74" s="301" t="s">
        <v>191</v>
      </c>
      <c r="K74" s="301" t="s">
        <v>192</v>
      </c>
      <c r="L74" s="301" t="s">
        <v>203</v>
      </c>
      <c r="M74" s="301" t="s">
        <v>42</v>
      </c>
      <c r="N74" s="105" t="s">
        <v>148</v>
      </c>
      <c r="O74" s="105" t="s">
        <v>193</v>
      </c>
      <c r="P74" s="105" t="s">
        <v>142</v>
      </c>
      <c r="Q74" s="105" t="s">
        <v>194</v>
      </c>
      <c r="R74" s="112" t="s">
        <v>141</v>
      </c>
      <c r="S74" s="112" t="s">
        <v>672</v>
      </c>
      <c r="T74" s="857" t="s">
        <v>541</v>
      </c>
      <c r="U74" s="857" t="s">
        <v>542</v>
      </c>
      <c r="V74" s="857" t="s">
        <v>543</v>
      </c>
      <c r="W74" s="857" t="s">
        <v>544</v>
      </c>
      <c r="X74" s="857" t="s">
        <v>545</v>
      </c>
      <c r="Y74" s="857" t="s">
        <v>546</v>
      </c>
      <c r="Z74" s="857" t="s">
        <v>547</v>
      </c>
      <c r="AA74" s="857" t="s">
        <v>548</v>
      </c>
      <c r="AB74" s="857" t="s">
        <v>549</v>
      </c>
      <c r="AC74" s="857" t="s">
        <v>550</v>
      </c>
      <c r="AD74" s="857" t="s">
        <v>551</v>
      </c>
      <c r="AE74" s="857" t="s">
        <v>552</v>
      </c>
      <c r="AF74" s="857" t="s">
        <v>553</v>
      </c>
      <c r="AG74" s="857" t="s">
        <v>554</v>
      </c>
      <c r="AH74" s="6"/>
    </row>
    <row r="75" spans="1:34" ht="15.95" customHeight="1" thickTop="1">
      <c r="A75" s="7"/>
      <c r="B75" s="19" t="s">
        <v>150</v>
      </c>
      <c r="C75" s="12"/>
      <c r="D75" s="186"/>
      <c r="E75" s="186"/>
      <c r="F75" s="186"/>
      <c r="G75" s="186"/>
      <c r="H75" s="186"/>
      <c r="I75" s="186"/>
      <c r="J75" s="186"/>
      <c r="K75" s="186"/>
      <c r="L75" s="278" t="s">
        <v>34</v>
      </c>
      <c r="M75" s="186"/>
      <c r="N75" s="37" t="str">
        <f>J$6</f>
        <v>FY2010-11</v>
      </c>
      <c r="O75" s="186"/>
      <c r="P75" s="37" t="s">
        <v>138</v>
      </c>
      <c r="Q75" s="189" t="s">
        <v>140</v>
      </c>
      <c r="R75" s="186"/>
      <c r="S75" s="187"/>
      <c r="T75" s="187"/>
      <c r="U75" s="187"/>
      <c r="V75" s="188"/>
      <c r="W75" s="188"/>
      <c r="X75" s="188"/>
      <c r="Y75" s="188"/>
      <c r="Z75" s="188"/>
      <c r="AA75" s="188"/>
      <c r="AB75" s="188"/>
      <c r="AC75" s="188"/>
      <c r="AD75" s="188"/>
      <c r="AE75" s="188"/>
      <c r="AF75" s="188"/>
      <c r="AG75" s="188"/>
      <c r="AH75" s="6"/>
    </row>
    <row r="76" spans="1:34" ht="15.95" customHeight="1">
      <c r="A76" s="7"/>
      <c r="B76" s="16">
        <f>DSUM('$REV-DB'!D35:AG67,"AMOUNT",'$REV-DSUM'!D74:AG81)</f>
        <v>0</v>
      </c>
      <c r="C76" s="12"/>
      <c r="D76" s="186"/>
      <c r="E76" s="186"/>
      <c r="F76" s="186"/>
      <c r="G76" s="186"/>
      <c r="H76" s="186"/>
      <c r="I76" s="186"/>
      <c r="J76" s="186"/>
      <c r="K76" s="186"/>
      <c r="L76" s="278" t="s">
        <v>34</v>
      </c>
      <c r="M76" s="186"/>
      <c r="N76" s="37" t="str">
        <f t="shared" ref="N76:N81" si="6">J$6</f>
        <v>FY2010-11</v>
      </c>
      <c r="O76" s="186"/>
      <c r="P76" s="37" t="s">
        <v>138</v>
      </c>
      <c r="Q76" s="189" t="s">
        <v>140</v>
      </c>
      <c r="R76" s="186"/>
      <c r="S76" s="187"/>
      <c r="T76" s="187"/>
      <c r="U76" s="187"/>
      <c r="V76" s="188"/>
      <c r="W76" s="188"/>
      <c r="X76" s="188"/>
      <c r="Y76" s="188"/>
      <c r="Z76" s="188"/>
      <c r="AA76" s="188"/>
      <c r="AB76" s="188"/>
      <c r="AC76" s="188"/>
      <c r="AD76" s="188"/>
      <c r="AE76" s="188"/>
      <c r="AF76" s="188"/>
      <c r="AG76" s="188"/>
      <c r="AH76" s="6"/>
    </row>
    <row r="77" spans="1:34" ht="15.95" customHeight="1">
      <c r="A77" s="7"/>
      <c r="B77" s="10"/>
      <c r="C77" s="12"/>
      <c r="D77" s="186"/>
      <c r="E77" s="186"/>
      <c r="F77" s="186"/>
      <c r="G77" s="186"/>
      <c r="H77" s="186"/>
      <c r="I77" s="186"/>
      <c r="J77" s="186"/>
      <c r="K77" s="186"/>
      <c r="L77" s="278" t="s">
        <v>34</v>
      </c>
      <c r="M77" s="186"/>
      <c r="N77" s="37" t="str">
        <f t="shared" si="6"/>
        <v>FY2010-11</v>
      </c>
      <c r="O77" s="186"/>
      <c r="P77" s="37" t="s">
        <v>138</v>
      </c>
      <c r="Q77" s="189" t="s">
        <v>140</v>
      </c>
      <c r="R77" s="186"/>
      <c r="S77" s="187"/>
      <c r="T77" s="187"/>
      <c r="U77" s="187"/>
      <c r="V77" s="188"/>
      <c r="W77" s="188"/>
      <c r="X77" s="188"/>
      <c r="Y77" s="188"/>
      <c r="Z77" s="188"/>
      <c r="AA77" s="188"/>
      <c r="AB77" s="188"/>
      <c r="AC77" s="188"/>
      <c r="AD77" s="188"/>
      <c r="AE77" s="188"/>
      <c r="AF77" s="188"/>
      <c r="AG77" s="188"/>
    </row>
    <row r="78" spans="1:34" ht="15.95" customHeight="1">
      <c r="A78" s="7"/>
      <c r="B78" s="10"/>
      <c r="C78" s="12"/>
      <c r="D78" s="186"/>
      <c r="E78" s="186"/>
      <c r="F78" s="186"/>
      <c r="G78" s="186"/>
      <c r="H78" s="186"/>
      <c r="I78" s="186"/>
      <c r="J78" s="186"/>
      <c r="K78" s="186"/>
      <c r="L78" s="278" t="s">
        <v>34</v>
      </c>
      <c r="M78" s="186"/>
      <c r="N78" s="37" t="str">
        <f t="shared" si="6"/>
        <v>FY2010-11</v>
      </c>
      <c r="O78" s="186"/>
      <c r="P78" s="37" t="s">
        <v>138</v>
      </c>
      <c r="Q78" s="189" t="s">
        <v>140</v>
      </c>
      <c r="R78" s="186"/>
      <c r="S78" s="187"/>
      <c r="T78" s="187"/>
      <c r="U78" s="187"/>
      <c r="V78" s="188"/>
      <c r="W78" s="188"/>
      <c r="X78" s="188"/>
      <c r="Y78" s="188"/>
      <c r="Z78" s="188"/>
      <c r="AA78" s="188"/>
      <c r="AB78" s="188"/>
      <c r="AC78" s="188"/>
      <c r="AD78" s="188"/>
      <c r="AE78" s="188"/>
      <c r="AF78" s="188"/>
      <c r="AG78" s="188"/>
    </row>
    <row r="79" spans="1:34" ht="15.95" customHeight="1">
      <c r="A79" s="7"/>
      <c r="B79" s="10"/>
      <c r="C79" s="12"/>
      <c r="D79" s="186"/>
      <c r="E79" s="186"/>
      <c r="F79" s="186"/>
      <c r="G79" s="186"/>
      <c r="H79" s="186"/>
      <c r="I79" s="186"/>
      <c r="J79" s="186"/>
      <c r="K79" s="186"/>
      <c r="L79" s="278" t="s">
        <v>34</v>
      </c>
      <c r="M79" s="186"/>
      <c r="N79" s="37" t="str">
        <f t="shared" si="6"/>
        <v>FY2010-11</v>
      </c>
      <c r="O79" s="186"/>
      <c r="P79" s="37" t="s">
        <v>138</v>
      </c>
      <c r="Q79" s="189" t="s">
        <v>140</v>
      </c>
      <c r="R79" s="186"/>
      <c r="S79" s="187"/>
      <c r="T79" s="187"/>
      <c r="U79" s="187"/>
      <c r="V79" s="188"/>
      <c r="W79" s="188"/>
      <c r="X79" s="188"/>
      <c r="Y79" s="188"/>
      <c r="Z79" s="188"/>
      <c r="AA79" s="188"/>
      <c r="AB79" s="188"/>
      <c r="AC79" s="188"/>
      <c r="AD79" s="188"/>
      <c r="AE79" s="188"/>
      <c r="AF79" s="188"/>
      <c r="AG79" s="188"/>
    </row>
    <row r="80" spans="1:34" ht="15.95" customHeight="1">
      <c r="A80" s="7"/>
      <c r="B80" s="10"/>
      <c r="C80" s="12"/>
      <c r="D80" s="186"/>
      <c r="E80" s="186"/>
      <c r="F80" s="186"/>
      <c r="G80" s="186"/>
      <c r="H80" s="186"/>
      <c r="I80" s="186"/>
      <c r="J80" s="186"/>
      <c r="K80" s="186"/>
      <c r="L80" s="278" t="s">
        <v>34</v>
      </c>
      <c r="M80" s="186"/>
      <c r="N80" s="37" t="str">
        <f t="shared" si="6"/>
        <v>FY2010-11</v>
      </c>
      <c r="O80" s="186"/>
      <c r="P80" s="37" t="s">
        <v>138</v>
      </c>
      <c r="Q80" s="189" t="s">
        <v>140</v>
      </c>
      <c r="R80" s="186"/>
      <c r="S80" s="187"/>
      <c r="T80" s="187"/>
      <c r="U80" s="187"/>
      <c r="V80" s="188"/>
      <c r="W80" s="188"/>
      <c r="X80" s="188"/>
      <c r="Y80" s="188"/>
      <c r="Z80" s="188"/>
      <c r="AA80" s="188"/>
      <c r="AB80" s="188"/>
      <c r="AC80" s="188"/>
      <c r="AD80" s="188"/>
      <c r="AE80" s="188"/>
      <c r="AF80" s="188"/>
      <c r="AG80" s="188"/>
    </row>
    <row r="81" spans="1:34" ht="15.95" customHeight="1">
      <c r="A81" s="7"/>
      <c r="B81" s="10"/>
      <c r="C81" s="12"/>
      <c r="D81" s="186"/>
      <c r="E81" s="186"/>
      <c r="F81" s="186"/>
      <c r="G81" s="186"/>
      <c r="H81" s="186"/>
      <c r="I81" s="186"/>
      <c r="J81" s="186"/>
      <c r="K81" s="186"/>
      <c r="L81" s="278" t="s">
        <v>34</v>
      </c>
      <c r="M81" s="186"/>
      <c r="N81" s="37" t="str">
        <f t="shared" si="6"/>
        <v>FY2010-11</v>
      </c>
      <c r="O81" s="186"/>
      <c r="P81" s="37" t="s">
        <v>138</v>
      </c>
      <c r="Q81" s="189" t="s">
        <v>140</v>
      </c>
      <c r="R81" s="186"/>
      <c r="S81" s="187"/>
      <c r="T81" s="187"/>
      <c r="U81" s="187"/>
      <c r="V81" s="188"/>
      <c r="W81" s="188"/>
      <c r="X81" s="188"/>
      <c r="Y81" s="188"/>
      <c r="Z81" s="188"/>
      <c r="AA81" s="188"/>
      <c r="AB81" s="188"/>
      <c r="AC81" s="188"/>
      <c r="AD81" s="188"/>
      <c r="AE81" s="188"/>
      <c r="AF81" s="188"/>
      <c r="AG81" s="188"/>
    </row>
    <row r="82" spans="1:34" ht="15.95" customHeight="1">
      <c r="A82" s="11"/>
      <c r="B82" s="12"/>
      <c r="C82" s="12"/>
      <c r="D82" s="13"/>
      <c r="E82" s="13"/>
      <c r="F82" s="14"/>
      <c r="G82" s="13"/>
      <c r="H82" s="14"/>
      <c r="I82" s="14"/>
      <c r="J82" s="13"/>
      <c r="K82" s="13"/>
      <c r="L82" s="279"/>
      <c r="M82" s="14"/>
      <c r="N82" s="14"/>
      <c r="O82" s="13"/>
      <c r="P82" s="14"/>
      <c r="Q82" s="14"/>
      <c r="R82" s="13"/>
      <c r="S82" s="13"/>
      <c r="T82" s="13"/>
      <c r="U82" s="13"/>
      <c r="V82" s="11"/>
      <c r="W82" s="11"/>
      <c r="X82" s="11"/>
      <c r="Y82" s="11"/>
      <c r="Z82" s="11"/>
      <c r="AA82" s="11"/>
      <c r="AB82" s="11"/>
      <c r="AC82" s="11"/>
      <c r="AD82" s="11"/>
      <c r="AE82" s="11"/>
      <c r="AF82" s="11"/>
      <c r="AG82" s="11"/>
    </row>
    <row r="83" spans="1:34" ht="15.95" customHeight="1" thickBot="1">
      <c r="A83" s="7"/>
      <c r="B83" s="19" t="s">
        <v>0</v>
      </c>
      <c r="C83" s="7"/>
      <c r="D83" s="17"/>
      <c r="E83" s="17"/>
      <c r="F83" s="18"/>
      <c r="G83" s="17"/>
      <c r="H83" s="18"/>
      <c r="I83" s="18"/>
      <c r="J83" s="17"/>
      <c r="K83" s="17"/>
      <c r="L83" s="281"/>
      <c r="M83" s="18"/>
      <c r="N83" s="9"/>
      <c r="O83" s="17"/>
      <c r="P83" s="18"/>
      <c r="Q83" s="18"/>
      <c r="R83" s="17"/>
      <c r="S83" s="866"/>
      <c r="T83" s="867" t="str">
        <f>'$REV-DB'!$T$34</f>
        <v>UD1</v>
      </c>
      <c r="U83" s="867" t="str">
        <f>'$REV-DB'!$U$34</f>
        <v>UD2</v>
      </c>
      <c r="V83" s="867" t="str">
        <f>'$REV-DB'!$V$34</f>
        <v>UD3</v>
      </c>
      <c r="W83" s="867" t="str">
        <f>'$REV-DB'!$W$34</f>
        <v>UD4</v>
      </c>
      <c r="X83" s="867" t="str">
        <f>'$REV-DB'!$X$34</f>
        <v>UD5</v>
      </c>
      <c r="Y83" s="867" t="str">
        <f>'$REV-DB'!$Y$34</f>
        <v>UD6</v>
      </c>
      <c r="Z83" s="867" t="str">
        <f>'$REV-DB'!$Z$34</f>
        <v>UD7</v>
      </c>
      <c r="AA83" s="867" t="str">
        <f>'$REV-DB'!$AA$34</f>
        <v>UD8</v>
      </c>
      <c r="AB83" s="867" t="str">
        <f>'$REV-DB'!$AB$34</f>
        <v>UD9</v>
      </c>
      <c r="AC83" s="867" t="str">
        <f>'$REV-DB'!$AC$34</f>
        <v>UD10</v>
      </c>
      <c r="AD83" s="867" t="str">
        <f>'$REV-DB'!$AD$34</f>
        <v>UD11</v>
      </c>
      <c r="AE83" s="867" t="str">
        <f>'$REV-DB'!$AE$34</f>
        <v>UD12</v>
      </c>
      <c r="AF83" s="867" t="str">
        <f>'$REV-DB'!$AF$34</f>
        <v>UD13</v>
      </c>
      <c r="AG83" s="867" t="str">
        <f>'$REV-DB'!$AG$34</f>
        <v>UD14</v>
      </c>
    </row>
    <row r="84" spans="1:34" ht="15.95" customHeight="1" thickTop="1" thickBot="1">
      <c r="A84" s="7"/>
      <c r="B84" s="20" t="s">
        <v>175</v>
      </c>
      <c r="C84" s="15"/>
      <c r="D84" s="105" t="s">
        <v>186</v>
      </c>
      <c r="E84" s="105" t="s">
        <v>187</v>
      </c>
      <c r="F84" s="105" t="s">
        <v>188</v>
      </c>
      <c r="G84" s="105" t="s">
        <v>189</v>
      </c>
      <c r="H84" s="301" t="s">
        <v>11</v>
      </c>
      <c r="I84" s="301" t="s">
        <v>190</v>
      </c>
      <c r="J84" s="301" t="s">
        <v>191</v>
      </c>
      <c r="K84" s="301" t="s">
        <v>192</v>
      </c>
      <c r="L84" s="301" t="s">
        <v>203</v>
      </c>
      <c r="M84" s="301" t="s">
        <v>42</v>
      </c>
      <c r="N84" s="105" t="s">
        <v>148</v>
      </c>
      <c r="O84" s="105" t="s">
        <v>193</v>
      </c>
      <c r="P84" s="105" t="s">
        <v>142</v>
      </c>
      <c r="Q84" s="105" t="s">
        <v>194</v>
      </c>
      <c r="R84" s="112" t="s">
        <v>141</v>
      </c>
      <c r="S84" s="112" t="s">
        <v>672</v>
      </c>
      <c r="T84" s="857" t="s">
        <v>541</v>
      </c>
      <c r="U84" s="857" t="s">
        <v>542</v>
      </c>
      <c r="V84" s="857" t="s">
        <v>543</v>
      </c>
      <c r="W84" s="857" t="s">
        <v>544</v>
      </c>
      <c r="X84" s="857" t="s">
        <v>545</v>
      </c>
      <c r="Y84" s="857" t="s">
        <v>546</v>
      </c>
      <c r="Z84" s="857" t="s">
        <v>547</v>
      </c>
      <c r="AA84" s="857" t="s">
        <v>548</v>
      </c>
      <c r="AB84" s="857" t="s">
        <v>549</v>
      </c>
      <c r="AC84" s="857" t="s">
        <v>550</v>
      </c>
      <c r="AD84" s="857" t="s">
        <v>551</v>
      </c>
      <c r="AE84" s="857" t="s">
        <v>552</v>
      </c>
      <c r="AF84" s="857" t="s">
        <v>553</v>
      </c>
      <c r="AG84" s="857" t="s">
        <v>554</v>
      </c>
      <c r="AH84" s="6"/>
    </row>
    <row r="85" spans="1:34" ht="15.95" customHeight="1" thickTop="1">
      <c r="A85" s="7"/>
      <c r="B85" s="19" t="s">
        <v>146</v>
      </c>
      <c r="C85" s="12"/>
      <c r="D85" s="186"/>
      <c r="E85" s="186"/>
      <c r="F85" s="186"/>
      <c r="G85" s="186"/>
      <c r="H85" s="186"/>
      <c r="I85" s="186"/>
      <c r="J85" s="186"/>
      <c r="K85" s="186"/>
      <c r="L85" s="278" t="s">
        <v>34</v>
      </c>
      <c r="M85" s="186"/>
      <c r="N85" s="37" t="str">
        <f>J$6</f>
        <v>FY2010-11</v>
      </c>
      <c r="O85" s="186"/>
      <c r="P85" s="37" t="s">
        <v>147</v>
      </c>
      <c r="Q85" s="189"/>
      <c r="R85" s="186"/>
      <c r="S85" s="187"/>
      <c r="T85" s="187"/>
      <c r="U85" s="187"/>
      <c r="V85" s="188"/>
      <c r="W85" s="188"/>
      <c r="X85" s="188"/>
      <c r="Y85" s="188"/>
      <c r="Z85" s="188"/>
      <c r="AA85" s="188"/>
      <c r="AB85" s="188"/>
      <c r="AC85" s="188"/>
      <c r="AD85" s="188"/>
      <c r="AE85" s="188"/>
      <c r="AF85" s="188"/>
      <c r="AG85" s="188"/>
      <c r="AH85" s="6"/>
    </row>
    <row r="86" spans="1:34" ht="15.95" customHeight="1">
      <c r="A86" s="7"/>
      <c r="B86" s="16">
        <f>DSUM('$REV-DB'!D35:AG67,"AMOUNT",'$REV-DSUM'!D84:AG91)</f>
        <v>194219132.00000003</v>
      </c>
      <c r="C86" s="12"/>
      <c r="D86" s="186"/>
      <c r="E86" s="186"/>
      <c r="F86" s="186"/>
      <c r="G86" s="186"/>
      <c r="H86" s="186"/>
      <c r="I86" s="186"/>
      <c r="J86" s="186"/>
      <c r="K86" s="186"/>
      <c r="L86" s="278" t="s">
        <v>34</v>
      </c>
      <c r="M86" s="186"/>
      <c r="N86" s="37" t="str">
        <f t="shared" ref="N86:N91" si="7">J$6</f>
        <v>FY2010-11</v>
      </c>
      <c r="O86" s="186"/>
      <c r="P86" s="37" t="s">
        <v>147</v>
      </c>
      <c r="Q86" s="189"/>
      <c r="R86" s="186"/>
      <c r="S86" s="187"/>
      <c r="T86" s="187"/>
      <c r="U86" s="187"/>
      <c r="V86" s="188"/>
      <c r="W86" s="188"/>
      <c r="X86" s="188"/>
      <c r="Y86" s="188"/>
      <c r="Z86" s="188"/>
      <c r="AA86" s="188"/>
      <c r="AB86" s="188"/>
      <c r="AC86" s="188"/>
      <c r="AD86" s="188"/>
      <c r="AE86" s="188"/>
      <c r="AF86" s="188"/>
      <c r="AG86" s="188"/>
      <c r="AH86" s="6"/>
    </row>
    <row r="87" spans="1:34" ht="15.95" customHeight="1">
      <c r="A87" s="7"/>
      <c r="B87" s="10"/>
      <c r="C87" s="12"/>
      <c r="D87" s="186"/>
      <c r="E87" s="186"/>
      <c r="F87" s="186"/>
      <c r="G87" s="186"/>
      <c r="H87" s="186"/>
      <c r="I87" s="186"/>
      <c r="J87" s="186"/>
      <c r="K87" s="186"/>
      <c r="L87" s="278" t="s">
        <v>34</v>
      </c>
      <c r="M87" s="186"/>
      <c r="N87" s="37" t="str">
        <f t="shared" si="7"/>
        <v>FY2010-11</v>
      </c>
      <c r="O87" s="186"/>
      <c r="P87" s="37" t="s">
        <v>147</v>
      </c>
      <c r="Q87" s="189"/>
      <c r="R87" s="186"/>
      <c r="S87" s="187"/>
      <c r="T87" s="187"/>
      <c r="U87" s="187"/>
      <c r="V87" s="188"/>
      <c r="W87" s="188"/>
      <c r="X87" s="188"/>
      <c r="Y87" s="188"/>
      <c r="Z87" s="188"/>
      <c r="AA87" s="188"/>
      <c r="AB87" s="188"/>
      <c r="AC87" s="188"/>
      <c r="AD87" s="188"/>
      <c r="AE87" s="188"/>
      <c r="AF87" s="188"/>
      <c r="AG87" s="188"/>
    </row>
    <row r="88" spans="1:34" ht="15.95" customHeight="1">
      <c r="A88" s="7"/>
      <c r="B88" s="10"/>
      <c r="C88" s="12"/>
      <c r="D88" s="186"/>
      <c r="E88" s="186"/>
      <c r="F88" s="186"/>
      <c r="G88" s="186"/>
      <c r="H88" s="186"/>
      <c r="I88" s="186"/>
      <c r="J88" s="186"/>
      <c r="K88" s="186"/>
      <c r="L88" s="278" t="s">
        <v>34</v>
      </c>
      <c r="M88" s="186"/>
      <c r="N88" s="37" t="str">
        <f t="shared" si="7"/>
        <v>FY2010-11</v>
      </c>
      <c r="O88" s="186"/>
      <c r="P88" s="37" t="s">
        <v>147</v>
      </c>
      <c r="Q88" s="189"/>
      <c r="R88" s="186"/>
      <c r="S88" s="187"/>
      <c r="T88" s="187"/>
      <c r="U88" s="187"/>
      <c r="V88" s="188"/>
      <c r="W88" s="188"/>
      <c r="X88" s="188"/>
      <c r="Y88" s="188"/>
      <c r="Z88" s="188"/>
      <c r="AA88" s="188"/>
      <c r="AB88" s="188"/>
      <c r="AC88" s="188"/>
      <c r="AD88" s="188"/>
      <c r="AE88" s="188"/>
      <c r="AF88" s="188"/>
      <c r="AG88" s="188"/>
    </row>
    <row r="89" spans="1:34" ht="15.95" customHeight="1">
      <c r="A89" s="7"/>
      <c r="B89" s="10"/>
      <c r="C89" s="12"/>
      <c r="D89" s="186"/>
      <c r="E89" s="186"/>
      <c r="F89" s="186"/>
      <c r="G89" s="186"/>
      <c r="H89" s="186"/>
      <c r="I89" s="186"/>
      <c r="J89" s="186"/>
      <c r="K89" s="186"/>
      <c r="L89" s="278" t="s">
        <v>34</v>
      </c>
      <c r="M89" s="186"/>
      <c r="N89" s="37" t="str">
        <f t="shared" si="7"/>
        <v>FY2010-11</v>
      </c>
      <c r="O89" s="186"/>
      <c r="P89" s="37" t="s">
        <v>147</v>
      </c>
      <c r="Q89" s="189"/>
      <c r="R89" s="186"/>
      <c r="S89" s="187"/>
      <c r="T89" s="187"/>
      <c r="U89" s="187"/>
      <c r="V89" s="188"/>
      <c r="W89" s="188"/>
      <c r="X89" s="188"/>
      <c r="Y89" s="188"/>
      <c r="Z89" s="188"/>
      <c r="AA89" s="188"/>
      <c r="AB89" s="188"/>
      <c r="AC89" s="188"/>
      <c r="AD89" s="188"/>
      <c r="AE89" s="188"/>
      <c r="AF89" s="188"/>
      <c r="AG89" s="188"/>
    </row>
    <row r="90" spans="1:34" ht="15.95" customHeight="1">
      <c r="A90" s="7"/>
      <c r="B90" s="10"/>
      <c r="C90" s="12"/>
      <c r="D90" s="186"/>
      <c r="E90" s="186"/>
      <c r="F90" s="186"/>
      <c r="G90" s="186"/>
      <c r="H90" s="186"/>
      <c r="I90" s="186"/>
      <c r="J90" s="186"/>
      <c r="K90" s="186"/>
      <c r="L90" s="278" t="s">
        <v>34</v>
      </c>
      <c r="M90" s="186"/>
      <c r="N90" s="37" t="str">
        <f t="shared" si="7"/>
        <v>FY2010-11</v>
      </c>
      <c r="O90" s="186"/>
      <c r="P90" s="37" t="s">
        <v>147</v>
      </c>
      <c r="Q90" s="189"/>
      <c r="R90" s="186"/>
      <c r="S90" s="187"/>
      <c r="T90" s="187"/>
      <c r="U90" s="187"/>
      <c r="V90" s="188"/>
      <c r="W90" s="188"/>
      <c r="X90" s="188"/>
      <c r="Y90" s="188"/>
      <c r="Z90" s="188"/>
      <c r="AA90" s="188"/>
      <c r="AB90" s="188"/>
      <c r="AC90" s="188"/>
      <c r="AD90" s="188"/>
      <c r="AE90" s="188"/>
      <c r="AF90" s="188"/>
      <c r="AG90" s="188"/>
    </row>
    <row r="91" spans="1:34" ht="15.95" customHeight="1">
      <c r="A91" s="7"/>
      <c r="B91" s="10"/>
      <c r="C91" s="12"/>
      <c r="D91" s="186"/>
      <c r="E91" s="186"/>
      <c r="F91" s="186"/>
      <c r="G91" s="186"/>
      <c r="H91" s="186"/>
      <c r="I91" s="186"/>
      <c r="J91" s="186"/>
      <c r="K91" s="186"/>
      <c r="L91" s="278" t="s">
        <v>34</v>
      </c>
      <c r="M91" s="186"/>
      <c r="N91" s="37" t="str">
        <f t="shared" si="7"/>
        <v>FY2010-11</v>
      </c>
      <c r="O91" s="186"/>
      <c r="P91" s="37" t="s">
        <v>147</v>
      </c>
      <c r="Q91" s="189"/>
      <c r="R91" s="186"/>
      <c r="S91" s="187"/>
      <c r="T91" s="187"/>
      <c r="U91" s="187"/>
      <c r="V91" s="188"/>
      <c r="W91" s="188"/>
      <c r="X91" s="188"/>
      <c r="Y91" s="188"/>
      <c r="Z91" s="188"/>
      <c r="AA91" s="188"/>
      <c r="AB91" s="188"/>
      <c r="AC91" s="188"/>
      <c r="AD91" s="188"/>
      <c r="AE91" s="188"/>
      <c r="AF91" s="188"/>
      <c r="AG91" s="188"/>
    </row>
    <row r="92" spans="1:34" ht="15.95" customHeight="1">
      <c r="A92" s="11"/>
      <c r="B92" s="12"/>
      <c r="C92" s="12"/>
      <c r="D92" s="13"/>
      <c r="E92" s="13"/>
      <c r="F92" s="14"/>
      <c r="G92" s="13"/>
      <c r="H92" s="14"/>
      <c r="I92" s="14"/>
      <c r="J92" s="13"/>
      <c r="K92" s="13"/>
      <c r="L92" s="279"/>
      <c r="M92" s="14"/>
      <c r="N92" s="14"/>
      <c r="O92" s="13"/>
      <c r="P92" s="14"/>
      <c r="Q92" s="14"/>
      <c r="R92" s="13"/>
      <c r="S92" s="13"/>
      <c r="T92" s="13"/>
      <c r="U92" s="13"/>
      <c r="V92" s="11"/>
      <c r="W92" s="11"/>
      <c r="X92" s="11"/>
      <c r="Y92" s="11"/>
      <c r="Z92" s="11"/>
      <c r="AA92" s="11"/>
      <c r="AB92" s="11"/>
      <c r="AC92" s="11"/>
      <c r="AD92" s="11"/>
      <c r="AE92" s="11"/>
      <c r="AF92" s="11"/>
      <c r="AG92" s="11"/>
    </row>
    <row r="93" spans="1:34" ht="15.95" customHeight="1" thickBot="1">
      <c r="A93" s="7"/>
      <c r="B93" s="19" t="s">
        <v>0</v>
      </c>
      <c r="C93" s="7"/>
      <c r="D93" s="8"/>
      <c r="E93" s="8"/>
      <c r="F93" s="9"/>
      <c r="G93" s="8"/>
      <c r="H93" s="9"/>
      <c r="I93" s="9"/>
      <c r="J93" s="8"/>
      <c r="K93" s="8"/>
      <c r="L93" s="280"/>
      <c r="M93" s="9"/>
      <c r="N93" s="9"/>
      <c r="O93" s="8"/>
      <c r="P93" s="9"/>
      <c r="Q93" s="9"/>
      <c r="R93" s="8"/>
      <c r="S93" s="866"/>
      <c r="T93" s="867" t="str">
        <f>'$REV-DB'!$T$34</f>
        <v>UD1</v>
      </c>
      <c r="U93" s="867" t="str">
        <f>'$REV-DB'!$U$34</f>
        <v>UD2</v>
      </c>
      <c r="V93" s="867" t="str">
        <f>'$REV-DB'!$V$34</f>
        <v>UD3</v>
      </c>
      <c r="W93" s="867" t="str">
        <f>'$REV-DB'!$W$34</f>
        <v>UD4</v>
      </c>
      <c r="X93" s="867" t="str">
        <f>'$REV-DB'!$X$34</f>
        <v>UD5</v>
      </c>
      <c r="Y93" s="867" t="str">
        <f>'$REV-DB'!$Y$34</f>
        <v>UD6</v>
      </c>
      <c r="Z93" s="867" t="str">
        <f>'$REV-DB'!$Z$34</f>
        <v>UD7</v>
      </c>
      <c r="AA93" s="867" t="str">
        <f>'$REV-DB'!$AA$34</f>
        <v>UD8</v>
      </c>
      <c r="AB93" s="867" t="str">
        <f>'$REV-DB'!$AB$34</f>
        <v>UD9</v>
      </c>
      <c r="AC93" s="867" t="str">
        <f>'$REV-DB'!$AC$34</f>
        <v>UD10</v>
      </c>
      <c r="AD93" s="867" t="str">
        <f>'$REV-DB'!$AD$34</f>
        <v>UD11</v>
      </c>
      <c r="AE93" s="867" t="str">
        <f>'$REV-DB'!$AE$34</f>
        <v>UD12</v>
      </c>
      <c r="AF93" s="867" t="str">
        <f>'$REV-DB'!$AF$34</f>
        <v>UD13</v>
      </c>
      <c r="AG93" s="867" t="str">
        <f>'$REV-DB'!$AG$34</f>
        <v>UD14</v>
      </c>
    </row>
    <row r="94" spans="1:34" ht="15.95" customHeight="1" thickTop="1" thickBot="1">
      <c r="A94" s="7"/>
      <c r="B94" s="20" t="s">
        <v>175</v>
      </c>
      <c r="C94" s="15"/>
      <c r="D94" s="105" t="s">
        <v>186</v>
      </c>
      <c r="E94" s="105" t="s">
        <v>187</v>
      </c>
      <c r="F94" s="105" t="s">
        <v>188</v>
      </c>
      <c r="G94" s="105" t="s">
        <v>189</v>
      </c>
      <c r="H94" s="301" t="s">
        <v>11</v>
      </c>
      <c r="I94" s="301" t="s">
        <v>190</v>
      </c>
      <c r="J94" s="301" t="s">
        <v>191</v>
      </c>
      <c r="K94" s="301" t="s">
        <v>192</v>
      </c>
      <c r="L94" s="301" t="s">
        <v>203</v>
      </c>
      <c r="M94" s="301" t="s">
        <v>42</v>
      </c>
      <c r="N94" s="105" t="s">
        <v>148</v>
      </c>
      <c r="O94" s="105" t="s">
        <v>193</v>
      </c>
      <c r="P94" s="105" t="s">
        <v>142</v>
      </c>
      <c r="Q94" s="105" t="s">
        <v>194</v>
      </c>
      <c r="R94" s="112" t="s">
        <v>141</v>
      </c>
      <c r="S94" s="112" t="s">
        <v>672</v>
      </c>
      <c r="T94" s="857" t="s">
        <v>541</v>
      </c>
      <c r="U94" s="857" t="s">
        <v>542</v>
      </c>
      <c r="V94" s="857" t="s">
        <v>543</v>
      </c>
      <c r="W94" s="857" t="s">
        <v>544</v>
      </c>
      <c r="X94" s="857" t="s">
        <v>545</v>
      </c>
      <c r="Y94" s="857" t="s">
        <v>546</v>
      </c>
      <c r="Z94" s="857" t="s">
        <v>547</v>
      </c>
      <c r="AA94" s="857" t="s">
        <v>548</v>
      </c>
      <c r="AB94" s="857" t="s">
        <v>549</v>
      </c>
      <c r="AC94" s="857" t="s">
        <v>550</v>
      </c>
      <c r="AD94" s="857" t="s">
        <v>551</v>
      </c>
      <c r="AE94" s="857" t="s">
        <v>552</v>
      </c>
      <c r="AF94" s="857" t="s">
        <v>553</v>
      </c>
      <c r="AG94" s="857" t="s">
        <v>554</v>
      </c>
      <c r="AH94" s="6"/>
    </row>
    <row r="95" spans="1:34" ht="15.95" customHeight="1" thickTop="1">
      <c r="A95" s="7"/>
      <c r="B95" s="19" t="s">
        <v>145</v>
      </c>
      <c r="C95" s="12"/>
      <c r="D95" s="186"/>
      <c r="E95" s="186"/>
      <c r="F95" s="186"/>
      <c r="G95" s="186"/>
      <c r="H95" s="186"/>
      <c r="I95" s="186"/>
      <c r="J95" s="186"/>
      <c r="K95" s="186"/>
      <c r="L95" s="278" t="s">
        <v>34</v>
      </c>
      <c r="M95" s="186"/>
      <c r="N95" s="37" t="str">
        <f>J$6</f>
        <v>FY2010-11</v>
      </c>
      <c r="O95" s="186"/>
      <c r="P95" s="37" t="s">
        <v>147</v>
      </c>
      <c r="Q95" s="189" t="s">
        <v>180</v>
      </c>
      <c r="R95" s="186"/>
      <c r="S95" s="187"/>
      <c r="T95" s="187"/>
      <c r="U95" s="187"/>
      <c r="V95" s="188"/>
      <c r="W95" s="188"/>
      <c r="X95" s="188"/>
      <c r="Y95" s="188"/>
      <c r="Z95" s="188"/>
      <c r="AA95" s="188"/>
      <c r="AB95" s="188"/>
      <c r="AC95" s="188"/>
      <c r="AD95" s="188"/>
      <c r="AE95" s="188"/>
      <c r="AF95" s="188"/>
      <c r="AG95" s="188"/>
      <c r="AH95" s="6"/>
    </row>
    <row r="96" spans="1:34" ht="15.95" customHeight="1">
      <c r="A96" s="7"/>
      <c r="B96" s="16">
        <f>DSUM('$REV-DB'!D35:AG67,"AMOUNT",'$REV-DSUM'!D94:AG101)</f>
        <v>17198745.100000001</v>
      </c>
      <c r="C96" s="12"/>
      <c r="D96" s="186"/>
      <c r="E96" s="186"/>
      <c r="F96" s="186"/>
      <c r="G96" s="186"/>
      <c r="H96" s="186"/>
      <c r="I96" s="186"/>
      <c r="J96" s="186"/>
      <c r="K96" s="186"/>
      <c r="L96" s="278" t="s">
        <v>34</v>
      </c>
      <c r="M96" s="186"/>
      <c r="N96" s="37" t="str">
        <f t="shared" ref="N96:N101" si="8">J$6</f>
        <v>FY2010-11</v>
      </c>
      <c r="O96" s="186"/>
      <c r="P96" s="37" t="s">
        <v>147</v>
      </c>
      <c r="Q96" s="189" t="s">
        <v>180</v>
      </c>
      <c r="R96" s="186"/>
      <c r="S96" s="187"/>
      <c r="T96" s="187"/>
      <c r="U96" s="187"/>
      <c r="V96" s="188"/>
      <c r="W96" s="188"/>
      <c r="X96" s="188"/>
      <c r="Y96" s="188"/>
      <c r="Z96" s="188"/>
      <c r="AA96" s="188"/>
      <c r="AB96" s="188"/>
      <c r="AC96" s="188"/>
      <c r="AD96" s="188"/>
      <c r="AE96" s="188"/>
      <c r="AF96" s="188"/>
      <c r="AG96" s="188"/>
      <c r="AH96" s="6"/>
    </row>
    <row r="97" spans="1:34" ht="15.95" customHeight="1">
      <c r="A97" s="7"/>
      <c r="B97" s="10"/>
      <c r="C97" s="12"/>
      <c r="D97" s="186"/>
      <c r="E97" s="186"/>
      <c r="F97" s="186"/>
      <c r="G97" s="186"/>
      <c r="H97" s="186"/>
      <c r="I97" s="186"/>
      <c r="J97" s="186"/>
      <c r="K97" s="186"/>
      <c r="L97" s="278" t="s">
        <v>34</v>
      </c>
      <c r="M97" s="186"/>
      <c r="N97" s="37" t="str">
        <f t="shared" si="8"/>
        <v>FY2010-11</v>
      </c>
      <c r="O97" s="186"/>
      <c r="P97" s="37" t="s">
        <v>147</v>
      </c>
      <c r="Q97" s="189" t="s">
        <v>180</v>
      </c>
      <c r="R97" s="186"/>
      <c r="S97" s="187"/>
      <c r="T97" s="187"/>
      <c r="U97" s="187"/>
      <c r="V97" s="188"/>
      <c r="W97" s="188"/>
      <c r="X97" s="188"/>
      <c r="Y97" s="188"/>
      <c r="Z97" s="188"/>
      <c r="AA97" s="188"/>
      <c r="AB97" s="188"/>
      <c r="AC97" s="188"/>
      <c r="AD97" s="188"/>
      <c r="AE97" s="188"/>
      <c r="AF97" s="188"/>
      <c r="AG97" s="188"/>
    </row>
    <row r="98" spans="1:34" ht="15.95" customHeight="1">
      <c r="A98" s="7"/>
      <c r="B98" s="10"/>
      <c r="C98" s="12"/>
      <c r="D98" s="186"/>
      <c r="E98" s="186"/>
      <c r="F98" s="186"/>
      <c r="G98" s="186"/>
      <c r="H98" s="186"/>
      <c r="I98" s="186"/>
      <c r="J98" s="186"/>
      <c r="K98" s="186"/>
      <c r="L98" s="278" t="s">
        <v>34</v>
      </c>
      <c r="M98" s="186"/>
      <c r="N98" s="37" t="str">
        <f t="shared" si="8"/>
        <v>FY2010-11</v>
      </c>
      <c r="O98" s="186"/>
      <c r="P98" s="37" t="s">
        <v>147</v>
      </c>
      <c r="Q98" s="189" t="s">
        <v>180</v>
      </c>
      <c r="R98" s="186"/>
      <c r="S98" s="187"/>
      <c r="T98" s="187"/>
      <c r="U98" s="187"/>
      <c r="V98" s="188"/>
      <c r="W98" s="188"/>
      <c r="X98" s="188"/>
      <c r="Y98" s="188"/>
      <c r="Z98" s="188"/>
      <c r="AA98" s="188"/>
      <c r="AB98" s="188"/>
      <c r="AC98" s="188"/>
      <c r="AD98" s="188"/>
      <c r="AE98" s="188"/>
      <c r="AF98" s="188"/>
      <c r="AG98" s="188"/>
    </row>
    <row r="99" spans="1:34" ht="15.95" customHeight="1">
      <c r="A99" s="7"/>
      <c r="B99" s="10"/>
      <c r="C99" s="12"/>
      <c r="D99" s="186"/>
      <c r="E99" s="186"/>
      <c r="F99" s="186"/>
      <c r="G99" s="186"/>
      <c r="H99" s="186"/>
      <c r="I99" s="186"/>
      <c r="J99" s="186"/>
      <c r="K99" s="186"/>
      <c r="L99" s="278" t="s">
        <v>34</v>
      </c>
      <c r="M99" s="186"/>
      <c r="N99" s="37" t="str">
        <f t="shared" si="8"/>
        <v>FY2010-11</v>
      </c>
      <c r="O99" s="186"/>
      <c r="P99" s="37" t="s">
        <v>147</v>
      </c>
      <c r="Q99" s="189" t="s">
        <v>180</v>
      </c>
      <c r="R99" s="186"/>
      <c r="S99" s="187"/>
      <c r="T99" s="187"/>
      <c r="U99" s="187"/>
      <c r="V99" s="188"/>
      <c r="W99" s="188"/>
      <c r="X99" s="188"/>
      <c r="Y99" s="188"/>
      <c r="Z99" s="188"/>
      <c r="AA99" s="188"/>
      <c r="AB99" s="188"/>
      <c r="AC99" s="188"/>
      <c r="AD99" s="188"/>
      <c r="AE99" s="188"/>
      <c r="AF99" s="188"/>
      <c r="AG99" s="188"/>
    </row>
    <row r="100" spans="1:34" ht="15.95" customHeight="1">
      <c r="A100" s="7"/>
      <c r="B100" s="10"/>
      <c r="C100" s="12"/>
      <c r="D100" s="186"/>
      <c r="E100" s="186"/>
      <c r="F100" s="186"/>
      <c r="G100" s="186"/>
      <c r="H100" s="186"/>
      <c r="I100" s="186"/>
      <c r="J100" s="186"/>
      <c r="K100" s="186"/>
      <c r="L100" s="278" t="s">
        <v>34</v>
      </c>
      <c r="M100" s="186"/>
      <c r="N100" s="37" t="str">
        <f t="shared" si="8"/>
        <v>FY2010-11</v>
      </c>
      <c r="O100" s="186"/>
      <c r="P100" s="37" t="s">
        <v>147</v>
      </c>
      <c r="Q100" s="189" t="s">
        <v>180</v>
      </c>
      <c r="R100" s="186"/>
      <c r="S100" s="187"/>
      <c r="T100" s="187"/>
      <c r="U100" s="187"/>
      <c r="V100" s="188"/>
      <c r="W100" s="188"/>
      <c r="X100" s="188"/>
      <c r="Y100" s="188"/>
      <c r="Z100" s="188"/>
      <c r="AA100" s="188"/>
      <c r="AB100" s="188"/>
      <c r="AC100" s="188"/>
      <c r="AD100" s="188"/>
      <c r="AE100" s="188"/>
      <c r="AF100" s="188"/>
      <c r="AG100" s="188"/>
    </row>
    <row r="101" spans="1:34" ht="15.95" customHeight="1">
      <c r="A101" s="7"/>
      <c r="B101" s="10"/>
      <c r="C101" s="12"/>
      <c r="D101" s="186"/>
      <c r="E101" s="186"/>
      <c r="F101" s="186"/>
      <c r="G101" s="186"/>
      <c r="H101" s="186"/>
      <c r="I101" s="186"/>
      <c r="J101" s="186"/>
      <c r="K101" s="186"/>
      <c r="L101" s="278" t="s">
        <v>34</v>
      </c>
      <c r="M101" s="186"/>
      <c r="N101" s="37" t="str">
        <f t="shared" si="8"/>
        <v>FY2010-11</v>
      </c>
      <c r="O101" s="186"/>
      <c r="P101" s="37" t="s">
        <v>147</v>
      </c>
      <c r="Q101" s="189" t="s">
        <v>180</v>
      </c>
      <c r="R101" s="186"/>
      <c r="S101" s="187"/>
      <c r="T101" s="187"/>
      <c r="U101" s="187"/>
      <c r="V101" s="188"/>
      <c r="W101" s="188"/>
      <c r="X101" s="188"/>
      <c r="Y101" s="188"/>
      <c r="Z101" s="188"/>
      <c r="AA101" s="188"/>
      <c r="AB101" s="188"/>
      <c r="AC101" s="188"/>
      <c r="AD101" s="188"/>
      <c r="AE101" s="188"/>
      <c r="AF101" s="188"/>
      <c r="AG101" s="188"/>
    </row>
    <row r="102" spans="1:34" ht="15.95" customHeight="1">
      <c r="A102" s="11"/>
      <c r="B102" s="12"/>
      <c r="C102" s="12"/>
      <c r="D102" s="13"/>
      <c r="E102" s="13"/>
      <c r="F102" s="14"/>
      <c r="G102" s="13"/>
      <c r="H102" s="14"/>
      <c r="I102" s="14"/>
      <c r="J102" s="13"/>
      <c r="K102" s="13"/>
      <c r="L102" s="279"/>
      <c r="M102" s="14"/>
      <c r="N102" s="14"/>
      <c r="O102" s="13"/>
      <c r="P102" s="14"/>
      <c r="Q102" s="14"/>
      <c r="R102" s="13"/>
      <c r="S102" s="13"/>
      <c r="T102" s="13"/>
      <c r="U102" s="13"/>
      <c r="V102" s="11"/>
      <c r="W102" s="11"/>
      <c r="X102" s="11"/>
      <c r="Y102" s="11"/>
      <c r="Z102" s="11"/>
      <c r="AA102" s="11"/>
      <c r="AB102" s="11"/>
      <c r="AC102" s="11"/>
      <c r="AD102" s="11"/>
      <c r="AE102" s="11"/>
      <c r="AF102" s="11"/>
      <c r="AG102" s="11"/>
    </row>
    <row r="103" spans="1:34" ht="15.95" customHeight="1" thickBot="1">
      <c r="A103" s="7"/>
      <c r="B103" s="19" t="s">
        <v>0</v>
      </c>
      <c r="C103" s="7"/>
      <c r="D103" s="8"/>
      <c r="E103" s="8"/>
      <c r="F103" s="9"/>
      <c r="G103" s="8"/>
      <c r="H103" s="9"/>
      <c r="I103" s="9"/>
      <c r="J103" s="8"/>
      <c r="K103" s="8"/>
      <c r="L103" s="280"/>
      <c r="M103" s="9"/>
      <c r="N103" s="9"/>
      <c r="O103" s="8"/>
      <c r="P103" s="9"/>
      <c r="Q103" s="9"/>
      <c r="R103" s="8"/>
      <c r="S103" s="866"/>
      <c r="T103" s="867" t="str">
        <f>'$REV-DB'!$T$34</f>
        <v>UD1</v>
      </c>
      <c r="U103" s="867" t="str">
        <f>'$REV-DB'!$U$34</f>
        <v>UD2</v>
      </c>
      <c r="V103" s="867" t="str">
        <f>'$REV-DB'!$V$34</f>
        <v>UD3</v>
      </c>
      <c r="W103" s="867" t="str">
        <f>'$REV-DB'!$W$34</f>
        <v>UD4</v>
      </c>
      <c r="X103" s="867" t="str">
        <f>'$REV-DB'!$X$34</f>
        <v>UD5</v>
      </c>
      <c r="Y103" s="867" t="str">
        <f>'$REV-DB'!$Y$34</f>
        <v>UD6</v>
      </c>
      <c r="Z103" s="867" t="str">
        <f>'$REV-DB'!$Z$34</f>
        <v>UD7</v>
      </c>
      <c r="AA103" s="867" t="str">
        <f>'$REV-DB'!$AA$34</f>
        <v>UD8</v>
      </c>
      <c r="AB103" s="867" t="str">
        <f>'$REV-DB'!$AB$34</f>
        <v>UD9</v>
      </c>
      <c r="AC103" s="867" t="str">
        <f>'$REV-DB'!$AC$34</f>
        <v>UD10</v>
      </c>
      <c r="AD103" s="867" t="str">
        <f>'$REV-DB'!$AD$34</f>
        <v>UD11</v>
      </c>
      <c r="AE103" s="867" t="str">
        <f>'$REV-DB'!$AE$34</f>
        <v>UD12</v>
      </c>
      <c r="AF103" s="867" t="str">
        <f>'$REV-DB'!$AF$34</f>
        <v>UD13</v>
      </c>
      <c r="AG103" s="867" t="str">
        <f>'$REV-DB'!$AG$34</f>
        <v>UD14</v>
      </c>
    </row>
    <row r="104" spans="1:34" ht="15.95" customHeight="1" thickTop="1" thickBot="1">
      <c r="A104" s="7"/>
      <c r="B104" s="20" t="s">
        <v>175</v>
      </c>
      <c r="C104" s="15"/>
      <c r="D104" s="105" t="s">
        <v>186</v>
      </c>
      <c r="E104" s="105" t="s">
        <v>187</v>
      </c>
      <c r="F104" s="105" t="s">
        <v>188</v>
      </c>
      <c r="G104" s="105" t="s">
        <v>189</v>
      </c>
      <c r="H104" s="105" t="s">
        <v>11</v>
      </c>
      <c r="I104" s="105" t="s">
        <v>190</v>
      </c>
      <c r="J104" s="105" t="s">
        <v>191</v>
      </c>
      <c r="K104" s="105" t="s">
        <v>192</v>
      </c>
      <c r="L104" s="276" t="s">
        <v>203</v>
      </c>
      <c r="M104" s="105" t="s">
        <v>42</v>
      </c>
      <c r="N104" s="105" t="s">
        <v>148</v>
      </c>
      <c r="O104" s="105" t="s">
        <v>193</v>
      </c>
      <c r="P104" s="105" t="s">
        <v>142</v>
      </c>
      <c r="Q104" s="105" t="s">
        <v>194</v>
      </c>
      <c r="R104" s="112" t="s">
        <v>141</v>
      </c>
      <c r="S104" s="112" t="s">
        <v>672</v>
      </c>
      <c r="T104" s="857" t="s">
        <v>541</v>
      </c>
      <c r="U104" s="857" t="s">
        <v>542</v>
      </c>
      <c r="V104" s="857" t="s">
        <v>543</v>
      </c>
      <c r="W104" s="857" t="s">
        <v>544</v>
      </c>
      <c r="X104" s="857" t="s">
        <v>545</v>
      </c>
      <c r="Y104" s="857" t="s">
        <v>546</v>
      </c>
      <c r="Z104" s="857" t="s">
        <v>547</v>
      </c>
      <c r="AA104" s="857" t="s">
        <v>548</v>
      </c>
      <c r="AB104" s="857" t="s">
        <v>549</v>
      </c>
      <c r="AC104" s="857" t="s">
        <v>550</v>
      </c>
      <c r="AD104" s="857" t="s">
        <v>551</v>
      </c>
      <c r="AE104" s="857" t="s">
        <v>552</v>
      </c>
      <c r="AF104" s="857" t="s">
        <v>553</v>
      </c>
      <c r="AG104" s="857" t="s">
        <v>554</v>
      </c>
      <c r="AH104" s="6"/>
    </row>
    <row r="105" spans="1:34" ht="15.95" customHeight="1" thickTop="1">
      <c r="A105" s="7"/>
      <c r="B105" s="19" t="s">
        <v>144</v>
      </c>
      <c r="C105" s="12"/>
      <c r="D105" s="186"/>
      <c r="E105" s="186"/>
      <c r="F105" s="186"/>
      <c r="G105" s="186"/>
      <c r="H105" s="186"/>
      <c r="I105" s="186"/>
      <c r="J105" s="186"/>
      <c r="K105" s="186"/>
      <c r="L105" s="278" t="s">
        <v>34</v>
      </c>
      <c r="M105" s="186"/>
      <c r="N105" s="37" t="str">
        <f>J$6</f>
        <v>FY2010-11</v>
      </c>
      <c r="O105" s="186"/>
      <c r="P105" s="37" t="s">
        <v>147</v>
      </c>
      <c r="Q105" s="189" t="s">
        <v>139</v>
      </c>
      <c r="R105" s="186"/>
      <c r="S105" s="187"/>
      <c r="T105" s="187"/>
      <c r="U105" s="187"/>
      <c r="V105" s="188"/>
      <c r="W105" s="188"/>
      <c r="X105" s="188"/>
      <c r="Y105" s="188"/>
      <c r="Z105" s="188"/>
      <c r="AA105" s="188"/>
      <c r="AB105" s="188"/>
      <c r="AC105" s="188"/>
      <c r="AD105" s="188"/>
      <c r="AE105" s="188"/>
      <c r="AF105" s="188"/>
      <c r="AG105" s="188"/>
      <c r="AH105" s="6"/>
    </row>
    <row r="106" spans="1:34" ht="15.95" customHeight="1">
      <c r="A106" s="7"/>
      <c r="B106" s="16">
        <f>DSUM('$REV-DB'!D35:AG67,"AMOUNT",'$REV-DSUM'!D104:AG111)</f>
        <v>109110317</v>
      </c>
      <c r="C106" s="12"/>
      <c r="D106" s="186"/>
      <c r="E106" s="186"/>
      <c r="F106" s="186"/>
      <c r="G106" s="186"/>
      <c r="H106" s="186"/>
      <c r="I106" s="186"/>
      <c r="J106" s="186"/>
      <c r="K106" s="186"/>
      <c r="L106" s="278" t="s">
        <v>34</v>
      </c>
      <c r="M106" s="186"/>
      <c r="N106" s="37" t="str">
        <f t="shared" ref="N106:N111" si="9">J$6</f>
        <v>FY2010-11</v>
      </c>
      <c r="O106" s="186"/>
      <c r="P106" s="37" t="s">
        <v>147</v>
      </c>
      <c r="Q106" s="189" t="s">
        <v>139</v>
      </c>
      <c r="R106" s="186"/>
      <c r="S106" s="187"/>
      <c r="T106" s="187"/>
      <c r="U106" s="187"/>
      <c r="V106" s="188"/>
      <c r="W106" s="188"/>
      <c r="X106" s="188"/>
      <c r="Y106" s="188"/>
      <c r="Z106" s="188"/>
      <c r="AA106" s="188"/>
      <c r="AB106" s="188"/>
      <c r="AC106" s="188"/>
      <c r="AD106" s="188"/>
      <c r="AE106" s="188"/>
      <c r="AF106" s="188"/>
      <c r="AG106" s="188"/>
      <c r="AH106" s="6"/>
    </row>
    <row r="107" spans="1:34" ht="15.95" customHeight="1">
      <c r="A107" s="7"/>
      <c r="B107" s="10"/>
      <c r="C107" s="12"/>
      <c r="D107" s="186"/>
      <c r="E107" s="186"/>
      <c r="F107" s="186"/>
      <c r="G107" s="186"/>
      <c r="H107" s="186"/>
      <c r="I107" s="186"/>
      <c r="J107" s="186"/>
      <c r="K107" s="186"/>
      <c r="L107" s="278" t="s">
        <v>34</v>
      </c>
      <c r="M107" s="186"/>
      <c r="N107" s="37" t="str">
        <f t="shared" si="9"/>
        <v>FY2010-11</v>
      </c>
      <c r="O107" s="186"/>
      <c r="P107" s="37" t="s">
        <v>147</v>
      </c>
      <c r="Q107" s="189" t="s">
        <v>139</v>
      </c>
      <c r="R107" s="186"/>
      <c r="S107" s="187"/>
      <c r="T107" s="187"/>
      <c r="U107" s="187"/>
      <c r="V107" s="188"/>
      <c r="W107" s="188"/>
      <c r="X107" s="188"/>
      <c r="Y107" s="188"/>
      <c r="Z107" s="188"/>
      <c r="AA107" s="188"/>
      <c r="AB107" s="188"/>
      <c r="AC107" s="188"/>
      <c r="AD107" s="188"/>
      <c r="AE107" s="188"/>
      <c r="AF107" s="188"/>
      <c r="AG107" s="188"/>
    </row>
    <row r="108" spans="1:34" ht="15.95" customHeight="1">
      <c r="A108" s="7"/>
      <c r="B108" s="10"/>
      <c r="C108" s="12"/>
      <c r="D108" s="186"/>
      <c r="E108" s="186"/>
      <c r="F108" s="186"/>
      <c r="G108" s="186"/>
      <c r="H108" s="186"/>
      <c r="I108" s="186"/>
      <c r="J108" s="186"/>
      <c r="K108" s="186"/>
      <c r="L108" s="278" t="s">
        <v>34</v>
      </c>
      <c r="M108" s="186"/>
      <c r="N108" s="37" t="str">
        <f t="shared" si="9"/>
        <v>FY2010-11</v>
      </c>
      <c r="O108" s="186"/>
      <c r="P108" s="37" t="s">
        <v>147</v>
      </c>
      <c r="Q108" s="189" t="s">
        <v>139</v>
      </c>
      <c r="R108" s="186"/>
      <c r="S108" s="187"/>
      <c r="T108" s="187"/>
      <c r="U108" s="187"/>
      <c r="V108" s="188"/>
      <c r="W108" s="188"/>
      <c r="X108" s="188"/>
      <c r="Y108" s="188"/>
      <c r="Z108" s="188"/>
      <c r="AA108" s="188"/>
      <c r="AB108" s="188"/>
      <c r="AC108" s="188"/>
      <c r="AD108" s="188"/>
      <c r="AE108" s="188"/>
      <c r="AF108" s="188"/>
      <c r="AG108" s="188"/>
    </row>
    <row r="109" spans="1:34" ht="15.95" customHeight="1">
      <c r="A109" s="7"/>
      <c r="B109" s="10"/>
      <c r="C109" s="12"/>
      <c r="D109" s="186"/>
      <c r="E109" s="186"/>
      <c r="F109" s="186"/>
      <c r="G109" s="186"/>
      <c r="H109" s="186"/>
      <c r="I109" s="186"/>
      <c r="J109" s="186"/>
      <c r="K109" s="186"/>
      <c r="L109" s="278" t="s">
        <v>34</v>
      </c>
      <c r="M109" s="186"/>
      <c r="N109" s="37" t="str">
        <f t="shared" si="9"/>
        <v>FY2010-11</v>
      </c>
      <c r="O109" s="186"/>
      <c r="P109" s="37" t="s">
        <v>147</v>
      </c>
      <c r="Q109" s="189" t="s">
        <v>139</v>
      </c>
      <c r="R109" s="186"/>
      <c r="S109" s="187"/>
      <c r="T109" s="187"/>
      <c r="U109" s="187"/>
      <c r="V109" s="188"/>
      <c r="W109" s="188"/>
      <c r="X109" s="188"/>
      <c r="Y109" s="188"/>
      <c r="Z109" s="188"/>
      <c r="AA109" s="188"/>
      <c r="AB109" s="188"/>
      <c r="AC109" s="188"/>
      <c r="AD109" s="188"/>
      <c r="AE109" s="188"/>
      <c r="AF109" s="188"/>
      <c r="AG109" s="188"/>
    </row>
    <row r="110" spans="1:34" ht="15.95" customHeight="1">
      <c r="A110" s="7"/>
      <c r="B110" s="10"/>
      <c r="C110" s="12"/>
      <c r="D110" s="186"/>
      <c r="E110" s="186"/>
      <c r="F110" s="186"/>
      <c r="G110" s="186"/>
      <c r="H110" s="186"/>
      <c r="I110" s="186"/>
      <c r="J110" s="186"/>
      <c r="K110" s="186"/>
      <c r="L110" s="278" t="s">
        <v>34</v>
      </c>
      <c r="M110" s="186"/>
      <c r="N110" s="37" t="str">
        <f t="shared" si="9"/>
        <v>FY2010-11</v>
      </c>
      <c r="O110" s="186"/>
      <c r="P110" s="37" t="s">
        <v>147</v>
      </c>
      <c r="Q110" s="189" t="s">
        <v>139</v>
      </c>
      <c r="R110" s="186"/>
      <c r="S110" s="187"/>
      <c r="T110" s="187"/>
      <c r="U110" s="187"/>
      <c r="V110" s="188"/>
      <c r="W110" s="188"/>
      <c r="X110" s="188"/>
      <c r="Y110" s="188"/>
      <c r="Z110" s="188"/>
      <c r="AA110" s="188"/>
      <c r="AB110" s="188"/>
      <c r="AC110" s="188"/>
      <c r="AD110" s="188"/>
      <c r="AE110" s="188"/>
      <c r="AF110" s="188"/>
      <c r="AG110" s="188"/>
    </row>
    <row r="111" spans="1:34" ht="15.95" customHeight="1">
      <c r="A111" s="7"/>
      <c r="B111" s="10"/>
      <c r="C111" s="12"/>
      <c r="D111" s="186"/>
      <c r="E111" s="186"/>
      <c r="F111" s="186"/>
      <c r="G111" s="186"/>
      <c r="H111" s="186"/>
      <c r="I111" s="186"/>
      <c r="J111" s="186"/>
      <c r="K111" s="186"/>
      <c r="L111" s="278" t="s">
        <v>34</v>
      </c>
      <c r="M111" s="186"/>
      <c r="N111" s="37" t="str">
        <f t="shared" si="9"/>
        <v>FY2010-11</v>
      </c>
      <c r="O111" s="186"/>
      <c r="P111" s="37" t="s">
        <v>147</v>
      </c>
      <c r="Q111" s="189" t="s">
        <v>139</v>
      </c>
      <c r="R111" s="186"/>
      <c r="S111" s="187"/>
      <c r="T111" s="187"/>
      <c r="U111" s="187"/>
      <c r="V111" s="188"/>
      <c r="W111" s="188"/>
      <c r="X111" s="188"/>
      <c r="Y111" s="188"/>
      <c r="Z111" s="188"/>
      <c r="AA111" s="188"/>
      <c r="AB111" s="188"/>
      <c r="AC111" s="188"/>
      <c r="AD111" s="188"/>
      <c r="AE111" s="188"/>
      <c r="AF111" s="188"/>
      <c r="AG111" s="188"/>
    </row>
    <row r="112" spans="1:34" ht="15.95" customHeight="1">
      <c r="A112" s="11"/>
      <c r="B112" s="12"/>
      <c r="C112" s="12"/>
      <c r="D112" s="13"/>
      <c r="E112" s="13"/>
      <c r="F112" s="14"/>
      <c r="G112" s="13"/>
      <c r="H112" s="14"/>
      <c r="I112" s="14"/>
      <c r="J112" s="13"/>
      <c r="K112" s="13"/>
      <c r="L112" s="279"/>
      <c r="M112" s="14"/>
      <c r="N112" s="14"/>
      <c r="O112" s="13"/>
      <c r="P112" s="14"/>
      <c r="Q112" s="14"/>
      <c r="R112" s="13"/>
      <c r="S112" s="13"/>
      <c r="T112" s="13"/>
      <c r="U112" s="13"/>
      <c r="V112" s="11"/>
      <c r="W112" s="11"/>
      <c r="X112" s="11"/>
      <c r="Y112" s="11"/>
      <c r="Z112" s="11"/>
      <c r="AA112" s="11"/>
      <c r="AB112" s="11"/>
      <c r="AC112" s="11"/>
      <c r="AD112" s="11"/>
      <c r="AE112" s="11"/>
      <c r="AF112" s="11"/>
      <c r="AG112" s="11"/>
    </row>
    <row r="113" spans="1:34" ht="15.95" customHeight="1" thickBot="1">
      <c r="A113" s="7"/>
      <c r="B113" s="19" t="s">
        <v>0</v>
      </c>
      <c r="C113" s="7"/>
      <c r="D113" s="8"/>
      <c r="E113" s="8"/>
      <c r="F113" s="9"/>
      <c r="G113" s="8"/>
      <c r="H113" s="9"/>
      <c r="I113" s="9"/>
      <c r="J113" s="8"/>
      <c r="K113" s="8"/>
      <c r="L113" s="280"/>
      <c r="M113" s="9"/>
      <c r="N113" s="9"/>
      <c r="O113" s="8"/>
      <c r="P113" s="9"/>
      <c r="Q113" s="9"/>
      <c r="R113" s="8"/>
      <c r="S113" s="866"/>
      <c r="T113" s="867" t="str">
        <f>'$REV-DB'!$T$34</f>
        <v>UD1</v>
      </c>
      <c r="U113" s="867" t="str">
        <f>'$REV-DB'!$U$34</f>
        <v>UD2</v>
      </c>
      <c r="V113" s="867" t="str">
        <f>'$REV-DB'!$V$34</f>
        <v>UD3</v>
      </c>
      <c r="W113" s="867" t="str">
        <f>'$REV-DB'!$W$34</f>
        <v>UD4</v>
      </c>
      <c r="X113" s="867" t="str">
        <f>'$REV-DB'!$X$34</f>
        <v>UD5</v>
      </c>
      <c r="Y113" s="867" t="str">
        <f>'$REV-DB'!$Y$34</f>
        <v>UD6</v>
      </c>
      <c r="Z113" s="867" t="str">
        <f>'$REV-DB'!$Z$34</f>
        <v>UD7</v>
      </c>
      <c r="AA113" s="867" t="str">
        <f>'$REV-DB'!$AA$34</f>
        <v>UD8</v>
      </c>
      <c r="AB113" s="867" t="str">
        <f>'$REV-DB'!$AB$34</f>
        <v>UD9</v>
      </c>
      <c r="AC113" s="867" t="str">
        <f>'$REV-DB'!$AC$34</f>
        <v>UD10</v>
      </c>
      <c r="AD113" s="867" t="str">
        <f>'$REV-DB'!$AD$34</f>
        <v>UD11</v>
      </c>
      <c r="AE113" s="867" t="str">
        <f>'$REV-DB'!$AE$34</f>
        <v>UD12</v>
      </c>
      <c r="AF113" s="867" t="str">
        <f>'$REV-DB'!$AF$34</f>
        <v>UD13</v>
      </c>
      <c r="AG113" s="867" t="str">
        <f>'$REV-DB'!$AG$34</f>
        <v>UD14</v>
      </c>
    </row>
    <row r="114" spans="1:34" ht="15.95" customHeight="1" thickTop="1" thickBot="1">
      <c r="A114" s="7"/>
      <c r="B114" s="20" t="s">
        <v>175</v>
      </c>
      <c r="C114" s="15"/>
      <c r="D114" s="105" t="s">
        <v>186</v>
      </c>
      <c r="E114" s="105" t="s">
        <v>187</v>
      </c>
      <c r="F114" s="105" t="s">
        <v>188</v>
      </c>
      <c r="G114" s="105" t="s">
        <v>189</v>
      </c>
      <c r="H114" s="105" t="s">
        <v>11</v>
      </c>
      <c r="I114" s="105" t="s">
        <v>190</v>
      </c>
      <c r="J114" s="105" t="s">
        <v>191</v>
      </c>
      <c r="K114" s="105" t="s">
        <v>192</v>
      </c>
      <c r="L114" s="276" t="s">
        <v>203</v>
      </c>
      <c r="M114" s="105" t="s">
        <v>42</v>
      </c>
      <c r="N114" s="105" t="s">
        <v>148</v>
      </c>
      <c r="O114" s="105" t="s">
        <v>193</v>
      </c>
      <c r="P114" s="105" t="s">
        <v>142</v>
      </c>
      <c r="Q114" s="105" t="s">
        <v>194</v>
      </c>
      <c r="R114" s="112" t="s">
        <v>141</v>
      </c>
      <c r="S114" s="112" t="s">
        <v>672</v>
      </c>
      <c r="T114" s="857" t="s">
        <v>541</v>
      </c>
      <c r="U114" s="857" t="s">
        <v>542</v>
      </c>
      <c r="V114" s="857" t="s">
        <v>543</v>
      </c>
      <c r="W114" s="857" t="s">
        <v>544</v>
      </c>
      <c r="X114" s="857" t="s">
        <v>545</v>
      </c>
      <c r="Y114" s="857" t="s">
        <v>546</v>
      </c>
      <c r="Z114" s="857" t="s">
        <v>547</v>
      </c>
      <c r="AA114" s="857" t="s">
        <v>548</v>
      </c>
      <c r="AB114" s="857" t="s">
        <v>549</v>
      </c>
      <c r="AC114" s="857" t="s">
        <v>550</v>
      </c>
      <c r="AD114" s="857" t="s">
        <v>551</v>
      </c>
      <c r="AE114" s="857" t="s">
        <v>552</v>
      </c>
      <c r="AF114" s="857" t="s">
        <v>553</v>
      </c>
      <c r="AG114" s="857" t="s">
        <v>554</v>
      </c>
      <c r="AH114" s="6"/>
    </row>
    <row r="115" spans="1:34" ht="15.95" customHeight="1" thickTop="1">
      <c r="A115" s="7"/>
      <c r="B115" s="19" t="s">
        <v>143</v>
      </c>
      <c r="C115" s="12"/>
      <c r="D115" s="186"/>
      <c r="E115" s="186"/>
      <c r="F115" s="186"/>
      <c r="G115" s="186"/>
      <c r="H115" s="186"/>
      <c r="I115" s="186"/>
      <c r="J115" s="186"/>
      <c r="K115" s="186"/>
      <c r="L115" s="278" t="s">
        <v>34</v>
      </c>
      <c r="M115" s="186"/>
      <c r="N115" s="37" t="str">
        <f>J$6</f>
        <v>FY2010-11</v>
      </c>
      <c r="O115" s="186"/>
      <c r="P115" s="37" t="s">
        <v>147</v>
      </c>
      <c r="Q115" s="189" t="s">
        <v>179</v>
      </c>
      <c r="R115" s="186"/>
      <c r="S115" s="187"/>
      <c r="T115" s="187"/>
      <c r="U115" s="187"/>
      <c r="V115" s="188"/>
      <c r="W115" s="188"/>
      <c r="X115" s="188"/>
      <c r="Y115" s="188"/>
      <c r="Z115" s="188"/>
      <c r="AA115" s="188"/>
      <c r="AB115" s="188"/>
      <c r="AC115" s="188"/>
      <c r="AD115" s="188"/>
      <c r="AE115" s="188"/>
      <c r="AF115" s="188"/>
      <c r="AG115" s="188"/>
      <c r="AH115" s="6"/>
    </row>
    <row r="116" spans="1:34" ht="15.95" customHeight="1">
      <c r="A116" s="7"/>
      <c r="B116" s="16">
        <f>DSUM('$REV-DB'!D35:AG67,"AMOUNT",'$REV-DSUM'!D114:AG121)</f>
        <v>48038874.900000006</v>
      </c>
      <c r="C116" s="12"/>
      <c r="D116" s="186"/>
      <c r="E116" s="186"/>
      <c r="F116" s="186"/>
      <c r="G116" s="186"/>
      <c r="H116" s="186"/>
      <c r="I116" s="186"/>
      <c r="J116" s="186"/>
      <c r="K116" s="186"/>
      <c r="L116" s="278" t="s">
        <v>34</v>
      </c>
      <c r="M116" s="186"/>
      <c r="N116" s="37" t="str">
        <f t="shared" ref="N116:N121" si="10">J$6</f>
        <v>FY2010-11</v>
      </c>
      <c r="O116" s="186"/>
      <c r="P116" s="37" t="s">
        <v>147</v>
      </c>
      <c r="Q116" s="189" t="s">
        <v>179</v>
      </c>
      <c r="R116" s="186"/>
      <c r="S116" s="187"/>
      <c r="T116" s="187"/>
      <c r="U116" s="187"/>
      <c r="V116" s="188"/>
      <c r="W116" s="188"/>
      <c r="X116" s="188"/>
      <c r="Y116" s="188"/>
      <c r="Z116" s="188"/>
      <c r="AA116" s="188"/>
      <c r="AB116" s="188"/>
      <c r="AC116" s="188"/>
      <c r="AD116" s="188"/>
      <c r="AE116" s="188"/>
      <c r="AF116" s="188"/>
      <c r="AG116" s="188"/>
      <c r="AH116" s="6"/>
    </row>
    <row r="117" spans="1:34" ht="15.95" customHeight="1">
      <c r="A117" s="7"/>
      <c r="B117" s="10"/>
      <c r="C117" s="12"/>
      <c r="D117" s="186"/>
      <c r="E117" s="186"/>
      <c r="F117" s="186"/>
      <c r="G117" s="186"/>
      <c r="H117" s="186"/>
      <c r="I117" s="186"/>
      <c r="J117" s="186"/>
      <c r="K117" s="186"/>
      <c r="L117" s="278" t="s">
        <v>34</v>
      </c>
      <c r="M117" s="186"/>
      <c r="N117" s="37" t="str">
        <f t="shared" si="10"/>
        <v>FY2010-11</v>
      </c>
      <c r="O117" s="186"/>
      <c r="P117" s="37" t="s">
        <v>147</v>
      </c>
      <c r="Q117" s="189" t="s">
        <v>179</v>
      </c>
      <c r="R117" s="186"/>
      <c r="S117" s="187"/>
      <c r="T117" s="187"/>
      <c r="U117" s="187"/>
      <c r="V117" s="188"/>
      <c r="W117" s="188"/>
      <c r="X117" s="188"/>
      <c r="Y117" s="188"/>
      <c r="Z117" s="188"/>
      <c r="AA117" s="188"/>
      <c r="AB117" s="188"/>
      <c r="AC117" s="188"/>
      <c r="AD117" s="188"/>
      <c r="AE117" s="188"/>
      <c r="AF117" s="188"/>
      <c r="AG117" s="188"/>
    </row>
    <row r="118" spans="1:34" ht="15.95" customHeight="1">
      <c r="A118" s="7"/>
      <c r="B118" s="10"/>
      <c r="C118" s="12"/>
      <c r="D118" s="186"/>
      <c r="E118" s="186"/>
      <c r="F118" s="186"/>
      <c r="G118" s="186"/>
      <c r="H118" s="186"/>
      <c r="I118" s="186"/>
      <c r="J118" s="186"/>
      <c r="K118" s="186"/>
      <c r="L118" s="278" t="s">
        <v>34</v>
      </c>
      <c r="M118" s="186"/>
      <c r="N118" s="37" t="str">
        <f t="shared" si="10"/>
        <v>FY2010-11</v>
      </c>
      <c r="O118" s="186"/>
      <c r="P118" s="37" t="s">
        <v>147</v>
      </c>
      <c r="Q118" s="189" t="s">
        <v>179</v>
      </c>
      <c r="R118" s="186"/>
      <c r="S118" s="187"/>
      <c r="T118" s="187"/>
      <c r="U118" s="187"/>
      <c r="V118" s="188"/>
      <c r="W118" s="188"/>
      <c r="X118" s="188"/>
      <c r="Y118" s="188"/>
      <c r="Z118" s="188"/>
      <c r="AA118" s="188"/>
      <c r="AB118" s="188"/>
      <c r="AC118" s="188"/>
      <c r="AD118" s="188"/>
      <c r="AE118" s="188"/>
      <c r="AF118" s="188"/>
      <c r="AG118" s="188"/>
    </row>
    <row r="119" spans="1:34" ht="15.95" customHeight="1">
      <c r="A119" s="7"/>
      <c r="B119" s="10"/>
      <c r="C119" s="12"/>
      <c r="D119" s="186"/>
      <c r="E119" s="186"/>
      <c r="F119" s="186"/>
      <c r="G119" s="186"/>
      <c r="H119" s="186"/>
      <c r="I119" s="186"/>
      <c r="J119" s="186"/>
      <c r="K119" s="186"/>
      <c r="L119" s="278" t="s">
        <v>34</v>
      </c>
      <c r="M119" s="186"/>
      <c r="N119" s="37" t="str">
        <f t="shared" si="10"/>
        <v>FY2010-11</v>
      </c>
      <c r="O119" s="186"/>
      <c r="P119" s="37" t="s">
        <v>147</v>
      </c>
      <c r="Q119" s="189" t="s">
        <v>179</v>
      </c>
      <c r="R119" s="186"/>
      <c r="S119" s="187"/>
      <c r="T119" s="187"/>
      <c r="U119" s="187"/>
      <c r="V119" s="188"/>
      <c r="W119" s="188"/>
      <c r="X119" s="188"/>
      <c r="Y119" s="188"/>
      <c r="Z119" s="188"/>
      <c r="AA119" s="188"/>
      <c r="AB119" s="188"/>
      <c r="AC119" s="188"/>
      <c r="AD119" s="188"/>
      <c r="AE119" s="188"/>
      <c r="AF119" s="188"/>
      <c r="AG119" s="188"/>
    </row>
    <row r="120" spans="1:34" ht="15.95" customHeight="1">
      <c r="A120" s="7"/>
      <c r="B120" s="10"/>
      <c r="C120" s="12"/>
      <c r="D120" s="186"/>
      <c r="E120" s="186"/>
      <c r="F120" s="186"/>
      <c r="G120" s="186"/>
      <c r="H120" s="186"/>
      <c r="I120" s="186"/>
      <c r="J120" s="186"/>
      <c r="K120" s="186"/>
      <c r="L120" s="278" t="s">
        <v>34</v>
      </c>
      <c r="M120" s="186"/>
      <c r="N120" s="37" t="str">
        <f t="shared" si="10"/>
        <v>FY2010-11</v>
      </c>
      <c r="O120" s="186"/>
      <c r="P120" s="37" t="s">
        <v>147</v>
      </c>
      <c r="Q120" s="189" t="s">
        <v>179</v>
      </c>
      <c r="R120" s="186"/>
      <c r="S120" s="187"/>
      <c r="T120" s="187"/>
      <c r="U120" s="187"/>
      <c r="V120" s="188"/>
      <c r="W120" s="188"/>
      <c r="X120" s="188"/>
      <c r="Y120" s="188"/>
      <c r="Z120" s="188"/>
      <c r="AA120" s="188"/>
      <c r="AB120" s="188"/>
      <c r="AC120" s="188"/>
      <c r="AD120" s="188"/>
      <c r="AE120" s="188"/>
      <c r="AF120" s="188"/>
      <c r="AG120" s="188"/>
    </row>
    <row r="121" spans="1:34" ht="15.95" customHeight="1">
      <c r="A121" s="7"/>
      <c r="B121" s="10"/>
      <c r="C121" s="12"/>
      <c r="D121" s="186"/>
      <c r="E121" s="186"/>
      <c r="F121" s="186"/>
      <c r="G121" s="186"/>
      <c r="H121" s="186"/>
      <c r="I121" s="186"/>
      <c r="J121" s="186"/>
      <c r="K121" s="186"/>
      <c r="L121" s="278" t="s">
        <v>34</v>
      </c>
      <c r="M121" s="186"/>
      <c r="N121" s="37" t="str">
        <f t="shared" si="10"/>
        <v>FY2010-11</v>
      </c>
      <c r="O121" s="186"/>
      <c r="P121" s="37" t="s">
        <v>147</v>
      </c>
      <c r="Q121" s="189" t="s">
        <v>179</v>
      </c>
      <c r="R121" s="186"/>
      <c r="S121" s="187"/>
      <c r="T121" s="187"/>
      <c r="U121" s="187"/>
      <c r="V121" s="188"/>
      <c r="W121" s="188"/>
      <c r="X121" s="188"/>
      <c r="Y121" s="188"/>
      <c r="Z121" s="188"/>
      <c r="AA121" s="188"/>
      <c r="AB121" s="188"/>
      <c r="AC121" s="188"/>
      <c r="AD121" s="188"/>
      <c r="AE121" s="188"/>
      <c r="AF121" s="188"/>
      <c r="AG121" s="188"/>
    </row>
    <row r="122" spans="1:34" ht="15.95" customHeight="1">
      <c r="A122" s="11"/>
      <c r="B122" s="12"/>
      <c r="C122" s="12"/>
      <c r="D122" s="13"/>
      <c r="E122" s="13"/>
      <c r="F122" s="14"/>
      <c r="G122" s="13"/>
      <c r="H122" s="14"/>
      <c r="I122" s="14"/>
      <c r="J122" s="13"/>
      <c r="K122" s="13"/>
      <c r="L122" s="279"/>
      <c r="M122" s="14"/>
      <c r="N122" s="14"/>
      <c r="O122" s="13"/>
      <c r="P122" s="14"/>
      <c r="Q122" s="14"/>
      <c r="R122" s="13"/>
      <c r="S122" s="13"/>
      <c r="T122" s="13"/>
      <c r="U122" s="13"/>
      <c r="V122" s="11"/>
      <c r="W122" s="11"/>
      <c r="X122" s="11"/>
      <c r="Y122" s="11"/>
      <c r="Z122" s="11"/>
      <c r="AA122" s="11"/>
      <c r="AB122" s="11"/>
      <c r="AC122" s="11"/>
      <c r="AD122" s="11"/>
      <c r="AE122" s="11"/>
      <c r="AF122" s="11"/>
      <c r="AG122" s="11"/>
    </row>
    <row r="123" spans="1:34" ht="15.95" customHeight="1" thickBot="1">
      <c r="A123" s="7"/>
      <c r="B123" s="19" t="s">
        <v>0</v>
      </c>
      <c r="C123" s="7"/>
      <c r="D123" s="8"/>
      <c r="E123" s="8"/>
      <c r="F123" s="9"/>
      <c r="G123" s="8"/>
      <c r="H123" s="9"/>
      <c r="I123" s="9"/>
      <c r="J123" s="8"/>
      <c r="K123" s="8"/>
      <c r="L123" s="280"/>
      <c r="M123" s="9"/>
      <c r="N123" s="9"/>
      <c r="O123" s="8"/>
      <c r="P123" s="9"/>
      <c r="Q123" s="9"/>
      <c r="R123" s="8"/>
      <c r="S123" s="866"/>
      <c r="T123" s="867" t="str">
        <f>'$REV-DB'!$T$34</f>
        <v>UD1</v>
      </c>
      <c r="U123" s="867" t="str">
        <f>'$REV-DB'!$U$34</f>
        <v>UD2</v>
      </c>
      <c r="V123" s="867" t="str">
        <f>'$REV-DB'!$V$34</f>
        <v>UD3</v>
      </c>
      <c r="W123" s="867" t="str">
        <f>'$REV-DB'!$W$34</f>
        <v>UD4</v>
      </c>
      <c r="X123" s="867" t="str">
        <f>'$REV-DB'!$X$34</f>
        <v>UD5</v>
      </c>
      <c r="Y123" s="867" t="str">
        <f>'$REV-DB'!$Y$34</f>
        <v>UD6</v>
      </c>
      <c r="Z123" s="867" t="str">
        <f>'$REV-DB'!$Z$34</f>
        <v>UD7</v>
      </c>
      <c r="AA123" s="867" t="str">
        <f>'$REV-DB'!$AA$34</f>
        <v>UD8</v>
      </c>
      <c r="AB123" s="867" t="str">
        <f>'$REV-DB'!$AB$34</f>
        <v>UD9</v>
      </c>
      <c r="AC123" s="867" t="str">
        <f>'$REV-DB'!$AC$34</f>
        <v>UD10</v>
      </c>
      <c r="AD123" s="867" t="str">
        <f>'$REV-DB'!$AD$34</f>
        <v>UD11</v>
      </c>
      <c r="AE123" s="867" t="str">
        <f>'$REV-DB'!$AE$34</f>
        <v>UD12</v>
      </c>
      <c r="AF123" s="867" t="str">
        <f>'$REV-DB'!$AF$34</f>
        <v>UD13</v>
      </c>
      <c r="AG123" s="867" t="str">
        <f>'$REV-DB'!$AG$34</f>
        <v>UD14</v>
      </c>
    </row>
    <row r="124" spans="1:34" ht="15.95" customHeight="1" thickTop="1" thickBot="1">
      <c r="A124" s="7"/>
      <c r="B124" s="20" t="s">
        <v>175</v>
      </c>
      <c r="C124" s="15"/>
      <c r="D124" s="105" t="s">
        <v>186</v>
      </c>
      <c r="E124" s="105" t="s">
        <v>187</v>
      </c>
      <c r="F124" s="105" t="s">
        <v>188</v>
      </c>
      <c r="G124" s="105" t="s">
        <v>189</v>
      </c>
      <c r="H124" s="105" t="s">
        <v>11</v>
      </c>
      <c r="I124" s="105" t="s">
        <v>190</v>
      </c>
      <c r="J124" s="105" t="s">
        <v>191</v>
      </c>
      <c r="K124" s="105" t="s">
        <v>192</v>
      </c>
      <c r="L124" s="276" t="s">
        <v>203</v>
      </c>
      <c r="M124" s="105" t="s">
        <v>42</v>
      </c>
      <c r="N124" s="105" t="s">
        <v>148</v>
      </c>
      <c r="O124" s="105" t="s">
        <v>193</v>
      </c>
      <c r="P124" s="105" t="s">
        <v>142</v>
      </c>
      <c r="Q124" s="105" t="s">
        <v>194</v>
      </c>
      <c r="R124" s="112" t="s">
        <v>141</v>
      </c>
      <c r="S124" s="112" t="s">
        <v>672</v>
      </c>
      <c r="T124" s="857" t="s">
        <v>541</v>
      </c>
      <c r="U124" s="857" t="s">
        <v>542</v>
      </c>
      <c r="V124" s="857" t="s">
        <v>543</v>
      </c>
      <c r="W124" s="857" t="s">
        <v>544</v>
      </c>
      <c r="X124" s="857" t="s">
        <v>545</v>
      </c>
      <c r="Y124" s="857" t="s">
        <v>546</v>
      </c>
      <c r="Z124" s="857" t="s">
        <v>547</v>
      </c>
      <c r="AA124" s="857" t="s">
        <v>548</v>
      </c>
      <c r="AB124" s="857" t="s">
        <v>549</v>
      </c>
      <c r="AC124" s="857" t="s">
        <v>550</v>
      </c>
      <c r="AD124" s="857" t="s">
        <v>551</v>
      </c>
      <c r="AE124" s="857" t="s">
        <v>552</v>
      </c>
      <c r="AF124" s="857" t="s">
        <v>553</v>
      </c>
      <c r="AG124" s="857" t="s">
        <v>554</v>
      </c>
      <c r="AH124" s="6"/>
    </row>
    <row r="125" spans="1:34" ht="15.95" customHeight="1" thickTop="1">
      <c r="A125" s="7"/>
      <c r="B125" s="19" t="s">
        <v>149</v>
      </c>
      <c r="C125" s="12"/>
      <c r="D125" s="186"/>
      <c r="E125" s="186"/>
      <c r="F125" s="186"/>
      <c r="G125" s="186"/>
      <c r="H125" s="186"/>
      <c r="I125" s="186"/>
      <c r="J125" s="186"/>
      <c r="K125" s="186"/>
      <c r="L125" s="278" t="s">
        <v>34</v>
      </c>
      <c r="M125" s="186"/>
      <c r="N125" s="37" t="str">
        <f>J$6</f>
        <v>FY2010-11</v>
      </c>
      <c r="O125" s="186"/>
      <c r="P125" s="37" t="s">
        <v>147</v>
      </c>
      <c r="Q125" s="189" t="s">
        <v>2</v>
      </c>
      <c r="R125" s="186"/>
      <c r="S125" s="187"/>
      <c r="T125" s="187"/>
      <c r="U125" s="187"/>
      <c r="V125" s="188"/>
      <c r="W125" s="188"/>
      <c r="X125" s="188"/>
      <c r="Y125" s="188"/>
      <c r="Z125" s="188"/>
      <c r="AA125" s="188"/>
      <c r="AB125" s="188"/>
      <c r="AC125" s="188"/>
      <c r="AD125" s="188"/>
      <c r="AE125" s="188"/>
      <c r="AF125" s="188"/>
      <c r="AG125" s="188"/>
      <c r="AH125" s="6"/>
    </row>
    <row r="126" spans="1:34" ht="15.95" customHeight="1">
      <c r="A126" s="7"/>
      <c r="B126" s="16">
        <f>DSUM('$REV-DB'!D35:AG67,"AMOUNT",'$REV-DSUM'!D124:AG131)</f>
        <v>17398996</v>
      </c>
      <c r="C126" s="12"/>
      <c r="D126" s="186"/>
      <c r="E126" s="186"/>
      <c r="F126" s="186"/>
      <c r="G126" s="186"/>
      <c r="H126" s="186"/>
      <c r="I126" s="186"/>
      <c r="J126" s="186"/>
      <c r="K126" s="186"/>
      <c r="L126" s="278" t="s">
        <v>34</v>
      </c>
      <c r="M126" s="186"/>
      <c r="N126" s="37" t="str">
        <f t="shared" ref="N126:N131" si="11">J$6</f>
        <v>FY2010-11</v>
      </c>
      <c r="O126" s="186"/>
      <c r="P126" s="37" t="s">
        <v>147</v>
      </c>
      <c r="Q126" s="189" t="s">
        <v>2</v>
      </c>
      <c r="R126" s="186"/>
      <c r="S126" s="187"/>
      <c r="T126" s="187"/>
      <c r="U126" s="187"/>
      <c r="V126" s="188"/>
      <c r="W126" s="188"/>
      <c r="X126" s="188"/>
      <c r="Y126" s="188"/>
      <c r="Z126" s="188"/>
      <c r="AA126" s="188"/>
      <c r="AB126" s="188"/>
      <c r="AC126" s="188"/>
      <c r="AD126" s="188"/>
      <c r="AE126" s="188"/>
      <c r="AF126" s="188"/>
      <c r="AG126" s="188"/>
      <c r="AH126" s="6"/>
    </row>
    <row r="127" spans="1:34" ht="15.95" customHeight="1">
      <c r="A127" s="7"/>
      <c r="B127" s="10"/>
      <c r="C127" s="12"/>
      <c r="D127" s="186"/>
      <c r="E127" s="186"/>
      <c r="F127" s="186"/>
      <c r="G127" s="186"/>
      <c r="H127" s="186"/>
      <c r="I127" s="186"/>
      <c r="J127" s="186"/>
      <c r="K127" s="186"/>
      <c r="L127" s="278" t="s">
        <v>34</v>
      </c>
      <c r="M127" s="186"/>
      <c r="N127" s="37" t="str">
        <f t="shared" si="11"/>
        <v>FY2010-11</v>
      </c>
      <c r="O127" s="186"/>
      <c r="P127" s="37" t="s">
        <v>147</v>
      </c>
      <c r="Q127" s="189" t="s">
        <v>2</v>
      </c>
      <c r="R127" s="186"/>
      <c r="S127" s="187"/>
      <c r="T127" s="187"/>
      <c r="U127" s="187"/>
      <c r="V127" s="188"/>
      <c r="W127" s="188"/>
      <c r="X127" s="188"/>
      <c r="Y127" s="188"/>
      <c r="Z127" s="188"/>
      <c r="AA127" s="188"/>
      <c r="AB127" s="188"/>
      <c r="AC127" s="188"/>
      <c r="AD127" s="188"/>
      <c r="AE127" s="188"/>
      <c r="AF127" s="188"/>
      <c r="AG127" s="188"/>
    </row>
    <row r="128" spans="1:34" ht="15.95" customHeight="1">
      <c r="A128" s="7"/>
      <c r="B128" s="10"/>
      <c r="C128" s="12"/>
      <c r="D128" s="186"/>
      <c r="E128" s="186"/>
      <c r="F128" s="186"/>
      <c r="G128" s="186"/>
      <c r="H128" s="186"/>
      <c r="I128" s="186"/>
      <c r="J128" s="186"/>
      <c r="K128" s="186"/>
      <c r="L128" s="278" t="s">
        <v>34</v>
      </c>
      <c r="M128" s="186"/>
      <c r="N128" s="37" t="str">
        <f t="shared" si="11"/>
        <v>FY2010-11</v>
      </c>
      <c r="O128" s="186"/>
      <c r="P128" s="37" t="s">
        <v>147</v>
      </c>
      <c r="Q128" s="189" t="s">
        <v>2</v>
      </c>
      <c r="R128" s="186"/>
      <c r="S128" s="187"/>
      <c r="T128" s="187"/>
      <c r="U128" s="187"/>
      <c r="V128" s="188"/>
      <c r="W128" s="188"/>
      <c r="X128" s="188"/>
      <c r="Y128" s="188"/>
      <c r="Z128" s="188"/>
      <c r="AA128" s="188"/>
      <c r="AB128" s="188"/>
      <c r="AC128" s="188"/>
      <c r="AD128" s="188"/>
      <c r="AE128" s="188"/>
      <c r="AF128" s="188"/>
      <c r="AG128" s="188"/>
    </row>
    <row r="129" spans="1:34" ht="15.95" customHeight="1">
      <c r="A129" s="7"/>
      <c r="B129" s="10"/>
      <c r="C129" s="12"/>
      <c r="D129" s="186"/>
      <c r="E129" s="186"/>
      <c r="F129" s="186"/>
      <c r="G129" s="186"/>
      <c r="H129" s="186"/>
      <c r="I129" s="186"/>
      <c r="J129" s="186"/>
      <c r="K129" s="186"/>
      <c r="L129" s="278" t="s">
        <v>34</v>
      </c>
      <c r="M129" s="186"/>
      <c r="N129" s="37" t="str">
        <f t="shared" si="11"/>
        <v>FY2010-11</v>
      </c>
      <c r="O129" s="186"/>
      <c r="P129" s="37" t="s">
        <v>147</v>
      </c>
      <c r="Q129" s="189" t="s">
        <v>2</v>
      </c>
      <c r="R129" s="186"/>
      <c r="S129" s="187"/>
      <c r="T129" s="187"/>
      <c r="U129" s="187"/>
      <c r="V129" s="188"/>
      <c r="W129" s="188"/>
      <c r="X129" s="188"/>
      <c r="Y129" s="188"/>
      <c r="Z129" s="188"/>
      <c r="AA129" s="188"/>
      <c r="AB129" s="188"/>
      <c r="AC129" s="188"/>
      <c r="AD129" s="188"/>
      <c r="AE129" s="188"/>
      <c r="AF129" s="188"/>
      <c r="AG129" s="188"/>
    </row>
    <row r="130" spans="1:34" ht="15.95" customHeight="1">
      <c r="A130" s="7"/>
      <c r="B130" s="10"/>
      <c r="C130" s="12"/>
      <c r="D130" s="186"/>
      <c r="E130" s="186"/>
      <c r="F130" s="186"/>
      <c r="G130" s="186"/>
      <c r="H130" s="186"/>
      <c r="I130" s="186"/>
      <c r="J130" s="186"/>
      <c r="K130" s="186"/>
      <c r="L130" s="278" t="s">
        <v>34</v>
      </c>
      <c r="M130" s="186"/>
      <c r="N130" s="37" t="str">
        <f t="shared" si="11"/>
        <v>FY2010-11</v>
      </c>
      <c r="O130" s="186"/>
      <c r="P130" s="37" t="s">
        <v>147</v>
      </c>
      <c r="Q130" s="189" t="s">
        <v>2</v>
      </c>
      <c r="R130" s="186"/>
      <c r="S130" s="187"/>
      <c r="T130" s="187"/>
      <c r="U130" s="187"/>
      <c r="V130" s="188"/>
      <c r="W130" s="188"/>
      <c r="X130" s="188"/>
      <c r="Y130" s="188"/>
      <c r="Z130" s="188"/>
      <c r="AA130" s="188"/>
      <c r="AB130" s="188"/>
      <c r="AC130" s="188"/>
      <c r="AD130" s="188"/>
      <c r="AE130" s="188"/>
      <c r="AF130" s="188"/>
      <c r="AG130" s="188"/>
    </row>
    <row r="131" spans="1:34" ht="15.95" customHeight="1">
      <c r="A131" s="7"/>
      <c r="B131" s="10"/>
      <c r="C131" s="12"/>
      <c r="D131" s="186"/>
      <c r="E131" s="186"/>
      <c r="F131" s="186"/>
      <c r="G131" s="186"/>
      <c r="H131" s="186"/>
      <c r="I131" s="186"/>
      <c r="J131" s="186"/>
      <c r="K131" s="186"/>
      <c r="L131" s="278" t="s">
        <v>34</v>
      </c>
      <c r="M131" s="186"/>
      <c r="N131" s="37" t="str">
        <f t="shared" si="11"/>
        <v>FY2010-11</v>
      </c>
      <c r="O131" s="186"/>
      <c r="P131" s="37" t="s">
        <v>147</v>
      </c>
      <c r="Q131" s="189" t="s">
        <v>2</v>
      </c>
      <c r="R131" s="186"/>
      <c r="S131" s="187"/>
      <c r="T131" s="187"/>
      <c r="U131" s="187"/>
      <c r="V131" s="188"/>
      <c r="W131" s="188"/>
      <c r="X131" s="188"/>
      <c r="Y131" s="188"/>
      <c r="Z131" s="188"/>
      <c r="AA131" s="188"/>
      <c r="AB131" s="188"/>
      <c r="AC131" s="188"/>
      <c r="AD131" s="188"/>
      <c r="AE131" s="188"/>
      <c r="AF131" s="188"/>
      <c r="AG131" s="188"/>
    </row>
    <row r="132" spans="1:34" ht="15.95" customHeight="1">
      <c r="A132" s="11"/>
      <c r="B132" s="12"/>
      <c r="C132" s="12"/>
      <c r="D132" s="13"/>
      <c r="E132" s="13"/>
      <c r="F132" s="14"/>
      <c r="G132" s="13"/>
      <c r="H132" s="14"/>
      <c r="I132" s="14"/>
      <c r="J132" s="13"/>
      <c r="K132" s="13"/>
      <c r="L132" s="279"/>
      <c r="M132" s="14"/>
      <c r="N132" s="14"/>
      <c r="O132" s="13"/>
      <c r="P132" s="14"/>
      <c r="Q132" s="14"/>
      <c r="R132" s="13"/>
      <c r="S132" s="13"/>
      <c r="T132" s="13"/>
      <c r="U132" s="13"/>
      <c r="V132" s="11"/>
      <c r="W132" s="11"/>
      <c r="X132" s="11"/>
      <c r="Y132" s="11"/>
      <c r="Z132" s="11"/>
      <c r="AA132" s="11"/>
      <c r="AB132" s="11"/>
      <c r="AC132" s="11"/>
      <c r="AD132" s="11"/>
      <c r="AE132" s="11"/>
      <c r="AF132" s="11"/>
      <c r="AG132" s="11"/>
    </row>
    <row r="133" spans="1:34" ht="15.95" customHeight="1" thickBot="1">
      <c r="A133" s="7"/>
      <c r="B133" s="19" t="s">
        <v>0</v>
      </c>
      <c r="C133" s="7"/>
      <c r="D133" s="8"/>
      <c r="E133" s="8"/>
      <c r="F133" s="9"/>
      <c r="G133" s="8"/>
      <c r="H133" s="9"/>
      <c r="I133" s="9"/>
      <c r="J133" s="8"/>
      <c r="K133" s="8"/>
      <c r="L133" s="280"/>
      <c r="M133" s="9"/>
      <c r="N133" s="9"/>
      <c r="O133" s="8"/>
      <c r="P133" s="9"/>
      <c r="Q133" s="9"/>
      <c r="R133" s="8"/>
      <c r="S133" s="866"/>
      <c r="T133" s="867" t="str">
        <f>'$REV-DB'!$T$34</f>
        <v>UD1</v>
      </c>
      <c r="U133" s="867" t="str">
        <f>'$REV-DB'!$U$34</f>
        <v>UD2</v>
      </c>
      <c r="V133" s="867" t="str">
        <f>'$REV-DB'!$V$34</f>
        <v>UD3</v>
      </c>
      <c r="W133" s="867" t="str">
        <f>'$REV-DB'!$W$34</f>
        <v>UD4</v>
      </c>
      <c r="X133" s="867" t="str">
        <f>'$REV-DB'!$X$34</f>
        <v>UD5</v>
      </c>
      <c r="Y133" s="867" t="str">
        <f>'$REV-DB'!$Y$34</f>
        <v>UD6</v>
      </c>
      <c r="Z133" s="867" t="str">
        <f>'$REV-DB'!$Z$34</f>
        <v>UD7</v>
      </c>
      <c r="AA133" s="867" t="str">
        <f>'$REV-DB'!$AA$34</f>
        <v>UD8</v>
      </c>
      <c r="AB133" s="867" t="str">
        <f>'$REV-DB'!$AB$34</f>
        <v>UD9</v>
      </c>
      <c r="AC133" s="867" t="str">
        <f>'$REV-DB'!$AC$34</f>
        <v>UD10</v>
      </c>
      <c r="AD133" s="867" t="str">
        <f>'$REV-DB'!$AD$34</f>
        <v>UD11</v>
      </c>
      <c r="AE133" s="867" t="str">
        <f>'$REV-DB'!$AE$34</f>
        <v>UD12</v>
      </c>
      <c r="AF133" s="867" t="str">
        <f>'$REV-DB'!$AF$34</f>
        <v>UD13</v>
      </c>
      <c r="AG133" s="867" t="str">
        <f>'$REV-DB'!$AG$34</f>
        <v>UD14</v>
      </c>
    </row>
    <row r="134" spans="1:34" ht="15.95" customHeight="1" thickTop="1" thickBot="1">
      <c r="A134" s="7"/>
      <c r="B134" s="20" t="s">
        <v>175</v>
      </c>
      <c r="C134" s="15"/>
      <c r="D134" s="276" t="s">
        <v>186</v>
      </c>
      <c r="E134" s="276" t="s">
        <v>187</v>
      </c>
      <c r="F134" s="276" t="s">
        <v>188</v>
      </c>
      <c r="G134" s="276" t="s">
        <v>189</v>
      </c>
      <c r="H134" s="276" t="s">
        <v>11</v>
      </c>
      <c r="I134" s="276" t="s">
        <v>190</v>
      </c>
      <c r="J134" s="276" t="s">
        <v>191</v>
      </c>
      <c r="K134" s="276" t="s">
        <v>192</v>
      </c>
      <c r="L134" s="276" t="s">
        <v>203</v>
      </c>
      <c r="M134" s="276" t="s">
        <v>42</v>
      </c>
      <c r="N134" s="276" t="s">
        <v>148</v>
      </c>
      <c r="O134" s="276" t="s">
        <v>193</v>
      </c>
      <c r="P134" s="276" t="s">
        <v>142</v>
      </c>
      <c r="Q134" s="276" t="s">
        <v>194</v>
      </c>
      <c r="R134" s="112" t="s">
        <v>141</v>
      </c>
      <c r="S134" s="112" t="s">
        <v>672</v>
      </c>
      <c r="T134" s="857" t="s">
        <v>541</v>
      </c>
      <c r="U134" s="857" t="s">
        <v>542</v>
      </c>
      <c r="V134" s="857" t="s">
        <v>543</v>
      </c>
      <c r="W134" s="857" t="s">
        <v>544</v>
      </c>
      <c r="X134" s="857" t="s">
        <v>545</v>
      </c>
      <c r="Y134" s="857" t="s">
        <v>546</v>
      </c>
      <c r="Z134" s="857" t="s">
        <v>547</v>
      </c>
      <c r="AA134" s="857" t="s">
        <v>548</v>
      </c>
      <c r="AB134" s="857" t="s">
        <v>549</v>
      </c>
      <c r="AC134" s="857" t="s">
        <v>550</v>
      </c>
      <c r="AD134" s="857" t="s">
        <v>551</v>
      </c>
      <c r="AE134" s="857" t="s">
        <v>552</v>
      </c>
      <c r="AF134" s="857" t="s">
        <v>553</v>
      </c>
      <c r="AG134" s="857" t="s">
        <v>554</v>
      </c>
      <c r="AH134" s="6"/>
    </row>
    <row r="135" spans="1:34" ht="15.95" customHeight="1" thickTop="1">
      <c r="A135" s="7"/>
      <c r="B135" s="19" t="s">
        <v>364</v>
      </c>
      <c r="C135" s="12"/>
      <c r="D135" s="186"/>
      <c r="E135" s="186"/>
      <c r="F135" s="186"/>
      <c r="G135" s="186"/>
      <c r="H135" s="186"/>
      <c r="I135" s="186"/>
      <c r="J135" s="186"/>
      <c r="K135" s="186"/>
      <c r="L135" s="278" t="s">
        <v>34</v>
      </c>
      <c r="M135" s="186"/>
      <c r="N135" s="37" t="str">
        <f>J$6</f>
        <v>FY2010-11</v>
      </c>
      <c r="O135" s="186"/>
      <c r="P135" s="37" t="s">
        <v>147</v>
      </c>
      <c r="Q135" s="189" t="s">
        <v>70</v>
      </c>
      <c r="R135" s="186"/>
      <c r="S135" s="187"/>
      <c r="T135" s="187"/>
      <c r="U135" s="187"/>
      <c r="V135" s="188"/>
      <c r="W135" s="188"/>
      <c r="X135" s="188"/>
      <c r="Y135" s="188"/>
      <c r="Z135" s="188"/>
      <c r="AA135" s="188"/>
      <c r="AB135" s="188"/>
      <c r="AC135" s="188"/>
      <c r="AD135" s="188"/>
      <c r="AE135" s="188"/>
      <c r="AF135" s="188"/>
      <c r="AG135" s="188"/>
      <c r="AH135" s="6"/>
    </row>
    <row r="136" spans="1:34" ht="15.95" customHeight="1">
      <c r="A136" s="7"/>
      <c r="B136" s="16">
        <f>DSUM('$REV-DB'!D35:AG67,"AMOUNT",'$REV-DSUM'!D134:AG141)</f>
        <v>2472199</v>
      </c>
      <c r="C136" s="12"/>
      <c r="D136" s="186"/>
      <c r="E136" s="186"/>
      <c r="F136" s="186"/>
      <c r="G136" s="186"/>
      <c r="H136" s="186"/>
      <c r="I136" s="186"/>
      <c r="J136" s="186"/>
      <c r="K136" s="186"/>
      <c r="L136" s="278" t="s">
        <v>34</v>
      </c>
      <c r="M136" s="186"/>
      <c r="N136" s="37" t="str">
        <f t="shared" ref="N136:N141" si="12">J$6</f>
        <v>FY2010-11</v>
      </c>
      <c r="O136" s="186"/>
      <c r="P136" s="37" t="s">
        <v>147</v>
      </c>
      <c r="Q136" s="189" t="s">
        <v>70</v>
      </c>
      <c r="R136" s="186"/>
      <c r="S136" s="187"/>
      <c r="T136" s="187"/>
      <c r="U136" s="187"/>
      <c r="V136" s="188"/>
      <c r="W136" s="188"/>
      <c r="X136" s="188"/>
      <c r="Y136" s="188"/>
      <c r="Z136" s="188"/>
      <c r="AA136" s="188"/>
      <c r="AB136" s="188"/>
      <c r="AC136" s="188"/>
      <c r="AD136" s="188"/>
      <c r="AE136" s="188"/>
      <c r="AF136" s="188"/>
      <c r="AG136" s="188"/>
      <c r="AH136" s="6"/>
    </row>
    <row r="137" spans="1:34" ht="15.95" customHeight="1">
      <c r="A137" s="7"/>
      <c r="B137" s="10"/>
      <c r="C137" s="12"/>
      <c r="D137" s="186"/>
      <c r="E137" s="186"/>
      <c r="F137" s="186"/>
      <c r="G137" s="186"/>
      <c r="H137" s="186"/>
      <c r="I137" s="186"/>
      <c r="J137" s="186"/>
      <c r="K137" s="186"/>
      <c r="L137" s="278" t="s">
        <v>34</v>
      </c>
      <c r="M137" s="186"/>
      <c r="N137" s="37" t="str">
        <f t="shared" si="12"/>
        <v>FY2010-11</v>
      </c>
      <c r="O137" s="186"/>
      <c r="P137" s="37" t="s">
        <v>147</v>
      </c>
      <c r="Q137" s="189" t="s">
        <v>70</v>
      </c>
      <c r="R137" s="186"/>
      <c r="S137" s="187"/>
      <c r="T137" s="187"/>
      <c r="U137" s="187"/>
      <c r="V137" s="188"/>
      <c r="W137" s="188"/>
      <c r="X137" s="188"/>
      <c r="Y137" s="188"/>
      <c r="Z137" s="188"/>
      <c r="AA137" s="188"/>
      <c r="AB137" s="188"/>
      <c r="AC137" s="188"/>
      <c r="AD137" s="188"/>
      <c r="AE137" s="188"/>
      <c r="AF137" s="188"/>
      <c r="AG137" s="188"/>
    </row>
    <row r="138" spans="1:34" ht="15.95" customHeight="1">
      <c r="A138" s="7"/>
      <c r="B138" s="10"/>
      <c r="C138" s="12"/>
      <c r="D138" s="186"/>
      <c r="E138" s="186"/>
      <c r="F138" s="186"/>
      <c r="G138" s="186"/>
      <c r="H138" s="186"/>
      <c r="I138" s="186"/>
      <c r="J138" s="186"/>
      <c r="K138" s="186"/>
      <c r="L138" s="278" t="s">
        <v>34</v>
      </c>
      <c r="M138" s="186"/>
      <c r="N138" s="37" t="str">
        <f t="shared" si="12"/>
        <v>FY2010-11</v>
      </c>
      <c r="O138" s="186"/>
      <c r="P138" s="37" t="s">
        <v>147</v>
      </c>
      <c r="Q138" s="189" t="s">
        <v>70</v>
      </c>
      <c r="R138" s="186"/>
      <c r="S138" s="187"/>
      <c r="T138" s="187"/>
      <c r="U138" s="187"/>
      <c r="V138" s="188"/>
      <c r="W138" s="188"/>
      <c r="X138" s="188"/>
      <c r="Y138" s="188"/>
      <c r="Z138" s="188"/>
      <c r="AA138" s="188"/>
      <c r="AB138" s="188"/>
      <c r="AC138" s="188"/>
      <c r="AD138" s="188"/>
      <c r="AE138" s="188"/>
      <c r="AF138" s="188"/>
      <c r="AG138" s="188"/>
    </row>
    <row r="139" spans="1:34" ht="15.95" customHeight="1">
      <c r="A139" s="7"/>
      <c r="B139" s="10"/>
      <c r="C139" s="12"/>
      <c r="D139" s="186"/>
      <c r="E139" s="186"/>
      <c r="F139" s="186"/>
      <c r="G139" s="186"/>
      <c r="H139" s="186"/>
      <c r="I139" s="186"/>
      <c r="J139" s="186"/>
      <c r="K139" s="186"/>
      <c r="L139" s="278" t="s">
        <v>34</v>
      </c>
      <c r="M139" s="186"/>
      <c r="N139" s="37" t="str">
        <f t="shared" si="12"/>
        <v>FY2010-11</v>
      </c>
      <c r="O139" s="186"/>
      <c r="P139" s="37" t="s">
        <v>147</v>
      </c>
      <c r="Q139" s="189" t="s">
        <v>70</v>
      </c>
      <c r="R139" s="186"/>
      <c r="S139" s="187"/>
      <c r="T139" s="187"/>
      <c r="U139" s="187"/>
      <c r="V139" s="188"/>
      <c r="W139" s="188"/>
      <c r="X139" s="188"/>
      <c r="Y139" s="188"/>
      <c r="Z139" s="188"/>
      <c r="AA139" s="188"/>
      <c r="AB139" s="188"/>
      <c r="AC139" s="188"/>
      <c r="AD139" s="188"/>
      <c r="AE139" s="188"/>
      <c r="AF139" s="188"/>
      <c r="AG139" s="188"/>
    </row>
    <row r="140" spans="1:34" ht="15.95" customHeight="1">
      <c r="A140" s="7"/>
      <c r="B140" s="10"/>
      <c r="C140" s="12"/>
      <c r="D140" s="186"/>
      <c r="E140" s="186"/>
      <c r="F140" s="186"/>
      <c r="G140" s="186"/>
      <c r="H140" s="186"/>
      <c r="I140" s="186"/>
      <c r="J140" s="186"/>
      <c r="K140" s="186"/>
      <c r="L140" s="278" t="s">
        <v>34</v>
      </c>
      <c r="M140" s="186"/>
      <c r="N140" s="37" t="str">
        <f t="shared" si="12"/>
        <v>FY2010-11</v>
      </c>
      <c r="O140" s="186"/>
      <c r="P140" s="37" t="s">
        <v>147</v>
      </c>
      <c r="Q140" s="189" t="s">
        <v>70</v>
      </c>
      <c r="R140" s="186"/>
      <c r="S140" s="187"/>
      <c r="T140" s="187"/>
      <c r="U140" s="187"/>
      <c r="V140" s="188"/>
      <c r="W140" s="188"/>
      <c r="X140" s="188"/>
      <c r="Y140" s="188"/>
      <c r="Z140" s="188"/>
      <c r="AA140" s="188"/>
      <c r="AB140" s="188"/>
      <c r="AC140" s="188"/>
      <c r="AD140" s="188"/>
      <c r="AE140" s="188"/>
      <c r="AF140" s="188"/>
      <c r="AG140" s="188"/>
    </row>
    <row r="141" spans="1:34" ht="15.95" customHeight="1">
      <c r="A141" s="7"/>
      <c r="B141" s="10"/>
      <c r="C141" s="12"/>
      <c r="D141" s="186"/>
      <c r="E141" s="186"/>
      <c r="F141" s="186"/>
      <c r="G141" s="186"/>
      <c r="H141" s="186"/>
      <c r="I141" s="186"/>
      <c r="J141" s="186"/>
      <c r="K141" s="186"/>
      <c r="L141" s="278" t="s">
        <v>34</v>
      </c>
      <c r="M141" s="186"/>
      <c r="N141" s="37" t="str">
        <f t="shared" si="12"/>
        <v>FY2010-11</v>
      </c>
      <c r="O141" s="186"/>
      <c r="P141" s="37" t="s">
        <v>147</v>
      </c>
      <c r="Q141" s="189" t="s">
        <v>70</v>
      </c>
      <c r="R141" s="186"/>
      <c r="S141" s="187"/>
      <c r="T141" s="187"/>
      <c r="U141" s="187"/>
      <c r="V141" s="188"/>
      <c r="W141" s="188"/>
      <c r="X141" s="188"/>
      <c r="Y141" s="188"/>
      <c r="Z141" s="188"/>
      <c r="AA141" s="188"/>
      <c r="AB141" s="188"/>
      <c r="AC141" s="188"/>
      <c r="AD141" s="188"/>
      <c r="AE141" s="188"/>
      <c r="AF141" s="188"/>
      <c r="AG141" s="188"/>
    </row>
    <row r="142" spans="1:34" ht="15.95" customHeight="1">
      <c r="A142" s="11"/>
      <c r="B142" s="12"/>
      <c r="C142" s="12"/>
      <c r="D142" s="13"/>
      <c r="E142" s="13"/>
      <c r="F142" s="14"/>
      <c r="G142" s="13"/>
      <c r="H142" s="14"/>
      <c r="I142" s="14"/>
      <c r="J142" s="13"/>
      <c r="K142" s="13"/>
      <c r="L142" s="279"/>
      <c r="M142" s="14"/>
      <c r="N142" s="14"/>
      <c r="O142" s="13"/>
      <c r="P142" s="14"/>
      <c r="Q142" s="14"/>
      <c r="R142" s="13"/>
      <c r="S142" s="13"/>
      <c r="T142" s="13"/>
      <c r="U142" s="13"/>
      <c r="V142" s="11"/>
      <c r="W142" s="11"/>
      <c r="X142" s="11"/>
      <c r="Y142" s="11"/>
      <c r="Z142" s="11"/>
      <c r="AA142" s="11"/>
      <c r="AB142" s="11"/>
      <c r="AC142" s="11"/>
      <c r="AD142" s="11"/>
      <c r="AE142" s="11"/>
      <c r="AF142" s="11"/>
      <c r="AG142" s="11"/>
    </row>
    <row r="143" spans="1:34" ht="15.95" customHeight="1" thickBot="1">
      <c r="A143" s="7"/>
      <c r="B143" s="19" t="s">
        <v>0</v>
      </c>
      <c r="C143" s="7"/>
      <c r="D143" s="8"/>
      <c r="E143" s="8"/>
      <c r="F143" s="9"/>
      <c r="G143" s="8"/>
      <c r="H143" s="9"/>
      <c r="I143" s="9"/>
      <c r="J143" s="8"/>
      <c r="K143" s="8"/>
      <c r="L143" s="280"/>
      <c r="M143" s="9"/>
      <c r="N143" s="9"/>
      <c r="O143" s="8"/>
      <c r="P143" s="9"/>
      <c r="Q143" s="9"/>
      <c r="R143" s="8"/>
      <c r="S143" s="866"/>
      <c r="T143" s="867" t="str">
        <f>'$REV-DB'!$T$34</f>
        <v>UD1</v>
      </c>
      <c r="U143" s="867" t="str">
        <f>'$REV-DB'!$U$34</f>
        <v>UD2</v>
      </c>
      <c r="V143" s="867" t="str">
        <f>'$REV-DB'!$V$34</f>
        <v>UD3</v>
      </c>
      <c r="W143" s="867" t="str">
        <f>'$REV-DB'!$W$34</f>
        <v>UD4</v>
      </c>
      <c r="X143" s="867" t="str">
        <f>'$REV-DB'!$X$34</f>
        <v>UD5</v>
      </c>
      <c r="Y143" s="867" t="str">
        <f>'$REV-DB'!$Y$34</f>
        <v>UD6</v>
      </c>
      <c r="Z143" s="867" t="str">
        <f>'$REV-DB'!$Z$34</f>
        <v>UD7</v>
      </c>
      <c r="AA143" s="867" t="str">
        <f>'$REV-DB'!$AA$34</f>
        <v>UD8</v>
      </c>
      <c r="AB143" s="867" t="str">
        <f>'$REV-DB'!$AB$34</f>
        <v>UD9</v>
      </c>
      <c r="AC143" s="867" t="str">
        <f>'$REV-DB'!$AC$34</f>
        <v>UD10</v>
      </c>
      <c r="AD143" s="867" t="str">
        <f>'$REV-DB'!$AD$34</f>
        <v>UD11</v>
      </c>
      <c r="AE143" s="867" t="str">
        <f>'$REV-DB'!$AE$34</f>
        <v>UD12</v>
      </c>
      <c r="AF143" s="867" t="str">
        <f>'$REV-DB'!$AF$34</f>
        <v>UD13</v>
      </c>
      <c r="AG143" s="867" t="str">
        <f>'$REV-DB'!$AG$34</f>
        <v>UD14</v>
      </c>
    </row>
    <row r="144" spans="1:34" ht="15.95" customHeight="1" thickTop="1" thickBot="1">
      <c r="A144" s="7"/>
      <c r="B144" s="20" t="s">
        <v>175</v>
      </c>
      <c r="C144" s="15"/>
      <c r="D144" s="276" t="s">
        <v>186</v>
      </c>
      <c r="E144" s="276" t="s">
        <v>187</v>
      </c>
      <c r="F144" s="276" t="s">
        <v>188</v>
      </c>
      <c r="G144" s="276" t="s">
        <v>189</v>
      </c>
      <c r="H144" s="276" t="s">
        <v>11</v>
      </c>
      <c r="I144" s="276" t="s">
        <v>190</v>
      </c>
      <c r="J144" s="276" t="s">
        <v>191</v>
      </c>
      <c r="K144" s="276" t="s">
        <v>192</v>
      </c>
      <c r="L144" s="276" t="s">
        <v>203</v>
      </c>
      <c r="M144" s="276" t="s">
        <v>42</v>
      </c>
      <c r="N144" s="276" t="s">
        <v>148</v>
      </c>
      <c r="O144" s="276" t="s">
        <v>193</v>
      </c>
      <c r="P144" s="276" t="s">
        <v>142</v>
      </c>
      <c r="Q144" s="276" t="s">
        <v>194</v>
      </c>
      <c r="R144" s="112" t="s">
        <v>141</v>
      </c>
      <c r="S144" s="112" t="s">
        <v>672</v>
      </c>
      <c r="T144" s="857" t="s">
        <v>541</v>
      </c>
      <c r="U144" s="857" t="s">
        <v>542</v>
      </c>
      <c r="V144" s="857" t="s">
        <v>543</v>
      </c>
      <c r="W144" s="857" t="s">
        <v>544</v>
      </c>
      <c r="X144" s="857" t="s">
        <v>545</v>
      </c>
      <c r="Y144" s="857" t="s">
        <v>546</v>
      </c>
      <c r="Z144" s="857" t="s">
        <v>547</v>
      </c>
      <c r="AA144" s="857" t="s">
        <v>548</v>
      </c>
      <c r="AB144" s="857" t="s">
        <v>549</v>
      </c>
      <c r="AC144" s="857" t="s">
        <v>550</v>
      </c>
      <c r="AD144" s="857" t="s">
        <v>551</v>
      </c>
      <c r="AE144" s="857" t="s">
        <v>552</v>
      </c>
      <c r="AF144" s="857" t="s">
        <v>553</v>
      </c>
      <c r="AG144" s="857" t="s">
        <v>554</v>
      </c>
      <c r="AH144" s="6"/>
    </row>
    <row r="145" spans="1:34" ht="15.95" customHeight="1" thickTop="1">
      <c r="A145" s="7"/>
      <c r="B145" s="19" t="s">
        <v>150</v>
      </c>
      <c r="C145" s="12"/>
      <c r="D145" s="186"/>
      <c r="E145" s="186"/>
      <c r="F145" s="186"/>
      <c r="G145" s="186"/>
      <c r="H145" s="186"/>
      <c r="I145" s="186"/>
      <c r="J145" s="186"/>
      <c r="K145" s="186"/>
      <c r="L145" s="278" t="s">
        <v>34</v>
      </c>
      <c r="M145" s="186"/>
      <c r="N145" s="37" t="str">
        <f>J$6</f>
        <v>FY2010-11</v>
      </c>
      <c r="O145" s="186"/>
      <c r="P145" s="37" t="s">
        <v>147</v>
      </c>
      <c r="Q145" s="189" t="s">
        <v>140</v>
      </c>
      <c r="R145" s="186"/>
      <c r="S145" s="187"/>
      <c r="T145" s="187"/>
      <c r="U145" s="187"/>
      <c r="V145" s="188"/>
      <c r="W145" s="188"/>
      <c r="X145" s="188"/>
      <c r="Y145" s="188"/>
      <c r="Z145" s="188"/>
      <c r="AA145" s="188"/>
      <c r="AB145" s="188"/>
      <c r="AC145" s="188"/>
      <c r="AD145" s="188"/>
      <c r="AE145" s="188"/>
      <c r="AF145" s="188"/>
      <c r="AG145" s="188"/>
      <c r="AH145" s="6"/>
    </row>
    <row r="146" spans="1:34" ht="15.95" customHeight="1">
      <c r="A146" s="7"/>
      <c r="B146" s="16">
        <f>DSUM('$REV-DB'!D35:AG67,"AMOUNT",'$REV-DSUM'!D144:AG151)</f>
        <v>0</v>
      </c>
      <c r="C146" s="12"/>
      <c r="D146" s="186"/>
      <c r="E146" s="186"/>
      <c r="F146" s="186"/>
      <c r="G146" s="186"/>
      <c r="H146" s="186"/>
      <c r="I146" s="186"/>
      <c r="J146" s="186"/>
      <c r="K146" s="186"/>
      <c r="L146" s="278" t="s">
        <v>34</v>
      </c>
      <c r="M146" s="186"/>
      <c r="N146" s="37" t="str">
        <f t="shared" ref="N146:N151" si="13">J$6</f>
        <v>FY2010-11</v>
      </c>
      <c r="O146" s="186"/>
      <c r="P146" s="37" t="s">
        <v>147</v>
      </c>
      <c r="Q146" s="189" t="s">
        <v>140</v>
      </c>
      <c r="R146" s="186"/>
      <c r="S146" s="187"/>
      <c r="T146" s="187"/>
      <c r="U146" s="187"/>
      <c r="V146" s="188"/>
      <c r="W146" s="188"/>
      <c r="X146" s="188"/>
      <c r="Y146" s="188"/>
      <c r="Z146" s="188"/>
      <c r="AA146" s="188"/>
      <c r="AB146" s="188"/>
      <c r="AC146" s="188"/>
      <c r="AD146" s="188"/>
      <c r="AE146" s="188"/>
      <c r="AF146" s="188"/>
      <c r="AG146" s="188"/>
      <c r="AH146" s="6"/>
    </row>
    <row r="147" spans="1:34" ht="15.95" customHeight="1">
      <c r="A147" s="7"/>
      <c r="B147" s="10"/>
      <c r="C147" s="12"/>
      <c r="D147" s="186"/>
      <c r="E147" s="186"/>
      <c r="F147" s="186"/>
      <c r="G147" s="186"/>
      <c r="H147" s="186"/>
      <c r="I147" s="186"/>
      <c r="J147" s="186"/>
      <c r="K147" s="186"/>
      <c r="L147" s="278" t="s">
        <v>34</v>
      </c>
      <c r="M147" s="186"/>
      <c r="N147" s="37" t="str">
        <f t="shared" si="13"/>
        <v>FY2010-11</v>
      </c>
      <c r="O147" s="186"/>
      <c r="P147" s="37" t="s">
        <v>147</v>
      </c>
      <c r="Q147" s="189" t="s">
        <v>140</v>
      </c>
      <c r="R147" s="186"/>
      <c r="S147" s="187"/>
      <c r="T147" s="187"/>
      <c r="U147" s="187"/>
      <c r="V147" s="188"/>
      <c r="W147" s="188"/>
      <c r="X147" s="188"/>
      <c r="Y147" s="188"/>
      <c r="Z147" s="188"/>
      <c r="AA147" s="188"/>
      <c r="AB147" s="188"/>
      <c r="AC147" s="188"/>
      <c r="AD147" s="188"/>
      <c r="AE147" s="188"/>
      <c r="AF147" s="188"/>
      <c r="AG147" s="188"/>
    </row>
    <row r="148" spans="1:34" ht="15.95" customHeight="1">
      <c r="A148" s="7"/>
      <c r="B148" s="10"/>
      <c r="C148" s="12"/>
      <c r="D148" s="186"/>
      <c r="E148" s="186"/>
      <c r="F148" s="186"/>
      <c r="G148" s="186"/>
      <c r="H148" s="186"/>
      <c r="I148" s="186"/>
      <c r="J148" s="186"/>
      <c r="K148" s="186"/>
      <c r="L148" s="278" t="s">
        <v>34</v>
      </c>
      <c r="M148" s="186"/>
      <c r="N148" s="37" t="str">
        <f t="shared" si="13"/>
        <v>FY2010-11</v>
      </c>
      <c r="O148" s="186"/>
      <c r="P148" s="37" t="s">
        <v>147</v>
      </c>
      <c r="Q148" s="189" t="s">
        <v>140</v>
      </c>
      <c r="R148" s="186"/>
      <c r="S148" s="187"/>
      <c r="T148" s="187"/>
      <c r="U148" s="187"/>
      <c r="V148" s="188"/>
      <c r="W148" s="188"/>
      <c r="X148" s="188"/>
      <c r="Y148" s="188"/>
      <c r="Z148" s="188"/>
      <c r="AA148" s="188"/>
      <c r="AB148" s="188"/>
      <c r="AC148" s="188"/>
      <c r="AD148" s="188"/>
      <c r="AE148" s="188"/>
      <c r="AF148" s="188"/>
      <c r="AG148" s="188"/>
    </row>
    <row r="149" spans="1:34" ht="15.95" customHeight="1">
      <c r="A149" s="7"/>
      <c r="B149" s="10"/>
      <c r="C149" s="12"/>
      <c r="D149" s="186"/>
      <c r="E149" s="186"/>
      <c r="F149" s="186"/>
      <c r="G149" s="186"/>
      <c r="H149" s="186"/>
      <c r="I149" s="186"/>
      <c r="J149" s="186"/>
      <c r="K149" s="186"/>
      <c r="L149" s="278" t="s">
        <v>34</v>
      </c>
      <c r="M149" s="186"/>
      <c r="N149" s="37" t="str">
        <f t="shared" si="13"/>
        <v>FY2010-11</v>
      </c>
      <c r="O149" s="186"/>
      <c r="P149" s="37" t="s">
        <v>147</v>
      </c>
      <c r="Q149" s="189" t="s">
        <v>140</v>
      </c>
      <c r="R149" s="186"/>
      <c r="S149" s="187"/>
      <c r="T149" s="187"/>
      <c r="U149" s="187"/>
      <c r="V149" s="188"/>
      <c r="W149" s="188"/>
      <c r="X149" s="188"/>
      <c r="Y149" s="188"/>
      <c r="Z149" s="188"/>
      <c r="AA149" s="188"/>
      <c r="AB149" s="188"/>
      <c r="AC149" s="188"/>
      <c r="AD149" s="188"/>
      <c r="AE149" s="188"/>
      <c r="AF149" s="188"/>
      <c r="AG149" s="188"/>
    </row>
    <row r="150" spans="1:34" ht="15.95" customHeight="1">
      <c r="A150" s="7"/>
      <c r="B150" s="10"/>
      <c r="C150" s="12"/>
      <c r="D150" s="186"/>
      <c r="E150" s="186"/>
      <c r="F150" s="186"/>
      <c r="G150" s="186"/>
      <c r="H150" s="186"/>
      <c r="I150" s="186"/>
      <c r="J150" s="186"/>
      <c r="K150" s="186"/>
      <c r="L150" s="278" t="s">
        <v>34</v>
      </c>
      <c r="M150" s="186"/>
      <c r="N150" s="37" t="str">
        <f t="shared" si="13"/>
        <v>FY2010-11</v>
      </c>
      <c r="O150" s="186"/>
      <c r="P150" s="37" t="s">
        <v>147</v>
      </c>
      <c r="Q150" s="189" t="s">
        <v>140</v>
      </c>
      <c r="R150" s="186"/>
      <c r="S150" s="187"/>
      <c r="T150" s="187"/>
      <c r="U150" s="187"/>
      <c r="V150" s="188"/>
      <c r="W150" s="188"/>
      <c r="X150" s="188"/>
      <c r="Y150" s="188"/>
      <c r="Z150" s="188"/>
      <c r="AA150" s="188"/>
      <c r="AB150" s="188"/>
      <c r="AC150" s="188"/>
      <c r="AD150" s="188"/>
      <c r="AE150" s="188"/>
      <c r="AF150" s="188"/>
      <c r="AG150" s="188"/>
    </row>
    <row r="151" spans="1:34" ht="15.95" customHeight="1">
      <c r="A151" s="7"/>
      <c r="B151" s="10"/>
      <c r="C151" s="12"/>
      <c r="D151" s="186"/>
      <c r="E151" s="186"/>
      <c r="F151" s="186"/>
      <c r="G151" s="186"/>
      <c r="H151" s="186"/>
      <c r="I151" s="186"/>
      <c r="J151" s="186"/>
      <c r="K151" s="186"/>
      <c r="L151" s="278" t="s">
        <v>34</v>
      </c>
      <c r="M151" s="186"/>
      <c r="N151" s="37" t="str">
        <f t="shared" si="13"/>
        <v>FY2010-11</v>
      </c>
      <c r="O151" s="186"/>
      <c r="P151" s="37" t="s">
        <v>147</v>
      </c>
      <c r="Q151" s="189" t="s">
        <v>140</v>
      </c>
      <c r="R151" s="186"/>
      <c r="S151" s="187"/>
      <c r="T151" s="187"/>
      <c r="U151" s="187"/>
      <c r="V151" s="188"/>
      <c r="W151" s="188"/>
      <c r="X151" s="188"/>
      <c r="Y151" s="188"/>
      <c r="Z151" s="188"/>
      <c r="AA151" s="188"/>
      <c r="AB151" s="188"/>
      <c r="AC151" s="188"/>
      <c r="AD151" s="188"/>
      <c r="AE151" s="188"/>
      <c r="AF151" s="188"/>
      <c r="AG151" s="188"/>
    </row>
    <row r="152" spans="1:34" ht="15.95" customHeight="1">
      <c r="A152" s="25"/>
      <c r="B152" s="26"/>
      <c r="C152" s="26"/>
      <c r="D152" s="27"/>
      <c r="E152" s="27"/>
      <c r="F152" s="28"/>
      <c r="G152" s="27"/>
      <c r="H152" s="28"/>
      <c r="I152" s="28"/>
      <c r="J152" s="27"/>
      <c r="K152" s="27"/>
      <c r="L152" s="282"/>
      <c r="M152" s="28"/>
      <c r="N152" s="28"/>
      <c r="O152" s="27"/>
      <c r="P152" s="28"/>
      <c r="Q152" s="28"/>
      <c r="R152" s="27"/>
      <c r="S152" s="27"/>
      <c r="T152" s="27"/>
      <c r="U152" s="27"/>
      <c r="V152" s="25"/>
      <c r="W152" s="25"/>
      <c r="X152" s="25"/>
      <c r="Y152" s="25"/>
      <c r="Z152" s="25"/>
      <c r="AA152" s="25"/>
      <c r="AB152" s="25"/>
      <c r="AC152" s="25"/>
      <c r="AD152" s="25"/>
      <c r="AE152" s="25"/>
      <c r="AF152" s="25"/>
      <c r="AG152" s="25"/>
    </row>
    <row r="153" spans="1:34" ht="15.95" customHeight="1" thickBot="1">
      <c r="A153" s="7"/>
      <c r="B153" s="19" t="str">
        <f>"FA1 = "&amp;'FIG3'!$W$52&amp;" "&amp;'FIG3'!$X$52</f>
        <v>FA1 = Fulton County District</v>
      </c>
      <c r="C153" s="7"/>
      <c r="D153" s="17"/>
      <c r="E153" s="17"/>
      <c r="F153" s="18"/>
      <c r="G153" s="17"/>
      <c r="H153" s="18"/>
      <c r="I153" s="18"/>
      <c r="J153" s="17"/>
      <c r="K153" s="17"/>
      <c r="L153" s="281"/>
      <c r="M153" s="18"/>
      <c r="N153" s="9"/>
      <c r="O153" s="17"/>
      <c r="P153" s="18"/>
      <c r="Q153" s="18"/>
      <c r="R153" s="17"/>
      <c r="S153" s="866"/>
      <c r="T153" s="867" t="str">
        <f>'$REV-DB'!$T$34</f>
        <v>UD1</v>
      </c>
      <c r="U153" s="867" t="str">
        <f>'$REV-DB'!$U$34</f>
        <v>UD2</v>
      </c>
      <c r="V153" s="867" t="str">
        <f>'$REV-DB'!$V$34</f>
        <v>UD3</v>
      </c>
      <c r="W153" s="867" t="str">
        <f>'$REV-DB'!$W$34</f>
        <v>UD4</v>
      </c>
      <c r="X153" s="867" t="str">
        <f>'$REV-DB'!$X$34</f>
        <v>UD5</v>
      </c>
      <c r="Y153" s="867" t="str">
        <f>'$REV-DB'!$Y$34</f>
        <v>UD6</v>
      </c>
      <c r="Z153" s="867" t="str">
        <f>'$REV-DB'!$Z$34</f>
        <v>UD7</v>
      </c>
      <c r="AA153" s="867" t="str">
        <f>'$REV-DB'!$AA$34</f>
        <v>UD8</v>
      </c>
      <c r="AB153" s="867" t="str">
        <f>'$REV-DB'!$AB$34</f>
        <v>UD9</v>
      </c>
      <c r="AC153" s="867" t="str">
        <f>'$REV-DB'!$AC$34</f>
        <v>UD10</v>
      </c>
      <c r="AD153" s="867" t="str">
        <f>'$REV-DB'!$AD$34</f>
        <v>UD11</v>
      </c>
      <c r="AE153" s="867" t="str">
        <f>'$REV-DB'!$AE$34</f>
        <v>UD12</v>
      </c>
      <c r="AF153" s="867" t="str">
        <f>'$REV-DB'!$AF$34</f>
        <v>UD13</v>
      </c>
      <c r="AG153" s="867" t="str">
        <f>'$REV-DB'!$AG$34</f>
        <v>UD14</v>
      </c>
    </row>
    <row r="154" spans="1:34" ht="15.95" customHeight="1" thickTop="1" thickBot="1">
      <c r="A154" s="7"/>
      <c r="B154" s="20" t="s">
        <v>4</v>
      </c>
      <c r="C154" s="15"/>
      <c r="D154" s="105" t="s">
        <v>186</v>
      </c>
      <c r="E154" s="105" t="s">
        <v>187</v>
      </c>
      <c r="F154" s="105" t="s">
        <v>188</v>
      </c>
      <c r="G154" s="105" t="s">
        <v>189</v>
      </c>
      <c r="H154" s="105" t="s">
        <v>11</v>
      </c>
      <c r="I154" s="105" t="s">
        <v>190</v>
      </c>
      <c r="J154" s="105" t="s">
        <v>191</v>
      </c>
      <c r="K154" s="105" t="s">
        <v>192</v>
      </c>
      <c r="L154" s="276" t="s">
        <v>203</v>
      </c>
      <c r="M154" s="105" t="s">
        <v>42</v>
      </c>
      <c r="N154" s="105" t="s">
        <v>148</v>
      </c>
      <c r="O154" s="105" t="s">
        <v>193</v>
      </c>
      <c r="P154" s="105" t="s">
        <v>142</v>
      </c>
      <c r="Q154" s="105" t="s">
        <v>194</v>
      </c>
      <c r="R154" s="112" t="s">
        <v>141</v>
      </c>
      <c r="S154" s="112" t="s">
        <v>672</v>
      </c>
      <c r="T154" s="857" t="s">
        <v>541</v>
      </c>
      <c r="U154" s="857" t="s">
        <v>542</v>
      </c>
      <c r="V154" s="857" t="s">
        <v>543</v>
      </c>
      <c r="W154" s="857" t="s">
        <v>544</v>
      </c>
      <c r="X154" s="857" t="s">
        <v>545</v>
      </c>
      <c r="Y154" s="857" t="s">
        <v>546</v>
      </c>
      <c r="Z154" s="857" t="s">
        <v>547</v>
      </c>
      <c r="AA154" s="857" t="s">
        <v>548</v>
      </c>
      <c r="AB154" s="857" t="s">
        <v>549</v>
      </c>
      <c r="AC154" s="857" t="s">
        <v>550</v>
      </c>
      <c r="AD154" s="857" t="s">
        <v>551</v>
      </c>
      <c r="AE154" s="857" t="s">
        <v>552</v>
      </c>
      <c r="AF154" s="857" t="s">
        <v>553</v>
      </c>
      <c r="AG154" s="857" t="s">
        <v>554</v>
      </c>
      <c r="AH154" s="6"/>
    </row>
    <row r="155" spans="1:34" ht="15.95" customHeight="1" thickTop="1">
      <c r="A155" s="7"/>
      <c r="B155" s="19" t="s">
        <v>146</v>
      </c>
      <c r="C155" s="12"/>
      <c r="D155" s="190"/>
      <c r="E155" s="190"/>
      <c r="F155" s="190"/>
      <c r="G155" s="190"/>
      <c r="H155" s="190"/>
      <c r="I155" s="190"/>
      <c r="J155" s="190"/>
      <c r="K155" s="190"/>
      <c r="L155" s="283" t="s">
        <v>34</v>
      </c>
      <c r="M155" s="190"/>
      <c r="N155" s="38" t="str">
        <f>J$6</f>
        <v>FY2010-11</v>
      </c>
      <c r="O155" s="38" t="s">
        <v>152</v>
      </c>
      <c r="P155" s="38" t="s">
        <v>138</v>
      </c>
      <c r="Q155" s="190"/>
      <c r="R155" s="190"/>
      <c r="S155" s="191"/>
      <c r="T155" s="191"/>
      <c r="U155" s="191"/>
      <c r="V155" s="192"/>
      <c r="W155" s="192"/>
      <c r="X155" s="192"/>
      <c r="Y155" s="192"/>
      <c r="Z155" s="192"/>
      <c r="AA155" s="192"/>
      <c r="AB155" s="192"/>
      <c r="AC155" s="192"/>
      <c r="AD155" s="192"/>
      <c r="AE155" s="192"/>
      <c r="AF155" s="192"/>
      <c r="AG155" s="192"/>
      <c r="AH155" s="6"/>
    </row>
    <row r="156" spans="1:34" ht="15.95" customHeight="1">
      <c r="A156" s="7"/>
      <c r="B156" s="16">
        <f>DSUM('$REV-DB'!D35:AG67,"AMOUNT",'$REV-DSUM'!D154:AG161)</f>
        <v>1103446703.78</v>
      </c>
      <c r="C156" s="12"/>
      <c r="D156" s="190"/>
      <c r="E156" s="190"/>
      <c r="F156" s="190"/>
      <c r="G156" s="190"/>
      <c r="H156" s="190"/>
      <c r="I156" s="190"/>
      <c r="J156" s="190"/>
      <c r="K156" s="190"/>
      <c r="L156" s="283" t="s">
        <v>34</v>
      </c>
      <c r="M156" s="190"/>
      <c r="N156" s="38" t="str">
        <f t="shared" ref="N156:N161" si="14">J$6</f>
        <v>FY2010-11</v>
      </c>
      <c r="O156" s="38" t="s">
        <v>152</v>
      </c>
      <c r="P156" s="38" t="s">
        <v>138</v>
      </c>
      <c r="Q156" s="190"/>
      <c r="R156" s="190"/>
      <c r="S156" s="191"/>
      <c r="T156" s="191"/>
      <c r="U156" s="191"/>
      <c r="V156" s="192"/>
      <c r="W156" s="192"/>
      <c r="X156" s="192"/>
      <c r="Y156" s="192"/>
      <c r="Z156" s="192"/>
      <c r="AA156" s="192"/>
      <c r="AB156" s="192"/>
      <c r="AC156" s="192"/>
      <c r="AD156" s="192"/>
      <c r="AE156" s="192"/>
      <c r="AF156" s="192"/>
      <c r="AG156" s="192"/>
      <c r="AH156" s="6"/>
    </row>
    <row r="157" spans="1:34" ht="15.95" customHeight="1">
      <c r="A157" s="7"/>
      <c r="B157" s="10"/>
      <c r="C157" s="12"/>
      <c r="D157" s="190"/>
      <c r="E157" s="190"/>
      <c r="F157" s="190"/>
      <c r="G157" s="190"/>
      <c r="H157" s="190"/>
      <c r="I157" s="190"/>
      <c r="J157" s="190"/>
      <c r="K157" s="190"/>
      <c r="L157" s="283" t="s">
        <v>34</v>
      </c>
      <c r="M157" s="190"/>
      <c r="N157" s="38" t="str">
        <f t="shared" si="14"/>
        <v>FY2010-11</v>
      </c>
      <c r="O157" s="38" t="s">
        <v>152</v>
      </c>
      <c r="P157" s="38" t="s">
        <v>138</v>
      </c>
      <c r="Q157" s="190"/>
      <c r="R157" s="190"/>
      <c r="S157" s="191"/>
      <c r="T157" s="191"/>
      <c r="U157" s="191"/>
      <c r="V157" s="192"/>
      <c r="W157" s="192"/>
      <c r="X157" s="192"/>
      <c r="Y157" s="192"/>
      <c r="Z157" s="192"/>
      <c r="AA157" s="192"/>
      <c r="AB157" s="192"/>
      <c r="AC157" s="192"/>
      <c r="AD157" s="192"/>
      <c r="AE157" s="192"/>
      <c r="AF157" s="192"/>
      <c r="AG157" s="192"/>
    </row>
    <row r="158" spans="1:34" ht="15.95" customHeight="1">
      <c r="A158" s="7"/>
      <c r="B158" s="10"/>
      <c r="C158" s="12"/>
      <c r="D158" s="190"/>
      <c r="E158" s="190"/>
      <c r="F158" s="190"/>
      <c r="G158" s="190"/>
      <c r="H158" s="190"/>
      <c r="I158" s="190"/>
      <c r="J158" s="190"/>
      <c r="K158" s="190"/>
      <c r="L158" s="283" t="s">
        <v>34</v>
      </c>
      <c r="M158" s="190"/>
      <c r="N158" s="38" t="str">
        <f t="shared" si="14"/>
        <v>FY2010-11</v>
      </c>
      <c r="O158" s="38" t="s">
        <v>152</v>
      </c>
      <c r="P158" s="38" t="s">
        <v>138</v>
      </c>
      <c r="Q158" s="190"/>
      <c r="R158" s="190"/>
      <c r="S158" s="191"/>
      <c r="T158" s="191"/>
      <c r="U158" s="191"/>
      <c r="V158" s="192"/>
      <c r="W158" s="192"/>
      <c r="X158" s="192"/>
      <c r="Y158" s="192"/>
      <c r="Z158" s="192"/>
      <c r="AA158" s="192"/>
      <c r="AB158" s="192"/>
      <c r="AC158" s="192"/>
      <c r="AD158" s="192"/>
      <c r="AE158" s="192"/>
      <c r="AF158" s="192"/>
      <c r="AG158" s="192"/>
    </row>
    <row r="159" spans="1:34" ht="15.95" customHeight="1">
      <c r="A159" s="7"/>
      <c r="B159" s="10"/>
      <c r="C159" s="12"/>
      <c r="D159" s="190"/>
      <c r="E159" s="190"/>
      <c r="F159" s="190"/>
      <c r="G159" s="190"/>
      <c r="H159" s="190"/>
      <c r="I159" s="190"/>
      <c r="J159" s="190"/>
      <c r="K159" s="190"/>
      <c r="L159" s="283" t="s">
        <v>34</v>
      </c>
      <c r="M159" s="190"/>
      <c r="N159" s="38" t="str">
        <f t="shared" si="14"/>
        <v>FY2010-11</v>
      </c>
      <c r="O159" s="38" t="s">
        <v>152</v>
      </c>
      <c r="P159" s="38" t="s">
        <v>138</v>
      </c>
      <c r="Q159" s="190"/>
      <c r="R159" s="190"/>
      <c r="S159" s="191"/>
      <c r="T159" s="191"/>
      <c r="U159" s="191"/>
      <c r="V159" s="192"/>
      <c r="W159" s="192"/>
      <c r="X159" s="192"/>
      <c r="Y159" s="192"/>
      <c r="Z159" s="192"/>
      <c r="AA159" s="192"/>
      <c r="AB159" s="192"/>
      <c r="AC159" s="192"/>
      <c r="AD159" s="192"/>
      <c r="AE159" s="192"/>
      <c r="AF159" s="192"/>
      <c r="AG159" s="192"/>
    </row>
    <row r="160" spans="1:34" ht="15.95" customHeight="1">
      <c r="A160" s="7"/>
      <c r="B160" s="10"/>
      <c r="C160" s="12"/>
      <c r="D160" s="190"/>
      <c r="E160" s="190"/>
      <c r="F160" s="190"/>
      <c r="G160" s="190"/>
      <c r="H160" s="190"/>
      <c r="I160" s="190"/>
      <c r="J160" s="190"/>
      <c r="K160" s="190"/>
      <c r="L160" s="283" t="s">
        <v>34</v>
      </c>
      <c r="M160" s="190"/>
      <c r="N160" s="38" t="str">
        <f t="shared" si="14"/>
        <v>FY2010-11</v>
      </c>
      <c r="O160" s="38" t="s">
        <v>152</v>
      </c>
      <c r="P160" s="38" t="s">
        <v>138</v>
      </c>
      <c r="Q160" s="190"/>
      <c r="R160" s="190"/>
      <c r="S160" s="191"/>
      <c r="T160" s="191"/>
      <c r="U160" s="191"/>
      <c r="V160" s="192"/>
      <c r="W160" s="192"/>
      <c r="X160" s="192"/>
      <c r="Y160" s="192"/>
      <c r="Z160" s="192"/>
      <c r="AA160" s="192"/>
      <c r="AB160" s="192"/>
      <c r="AC160" s="192"/>
      <c r="AD160" s="192"/>
      <c r="AE160" s="192"/>
      <c r="AF160" s="192"/>
      <c r="AG160" s="192"/>
    </row>
    <row r="161" spans="1:34" ht="15.95" customHeight="1">
      <c r="A161" s="7"/>
      <c r="B161" s="10"/>
      <c r="C161" s="12"/>
      <c r="D161" s="190"/>
      <c r="E161" s="190"/>
      <c r="F161" s="190"/>
      <c r="G161" s="190"/>
      <c r="H161" s="190"/>
      <c r="I161" s="190"/>
      <c r="J161" s="190"/>
      <c r="K161" s="190"/>
      <c r="L161" s="283" t="s">
        <v>34</v>
      </c>
      <c r="M161" s="190"/>
      <c r="N161" s="38" t="str">
        <f t="shared" si="14"/>
        <v>FY2010-11</v>
      </c>
      <c r="O161" s="38" t="s">
        <v>152</v>
      </c>
      <c r="P161" s="38" t="s">
        <v>138</v>
      </c>
      <c r="Q161" s="190"/>
      <c r="R161" s="190"/>
      <c r="S161" s="191"/>
      <c r="T161" s="191"/>
      <c r="U161" s="191"/>
      <c r="V161" s="192"/>
      <c r="W161" s="192"/>
      <c r="X161" s="192"/>
      <c r="Y161" s="192"/>
      <c r="Z161" s="192"/>
      <c r="AA161" s="192"/>
      <c r="AB161" s="192"/>
      <c r="AC161" s="192"/>
      <c r="AD161" s="192"/>
      <c r="AE161" s="192"/>
      <c r="AF161" s="192"/>
      <c r="AG161" s="192"/>
    </row>
    <row r="162" spans="1:34" ht="15.95" customHeight="1">
      <c r="A162" s="25"/>
      <c r="B162" s="26"/>
      <c r="C162" s="26"/>
      <c r="D162" s="27"/>
      <c r="E162" s="27"/>
      <c r="F162" s="28"/>
      <c r="G162" s="27"/>
      <c r="H162" s="28"/>
      <c r="I162" s="28"/>
      <c r="J162" s="27"/>
      <c r="K162" s="27"/>
      <c r="L162" s="282"/>
      <c r="M162" s="28"/>
      <c r="N162" s="28"/>
      <c r="O162" s="27"/>
      <c r="P162" s="28"/>
      <c r="Q162" s="28"/>
      <c r="R162" s="27"/>
      <c r="S162" s="27"/>
      <c r="T162" s="27"/>
      <c r="U162" s="27"/>
      <c r="V162" s="25"/>
      <c r="W162" s="25"/>
      <c r="X162" s="25"/>
      <c r="Y162" s="25"/>
      <c r="Z162" s="25"/>
      <c r="AA162" s="25"/>
      <c r="AB162" s="25"/>
      <c r="AC162" s="25"/>
      <c r="AD162" s="25"/>
      <c r="AE162" s="25"/>
      <c r="AF162" s="25"/>
      <c r="AG162" s="25"/>
    </row>
    <row r="163" spans="1:34" ht="15.95" customHeight="1" thickBot="1">
      <c r="A163" s="7"/>
      <c r="B163" s="19" t="str">
        <f>"FA1 = "&amp;'FIG3'!$W$52&amp;" "&amp;'FIG3'!$X$52</f>
        <v>FA1 = Fulton County District</v>
      </c>
      <c r="C163" s="7"/>
      <c r="D163" s="8"/>
      <c r="E163" s="8"/>
      <c r="F163" s="9"/>
      <c r="G163" s="8"/>
      <c r="H163" s="9"/>
      <c r="I163" s="9"/>
      <c r="J163" s="8"/>
      <c r="K163" s="8"/>
      <c r="L163" s="280"/>
      <c r="M163" s="9"/>
      <c r="N163" s="9"/>
      <c r="O163" s="8"/>
      <c r="P163" s="9"/>
      <c r="Q163" s="9"/>
      <c r="R163" s="8"/>
      <c r="S163" s="866"/>
      <c r="T163" s="867" t="str">
        <f>'$REV-DB'!$T$34</f>
        <v>UD1</v>
      </c>
      <c r="U163" s="867" t="str">
        <f>'$REV-DB'!$U$34</f>
        <v>UD2</v>
      </c>
      <c r="V163" s="867" t="str">
        <f>'$REV-DB'!$V$34</f>
        <v>UD3</v>
      </c>
      <c r="W163" s="867" t="str">
        <f>'$REV-DB'!$W$34</f>
        <v>UD4</v>
      </c>
      <c r="X163" s="867" t="str">
        <f>'$REV-DB'!$X$34</f>
        <v>UD5</v>
      </c>
      <c r="Y163" s="867" t="str">
        <f>'$REV-DB'!$Y$34</f>
        <v>UD6</v>
      </c>
      <c r="Z163" s="867" t="str">
        <f>'$REV-DB'!$Z$34</f>
        <v>UD7</v>
      </c>
      <c r="AA163" s="867" t="str">
        <f>'$REV-DB'!$AA$34</f>
        <v>UD8</v>
      </c>
      <c r="AB163" s="867" t="str">
        <f>'$REV-DB'!$AB$34</f>
        <v>UD9</v>
      </c>
      <c r="AC163" s="867" t="str">
        <f>'$REV-DB'!$AC$34</f>
        <v>UD10</v>
      </c>
      <c r="AD163" s="867" t="str">
        <f>'$REV-DB'!$AD$34</f>
        <v>UD11</v>
      </c>
      <c r="AE163" s="867" t="str">
        <f>'$REV-DB'!$AE$34</f>
        <v>UD12</v>
      </c>
      <c r="AF163" s="867" t="str">
        <f>'$REV-DB'!$AF$34</f>
        <v>UD13</v>
      </c>
      <c r="AG163" s="867" t="str">
        <f>'$REV-DB'!$AG$34</f>
        <v>UD14</v>
      </c>
    </row>
    <row r="164" spans="1:34" ht="15.95" customHeight="1" thickTop="1" thickBot="1">
      <c r="A164" s="7"/>
      <c r="B164" s="20" t="s">
        <v>4</v>
      </c>
      <c r="C164" s="15"/>
      <c r="D164" s="105" t="s">
        <v>186</v>
      </c>
      <c r="E164" s="105" t="s">
        <v>187</v>
      </c>
      <c r="F164" s="105" t="s">
        <v>188</v>
      </c>
      <c r="G164" s="105" t="s">
        <v>189</v>
      </c>
      <c r="H164" s="105" t="s">
        <v>11</v>
      </c>
      <c r="I164" s="105" t="s">
        <v>190</v>
      </c>
      <c r="J164" s="105" t="s">
        <v>191</v>
      </c>
      <c r="K164" s="105" t="s">
        <v>192</v>
      </c>
      <c r="L164" s="276" t="s">
        <v>203</v>
      </c>
      <c r="M164" s="105" t="s">
        <v>42</v>
      </c>
      <c r="N164" s="105" t="s">
        <v>148</v>
      </c>
      <c r="O164" s="105" t="s">
        <v>193</v>
      </c>
      <c r="P164" s="105" t="s">
        <v>142</v>
      </c>
      <c r="Q164" s="105" t="s">
        <v>194</v>
      </c>
      <c r="R164" s="112" t="s">
        <v>141</v>
      </c>
      <c r="S164" s="112" t="s">
        <v>540</v>
      </c>
      <c r="T164" s="857" t="s">
        <v>541</v>
      </c>
      <c r="U164" s="857" t="s">
        <v>542</v>
      </c>
      <c r="V164" s="857" t="s">
        <v>543</v>
      </c>
      <c r="W164" s="857" t="s">
        <v>544</v>
      </c>
      <c r="X164" s="857" t="s">
        <v>545</v>
      </c>
      <c r="Y164" s="857" t="s">
        <v>546</v>
      </c>
      <c r="Z164" s="857" t="s">
        <v>547</v>
      </c>
      <c r="AA164" s="857" t="s">
        <v>548</v>
      </c>
      <c r="AB164" s="857" t="s">
        <v>549</v>
      </c>
      <c r="AC164" s="857" t="s">
        <v>550</v>
      </c>
      <c r="AD164" s="857" t="s">
        <v>551</v>
      </c>
      <c r="AE164" s="857" t="s">
        <v>552</v>
      </c>
      <c r="AF164" s="857" t="s">
        <v>553</v>
      </c>
      <c r="AG164" s="857" t="s">
        <v>554</v>
      </c>
      <c r="AH164" s="6"/>
    </row>
    <row r="165" spans="1:34" ht="15.95" customHeight="1" thickTop="1">
      <c r="A165" s="7"/>
      <c r="B165" s="19" t="s">
        <v>145</v>
      </c>
      <c r="C165" s="12"/>
      <c r="D165" s="191"/>
      <c r="E165" s="191"/>
      <c r="F165" s="190"/>
      <c r="G165" s="191"/>
      <c r="H165" s="190"/>
      <c r="I165" s="190"/>
      <c r="J165" s="191"/>
      <c r="K165" s="191"/>
      <c r="L165" s="283" t="s">
        <v>34</v>
      </c>
      <c r="M165" s="190"/>
      <c r="N165" s="38" t="str">
        <f>J$6</f>
        <v>FY2010-11</v>
      </c>
      <c r="O165" s="38" t="s">
        <v>152</v>
      </c>
      <c r="P165" s="38" t="s">
        <v>138</v>
      </c>
      <c r="Q165" s="38" t="s">
        <v>180</v>
      </c>
      <c r="R165" s="191"/>
      <c r="S165" s="191"/>
      <c r="T165" s="191"/>
      <c r="U165" s="191"/>
      <c r="V165" s="192"/>
      <c r="W165" s="192"/>
      <c r="X165" s="192"/>
      <c r="Y165" s="192"/>
      <c r="Z165" s="192"/>
      <c r="AA165" s="192"/>
      <c r="AB165" s="192"/>
      <c r="AC165" s="192"/>
      <c r="AD165" s="192"/>
      <c r="AE165" s="192"/>
      <c r="AF165" s="192"/>
      <c r="AG165" s="192"/>
      <c r="AH165" s="6"/>
    </row>
    <row r="166" spans="1:34" ht="15.95" customHeight="1">
      <c r="A166" s="7"/>
      <c r="B166" s="16">
        <f>DSUM('$REV-DB'!D35:AG67,"AMOUNT",'$REV-DSUM'!D164:AG171)</f>
        <v>95153963.870000005</v>
      </c>
      <c r="C166" s="12"/>
      <c r="D166" s="191"/>
      <c r="E166" s="191"/>
      <c r="F166" s="190"/>
      <c r="G166" s="191"/>
      <c r="H166" s="190"/>
      <c r="I166" s="190"/>
      <c r="J166" s="191"/>
      <c r="K166" s="191"/>
      <c r="L166" s="283" t="s">
        <v>34</v>
      </c>
      <c r="M166" s="190"/>
      <c r="N166" s="38" t="str">
        <f t="shared" ref="N166:N171" si="15">J$6</f>
        <v>FY2010-11</v>
      </c>
      <c r="O166" s="38" t="s">
        <v>152</v>
      </c>
      <c r="P166" s="38" t="s">
        <v>138</v>
      </c>
      <c r="Q166" s="38" t="s">
        <v>180</v>
      </c>
      <c r="R166" s="191"/>
      <c r="S166" s="191"/>
      <c r="T166" s="191"/>
      <c r="U166" s="191"/>
      <c r="V166" s="192"/>
      <c r="W166" s="192"/>
      <c r="X166" s="192"/>
      <c r="Y166" s="192"/>
      <c r="Z166" s="192"/>
      <c r="AA166" s="192"/>
      <c r="AB166" s="192"/>
      <c r="AC166" s="192"/>
      <c r="AD166" s="192"/>
      <c r="AE166" s="192"/>
      <c r="AF166" s="192"/>
      <c r="AG166" s="192"/>
      <c r="AH166" s="6"/>
    </row>
    <row r="167" spans="1:34" ht="15.95" customHeight="1">
      <c r="A167" s="7"/>
      <c r="B167" s="10"/>
      <c r="C167" s="12"/>
      <c r="D167" s="191"/>
      <c r="E167" s="191"/>
      <c r="F167" s="190"/>
      <c r="G167" s="191"/>
      <c r="H167" s="190"/>
      <c r="I167" s="190"/>
      <c r="J167" s="191"/>
      <c r="K167" s="191"/>
      <c r="L167" s="283" t="s">
        <v>34</v>
      </c>
      <c r="M167" s="190"/>
      <c r="N167" s="38" t="str">
        <f t="shared" si="15"/>
        <v>FY2010-11</v>
      </c>
      <c r="O167" s="38" t="s">
        <v>152</v>
      </c>
      <c r="P167" s="38" t="s">
        <v>138</v>
      </c>
      <c r="Q167" s="38" t="s">
        <v>180</v>
      </c>
      <c r="R167" s="191"/>
      <c r="S167" s="191"/>
      <c r="T167" s="191"/>
      <c r="U167" s="191"/>
      <c r="V167" s="192"/>
      <c r="W167" s="192"/>
      <c r="X167" s="192"/>
      <c r="Y167" s="192"/>
      <c r="Z167" s="192"/>
      <c r="AA167" s="192"/>
      <c r="AB167" s="192"/>
      <c r="AC167" s="192"/>
      <c r="AD167" s="192"/>
      <c r="AE167" s="192"/>
      <c r="AF167" s="192"/>
      <c r="AG167" s="192"/>
    </row>
    <row r="168" spans="1:34" ht="15.95" customHeight="1">
      <c r="A168" s="7"/>
      <c r="B168" s="10"/>
      <c r="C168" s="12"/>
      <c r="D168" s="191"/>
      <c r="E168" s="191"/>
      <c r="F168" s="190"/>
      <c r="G168" s="191"/>
      <c r="H168" s="190"/>
      <c r="I168" s="190"/>
      <c r="J168" s="191"/>
      <c r="K168" s="191"/>
      <c r="L168" s="283" t="s">
        <v>34</v>
      </c>
      <c r="M168" s="190"/>
      <c r="N168" s="38" t="str">
        <f t="shared" si="15"/>
        <v>FY2010-11</v>
      </c>
      <c r="O168" s="38" t="s">
        <v>152</v>
      </c>
      <c r="P168" s="38" t="s">
        <v>138</v>
      </c>
      <c r="Q168" s="38" t="s">
        <v>180</v>
      </c>
      <c r="R168" s="191"/>
      <c r="S168" s="191"/>
      <c r="T168" s="191"/>
      <c r="U168" s="191"/>
      <c r="V168" s="192"/>
      <c r="W168" s="192"/>
      <c r="X168" s="192"/>
      <c r="Y168" s="192"/>
      <c r="Z168" s="192"/>
      <c r="AA168" s="192"/>
      <c r="AB168" s="192"/>
      <c r="AC168" s="192"/>
      <c r="AD168" s="192"/>
      <c r="AE168" s="192"/>
      <c r="AF168" s="192"/>
      <c r="AG168" s="192"/>
    </row>
    <row r="169" spans="1:34" ht="15.95" customHeight="1">
      <c r="A169" s="7"/>
      <c r="B169" s="10"/>
      <c r="C169" s="12"/>
      <c r="D169" s="191"/>
      <c r="E169" s="191"/>
      <c r="F169" s="190"/>
      <c r="G169" s="191"/>
      <c r="H169" s="190"/>
      <c r="I169" s="190"/>
      <c r="J169" s="191"/>
      <c r="K169" s="191"/>
      <c r="L169" s="283" t="s">
        <v>34</v>
      </c>
      <c r="M169" s="190"/>
      <c r="N169" s="38" t="str">
        <f t="shared" si="15"/>
        <v>FY2010-11</v>
      </c>
      <c r="O169" s="38" t="s">
        <v>152</v>
      </c>
      <c r="P169" s="38" t="s">
        <v>138</v>
      </c>
      <c r="Q169" s="38" t="s">
        <v>180</v>
      </c>
      <c r="R169" s="191"/>
      <c r="S169" s="191"/>
      <c r="T169" s="191"/>
      <c r="U169" s="191"/>
      <c r="V169" s="192"/>
      <c r="W169" s="192"/>
      <c r="X169" s="192"/>
      <c r="Y169" s="192"/>
      <c r="Z169" s="192"/>
      <c r="AA169" s="192"/>
      <c r="AB169" s="192"/>
      <c r="AC169" s="192"/>
      <c r="AD169" s="192"/>
      <c r="AE169" s="192"/>
      <c r="AF169" s="192"/>
      <c r="AG169" s="192"/>
    </row>
    <row r="170" spans="1:34" ht="15.95" customHeight="1">
      <c r="A170" s="7"/>
      <c r="B170" s="10"/>
      <c r="C170" s="12"/>
      <c r="D170" s="191"/>
      <c r="E170" s="191"/>
      <c r="F170" s="190"/>
      <c r="G170" s="191"/>
      <c r="H170" s="190"/>
      <c r="I170" s="190"/>
      <c r="J170" s="191"/>
      <c r="K170" s="191"/>
      <c r="L170" s="283" t="s">
        <v>34</v>
      </c>
      <c r="M170" s="190"/>
      <c r="N170" s="38" t="str">
        <f t="shared" si="15"/>
        <v>FY2010-11</v>
      </c>
      <c r="O170" s="38" t="s">
        <v>152</v>
      </c>
      <c r="P170" s="38" t="s">
        <v>138</v>
      </c>
      <c r="Q170" s="38" t="s">
        <v>180</v>
      </c>
      <c r="R170" s="191"/>
      <c r="S170" s="191"/>
      <c r="T170" s="191"/>
      <c r="U170" s="191"/>
      <c r="V170" s="192"/>
      <c r="W170" s="192"/>
      <c r="X170" s="192"/>
      <c r="Y170" s="192"/>
      <c r="Z170" s="192"/>
      <c r="AA170" s="192"/>
      <c r="AB170" s="192"/>
      <c r="AC170" s="192"/>
      <c r="AD170" s="192"/>
      <c r="AE170" s="192"/>
      <c r="AF170" s="192"/>
      <c r="AG170" s="192"/>
    </row>
    <row r="171" spans="1:34" ht="15.95" customHeight="1">
      <c r="A171" s="7"/>
      <c r="B171" s="10"/>
      <c r="C171" s="12"/>
      <c r="D171" s="191"/>
      <c r="E171" s="191"/>
      <c r="F171" s="190"/>
      <c r="G171" s="191"/>
      <c r="H171" s="190"/>
      <c r="I171" s="190"/>
      <c r="J171" s="191"/>
      <c r="K171" s="191"/>
      <c r="L171" s="283" t="s">
        <v>34</v>
      </c>
      <c r="M171" s="190"/>
      <c r="N171" s="38" t="str">
        <f t="shared" si="15"/>
        <v>FY2010-11</v>
      </c>
      <c r="O171" s="38" t="s">
        <v>152</v>
      </c>
      <c r="P171" s="38" t="s">
        <v>138</v>
      </c>
      <c r="Q171" s="38" t="s">
        <v>180</v>
      </c>
      <c r="R171" s="191"/>
      <c r="S171" s="191"/>
      <c r="T171" s="191"/>
      <c r="U171" s="191"/>
      <c r="V171" s="192"/>
      <c r="W171" s="192"/>
      <c r="X171" s="192"/>
      <c r="Y171" s="192"/>
      <c r="Z171" s="192"/>
      <c r="AA171" s="192"/>
      <c r="AB171" s="192"/>
      <c r="AC171" s="192"/>
      <c r="AD171" s="192"/>
      <c r="AE171" s="192"/>
      <c r="AF171" s="192"/>
      <c r="AG171" s="192"/>
    </row>
    <row r="172" spans="1:34" ht="15.95" customHeight="1">
      <c r="A172" s="25"/>
      <c r="B172" s="26"/>
      <c r="C172" s="26"/>
      <c r="D172" s="27"/>
      <c r="E172" s="27"/>
      <c r="F172" s="28"/>
      <c r="G172" s="27"/>
      <c r="H172" s="28"/>
      <c r="I172" s="28"/>
      <c r="J172" s="27"/>
      <c r="K172" s="27"/>
      <c r="L172" s="282"/>
      <c r="M172" s="28"/>
      <c r="N172" s="28"/>
      <c r="O172" s="27"/>
      <c r="P172" s="28"/>
      <c r="Q172" s="28"/>
      <c r="R172" s="27"/>
      <c r="S172" s="27"/>
      <c r="T172" s="27"/>
      <c r="U172" s="27"/>
      <c r="V172" s="25"/>
      <c r="W172" s="25"/>
      <c r="X172" s="25"/>
      <c r="Y172" s="25"/>
      <c r="Z172" s="25"/>
      <c r="AA172" s="25"/>
      <c r="AB172" s="25"/>
      <c r="AC172" s="25"/>
      <c r="AD172" s="25"/>
      <c r="AE172" s="25"/>
      <c r="AF172" s="25"/>
      <c r="AG172" s="25"/>
    </row>
    <row r="173" spans="1:34" ht="15.95" customHeight="1" thickBot="1">
      <c r="A173" s="7"/>
      <c r="B173" s="19" t="str">
        <f>"FA1 = "&amp;'FIG3'!$W$52&amp;" "&amp;'FIG3'!$X$52</f>
        <v>FA1 = Fulton County District</v>
      </c>
      <c r="C173" s="7"/>
      <c r="D173" s="8"/>
      <c r="E173" s="8"/>
      <c r="F173" s="9"/>
      <c r="G173" s="8"/>
      <c r="H173" s="9"/>
      <c r="I173" s="9"/>
      <c r="J173" s="8"/>
      <c r="K173" s="8"/>
      <c r="L173" s="280"/>
      <c r="M173" s="9"/>
      <c r="N173" s="9"/>
      <c r="O173" s="8"/>
      <c r="P173" s="9"/>
      <c r="Q173" s="9"/>
      <c r="R173" s="8"/>
      <c r="S173" s="866"/>
      <c r="T173" s="867" t="str">
        <f>'$REV-DB'!$T$34</f>
        <v>UD1</v>
      </c>
      <c r="U173" s="867" t="str">
        <f>'$REV-DB'!$U$34</f>
        <v>UD2</v>
      </c>
      <c r="V173" s="867" t="str">
        <f>'$REV-DB'!$V$34</f>
        <v>UD3</v>
      </c>
      <c r="W173" s="867" t="str">
        <f>'$REV-DB'!$W$34</f>
        <v>UD4</v>
      </c>
      <c r="X173" s="867" t="str">
        <f>'$REV-DB'!$X$34</f>
        <v>UD5</v>
      </c>
      <c r="Y173" s="867" t="str">
        <f>'$REV-DB'!$Y$34</f>
        <v>UD6</v>
      </c>
      <c r="Z173" s="867" t="str">
        <f>'$REV-DB'!$Z$34</f>
        <v>UD7</v>
      </c>
      <c r="AA173" s="867" t="str">
        <f>'$REV-DB'!$AA$34</f>
        <v>UD8</v>
      </c>
      <c r="AB173" s="867" t="str">
        <f>'$REV-DB'!$AB$34</f>
        <v>UD9</v>
      </c>
      <c r="AC173" s="867" t="str">
        <f>'$REV-DB'!$AC$34</f>
        <v>UD10</v>
      </c>
      <c r="AD173" s="867" t="str">
        <f>'$REV-DB'!$AD$34</f>
        <v>UD11</v>
      </c>
      <c r="AE173" s="867" t="str">
        <f>'$REV-DB'!$AE$34</f>
        <v>UD12</v>
      </c>
      <c r="AF173" s="867" t="str">
        <f>'$REV-DB'!$AF$34</f>
        <v>UD13</v>
      </c>
      <c r="AG173" s="867" t="str">
        <f>'$REV-DB'!$AG$34</f>
        <v>UD14</v>
      </c>
    </row>
    <row r="174" spans="1:34" ht="15.95" customHeight="1" thickTop="1" thickBot="1">
      <c r="A174" s="7"/>
      <c r="B174" s="20" t="s">
        <v>4</v>
      </c>
      <c r="C174" s="15"/>
      <c r="D174" s="105" t="s">
        <v>186</v>
      </c>
      <c r="E174" s="105" t="s">
        <v>187</v>
      </c>
      <c r="F174" s="105" t="s">
        <v>188</v>
      </c>
      <c r="G174" s="105" t="s">
        <v>189</v>
      </c>
      <c r="H174" s="105" t="s">
        <v>11</v>
      </c>
      <c r="I174" s="105" t="s">
        <v>190</v>
      </c>
      <c r="J174" s="105" t="s">
        <v>191</v>
      </c>
      <c r="K174" s="105" t="s">
        <v>192</v>
      </c>
      <c r="L174" s="276" t="s">
        <v>203</v>
      </c>
      <c r="M174" s="105" t="s">
        <v>42</v>
      </c>
      <c r="N174" s="105" t="s">
        <v>148</v>
      </c>
      <c r="O174" s="105" t="s">
        <v>193</v>
      </c>
      <c r="P174" s="105" t="s">
        <v>142</v>
      </c>
      <c r="Q174" s="105" t="s">
        <v>194</v>
      </c>
      <c r="R174" s="112" t="s">
        <v>141</v>
      </c>
      <c r="S174" s="112" t="s">
        <v>672</v>
      </c>
      <c r="T174" s="857" t="s">
        <v>541</v>
      </c>
      <c r="U174" s="857" t="s">
        <v>542</v>
      </c>
      <c r="V174" s="857" t="s">
        <v>543</v>
      </c>
      <c r="W174" s="857" t="s">
        <v>544</v>
      </c>
      <c r="X174" s="857" t="s">
        <v>545</v>
      </c>
      <c r="Y174" s="857" t="s">
        <v>546</v>
      </c>
      <c r="Z174" s="857" t="s">
        <v>547</v>
      </c>
      <c r="AA174" s="857" t="s">
        <v>548</v>
      </c>
      <c r="AB174" s="857" t="s">
        <v>549</v>
      </c>
      <c r="AC174" s="857" t="s">
        <v>550</v>
      </c>
      <c r="AD174" s="857" t="s">
        <v>551</v>
      </c>
      <c r="AE174" s="857" t="s">
        <v>552</v>
      </c>
      <c r="AF174" s="857" t="s">
        <v>553</v>
      </c>
      <c r="AG174" s="857" t="s">
        <v>554</v>
      </c>
      <c r="AH174" s="6"/>
    </row>
    <row r="175" spans="1:34" ht="15.95" customHeight="1" thickTop="1">
      <c r="A175" s="7"/>
      <c r="B175" s="19" t="s">
        <v>144</v>
      </c>
      <c r="C175" s="12"/>
      <c r="D175" s="191"/>
      <c r="E175" s="191"/>
      <c r="F175" s="190"/>
      <c r="G175" s="191"/>
      <c r="H175" s="190"/>
      <c r="I175" s="190"/>
      <c r="J175" s="191"/>
      <c r="K175" s="191"/>
      <c r="L175" s="283" t="s">
        <v>34</v>
      </c>
      <c r="M175" s="190"/>
      <c r="N175" s="38" t="str">
        <f>J$6</f>
        <v>FY2010-11</v>
      </c>
      <c r="O175" s="38" t="s">
        <v>152</v>
      </c>
      <c r="P175" s="38" t="s">
        <v>138</v>
      </c>
      <c r="Q175" s="38" t="s">
        <v>139</v>
      </c>
      <c r="R175" s="191"/>
      <c r="S175" s="191"/>
      <c r="T175" s="191"/>
      <c r="U175" s="191"/>
      <c r="V175" s="192"/>
      <c r="W175" s="192"/>
      <c r="X175" s="192"/>
      <c r="Y175" s="192"/>
      <c r="Z175" s="192"/>
      <c r="AA175" s="192"/>
      <c r="AB175" s="192"/>
      <c r="AC175" s="192"/>
      <c r="AD175" s="192"/>
      <c r="AE175" s="192"/>
      <c r="AF175" s="192"/>
      <c r="AG175" s="192"/>
      <c r="AH175" s="6"/>
    </row>
    <row r="176" spans="1:34" ht="15.95" customHeight="1">
      <c r="A176" s="7"/>
      <c r="B176" s="16">
        <f>DSUM('$REV-DB'!D35:AG67,"AMOUNT",'$REV-DSUM'!D174:AG181)</f>
        <v>291439281.51000005</v>
      </c>
      <c r="C176" s="12"/>
      <c r="D176" s="191"/>
      <c r="E176" s="191"/>
      <c r="F176" s="190"/>
      <c r="G176" s="191"/>
      <c r="H176" s="190"/>
      <c r="I176" s="190"/>
      <c r="J176" s="191"/>
      <c r="K176" s="191"/>
      <c r="L176" s="283" t="s">
        <v>34</v>
      </c>
      <c r="M176" s="190"/>
      <c r="N176" s="38" t="str">
        <f t="shared" ref="N176:N181" si="16">J$6</f>
        <v>FY2010-11</v>
      </c>
      <c r="O176" s="38" t="s">
        <v>152</v>
      </c>
      <c r="P176" s="38" t="s">
        <v>138</v>
      </c>
      <c r="Q176" s="38" t="s">
        <v>139</v>
      </c>
      <c r="R176" s="191"/>
      <c r="S176" s="191"/>
      <c r="T176" s="191"/>
      <c r="U176" s="191"/>
      <c r="V176" s="192"/>
      <c r="W176" s="192"/>
      <c r="X176" s="192"/>
      <c r="Y176" s="192"/>
      <c r="Z176" s="192"/>
      <c r="AA176" s="192"/>
      <c r="AB176" s="192"/>
      <c r="AC176" s="192"/>
      <c r="AD176" s="192"/>
      <c r="AE176" s="192"/>
      <c r="AF176" s="192"/>
      <c r="AG176" s="192"/>
      <c r="AH176" s="6"/>
    </row>
    <row r="177" spans="1:34" ht="15.95" customHeight="1">
      <c r="A177" s="7"/>
      <c r="B177" s="10"/>
      <c r="C177" s="12"/>
      <c r="D177" s="191"/>
      <c r="E177" s="191"/>
      <c r="F177" s="190"/>
      <c r="G177" s="191"/>
      <c r="H177" s="190"/>
      <c r="I177" s="190"/>
      <c r="J177" s="191"/>
      <c r="K177" s="191"/>
      <c r="L177" s="283" t="s">
        <v>34</v>
      </c>
      <c r="M177" s="190"/>
      <c r="N177" s="38" t="str">
        <f t="shared" si="16"/>
        <v>FY2010-11</v>
      </c>
      <c r="O177" s="38" t="s">
        <v>152</v>
      </c>
      <c r="P177" s="38" t="s">
        <v>138</v>
      </c>
      <c r="Q177" s="38" t="s">
        <v>139</v>
      </c>
      <c r="R177" s="191"/>
      <c r="S177" s="191"/>
      <c r="T177" s="191"/>
      <c r="U177" s="191"/>
      <c r="V177" s="192"/>
      <c r="W177" s="192"/>
      <c r="X177" s="192"/>
      <c r="Y177" s="192"/>
      <c r="Z177" s="192"/>
      <c r="AA177" s="192"/>
      <c r="AB177" s="192"/>
      <c r="AC177" s="192"/>
      <c r="AD177" s="192"/>
      <c r="AE177" s="192"/>
      <c r="AF177" s="192"/>
      <c r="AG177" s="192"/>
    </row>
    <row r="178" spans="1:34" ht="15.95" customHeight="1">
      <c r="A178" s="7"/>
      <c r="B178" s="10"/>
      <c r="C178" s="12"/>
      <c r="D178" s="191"/>
      <c r="E178" s="191"/>
      <c r="F178" s="190"/>
      <c r="G178" s="191"/>
      <c r="H178" s="190"/>
      <c r="I178" s="190"/>
      <c r="J178" s="191"/>
      <c r="K178" s="191"/>
      <c r="L178" s="283" t="s">
        <v>34</v>
      </c>
      <c r="M178" s="190"/>
      <c r="N178" s="38" t="str">
        <f t="shared" si="16"/>
        <v>FY2010-11</v>
      </c>
      <c r="O178" s="38" t="s">
        <v>152</v>
      </c>
      <c r="P178" s="38" t="s">
        <v>138</v>
      </c>
      <c r="Q178" s="38" t="s">
        <v>139</v>
      </c>
      <c r="R178" s="191"/>
      <c r="S178" s="191"/>
      <c r="T178" s="191"/>
      <c r="U178" s="191"/>
      <c r="V178" s="192"/>
      <c r="W178" s="192"/>
      <c r="X178" s="192"/>
      <c r="Y178" s="192"/>
      <c r="Z178" s="192"/>
      <c r="AA178" s="192"/>
      <c r="AB178" s="192"/>
      <c r="AC178" s="192"/>
      <c r="AD178" s="192"/>
      <c r="AE178" s="192"/>
      <c r="AF178" s="192"/>
      <c r="AG178" s="192"/>
    </row>
    <row r="179" spans="1:34" ht="15.95" customHeight="1">
      <c r="A179" s="7"/>
      <c r="B179" s="10"/>
      <c r="C179" s="12"/>
      <c r="D179" s="191"/>
      <c r="E179" s="191"/>
      <c r="F179" s="190"/>
      <c r="G179" s="191"/>
      <c r="H179" s="190"/>
      <c r="I179" s="190"/>
      <c r="J179" s="191"/>
      <c r="K179" s="191"/>
      <c r="L179" s="283" t="s">
        <v>34</v>
      </c>
      <c r="M179" s="190"/>
      <c r="N179" s="38" t="str">
        <f t="shared" si="16"/>
        <v>FY2010-11</v>
      </c>
      <c r="O179" s="38" t="s">
        <v>152</v>
      </c>
      <c r="P179" s="38" t="s">
        <v>138</v>
      </c>
      <c r="Q179" s="38" t="s">
        <v>139</v>
      </c>
      <c r="R179" s="191"/>
      <c r="S179" s="191"/>
      <c r="T179" s="191"/>
      <c r="U179" s="191"/>
      <c r="V179" s="192"/>
      <c r="W179" s="192"/>
      <c r="X179" s="192"/>
      <c r="Y179" s="192"/>
      <c r="Z179" s="192"/>
      <c r="AA179" s="192"/>
      <c r="AB179" s="192"/>
      <c r="AC179" s="192"/>
      <c r="AD179" s="192"/>
      <c r="AE179" s="192"/>
      <c r="AF179" s="192"/>
      <c r="AG179" s="192"/>
    </row>
    <row r="180" spans="1:34" ht="15.95" customHeight="1">
      <c r="A180" s="7"/>
      <c r="B180" s="10"/>
      <c r="C180" s="12"/>
      <c r="D180" s="191"/>
      <c r="E180" s="191"/>
      <c r="F180" s="190"/>
      <c r="G180" s="191"/>
      <c r="H180" s="190"/>
      <c r="I180" s="190"/>
      <c r="J180" s="191"/>
      <c r="K180" s="191"/>
      <c r="L180" s="283" t="s">
        <v>34</v>
      </c>
      <c r="M180" s="190"/>
      <c r="N180" s="38" t="str">
        <f t="shared" si="16"/>
        <v>FY2010-11</v>
      </c>
      <c r="O180" s="38" t="s">
        <v>152</v>
      </c>
      <c r="P180" s="38" t="s">
        <v>138</v>
      </c>
      <c r="Q180" s="38" t="s">
        <v>139</v>
      </c>
      <c r="R180" s="191"/>
      <c r="S180" s="191"/>
      <c r="T180" s="191"/>
      <c r="U180" s="191"/>
      <c r="V180" s="192"/>
      <c r="W180" s="192"/>
      <c r="X180" s="192"/>
      <c r="Y180" s="192"/>
      <c r="Z180" s="192"/>
      <c r="AA180" s="192"/>
      <c r="AB180" s="192"/>
      <c r="AC180" s="192"/>
      <c r="AD180" s="192"/>
      <c r="AE180" s="192"/>
      <c r="AF180" s="192"/>
      <c r="AG180" s="192"/>
    </row>
    <row r="181" spans="1:34" ht="15.95" customHeight="1">
      <c r="A181" s="7"/>
      <c r="B181" s="10"/>
      <c r="C181" s="12"/>
      <c r="D181" s="191"/>
      <c r="E181" s="191"/>
      <c r="F181" s="190"/>
      <c r="G181" s="191"/>
      <c r="H181" s="190"/>
      <c r="I181" s="190"/>
      <c r="J181" s="191"/>
      <c r="K181" s="191"/>
      <c r="L181" s="283" t="s">
        <v>34</v>
      </c>
      <c r="M181" s="190"/>
      <c r="N181" s="38" t="str">
        <f t="shared" si="16"/>
        <v>FY2010-11</v>
      </c>
      <c r="O181" s="38" t="s">
        <v>152</v>
      </c>
      <c r="P181" s="38" t="s">
        <v>138</v>
      </c>
      <c r="Q181" s="38" t="s">
        <v>139</v>
      </c>
      <c r="R181" s="191"/>
      <c r="S181" s="191"/>
      <c r="T181" s="191"/>
      <c r="U181" s="191"/>
      <c r="V181" s="192"/>
      <c r="W181" s="192"/>
      <c r="X181" s="192"/>
      <c r="Y181" s="192"/>
      <c r="Z181" s="192"/>
      <c r="AA181" s="192"/>
      <c r="AB181" s="192"/>
      <c r="AC181" s="192"/>
      <c r="AD181" s="192"/>
      <c r="AE181" s="192"/>
      <c r="AF181" s="192"/>
      <c r="AG181" s="192"/>
    </row>
    <row r="182" spans="1:34" ht="15.95" customHeight="1">
      <c r="A182" s="25"/>
      <c r="B182" s="26"/>
      <c r="C182" s="26"/>
      <c r="D182" s="27"/>
      <c r="E182" s="27"/>
      <c r="F182" s="28"/>
      <c r="G182" s="27"/>
      <c r="H182" s="28"/>
      <c r="I182" s="28"/>
      <c r="J182" s="27"/>
      <c r="K182" s="27"/>
      <c r="L182" s="282"/>
      <c r="M182" s="28"/>
      <c r="N182" s="28"/>
      <c r="O182" s="27"/>
      <c r="P182" s="28"/>
      <c r="Q182" s="28"/>
      <c r="R182" s="27"/>
      <c r="S182" s="27"/>
      <c r="T182" s="27"/>
      <c r="U182" s="27"/>
      <c r="V182" s="25"/>
      <c r="W182" s="25"/>
      <c r="X182" s="25"/>
      <c r="Y182" s="25"/>
      <c r="Z182" s="25"/>
      <c r="AA182" s="25"/>
      <c r="AB182" s="25"/>
      <c r="AC182" s="25"/>
      <c r="AD182" s="25"/>
      <c r="AE182" s="25"/>
      <c r="AF182" s="25"/>
      <c r="AG182" s="25"/>
    </row>
    <row r="183" spans="1:34" ht="15.95" customHeight="1" thickBot="1">
      <c r="A183" s="7"/>
      <c r="B183" s="19" t="str">
        <f>"FA1 = "&amp;'FIG3'!$W$52&amp;" "&amp;'FIG3'!$X$52</f>
        <v>FA1 = Fulton County District</v>
      </c>
      <c r="C183" s="7"/>
      <c r="D183" s="8"/>
      <c r="E183" s="8"/>
      <c r="F183" s="9"/>
      <c r="G183" s="8"/>
      <c r="H183" s="9"/>
      <c r="I183" s="9"/>
      <c r="J183" s="8"/>
      <c r="K183" s="8"/>
      <c r="L183" s="280"/>
      <c r="M183" s="9"/>
      <c r="N183" s="9"/>
      <c r="O183" s="8"/>
      <c r="P183" s="9"/>
      <c r="Q183" s="9"/>
      <c r="R183" s="8"/>
      <c r="S183" s="866"/>
      <c r="T183" s="867" t="str">
        <f>'$REV-DB'!$T$34</f>
        <v>UD1</v>
      </c>
      <c r="U183" s="867" t="str">
        <f>'$REV-DB'!$U$34</f>
        <v>UD2</v>
      </c>
      <c r="V183" s="867" t="str">
        <f>'$REV-DB'!$V$34</f>
        <v>UD3</v>
      </c>
      <c r="W183" s="867" t="str">
        <f>'$REV-DB'!$W$34</f>
        <v>UD4</v>
      </c>
      <c r="X183" s="867" t="str">
        <f>'$REV-DB'!$X$34</f>
        <v>UD5</v>
      </c>
      <c r="Y183" s="867" t="str">
        <f>'$REV-DB'!$Y$34</f>
        <v>UD6</v>
      </c>
      <c r="Z183" s="867" t="str">
        <f>'$REV-DB'!$Z$34</f>
        <v>UD7</v>
      </c>
      <c r="AA183" s="867" t="str">
        <f>'$REV-DB'!$AA$34</f>
        <v>UD8</v>
      </c>
      <c r="AB183" s="867" t="str">
        <f>'$REV-DB'!$AB$34</f>
        <v>UD9</v>
      </c>
      <c r="AC183" s="867" t="str">
        <f>'$REV-DB'!$AC$34</f>
        <v>UD10</v>
      </c>
      <c r="AD183" s="867" t="str">
        <f>'$REV-DB'!$AD$34</f>
        <v>UD11</v>
      </c>
      <c r="AE183" s="867" t="str">
        <f>'$REV-DB'!$AE$34</f>
        <v>UD12</v>
      </c>
      <c r="AF183" s="867" t="str">
        <f>'$REV-DB'!$AF$34</f>
        <v>UD13</v>
      </c>
      <c r="AG183" s="867" t="str">
        <f>'$REV-DB'!$AG$34</f>
        <v>UD14</v>
      </c>
    </row>
    <row r="184" spans="1:34" ht="15.95" customHeight="1" thickTop="1" thickBot="1">
      <c r="A184" s="7"/>
      <c r="B184" s="20" t="s">
        <v>4</v>
      </c>
      <c r="C184" s="15"/>
      <c r="D184" s="105" t="s">
        <v>186</v>
      </c>
      <c r="E184" s="105" t="s">
        <v>187</v>
      </c>
      <c r="F184" s="105" t="s">
        <v>188</v>
      </c>
      <c r="G184" s="105" t="s">
        <v>189</v>
      </c>
      <c r="H184" s="301" t="s">
        <v>11</v>
      </c>
      <c r="I184" s="301" t="s">
        <v>190</v>
      </c>
      <c r="J184" s="301" t="s">
        <v>191</v>
      </c>
      <c r="K184" s="301" t="s">
        <v>192</v>
      </c>
      <c r="L184" s="301" t="s">
        <v>203</v>
      </c>
      <c r="M184" s="301" t="s">
        <v>42</v>
      </c>
      <c r="N184" s="105" t="s">
        <v>148</v>
      </c>
      <c r="O184" s="105" t="s">
        <v>193</v>
      </c>
      <c r="P184" s="105" t="s">
        <v>142</v>
      </c>
      <c r="Q184" s="105" t="s">
        <v>194</v>
      </c>
      <c r="R184" s="112" t="s">
        <v>141</v>
      </c>
      <c r="S184" s="112" t="s">
        <v>672</v>
      </c>
      <c r="T184" s="857" t="s">
        <v>541</v>
      </c>
      <c r="U184" s="857" t="s">
        <v>542</v>
      </c>
      <c r="V184" s="857" t="s">
        <v>543</v>
      </c>
      <c r="W184" s="857" t="s">
        <v>544</v>
      </c>
      <c r="X184" s="857" t="s">
        <v>545</v>
      </c>
      <c r="Y184" s="857" t="s">
        <v>546</v>
      </c>
      <c r="Z184" s="857" t="s">
        <v>547</v>
      </c>
      <c r="AA184" s="857" t="s">
        <v>548</v>
      </c>
      <c r="AB184" s="857" t="s">
        <v>549</v>
      </c>
      <c r="AC184" s="857" t="s">
        <v>550</v>
      </c>
      <c r="AD184" s="857" t="s">
        <v>551</v>
      </c>
      <c r="AE184" s="857" t="s">
        <v>552</v>
      </c>
      <c r="AF184" s="857" t="s">
        <v>553</v>
      </c>
      <c r="AG184" s="857" t="s">
        <v>554</v>
      </c>
      <c r="AH184" s="6"/>
    </row>
    <row r="185" spans="1:34" ht="15.95" customHeight="1" thickTop="1">
      <c r="A185" s="7"/>
      <c r="B185" s="19" t="s">
        <v>143</v>
      </c>
      <c r="C185" s="12"/>
      <c r="D185" s="191"/>
      <c r="E185" s="191"/>
      <c r="F185" s="190"/>
      <c r="G185" s="191"/>
      <c r="H185" s="190"/>
      <c r="I185" s="190"/>
      <c r="J185" s="191"/>
      <c r="K185" s="191"/>
      <c r="L185" s="283" t="s">
        <v>34</v>
      </c>
      <c r="M185" s="190"/>
      <c r="N185" s="38" t="str">
        <f>J$6</f>
        <v>FY2010-11</v>
      </c>
      <c r="O185" s="38" t="s">
        <v>152</v>
      </c>
      <c r="P185" s="38" t="s">
        <v>138</v>
      </c>
      <c r="Q185" s="38" t="s">
        <v>179</v>
      </c>
      <c r="R185" s="191"/>
      <c r="S185" s="191"/>
      <c r="T185" s="191"/>
      <c r="U185" s="191"/>
      <c r="V185" s="192"/>
      <c r="W185" s="192"/>
      <c r="X185" s="192"/>
      <c r="Y185" s="192"/>
      <c r="Z185" s="192"/>
      <c r="AA185" s="192"/>
      <c r="AB185" s="192"/>
      <c r="AC185" s="192"/>
      <c r="AD185" s="192"/>
      <c r="AE185" s="192"/>
      <c r="AF185" s="192"/>
      <c r="AG185" s="192"/>
      <c r="AH185" s="6"/>
    </row>
    <row r="186" spans="1:34" ht="15.95" customHeight="1">
      <c r="A186" s="7"/>
      <c r="B186" s="16">
        <f>DSUM('$REV-DB'!D35:AG67,"AMOUNT",'$REV-DSUM'!D184:AG191)</f>
        <v>654059954.54000008</v>
      </c>
      <c r="C186" s="12"/>
      <c r="D186" s="191"/>
      <c r="E186" s="191"/>
      <c r="F186" s="190"/>
      <c r="G186" s="191"/>
      <c r="H186" s="190"/>
      <c r="I186" s="190"/>
      <c r="J186" s="191"/>
      <c r="K186" s="191"/>
      <c r="L186" s="283" t="s">
        <v>34</v>
      </c>
      <c r="M186" s="190"/>
      <c r="N186" s="38" t="str">
        <f t="shared" ref="N186:N191" si="17">J$6</f>
        <v>FY2010-11</v>
      </c>
      <c r="O186" s="38" t="s">
        <v>152</v>
      </c>
      <c r="P186" s="38" t="s">
        <v>138</v>
      </c>
      <c r="Q186" s="38" t="s">
        <v>179</v>
      </c>
      <c r="R186" s="191"/>
      <c r="S186" s="191"/>
      <c r="T186" s="191"/>
      <c r="U186" s="191"/>
      <c r="V186" s="192"/>
      <c r="W186" s="192"/>
      <c r="X186" s="192"/>
      <c r="Y186" s="192"/>
      <c r="Z186" s="192"/>
      <c r="AA186" s="192"/>
      <c r="AB186" s="192"/>
      <c r="AC186" s="192"/>
      <c r="AD186" s="192"/>
      <c r="AE186" s="192"/>
      <c r="AF186" s="192"/>
      <c r="AG186" s="192"/>
      <c r="AH186" s="6"/>
    </row>
    <row r="187" spans="1:34" ht="15.95" customHeight="1">
      <c r="A187" s="7"/>
      <c r="B187" s="10"/>
      <c r="C187" s="12"/>
      <c r="D187" s="191"/>
      <c r="E187" s="191"/>
      <c r="F187" s="190"/>
      <c r="G187" s="191"/>
      <c r="H187" s="190"/>
      <c r="I187" s="190"/>
      <c r="J187" s="191"/>
      <c r="K187" s="191"/>
      <c r="L187" s="283" t="s">
        <v>34</v>
      </c>
      <c r="M187" s="190"/>
      <c r="N187" s="38" t="str">
        <f t="shared" si="17"/>
        <v>FY2010-11</v>
      </c>
      <c r="O187" s="38" t="s">
        <v>152</v>
      </c>
      <c r="P187" s="38" t="s">
        <v>138</v>
      </c>
      <c r="Q187" s="38" t="s">
        <v>179</v>
      </c>
      <c r="R187" s="191"/>
      <c r="S187" s="191"/>
      <c r="T187" s="191"/>
      <c r="U187" s="191"/>
      <c r="V187" s="192"/>
      <c r="W187" s="192"/>
      <c r="X187" s="192"/>
      <c r="Y187" s="192"/>
      <c r="Z187" s="192"/>
      <c r="AA187" s="192"/>
      <c r="AB187" s="192"/>
      <c r="AC187" s="192"/>
      <c r="AD187" s="192"/>
      <c r="AE187" s="192"/>
      <c r="AF187" s="192"/>
      <c r="AG187" s="192"/>
    </row>
    <row r="188" spans="1:34" ht="15.95" customHeight="1">
      <c r="A188" s="7"/>
      <c r="B188" s="10"/>
      <c r="C188" s="12"/>
      <c r="D188" s="191"/>
      <c r="E188" s="191"/>
      <c r="F188" s="190"/>
      <c r="G188" s="191"/>
      <c r="H188" s="190"/>
      <c r="I188" s="190"/>
      <c r="J188" s="191"/>
      <c r="K188" s="191"/>
      <c r="L188" s="283" t="s">
        <v>34</v>
      </c>
      <c r="M188" s="190"/>
      <c r="N188" s="38" t="str">
        <f t="shared" si="17"/>
        <v>FY2010-11</v>
      </c>
      <c r="O188" s="38" t="s">
        <v>152</v>
      </c>
      <c r="P188" s="38" t="s">
        <v>138</v>
      </c>
      <c r="Q188" s="38" t="s">
        <v>179</v>
      </c>
      <c r="R188" s="191"/>
      <c r="S188" s="191"/>
      <c r="T188" s="191"/>
      <c r="U188" s="191"/>
      <c r="V188" s="192"/>
      <c r="W188" s="192"/>
      <c r="X188" s="192"/>
      <c r="Y188" s="192"/>
      <c r="Z188" s="192"/>
      <c r="AA188" s="192"/>
      <c r="AB188" s="192"/>
      <c r="AC188" s="192"/>
      <c r="AD188" s="192"/>
      <c r="AE188" s="192"/>
      <c r="AF188" s="192"/>
      <c r="AG188" s="192"/>
    </row>
    <row r="189" spans="1:34" ht="15.95" customHeight="1">
      <c r="A189" s="7"/>
      <c r="B189" s="10"/>
      <c r="C189" s="12"/>
      <c r="D189" s="191"/>
      <c r="E189" s="191"/>
      <c r="F189" s="190"/>
      <c r="G189" s="191"/>
      <c r="H189" s="190"/>
      <c r="I189" s="190"/>
      <c r="J189" s="191"/>
      <c r="K189" s="191"/>
      <c r="L189" s="283" t="s">
        <v>34</v>
      </c>
      <c r="M189" s="190"/>
      <c r="N189" s="38" t="str">
        <f t="shared" si="17"/>
        <v>FY2010-11</v>
      </c>
      <c r="O189" s="38" t="s">
        <v>152</v>
      </c>
      <c r="P189" s="38" t="s">
        <v>138</v>
      </c>
      <c r="Q189" s="38" t="s">
        <v>179</v>
      </c>
      <c r="R189" s="191"/>
      <c r="S189" s="191"/>
      <c r="T189" s="191"/>
      <c r="U189" s="191"/>
      <c r="V189" s="192"/>
      <c r="W189" s="192"/>
      <c r="X189" s="192"/>
      <c r="Y189" s="192"/>
      <c r="Z189" s="192"/>
      <c r="AA189" s="192"/>
      <c r="AB189" s="192"/>
      <c r="AC189" s="192"/>
      <c r="AD189" s="192"/>
      <c r="AE189" s="192"/>
      <c r="AF189" s="192"/>
      <c r="AG189" s="192"/>
    </row>
    <row r="190" spans="1:34" ht="15.95" customHeight="1">
      <c r="A190" s="7"/>
      <c r="B190" s="10"/>
      <c r="C190" s="12"/>
      <c r="D190" s="191"/>
      <c r="E190" s="191"/>
      <c r="F190" s="190"/>
      <c r="G190" s="191"/>
      <c r="H190" s="190"/>
      <c r="I190" s="190"/>
      <c r="J190" s="191"/>
      <c r="K190" s="191"/>
      <c r="L190" s="283" t="s">
        <v>34</v>
      </c>
      <c r="M190" s="190"/>
      <c r="N190" s="38" t="str">
        <f t="shared" si="17"/>
        <v>FY2010-11</v>
      </c>
      <c r="O190" s="38" t="s">
        <v>152</v>
      </c>
      <c r="P190" s="38" t="s">
        <v>138</v>
      </c>
      <c r="Q190" s="38" t="s">
        <v>179</v>
      </c>
      <c r="R190" s="191"/>
      <c r="S190" s="191"/>
      <c r="T190" s="191"/>
      <c r="U190" s="191"/>
      <c r="V190" s="192"/>
      <c r="W190" s="192"/>
      <c r="X190" s="192"/>
      <c r="Y190" s="192"/>
      <c r="Z190" s="192"/>
      <c r="AA190" s="192"/>
      <c r="AB190" s="192"/>
      <c r="AC190" s="192"/>
      <c r="AD190" s="192"/>
      <c r="AE190" s="192"/>
      <c r="AF190" s="192"/>
      <c r="AG190" s="192"/>
    </row>
    <row r="191" spans="1:34" ht="15.95" customHeight="1">
      <c r="A191" s="7"/>
      <c r="B191" s="10"/>
      <c r="C191" s="12"/>
      <c r="D191" s="191"/>
      <c r="E191" s="191"/>
      <c r="F191" s="190"/>
      <c r="G191" s="191"/>
      <c r="H191" s="190"/>
      <c r="I191" s="190"/>
      <c r="J191" s="191"/>
      <c r="K191" s="191"/>
      <c r="L191" s="283" t="s">
        <v>34</v>
      </c>
      <c r="M191" s="190"/>
      <c r="N191" s="38" t="str">
        <f t="shared" si="17"/>
        <v>FY2010-11</v>
      </c>
      <c r="O191" s="38" t="s">
        <v>152</v>
      </c>
      <c r="P191" s="38" t="s">
        <v>138</v>
      </c>
      <c r="Q191" s="38" t="s">
        <v>179</v>
      </c>
      <c r="R191" s="191"/>
      <c r="S191" s="191"/>
      <c r="T191" s="191"/>
      <c r="U191" s="191"/>
      <c r="V191" s="192"/>
      <c r="W191" s="192"/>
      <c r="X191" s="192"/>
      <c r="Y191" s="192"/>
      <c r="Z191" s="192"/>
      <c r="AA191" s="192"/>
      <c r="AB191" s="192"/>
      <c r="AC191" s="192"/>
      <c r="AD191" s="192"/>
      <c r="AE191" s="192"/>
      <c r="AF191" s="192"/>
      <c r="AG191" s="192"/>
    </row>
    <row r="192" spans="1:34" ht="15.95" customHeight="1">
      <c r="A192" s="25"/>
      <c r="B192" s="26"/>
      <c r="C192" s="26"/>
      <c r="D192" s="27"/>
      <c r="E192" s="27"/>
      <c r="F192" s="28"/>
      <c r="G192" s="27"/>
      <c r="H192" s="28"/>
      <c r="I192" s="28"/>
      <c r="J192" s="27"/>
      <c r="K192" s="27"/>
      <c r="L192" s="282"/>
      <c r="M192" s="28"/>
      <c r="N192" s="28"/>
      <c r="O192" s="27"/>
      <c r="P192" s="28"/>
      <c r="Q192" s="28"/>
      <c r="R192" s="27"/>
      <c r="S192" s="27"/>
      <c r="T192" s="27"/>
      <c r="U192" s="27"/>
      <c r="V192" s="25"/>
      <c r="W192" s="25"/>
      <c r="X192" s="25"/>
      <c r="Y192" s="25"/>
      <c r="Z192" s="25"/>
      <c r="AA192" s="25"/>
      <c r="AB192" s="25"/>
      <c r="AC192" s="25"/>
      <c r="AD192" s="25"/>
      <c r="AE192" s="25"/>
      <c r="AF192" s="25"/>
      <c r="AG192" s="25"/>
    </row>
    <row r="193" spans="1:34" ht="15.95" customHeight="1" thickBot="1">
      <c r="A193" s="7"/>
      <c r="B193" s="19" t="str">
        <f>"FA1 = "&amp;'FIG3'!$W$52&amp;" "&amp;'FIG3'!$X$52</f>
        <v>FA1 = Fulton County District</v>
      </c>
      <c r="C193" s="7"/>
      <c r="D193" s="8"/>
      <c r="E193" s="8"/>
      <c r="F193" s="9"/>
      <c r="G193" s="8"/>
      <c r="H193" s="9"/>
      <c r="I193" s="9"/>
      <c r="J193" s="8"/>
      <c r="K193" s="8"/>
      <c r="L193" s="280"/>
      <c r="M193" s="9"/>
      <c r="N193" s="9"/>
      <c r="O193" s="8"/>
      <c r="P193" s="9"/>
      <c r="Q193" s="9"/>
      <c r="R193" s="8"/>
      <c r="S193" s="866"/>
      <c r="T193" s="867" t="str">
        <f>'$REV-DB'!$T$34</f>
        <v>UD1</v>
      </c>
      <c r="U193" s="867" t="str">
        <f>'$REV-DB'!$U$34</f>
        <v>UD2</v>
      </c>
      <c r="V193" s="867" t="str">
        <f>'$REV-DB'!$V$34</f>
        <v>UD3</v>
      </c>
      <c r="W193" s="867" t="str">
        <f>'$REV-DB'!$W$34</f>
        <v>UD4</v>
      </c>
      <c r="X193" s="867" t="str">
        <f>'$REV-DB'!$X$34</f>
        <v>UD5</v>
      </c>
      <c r="Y193" s="867" t="str">
        <f>'$REV-DB'!$Y$34</f>
        <v>UD6</v>
      </c>
      <c r="Z193" s="867" t="str">
        <f>'$REV-DB'!$Z$34</f>
        <v>UD7</v>
      </c>
      <c r="AA193" s="867" t="str">
        <f>'$REV-DB'!$AA$34</f>
        <v>UD8</v>
      </c>
      <c r="AB193" s="867" t="str">
        <f>'$REV-DB'!$AB$34</f>
        <v>UD9</v>
      </c>
      <c r="AC193" s="867" t="str">
        <f>'$REV-DB'!$AC$34</f>
        <v>UD10</v>
      </c>
      <c r="AD193" s="867" t="str">
        <f>'$REV-DB'!$AD$34</f>
        <v>UD11</v>
      </c>
      <c r="AE193" s="867" t="str">
        <f>'$REV-DB'!$AE$34</f>
        <v>UD12</v>
      </c>
      <c r="AF193" s="867" t="str">
        <f>'$REV-DB'!$AF$34</f>
        <v>UD13</v>
      </c>
      <c r="AG193" s="867" t="str">
        <f>'$REV-DB'!$AG$34</f>
        <v>UD14</v>
      </c>
    </row>
    <row r="194" spans="1:34" ht="15.95" customHeight="1" thickTop="1" thickBot="1">
      <c r="A194" s="7"/>
      <c r="B194" s="20" t="s">
        <v>4</v>
      </c>
      <c r="C194" s="15"/>
      <c r="D194" s="105" t="s">
        <v>186</v>
      </c>
      <c r="E194" s="105" t="s">
        <v>187</v>
      </c>
      <c r="F194" s="105" t="s">
        <v>188</v>
      </c>
      <c r="G194" s="105" t="s">
        <v>189</v>
      </c>
      <c r="H194" s="301" t="s">
        <v>11</v>
      </c>
      <c r="I194" s="301" t="s">
        <v>190</v>
      </c>
      <c r="J194" s="301" t="s">
        <v>191</v>
      </c>
      <c r="K194" s="301" t="s">
        <v>192</v>
      </c>
      <c r="L194" s="301" t="s">
        <v>203</v>
      </c>
      <c r="M194" s="301" t="s">
        <v>42</v>
      </c>
      <c r="N194" s="105" t="s">
        <v>148</v>
      </c>
      <c r="O194" s="105" t="s">
        <v>193</v>
      </c>
      <c r="P194" s="105" t="s">
        <v>142</v>
      </c>
      <c r="Q194" s="105" t="s">
        <v>194</v>
      </c>
      <c r="R194" s="112" t="s">
        <v>141</v>
      </c>
      <c r="S194" s="112" t="s">
        <v>672</v>
      </c>
      <c r="T194" s="857" t="s">
        <v>541</v>
      </c>
      <c r="U194" s="857" t="s">
        <v>542</v>
      </c>
      <c r="V194" s="857" t="s">
        <v>543</v>
      </c>
      <c r="W194" s="857" t="s">
        <v>544</v>
      </c>
      <c r="X194" s="857" t="s">
        <v>545</v>
      </c>
      <c r="Y194" s="857" t="s">
        <v>546</v>
      </c>
      <c r="Z194" s="857" t="s">
        <v>547</v>
      </c>
      <c r="AA194" s="857" t="s">
        <v>548</v>
      </c>
      <c r="AB194" s="857" t="s">
        <v>549</v>
      </c>
      <c r="AC194" s="857" t="s">
        <v>550</v>
      </c>
      <c r="AD194" s="857" t="s">
        <v>551</v>
      </c>
      <c r="AE194" s="857" t="s">
        <v>552</v>
      </c>
      <c r="AF194" s="857" t="s">
        <v>553</v>
      </c>
      <c r="AG194" s="857" t="s">
        <v>554</v>
      </c>
      <c r="AH194" s="6"/>
    </row>
    <row r="195" spans="1:34" ht="15.95" customHeight="1" thickTop="1">
      <c r="A195" s="7"/>
      <c r="B195" s="19" t="s">
        <v>149</v>
      </c>
      <c r="C195" s="12"/>
      <c r="D195" s="191"/>
      <c r="E195" s="191"/>
      <c r="F195" s="190"/>
      <c r="G195" s="191"/>
      <c r="H195" s="190"/>
      <c r="I195" s="190"/>
      <c r="J195" s="191"/>
      <c r="K195" s="191"/>
      <c r="L195" s="283" t="s">
        <v>34</v>
      </c>
      <c r="M195" s="190"/>
      <c r="N195" s="38" t="str">
        <f>J$6</f>
        <v>FY2010-11</v>
      </c>
      <c r="O195" s="38" t="s">
        <v>152</v>
      </c>
      <c r="P195" s="38" t="s">
        <v>138</v>
      </c>
      <c r="Q195" s="38" t="s">
        <v>2</v>
      </c>
      <c r="R195" s="191"/>
      <c r="S195" s="191"/>
      <c r="T195" s="191"/>
      <c r="U195" s="191"/>
      <c r="V195" s="192"/>
      <c r="W195" s="192"/>
      <c r="X195" s="192"/>
      <c r="Y195" s="192"/>
      <c r="Z195" s="192"/>
      <c r="AA195" s="192"/>
      <c r="AB195" s="192"/>
      <c r="AC195" s="192"/>
      <c r="AD195" s="192"/>
      <c r="AE195" s="192"/>
      <c r="AF195" s="192"/>
      <c r="AG195" s="192"/>
      <c r="AH195" s="6"/>
    </row>
    <row r="196" spans="1:34" ht="15.95" customHeight="1">
      <c r="A196" s="7"/>
      <c r="B196" s="16">
        <f>DSUM('$REV-DB'!D35:AG67,"AMOUNT",'$REV-DSUM'!D194:AG201)</f>
        <v>62793503.859999999</v>
      </c>
      <c r="C196" s="12"/>
      <c r="D196" s="191"/>
      <c r="E196" s="191"/>
      <c r="F196" s="190"/>
      <c r="G196" s="191"/>
      <c r="H196" s="190"/>
      <c r="I196" s="190"/>
      <c r="J196" s="191"/>
      <c r="K196" s="191"/>
      <c r="L196" s="283" t="s">
        <v>34</v>
      </c>
      <c r="M196" s="190"/>
      <c r="N196" s="38" t="str">
        <f t="shared" ref="N196:N201" si="18">J$6</f>
        <v>FY2010-11</v>
      </c>
      <c r="O196" s="38" t="s">
        <v>152</v>
      </c>
      <c r="P196" s="38" t="s">
        <v>138</v>
      </c>
      <c r="Q196" s="38" t="s">
        <v>2</v>
      </c>
      <c r="R196" s="191"/>
      <c r="S196" s="191"/>
      <c r="T196" s="191"/>
      <c r="U196" s="191"/>
      <c r="V196" s="192"/>
      <c r="W196" s="192"/>
      <c r="X196" s="192"/>
      <c r="Y196" s="192"/>
      <c r="Z196" s="192"/>
      <c r="AA196" s="192"/>
      <c r="AB196" s="192"/>
      <c r="AC196" s="192"/>
      <c r="AD196" s="192"/>
      <c r="AE196" s="192"/>
      <c r="AF196" s="192"/>
      <c r="AG196" s="192"/>
      <c r="AH196" s="6"/>
    </row>
    <row r="197" spans="1:34" ht="15.95" customHeight="1">
      <c r="A197" s="7"/>
      <c r="B197" s="10"/>
      <c r="C197" s="12"/>
      <c r="D197" s="191"/>
      <c r="E197" s="191"/>
      <c r="F197" s="190"/>
      <c r="G197" s="191"/>
      <c r="H197" s="190"/>
      <c r="I197" s="190"/>
      <c r="J197" s="191"/>
      <c r="K197" s="191"/>
      <c r="L197" s="283" t="s">
        <v>34</v>
      </c>
      <c r="M197" s="190"/>
      <c r="N197" s="38" t="str">
        <f t="shared" si="18"/>
        <v>FY2010-11</v>
      </c>
      <c r="O197" s="38" t="s">
        <v>152</v>
      </c>
      <c r="P197" s="38" t="s">
        <v>138</v>
      </c>
      <c r="Q197" s="38" t="s">
        <v>2</v>
      </c>
      <c r="R197" s="191"/>
      <c r="S197" s="191"/>
      <c r="T197" s="191"/>
      <c r="U197" s="191"/>
      <c r="V197" s="192"/>
      <c r="W197" s="192"/>
      <c r="X197" s="192"/>
      <c r="Y197" s="192"/>
      <c r="Z197" s="192"/>
      <c r="AA197" s="192"/>
      <c r="AB197" s="192"/>
      <c r="AC197" s="192"/>
      <c r="AD197" s="192"/>
      <c r="AE197" s="192"/>
      <c r="AF197" s="192"/>
      <c r="AG197" s="192"/>
    </row>
    <row r="198" spans="1:34" ht="15.95" customHeight="1">
      <c r="A198" s="7"/>
      <c r="B198" s="10"/>
      <c r="C198" s="12"/>
      <c r="D198" s="191"/>
      <c r="E198" s="191"/>
      <c r="F198" s="190"/>
      <c r="G198" s="191"/>
      <c r="H198" s="190"/>
      <c r="I198" s="190"/>
      <c r="J198" s="191"/>
      <c r="K198" s="191"/>
      <c r="L198" s="283" t="s">
        <v>34</v>
      </c>
      <c r="M198" s="190"/>
      <c r="N198" s="38" t="str">
        <f t="shared" si="18"/>
        <v>FY2010-11</v>
      </c>
      <c r="O198" s="38" t="s">
        <v>152</v>
      </c>
      <c r="P198" s="38" t="s">
        <v>138</v>
      </c>
      <c r="Q198" s="38" t="s">
        <v>2</v>
      </c>
      <c r="R198" s="191"/>
      <c r="S198" s="191"/>
      <c r="T198" s="191"/>
      <c r="U198" s="191"/>
      <c r="V198" s="192"/>
      <c r="W198" s="192"/>
      <c r="X198" s="192"/>
      <c r="Y198" s="192"/>
      <c r="Z198" s="192"/>
      <c r="AA198" s="192"/>
      <c r="AB198" s="192"/>
      <c r="AC198" s="192"/>
      <c r="AD198" s="192"/>
      <c r="AE198" s="192"/>
      <c r="AF198" s="192"/>
      <c r="AG198" s="192"/>
    </row>
    <row r="199" spans="1:34" ht="15.95" customHeight="1">
      <c r="A199" s="7"/>
      <c r="B199" s="10"/>
      <c r="C199" s="12"/>
      <c r="D199" s="191"/>
      <c r="E199" s="191"/>
      <c r="F199" s="190"/>
      <c r="G199" s="191"/>
      <c r="H199" s="190"/>
      <c r="I199" s="190"/>
      <c r="J199" s="191"/>
      <c r="K199" s="191"/>
      <c r="L199" s="283" t="s">
        <v>34</v>
      </c>
      <c r="M199" s="190"/>
      <c r="N199" s="38" t="str">
        <f t="shared" si="18"/>
        <v>FY2010-11</v>
      </c>
      <c r="O199" s="38" t="s">
        <v>152</v>
      </c>
      <c r="P199" s="38" t="s">
        <v>138</v>
      </c>
      <c r="Q199" s="38" t="s">
        <v>2</v>
      </c>
      <c r="R199" s="191"/>
      <c r="S199" s="191"/>
      <c r="T199" s="191"/>
      <c r="U199" s="191"/>
      <c r="V199" s="192"/>
      <c r="W199" s="192"/>
      <c r="X199" s="192"/>
      <c r="Y199" s="192"/>
      <c r="Z199" s="192"/>
      <c r="AA199" s="192"/>
      <c r="AB199" s="192"/>
      <c r="AC199" s="192"/>
      <c r="AD199" s="192"/>
      <c r="AE199" s="192"/>
      <c r="AF199" s="192"/>
      <c r="AG199" s="192"/>
    </row>
    <row r="200" spans="1:34" ht="15.95" customHeight="1">
      <c r="A200" s="7"/>
      <c r="B200" s="10"/>
      <c r="C200" s="12"/>
      <c r="D200" s="191"/>
      <c r="E200" s="191"/>
      <c r="F200" s="190"/>
      <c r="G200" s="191"/>
      <c r="H200" s="190"/>
      <c r="I200" s="190"/>
      <c r="J200" s="191"/>
      <c r="K200" s="191"/>
      <c r="L200" s="283" t="s">
        <v>34</v>
      </c>
      <c r="M200" s="190"/>
      <c r="N200" s="38" t="str">
        <f t="shared" si="18"/>
        <v>FY2010-11</v>
      </c>
      <c r="O200" s="38" t="s">
        <v>152</v>
      </c>
      <c r="P200" s="38" t="s">
        <v>138</v>
      </c>
      <c r="Q200" s="38" t="s">
        <v>2</v>
      </c>
      <c r="R200" s="191"/>
      <c r="S200" s="191"/>
      <c r="T200" s="191"/>
      <c r="U200" s="191"/>
      <c r="V200" s="192"/>
      <c r="W200" s="192"/>
      <c r="X200" s="192"/>
      <c r="Y200" s="192"/>
      <c r="Z200" s="192"/>
      <c r="AA200" s="192"/>
      <c r="AB200" s="192"/>
      <c r="AC200" s="192"/>
      <c r="AD200" s="192"/>
      <c r="AE200" s="192"/>
      <c r="AF200" s="192"/>
      <c r="AG200" s="192"/>
    </row>
    <row r="201" spans="1:34" ht="15.95" customHeight="1">
      <c r="A201" s="7"/>
      <c r="B201" s="10"/>
      <c r="C201" s="12"/>
      <c r="D201" s="191"/>
      <c r="E201" s="191"/>
      <c r="F201" s="190"/>
      <c r="G201" s="191"/>
      <c r="H201" s="190"/>
      <c r="I201" s="190"/>
      <c r="J201" s="191"/>
      <c r="K201" s="191"/>
      <c r="L201" s="283" t="s">
        <v>34</v>
      </c>
      <c r="M201" s="190"/>
      <c r="N201" s="38" t="str">
        <f t="shared" si="18"/>
        <v>FY2010-11</v>
      </c>
      <c r="O201" s="38" t="s">
        <v>152</v>
      </c>
      <c r="P201" s="38" t="s">
        <v>138</v>
      </c>
      <c r="Q201" s="38" t="s">
        <v>2</v>
      </c>
      <c r="R201" s="191"/>
      <c r="S201" s="191"/>
      <c r="T201" s="191"/>
      <c r="U201" s="191"/>
      <c r="V201" s="192"/>
      <c r="W201" s="192"/>
      <c r="X201" s="192"/>
      <c r="Y201" s="192"/>
      <c r="Z201" s="192"/>
      <c r="AA201" s="192"/>
      <c r="AB201" s="192"/>
      <c r="AC201" s="192"/>
      <c r="AD201" s="192"/>
      <c r="AE201" s="192"/>
      <c r="AF201" s="192"/>
      <c r="AG201" s="192"/>
    </row>
    <row r="202" spans="1:34" ht="15.95" customHeight="1">
      <c r="A202" s="25"/>
      <c r="B202" s="26"/>
      <c r="C202" s="26"/>
      <c r="D202" s="27"/>
      <c r="E202" s="27"/>
      <c r="F202" s="28"/>
      <c r="G202" s="27"/>
      <c r="H202" s="28"/>
      <c r="I202" s="28"/>
      <c r="J202" s="27"/>
      <c r="K202" s="27"/>
      <c r="L202" s="282"/>
      <c r="M202" s="28"/>
      <c r="N202" s="28"/>
      <c r="O202" s="27"/>
      <c r="P202" s="28"/>
      <c r="Q202" s="28"/>
      <c r="R202" s="27"/>
      <c r="S202" s="27"/>
      <c r="T202" s="27"/>
      <c r="U202" s="27"/>
      <c r="V202" s="25"/>
      <c r="W202" s="25"/>
      <c r="X202" s="25"/>
      <c r="Y202" s="25"/>
      <c r="Z202" s="25"/>
      <c r="AA202" s="25"/>
      <c r="AB202" s="25"/>
      <c r="AC202" s="25"/>
      <c r="AD202" s="25"/>
      <c r="AE202" s="25"/>
      <c r="AF202" s="25"/>
      <c r="AG202" s="25"/>
    </row>
    <row r="203" spans="1:34" ht="15.95" customHeight="1" thickBot="1">
      <c r="A203" s="7"/>
      <c r="B203" s="19" t="str">
        <f>"FA1 = "&amp;'FIG3'!$W$52&amp;" "&amp;'FIG3'!$X$52</f>
        <v>FA1 = Fulton County District</v>
      </c>
      <c r="C203" s="7"/>
      <c r="D203" s="8"/>
      <c r="E203" s="8"/>
      <c r="F203" s="9"/>
      <c r="G203" s="8"/>
      <c r="H203" s="9"/>
      <c r="I203" s="9"/>
      <c r="J203" s="8"/>
      <c r="K203" s="8"/>
      <c r="L203" s="280"/>
      <c r="M203" s="9"/>
      <c r="N203" s="9"/>
      <c r="O203" s="8"/>
      <c r="P203" s="9"/>
      <c r="Q203" s="9"/>
      <c r="R203" s="8"/>
      <c r="S203" s="866"/>
      <c r="T203" s="867" t="str">
        <f>'$REV-DB'!$T$34</f>
        <v>UD1</v>
      </c>
      <c r="U203" s="867" t="str">
        <f>'$REV-DB'!$U$34</f>
        <v>UD2</v>
      </c>
      <c r="V203" s="867" t="str">
        <f>'$REV-DB'!$V$34</f>
        <v>UD3</v>
      </c>
      <c r="W203" s="867" t="str">
        <f>'$REV-DB'!$W$34</f>
        <v>UD4</v>
      </c>
      <c r="X203" s="867" t="str">
        <f>'$REV-DB'!$X$34</f>
        <v>UD5</v>
      </c>
      <c r="Y203" s="867" t="str">
        <f>'$REV-DB'!$Y$34</f>
        <v>UD6</v>
      </c>
      <c r="Z203" s="867" t="str">
        <f>'$REV-DB'!$Z$34</f>
        <v>UD7</v>
      </c>
      <c r="AA203" s="867" t="str">
        <f>'$REV-DB'!$AA$34</f>
        <v>UD8</v>
      </c>
      <c r="AB203" s="867" t="str">
        <f>'$REV-DB'!$AB$34</f>
        <v>UD9</v>
      </c>
      <c r="AC203" s="867" t="str">
        <f>'$REV-DB'!$AC$34</f>
        <v>UD10</v>
      </c>
      <c r="AD203" s="867" t="str">
        <f>'$REV-DB'!$AD$34</f>
        <v>UD11</v>
      </c>
      <c r="AE203" s="867" t="str">
        <f>'$REV-DB'!$AE$34</f>
        <v>UD12</v>
      </c>
      <c r="AF203" s="867" t="str">
        <f>'$REV-DB'!$AF$34</f>
        <v>UD13</v>
      </c>
      <c r="AG203" s="867" t="str">
        <f>'$REV-DB'!$AG$34</f>
        <v>UD14</v>
      </c>
    </row>
    <row r="204" spans="1:34" ht="15.95" customHeight="1" thickTop="1" thickBot="1">
      <c r="A204" s="7"/>
      <c r="B204" s="20" t="s">
        <v>4</v>
      </c>
      <c r="C204" s="15"/>
      <c r="D204" s="276" t="s">
        <v>186</v>
      </c>
      <c r="E204" s="276" t="s">
        <v>187</v>
      </c>
      <c r="F204" s="276" t="s">
        <v>188</v>
      </c>
      <c r="G204" s="276" t="s">
        <v>189</v>
      </c>
      <c r="H204" s="301" t="s">
        <v>11</v>
      </c>
      <c r="I204" s="301" t="s">
        <v>190</v>
      </c>
      <c r="J204" s="301" t="s">
        <v>191</v>
      </c>
      <c r="K204" s="301" t="s">
        <v>192</v>
      </c>
      <c r="L204" s="301" t="s">
        <v>203</v>
      </c>
      <c r="M204" s="301" t="s">
        <v>42</v>
      </c>
      <c r="N204" s="276" t="s">
        <v>148</v>
      </c>
      <c r="O204" s="276" t="s">
        <v>193</v>
      </c>
      <c r="P204" s="276" t="s">
        <v>142</v>
      </c>
      <c r="Q204" s="276" t="s">
        <v>194</v>
      </c>
      <c r="R204" s="112" t="s">
        <v>141</v>
      </c>
      <c r="S204" s="112" t="s">
        <v>672</v>
      </c>
      <c r="T204" s="857" t="s">
        <v>541</v>
      </c>
      <c r="U204" s="857" t="s">
        <v>542</v>
      </c>
      <c r="V204" s="857" t="s">
        <v>543</v>
      </c>
      <c r="W204" s="857" t="s">
        <v>544</v>
      </c>
      <c r="X204" s="857" t="s">
        <v>545</v>
      </c>
      <c r="Y204" s="857" t="s">
        <v>546</v>
      </c>
      <c r="Z204" s="857" t="s">
        <v>547</v>
      </c>
      <c r="AA204" s="857" t="s">
        <v>548</v>
      </c>
      <c r="AB204" s="857" t="s">
        <v>549</v>
      </c>
      <c r="AC204" s="857" t="s">
        <v>550</v>
      </c>
      <c r="AD204" s="857" t="s">
        <v>551</v>
      </c>
      <c r="AE204" s="857" t="s">
        <v>552</v>
      </c>
      <c r="AF204" s="857" t="s">
        <v>553</v>
      </c>
      <c r="AG204" s="857" t="s">
        <v>554</v>
      </c>
      <c r="AH204" s="6"/>
    </row>
    <row r="205" spans="1:34" ht="15.95" customHeight="1" thickTop="1">
      <c r="A205" s="7"/>
      <c r="B205" s="19" t="s">
        <v>364</v>
      </c>
      <c r="C205" s="12"/>
      <c r="D205" s="191"/>
      <c r="E205" s="191"/>
      <c r="F205" s="190"/>
      <c r="G205" s="191"/>
      <c r="H205" s="190"/>
      <c r="I205" s="190"/>
      <c r="J205" s="191"/>
      <c r="K205" s="191"/>
      <c r="L205" s="283" t="s">
        <v>34</v>
      </c>
      <c r="M205" s="190"/>
      <c r="N205" s="38" t="str">
        <f>J$6</f>
        <v>FY2010-11</v>
      </c>
      <c r="O205" s="38" t="s">
        <v>152</v>
      </c>
      <c r="P205" s="38" t="s">
        <v>138</v>
      </c>
      <c r="Q205" s="38" t="s">
        <v>70</v>
      </c>
      <c r="R205" s="191"/>
      <c r="S205" s="191"/>
      <c r="T205" s="191"/>
      <c r="U205" s="191"/>
      <c r="V205" s="192"/>
      <c r="W205" s="192"/>
      <c r="X205" s="192"/>
      <c r="Y205" s="192"/>
      <c r="Z205" s="192"/>
      <c r="AA205" s="192"/>
      <c r="AB205" s="192"/>
      <c r="AC205" s="192"/>
      <c r="AD205" s="192"/>
      <c r="AE205" s="192"/>
      <c r="AF205" s="192"/>
      <c r="AG205" s="192"/>
      <c r="AH205" s="6"/>
    </row>
    <row r="206" spans="1:34" ht="15.95" customHeight="1">
      <c r="A206" s="7"/>
      <c r="B206" s="16">
        <f>DSUM('$REV-DB'!D35:AG67,"AMOUNT",'$REV-DSUM'!D204:AG211)</f>
        <v>0</v>
      </c>
      <c r="C206" s="12"/>
      <c r="D206" s="191"/>
      <c r="E206" s="191"/>
      <c r="F206" s="190"/>
      <c r="G206" s="191"/>
      <c r="H206" s="190"/>
      <c r="I206" s="190"/>
      <c r="J206" s="191"/>
      <c r="K206" s="191"/>
      <c r="L206" s="283" t="s">
        <v>34</v>
      </c>
      <c r="M206" s="190"/>
      <c r="N206" s="38" t="str">
        <f t="shared" ref="N206:N211" si="19">J$6</f>
        <v>FY2010-11</v>
      </c>
      <c r="O206" s="38" t="s">
        <v>152</v>
      </c>
      <c r="P206" s="38" t="s">
        <v>138</v>
      </c>
      <c r="Q206" s="38" t="s">
        <v>70</v>
      </c>
      <c r="R206" s="191"/>
      <c r="S206" s="191"/>
      <c r="T206" s="191"/>
      <c r="U206" s="191"/>
      <c r="V206" s="192"/>
      <c r="W206" s="192"/>
      <c r="X206" s="192"/>
      <c r="Y206" s="192"/>
      <c r="Z206" s="192"/>
      <c r="AA206" s="192"/>
      <c r="AB206" s="192"/>
      <c r="AC206" s="192"/>
      <c r="AD206" s="192"/>
      <c r="AE206" s="192"/>
      <c r="AF206" s="192"/>
      <c r="AG206" s="192"/>
      <c r="AH206" s="6"/>
    </row>
    <row r="207" spans="1:34" ht="15.95" customHeight="1">
      <c r="A207" s="7"/>
      <c r="B207" s="10"/>
      <c r="C207" s="12"/>
      <c r="D207" s="191"/>
      <c r="E207" s="191"/>
      <c r="F207" s="190"/>
      <c r="G207" s="191"/>
      <c r="H207" s="190"/>
      <c r="I207" s="190"/>
      <c r="J207" s="191"/>
      <c r="K207" s="191"/>
      <c r="L207" s="283" t="s">
        <v>34</v>
      </c>
      <c r="M207" s="190"/>
      <c r="N207" s="38" t="str">
        <f t="shared" si="19"/>
        <v>FY2010-11</v>
      </c>
      <c r="O207" s="38" t="s">
        <v>152</v>
      </c>
      <c r="P207" s="38" t="s">
        <v>138</v>
      </c>
      <c r="Q207" s="38" t="s">
        <v>70</v>
      </c>
      <c r="R207" s="191"/>
      <c r="S207" s="191"/>
      <c r="T207" s="191"/>
      <c r="U207" s="191"/>
      <c r="V207" s="192"/>
      <c r="W207" s="192"/>
      <c r="X207" s="192"/>
      <c r="Y207" s="192"/>
      <c r="Z207" s="192"/>
      <c r="AA207" s="192"/>
      <c r="AB207" s="192"/>
      <c r="AC207" s="192"/>
      <c r="AD207" s="192"/>
      <c r="AE207" s="192"/>
      <c r="AF207" s="192"/>
      <c r="AG207" s="192"/>
    </row>
    <row r="208" spans="1:34" ht="15.95" customHeight="1">
      <c r="A208" s="7"/>
      <c r="B208" s="10"/>
      <c r="C208" s="12"/>
      <c r="D208" s="191"/>
      <c r="E208" s="191"/>
      <c r="F208" s="190"/>
      <c r="G208" s="191"/>
      <c r="H208" s="190"/>
      <c r="I208" s="190"/>
      <c r="J208" s="191"/>
      <c r="K208" s="191"/>
      <c r="L208" s="283" t="s">
        <v>34</v>
      </c>
      <c r="M208" s="190"/>
      <c r="N208" s="38" t="str">
        <f t="shared" si="19"/>
        <v>FY2010-11</v>
      </c>
      <c r="O208" s="38" t="s">
        <v>152</v>
      </c>
      <c r="P208" s="38" t="s">
        <v>138</v>
      </c>
      <c r="Q208" s="38" t="s">
        <v>70</v>
      </c>
      <c r="R208" s="191"/>
      <c r="S208" s="191"/>
      <c r="T208" s="191"/>
      <c r="U208" s="191"/>
      <c r="V208" s="192"/>
      <c r="W208" s="192"/>
      <c r="X208" s="192"/>
      <c r="Y208" s="192"/>
      <c r="Z208" s="192"/>
      <c r="AA208" s="192"/>
      <c r="AB208" s="192"/>
      <c r="AC208" s="192"/>
      <c r="AD208" s="192"/>
      <c r="AE208" s="192"/>
      <c r="AF208" s="192"/>
      <c r="AG208" s="192"/>
    </row>
    <row r="209" spans="1:34" ht="15.95" customHeight="1">
      <c r="A209" s="7"/>
      <c r="B209" s="10"/>
      <c r="C209" s="12"/>
      <c r="D209" s="191"/>
      <c r="E209" s="191"/>
      <c r="F209" s="190"/>
      <c r="G209" s="191"/>
      <c r="H209" s="190"/>
      <c r="I209" s="190"/>
      <c r="J209" s="191"/>
      <c r="K209" s="191"/>
      <c r="L209" s="283" t="s">
        <v>34</v>
      </c>
      <c r="M209" s="190"/>
      <c r="N209" s="38" t="str">
        <f t="shared" si="19"/>
        <v>FY2010-11</v>
      </c>
      <c r="O209" s="38" t="s">
        <v>152</v>
      </c>
      <c r="P209" s="38" t="s">
        <v>138</v>
      </c>
      <c r="Q209" s="38" t="s">
        <v>70</v>
      </c>
      <c r="R209" s="191"/>
      <c r="S209" s="191"/>
      <c r="T209" s="191"/>
      <c r="U209" s="191"/>
      <c r="V209" s="192"/>
      <c r="W209" s="192"/>
      <c r="X209" s="192"/>
      <c r="Y209" s="192"/>
      <c r="Z209" s="192"/>
      <c r="AA209" s="192"/>
      <c r="AB209" s="192"/>
      <c r="AC209" s="192"/>
      <c r="AD209" s="192"/>
      <c r="AE209" s="192"/>
      <c r="AF209" s="192"/>
      <c r="AG209" s="192"/>
    </row>
    <row r="210" spans="1:34" ht="15.95" customHeight="1">
      <c r="A210" s="7"/>
      <c r="B210" s="10"/>
      <c r="C210" s="12"/>
      <c r="D210" s="191"/>
      <c r="E210" s="191"/>
      <c r="F210" s="190"/>
      <c r="G210" s="191"/>
      <c r="H210" s="190"/>
      <c r="I210" s="190"/>
      <c r="J210" s="191"/>
      <c r="K210" s="191"/>
      <c r="L210" s="283" t="s">
        <v>34</v>
      </c>
      <c r="M210" s="190"/>
      <c r="N210" s="38" t="str">
        <f t="shared" si="19"/>
        <v>FY2010-11</v>
      </c>
      <c r="O210" s="38" t="s">
        <v>152</v>
      </c>
      <c r="P210" s="38" t="s">
        <v>138</v>
      </c>
      <c r="Q210" s="38" t="s">
        <v>70</v>
      </c>
      <c r="R210" s="191"/>
      <c r="S210" s="191"/>
      <c r="T210" s="191"/>
      <c r="U210" s="191"/>
      <c r="V210" s="192"/>
      <c r="W210" s="192"/>
      <c r="X210" s="192"/>
      <c r="Y210" s="192"/>
      <c r="Z210" s="192"/>
      <c r="AA210" s="192"/>
      <c r="AB210" s="192"/>
      <c r="AC210" s="192"/>
      <c r="AD210" s="192"/>
      <c r="AE210" s="192"/>
      <c r="AF210" s="192"/>
      <c r="AG210" s="192"/>
    </row>
    <row r="211" spans="1:34" ht="15.95" customHeight="1">
      <c r="A211" s="7"/>
      <c r="B211" s="10"/>
      <c r="C211" s="12"/>
      <c r="D211" s="191"/>
      <c r="E211" s="191"/>
      <c r="F211" s="190"/>
      <c r="G211" s="191"/>
      <c r="H211" s="190"/>
      <c r="I211" s="190"/>
      <c r="J211" s="191"/>
      <c r="K211" s="191"/>
      <c r="L211" s="283" t="s">
        <v>34</v>
      </c>
      <c r="M211" s="190"/>
      <c r="N211" s="38" t="str">
        <f t="shared" si="19"/>
        <v>FY2010-11</v>
      </c>
      <c r="O211" s="38" t="s">
        <v>152</v>
      </c>
      <c r="P211" s="38" t="s">
        <v>138</v>
      </c>
      <c r="Q211" s="38" t="s">
        <v>70</v>
      </c>
      <c r="R211" s="191"/>
      <c r="S211" s="191"/>
      <c r="T211" s="191"/>
      <c r="U211" s="191"/>
      <c r="V211" s="192"/>
      <c r="W211" s="192"/>
      <c r="X211" s="192"/>
      <c r="Y211" s="192"/>
      <c r="Z211" s="192"/>
      <c r="AA211" s="192"/>
      <c r="AB211" s="192"/>
      <c r="AC211" s="192"/>
      <c r="AD211" s="192"/>
      <c r="AE211" s="192"/>
      <c r="AF211" s="192"/>
      <c r="AG211" s="192"/>
    </row>
    <row r="212" spans="1:34" ht="15.95" customHeight="1">
      <c r="A212" s="25"/>
      <c r="B212" s="26"/>
      <c r="C212" s="26"/>
      <c r="D212" s="27"/>
      <c r="E212" s="27"/>
      <c r="F212" s="28"/>
      <c r="G212" s="27"/>
      <c r="H212" s="28"/>
      <c r="I212" s="28"/>
      <c r="J212" s="27"/>
      <c r="K212" s="27"/>
      <c r="L212" s="282"/>
      <c r="M212" s="28"/>
      <c r="N212" s="28"/>
      <c r="O212" s="27"/>
      <c r="P212" s="28"/>
      <c r="Q212" s="28"/>
      <c r="R212" s="27"/>
      <c r="S212" s="27"/>
      <c r="T212" s="27"/>
      <c r="U212" s="27"/>
      <c r="V212" s="25"/>
      <c r="W212" s="25"/>
      <c r="X212" s="25"/>
      <c r="Y212" s="25"/>
      <c r="Z212" s="25"/>
      <c r="AA212" s="25"/>
      <c r="AB212" s="25"/>
      <c r="AC212" s="25"/>
      <c r="AD212" s="25"/>
      <c r="AE212" s="25"/>
      <c r="AF212" s="25"/>
      <c r="AG212" s="25"/>
    </row>
    <row r="213" spans="1:34" ht="15.95" customHeight="1" thickBot="1">
      <c r="A213" s="7"/>
      <c r="B213" s="19" t="str">
        <f>"FA1 = "&amp;'FIG3'!$W$52&amp;" "&amp;'FIG3'!$X$52</f>
        <v>FA1 = Fulton County District</v>
      </c>
      <c r="C213" s="7"/>
      <c r="D213" s="8"/>
      <c r="E213" s="8"/>
      <c r="F213" s="9"/>
      <c r="G213" s="8"/>
      <c r="H213" s="9"/>
      <c r="I213" s="9"/>
      <c r="J213" s="8"/>
      <c r="K213" s="8"/>
      <c r="L213" s="280"/>
      <c r="M213" s="9"/>
      <c r="N213" s="9"/>
      <c r="O213" s="8"/>
      <c r="P213" s="9"/>
      <c r="Q213" s="9"/>
      <c r="R213" s="8"/>
      <c r="S213" s="866"/>
      <c r="T213" s="867" t="str">
        <f>'$REV-DB'!$T$34</f>
        <v>UD1</v>
      </c>
      <c r="U213" s="867" t="str">
        <f>'$REV-DB'!$U$34</f>
        <v>UD2</v>
      </c>
      <c r="V213" s="867" t="str">
        <f>'$REV-DB'!$V$34</f>
        <v>UD3</v>
      </c>
      <c r="W213" s="867" t="str">
        <f>'$REV-DB'!$W$34</f>
        <v>UD4</v>
      </c>
      <c r="X213" s="867" t="str">
        <f>'$REV-DB'!$X$34</f>
        <v>UD5</v>
      </c>
      <c r="Y213" s="867" t="str">
        <f>'$REV-DB'!$Y$34</f>
        <v>UD6</v>
      </c>
      <c r="Z213" s="867" t="str">
        <f>'$REV-DB'!$Z$34</f>
        <v>UD7</v>
      </c>
      <c r="AA213" s="867" t="str">
        <f>'$REV-DB'!$AA$34</f>
        <v>UD8</v>
      </c>
      <c r="AB213" s="867" t="str">
        <f>'$REV-DB'!$AB$34</f>
        <v>UD9</v>
      </c>
      <c r="AC213" s="867" t="str">
        <f>'$REV-DB'!$AC$34</f>
        <v>UD10</v>
      </c>
      <c r="AD213" s="867" t="str">
        <f>'$REV-DB'!$AD$34</f>
        <v>UD11</v>
      </c>
      <c r="AE213" s="867" t="str">
        <f>'$REV-DB'!$AE$34</f>
        <v>UD12</v>
      </c>
      <c r="AF213" s="867" t="str">
        <f>'$REV-DB'!$AF$34</f>
        <v>UD13</v>
      </c>
      <c r="AG213" s="867" t="str">
        <f>'$REV-DB'!$AG$34</f>
        <v>UD14</v>
      </c>
    </row>
    <row r="214" spans="1:34" ht="15.95" customHeight="1" thickTop="1" thickBot="1">
      <c r="A214" s="7"/>
      <c r="B214" s="20" t="s">
        <v>4</v>
      </c>
      <c r="C214" s="15"/>
      <c r="D214" s="276" t="s">
        <v>186</v>
      </c>
      <c r="E214" s="276" t="s">
        <v>187</v>
      </c>
      <c r="F214" s="276" t="s">
        <v>188</v>
      </c>
      <c r="G214" s="276" t="s">
        <v>189</v>
      </c>
      <c r="H214" s="301" t="s">
        <v>11</v>
      </c>
      <c r="I214" s="301" t="s">
        <v>190</v>
      </c>
      <c r="J214" s="301" t="s">
        <v>191</v>
      </c>
      <c r="K214" s="301" t="s">
        <v>192</v>
      </c>
      <c r="L214" s="301" t="s">
        <v>203</v>
      </c>
      <c r="M214" s="301" t="s">
        <v>42</v>
      </c>
      <c r="N214" s="276" t="s">
        <v>148</v>
      </c>
      <c r="O214" s="276" t="s">
        <v>193</v>
      </c>
      <c r="P214" s="276" t="s">
        <v>142</v>
      </c>
      <c r="Q214" s="276" t="s">
        <v>194</v>
      </c>
      <c r="R214" s="112" t="s">
        <v>141</v>
      </c>
      <c r="S214" s="112" t="s">
        <v>672</v>
      </c>
      <c r="T214" s="857" t="s">
        <v>541</v>
      </c>
      <c r="U214" s="857" t="s">
        <v>542</v>
      </c>
      <c r="V214" s="857" t="s">
        <v>543</v>
      </c>
      <c r="W214" s="857" t="s">
        <v>544</v>
      </c>
      <c r="X214" s="857" t="s">
        <v>545</v>
      </c>
      <c r="Y214" s="857" t="s">
        <v>546</v>
      </c>
      <c r="Z214" s="857" t="s">
        <v>547</v>
      </c>
      <c r="AA214" s="857" t="s">
        <v>548</v>
      </c>
      <c r="AB214" s="857" t="s">
        <v>549</v>
      </c>
      <c r="AC214" s="857" t="s">
        <v>550</v>
      </c>
      <c r="AD214" s="857" t="s">
        <v>551</v>
      </c>
      <c r="AE214" s="857" t="s">
        <v>552</v>
      </c>
      <c r="AF214" s="857" t="s">
        <v>553</v>
      </c>
      <c r="AG214" s="857" t="s">
        <v>554</v>
      </c>
      <c r="AH214" s="6"/>
    </row>
    <row r="215" spans="1:34" ht="15.95" customHeight="1" thickTop="1">
      <c r="A215" s="7"/>
      <c r="B215" s="19" t="s">
        <v>150</v>
      </c>
      <c r="C215" s="12"/>
      <c r="D215" s="191"/>
      <c r="E215" s="191"/>
      <c r="F215" s="190"/>
      <c r="G215" s="191"/>
      <c r="H215" s="190"/>
      <c r="I215" s="190"/>
      <c r="J215" s="191"/>
      <c r="K215" s="191"/>
      <c r="L215" s="283" t="s">
        <v>34</v>
      </c>
      <c r="M215" s="190"/>
      <c r="N215" s="38" t="str">
        <f>J$6</f>
        <v>FY2010-11</v>
      </c>
      <c r="O215" s="38" t="s">
        <v>152</v>
      </c>
      <c r="P215" s="38" t="s">
        <v>138</v>
      </c>
      <c r="Q215" s="38" t="s">
        <v>140</v>
      </c>
      <c r="R215" s="191"/>
      <c r="S215" s="191"/>
      <c r="T215" s="191"/>
      <c r="U215" s="191"/>
      <c r="V215" s="192"/>
      <c r="W215" s="192"/>
      <c r="X215" s="192"/>
      <c r="Y215" s="192"/>
      <c r="Z215" s="192"/>
      <c r="AA215" s="192"/>
      <c r="AB215" s="192"/>
      <c r="AC215" s="192"/>
      <c r="AD215" s="192"/>
      <c r="AE215" s="192"/>
      <c r="AF215" s="192"/>
      <c r="AG215" s="192"/>
      <c r="AH215" s="6"/>
    </row>
    <row r="216" spans="1:34" ht="15.95" customHeight="1">
      <c r="A216" s="7"/>
      <c r="B216" s="16">
        <f>DSUM('$REV-DB'!D35:AG67,"AMOUNT",'$REV-DSUM'!D214:AG221)</f>
        <v>0</v>
      </c>
      <c r="C216" s="12"/>
      <c r="D216" s="191"/>
      <c r="E216" s="191"/>
      <c r="F216" s="190"/>
      <c r="G216" s="191"/>
      <c r="H216" s="190"/>
      <c r="I216" s="190"/>
      <c r="J216" s="191"/>
      <c r="K216" s="191"/>
      <c r="L216" s="283" t="s">
        <v>34</v>
      </c>
      <c r="M216" s="190"/>
      <c r="N216" s="38" t="str">
        <f t="shared" ref="N216:N221" si="20">J$6</f>
        <v>FY2010-11</v>
      </c>
      <c r="O216" s="38" t="s">
        <v>152</v>
      </c>
      <c r="P216" s="38" t="s">
        <v>138</v>
      </c>
      <c r="Q216" s="38" t="s">
        <v>140</v>
      </c>
      <c r="R216" s="191"/>
      <c r="S216" s="191"/>
      <c r="T216" s="191"/>
      <c r="U216" s="191"/>
      <c r="V216" s="192"/>
      <c r="W216" s="192"/>
      <c r="X216" s="192"/>
      <c r="Y216" s="192"/>
      <c r="Z216" s="192"/>
      <c r="AA216" s="192"/>
      <c r="AB216" s="192"/>
      <c r="AC216" s="192"/>
      <c r="AD216" s="192"/>
      <c r="AE216" s="192"/>
      <c r="AF216" s="192"/>
      <c r="AG216" s="192"/>
      <c r="AH216" s="6"/>
    </row>
    <row r="217" spans="1:34" ht="15.95" customHeight="1">
      <c r="A217" s="7"/>
      <c r="B217" s="10"/>
      <c r="C217" s="12"/>
      <c r="D217" s="191"/>
      <c r="E217" s="191"/>
      <c r="F217" s="190"/>
      <c r="G217" s="191"/>
      <c r="H217" s="190"/>
      <c r="I217" s="190"/>
      <c r="J217" s="191"/>
      <c r="K217" s="191"/>
      <c r="L217" s="283" t="s">
        <v>34</v>
      </c>
      <c r="M217" s="190"/>
      <c r="N217" s="38" t="str">
        <f t="shared" si="20"/>
        <v>FY2010-11</v>
      </c>
      <c r="O217" s="38" t="s">
        <v>152</v>
      </c>
      <c r="P217" s="38" t="s">
        <v>138</v>
      </c>
      <c r="Q217" s="38" t="s">
        <v>140</v>
      </c>
      <c r="R217" s="191"/>
      <c r="S217" s="191"/>
      <c r="T217" s="191"/>
      <c r="U217" s="191"/>
      <c r="V217" s="192"/>
      <c r="W217" s="192"/>
      <c r="X217" s="192"/>
      <c r="Y217" s="192"/>
      <c r="Z217" s="192"/>
      <c r="AA217" s="192"/>
      <c r="AB217" s="192"/>
      <c r="AC217" s="192"/>
      <c r="AD217" s="192"/>
      <c r="AE217" s="192"/>
      <c r="AF217" s="192"/>
      <c r="AG217" s="192"/>
    </row>
    <row r="218" spans="1:34" ht="15.95" customHeight="1">
      <c r="A218" s="7"/>
      <c r="B218" s="10"/>
      <c r="C218" s="12"/>
      <c r="D218" s="191"/>
      <c r="E218" s="191"/>
      <c r="F218" s="190"/>
      <c r="G218" s="191"/>
      <c r="H218" s="190"/>
      <c r="I218" s="190"/>
      <c r="J218" s="191"/>
      <c r="K218" s="191"/>
      <c r="L218" s="283" t="s">
        <v>34</v>
      </c>
      <c r="M218" s="190"/>
      <c r="N218" s="38" t="str">
        <f t="shared" si="20"/>
        <v>FY2010-11</v>
      </c>
      <c r="O218" s="38" t="s">
        <v>152</v>
      </c>
      <c r="P218" s="38" t="s">
        <v>138</v>
      </c>
      <c r="Q218" s="38" t="s">
        <v>140</v>
      </c>
      <c r="R218" s="191"/>
      <c r="S218" s="191"/>
      <c r="T218" s="191"/>
      <c r="U218" s="191"/>
      <c r="V218" s="192"/>
      <c r="W218" s="192"/>
      <c r="X218" s="192"/>
      <c r="Y218" s="192"/>
      <c r="Z218" s="192"/>
      <c r="AA218" s="192"/>
      <c r="AB218" s="192"/>
      <c r="AC218" s="192"/>
      <c r="AD218" s="192"/>
      <c r="AE218" s="192"/>
      <c r="AF218" s="192"/>
      <c r="AG218" s="192"/>
    </row>
    <row r="219" spans="1:34" ht="15.95" customHeight="1">
      <c r="A219" s="7"/>
      <c r="B219" s="10"/>
      <c r="C219" s="12"/>
      <c r="D219" s="191"/>
      <c r="E219" s="191"/>
      <c r="F219" s="190"/>
      <c r="G219" s="191"/>
      <c r="H219" s="190"/>
      <c r="I219" s="190"/>
      <c r="J219" s="191"/>
      <c r="K219" s="191"/>
      <c r="L219" s="283" t="s">
        <v>34</v>
      </c>
      <c r="M219" s="190"/>
      <c r="N219" s="38" t="str">
        <f t="shared" si="20"/>
        <v>FY2010-11</v>
      </c>
      <c r="O219" s="38" t="s">
        <v>152</v>
      </c>
      <c r="P219" s="38" t="s">
        <v>138</v>
      </c>
      <c r="Q219" s="38" t="s">
        <v>140</v>
      </c>
      <c r="R219" s="191"/>
      <c r="S219" s="191"/>
      <c r="T219" s="191"/>
      <c r="U219" s="191"/>
      <c r="V219" s="192"/>
      <c r="W219" s="192"/>
      <c r="X219" s="192"/>
      <c r="Y219" s="192"/>
      <c r="Z219" s="192"/>
      <c r="AA219" s="192"/>
      <c r="AB219" s="192"/>
      <c r="AC219" s="192"/>
      <c r="AD219" s="192"/>
      <c r="AE219" s="192"/>
      <c r="AF219" s="192"/>
      <c r="AG219" s="192"/>
    </row>
    <row r="220" spans="1:34" ht="15.95" customHeight="1">
      <c r="A220" s="7"/>
      <c r="B220" s="10"/>
      <c r="C220" s="12"/>
      <c r="D220" s="191"/>
      <c r="E220" s="191"/>
      <c r="F220" s="190"/>
      <c r="G220" s="191"/>
      <c r="H220" s="190"/>
      <c r="I220" s="190"/>
      <c r="J220" s="191"/>
      <c r="K220" s="191"/>
      <c r="L220" s="283" t="s">
        <v>34</v>
      </c>
      <c r="M220" s="190"/>
      <c r="N220" s="38" t="str">
        <f t="shared" si="20"/>
        <v>FY2010-11</v>
      </c>
      <c r="O220" s="38" t="s">
        <v>152</v>
      </c>
      <c r="P220" s="38" t="s">
        <v>138</v>
      </c>
      <c r="Q220" s="38" t="s">
        <v>140</v>
      </c>
      <c r="R220" s="191"/>
      <c r="S220" s="191"/>
      <c r="T220" s="191"/>
      <c r="U220" s="191"/>
      <c r="V220" s="192"/>
      <c r="W220" s="192"/>
      <c r="X220" s="192"/>
      <c r="Y220" s="192"/>
      <c r="Z220" s="192"/>
      <c r="AA220" s="192"/>
      <c r="AB220" s="192"/>
      <c r="AC220" s="192"/>
      <c r="AD220" s="192"/>
      <c r="AE220" s="192"/>
      <c r="AF220" s="192"/>
      <c r="AG220" s="192"/>
    </row>
    <row r="221" spans="1:34" ht="15.95" customHeight="1">
      <c r="A221" s="7"/>
      <c r="B221" s="10"/>
      <c r="C221" s="12"/>
      <c r="D221" s="191"/>
      <c r="E221" s="191"/>
      <c r="F221" s="190"/>
      <c r="G221" s="191"/>
      <c r="H221" s="190"/>
      <c r="I221" s="190"/>
      <c r="J221" s="191"/>
      <c r="K221" s="191"/>
      <c r="L221" s="283" t="s">
        <v>34</v>
      </c>
      <c r="M221" s="190"/>
      <c r="N221" s="38" t="str">
        <f t="shared" si="20"/>
        <v>FY2010-11</v>
      </c>
      <c r="O221" s="38" t="s">
        <v>152</v>
      </c>
      <c r="P221" s="38" t="s">
        <v>138</v>
      </c>
      <c r="Q221" s="38" t="s">
        <v>140</v>
      </c>
      <c r="R221" s="191"/>
      <c r="S221" s="191"/>
      <c r="T221" s="191"/>
      <c r="U221" s="191"/>
      <c r="V221" s="192"/>
      <c r="W221" s="192"/>
      <c r="X221" s="192"/>
      <c r="Y221" s="192"/>
      <c r="Z221" s="192"/>
      <c r="AA221" s="192"/>
      <c r="AB221" s="192"/>
      <c r="AC221" s="192"/>
      <c r="AD221" s="192"/>
      <c r="AE221" s="192"/>
      <c r="AF221" s="192"/>
      <c r="AG221" s="192"/>
    </row>
    <row r="222" spans="1:34" ht="15.95" customHeight="1">
      <c r="A222" s="25"/>
      <c r="B222" s="26"/>
      <c r="C222" s="26"/>
      <c r="D222" s="27"/>
      <c r="E222" s="27"/>
      <c r="F222" s="28"/>
      <c r="G222" s="27"/>
      <c r="H222" s="28"/>
      <c r="I222" s="28"/>
      <c r="J222" s="27"/>
      <c r="K222" s="27"/>
      <c r="L222" s="282"/>
      <c r="M222" s="28"/>
      <c r="N222" s="28"/>
      <c r="O222" s="27"/>
      <c r="P222" s="28"/>
      <c r="Q222" s="28"/>
      <c r="R222" s="27"/>
      <c r="S222" s="27"/>
      <c r="T222" s="27"/>
      <c r="U222" s="27"/>
      <c r="V222" s="25"/>
      <c r="W222" s="25"/>
      <c r="X222" s="25"/>
      <c r="Y222" s="25"/>
      <c r="Z222" s="25"/>
      <c r="AA222" s="25"/>
      <c r="AB222" s="25"/>
      <c r="AC222" s="25"/>
      <c r="AD222" s="25"/>
      <c r="AE222" s="25"/>
      <c r="AF222" s="25"/>
      <c r="AG222" s="25"/>
    </row>
    <row r="223" spans="1:34" ht="15.95" customHeight="1" thickBot="1">
      <c r="A223" s="7"/>
      <c r="B223" s="19" t="str">
        <f>"FA1 = "&amp;'FIG3'!$W$52&amp;" "&amp;'FIG3'!$X$52</f>
        <v>FA1 = Fulton County District</v>
      </c>
      <c r="C223" s="7"/>
      <c r="D223" s="17"/>
      <c r="E223" s="17"/>
      <c r="F223" s="18"/>
      <c r="G223" s="17"/>
      <c r="H223" s="18"/>
      <c r="I223" s="18"/>
      <c r="J223" s="17"/>
      <c r="K223" s="17"/>
      <c r="L223" s="281"/>
      <c r="M223" s="18"/>
      <c r="N223" s="9"/>
      <c r="O223" s="17"/>
      <c r="P223" s="18"/>
      <c r="Q223" s="18"/>
      <c r="R223" s="17"/>
      <c r="S223" s="866"/>
      <c r="T223" s="867" t="str">
        <f>'$REV-DB'!$T$34</f>
        <v>UD1</v>
      </c>
      <c r="U223" s="867" t="str">
        <f>'$REV-DB'!$U$34</f>
        <v>UD2</v>
      </c>
      <c r="V223" s="867" t="str">
        <f>'$REV-DB'!$V$34</f>
        <v>UD3</v>
      </c>
      <c r="W223" s="867" t="str">
        <f>'$REV-DB'!$W$34</f>
        <v>UD4</v>
      </c>
      <c r="X223" s="867" t="str">
        <f>'$REV-DB'!$X$34</f>
        <v>UD5</v>
      </c>
      <c r="Y223" s="867" t="str">
        <f>'$REV-DB'!$Y$34</f>
        <v>UD6</v>
      </c>
      <c r="Z223" s="867" t="str">
        <f>'$REV-DB'!$Z$34</f>
        <v>UD7</v>
      </c>
      <c r="AA223" s="867" t="str">
        <f>'$REV-DB'!$AA$34</f>
        <v>UD8</v>
      </c>
      <c r="AB223" s="867" t="str">
        <f>'$REV-DB'!$AB$34</f>
        <v>UD9</v>
      </c>
      <c r="AC223" s="867" t="str">
        <f>'$REV-DB'!$AC$34</f>
        <v>UD10</v>
      </c>
      <c r="AD223" s="867" t="str">
        <f>'$REV-DB'!$AD$34</f>
        <v>UD11</v>
      </c>
      <c r="AE223" s="867" t="str">
        <f>'$REV-DB'!$AE$34</f>
        <v>UD12</v>
      </c>
      <c r="AF223" s="867" t="str">
        <f>'$REV-DB'!$AF$34</f>
        <v>UD13</v>
      </c>
      <c r="AG223" s="867" t="str">
        <f>'$REV-DB'!$AG$34</f>
        <v>UD14</v>
      </c>
    </row>
    <row r="224" spans="1:34" ht="15.95" customHeight="1" thickTop="1" thickBot="1">
      <c r="A224" s="7"/>
      <c r="B224" s="20" t="s">
        <v>175</v>
      </c>
      <c r="C224" s="15"/>
      <c r="D224" s="105" t="s">
        <v>186</v>
      </c>
      <c r="E224" s="105" t="s">
        <v>187</v>
      </c>
      <c r="F224" s="105" t="s">
        <v>188</v>
      </c>
      <c r="G224" s="105" t="s">
        <v>189</v>
      </c>
      <c r="H224" s="301" t="s">
        <v>11</v>
      </c>
      <c r="I224" s="301" t="s">
        <v>190</v>
      </c>
      <c r="J224" s="301" t="s">
        <v>191</v>
      </c>
      <c r="K224" s="301" t="s">
        <v>192</v>
      </c>
      <c r="L224" s="301" t="s">
        <v>203</v>
      </c>
      <c r="M224" s="301" t="s">
        <v>42</v>
      </c>
      <c r="N224" s="105" t="s">
        <v>148</v>
      </c>
      <c r="O224" s="105" t="s">
        <v>193</v>
      </c>
      <c r="P224" s="105" t="s">
        <v>142</v>
      </c>
      <c r="Q224" s="105" t="s">
        <v>194</v>
      </c>
      <c r="R224" s="112" t="s">
        <v>141</v>
      </c>
      <c r="S224" s="112" t="s">
        <v>672</v>
      </c>
      <c r="T224" s="857" t="s">
        <v>541</v>
      </c>
      <c r="U224" s="857" t="s">
        <v>542</v>
      </c>
      <c r="V224" s="857" t="s">
        <v>543</v>
      </c>
      <c r="W224" s="857" t="s">
        <v>544</v>
      </c>
      <c r="X224" s="857" t="s">
        <v>545</v>
      </c>
      <c r="Y224" s="857" t="s">
        <v>546</v>
      </c>
      <c r="Z224" s="857" t="s">
        <v>547</v>
      </c>
      <c r="AA224" s="857" t="s">
        <v>548</v>
      </c>
      <c r="AB224" s="857" t="s">
        <v>549</v>
      </c>
      <c r="AC224" s="857" t="s">
        <v>550</v>
      </c>
      <c r="AD224" s="857" t="s">
        <v>551</v>
      </c>
      <c r="AE224" s="857" t="s">
        <v>552</v>
      </c>
      <c r="AF224" s="857" t="s">
        <v>553</v>
      </c>
      <c r="AG224" s="857" t="s">
        <v>554</v>
      </c>
      <c r="AH224" s="6"/>
    </row>
    <row r="225" spans="1:34" ht="15.95" customHeight="1" thickTop="1">
      <c r="A225" s="7"/>
      <c r="B225" s="19" t="s">
        <v>146</v>
      </c>
      <c r="C225" s="12"/>
      <c r="D225" s="191"/>
      <c r="E225" s="191"/>
      <c r="F225" s="190"/>
      <c r="G225" s="191"/>
      <c r="H225" s="190"/>
      <c r="I225" s="190"/>
      <c r="J225" s="191"/>
      <c r="K225" s="191"/>
      <c r="L225" s="283" t="s">
        <v>34</v>
      </c>
      <c r="M225" s="190"/>
      <c r="N225" s="38" t="str">
        <f>J$6</f>
        <v>FY2010-11</v>
      </c>
      <c r="O225" s="38" t="s">
        <v>152</v>
      </c>
      <c r="P225" s="38" t="s">
        <v>147</v>
      </c>
      <c r="Q225" s="38"/>
      <c r="R225" s="191"/>
      <c r="S225" s="191"/>
      <c r="T225" s="191"/>
      <c r="U225" s="191"/>
      <c r="V225" s="192"/>
      <c r="W225" s="192"/>
      <c r="X225" s="192"/>
      <c r="Y225" s="192"/>
      <c r="Z225" s="192"/>
      <c r="AA225" s="192"/>
      <c r="AB225" s="192"/>
      <c r="AC225" s="192"/>
      <c r="AD225" s="192"/>
      <c r="AE225" s="192"/>
      <c r="AF225" s="192"/>
      <c r="AG225" s="192"/>
      <c r="AH225" s="6"/>
    </row>
    <row r="226" spans="1:34" ht="15.95" customHeight="1">
      <c r="A226" s="7"/>
      <c r="B226" s="16">
        <f>DSUM('$REV-DB'!D35:AG67,"AMOUNT",'$REV-DSUM'!D224:AG231)</f>
        <v>33142729</v>
      </c>
      <c r="C226" s="12"/>
      <c r="D226" s="191"/>
      <c r="E226" s="191"/>
      <c r="F226" s="190"/>
      <c r="G226" s="191"/>
      <c r="H226" s="190"/>
      <c r="I226" s="190"/>
      <c r="J226" s="191"/>
      <c r="K226" s="191"/>
      <c r="L226" s="283" t="s">
        <v>34</v>
      </c>
      <c r="M226" s="190"/>
      <c r="N226" s="38" t="str">
        <f t="shared" ref="N226:N231" si="21">J$6</f>
        <v>FY2010-11</v>
      </c>
      <c r="O226" s="38" t="s">
        <v>152</v>
      </c>
      <c r="P226" s="38" t="s">
        <v>147</v>
      </c>
      <c r="Q226" s="38"/>
      <c r="R226" s="191"/>
      <c r="S226" s="191"/>
      <c r="T226" s="191"/>
      <c r="U226" s="191"/>
      <c r="V226" s="192"/>
      <c r="W226" s="192"/>
      <c r="X226" s="192"/>
      <c r="Y226" s="192"/>
      <c r="Z226" s="192"/>
      <c r="AA226" s="192"/>
      <c r="AB226" s="192"/>
      <c r="AC226" s="192"/>
      <c r="AD226" s="192"/>
      <c r="AE226" s="192"/>
      <c r="AF226" s="192"/>
      <c r="AG226" s="192"/>
      <c r="AH226" s="6"/>
    </row>
    <row r="227" spans="1:34" ht="15.95" customHeight="1">
      <c r="A227" s="7"/>
      <c r="B227" s="10"/>
      <c r="C227" s="12"/>
      <c r="D227" s="191"/>
      <c r="E227" s="191"/>
      <c r="F227" s="190"/>
      <c r="G227" s="191"/>
      <c r="H227" s="190"/>
      <c r="I227" s="190"/>
      <c r="J227" s="191"/>
      <c r="K227" s="191"/>
      <c r="L227" s="283" t="s">
        <v>34</v>
      </c>
      <c r="M227" s="190"/>
      <c r="N227" s="38" t="str">
        <f t="shared" si="21"/>
        <v>FY2010-11</v>
      </c>
      <c r="O227" s="38" t="s">
        <v>152</v>
      </c>
      <c r="P227" s="38" t="s">
        <v>147</v>
      </c>
      <c r="Q227" s="38"/>
      <c r="R227" s="191"/>
      <c r="S227" s="191"/>
      <c r="T227" s="191"/>
      <c r="U227" s="191"/>
      <c r="V227" s="192"/>
      <c r="W227" s="192"/>
      <c r="X227" s="192"/>
      <c r="Y227" s="192"/>
      <c r="Z227" s="192"/>
      <c r="AA227" s="192"/>
      <c r="AB227" s="192"/>
      <c r="AC227" s="192"/>
      <c r="AD227" s="192"/>
      <c r="AE227" s="192"/>
      <c r="AF227" s="192"/>
      <c r="AG227" s="192"/>
    </row>
    <row r="228" spans="1:34" ht="15.95" customHeight="1">
      <c r="A228" s="7"/>
      <c r="B228" s="10"/>
      <c r="C228" s="12"/>
      <c r="D228" s="191"/>
      <c r="E228" s="191"/>
      <c r="F228" s="190"/>
      <c r="G228" s="191"/>
      <c r="H228" s="190"/>
      <c r="I228" s="190"/>
      <c r="J228" s="191"/>
      <c r="K228" s="191"/>
      <c r="L228" s="283" t="s">
        <v>34</v>
      </c>
      <c r="M228" s="190"/>
      <c r="N228" s="38" t="str">
        <f t="shared" si="21"/>
        <v>FY2010-11</v>
      </c>
      <c r="O228" s="38" t="s">
        <v>152</v>
      </c>
      <c r="P228" s="38" t="s">
        <v>147</v>
      </c>
      <c r="Q228" s="38"/>
      <c r="R228" s="191"/>
      <c r="S228" s="191"/>
      <c r="T228" s="191"/>
      <c r="U228" s="191"/>
      <c r="V228" s="192"/>
      <c r="W228" s="192"/>
      <c r="X228" s="192"/>
      <c r="Y228" s="192"/>
      <c r="Z228" s="192"/>
      <c r="AA228" s="192"/>
      <c r="AB228" s="192"/>
      <c r="AC228" s="192"/>
      <c r="AD228" s="192"/>
      <c r="AE228" s="192"/>
      <c r="AF228" s="192"/>
      <c r="AG228" s="192"/>
    </row>
    <row r="229" spans="1:34" ht="15.95" customHeight="1">
      <c r="A229" s="7"/>
      <c r="B229" s="10"/>
      <c r="C229" s="12"/>
      <c r="D229" s="191"/>
      <c r="E229" s="191"/>
      <c r="F229" s="190"/>
      <c r="G229" s="191"/>
      <c r="H229" s="190"/>
      <c r="I229" s="190"/>
      <c r="J229" s="191"/>
      <c r="K229" s="191"/>
      <c r="L229" s="283" t="s">
        <v>34</v>
      </c>
      <c r="M229" s="190"/>
      <c r="N229" s="38" t="str">
        <f t="shared" si="21"/>
        <v>FY2010-11</v>
      </c>
      <c r="O229" s="38" t="s">
        <v>152</v>
      </c>
      <c r="P229" s="38" t="s">
        <v>147</v>
      </c>
      <c r="Q229" s="38"/>
      <c r="R229" s="191"/>
      <c r="S229" s="191"/>
      <c r="T229" s="191"/>
      <c r="U229" s="191"/>
      <c r="V229" s="192"/>
      <c r="W229" s="192"/>
      <c r="X229" s="192"/>
      <c r="Y229" s="192"/>
      <c r="Z229" s="192"/>
      <c r="AA229" s="192"/>
      <c r="AB229" s="192"/>
      <c r="AC229" s="192"/>
      <c r="AD229" s="192"/>
      <c r="AE229" s="192"/>
      <c r="AF229" s="192"/>
      <c r="AG229" s="192"/>
    </row>
    <row r="230" spans="1:34" ht="15.95" customHeight="1">
      <c r="A230" s="7"/>
      <c r="B230" s="10"/>
      <c r="C230" s="12"/>
      <c r="D230" s="191"/>
      <c r="E230" s="191"/>
      <c r="F230" s="190"/>
      <c r="G230" s="191"/>
      <c r="H230" s="190"/>
      <c r="I230" s="190"/>
      <c r="J230" s="191"/>
      <c r="K230" s="191"/>
      <c r="L230" s="283" t="s">
        <v>34</v>
      </c>
      <c r="M230" s="190"/>
      <c r="N230" s="38" t="str">
        <f t="shared" si="21"/>
        <v>FY2010-11</v>
      </c>
      <c r="O230" s="38" t="s">
        <v>152</v>
      </c>
      <c r="P230" s="38" t="s">
        <v>147</v>
      </c>
      <c r="Q230" s="38"/>
      <c r="R230" s="191"/>
      <c r="S230" s="191"/>
      <c r="T230" s="191"/>
      <c r="U230" s="191"/>
      <c r="V230" s="192"/>
      <c r="W230" s="192"/>
      <c r="X230" s="192"/>
      <c r="Y230" s="192"/>
      <c r="Z230" s="192"/>
      <c r="AA230" s="192"/>
      <c r="AB230" s="192"/>
      <c r="AC230" s="192"/>
      <c r="AD230" s="192"/>
      <c r="AE230" s="192"/>
      <c r="AF230" s="192"/>
      <c r="AG230" s="192"/>
    </row>
    <row r="231" spans="1:34" ht="15.95" customHeight="1">
      <c r="A231" s="7"/>
      <c r="B231" s="10"/>
      <c r="C231" s="12"/>
      <c r="D231" s="191"/>
      <c r="E231" s="191"/>
      <c r="F231" s="190"/>
      <c r="G231" s="191"/>
      <c r="H231" s="190"/>
      <c r="I231" s="190"/>
      <c r="J231" s="191"/>
      <c r="K231" s="191"/>
      <c r="L231" s="283" t="s">
        <v>34</v>
      </c>
      <c r="M231" s="190"/>
      <c r="N231" s="38" t="str">
        <f t="shared" si="21"/>
        <v>FY2010-11</v>
      </c>
      <c r="O231" s="38" t="s">
        <v>152</v>
      </c>
      <c r="P231" s="38" t="s">
        <v>147</v>
      </c>
      <c r="Q231" s="38"/>
      <c r="R231" s="191"/>
      <c r="S231" s="191"/>
      <c r="T231" s="191"/>
      <c r="U231" s="191"/>
      <c r="V231" s="192"/>
      <c r="W231" s="192"/>
      <c r="X231" s="192"/>
      <c r="Y231" s="192"/>
      <c r="Z231" s="192"/>
      <c r="AA231" s="192"/>
      <c r="AB231" s="192"/>
      <c r="AC231" s="192"/>
      <c r="AD231" s="192"/>
      <c r="AE231" s="192"/>
      <c r="AF231" s="192"/>
      <c r="AG231" s="192"/>
    </row>
    <row r="232" spans="1:34" ht="15.95" customHeight="1">
      <c r="A232" s="25"/>
      <c r="B232" s="26"/>
      <c r="C232" s="26"/>
      <c r="D232" s="27"/>
      <c r="E232" s="27"/>
      <c r="F232" s="28"/>
      <c r="G232" s="27"/>
      <c r="H232" s="28"/>
      <c r="I232" s="28"/>
      <c r="J232" s="27"/>
      <c r="K232" s="27"/>
      <c r="L232" s="282"/>
      <c r="M232" s="28"/>
      <c r="N232" s="28"/>
      <c r="O232" s="27"/>
      <c r="P232" s="28"/>
      <c r="Q232" s="28"/>
      <c r="R232" s="27"/>
      <c r="S232" s="27"/>
      <c r="T232" s="27"/>
      <c r="U232" s="27"/>
      <c r="V232" s="25"/>
      <c r="W232" s="25"/>
      <c r="X232" s="25"/>
      <c r="Y232" s="25"/>
      <c r="Z232" s="25"/>
      <c r="AA232" s="25"/>
      <c r="AB232" s="25"/>
      <c r="AC232" s="25"/>
      <c r="AD232" s="25"/>
      <c r="AE232" s="25"/>
      <c r="AF232" s="25"/>
      <c r="AG232" s="25"/>
    </row>
    <row r="233" spans="1:34" ht="15.95" customHeight="1" thickBot="1">
      <c r="A233" s="7"/>
      <c r="B233" s="19" t="str">
        <f>"FA1 = "&amp;'FIG3'!$W$52&amp;" "&amp;'FIG3'!$X$52</f>
        <v>FA1 = Fulton County District</v>
      </c>
      <c r="C233" s="7"/>
      <c r="D233" s="8"/>
      <c r="E233" s="8"/>
      <c r="F233" s="9"/>
      <c r="G233" s="8"/>
      <c r="H233" s="9"/>
      <c r="I233" s="9"/>
      <c r="J233" s="8"/>
      <c r="K233" s="8"/>
      <c r="L233" s="280"/>
      <c r="M233" s="9"/>
      <c r="N233" s="9"/>
      <c r="O233" s="8"/>
      <c r="P233" s="9"/>
      <c r="Q233" s="9"/>
      <c r="R233" s="8"/>
      <c r="S233" s="866"/>
      <c r="T233" s="867" t="str">
        <f>'$REV-DB'!$T$34</f>
        <v>UD1</v>
      </c>
      <c r="U233" s="867" t="str">
        <f>'$REV-DB'!$U$34</f>
        <v>UD2</v>
      </c>
      <c r="V233" s="867" t="str">
        <f>'$REV-DB'!$V$34</f>
        <v>UD3</v>
      </c>
      <c r="W233" s="867" t="str">
        <f>'$REV-DB'!$W$34</f>
        <v>UD4</v>
      </c>
      <c r="X233" s="867" t="str">
        <f>'$REV-DB'!$X$34</f>
        <v>UD5</v>
      </c>
      <c r="Y233" s="867" t="str">
        <f>'$REV-DB'!$Y$34</f>
        <v>UD6</v>
      </c>
      <c r="Z233" s="867" t="str">
        <f>'$REV-DB'!$Z$34</f>
        <v>UD7</v>
      </c>
      <c r="AA233" s="867" t="str">
        <f>'$REV-DB'!$AA$34</f>
        <v>UD8</v>
      </c>
      <c r="AB233" s="867" t="str">
        <f>'$REV-DB'!$AB$34</f>
        <v>UD9</v>
      </c>
      <c r="AC233" s="867" t="str">
        <f>'$REV-DB'!$AC$34</f>
        <v>UD10</v>
      </c>
      <c r="AD233" s="867" t="str">
        <f>'$REV-DB'!$AD$34</f>
        <v>UD11</v>
      </c>
      <c r="AE233" s="867" t="str">
        <f>'$REV-DB'!$AE$34</f>
        <v>UD12</v>
      </c>
      <c r="AF233" s="867" t="str">
        <f>'$REV-DB'!$AF$34</f>
        <v>UD13</v>
      </c>
      <c r="AG233" s="867" t="str">
        <f>'$REV-DB'!$AG$34</f>
        <v>UD14</v>
      </c>
    </row>
    <row r="234" spans="1:34" ht="15.95" customHeight="1" thickTop="1" thickBot="1">
      <c r="A234" s="7"/>
      <c r="B234" s="20" t="s">
        <v>175</v>
      </c>
      <c r="C234" s="15"/>
      <c r="D234" s="105" t="s">
        <v>186</v>
      </c>
      <c r="E234" s="105" t="s">
        <v>187</v>
      </c>
      <c r="F234" s="105" t="s">
        <v>188</v>
      </c>
      <c r="G234" s="105" t="s">
        <v>189</v>
      </c>
      <c r="H234" s="301" t="s">
        <v>11</v>
      </c>
      <c r="I234" s="301" t="s">
        <v>190</v>
      </c>
      <c r="J234" s="301" t="s">
        <v>191</v>
      </c>
      <c r="K234" s="301" t="s">
        <v>192</v>
      </c>
      <c r="L234" s="301" t="s">
        <v>203</v>
      </c>
      <c r="M234" s="301" t="s">
        <v>42</v>
      </c>
      <c r="N234" s="105" t="s">
        <v>148</v>
      </c>
      <c r="O234" s="105" t="s">
        <v>193</v>
      </c>
      <c r="P234" s="105" t="s">
        <v>142</v>
      </c>
      <c r="Q234" s="105" t="s">
        <v>194</v>
      </c>
      <c r="R234" s="112" t="s">
        <v>141</v>
      </c>
      <c r="S234" s="112" t="s">
        <v>672</v>
      </c>
      <c r="T234" s="857" t="s">
        <v>541</v>
      </c>
      <c r="U234" s="857" t="s">
        <v>542</v>
      </c>
      <c r="V234" s="857" t="s">
        <v>543</v>
      </c>
      <c r="W234" s="857" t="s">
        <v>544</v>
      </c>
      <c r="X234" s="857" t="s">
        <v>545</v>
      </c>
      <c r="Y234" s="857" t="s">
        <v>546</v>
      </c>
      <c r="Z234" s="857" t="s">
        <v>547</v>
      </c>
      <c r="AA234" s="857" t="s">
        <v>548</v>
      </c>
      <c r="AB234" s="857" t="s">
        <v>549</v>
      </c>
      <c r="AC234" s="857" t="s">
        <v>550</v>
      </c>
      <c r="AD234" s="857" t="s">
        <v>551</v>
      </c>
      <c r="AE234" s="857" t="s">
        <v>552</v>
      </c>
      <c r="AF234" s="857" t="s">
        <v>553</v>
      </c>
      <c r="AG234" s="857" t="s">
        <v>554</v>
      </c>
      <c r="AH234" s="6"/>
    </row>
    <row r="235" spans="1:34" ht="15.95" customHeight="1" thickTop="1">
      <c r="A235" s="7"/>
      <c r="B235" s="19" t="s">
        <v>145</v>
      </c>
      <c r="C235" s="12"/>
      <c r="D235" s="191"/>
      <c r="E235" s="191"/>
      <c r="F235" s="190"/>
      <c r="G235" s="191"/>
      <c r="H235" s="190"/>
      <c r="I235" s="190"/>
      <c r="J235" s="191"/>
      <c r="K235" s="191"/>
      <c r="L235" s="283" t="s">
        <v>34</v>
      </c>
      <c r="M235" s="190"/>
      <c r="N235" s="38" t="str">
        <f>J$6</f>
        <v>FY2010-11</v>
      </c>
      <c r="O235" s="38" t="s">
        <v>152</v>
      </c>
      <c r="P235" s="38" t="s">
        <v>147</v>
      </c>
      <c r="Q235" s="38" t="s">
        <v>180</v>
      </c>
      <c r="R235" s="191"/>
      <c r="S235" s="191"/>
      <c r="T235" s="191"/>
      <c r="U235" s="191"/>
      <c r="V235" s="192"/>
      <c r="W235" s="192"/>
      <c r="X235" s="192"/>
      <c r="Y235" s="192"/>
      <c r="Z235" s="192"/>
      <c r="AA235" s="192"/>
      <c r="AB235" s="192"/>
      <c r="AC235" s="192"/>
      <c r="AD235" s="192"/>
      <c r="AE235" s="192"/>
      <c r="AF235" s="192"/>
      <c r="AG235" s="192"/>
      <c r="AH235" s="6"/>
    </row>
    <row r="236" spans="1:34" ht="15.95" customHeight="1">
      <c r="A236" s="7"/>
      <c r="B236" s="16">
        <f>DSUM('$REV-DB'!D35:AG67,"AMOUNT",'$REV-DSUM'!D234:AG241)</f>
        <v>3396216.2</v>
      </c>
      <c r="C236" s="12"/>
      <c r="D236" s="191"/>
      <c r="E236" s="191"/>
      <c r="F236" s="190"/>
      <c r="G236" s="191"/>
      <c r="H236" s="190"/>
      <c r="I236" s="190"/>
      <c r="J236" s="191"/>
      <c r="K236" s="191"/>
      <c r="L236" s="283" t="s">
        <v>34</v>
      </c>
      <c r="M236" s="190"/>
      <c r="N236" s="38" t="str">
        <f t="shared" ref="N236:N241" si="22">J$6</f>
        <v>FY2010-11</v>
      </c>
      <c r="O236" s="38" t="s">
        <v>152</v>
      </c>
      <c r="P236" s="38" t="s">
        <v>147</v>
      </c>
      <c r="Q236" s="38" t="s">
        <v>180</v>
      </c>
      <c r="R236" s="191"/>
      <c r="S236" s="191"/>
      <c r="T236" s="191"/>
      <c r="U236" s="191"/>
      <c r="V236" s="192"/>
      <c r="W236" s="192"/>
      <c r="X236" s="192"/>
      <c r="Y236" s="192"/>
      <c r="Z236" s="192"/>
      <c r="AA236" s="192"/>
      <c r="AB236" s="192"/>
      <c r="AC236" s="192"/>
      <c r="AD236" s="192"/>
      <c r="AE236" s="192"/>
      <c r="AF236" s="192"/>
      <c r="AG236" s="192"/>
      <c r="AH236" s="6"/>
    </row>
    <row r="237" spans="1:34" ht="15.95" customHeight="1">
      <c r="A237" s="7"/>
      <c r="B237" s="10"/>
      <c r="C237" s="12"/>
      <c r="D237" s="191"/>
      <c r="E237" s="191"/>
      <c r="F237" s="190"/>
      <c r="G237" s="191"/>
      <c r="H237" s="190"/>
      <c r="I237" s="190"/>
      <c r="J237" s="191"/>
      <c r="K237" s="191"/>
      <c r="L237" s="283" t="s">
        <v>34</v>
      </c>
      <c r="M237" s="190"/>
      <c r="N237" s="38" t="str">
        <f t="shared" si="22"/>
        <v>FY2010-11</v>
      </c>
      <c r="O237" s="38" t="s">
        <v>152</v>
      </c>
      <c r="P237" s="38" t="s">
        <v>147</v>
      </c>
      <c r="Q237" s="38" t="s">
        <v>180</v>
      </c>
      <c r="R237" s="191"/>
      <c r="S237" s="191"/>
      <c r="T237" s="191"/>
      <c r="U237" s="191"/>
      <c r="V237" s="192"/>
      <c r="W237" s="192"/>
      <c r="X237" s="192"/>
      <c r="Y237" s="192"/>
      <c r="Z237" s="192"/>
      <c r="AA237" s="192"/>
      <c r="AB237" s="192"/>
      <c r="AC237" s="192"/>
      <c r="AD237" s="192"/>
      <c r="AE237" s="192"/>
      <c r="AF237" s="192"/>
      <c r="AG237" s="192"/>
    </row>
    <row r="238" spans="1:34" ht="15.95" customHeight="1">
      <c r="A238" s="7"/>
      <c r="B238" s="10"/>
      <c r="C238" s="12"/>
      <c r="D238" s="191"/>
      <c r="E238" s="191"/>
      <c r="F238" s="190"/>
      <c r="G238" s="191"/>
      <c r="H238" s="190"/>
      <c r="I238" s="190"/>
      <c r="J238" s="191"/>
      <c r="K238" s="191"/>
      <c r="L238" s="283" t="s">
        <v>34</v>
      </c>
      <c r="M238" s="190"/>
      <c r="N238" s="38" t="str">
        <f t="shared" si="22"/>
        <v>FY2010-11</v>
      </c>
      <c r="O238" s="38" t="s">
        <v>152</v>
      </c>
      <c r="P238" s="38" t="s">
        <v>147</v>
      </c>
      <c r="Q238" s="38" t="s">
        <v>180</v>
      </c>
      <c r="R238" s="191"/>
      <c r="S238" s="191"/>
      <c r="T238" s="191"/>
      <c r="U238" s="191"/>
      <c r="V238" s="192"/>
      <c r="W238" s="192"/>
      <c r="X238" s="192"/>
      <c r="Y238" s="192"/>
      <c r="Z238" s="192"/>
      <c r="AA238" s="192"/>
      <c r="AB238" s="192"/>
      <c r="AC238" s="192"/>
      <c r="AD238" s="192"/>
      <c r="AE238" s="192"/>
      <c r="AF238" s="192"/>
      <c r="AG238" s="192"/>
    </row>
    <row r="239" spans="1:34" ht="15.95" customHeight="1">
      <c r="A239" s="7"/>
      <c r="B239" s="10"/>
      <c r="C239" s="12"/>
      <c r="D239" s="191"/>
      <c r="E239" s="191"/>
      <c r="F239" s="190"/>
      <c r="G239" s="191"/>
      <c r="H239" s="190"/>
      <c r="I239" s="190"/>
      <c r="J239" s="191"/>
      <c r="K239" s="191"/>
      <c r="L239" s="283" t="s">
        <v>34</v>
      </c>
      <c r="M239" s="190"/>
      <c r="N239" s="38" t="str">
        <f t="shared" si="22"/>
        <v>FY2010-11</v>
      </c>
      <c r="O239" s="38" t="s">
        <v>152</v>
      </c>
      <c r="P239" s="38" t="s">
        <v>147</v>
      </c>
      <c r="Q239" s="38" t="s">
        <v>180</v>
      </c>
      <c r="R239" s="191"/>
      <c r="S239" s="191"/>
      <c r="T239" s="191"/>
      <c r="U239" s="191"/>
      <c r="V239" s="192"/>
      <c r="W239" s="192"/>
      <c r="X239" s="192"/>
      <c r="Y239" s="192"/>
      <c r="Z239" s="192"/>
      <c r="AA239" s="192"/>
      <c r="AB239" s="192"/>
      <c r="AC239" s="192"/>
      <c r="AD239" s="192"/>
      <c r="AE239" s="192"/>
      <c r="AF239" s="192"/>
      <c r="AG239" s="192"/>
    </row>
    <row r="240" spans="1:34" ht="15.95" customHeight="1">
      <c r="A240" s="7"/>
      <c r="B240" s="10"/>
      <c r="C240" s="12"/>
      <c r="D240" s="191"/>
      <c r="E240" s="191"/>
      <c r="F240" s="190"/>
      <c r="G240" s="191"/>
      <c r="H240" s="190"/>
      <c r="I240" s="190"/>
      <c r="J240" s="191"/>
      <c r="K240" s="191"/>
      <c r="L240" s="283" t="s">
        <v>34</v>
      </c>
      <c r="M240" s="190"/>
      <c r="N240" s="38" t="str">
        <f t="shared" si="22"/>
        <v>FY2010-11</v>
      </c>
      <c r="O240" s="38" t="s">
        <v>152</v>
      </c>
      <c r="P240" s="38" t="s">
        <v>147</v>
      </c>
      <c r="Q240" s="38" t="s">
        <v>180</v>
      </c>
      <c r="R240" s="191"/>
      <c r="S240" s="191"/>
      <c r="T240" s="191"/>
      <c r="U240" s="191"/>
      <c r="V240" s="192"/>
      <c r="W240" s="192"/>
      <c r="X240" s="192"/>
      <c r="Y240" s="192"/>
      <c r="Z240" s="192"/>
      <c r="AA240" s="192"/>
      <c r="AB240" s="192"/>
      <c r="AC240" s="192"/>
      <c r="AD240" s="192"/>
      <c r="AE240" s="192"/>
      <c r="AF240" s="192"/>
      <c r="AG240" s="192"/>
    </row>
    <row r="241" spans="1:34" ht="15.95" customHeight="1">
      <c r="A241" s="7"/>
      <c r="B241" s="10"/>
      <c r="C241" s="12"/>
      <c r="D241" s="191"/>
      <c r="E241" s="191"/>
      <c r="F241" s="190"/>
      <c r="G241" s="191"/>
      <c r="H241" s="190"/>
      <c r="I241" s="190"/>
      <c r="J241" s="191"/>
      <c r="K241" s="191"/>
      <c r="L241" s="283" t="s">
        <v>34</v>
      </c>
      <c r="M241" s="190"/>
      <c r="N241" s="38" t="str">
        <f t="shared" si="22"/>
        <v>FY2010-11</v>
      </c>
      <c r="O241" s="38" t="s">
        <v>152</v>
      </c>
      <c r="P241" s="38" t="s">
        <v>147</v>
      </c>
      <c r="Q241" s="38" t="s">
        <v>180</v>
      </c>
      <c r="R241" s="191"/>
      <c r="S241" s="191"/>
      <c r="T241" s="191"/>
      <c r="U241" s="191"/>
      <c r="V241" s="192"/>
      <c r="W241" s="192"/>
      <c r="X241" s="192"/>
      <c r="Y241" s="192"/>
      <c r="Z241" s="192"/>
      <c r="AA241" s="192"/>
      <c r="AB241" s="192"/>
      <c r="AC241" s="192"/>
      <c r="AD241" s="192"/>
      <c r="AE241" s="192"/>
      <c r="AF241" s="192"/>
      <c r="AG241" s="192"/>
    </row>
    <row r="242" spans="1:34" ht="15.95" customHeight="1">
      <c r="A242" s="25"/>
      <c r="B242" s="26"/>
      <c r="C242" s="26"/>
      <c r="D242" s="27"/>
      <c r="E242" s="27"/>
      <c r="F242" s="28"/>
      <c r="G242" s="27"/>
      <c r="H242" s="28"/>
      <c r="I242" s="28"/>
      <c r="J242" s="27"/>
      <c r="K242" s="27"/>
      <c r="L242" s="282"/>
      <c r="M242" s="28"/>
      <c r="N242" s="28"/>
      <c r="O242" s="27"/>
      <c r="P242" s="28"/>
      <c r="Q242" s="28"/>
      <c r="R242" s="27"/>
      <c r="S242" s="27"/>
      <c r="T242" s="27"/>
      <c r="U242" s="27"/>
      <c r="V242" s="25"/>
      <c r="W242" s="25"/>
      <c r="X242" s="25"/>
      <c r="Y242" s="25"/>
      <c r="Z242" s="25"/>
      <c r="AA242" s="25"/>
      <c r="AB242" s="25"/>
      <c r="AC242" s="25"/>
      <c r="AD242" s="25"/>
      <c r="AE242" s="25"/>
      <c r="AF242" s="25"/>
      <c r="AG242" s="25"/>
    </row>
    <row r="243" spans="1:34" ht="15.95" customHeight="1" thickBot="1">
      <c r="A243" s="7"/>
      <c r="B243" s="19" t="str">
        <f>"FA1 = "&amp;'FIG3'!$W$52&amp;" "&amp;'FIG3'!$X$52</f>
        <v>FA1 = Fulton County District</v>
      </c>
      <c r="C243" s="7"/>
      <c r="D243" s="8"/>
      <c r="E243" s="8"/>
      <c r="F243" s="9"/>
      <c r="G243" s="8"/>
      <c r="H243" s="9"/>
      <c r="I243" s="9"/>
      <c r="J243" s="8"/>
      <c r="K243" s="8"/>
      <c r="L243" s="280"/>
      <c r="M243" s="9"/>
      <c r="N243" s="9"/>
      <c r="O243" s="8"/>
      <c r="P243" s="9"/>
      <c r="Q243" s="9"/>
      <c r="R243" s="8"/>
      <c r="S243" s="866"/>
      <c r="T243" s="867" t="str">
        <f>'$REV-DB'!$T$34</f>
        <v>UD1</v>
      </c>
      <c r="U243" s="867" t="str">
        <f>'$REV-DB'!$U$34</f>
        <v>UD2</v>
      </c>
      <c r="V243" s="867" t="str">
        <f>'$REV-DB'!$V$34</f>
        <v>UD3</v>
      </c>
      <c r="W243" s="867" t="str">
        <f>'$REV-DB'!$W$34</f>
        <v>UD4</v>
      </c>
      <c r="X243" s="867" t="str">
        <f>'$REV-DB'!$X$34</f>
        <v>UD5</v>
      </c>
      <c r="Y243" s="867" t="str">
        <f>'$REV-DB'!$Y$34</f>
        <v>UD6</v>
      </c>
      <c r="Z243" s="867" t="str">
        <f>'$REV-DB'!$Z$34</f>
        <v>UD7</v>
      </c>
      <c r="AA243" s="867" t="str">
        <f>'$REV-DB'!$AA$34</f>
        <v>UD8</v>
      </c>
      <c r="AB243" s="867" t="str">
        <f>'$REV-DB'!$AB$34</f>
        <v>UD9</v>
      </c>
      <c r="AC243" s="867" t="str">
        <f>'$REV-DB'!$AC$34</f>
        <v>UD10</v>
      </c>
      <c r="AD243" s="867" t="str">
        <f>'$REV-DB'!$AD$34</f>
        <v>UD11</v>
      </c>
      <c r="AE243" s="867" t="str">
        <f>'$REV-DB'!$AE$34</f>
        <v>UD12</v>
      </c>
      <c r="AF243" s="867" t="str">
        <f>'$REV-DB'!$AF$34</f>
        <v>UD13</v>
      </c>
      <c r="AG243" s="867" t="str">
        <f>'$REV-DB'!$AG$34</f>
        <v>UD14</v>
      </c>
    </row>
    <row r="244" spans="1:34" ht="15.95" customHeight="1" thickTop="1" thickBot="1">
      <c r="A244" s="7"/>
      <c r="B244" s="20" t="s">
        <v>175</v>
      </c>
      <c r="C244" s="15"/>
      <c r="D244" s="105" t="s">
        <v>186</v>
      </c>
      <c r="E244" s="105" t="s">
        <v>187</v>
      </c>
      <c r="F244" s="105" t="s">
        <v>188</v>
      </c>
      <c r="G244" s="105" t="s">
        <v>189</v>
      </c>
      <c r="H244" s="301" t="s">
        <v>11</v>
      </c>
      <c r="I244" s="301" t="s">
        <v>190</v>
      </c>
      <c r="J244" s="301" t="s">
        <v>191</v>
      </c>
      <c r="K244" s="301" t="s">
        <v>192</v>
      </c>
      <c r="L244" s="301" t="s">
        <v>203</v>
      </c>
      <c r="M244" s="301" t="s">
        <v>42</v>
      </c>
      <c r="N244" s="105" t="s">
        <v>148</v>
      </c>
      <c r="O244" s="105" t="s">
        <v>193</v>
      </c>
      <c r="P244" s="105" t="s">
        <v>142</v>
      </c>
      <c r="Q244" s="105" t="s">
        <v>194</v>
      </c>
      <c r="R244" s="112" t="s">
        <v>141</v>
      </c>
      <c r="S244" s="112" t="s">
        <v>672</v>
      </c>
      <c r="T244" s="857" t="s">
        <v>541</v>
      </c>
      <c r="U244" s="857" t="s">
        <v>542</v>
      </c>
      <c r="V244" s="857" t="s">
        <v>543</v>
      </c>
      <c r="W244" s="857" t="s">
        <v>544</v>
      </c>
      <c r="X244" s="857" t="s">
        <v>545</v>
      </c>
      <c r="Y244" s="857" t="s">
        <v>546</v>
      </c>
      <c r="Z244" s="857" t="s">
        <v>547</v>
      </c>
      <c r="AA244" s="857" t="s">
        <v>548</v>
      </c>
      <c r="AB244" s="857" t="s">
        <v>549</v>
      </c>
      <c r="AC244" s="857" t="s">
        <v>550</v>
      </c>
      <c r="AD244" s="857" t="s">
        <v>551</v>
      </c>
      <c r="AE244" s="857" t="s">
        <v>552</v>
      </c>
      <c r="AF244" s="857" t="s">
        <v>553</v>
      </c>
      <c r="AG244" s="857" t="s">
        <v>554</v>
      </c>
      <c r="AH244" s="6"/>
    </row>
    <row r="245" spans="1:34" ht="15.95" customHeight="1" thickTop="1">
      <c r="A245" s="7"/>
      <c r="B245" s="19" t="s">
        <v>144</v>
      </c>
      <c r="C245" s="12"/>
      <c r="D245" s="191"/>
      <c r="E245" s="191"/>
      <c r="F245" s="190"/>
      <c r="G245" s="191"/>
      <c r="H245" s="190"/>
      <c r="I245" s="190"/>
      <c r="J245" s="191"/>
      <c r="K245" s="191"/>
      <c r="L245" s="283" t="s">
        <v>34</v>
      </c>
      <c r="M245" s="190"/>
      <c r="N245" s="38" t="str">
        <f>J$6</f>
        <v>FY2010-11</v>
      </c>
      <c r="O245" s="38" t="s">
        <v>152</v>
      </c>
      <c r="P245" s="38" t="s">
        <v>147</v>
      </c>
      <c r="Q245" s="38" t="s">
        <v>139</v>
      </c>
      <c r="R245" s="191"/>
      <c r="S245" s="191"/>
      <c r="T245" s="191"/>
      <c r="U245" s="191"/>
      <c r="V245" s="192"/>
      <c r="W245" s="192"/>
      <c r="X245" s="192"/>
      <c r="Y245" s="192"/>
      <c r="Z245" s="192"/>
      <c r="AA245" s="192"/>
      <c r="AB245" s="192"/>
      <c r="AC245" s="192"/>
      <c r="AD245" s="192"/>
      <c r="AE245" s="192"/>
      <c r="AF245" s="192"/>
      <c r="AG245" s="192"/>
      <c r="AH245" s="6"/>
    </row>
    <row r="246" spans="1:34" ht="15.95" customHeight="1">
      <c r="A246" s="7"/>
      <c r="B246" s="16">
        <f>DSUM('$REV-DB'!D35:AG67,"AMOUNT",'$REV-DSUM'!D244:AG251)</f>
        <v>14853407</v>
      </c>
      <c r="C246" s="12"/>
      <c r="D246" s="191"/>
      <c r="E246" s="191"/>
      <c r="F246" s="190"/>
      <c r="G246" s="191"/>
      <c r="H246" s="190"/>
      <c r="I246" s="190"/>
      <c r="J246" s="191"/>
      <c r="K246" s="191"/>
      <c r="L246" s="283" t="s">
        <v>34</v>
      </c>
      <c r="M246" s="190"/>
      <c r="N246" s="38" t="str">
        <f t="shared" ref="N246:N251" si="23">J$6</f>
        <v>FY2010-11</v>
      </c>
      <c r="O246" s="38" t="s">
        <v>152</v>
      </c>
      <c r="P246" s="38" t="s">
        <v>147</v>
      </c>
      <c r="Q246" s="38" t="s">
        <v>139</v>
      </c>
      <c r="R246" s="191"/>
      <c r="S246" s="191"/>
      <c r="T246" s="191"/>
      <c r="U246" s="191"/>
      <c r="V246" s="192"/>
      <c r="W246" s="192"/>
      <c r="X246" s="192"/>
      <c r="Y246" s="192"/>
      <c r="Z246" s="192"/>
      <c r="AA246" s="192"/>
      <c r="AB246" s="192"/>
      <c r="AC246" s="192"/>
      <c r="AD246" s="192"/>
      <c r="AE246" s="192"/>
      <c r="AF246" s="192"/>
      <c r="AG246" s="192"/>
      <c r="AH246" s="6"/>
    </row>
    <row r="247" spans="1:34" ht="15.95" customHeight="1">
      <c r="A247" s="7"/>
      <c r="B247" s="10"/>
      <c r="C247" s="12"/>
      <c r="D247" s="191"/>
      <c r="E247" s="191"/>
      <c r="F247" s="190"/>
      <c r="G247" s="191"/>
      <c r="H247" s="190"/>
      <c r="I247" s="190"/>
      <c r="J247" s="191"/>
      <c r="K247" s="191"/>
      <c r="L247" s="283" t="s">
        <v>34</v>
      </c>
      <c r="M247" s="190"/>
      <c r="N247" s="38" t="str">
        <f t="shared" si="23"/>
        <v>FY2010-11</v>
      </c>
      <c r="O247" s="38" t="s">
        <v>152</v>
      </c>
      <c r="P247" s="38" t="s">
        <v>147</v>
      </c>
      <c r="Q247" s="38" t="s">
        <v>139</v>
      </c>
      <c r="R247" s="191"/>
      <c r="S247" s="191"/>
      <c r="T247" s="191"/>
      <c r="U247" s="191"/>
      <c r="V247" s="192"/>
      <c r="W247" s="192"/>
      <c r="X247" s="192"/>
      <c r="Y247" s="192"/>
      <c r="Z247" s="192"/>
      <c r="AA247" s="192"/>
      <c r="AB247" s="192"/>
      <c r="AC247" s="192"/>
      <c r="AD247" s="192"/>
      <c r="AE247" s="192"/>
      <c r="AF247" s="192"/>
      <c r="AG247" s="192"/>
    </row>
    <row r="248" spans="1:34" ht="15.95" customHeight="1">
      <c r="A248" s="7"/>
      <c r="B248" s="10"/>
      <c r="C248" s="12"/>
      <c r="D248" s="191"/>
      <c r="E248" s="191"/>
      <c r="F248" s="190"/>
      <c r="G248" s="191"/>
      <c r="H248" s="190"/>
      <c r="I248" s="190"/>
      <c r="J248" s="191"/>
      <c r="K248" s="191"/>
      <c r="L248" s="283" t="s">
        <v>34</v>
      </c>
      <c r="M248" s="190"/>
      <c r="N248" s="38" t="str">
        <f t="shared" si="23"/>
        <v>FY2010-11</v>
      </c>
      <c r="O248" s="38" t="s">
        <v>152</v>
      </c>
      <c r="P248" s="38" t="s">
        <v>147</v>
      </c>
      <c r="Q248" s="38" t="s">
        <v>139</v>
      </c>
      <c r="R248" s="191"/>
      <c r="S248" s="191"/>
      <c r="T248" s="191"/>
      <c r="U248" s="191"/>
      <c r="V248" s="192"/>
      <c r="W248" s="192"/>
      <c r="X248" s="192"/>
      <c r="Y248" s="192"/>
      <c r="Z248" s="192"/>
      <c r="AA248" s="192"/>
      <c r="AB248" s="192"/>
      <c r="AC248" s="192"/>
      <c r="AD248" s="192"/>
      <c r="AE248" s="192"/>
      <c r="AF248" s="192"/>
      <c r="AG248" s="192"/>
    </row>
    <row r="249" spans="1:34" ht="15.95" customHeight="1">
      <c r="A249" s="7"/>
      <c r="B249" s="10"/>
      <c r="C249" s="12"/>
      <c r="D249" s="191"/>
      <c r="E249" s="191"/>
      <c r="F249" s="190"/>
      <c r="G249" s="191"/>
      <c r="H249" s="190"/>
      <c r="I249" s="190"/>
      <c r="J249" s="191"/>
      <c r="K249" s="191"/>
      <c r="L249" s="283" t="s">
        <v>34</v>
      </c>
      <c r="M249" s="190"/>
      <c r="N249" s="38" t="str">
        <f t="shared" si="23"/>
        <v>FY2010-11</v>
      </c>
      <c r="O249" s="38" t="s">
        <v>152</v>
      </c>
      <c r="P249" s="38" t="s">
        <v>147</v>
      </c>
      <c r="Q249" s="38" t="s">
        <v>139</v>
      </c>
      <c r="R249" s="191"/>
      <c r="S249" s="191"/>
      <c r="T249" s="191"/>
      <c r="U249" s="191"/>
      <c r="V249" s="192"/>
      <c r="W249" s="192"/>
      <c r="X249" s="192"/>
      <c r="Y249" s="192"/>
      <c r="Z249" s="192"/>
      <c r="AA249" s="192"/>
      <c r="AB249" s="192"/>
      <c r="AC249" s="192"/>
      <c r="AD249" s="192"/>
      <c r="AE249" s="192"/>
      <c r="AF249" s="192"/>
      <c r="AG249" s="192"/>
    </row>
    <row r="250" spans="1:34" ht="15.95" customHeight="1">
      <c r="A250" s="7"/>
      <c r="B250" s="10"/>
      <c r="C250" s="12"/>
      <c r="D250" s="191"/>
      <c r="E250" s="191"/>
      <c r="F250" s="190"/>
      <c r="G250" s="191"/>
      <c r="H250" s="190"/>
      <c r="I250" s="190"/>
      <c r="J250" s="191"/>
      <c r="K250" s="191"/>
      <c r="L250" s="283" t="s">
        <v>34</v>
      </c>
      <c r="M250" s="190"/>
      <c r="N250" s="38" t="str">
        <f t="shared" si="23"/>
        <v>FY2010-11</v>
      </c>
      <c r="O250" s="38" t="s">
        <v>152</v>
      </c>
      <c r="P250" s="38" t="s">
        <v>147</v>
      </c>
      <c r="Q250" s="38" t="s">
        <v>139</v>
      </c>
      <c r="R250" s="191"/>
      <c r="S250" s="191"/>
      <c r="T250" s="191"/>
      <c r="U250" s="191"/>
      <c r="V250" s="192"/>
      <c r="W250" s="192"/>
      <c r="X250" s="192"/>
      <c r="Y250" s="192"/>
      <c r="Z250" s="192"/>
      <c r="AA250" s="192"/>
      <c r="AB250" s="192"/>
      <c r="AC250" s="192"/>
      <c r="AD250" s="192"/>
      <c r="AE250" s="192"/>
      <c r="AF250" s="192"/>
      <c r="AG250" s="192"/>
    </row>
    <row r="251" spans="1:34" ht="15.95" customHeight="1">
      <c r="A251" s="7"/>
      <c r="B251" s="10"/>
      <c r="C251" s="12"/>
      <c r="D251" s="191"/>
      <c r="E251" s="191"/>
      <c r="F251" s="190"/>
      <c r="G251" s="191"/>
      <c r="H251" s="190"/>
      <c r="I251" s="190"/>
      <c r="J251" s="191"/>
      <c r="K251" s="191"/>
      <c r="L251" s="283" t="s">
        <v>34</v>
      </c>
      <c r="M251" s="190"/>
      <c r="N251" s="38" t="str">
        <f t="shared" si="23"/>
        <v>FY2010-11</v>
      </c>
      <c r="O251" s="38" t="s">
        <v>152</v>
      </c>
      <c r="P251" s="38" t="s">
        <v>147</v>
      </c>
      <c r="Q251" s="38" t="s">
        <v>139</v>
      </c>
      <c r="R251" s="191"/>
      <c r="S251" s="191"/>
      <c r="T251" s="191"/>
      <c r="U251" s="191"/>
      <c r="V251" s="192"/>
      <c r="W251" s="192"/>
      <c r="X251" s="192"/>
      <c r="Y251" s="192"/>
      <c r="Z251" s="192"/>
      <c r="AA251" s="192"/>
      <c r="AB251" s="192"/>
      <c r="AC251" s="192"/>
      <c r="AD251" s="192"/>
      <c r="AE251" s="192"/>
      <c r="AF251" s="192"/>
      <c r="AG251" s="192"/>
    </row>
    <row r="252" spans="1:34" ht="15.95" customHeight="1">
      <c r="A252" s="25"/>
      <c r="B252" s="26"/>
      <c r="C252" s="26"/>
      <c r="D252" s="27"/>
      <c r="E252" s="27"/>
      <c r="F252" s="28"/>
      <c r="G252" s="27"/>
      <c r="H252" s="28"/>
      <c r="I252" s="28"/>
      <c r="J252" s="27"/>
      <c r="K252" s="27"/>
      <c r="L252" s="282"/>
      <c r="M252" s="28"/>
      <c r="N252" s="28"/>
      <c r="O252" s="27"/>
      <c r="P252" s="28"/>
      <c r="Q252" s="28"/>
      <c r="R252" s="27"/>
      <c r="S252" s="27"/>
      <c r="T252" s="27"/>
      <c r="U252" s="27"/>
      <c r="V252" s="25"/>
      <c r="W252" s="25"/>
      <c r="X252" s="25"/>
      <c r="Y252" s="25"/>
      <c r="Z252" s="25"/>
      <c r="AA252" s="25"/>
      <c r="AB252" s="25"/>
      <c r="AC252" s="25"/>
      <c r="AD252" s="25"/>
      <c r="AE252" s="25"/>
      <c r="AF252" s="25"/>
      <c r="AG252" s="25"/>
    </row>
    <row r="253" spans="1:34" ht="15.95" customHeight="1" thickBot="1">
      <c r="A253" s="7"/>
      <c r="B253" s="19" t="str">
        <f>"FA1 = "&amp;'FIG3'!$W$52&amp;" "&amp;'FIG3'!$X$52</f>
        <v>FA1 = Fulton County District</v>
      </c>
      <c r="C253" s="7"/>
      <c r="D253" s="8"/>
      <c r="E253" s="8"/>
      <c r="F253" s="9"/>
      <c r="G253" s="8"/>
      <c r="H253" s="9"/>
      <c r="I253" s="9"/>
      <c r="J253" s="8"/>
      <c r="K253" s="8"/>
      <c r="L253" s="280"/>
      <c r="M253" s="9"/>
      <c r="N253" s="9"/>
      <c r="O253" s="8"/>
      <c r="P253" s="9"/>
      <c r="Q253" s="9"/>
      <c r="R253" s="8"/>
      <c r="S253" s="866"/>
      <c r="T253" s="867" t="str">
        <f>'$REV-DB'!$T$34</f>
        <v>UD1</v>
      </c>
      <c r="U253" s="867" t="str">
        <f>'$REV-DB'!$U$34</f>
        <v>UD2</v>
      </c>
      <c r="V253" s="867" t="str">
        <f>'$REV-DB'!$V$34</f>
        <v>UD3</v>
      </c>
      <c r="W253" s="867" t="str">
        <f>'$REV-DB'!$W$34</f>
        <v>UD4</v>
      </c>
      <c r="X253" s="867" t="str">
        <f>'$REV-DB'!$X$34</f>
        <v>UD5</v>
      </c>
      <c r="Y253" s="867" t="str">
        <f>'$REV-DB'!$Y$34</f>
        <v>UD6</v>
      </c>
      <c r="Z253" s="867" t="str">
        <f>'$REV-DB'!$Z$34</f>
        <v>UD7</v>
      </c>
      <c r="AA253" s="867" t="str">
        <f>'$REV-DB'!$AA$34</f>
        <v>UD8</v>
      </c>
      <c r="AB253" s="867" t="str">
        <f>'$REV-DB'!$AB$34</f>
        <v>UD9</v>
      </c>
      <c r="AC253" s="867" t="str">
        <f>'$REV-DB'!$AC$34</f>
        <v>UD10</v>
      </c>
      <c r="AD253" s="867" t="str">
        <f>'$REV-DB'!$AD$34</f>
        <v>UD11</v>
      </c>
      <c r="AE253" s="867" t="str">
        <f>'$REV-DB'!$AE$34</f>
        <v>UD12</v>
      </c>
      <c r="AF253" s="867" t="str">
        <f>'$REV-DB'!$AF$34</f>
        <v>UD13</v>
      </c>
      <c r="AG253" s="867" t="str">
        <f>'$REV-DB'!$AG$34</f>
        <v>UD14</v>
      </c>
    </row>
    <row r="254" spans="1:34" ht="15.95" customHeight="1" thickTop="1" thickBot="1">
      <c r="A254" s="7"/>
      <c r="B254" s="20" t="s">
        <v>175</v>
      </c>
      <c r="C254" s="15"/>
      <c r="D254" s="105" t="s">
        <v>186</v>
      </c>
      <c r="E254" s="105" t="s">
        <v>187</v>
      </c>
      <c r="F254" s="105" t="s">
        <v>188</v>
      </c>
      <c r="G254" s="105" t="s">
        <v>189</v>
      </c>
      <c r="H254" s="301" t="s">
        <v>11</v>
      </c>
      <c r="I254" s="301" t="s">
        <v>190</v>
      </c>
      <c r="J254" s="301" t="s">
        <v>191</v>
      </c>
      <c r="K254" s="301" t="s">
        <v>192</v>
      </c>
      <c r="L254" s="301" t="s">
        <v>203</v>
      </c>
      <c r="M254" s="301" t="s">
        <v>42</v>
      </c>
      <c r="N254" s="105" t="s">
        <v>148</v>
      </c>
      <c r="O254" s="105" t="s">
        <v>193</v>
      </c>
      <c r="P254" s="105" t="s">
        <v>142</v>
      </c>
      <c r="Q254" s="105" t="s">
        <v>194</v>
      </c>
      <c r="R254" s="112" t="s">
        <v>141</v>
      </c>
      <c r="S254" s="112" t="s">
        <v>672</v>
      </c>
      <c r="T254" s="857" t="s">
        <v>541</v>
      </c>
      <c r="U254" s="857" t="s">
        <v>542</v>
      </c>
      <c r="V254" s="857" t="s">
        <v>543</v>
      </c>
      <c r="W254" s="857" t="s">
        <v>544</v>
      </c>
      <c r="X254" s="857" t="s">
        <v>545</v>
      </c>
      <c r="Y254" s="857" t="s">
        <v>546</v>
      </c>
      <c r="Z254" s="857" t="s">
        <v>547</v>
      </c>
      <c r="AA254" s="857" t="s">
        <v>548</v>
      </c>
      <c r="AB254" s="857" t="s">
        <v>549</v>
      </c>
      <c r="AC254" s="857" t="s">
        <v>550</v>
      </c>
      <c r="AD254" s="857" t="s">
        <v>551</v>
      </c>
      <c r="AE254" s="857" t="s">
        <v>552</v>
      </c>
      <c r="AF254" s="857" t="s">
        <v>553</v>
      </c>
      <c r="AG254" s="857" t="s">
        <v>554</v>
      </c>
      <c r="AH254" s="6"/>
    </row>
    <row r="255" spans="1:34" ht="15.95" customHeight="1" thickTop="1">
      <c r="A255" s="7"/>
      <c r="B255" s="19" t="s">
        <v>143</v>
      </c>
      <c r="C255" s="12"/>
      <c r="D255" s="191"/>
      <c r="E255" s="191"/>
      <c r="F255" s="190"/>
      <c r="G255" s="191"/>
      <c r="H255" s="190"/>
      <c r="I255" s="190"/>
      <c r="J255" s="191"/>
      <c r="K255" s="191"/>
      <c r="L255" s="283" t="s">
        <v>34</v>
      </c>
      <c r="M255" s="190"/>
      <c r="N255" s="38" t="str">
        <f>J$6</f>
        <v>FY2010-11</v>
      </c>
      <c r="O255" s="38" t="s">
        <v>152</v>
      </c>
      <c r="P255" s="38" t="s">
        <v>147</v>
      </c>
      <c r="Q255" s="38" t="s">
        <v>179</v>
      </c>
      <c r="R255" s="191"/>
      <c r="S255" s="191"/>
      <c r="T255" s="191"/>
      <c r="U255" s="191"/>
      <c r="V255" s="192"/>
      <c r="W255" s="192"/>
      <c r="X255" s="192"/>
      <c r="Y255" s="192"/>
      <c r="Z255" s="192"/>
      <c r="AA255" s="192"/>
      <c r="AB255" s="192"/>
      <c r="AC255" s="192"/>
      <c r="AD255" s="192"/>
      <c r="AE255" s="192"/>
      <c r="AF255" s="192"/>
      <c r="AG255" s="192"/>
      <c r="AH255" s="6"/>
    </row>
    <row r="256" spans="1:34" ht="15.95" customHeight="1">
      <c r="A256" s="7"/>
      <c r="B256" s="16">
        <f>DSUM('$REV-DB'!D35:AG67,"AMOUNT",'$REV-DSUM'!D254:AG261)</f>
        <v>11277156.800000001</v>
      </c>
      <c r="C256" s="12"/>
      <c r="D256" s="191"/>
      <c r="E256" s="191"/>
      <c r="F256" s="190"/>
      <c r="G256" s="191"/>
      <c r="H256" s="190"/>
      <c r="I256" s="190"/>
      <c r="J256" s="191"/>
      <c r="K256" s="191"/>
      <c r="L256" s="283" t="s">
        <v>34</v>
      </c>
      <c r="M256" s="190"/>
      <c r="N256" s="38" t="str">
        <f t="shared" ref="N256:N261" si="24">J$6</f>
        <v>FY2010-11</v>
      </c>
      <c r="O256" s="38" t="s">
        <v>152</v>
      </c>
      <c r="P256" s="38" t="s">
        <v>147</v>
      </c>
      <c r="Q256" s="38" t="s">
        <v>179</v>
      </c>
      <c r="R256" s="191"/>
      <c r="S256" s="191"/>
      <c r="T256" s="191"/>
      <c r="U256" s="191"/>
      <c r="V256" s="192"/>
      <c r="W256" s="192"/>
      <c r="X256" s="192"/>
      <c r="Y256" s="192"/>
      <c r="Z256" s="192"/>
      <c r="AA256" s="192"/>
      <c r="AB256" s="192"/>
      <c r="AC256" s="192"/>
      <c r="AD256" s="192"/>
      <c r="AE256" s="192"/>
      <c r="AF256" s="192"/>
      <c r="AG256" s="192"/>
      <c r="AH256" s="6"/>
    </row>
    <row r="257" spans="1:34" ht="15.95" customHeight="1">
      <c r="A257" s="7"/>
      <c r="B257" s="10"/>
      <c r="C257" s="12"/>
      <c r="D257" s="191"/>
      <c r="E257" s="191"/>
      <c r="F257" s="190"/>
      <c r="G257" s="191"/>
      <c r="H257" s="190"/>
      <c r="I257" s="190"/>
      <c r="J257" s="191"/>
      <c r="K257" s="191"/>
      <c r="L257" s="283" t="s">
        <v>34</v>
      </c>
      <c r="M257" s="190"/>
      <c r="N257" s="38" t="str">
        <f t="shared" si="24"/>
        <v>FY2010-11</v>
      </c>
      <c r="O257" s="38" t="s">
        <v>152</v>
      </c>
      <c r="P257" s="38" t="s">
        <v>147</v>
      </c>
      <c r="Q257" s="38" t="s">
        <v>179</v>
      </c>
      <c r="R257" s="191"/>
      <c r="S257" s="191"/>
      <c r="T257" s="191"/>
      <c r="U257" s="191"/>
      <c r="V257" s="192"/>
      <c r="W257" s="192"/>
      <c r="X257" s="192"/>
      <c r="Y257" s="192"/>
      <c r="Z257" s="192"/>
      <c r="AA257" s="192"/>
      <c r="AB257" s="192"/>
      <c r="AC257" s="192"/>
      <c r="AD257" s="192"/>
      <c r="AE257" s="192"/>
      <c r="AF257" s="192"/>
      <c r="AG257" s="192"/>
    </row>
    <row r="258" spans="1:34" ht="15.95" customHeight="1">
      <c r="A258" s="7"/>
      <c r="B258" s="10"/>
      <c r="C258" s="12"/>
      <c r="D258" s="191"/>
      <c r="E258" s="191"/>
      <c r="F258" s="190"/>
      <c r="G258" s="191"/>
      <c r="H258" s="190"/>
      <c r="I258" s="190"/>
      <c r="J258" s="191"/>
      <c r="K258" s="191"/>
      <c r="L258" s="283" t="s">
        <v>34</v>
      </c>
      <c r="M258" s="190"/>
      <c r="N258" s="38" t="str">
        <f t="shared" si="24"/>
        <v>FY2010-11</v>
      </c>
      <c r="O258" s="38" t="s">
        <v>152</v>
      </c>
      <c r="P258" s="38" t="s">
        <v>147</v>
      </c>
      <c r="Q258" s="38" t="s">
        <v>179</v>
      </c>
      <c r="R258" s="191"/>
      <c r="S258" s="191"/>
      <c r="T258" s="191"/>
      <c r="U258" s="191"/>
      <c r="V258" s="192"/>
      <c r="W258" s="192"/>
      <c r="X258" s="192"/>
      <c r="Y258" s="192"/>
      <c r="Z258" s="192"/>
      <c r="AA258" s="192"/>
      <c r="AB258" s="192"/>
      <c r="AC258" s="192"/>
      <c r="AD258" s="192"/>
      <c r="AE258" s="192"/>
      <c r="AF258" s="192"/>
      <c r="AG258" s="192"/>
    </row>
    <row r="259" spans="1:34" ht="15.95" customHeight="1">
      <c r="A259" s="7"/>
      <c r="B259" s="10"/>
      <c r="C259" s="12"/>
      <c r="D259" s="191"/>
      <c r="E259" s="191"/>
      <c r="F259" s="190"/>
      <c r="G259" s="191"/>
      <c r="H259" s="190"/>
      <c r="I259" s="190"/>
      <c r="J259" s="191"/>
      <c r="K259" s="191"/>
      <c r="L259" s="283" t="s">
        <v>34</v>
      </c>
      <c r="M259" s="190"/>
      <c r="N259" s="38" t="str">
        <f t="shared" si="24"/>
        <v>FY2010-11</v>
      </c>
      <c r="O259" s="38" t="s">
        <v>152</v>
      </c>
      <c r="P259" s="38" t="s">
        <v>147</v>
      </c>
      <c r="Q259" s="38" t="s">
        <v>179</v>
      </c>
      <c r="R259" s="191"/>
      <c r="S259" s="191"/>
      <c r="T259" s="191"/>
      <c r="U259" s="191"/>
      <c r="V259" s="192"/>
      <c r="W259" s="192"/>
      <c r="X259" s="192"/>
      <c r="Y259" s="192"/>
      <c r="Z259" s="192"/>
      <c r="AA259" s="192"/>
      <c r="AB259" s="192"/>
      <c r="AC259" s="192"/>
      <c r="AD259" s="192"/>
      <c r="AE259" s="192"/>
      <c r="AF259" s="192"/>
      <c r="AG259" s="192"/>
    </row>
    <row r="260" spans="1:34" ht="15.95" customHeight="1">
      <c r="A260" s="7"/>
      <c r="B260" s="10"/>
      <c r="C260" s="12"/>
      <c r="D260" s="191"/>
      <c r="E260" s="191"/>
      <c r="F260" s="190"/>
      <c r="G260" s="191"/>
      <c r="H260" s="190"/>
      <c r="I260" s="190"/>
      <c r="J260" s="191"/>
      <c r="K260" s="191"/>
      <c r="L260" s="283" t="s">
        <v>34</v>
      </c>
      <c r="M260" s="190"/>
      <c r="N260" s="38" t="str">
        <f t="shared" si="24"/>
        <v>FY2010-11</v>
      </c>
      <c r="O260" s="38" t="s">
        <v>152</v>
      </c>
      <c r="P260" s="38" t="s">
        <v>147</v>
      </c>
      <c r="Q260" s="38" t="s">
        <v>179</v>
      </c>
      <c r="R260" s="191"/>
      <c r="S260" s="191"/>
      <c r="T260" s="191"/>
      <c r="U260" s="191"/>
      <c r="V260" s="192"/>
      <c r="W260" s="192"/>
      <c r="X260" s="192"/>
      <c r="Y260" s="192"/>
      <c r="Z260" s="192"/>
      <c r="AA260" s="192"/>
      <c r="AB260" s="192"/>
      <c r="AC260" s="192"/>
      <c r="AD260" s="192"/>
      <c r="AE260" s="192"/>
      <c r="AF260" s="192"/>
      <c r="AG260" s="192"/>
    </row>
    <row r="261" spans="1:34" ht="15.95" customHeight="1">
      <c r="A261" s="7"/>
      <c r="B261" s="10"/>
      <c r="C261" s="12"/>
      <c r="D261" s="191"/>
      <c r="E261" s="191"/>
      <c r="F261" s="190"/>
      <c r="G261" s="191"/>
      <c r="H261" s="190"/>
      <c r="I261" s="190"/>
      <c r="J261" s="191"/>
      <c r="K261" s="191"/>
      <c r="L261" s="283" t="s">
        <v>34</v>
      </c>
      <c r="M261" s="190"/>
      <c r="N261" s="38" t="str">
        <f t="shared" si="24"/>
        <v>FY2010-11</v>
      </c>
      <c r="O261" s="38" t="s">
        <v>152</v>
      </c>
      <c r="P261" s="38" t="s">
        <v>147</v>
      </c>
      <c r="Q261" s="38" t="s">
        <v>179</v>
      </c>
      <c r="R261" s="191"/>
      <c r="S261" s="191"/>
      <c r="T261" s="191"/>
      <c r="U261" s="191"/>
      <c r="V261" s="192"/>
      <c r="W261" s="192"/>
      <c r="X261" s="192"/>
      <c r="Y261" s="192"/>
      <c r="Z261" s="192"/>
      <c r="AA261" s="192"/>
      <c r="AB261" s="192"/>
      <c r="AC261" s="192"/>
      <c r="AD261" s="192"/>
      <c r="AE261" s="192"/>
      <c r="AF261" s="192"/>
      <c r="AG261" s="192"/>
    </row>
    <row r="262" spans="1:34" ht="15.95" customHeight="1">
      <c r="A262" s="25"/>
      <c r="B262" s="26"/>
      <c r="C262" s="26"/>
      <c r="D262" s="27"/>
      <c r="E262" s="27"/>
      <c r="F262" s="28"/>
      <c r="G262" s="27"/>
      <c r="H262" s="28"/>
      <c r="I262" s="28"/>
      <c r="J262" s="27"/>
      <c r="K262" s="27"/>
      <c r="L262" s="282"/>
      <c r="M262" s="28"/>
      <c r="N262" s="28"/>
      <c r="O262" s="27"/>
      <c r="P262" s="28"/>
      <c r="Q262" s="28"/>
      <c r="R262" s="27"/>
      <c r="S262" s="27"/>
      <c r="T262" s="27"/>
      <c r="U262" s="27"/>
      <c r="V262" s="25"/>
      <c r="W262" s="25"/>
      <c r="X262" s="25"/>
      <c r="Y262" s="25"/>
      <c r="Z262" s="25"/>
      <c r="AA262" s="25"/>
      <c r="AB262" s="25"/>
      <c r="AC262" s="25"/>
      <c r="AD262" s="25"/>
      <c r="AE262" s="25"/>
      <c r="AF262" s="25"/>
      <c r="AG262" s="25"/>
    </row>
    <row r="263" spans="1:34" ht="15.95" customHeight="1" thickBot="1">
      <c r="A263" s="7"/>
      <c r="B263" s="19" t="str">
        <f>"FA1 = "&amp;'FIG3'!$W$52&amp;" "&amp;'FIG3'!$X$52</f>
        <v>FA1 = Fulton County District</v>
      </c>
      <c r="C263" s="7"/>
      <c r="D263" s="8"/>
      <c r="E263" s="8"/>
      <c r="F263" s="9"/>
      <c r="G263" s="8"/>
      <c r="H263" s="9"/>
      <c r="I263" s="9"/>
      <c r="J263" s="8"/>
      <c r="K263" s="8"/>
      <c r="L263" s="280"/>
      <c r="M263" s="9"/>
      <c r="N263" s="9"/>
      <c r="O263" s="8"/>
      <c r="P263" s="9"/>
      <c r="Q263" s="9"/>
      <c r="R263" s="8"/>
      <c r="S263" s="866"/>
      <c r="T263" s="867" t="str">
        <f>'$REV-DB'!$T$34</f>
        <v>UD1</v>
      </c>
      <c r="U263" s="867" t="str">
        <f>'$REV-DB'!$U$34</f>
        <v>UD2</v>
      </c>
      <c r="V263" s="867" t="str">
        <f>'$REV-DB'!$V$34</f>
        <v>UD3</v>
      </c>
      <c r="W263" s="867" t="str">
        <f>'$REV-DB'!$W$34</f>
        <v>UD4</v>
      </c>
      <c r="X263" s="867" t="str">
        <f>'$REV-DB'!$X$34</f>
        <v>UD5</v>
      </c>
      <c r="Y263" s="867" t="str">
        <f>'$REV-DB'!$Y$34</f>
        <v>UD6</v>
      </c>
      <c r="Z263" s="867" t="str">
        <f>'$REV-DB'!$Z$34</f>
        <v>UD7</v>
      </c>
      <c r="AA263" s="867" t="str">
        <f>'$REV-DB'!$AA$34</f>
        <v>UD8</v>
      </c>
      <c r="AB263" s="867" t="str">
        <f>'$REV-DB'!$AB$34</f>
        <v>UD9</v>
      </c>
      <c r="AC263" s="867" t="str">
        <f>'$REV-DB'!$AC$34</f>
        <v>UD10</v>
      </c>
      <c r="AD263" s="867" t="str">
        <f>'$REV-DB'!$AD$34</f>
        <v>UD11</v>
      </c>
      <c r="AE263" s="867" t="str">
        <f>'$REV-DB'!$AE$34</f>
        <v>UD12</v>
      </c>
      <c r="AF263" s="867" t="str">
        <f>'$REV-DB'!$AF$34</f>
        <v>UD13</v>
      </c>
      <c r="AG263" s="867" t="str">
        <f>'$REV-DB'!$AG$34</f>
        <v>UD14</v>
      </c>
    </row>
    <row r="264" spans="1:34" ht="15.95" customHeight="1" thickTop="1" thickBot="1">
      <c r="A264" s="7"/>
      <c r="B264" s="20" t="s">
        <v>175</v>
      </c>
      <c r="C264" s="15"/>
      <c r="D264" s="105" t="s">
        <v>186</v>
      </c>
      <c r="E264" s="105" t="s">
        <v>187</v>
      </c>
      <c r="F264" s="105" t="s">
        <v>188</v>
      </c>
      <c r="G264" s="105" t="s">
        <v>189</v>
      </c>
      <c r="H264" s="301" t="s">
        <v>11</v>
      </c>
      <c r="I264" s="301" t="s">
        <v>190</v>
      </c>
      <c r="J264" s="301" t="s">
        <v>191</v>
      </c>
      <c r="K264" s="301" t="s">
        <v>192</v>
      </c>
      <c r="L264" s="301" t="s">
        <v>203</v>
      </c>
      <c r="M264" s="301" t="s">
        <v>42</v>
      </c>
      <c r="N264" s="105" t="s">
        <v>148</v>
      </c>
      <c r="O264" s="105" t="s">
        <v>193</v>
      </c>
      <c r="P264" s="105" t="s">
        <v>142</v>
      </c>
      <c r="Q264" s="105" t="s">
        <v>194</v>
      </c>
      <c r="R264" s="112" t="s">
        <v>141</v>
      </c>
      <c r="S264" s="112" t="s">
        <v>672</v>
      </c>
      <c r="T264" s="857" t="s">
        <v>541</v>
      </c>
      <c r="U264" s="857" t="s">
        <v>542</v>
      </c>
      <c r="V264" s="857" t="s">
        <v>543</v>
      </c>
      <c r="W264" s="857" t="s">
        <v>544</v>
      </c>
      <c r="X264" s="857" t="s">
        <v>545</v>
      </c>
      <c r="Y264" s="857" t="s">
        <v>546</v>
      </c>
      <c r="Z264" s="857" t="s">
        <v>547</v>
      </c>
      <c r="AA264" s="857" t="s">
        <v>548</v>
      </c>
      <c r="AB264" s="857" t="s">
        <v>549</v>
      </c>
      <c r="AC264" s="857" t="s">
        <v>550</v>
      </c>
      <c r="AD264" s="857" t="s">
        <v>551</v>
      </c>
      <c r="AE264" s="857" t="s">
        <v>552</v>
      </c>
      <c r="AF264" s="857" t="s">
        <v>553</v>
      </c>
      <c r="AG264" s="857" t="s">
        <v>554</v>
      </c>
      <c r="AH264" s="6"/>
    </row>
    <row r="265" spans="1:34" ht="15.95" customHeight="1" thickTop="1">
      <c r="A265" s="7"/>
      <c r="B265" s="19" t="s">
        <v>149</v>
      </c>
      <c r="C265" s="12"/>
      <c r="D265" s="191"/>
      <c r="E265" s="191"/>
      <c r="F265" s="190"/>
      <c r="G265" s="191"/>
      <c r="H265" s="190"/>
      <c r="I265" s="190"/>
      <c r="J265" s="191"/>
      <c r="K265" s="191"/>
      <c r="L265" s="283" t="s">
        <v>34</v>
      </c>
      <c r="M265" s="190"/>
      <c r="N265" s="38" t="str">
        <f>J$6</f>
        <v>FY2010-11</v>
      </c>
      <c r="O265" s="38" t="s">
        <v>152</v>
      </c>
      <c r="P265" s="38" t="s">
        <v>147</v>
      </c>
      <c r="Q265" s="38" t="s">
        <v>2</v>
      </c>
      <c r="R265" s="191"/>
      <c r="S265" s="191"/>
      <c r="T265" s="191"/>
      <c r="U265" s="191"/>
      <c r="V265" s="192"/>
      <c r="W265" s="192"/>
      <c r="X265" s="192"/>
      <c r="Y265" s="192"/>
      <c r="Z265" s="192"/>
      <c r="AA265" s="192"/>
      <c r="AB265" s="192"/>
      <c r="AC265" s="192"/>
      <c r="AD265" s="192"/>
      <c r="AE265" s="192"/>
      <c r="AF265" s="192"/>
      <c r="AG265" s="192"/>
      <c r="AH265" s="6"/>
    </row>
    <row r="266" spans="1:34" ht="15.95" customHeight="1">
      <c r="A266" s="7"/>
      <c r="B266" s="16">
        <f>DSUM('$REV-DB'!D35:AG67,"AMOUNT",'$REV-DSUM'!D264:AG271)</f>
        <v>3352145</v>
      </c>
      <c r="C266" s="12"/>
      <c r="D266" s="191"/>
      <c r="E266" s="191"/>
      <c r="F266" s="190"/>
      <c r="G266" s="191"/>
      <c r="H266" s="190"/>
      <c r="I266" s="190"/>
      <c r="J266" s="191"/>
      <c r="K266" s="191"/>
      <c r="L266" s="283" t="s">
        <v>34</v>
      </c>
      <c r="M266" s="190"/>
      <c r="N266" s="38" t="str">
        <f t="shared" ref="N266:N271" si="25">J$6</f>
        <v>FY2010-11</v>
      </c>
      <c r="O266" s="38" t="s">
        <v>152</v>
      </c>
      <c r="P266" s="38" t="s">
        <v>147</v>
      </c>
      <c r="Q266" s="38" t="s">
        <v>2</v>
      </c>
      <c r="R266" s="191"/>
      <c r="S266" s="191"/>
      <c r="T266" s="191"/>
      <c r="U266" s="191"/>
      <c r="V266" s="192"/>
      <c r="W266" s="192"/>
      <c r="X266" s="192"/>
      <c r="Y266" s="192"/>
      <c r="Z266" s="192"/>
      <c r="AA266" s="192"/>
      <c r="AB266" s="192"/>
      <c r="AC266" s="192"/>
      <c r="AD266" s="192"/>
      <c r="AE266" s="192"/>
      <c r="AF266" s="192"/>
      <c r="AG266" s="192"/>
      <c r="AH266" s="6"/>
    </row>
    <row r="267" spans="1:34" ht="15.95" customHeight="1">
      <c r="A267" s="7"/>
      <c r="B267" s="10"/>
      <c r="C267" s="12"/>
      <c r="D267" s="191"/>
      <c r="E267" s="191"/>
      <c r="F267" s="190"/>
      <c r="G267" s="191"/>
      <c r="H267" s="190"/>
      <c r="I267" s="190"/>
      <c r="J267" s="191"/>
      <c r="K267" s="191"/>
      <c r="L267" s="283" t="s">
        <v>34</v>
      </c>
      <c r="M267" s="190"/>
      <c r="N267" s="38" t="str">
        <f t="shared" si="25"/>
        <v>FY2010-11</v>
      </c>
      <c r="O267" s="38" t="s">
        <v>152</v>
      </c>
      <c r="P267" s="38" t="s">
        <v>147</v>
      </c>
      <c r="Q267" s="38" t="s">
        <v>2</v>
      </c>
      <c r="R267" s="191"/>
      <c r="S267" s="191"/>
      <c r="T267" s="191"/>
      <c r="U267" s="191"/>
      <c r="V267" s="192"/>
      <c r="W267" s="192"/>
      <c r="X267" s="192"/>
      <c r="Y267" s="192"/>
      <c r="Z267" s="192"/>
      <c r="AA267" s="192"/>
      <c r="AB267" s="192"/>
      <c r="AC267" s="192"/>
      <c r="AD267" s="192"/>
      <c r="AE267" s="192"/>
      <c r="AF267" s="192"/>
      <c r="AG267" s="192"/>
    </row>
    <row r="268" spans="1:34" ht="15.95" customHeight="1">
      <c r="A268" s="7"/>
      <c r="B268" s="10"/>
      <c r="C268" s="12"/>
      <c r="D268" s="191"/>
      <c r="E268" s="191"/>
      <c r="F268" s="190"/>
      <c r="G268" s="191"/>
      <c r="H268" s="190"/>
      <c r="I268" s="190"/>
      <c r="J268" s="191"/>
      <c r="K268" s="191"/>
      <c r="L268" s="283" t="s">
        <v>34</v>
      </c>
      <c r="M268" s="190"/>
      <c r="N268" s="38" t="str">
        <f t="shared" si="25"/>
        <v>FY2010-11</v>
      </c>
      <c r="O268" s="38" t="s">
        <v>152</v>
      </c>
      <c r="P268" s="38" t="s">
        <v>147</v>
      </c>
      <c r="Q268" s="38" t="s">
        <v>2</v>
      </c>
      <c r="R268" s="191"/>
      <c r="S268" s="191"/>
      <c r="T268" s="191"/>
      <c r="U268" s="191"/>
      <c r="V268" s="192"/>
      <c r="W268" s="192"/>
      <c r="X268" s="192"/>
      <c r="Y268" s="192"/>
      <c r="Z268" s="192"/>
      <c r="AA268" s="192"/>
      <c r="AB268" s="192"/>
      <c r="AC268" s="192"/>
      <c r="AD268" s="192"/>
      <c r="AE268" s="192"/>
      <c r="AF268" s="192"/>
      <c r="AG268" s="192"/>
    </row>
    <row r="269" spans="1:34" ht="15.95" customHeight="1">
      <c r="A269" s="7"/>
      <c r="B269" s="10"/>
      <c r="C269" s="12"/>
      <c r="D269" s="191"/>
      <c r="E269" s="191"/>
      <c r="F269" s="190"/>
      <c r="G269" s="191"/>
      <c r="H269" s="190"/>
      <c r="I269" s="190"/>
      <c r="J269" s="191"/>
      <c r="K269" s="191"/>
      <c r="L269" s="283" t="s">
        <v>34</v>
      </c>
      <c r="M269" s="190"/>
      <c r="N269" s="38" t="str">
        <f t="shared" si="25"/>
        <v>FY2010-11</v>
      </c>
      <c r="O269" s="38" t="s">
        <v>152</v>
      </c>
      <c r="P269" s="38" t="s">
        <v>147</v>
      </c>
      <c r="Q269" s="38" t="s">
        <v>2</v>
      </c>
      <c r="R269" s="191"/>
      <c r="S269" s="191"/>
      <c r="T269" s="191"/>
      <c r="U269" s="191"/>
      <c r="V269" s="192"/>
      <c r="W269" s="192"/>
      <c r="X269" s="192"/>
      <c r="Y269" s="192"/>
      <c r="Z269" s="192"/>
      <c r="AA269" s="192"/>
      <c r="AB269" s="192"/>
      <c r="AC269" s="192"/>
      <c r="AD269" s="192"/>
      <c r="AE269" s="192"/>
      <c r="AF269" s="192"/>
      <c r="AG269" s="192"/>
    </row>
    <row r="270" spans="1:34" ht="15.95" customHeight="1">
      <c r="A270" s="7"/>
      <c r="B270" s="10"/>
      <c r="C270" s="12"/>
      <c r="D270" s="191"/>
      <c r="E270" s="191"/>
      <c r="F270" s="190"/>
      <c r="G270" s="191"/>
      <c r="H270" s="190"/>
      <c r="I270" s="190"/>
      <c r="J270" s="191"/>
      <c r="K270" s="191"/>
      <c r="L270" s="283" t="s">
        <v>34</v>
      </c>
      <c r="M270" s="190"/>
      <c r="N270" s="38" t="str">
        <f t="shared" si="25"/>
        <v>FY2010-11</v>
      </c>
      <c r="O270" s="38" t="s">
        <v>152</v>
      </c>
      <c r="P270" s="38" t="s">
        <v>147</v>
      </c>
      <c r="Q270" s="38" t="s">
        <v>2</v>
      </c>
      <c r="R270" s="191"/>
      <c r="S270" s="191"/>
      <c r="T270" s="191"/>
      <c r="U270" s="191"/>
      <c r="V270" s="192"/>
      <c r="W270" s="192"/>
      <c r="X270" s="192"/>
      <c r="Y270" s="192"/>
      <c r="Z270" s="192"/>
      <c r="AA270" s="192"/>
      <c r="AB270" s="192"/>
      <c r="AC270" s="192"/>
      <c r="AD270" s="192"/>
      <c r="AE270" s="192"/>
      <c r="AF270" s="192"/>
      <c r="AG270" s="192"/>
    </row>
    <row r="271" spans="1:34" ht="15.95" customHeight="1">
      <c r="A271" s="7"/>
      <c r="B271" s="10"/>
      <c r="C271" s="12"/>
      <c r="D271" s="191"/>
      <c r="E271" s="191"/>
      <c r="F271" s="190"/>
      <c r="G271" s="191"/>
      <c r="H271" s="190"/>
      <c r="I271" s="190"/>
      <c r="J271" s="191"/>
      <c r="K271" s="191"/>
      <c r="L271" s="283" t="s">
        <v>34</v>
      </c>
      <c r="M271" s="190"/>
      <c r="N271" s="38" t="str">
        <f t="shared" si="25"/>
        <v>FY2010-11</v>
      </c>
      <c r="O271" s="38" t="s">
        <v>152</v>
      </c>
      <c r="P271" s="38" t="s">
        <v>147</v>
      </c>
      <c r="Q271" s="38" t="s">
        <v>2</v>
      </c>
      <c r="R271" s="191"/>
      <c r="S271" s="191"/>
      <c r="T271" s="191"/>
      <c r="U271" s="191"/>
      <c r="V271" s="192"/>
      <c r="W271" s="192"/>
      <c r="X271" s="192"/>
      <c r="Y271" s="192"/>
      <c r="Z271" s="192"/>
      <c r="AA271" s="192"/>
      <c r="AB271" s="192"/>
      <c r="AC271" s="192"/>
      <c r="AD271" s="192"/>
      <c r="AE271" s="192"/>
      <c r="AF271" s="192"/>
      <c r="AG271" s="192"/>
    </row>
    <row r="272" spans="1:34" ht="15.95" customHeight="1">
      <c r="A272" s="25"/>
      <c r="B272" s="26"/>
      <c r="C272" s="26"/>
      <c r="D272" s="27"/>
      <c r="E272" s="27"/>
      <c r="F272" s="28"/>
      <c r="G272" s="27"/>
      <c r="H272" s="28"/>
      <c r="I272" s="28"/>
      <c r="J272" s="27"/>
      <c r="K272" s="27"/>
      <c r="L272" s="282"/>
      <c r="M272" s="28"/>
      <c r="N272" s="28"/>
      <c r="O272" s="27"/>
      <c r="P272" s="28"/>
      <c r="Q272" s="28"/>
      <c r="R272" s="27"/>
      <c r="S272" s="27"/>
      <c r="T272" s="27"/>
      <c r="U272" s="27"/>
      <c r="V272" s="25"/>
      <c r="W272" s="25"/>
      <c r="X272" s="25"/>
      <c r="Y272" s="25"/>
      <c r="Z272" s="25"/>
      <c r="AA272" s="25"/>
      <c r="AB272" s="25"/>
      <c r="AC272" s="25"/>
      <c r="AD272" s="25"/>
      <c r="AE272" s="25"/>
      <c r="AF272" s="25"/>
      <c r="AG272" s="25"/>
    </row>
    <row r="273" spans="1:34" ht="15.95" customHeight="1" thickBot="1">
      <c r="A273" s="7"/>
      <c r="B273" s="19" t="str">
        <f>"FA1 = "&amp;'FIG3'!$W$52&amp;" "&amp;'FIG3'!$X$52</f>
        <v>FA1 = Fulton County District</v>
      </c>
      <c r="C273" s="7"/>
      <c r="D273" s="8"/>
      <c r="E273" s="8"/>
      <c r="F273" s="9"/>
      <c r="G273" s="8"/>
      <c r="H273" s="9"/>
      <c r="I273" s="9"/>
      <c r="J273" s="8"/>
      <c r="K273" s="8"/>
      <c r="L273" s="280"/>
      <c r="M273" s="9"/>
      <c r="N273" s="9"/>
      <c r="O273" s="8"/>
      <c r="P273" s="9"/>
      <c r="Q273" s="9"/>
      <c r="R273" s="8"/>
      <c r="S273" s="866"/>
      <c r="T273" s="867" t="str">
        <f>'$REV-DB'!$T$34</f>
        <v>UD1</v>
      </c>
      <c r="U273" s="867" t="str">
        <f>'$REV-DB'!$U$34</f>
        <v>UD2</v>
      </c>
      <c r="V273" s="867" t="str">
        <f>'$REV-DB'!$V$34</f>
        <v>UD3</v>
      </c>
      <c r="W273" s="867" t="str">
        <f>'$REV-DB'!$W$34</f>
        <v>UD4</v>
      </c>
      <c r="X273" s="867" t="str">
        <f>'$REV-DB'!$X$34</f>
        <v>UD5</v>
      </c>
      <c r="Y273" s="867" t="str">
        <f>'$REV-DB'!$Y$34</f>
        <v>UD6</v>
      </c>
      <c r="Z273" s="867" t="str">
        <f>'$REV-DB'!$Z$34</f>
        <v>UD7</v>
      </c>
      <c r="AA273" s="867" t="str">
        <f>'$REV-DB'!$AA$34</f>
        <v>UD8</v>
      </c>
      <c r="AB273" s="867" t="str">
        <f>'$REV-DB'!$AB$34</f>
        <v>UD9</v>
      </c>
      <c r="AC273" s="867" t="str">
        <f>'$REV-DB'!$AC$34</f>
        <v>UD10</v>
      </c>
      <c r="AD273" s="867" t="str">
        <f>'$REV-DB'!$AD$34</f>
        <v>UD11</v>
      </c>
      <c r="AE273" s="867" t="str">
        <f>'$REV-DB'!$AE$34</f>
        <v>UD12</v>
      </c>
      <c r="AF273" s="867" t="str">
        <f>'$REV-DB'!$AF$34</f>
        <v>UD13</v>
      </c>
      <c r="AG273" s="867" t="str">
        <f>'$REV-DB'!$AG$34</f>
        <v>UD14</v>
      </c>
    </row>
    <row r="274" spans="1:34" ht="15.95" customHeight="1" thickTop="1" thickBot="1">
      <c r="A274" s="7"/>
      <c r="B274" s="20" t="s">
        <v>175</v>
      </c>
      <c r="C274" s="15"/>
      <c r="D274" s="276" t="s">
        <v>186</v>
      </c>
      <c r="E274" s="276" t="s">
        <v>187</v>
      </c>
      <c r="F274" s="276" t="s">
        <v>188</v>
      </c>
      <c r="G274" s="276" t="s">
        <v>189</v>
      </c>
      <c r="H274" s="301" t="s">
        <v>11</v>
      </c>
      <c r="I274" s="301" t="s">
        <v>190</v>
      </c>
      <c r="J274" s="301" t="s">
        <v>191</v>
      </c>
      <c r="K274" s="301" t="s">
        <v>192</v>
      </c>
      <c r="L274" s="301" t="s">
        <v>203</v>
      </c>
      <c r="M274" s="301" t="s">
        <v>42</v>
      </c>
      <c r="N274" s="276" t="s">
        <v>148</v>
      </c>
      <c r="O274" s="276" t="s">
        <v>193</v>
      </c>
      <c r="P274" s="276" t="s">
        <v>142</v>
      </c>
      <c r="Q274" s="276" t="s">
        <v>194</v>
      </c>
      <c r="R274" s="112" t="s">
        <v>141</v>
      </c>
      <c r="S274" s="112" t="s">
        <v>672</v>
      </c>
      <c r="T274" s="857" t="s">
        <v>541</v>
      </c>
      <c r="U274" s="857" t="s">
        <v>542</v>
      </c>
      <c r="V274" s="857" t="s">
        <v>543</v>
      </c>
      <c r="W274" s="857" t="s">
        <v>544</v>
      </c>
      <c r="X274" s="857" t="s">
        <v>545</v>
      </c>
      <c r="Y274" s="857" t="s">
        <v>546</v>
      </c>
      <c r="Z274" s="857" t="s">
        <v>547</v>
      </c>
      <c r="AA274" s="857" t="s">
        <v>548</v>
      </c>
      <c r="AB274" s="857" t="s">
        <v>549</v>
      </c>
      <c r="AC274" s="857" t="s">
        <v>550</v>
      </c>
      <c r="AD274" s="857" t="s">
        <v>551</v>
      </c>
      <c r="AE274" s="857" t="s">
        <v>552</v>
      </c>
      <c r="AF274" s="857" t="s">
        <v>553</v>
      </c>
      <c r="AG274" s="857" t="s">
        <v>554</v>
      </c>
      <c r="AH274" s="6"/>
    </row>
    <row r="275" spans="1:34" ht="15.95" customHeight="1" thickTop="1">
      <c r="A275" s="7"/>
      <c r="B275" s="19" t="s">
        <v>364</v>
      </c>
      <c r="C275" s="12"/>
      <c r="D275" s="191"/>
      <c r="E275" s="191"/>
      <c r="F275" s="190"/>
      <c r="G275" s="191"/>
      <c r="H275" s="190"/>
      <c r="I275" s="190"/>
      <c r="J275" s="191"/>
      <c r="K275" s="191"/>
      <c r="L275" s="283" t="s">
        <v>34</v>
      </c>
      <c r="M275" s="190"/>
      <c r="N275" s="38" t="str">
        <f>J$6</f>
        <v>FY2010-11</v>
      </c>
      <c r="O275" s="38" t="s">
        <v>152</v>
      </c>
      <c r="P275" s="38" t="s">
        <v>147</v>
      </c>
      <c r="Q275" s="38" t="s">
        <v>70</v>
      </c>
      <c r="R275" s="191"/>
      <c r="S275" s="191"/>
      <c r="T275" s="191"/>
      <c r="U275" s="191"/>
      <c r="V275" s="192"/>
      <c r="W275" s="192"/>
      <c r="X275" s="192"/>
      <c r="Y275" s="192"/>
      <c r="Z275" s="192"/>
      <c r="AA275" s="192"/>
      <c r="AB275" s="192"/>
      <c r="AC275" s="192"/>
      <c r="AD275" s="192"/>
      <c r="AE275" s="192"/>
      <c r="AF275" s="192"/>
      <c r="AG275" s="192"/>
      <c r="AH275" s="6"/>
    </row>
    <row r="276" spans="1:34" ht="15.95" customHeight="1">
      <c r="A276" s="7"/>
      <c r="B276" s="16">
        <f>DSUM('$REV-DB'!D35:AG67,"AMOUNT",'$REV-DSUM'!D274:AG281)</f>
        <v>263804</v>
      </c>
      <c r="C276" s="12"/>
      <c r="D276" s="191"/>
      <c r="E276" s="191"/>
      <c r="F276" s="190"/>
      <c r="G276" s="191"/>
      <c r="H276" s="190"/>
      <c r="I276" s="190"/>
      <c r="J276" s="191"/>
      <c r="K276" s="191"/>
      <c r="L276" s="283" t="s">
        <v>34</v>
      </c>
      <c r="M276" s="190"/>
      <c r="N276" s="38" t="str">
        <f t="shared" ref="N276:N281" si="26">J$6</f>
        <v>FY2010-11</v>
      </c>
      <c r="O276" s="38" t="s">
        <v>152</v>
      </c>
      <c r="P276" s="38" t="s">
        <v>147</v>
      </c>
      <c r="Q276" s="38" t="s">
        <v>70</v>
      </c>
      <c r="R276" s="191"/>
      <c r="S276" s="191"/>
      <c r="T276" s="191"/>
      <c r="U276" s="191"/>
      <c r="V276" s="192"/>
      <c r="W276" s="192"/>
      <c r="X276" s="192"/>
      <c r="Y276" s="192"/>
      <c r="Z276" s="192"/>
      <c r="AA276" s="192"/>
      <c r="AB276" s="192"/>
      <c r="AC276" s="192"/>
      <c r="AD276" s="192"/>
      <c r="AE276" s="192"/>
      <c r="AF276" s="192"/>
      <c r="AG276" s="192"/>
      <c r="AH276" s="6"/>
    </row>
    <row r="277" spans="1:34" ht="15.95" customHeight="1">
      <c r="A277" s="7"/>
      <c r="B277" s="10"/>
      <c r="C277" s="12"/>
      <c r="D277" s="191"/>
      <c r="E277" s="191"/>
      <c r="F277" s="190"/>
      <c r="G277" s="191"/>
      <c r="H277" s="190"/>
      <c r="I277" s="190"/>
      <c r="J277" s="191"/>
      <c r="K277" s="191"/>
      <c r="L277" s="283" t="s">
        <v>34</v>
      </c>
      <c r="M277" s="190"/>
      <c r="N277" s="38" t="str">
        <f t="shared" si="26"/>
        <v>FY2010-11</v>
      </c>
      <c r="O277" s="38" t="s">
        <v>152</v>
      </c>
      <c r="P277" s="38" t="s">
        <v>147</v>
      </c>
      <c r="Q277" s="38" t="s">
        <v>70</v>
      </c>
      <c r="R277" s="191"/>
      <c r="S277" s="191"/>
      <c r="T277" s="191"/>
      <c r="U277" s="191"/>
      <c r="V277" s="192"/>
      <c r="W277" s="192"/>
      <c r="X277" s="192"/>
      <c r="Y277" s="192"/>
      <c r="Z277" s="192"/>
      <c r="AA277" s="192"/>
      <c r="AB277" s="192"/>
      <c r="AC277" s="192"/>
      <c r="AD277" s="192"/>
      <c r="AE277" s="192"/>
      <c r="AF277" s="192"/>
      <c r="AG277" s="192"/>
    </row>
    <row r="278" spans="1:34" ht="15.95" customHeight="1">
      <c r="A278" s="7"/>
      <c r="B278" s="10"/>
      <c r="C278" s="12"/>
      <c r="D278" s="191"/>
      <c r="E278" s="191"/>
      <c r="F278" s="190"/>
      <c r="G278" s="191"/>
      <c r="H278" s="190"/>
      <c r="I278" s="190"/>
      <c r="J278" s="191"/>
      <c r="K278" s="191"/>
      <c r="L278" s="283" t="s">
        <v>34</v>
      </c>
      <c r="M278" s="190"/>
      <c r="N278" s="38" t="str">
        <f t="shared" si="26"/>
        <v>FY2010-11</v>
      </c>
      <c r="O278" s="38" t="s">
        <v>152</v>
      </c>
      <c r="P278" s="38" t="s">
        <v>147</v>
      </c>
      <c r="Q278" s="38" t="s">
        <v>70</v>
      </c>
      <c r="R278" s="191"/>
      <c r="S278" s="191"/>
      <c r="T278" s="191"/>
      <c r="U278" s="191"/>
      <c r="V278" s="192"/>
      <c r="W278" s="192"/>
      <c r="X278" s="192"/>
      <c r="Y278" s="192"/>
      <c r="Z278" s="192"/>
      <c r="AA278" s="192"/>
      <c r="AB278" s="192"/>
      <c r="AC278" s="192"/>
      <c r="AD278" s="192"/>
      <c r="AE278" s="192"/>
      <c r="AF278" s="192"/>
      <c r="AG278" s="192"/>
    </row>
    <row r="279" spans="1:34" ht="15.95" customHeight="1">
      <c r="A279" s="7"/>
      <c r="B279" s="10"/>
      <c r="C279" s="12"/>
      <c r="D279" s="191"/>
      <c r="E279" s="191"/>
      <c r="F279" s="190"/>
      <c r="G279" s="191"/>
      <c r="H279" s="190"/>
      <c r="I279" s="190"/>
      <c r="J279" s="191"/>
      <c r="K279" s="191"/>
      <c r="L279" s="283" t="s">
        <v>34</v>
      </c>
      <c r="M279" s="190"/>
      <c r="N279" s="38" t="str">
        <f t="shared" si="26"/>
        <v>FY2010-11</v>
      </c>
      <c r="O279" s="38" t="s">
        <v>152</v>
      </c>
      <c r="P279" s="38" t="s">
        <v>147</v>
      </c>
      <c r="Q279" s="38" t="s">
        <v>70</v>
      </c>
      <c r="R279" s="191"/>
      <c r="S279" s="191"/>
      <c r="T279" s="191"/>
      <c r="U279" s="191"/>
      <c r="V279" s="192"/>
      <c r="W279" s="192"/>
      <c r="X279" s="192"/>
      <c r="Y279" s="192"/>
      <c r="Z279" s="192"/>
      <c r="AA279" s="192"/>
      <c r="AB279" s="192"/>
      <c r="AC279" s="192"/>
      <c r="AD279" s="192"/>
      <c r="AE279" s="192"/>
      <c r="AF279" s="192"/>
      <c r="AG279" s="192"/>
    </row>
    <row r="280" spans="1:34" ht="15.95" customHeight="1">
      <c r="A280" s="7"/>
      <c r="B280" s="10"/>
      <c r="C280" s="12"/>
      <c r="D280" s="191"/>
      <c r="E280" s="191"/>
      <c r="F280" s="190"/>
      <c r="G280" s="191"/>
      <c r="H280" s="190"/>
      <c r="I280" s="190"/>
      <c r="J280" s="191"/>
      <c r="K280" s="191"/>
      <c r="L280" s="283" t="s">
        <v>34</v>
      </c>
      <c r="M280" s="190"/>
      <c r="N280" s="38" t="str">
        <f t="shared" si="26"/>
        <v>FY2010-11</v>
      </c>
      <c r="O280" s="38" t="s">
        <v>152</v>
      </c>
      <c r="P280" s="38" t="s">
        <v>147</v>
      </c>
      <c r="Q280" s="38" t="s">
        <v>70</v>
      </c>
      <c r="R280" s="191"/>
      <c r="S280" s="191"/>
      <c r="T280" s="191"/>
      <c r="U280" s="191"/>
      <c r="V280" s="192"/>
      <c r="W280" s="192"/>
      <c r="X280" s="192"/>
      <c r="Y280" s="192"/>
      <c r="Z280" s="192"/>
      <c r="AA280" s="192"/>
      <c r="AB280" s="192"/>
      <c r="AC280" s="192"/>
      <c r="AD280" s="192"/>
      <c r="AE280" s="192"/>
      <c r="AF280" s="192"/>
      <c r="AG280" s="192"/>
    </row>
    <row r="281" spans="1:34" ht="15.95" customHeight="1">
      <c r="A281" s="7"/>
      <c r="B281" s="10"/>
      <c r="C281" s="12"/>
      <c r="D281" s="191"/>
      <c r="E281" s="191"/>
      <c r="F281" s="190"/>
      <c r="G281" s="191"/>
      <c r="H281" s="190"/>
      <c r="I281" s="190"/>
      <c r="J281" s="191"/>
      <c r="K281" s="191"/>
      <c r="L281" s="283" t="s">
        <v>34</v>
      </c>
      <c r="M281" s="190"/>
      <c r="N281" s="38" t="str">
        <f t="shared" si="26"/>
        <v>FY2010-11</v>
      </c>
      <c r="O281" s="38" t="s">
        <v>152</v>
      </c>
      <c r="P281" s="38" t="s">
        <v>147</v>
      </c>
      <c r="Q281" s="38" t="s">
        <v>70</v>
      </c>
      <c r="R281" s="191"/>
      <c r="S281" s="191"/>
      <c r="T281" s="191"/>
      <c r="U281" s="191"/>
      <c r="V281" s="192"/>
      <c r="W281" s="192"/>
      <c r="X281" s="192"/>
      <c r="Y281" s="192"/>
      <c r="Z281" s="192"/>
      <c r="AA281" s="192"/>
      <c r="AB281" s="192"/>
      <c r="AC281" s="192"/>
      <c r="AD281" s="192"/>
      <c r="AE281" s="192"/>
      <c r="AF281" s="192"/>
      <c r="AG281" s="192"/>
    </row>
    <row r="282" spans="1:34" ht="15.95" customHeight="1">
      <c r="A282" s="25"/>
      <c r="B282" s="26"/>
      <c r="C282" s="26"/>
      <c r="D282" s="27"/>
      <c r="E282" s="27"/>
      <c r="F282" s="28"/>
      <c r="G282" s="27"/>
      <c r="H282" s="28"/>
      <c r="I282" s="28"/>
      <c r="J282" s="27"/>
      <c r="K282" s="27"/>
      <c r="L282" s="282"/>
      <c r="M282" s="28"/>
      <c r="N282" s="28"/>
      <c r="O282" s="27"/>
      <c r="P282" s="28"/>
      <c r="Q282" s="28"/>
      <c r="R282" s="27"/>
      <c r="S282" s="27"/>
      <c r="T282" s="27"/>
      <c r="U282" s="27"/>
      <c r="V282" s="25"/>
      <c r="W282" s="25"/>
      <c r="X282" s="25"/>
      <c r="Y282" s="25"/>
      <c r="Z282" s="25"/>
      <c r="AA282" s="25"/>
      <c r="AB282" s="25"/>
      <c r="AC282" s="25"/>
      <c r="AD282" s="25"/>
      <c r="AE282" s="25"/>
      <c r="AF282" s="25"/>
      <c r="AG282" s="25"/>
    </row>
    <row r="283" spans="1:34" ht="15.95" customHeight="1" thickBot="1">
      <c r="A283" s="7"/>
      <c r="B283" s="19" t="str">
        <f>"FA1 = "&amp;'FIG3'!$W$52&amp;" "&amp;'FIG3'!$X$52</f>
        <v>FA1 = Fulton County District</v>
      </c>
      <c r="C283" s="7"/>
      <c r="D283" s="8"/>
      <c r="E283" s="8"/>
      <c r="F283" s="9"/>
      <c r="G283" s="8"/>
      <c r="H283" s="9"/>
      <c r="I283" s="9"/>
      <c r="J283" s="8"/>
      <c r="K283" s="8"/>
      <c r="L283" s="280"/>
      <c r="M283" s="9"/>
      <c r="N283" s="9"/>
      <c r="O283" s="8"/>
      <c r="P283" s="9"/>
      <c r="Q283" s="9"/>
      <c r="R283" s="8"/>
      <c r="S283" s="866"/>
      <c r="T283" s="867" t="str">
        <f>'$REV-DB'!$T$34</f>
        <v>UD1</v>
      </c>
      <c r="U283" s="867" t="str">
        <f>'$REV-DB'!$U$34</f>
        <v>UD2</v>
      </c>
      <c r="V283" s="867" t="str">
        <f>'$REV-DB'!$V$34</f>
        <v>UD3</v>
      </c>
      <c r="W283" s="867" t="str">
        <f>'$REV-DB'!$W$34</f>
        <v>UD4</v>
      </c>
      <c r="X283" s="867" t="str">
        <f>'$REV-DB'!$X$34</f>
        <v>UD5</v>
      </c>
      <c r="Y283" s="867" t="str">
        <f>'$REV-DB'!$Y$34</f>
        <v>UD6</v>
      </c>
      <c r="Z283" s="867" t="str">
        <f>'$REV-DB'!$Z$34</f>
        <v>UD7</v>
      </c>
      <c r="AA283" s="867" t="str">
        <f>'$REV-DB'!$AA$34</f>
        <v>UD8</v>
      </c>
      <c r="AB283" s="867" t="str">
        <f>'$REV-DB'!$AB$34</f>
        <v>UD9</v>
      </c>
      <c r="AC283" s="867" t="str">
        <f>'$REV-DB'!$AC$34</f>
        <v>UD10</v>
      </c>
      <c r="AD283" s="867" t="str">
        <f>'$REV-DB'!$AD$34</f>
        <v>UD11</v>
      </c>
      <c r="AE283" s="867" t="str">
        <f>'$REV-DB'!$AE$34</f>
        <v>UD12</v>
      </c>
      <c r="AF283" s="867" t="str">
        <f>'$REV-DB'!$AF$34</f>
        <v>UD13</v>
      </c>
      <c r="AG283" s="867" t="str">
        <f>'$REV-DB'!$AG$34</f>
        <v>UD14</v>
      </c>
    </row>
    <row r="284" spans="1:34" ht="15.95" customHeight="1" thickTop="1" thickBot="1">
      <c r="A284" s="7"/>
      <c r="B284" s="20" t="s">
        <v>175</v>
      </c>
      <c r="C284" s="15"/>
      <c r="D284" s="105" t="s">
        <v>186</v>
      </c>
      <c r="E284" s="105" t="s">
        <v>187</v>
      </c>
      <c r="F284" s="105" t="s">
        <v>188</v>
      </c>
      <c r="G284" s="105" t="s">
        <v>189</v>
      </c>
      <c r="H284" s="301" t="s">
        <v>11</v>
      </c>
      <c r="I284" s="301" t="s">
        <v>190</v>
      </c>
      <c r="J284" s="301" t="s">
        <v>191</v>
      </c>
      <c r="K284" s="301" t="s">
        <v>192</v>
      </c>
      <c r="L284" s="301" t="s">
        <v>203</v>
      </c>
      <c r="M284" s="301" t="s">
        <v>42</v>
      </c>
      <c r="N284" s="105" t="s">
        <v>148</v>
      </c>
      <c r="O284" s="105" t="s">
        <v>193</v>
      </c>
      <c r="P284" s="105" t="s">
        <v>142</v>
      </c>
      <c r="Q284" s="105" t="s">
        <v>194</v>
      </c>
      <c r="R284" s="112" t="s">
        <v>141</v>
      </c>
      <c r="S284" s="112" t="s">
        <v>672</v>
      </c>
      <c r="T284" s="857" t="s">
        <v>541</v>
      </c>
      <c r="U284" s="857" t="s">
        <v>542</v>
      </c>
      <c r="V284" s="857" t="s">
        <v>543</v>
      </c>
      <c r="W284" s="857" t="s">
        <v>544</v>
      </c>
      <c r="X284" s="857" t="s">
        <v>545</v>
      </c>
      <c r="Y284" s="857" t="s">
        <v>546</v>
      </c>
      <c r="Z284" s="857" t="s">
        <v>547</v>
      </c>
      <c r="AA284" s="857" t="s">
        <v>548</v>
      </c>
      <c r="AB284" s="857" t="s">
        <v>549</v>
      </c>
      <c r="AC284" s="857" t="s">
        <v>550</v>
      </c>
      <c r="AD284" s="857" t="s">
        <v>551</v>
      </c>
      <c r="AE284" s="857" t="s">
        <v>552</v>
      </c>
      <c r="AF284" s="857" t="s">
        <v>553</v>
      </c>
      <c r="AG284" s="857" t="s">
        <v>554</v>
      </c>
      <c r="AH284" s="6"/>
    </row>
    <row r="285" spans="1:34" ht="15.95" customHeight="1" thickTop="1">
      <c r="A285" s="7"/>
      <c r="B285" s="19" t="s">
        <v>150</v>
      </c>
      <c r="C285" s="12"/>
      <c r="D285" s="191"/>
      <c r="E285" s="191"/>
      <c r="F285" s="190"/>
      <c r="G285" s="191"/>
      <c r="H285" s="190"/>
      <c r="I285" s="190"/>
      <c r="J285" s="191"/>
      <c r="K285" s="191"/>
      <c r="L285" s="283" t="s">
        <v>34</v>
      </c>
      <c r="M285" s="190"/>
      <c r="N285" s="38" t="str">
        <f>J$6</f>
        <v>FY2010-11</v>
      </c>
      <c r="O285" s="38" t="s">
        <v>152</v>
      </c>
      <c r="P285" s="38" t="s">
        <v>147</v>
      </c>
      <c r="Q285" s="38" t="s">
        <v>140</v>
      </c>
      <c r="R285" s="191"/>
      <c r="S285" s="191"/>
      <c r="T285" s="191"/>
      <c r="U285" s="191"/>
      <c r="V285" s="192"/>
      <c r="W285" s="192"/>
      <c r="X285" s="192"/>
      <c r="Y285" s="192"/>
      <c r="Z285" s="192"/>
      <c r="AA285" s="192"/>
      <c r="AB285" s="192"/>
      <c r="AC285" s="192"/>
      <c r="AD285" s="192"/>
      <c r="AE285" s="192"/>
      <c r="AF285" s="192"/>
      <c r="AG285" s="192"/>
      <c r="AH285" s="6"/>
    </row>
    <row r="286" spans="1:34" ht="15.95" customHeight="1">
      <c r="A286" s="7"/>
      <c r="B286" s="16">
        <f>DSUM('$REV-DB'!D35:AG67,"AMOUNT",'$REV-DSUM'!D284:AG291)</f>
        <v>0</v>
      </c>
      <c r="C286" s="12"/>
      <c r="D286" s="191"/>
      <c r="E286" s="191"/>
      <c r="F286" s="190"/>
      <c r="G286" s="191"/>
      <c r="H286" s="190"/>
      <c r="I286" s="190"/>
      <c r="J286" s="191"/>
      <c r="K286" s="191"/>
      <c r="L286" s="283" t="s">
        <v>34</v>
      </c>
      <c r="M286" s="190"/>
      <c r="N286" s="38" t="str">
        <f t="shared" ref="N286:N291" si="27">J$6</f>
        <v>FY2010-11</v>
      </c>
      <c r="O286" s="38" t="s">
        <v>152</v>
      </c>
      <c r="P286" s="38" t="s">
        <v>147</v>
      </c>
      <c r="Q286" s="38" t="s">
        <v>140</v>
      </c>
      <c r="R286" s="191"/>
      <c r="S286" s="191"/>
      <c r="T286" s="191"/>
      <c r="U286" s="191"/>
      <c r="V286" s="192"/>
      <c r="W286" s="192"/>
      <c r="X286" s="192"/>
      <c r="Y286" s="192"/>
      <c r="Z286" s="192"/>
      <c r="AA286" s="192"/>
      <c r="AB286" s="192"/>
      <c r="AC286" s="192"/>
      <c r="AD286" s="192"/>
      <c r="AE286" s="192"/>
      <c r="AF286" s="192"/>
      <c r="AG286" s="192"/>
      <c r="AH286" s="6"/>
    </row>
    <row r="287" spans="1:34" ht="15.95" customHeight="1">
      <c r="A287" s="7"/>
      <c r="B287" s="10"/>
      <c r="C287" s="12"/>
      <c r="D287" s="191"/>
      <c r="E287" s="191"/>
      <c r="F287" s="190"/>
      <c r="G287" s="191"/>
      <c r="H287" s="190"/>
      <c r="I287" s="190"/>
      <c r="J287" s="191"/>
      <c r="K287" s="191"/>
      <c r="L287" s="283" t="s">
        <v>34</v>
      </c>
      <c r="M287" s="190"/>
      <c r="N287" s="38" t="str">
        <f t="shared" si="27"/>
        <v>FY2010-11</v>
      </c>
      <c r="O287" s="38" t="s">
        <v>152</v>
      </c>
      <c r="P287" s="38" t="s">
        <v>147</v>
      </c>
      <c r="Q287" s="38" t="s">
        <v>140</v>
      </c>
      <c r="R287" s="191"/>
      <c r="S287" s="191"/>
      <c r="T287" s="191"/>
      <c r="U287" s="191"/>
      <c r="V287" s="192"/>
      <c r="W287" s="192"/>
      <c r="X287" s="192"/>
      <c r="Y287" s="192"/>
      <c r="Z287" s="192"/>
      <c r="AA287" s="192"/>
      <c r="AB287" s="192"/>
      <c r="AC287" s="192"/>
      <c r="AD287" s="192"/>
      <c r="AE287" s="192"/>
      <c r="AF287" s="192"/>
      <c r="AG287" s="192"/>
    </row>
    <row r="288" spans="1:34" ht="15.95" customHeight="1">
      <c r="A288" s="7"/>
      <c r="B288" s="10"/>
      <c r="C288" s="12"/>
      <c r="D288" s="191"/>
      <c r="E288" s="191"/>
      <c r="F288" s="190"/>
      <c r="G288" s="191"/>
      <c r="H288" s="190"/>
      <c r="I288" s="190"/>
      <c r="J288" s="191"/>
      <c r="K288" s="191"/>
      <c r="L288" s="283" t="s">
        <v>34</v>
      </c>
      <c r="M288" s="190"/>
      <c r="N288" s="38" t="str">
        <f t="shared" si="27"/>
        <v>FY2010-11</v>
      </c>
      <c r="O288" s="38" t="s">
        <v>152</v>
      </c>
      <c r="P288" s="38" t="s">
        <v>147</v>
      </c>
      <c r="Q288" s="38" t="s">
        <v>140</v>
      </c>
      <c r="R288" s="191"/>
      <c r="S288" s="191"/>
      <c r="T288" s="191"/>
      <c r="U288" s="191"/>
      <c r="V288" s="192"/>
      <c r="W288" s="192"/>
      <c r="X288" s="192"/>
      <c r="Y288" s="192"/>
      <c r="Z288" s="192"/>
      <c r="AA288" s="192"/>
      <c r="AB288" s="192"/>
      <c r="AC288" s="192"/>
      <c r="AD288" s="192"/>
      <c r="AE288" s="192"/>
      <c r="AF288" s="192"/>
      <c r="AG288" s="192"/>
    </row>
    <row r="289" spans="1:34" ht="15.95" customHeight="1">
      <c r="A289" s="7"/>
      <c r="B289" s="10"/>
      <c r="C289" s="12"/>
      <c r="D289" s="191"/>
      <c r="E289" s="191"/>
      <c r="F289" s="190"/>
      <c r="G289" s="191"/>
      <c r="H289" s="190"/>
      <c r="I289" s="190"/>
      <c r="J289" s="191"/>
      <c r="K289" s="191"/>
      <c r="L289" s="283" t="s">
        <v>34</v>
      </c>
      <c r="M289" s="190"/>
      <c r="N289" s="38" t="str">
        <f t="shared" si="27"/>
        <v>FY2010-11</v>
      </c>
      <c r="O289" s="38" t="s">
        <v>152</v>
      </c>
      <c r="P289" s="38" t="s">
        <v>147</v>
      </c>
      <c r="Q289" s="38" t="s">
        <v>140</v>
      </c>
      <c r="R289" s="191"/>
      <c r="S289" s="191"/>
      <c r="T289" s="191"/>
      <c r="U289" s="191"/>
      <c r="V289" s="192"/>
      <c r="W289" s="192"/>
      <c r="X289" s="192"/>
      <c r="Y289" s="192"/>
      <c r="Z289" s="192"/>
      <c r="AA289" s="192"/>
      <c r="AB289" s="192"/>
      <c r="AC289" s="192"/>
      <c r="AD289" s="192"/>
      <c r="AE289" s="192"/>
      <c r="AF289" s="192"/>
      <c r="AG289" s="192"/>
    </row>
    <row r="290" spans="1:34" ht="15.95" customHeight="1">
      <c r="A290" s="7"/>
      <c r="B290" s="10"/>
      <c r="C290" s="12"/>
      <c r="D290" s="191"/>
      <c r="E290" s="191"/>
      <c r="F290" s="190"/>
      <c r="G290" s="191"/>
      <c r="H290" s="190"/>
      <c r="I290" s="190"/>
      <c r="J290" s="191"/>
      <c r="K290" s="191"/>
      <c r="L290" s="283" t="s">
        <v>34</v>
      </c>
      <c r="M290" s="190"/>
      <c r="N290" s="38" t="str">
        <f t="shared" si="27"/>
        <v>FY2010-11</v>
      </c>
      <c r="O290" s="38" t="s">
        <v>152</v>
      </c>
      <c r="P290" s="38" t="s">
        <v>147</v>
      </c>
      <c r="Q290" s="38" t="s">
        <v>140</v>
      </c>
      <c r="R290" s="191"/>
      <c r="S290" s="191"/>
      <c r="T290" s="191"/>
      <c r="U290" s="191"/>
      <c r="V290" s="192"/>
      <c r="W290" s="192"/>
      <c r="X290" s="192"/>
      <c r="Y290" s="192"/>
      <c r="Z290" s="192"/>
      <c r="AA290" s="192"/>
      <c r="AB290" s="192"/>
      <c r="AC290" s="192"/>
      <c r="AD290" s="192"/>
      <c r="AE290" s="192"/>
      <c r="AF290" s="192"/>
      <c r="AG290" s="192"/>
    </row>
    <row r="291" spans="1:34" ht="15.95" customHeight="1">
      <c r="A291" s="7"/>
      <c r="B291" s="10"/>
      <c r="C291" s="12"/>
      <c r="D291" s="191"/>
      <c r="E291" s="191"/>
      <c r="F291" s="190"/>
      <c r="G291" s="191"/>
      <c r="H291" s="190"/>
      <c r="I291" s="190"/>
      <c r="J291" s="191"/>
      <c r="K291" s="191"/>
      <c r="L291" s="283" t="s">
        <v>34</v>
      </c>
      <c r="M291" s="190"/>
      <c r="N291" s="38" t="str">
        <f t="shared" si="27"/>
        <v>FY2010-11</v>
      </c>
      <c r="O291" s="38" t="s">
        <v>152</v>
      </c>
      <c r="P291" s="38" t="s">
        <v>147</v>
      </c>
      <c r="Q291" s="38" t="s">
        <v>140</v>
      </c>
      <c r="R291" s="191"/>
      <c r="S291" s="191"/>
      <c r="T291" s="191"/>
      <c r="U291" s="191"/>
      <c r="V291" s="192"/>
      <c r="W291" s="192"/>
      <c r="X291" s="192"/>
      <c r="Y291" s="192"/>
      <c r="Z291" s="192"/>
      <c r="AA291" s="192"/>
      <c r="AB291" s="192"/>
      <c r="AC291" s="192"/>
      <c r="AD291" s="192"/>
      <c r="AE291" s="192"/>
      <c r="AF291" s="192"/>
      <c r="AG291" s="192"/>
    </row>
    <row r="292" spans="1:34" ht="15.95" customHeight="1">
      <c r="A292" s="29"/>
      <c r="B292" s="30"/>
      <c r="C292" s="30"/>
      <c r="D292" s="31"/>
      <c r="E292" s="31"/>
      <c r="F292" s="32"/>
      <c r="G292" s="31"/>
      <c r="H292" s="32"/>
      <c r="I292" s="32"/>
      <c r="J292" s="31"/>
      <c r="K292" s="31"/>
      <c r="L292" s="284"/>
      <c r="M292" s="32"/>
      <c r="N292" s="32"/>
      <c r="O292" s="31"/>
      <c r="P292" s="32"/>
      <c r="Q292" s="32"/>
      <c r="R292" s="31"/>
      <c r="S292" s="31"/>
      <c r="T292" s="31"/>
      <c r="U292" s="31"/>
      <c r="V292" s="29"/>
      <c r="W292" s="29"/>
      <c r="X292" s="29"/>
      <c r="Y292" s="29"/>
      <c r="Z292" s="29"/>
      <c r="AA292" s="29"/>
      <c r="AB292" s="29"/>
      <c r="AC292" s="29"/>
      <c r="AD292" s="29"/>
      <c r="AE292" s="29"/>
      <c r="AF292" s="29"/>
      <c r="AG292" s="29"/>
    </row>
    <row r="293" spans="1:34" ht="15.95" customHeight="1" thickBot="1">
      <c r="A293" s="7"/>
      <c r="B293" s="19" t="str">
        <f>"FA2 = "&amp;'FIG3'!$W$53&amp;" "&amp;'FIG3'!$X$53</f>
        <v>FA2 = Atlanta Public Schools</v>
      </c>
      <c r="C293" s="7"/>
      <c r="D293" s="17"/>
      <c r="E293" s="17"/>
      <c r="F293" s="18"/>
      <c r="G293" s="17"/>
      <c r="H293" s="18"/>
      <c r="I293" s="18"/>
      <c r="J293" s="17"/>
      <c r="K293" s="17"/>
      <c r="L293" s="281"/>
      <c r="M293" s="18"/>
      <c r="N293" s="9"/>
      <c r="O293" s="17"/>
      <c r="P293" s="18"/>
      <c r="Q293" s="18"/>
      <c r="R293" s="17"/>
      <c r="S293" s="866"/>
      <c r="T293" s="867" t="str">
        <f>'$REV-DB'!$T$34</f>
        <v>UD1</v>
      </c>
      <c r="U293" s="867" t="str">
        <f>'$REV-DB'!$U$34</f>
        <v>UD2</v>
      </c>
      <c r="V293" s="867" t="str">
        <f>'$REV-DB'!$V$34</f>
        <v>UD3</v>
      </c>
      <c r="W293" s="867" t="str">
        <f>'$REV-DB'!$W$34</f>
        <v>UD4</v>
      </c>
      <c r="X293" s="867" t="str">
        <f>'$REV-DB'!$X$34</f>
        <v>UD5</v>
      </c>
      <c r="Y293" s="867" t="str">
        <f>'$REV-DB'!$Y$34</f>
        <v>UD6</v>
      </c>
      <c r="Z293" s="867" t="str">
        <f>'$REV-DB'!$Z$34</f>
        <v>UD7</v>
      </c>
      <c r="AA293" s="867" t="str">
        <f>'$REV-DB'!$AA$34</f>
        <v>UD8</v>
      </c>
      <c r="AB293" s="867" t="str">
        <f>'$REV-DB'!$AB$34</f>
        <v>UD9</v>
      </c>
      <c r="AC293" s="867" t="str">
        <f>'$REV-DB'!$AC$34</f>
        <v>UD10</v>
      </c>
      <c r="AD293" s="867" t="str">
        <f>'$REV-DB'!$AD$34</f>
        <v>UD11</v>
      </c>
      <c r="AE293" s="867" t="str">
        <f>'$REV-DB'!$AE$34</f>
        <v>UD12</v>
      </c>
      <c r="AF293" s="867" t="str">
        <f>'$REV-DB'!$AF$34</f>
        <v>UD13</v>
      </c>
      <c r="AG293" s="867" t="str">
        <f>'$REV-DB'!$AG$34</f>
        <v>UD14</v>
      </c>
    </row>
    <row r="294" spans="1:34" ht="15.95" customHeight="1" thickTop="1" thickBot="1">
      <c r="A294" s="7"/>
      <c r="B294" s="20" t="s">
        <v>4</v>
      </c>
      <c r="C294" s="15"/>
      <c r="D294" s="105" t="s">
        <v>186</v>
      </c>
      <c r="E294" s="105" t="s">
        <v>187</v>
      </c>
      <c r="F294" s="105" t="s">
        <v>188</v>
      </c>
      <c r="G294" s="105" t="s">
        <v>189</v>
      </c>
      <c r="H294" s="301" t="s">
        <v>11</v>
      </c>
      <c r="I294" s="301" t="s">
        <v>190</v>
      </c>
      <c r="J294" s="301" t="s">
        <v>191</v>
      </c>
      <c r="K294" s="301" t="s">
        <v>192</v>
      </c>
      <c r="L294" s="301" t="s">
        <v>203</v>
      </c>
      <c r="M294" s="301" t="s">
        <v>42</v>
      </c>
      <c r="N294" s="105" t="s">
        <v>148</v>
      </c>
      <c r="O294" s="105" t="s">
        <v>193</v>
      </c>
      <c r="P294" s="105" t="s">
        <v>142</v>
      </c>
      <c r="Q294" s="105" t="s">
        <v>194</v>
      </c>
      <c r="R294" s="112" t="s">
        <v>141</v>
      </c>
      <c r="S294" s="112" t="s">
        <v>672</v>
      </c>
      <c r="T294" s="857" t="s">
        <v>541</v>
      </c>
      <c r="U294" s="857" t="s">
        <v>542</v>
      </c>
      <c r="V294" s="857" t="s">
        <v>543</v>
      </c>
      <c r="W294" s="857" t="s">
        <v>544</v>
      </c>
      <c r="X294" s="857" t="s">
        <v>545</v>
      </c>
      <c r="Y294" s="857" t="s">
        <v>546</v>
      </c>
      <c r="Z294" s="857" t="s">
        <v>547</v>
      </c>
      <c r="AA294" s="857" t="s">
        <v>548</v>
      </c>
      <c r="AB294" s="857" t="s">
        <v>549</v>
      </c>
      <c r="AC294" s="857" t="s">
        <v>550</v>
      </c>
      <c r="AD294" s="857" t="s">
        <v>551</v>
      </c>
      <c r="AE294" s="857" t="s">
        <v>552</v>
      </c>
      <c r="AF294" s="857" t="s">
        <v>553</v>
      </c>
      <c r="AG294" s="857" t="s">
        <v>554</v>
      </c>
      <c r="AH294" s="6"/>
    </row>
    <row r="295" spans="1:34" ht="15.95" customHeight="1" thickTop="1">
      <c r="A295" s="7"/>
      <c r="B295" s="19" t="s">
        <v>146</v>
      </c>
      <c r="C295" s="12"/>
      <c r="D295" s="193"/>
      <c r="E295" s="193"/>
      <c r="F295" s="193"/>
      <c r="G295" s="193"/>
      <c r="H295" s="193"/>
      <c r="I295" s="193"/>
      <c r="J295" s="193"/>
      <c r="K295" s="193"/>
      <c r="L295" s="285" t="s">
        <v>34</v>
      </c>
      <c r="M295" s="193"/>
      <c r="N295" s="47" t="str">
        <f>J$6</f>
        <v>FY2010-11</v>
      </c>
      <c r="O295" s="47" t="s">
        <v>153</v>
      </c>
      <c r="P295" s="47" t="s">
        <v>138</v>
      </c>
      <c r="Q295" s="193"/>
      <c r="R295" s="193"/>
      <c r="S295" s="194"/>
      <c r="T295" s="194"/>
      <c r="U295" s="194"/>
      <c r="V295" s="195"/>
      <c r="W295" s="195"/>
      <c r="X295" s="195"/>
      <c r="Y295" s="195"/>
      <c r="Z295" s="195"/>
      <c r="AA295" s="195"/>
      <c r="AB295" s="195"/>
      <c r="AC295" s="195"/>
      <c r="AD295" s="195"/>
      <c r="AE295" s="195"/>
      <c r="AF295" s="195"/>
      <c r="AG295" s="195"/>
      <c r="AH295" s="6"/>
    </row>
    <row r="296" spans="1:34" ht="15.95" customHeight="1">
      <c r="A296" s="7"/>
      <c r="B296" s="16">
        <f>DSUM('$REV-DB'!D35:AG67,"AMOUNT",'$REV-DSUM'!D294:AG301)</f>
        <v>849143389.51999998</v>
      </c>
      <c r="C296" s="12"/>
      <c r="D296" s="193"/>
      <c r="E296" s="193"/>
      <c r="F296" s="193"/>
      <c r="G296" s="193"/>
      <c r="H296" s="193"/>
      <c r="I296" s="193"/>
      <c r="J296" s="193"/>
      <c r="K296" s="193"/>
      <c r="L296" s="285" t="s">
        <v>34</v>
      </c>
      <c r="M296" s="193"/>
      <c r="N296" s="47" t="str">
        <f t="shared" ref="N296:N301" si="28">J$6</f>
        <v>FY2010-11</v>
      </c>
      <c r="O296" s="47" t="s">
        <v>153</v>
      </c>
      <c r="P296" s="47" t="s">
        <v>138</v>
      </c>
      <c r="Q296" s="193"/>
      <c r="R296" s="193"/>
      <c r="S296" s="194"/>
      <c r="T296" s="194"/>
      <c r="U296" s="194"/>
      <c r="V296" s="195"/>
      <c r="W296" s="195"/>
      <c r="X296" s="195"/>
      <c r="Y296" s="195"/>
      <c r="Z296" s="195"/>
      <c r="AA296" s="195"/>
      <c r="AB296" s="195"/>
      <c r="AC296" s="195"/>
      <c r="AD296" s="195"/>
      <c r="AE296" s="195"/>
      <c r="AF296" s="195"/>
      <c r="AG296" s="195"/>
      <c r="AH296" s="6"/>
    </row>
    <row r="297" spans="1:34" ht="15.95" customHeight="1">
      <c r="A297" s="7"/>
      <c r="B297" s="10"/>
      <c r="C297" s="12"/>
      <c r="D297" s="193"/>
      <c r="E297" s="193"/>
      <c r="F297" s="193"/>
      <c r="G297" s="193"/>
      <c r="H297" s="193"/>
      <c r="I297" s="193"/>
      <c r="J297" s="193"/>
      <c r="K297" s="193"/>
      <c r="L297" s="285" t="s">
        <v>34</v>
      </c>
      <c r="M297" s="193"/>
      <c r="N297" s="47" t="str">
        <f t="shared" si="28"/>
        <v>FY2010-11</v>
      </c>
      <c r="O297" s="47" t="s">
        <v>153</v>
      </c>
      <c r="P297" s="47" t="s">
        <v>138</v>
      </c>
      <c r="Q297" s="193"/>
      <c r="R297" s="193"/>
      <c r="S297" s="194"/>
      <c r="T297" s="194"/>
      <c r="U297" s="194"/>
      <c r="V297" s="195"/>
      <c r="W297" s="195"/>
      <c r="X297" s="195"/>
      <c r="Y297" s="195"/>
      <c r="Z297" s="195"/>
      <c r="AA297" s="195"/>
      <c r="AB297" s="195"/>
      <c r="AC297" s="195"/>
      <c r="AD297" s="195"/>
      <c r="AE297" s="195"/>
      <c r="AF297" s="195"/>
      <c r="AG297" s="195"/>
    </row>
    <row r="298" spans="1:34" ht="15.95" customHeight="1">
      <c r="A298" s="7"/>
      <c r="B298" s="10"/>
      <c r="C298" s="12"/>
      <c r="D298" s="193"/>
      <c r="E298" s="193"/>
      <c r="F298" s="193"/>
      <c r="G298" s="193"/>
      <c r="H298" s="193"/>
      <c r="I298" s="193"/>
      <c r="J298" s="193"/>
      <c r="K298" s="193"/>
      <c r="L298" s="285" t="s">
        <v>34</v>
      </c>
      <c r="M298" s="193"/>
      <c r="N298" s="47" t="str">
        <f t="shared" si="28"/>
        <v>FY2010-11</v>
      </c>
      <c r="O298" s="47" t="s">
        <v>153</v>
      </c>
      <c r="P298" s="47" t="s">
        <v>138</v>
      </c>
      <c r="Q298" s="193"/>
      <c r="R298" s="193"/>
      <c r="S298" s="194"/>
      <c r="T298" s="194"/>
      <c r="U298" s="194"/>
      <c r="V298" s="195"/>
      <c r="W298" s="195"/>
      <c r="X298" s="195"/>
      <c r="Y298" s="195"/>
      <c r="Z298" s="195"/>
      <c r="AA298" s="195"/>
      <c r="AB298" s="195"/>
      <c r="AC298" s="195"/>
      <c r="AD298" s="195"/>
      <c r="AE298" s="195"/>
      <c r="AF298" s="195"/>
      <c r="AG298" s="195"/>
    </row>
    <row r="299" spans="1:34" ht="15.95" customHeight="1">
      <c r="A299" s="7"/>
      <c r="B299" s="10"/>
      <c r="C299" s="12"/>
      <c r="D299" s="193"/>
      <c r="E299" s="193"/>
      <c r="F299" s="193"/>
      <c r="G299" s="193"/>
      <c r="H299" s="193"/>
      <c r="I299" s="193"/>
      <c r="J299" s="193"/>
      <c r="K299" s="193"/>
      <c r="L299" s="285" t="s">
        <v>34</v>
      </c>
      <c r="M299" s="193"/>
      <c r="N299" s="47" t="str">
        <f t="shared" si="28"/>
        <v>FY2010-11</v>
      </c>
      <c r="O299" s="47" t="s">
        <v>153</v>
      </c>
      <c r="P299" s="47" t="s">
        <v>138</v>
      </c>
      <c r="Q299" s="193"/>
      <c r="R299" s="193"/>
      <c r="S299" s="194"/>
      <c r="T299" s="194"/>
      <c r="U299" s="194"/>
      <c r="V299" s="195"/>
      <c r="W299" s="195"/>
      <c r="X299" s="195"/>
      <c r="Y299" s="195"/>
      <c r="Z299" s="195"/>
      <c r="AA299" s="195"/>
      <c r="AB299" s="195"/>
      <c r="AC299" s="195"/>
      <c r="AD299" s="195"/>
      <c r="AE299" s="195"/>
      <c r="AF299" s="195"/>
      <c r="AG299" s="195"/>
    </row>
    <row r="300" spans="1:34" ht="15.95" customHeight="1">
      <c r="A300" s="7"/>
      <c r="B300" s="10"/>
      <c r="C300" s="12"/>
      <c r="D300" s="193"/>
      <c r="E300" s="193"/>
      <c r="F300" s="193"/>
      <c r="G300" s="193"/>
      <c r="H300" s="193"/>
      <c r="I300" s="193"/>
      <c r="J300" s="193"/>
      <c r="K300" s="193"/>
      <c r="L300" s="285" t="s">
        <v>34</v>
      </c>
      <c r="M300" s="193"/>
      <c r="N300" s="47" t="str">
        <f t="shared" si="28"/>
        <v>FY2010-11</v>
      </c>
      <c r="O300" s="47" t="s">
        <v>153</v>
      </c>
      <c r="P300" s="47" t="s">
        <v>138</v>
      </c>
      <c r="Q300" s="193"/>
      <c r="R300" s="193"/>
      <c r="S300" s="194"/>
      <c r="T300" s="194"/>
      <c r="U300" s="194"/>
      <c r="V300" s="195"/>
      <c r="W300" s="195"/>
      <c r="X300" s="195"/>
      <c r="Y300" s="195"/>
      <c r="Z300" s="195"/>
      <c r="AA300" s="195"/>
      <c r="AB300" s="195"/>
      <c r="AC300" s="195"/>
      <c r="AD300" s="195"/>
      <c r="AE300" s="195"/>
      <c r="AF300" s="195"/>
      <c r="AG300" s="195"/>
    </row>
    <row r="301" spans="1:34" ht="15.95" customHeight="1">
      <c r="A301" s="7"/>
      <c r="B301" s="10"/>
      <c r="C301" s="12"/>
      <c r="D301" s="193"/>
      <c r="E301" s="193"/>
      <c r="F301" s="193"/>
      <c r="G301" s="193"/>
      <c r="H301" s="193"/>
      <c r="I301" s="193"/>
      <c r="J301" s="193"/>
      <c r="K301" s="193"/>
      <c r="L301" s="285" t="s">
        <v>34</v>
      </c>
      <c r="M301" s="193"/>
      <c r="N301" s="47" t="str">
        <f t="shared" si="28"/>
        <v>FY2010-11</v>
      </c>
      <c r="O301" s="47" t="s">
        <v>153</v>
      </c>
      <c r="P301" s="47" t="s">
        <v>138</v>
      </c>
      <c r="Q301" s="193"/>
      <c r="R301" s="193"/>
      <c r="S301" s="194"/>
      <c r="T301" s="194"/>
      <c r="U301" s="194"/>
      <c r="V301" s="195"/>
      <c r="W301" s="195"/>
      <c r="X301" s="195"/>
      <c r="Y301" s="195"/>
      <c r="Z301" s="195"/>
      <c r="AA301" s="195"/>
      <c r="AB301" s="195"/>
      <c r="AC301" s="195"/>
      <c r="AD301" s="195"/>
      <c r="AE301" s="195"/>
      <c r="AF301" s="195"/>
      <c r="AG301" s="195"/>
    </row>
    <row r="302" spans="1:34" ht="15.95" customHeight="1">
      <c r="A302" s="29"/>
      <c r="B302" s="30"/>
      <c r="C302" s="30"/>
      <c r="D302" s="31"/>
      <c r="E302" s="31"/>
      <c r="F302" s="32"/>
      <c r="G302" s="31"/>
      <c r="H302" s="32"/>
      <c r="I302" s="32"/>
      <c r="J302" s="31"/>
      <c r="K302" s="31"/>
      <c r="L302" s="284"/>
      <c r="M302" s="32"/>
      <c r="N302" s="32"/>
      <c r="O302" s="31"/>
      <c r="P302" s="32"/>
      <c r="Q302" s="32"/>
      <c r="R302" s="31"/>
      <c r="S302" s="31"/>
      <c r="T302" s="31"/>
      <c r="U302" s="31"/>
      <c r="V302" s="29"/>
      <c r="W302" s="29"/>
      <c r="X302" s="29"/>
      <c r="Y302" s="29"/>
      <c r="Z302" s="29"/>
      <c r="AA302" s="29"/>
      <c r="AB302" s="29"/>
      <c r="AC302" s="29"/>
      <c r="AD302" s="29"/>
      <c r="AE302" s="29"/>
      <c r="AF302" s="29"/>
      <c r="AG302" s="29"/>
    </row>
    <row r="303" spans="1:34" ht="15.95" customHeight="1" thickBot="1">
      <c r="A303" s="7"/>
      <c r="B303" s="19" t="str">
        <f>"FA2 = "&amp;'FIG3'!$W$53&amp;" "&amp;'FIG3'!$X$53</f>
        <v>FA2 = Atlanta Public Schools</v>
      </c>
      <c r="C303" s="7"/>
      <c r="D303" s="8"/>
      <c r="E303" s="8"/>
      <c r="F303" s="9"/>
      <c r="G303" s="8"/>
      <c r="H303" s="9"/>
      <c r="I303" s="9"/>
      <c r="J303" s="8"/>
      <c r="K303" s="8"/>
      <c r="L303" s="280"/>
      <c r="M303" s="9"/>
      <c r="N303" s="9"/>
      <c r="O303" s="8"/>
      <c r="P303" s="9"/>
      <c r="Q303" s="9"/>
      <c r="R303" s="8"/>
      <c r="S303" s="866"/>
      <c r="T303" s="867" t="str">
        <f>'$REV-DB'!$T$34</f>
        <v>UD1</v>
      </c>
      <c r="U303" s="867" t="str">
        <f>'$REV-DB'!$U$34</f>
        <v>UD2</v>
      </c>
      <c r="V303" s="867" t="str">
        <f>'$REV-DB'!$V$34</f>
        <v>UD3</v>
      </c>
      <c r="W303" s="867" t="str">
        <f>'$REV-DB'!$W$34</f>
        <v>UD4</v>
      </c>
      <c r="X303" s="867" t="str">
        <f>'$REV-DB'!$X$34</f>
        <v>UD5</v>
      </c>
      <c r="Y303" s="867" t="str">
        <f>'$REV-DB'!$Y$34</f>
        <v>UD6</v>
      </c>
      <c r="Z303" s="867" t="str">
        <f>'$REV-DB'!$Z$34</f>
        <v>UD7</v>
      </c>
      <c r="AA303" s="867" t="str">
        <f>'$REV-DB'!$AA$34</f>
        <v>UD8</v>
      </c>
      <c r="AB303" s="867" t="str">
        <f>'$REV-DB'!$AB$34</f>
        <v>UD9</v>
      </c>
      <c r="AC303" s="867" t="str">
        <f>'$REV-DB'!$AC$34</f>
        <v>UD10</v>
      </c>
      <c r="AD303" s="867" t="str">
        <f>'$REV-DB'!$AD$34</f>
        <v>UD11</v>
      </c>
      <c r="AE303" s="867" t="str">
        <f>'$REV-DB'!$AE$34</f>
        <v>UD12</v>
      </c>
      <c r="AF303" s="867" t="str">
        <f>'$REV-DB'!$AF$34</f>
        <v>UD13</v>
      </c>
      <c r="AG303" s="867" t="str">
        <f>'$REV-DB'!$AG$34</f>
        <v>UD14</v>
      </c>
    </row>
    <row r="304" spans="1:34" ht="15.95" customHeight="1" thickTop="1" thickBot="1">
      <c r="A304" s="7"/>
      <c r="B304" s="20" t="s">
        <v>4</v>
      </c>
      <c r="C304" s="15"/>
      <c r="D304" s="105" t="s">
        <v>186</v>
      </c>
      <c r="E304" s="105" t="s">
        <v>187</v>
      </c>
      <c r="F304" s="105" t="s">
        <v>188</v>
      </c>
      <c r="G304" s="105" t="s">
        <v>189</v>
      </c>
      <c r="H304" s="301" t="s">
        <v>11</v>
      </c>
      <c r="I304" s="301" t="s">
        <v>190</v>
      </c>
      <c r="J304" s="301" t="s">
        <v>191</v>
      </c>
      <c r="K304" s="301" t="s">
        <v>192</v>
      </c>
      <c r="L304" s="301" t="s">
        <v>203</v>
      </c>
      <c r="M304" s="301" t="s">
        <v>42</v>
      </c>
      <c r="N304" s="105" t="s">
        <v>148</v>
      </c>
      <c r="O304" s="105" t="s">
        <v>193</v>
      </c>
      <c r="P304" s="105" t="s">
        <v>142</v>
      </c>
      <c r="Q304" s="105" t="s">
        <v>194</v>
      </c>
      <c r="R304" s="112" t="s">
        <v>141</v>
      </c>
      <c r="S304" s="112" t="s">
        <v>672</v>
      </c>
      <c r="T304" s="857" t="s">
        <v>541</v>
      </c>
      <c r="U304" s="857" t="s">
        <v>542</v>
      </c>
      <c r="V304" s="857" t="s">
        <v>543</v>
      </c>
      <c r="W304" s="857" t="s">
        <v>544</v>
      </c>
      <c r="X304" s="857" t="s">
        <v>545</v>
      </c>
      <c r="Y304" s="857" t="s">
        <v>546</v>
      </c>
      <c r="Z304" s="857" t="s">
        <v>547</v>
      </c>
      <c r="AA304" s="857" t="s">
        <v>548</v>
      </c>
      <c r="AB304" s="857" t="s">
        <v>549</v>
      </c>
      <c r="AC304" s="857" t="s">
        <v>550</v>
      </c>
      <c r="AD304" s="857" t="s">
        <v>551</v>
      </c>
      <c r="AE304" s="857" t="s">
        <v>552</v>
      </c>
      <c r="AF304" s="857" t="s">
        <v>553</v>
      </c>
      <c r="AG304" s="857" t="s">
        <v>554</v>
      </c>
      <c r="AH304" s="6"/>
    </row>
    <row r="305" spans="1:34" ht="15.95" customHeight="1" thickTop="1">
      <c r="A305" s="7"/>
      <c r="B305" s="19" t="s">
        <v>145</v>
      </c>
      <c r="C305" s="12"/>
      <c r="D305" s="194"/>
      <c r="E305" s="194"/>
      <c r="F305" s="193"/>
      <c r="G305" s="194"/>
      <c r="H305" s="193"/>
      <c r="I305" s="193"/>
      <c r="J305" s="194"/>
      <c r="K305" s="194"/>
      <c r="L305" s="285" t="s">
        <v>34</v>
      </c>
      <c r="M305" s="193"/>
      <c r="N305" s="47" t="str">
        <f>J$6</f>
        <v>FY2010-11</v>
      </c>
      <c r="O305" s="47" t="s">
        <v>153</v>
      </c>
      <c r="P305" s="47" t="s">
        <v>138</v>
      </c>
      <c r="Q305" s="47" t="s">
        <v>180</v>
      </c>
      <c r="R305" s="194"/>
      <c r="S305" s="194"/>
      <c r="T305" s="194"/>
      <c r="U305" s="194"/>
      <c r="V305" s="195"/>
      <c r="W305" s="195"/>
      <c r="X305" s="195"/>
      <c r="Y305" s="195"/>
      <c r="Z305" s="195"/>
      <c r="AA305" s="195"/>
      <c r="AB305" s="195"/>
      <c r="AC305" s="195"/>
      <c r="AD305" s="195"/>
      <c r="AE305" s="195"/>
      <c r="AF305" s="195"/>
      <c r="AG305" s="195"/>
      <c r="AH305" s="6"/>
    </row>
    <row r="306" spans="1:34" ht="15.95" customHeight="1">
      <c r="A306" s="7"/>
      <c r="B306" s="16">
        <f>DSUM('$REV-DB'!D35:AG67,"AMOUNT",'$REV-DSUM'!D304:AG311)</f>
        <v>102172098.02000001</v>
      </c>
      <c r="C306" s="12"/>
      <c r="D306" s="194"/>
      <c r="E306" s="194"/>
      <c r="F306" s="193"/>
      <c r="G306" s="194"/>
      <c r="H306" s="193"/>
      <c r="I306" s="193"/>
      <c r="J306" s="194"/>
      <c r="K306" s="194"/>
      <c r="L306" s="285" t="s">
        <v>34</v>
      </c>
      <c r="M306" s="193"/>
      <c r="N306" s="47" t="str">
        <f t="shared" ref="N306:N311" si="29">J$6</f>
        <v>FY2010-11</v>
      </c>
      <c r="O306" s="47" t="s">
        <v>153</v>
      </c>
      <c r="P306" s="47" t="s">
        <v>138</v>
      </c>
      <c r="Q306" s="47" t="s">
        <v>180</v>
      </c>
      <c r="R306" s="194"/>
      <c r="S306" s="194"/>
      <c r="T306" s="194"/>
      <c r="U306" s="194"/>
      <c r="V306" s="195"/>
      <c r="W306" s="195"/>
      <c r="X306" s="195"/>
      <c r="Y306" s="195"/>
      <c r="Z306" s="195"/>
      <c r="AA306" s="195"/>
      <c r="AB306" s="195"/>
      <c r="AC306" s="195"/>
      <c r="AD306" s="195"/>
      <c r="AE306" s="195"/>
      <c r="AF306" s="195"/>
      <c r="AG306" s="195"/>
      <c r="AH306" s="6"/>
    </row>
    <row r="307" spans="1:34" ht="15.95" customHeight="1">
      <c r="A307" s="7"/>
      <c r="B307" s="10"/>
      <c r="C307" s="12"/>
      <c r="D307" s="194"/>
      <c r="E307" s="194"/>
      <c r="F307" s="193"/>
      <c r="G307" s="194"/>
      <c r="H307" s="193"/>
      <c r="I307" s="193"/>
      <c r="J307" s="194"/>
      <c r="K307" s="194"/>
      <c r="L307" s="285" t="s">
        <v>34</v>
      </c>
      <c r="M307" s="193"/>
      <c r="N307" s="47" t="str">
        <f t="shared" si="29"/>
        <v>FY2010-11</v>
      </c>
      <c r="O307" s="47" t="s">
        <v>153</v>
      </c>
      <c r="P307" s="47" t="s">
        <v>138</v>
      </c>
      <c r="Q307" s="47" t="s">
        <v>180</v>
      </c>
      <c r="R307" s="194"/>
      <c r="S307" s="194"/>
      <c r="T307" s="194"/>
      <c r="U307" s="194"/>
      <c r="V307" s="195"/>
      <c r="W307" s="195"/>
      <c r="X307" s="195"/>
      <c r="Y307" s="195"/>
      <c r="Z307" s="195"/>
      <c r="AA307" s="195"/>
      <c r="AB307" s="195"/>
      <c r="AC307" s="195"/>
      <c r="AD307" s="195"/>
      <c r="AE307" s="195"/>
      <c r="AF307" s="195"/>
      <c r="AG307" s="195"/>
    </row>
    <row r="308" spans="1:34" ht="15.95" customHeight="1">
      <c r="A308" s="7"/>
      <c r="B308" s="10"/>
      <c r="C308" s="12"/>
      <c r="D308" s="194"/>
      <c r="E308" s="194"/>
      <c r="F308" s="193"/>
      <c r="G308" s="194"/>
      <c r="H308" s="193"/>
      <c r="I308" s="193"/>
      <c r="J308" s="194"/>
      <c r="K308" s="194"/>
      <c r="L308" s="285" t="s">
        <v>34</v>
      </c>
      <c r="M308" s="193"/>
      <c r="N308" s="47" t="str">
        <f t="shared" si="29"/>
        <v>FY2010-11</v>
      </c>
      <c r="O308" s="47" t="s">
        <v>153</v>
      </c>
      <c r="P308" s="47" t="s">
        <v>138</v>
      </c>
      <c r="Q308" s="47" t="s">
        <v>180</v>
      </c>
      <c r="R308" s="194"/>
      <c r="S308" s="194"/>
      <c r="T308" s="194"/>
      <c r="U308" s="194"/>
      <c r="V308" s="195"/>
      <c r="W308" s="195"/>
      <c r="X308" s="195"/>
      <c r="Y308" s="195"/>
      <c r="Z308" s="195"/>
      <c r="AA308" s="195"/>
      <c r="AB308" s="195"/>
      <c r="AC308" s="195"/>
      <c r="AD308" s="195"/>
      <c r="AE308" s="195"/>
      <c r="AF308" s="195"/>
      <c r="AG308" s="195"/>
    </row>
    <row r="309" spans="1:34" ht="15.95" customHeight="1">
      <c r="A309" s="7"/>
      <c r="B309" s="10"/>
      <c r="C309" s="12"/>
      <c r="D309" s="194"/>
      <c r="E309" s="194"/>
      <c r="F309" s="193"/>
      <c r="G309" s="194"/>
      <c r="H309" s="193"/>
      <c r="I309" s="193"/>
      <c r="J309" s="194"/>
      <c r="K309" s="194"/>
      <c r="L309" s="285" t="s">
        <v>34</v>
      </c>
      <c r="M309" s="193"/>
      <c r="N309" s="47" t="str">
        <f t="shared" si="29"/>
        <v>FY2010-11</v>
      </c>
      <c r="O309" s="47" t="s">
        <v>153</v>
      </c>
      <c r="P309" s="47" t="s">
        <v>138</v>
      </c>
      <c r="Q309" s="47" t="s">
        <v>180</v>
      </c>
      <c r="R309" s="194"/>
      <c r="S309" s="194"/>
      <c r="T309" s="194"/>
      <c r="U309" s="194"/>
      <c r="V309" s="195"/>
      <c r="W309" s="195"/>
      <c r="X309" s="195"/>
      <c r="Y309" s="195"/>
      <c r="Z309" s="195"/>
      <c r="AA309" s="195"/>
      <c r="AB309" s="195"/>
      <c r="AC309" s="195"/>
      <c r="AD309" s="195"/>
      <c r="AE309" s="195"/>
      <c r="AF309" s="195"/>
      <c r="AG309" s="195"/>
    </row>
    <row r="310" spans="1:34" ht="15.95" customHeight="1">
      <c r="A310" s="7"/>
      <c r="B310" s="10"/>
      <c r="C310" s="12"/>
      <c r="D310" s="194"/>
      <c r="E310" s="194"/>
      <c r="F310" s="193"/>
      <c r="G310" s="194"/>
      <c r="H310" s="193"/>
      <c r="I310" s="193"/>
      <c r="J310" s="194"/>
      <c r="K310" s="194"/>
      <c r="L310" s="285" t="s">
        <v>34</v>
      </c>
      <c r="M310" s="193"/>
      <c r="N310" s="47" t="str">
        <f t="shared" si="29"/>
        <v>FY2010-11</v>
      </c>
      <c r="O310" s="47" t="s">
        <v>153</v>
      </c>
      <c r="P310" s="47" t="s">
        <v>138</v>
      </c>
      <c r="Q310" s="47" t="s">
        <v>180</v>
      </c>
      <c r="R310" s="194"/>
      <c r="S310" s="194"/>
      <c r="T310" s="194"/>
      <c r="U310" s="194"/>
      <c r="V310" s="195"/>
      <c r="W310" s="195"/>
      <c r="X310" s="195"/>
      <c r="Y310" s="195"/>
      <c r="Z310" s="195"/>
      <c r="AA310" s="195"/>
      <c r="AB310" s="195"/>
      <c r="AC310" s="195"/>
      <c r="AD310" s="195"/>
      <c r="AE310" s="195"/>
      <c r="AF310" s="195"/>
      <c r="AG310" s="195"/>
    </row>
    <row r="311" spans="1:34" ht="15.95" customHeight="1">
      <c r="A311" s="7"/>
      <c r="B311" s="10"/>
      <c r="C311" s="12"/>
      <c r="D311" s="194"/>
      <c r="E311" s="194"/>
      <c r="F311" s="193"/>
      <c r="G311" s="194"/>
      <c r="H311" s="193"/>
      <c r="I311" s="193"/>
      <c r="J311" s="194"/>
      <c r="K311" s="194"/>
      <c r="L311" s="285" t="s">
        <v>34</v>
      </c>
      <c r="M311" s="193"/>
      <c r="N311" s="47" t="str">
        <f t="shared" si="29"/>
        <v>FY2010-11</v>
      </c>
      <c r="O311" s="47" t="s">
        <v>153</v>
      </c>
      <c r="P311" s="47" t="s">
        <v>138</v>
      </c>
      <c r="Q311" s="47" t="s">
        <v>180</v>
      </c>
      <c r="R311" s="194"/>
      <c r="S311" s="194"/>
      <c r="T311" s="194"/>
      <c r="U311" s="194"/>
      <c r="V311" s="195"/>
      <c r="W311" s="195"/>
      <c r="X311" s="195"/>
      <c r="Y311" s="195"/>
      <c r="Z311" s="195"/>
      <c r="AA311" s="195"/>
      <c r="AB311" s="195"/>
      <c r="AC311" s="195"/>
      <c r="AD311" s="195"/>
      <c r="AE311" s="195"/>
      <c r="AF311" s="195"/>
      <c r="AG311" s="195"/>
    </row>
    <row r="312" spans="1:34" ht="15.95" customHeight="1">
      <c r="A312" s="29"/>
      <c r="B312" s="30"/>
      <c r="C312" s="30"/>
      <c r="D312" s="31"/>
      <c r="E312" s="31"/>
      <c r="F312" s="32"/>
      <c r="G312" s="31"/>
      <c r="H312" s="32"/>
      <c r="I312" s="32"/>
      <c r="J312" s="31"/>
      <c r="K312" s="31"/>
      <c r="L312" s="284"/>
      <c r="M312" s="32"/>
      <c r="N312" s="32"/>
      <c r="O312" s="31"/>
      <c r="P312" s="32"/>
      <c r="Q312" s="32"/>
      <c r="R312" s="31"/>
      <c r="S312" s="31"/>
      <c r="T312" s="31"/>
      <c r="U312" s="31"/>
      <c r="V312" s="29"/>
      <c r="W312" s="29"/>
      <c r="X312" s="29"/>
      <c r="Y312" s="29"/>
      <c r="Z312" s="29"/>
      <c r="AA312" s="29"/>
      <c r="AB312" s="29"/>
      <c r="AC312" s="29"/>
      <c r="AD312" s="29"/>
      <c r="AE312" s="29"/>
      <c r="AF312" s="29"/>
      <c r="AG312" s="29"/>
    </row>
    <row r="313" spans="1:34" ht="15.95" customHeight="1" thickBot="1">
      <c r="A313" s="7"/>
      <c r="B313" s="19" t="str">
        <f>"FA2 = "&amp;'FIG3'!$W$53&amp;" "&amp;'FIG3'!$X$53</f>
        <v>FA2 = Atlanta Public Schools</v>
      </c>
      <c r="C313" s="7"/>
      <c r="D313" s="8"/>
      <c r="E313" s="8"/>
      <c r="F313" s="9"/>
      <c r="G313" s="8"/>
      <c r="H313" s="9"/>
      <c r="I313" s="9"/>
      <c r="J313" s="8"/>
      <c r="K313" s="8"/>
      <c r="L313" s="280"/>
      <c r="M313" s="9"/>
      <c r="N313" s="9"/>
      <c r="O313" s="8"/>
      <c r="P313" s="9"/>
      <c r="Q313" s="9"/>
      <c r="R313" s="8"/>
      <c r="S313" s="866"/>
      <c r="T313" s="867" t="str">
        <f>'$REV-DB'!$T$34</f>
        <v>UD1</v>
      </c>
      <c r="U313" s="867" t="str">
        <f>'$REV-DB'!$U$34</f>
        <v>UD2</v>
      </c>
      <c r="V313" s="867" t="str">
        <f>'$REV-DB'!$V$34</f>
        <v>UD3</v>
      </c>
      <c r="W313" s="867" t="str">
        <f>'$REV-DB'!$W$34</f>
        <v>UD4</v>
      </c>
      <c r="X313" s="867" t="str">
        <f>'$REV-DB'!$X$34</f>
        <v>UD5</v>
      </c>
      <c r="Y313" s="867" t="str">
        <f>'$REV-DB'!$Y$34</f>
        <v>UD6</v>
      </c>
      <c r="Z313" s="867" t="str">
        <f>'$REV-DB'!$Z$34</f>
        <v>UD7</v>
      </c>
      <c r="AA313" s="867" t="str">
        <f>'$REV-DB'!$AA$34</f>
        <v>UD8</v>
      </c>
      <c r="AB313" s="867" t="str">
        <f>'$REV-DB'!$AB$34</f>
        <v>UD9</v>
      </c>
      <c r="AC313" s="867" t="str">
        <f>'$REV-DB'!$AC$34</f>
        <v>UD10</v>
      </c>
      <c r="AD313" s="867" t="str">
        <f>'$REV-DB'!$AD$34</f>
        <v>UD11</v>
      </c>
      <c r="AE313" s="867" t="str">
        <f>'$REV-DB'!$AE$34</f>
        <v>UD12</v>
      </c>
      <c r="AF313" s="867" t="str">
        <f>'$REV-DB'!$AF$34</f>
        <v>UD13</v>
      </c>
      <c r="AG313" s="867" t="str">
        <f>'$REV-DB'!$AG$34</f>
        <v>UD14</v>
      </c>
    </row>
    <row r="314" spans="1:34" ht="15.95" customHeight="1" thickTop="1" thickBot="1">
      <c r="A314" s="7"/>
      <c r="B314" s="20" t="s">
        <v>4</v>
      </c>
      <c r="C314" s="15"/>
      <c r="D314" s="105" t="s">
        <v>186</v>
      </c>
      <c r="E314" s="105" t="s">
        <v>187</v>
      </c>
      <c r="F314" s="105" t="s">
        <v>188</v>
      </c>
      <c r="G314" s="105" t="s">
        <v>189</v>
      </c>
      <c r="H314" s="301" t="s">
        <v>11</v>
      </c>
      <c r="I314" s="301" t="s">
        <v>190</v>
      </c>
      <c r="J314" s="301" t="s">
        <v>191</v>
      </c>
      <c r="K314" s="301" t="s">
        <v>192</v>
      </c>
      <c r="L314" s="301" t="s">
        <v>203</v>
      </c>
      <c r="M314" s="301" t="s">
        <v>42</v>
      </c>
      <c r="N314" s="105" t="s">
        <v>148</v>
      </c>
      <c r="O314" s="105" t="s">
        <v>193</v>
      </c>
      <c r="P314" s="105" t="s">
        <v>142</v>
      </c>
      <c r="Q314" s="105" t="s">
        <v>194</v>
      </c>
      <c r="R314" s="112" t="s">
        <v>141</v>
      </c>
      <c r="S314" s="112" t="s">
        <v>672</v>
      </c>
      <c r="T314" s="857" t="s">
        <v>541</v>
      </c>
      <c r="U314" s="857" t="s">
        <v>542</v>
      </c>
      <c r="V314" s="857" t="s">
        <v>543</v>
      </c>
      <c r="W314" s="857" t="s">
        <v>544</v>
      </c>
      <c r="X314" s="857" t="s">
        <v>545</v>
      </c>
      <c r="Y314" s="857" t="s">
        <v>546</v>
      </c>
      <c r="Z314" s="857" t="s">
        <v>547</v>
      </c>
      <c r="AA314" s="857" t="s">
        <v>548</v>
      </c>
      <c r="AB314" s="857" t="s">
        <v>549</v>
      </c>
      <c r="AC314" s="857" t="s">
        <v>550</v>
      </c>
      <c r="AD314" s="857" t="s">
        <v>551</v>
      </c>
      <c r="AE314" s="857" t="s">
        <v>552</v>
      </c>
      <c r="AF314" s="857" t="s">
        <v>553</v>
      </c>
      <c r="AG314" s="857" t="s">
        <v>554</v>
      </c>
      <c r="AH314" s="6"/>
    </row>
    <row r="315" spans="1:34" ht="15.95" customHeight="1" thickTop="1">
      <c r="A315" s="7"/>
      <c r="B315" s="19" t="s">
        <v>144</v>
      </c>
      <c r="C315" s="12"/>
      <c r="D315" s="194"/>
      <c r="E315" s="194"/>
      <c r="F315" s="193"/>
      <c r="G315" s="194"/>
      <c r="H315" s="193"/>
      <c r="I315" s="193"/>
      <c r="J315" s="194"/>
      <c r="K315" s="194"/>
      <c r="L315" s="285" t="s">
        <v>34</v>
      </c>
      <c r="M315" s="193"/>
      <c r="N315" s="47" t="str">
        <f>J$6</f>
        <v>FY2010-11</v>
      </c>
      <c r="O315" s="47" t="s">
        <v>153</v>
      </c>
      <c r="P315" s="47" t="s">
        <v>138</v>
      </c>
      <c r="Q315" s="47" t="s">
        <v>139</v>
      </c>
      <c r="R315" s="194"/>
      <c r="S315" s="194"/>
      <c r="T315" s="194"/>
      <c r="U315" s="194"/>
      <c r="V315" s="195"/>
      <c r="W315" s="195"/>
      <c r="X315" s="195"/>
      <c r="Y315" s="195"/>
      <c r="Z315" s="195"/>
      <c r="AA315" s="195"/>
      <c r="AB315" s="195"/>
      <c r="AC315" s="195"/>
      <c r="AD315" s="195"/>
      <c r="AE315" s="195"/>
      <c r="AF315" s="195"/>
      <c r="AG315" s="195"/>
      <c r="AH315" s="6"/>
    </row>
    <row r="316" spans="1:34" ht="15.95" customHeight="1">
      <c r="A316" s="7"/>
      <c r="B316" s="16">
        <f>DSUM('$REV-DB'!D35:AG67,"AMOUNT",'$REV-DSUM'!D314:AG321)</f>
        <v>113767349.19000001</v>
      </c>
      <c r="C316" s="12"/>
      <c r="D316" s="194"/>
      <c r="E316" s="194"/>
      <c r="F316" s="193"/>
      <c r="G316" s="194"/>
      <c r="H316" s="193"/>
      <c r="I316" s="193"/>
      <c r="J316" s="194"/>
      <c r="K316" s="194"/>
      <c r="L316" s="285" t="s">
        <v>34</v>
      </c>
      <c r="M316" s="193"/>
      <c r="N316" s="47" t="str">
        <f t="shared" ref="N316:N321" si="30">J$6</f>
        <v>FY2010-11</v>
      </c>
      <c r="O316" s="47" t="s">
        <v>153</v>
      </c>
      <c r="P316" s="47" t="s">
        <v>138</v>
      </c>
      <c r="Q316" s="47" t="s">
        <v>139</v>
      </c>
      <c r="R316" s="194"/>
      <c r="S316" s="194"/>
      <c r="T316" s="194"/>
      <c r="U316" s="194"/>
      <c r="V316" s="195"/>
      <c r="W316" s="195"/>
      <c r="X316" s="195"/>
      <c r="Y316" s="195"/>
      <c r="Z316" s="195"/>
      <c r="AA316" s="195"/>
      <c r="AB316" s="195"/>
      <c r="AC316" s="195"/>
      <c r="AD316" s="195"/>
      <c r="AE316" s="195"/>
      <c r="AF316" s="195"/>
      <c r="AG316" s="195"/>
      <c r="AH316" s="6"/>
    </row>
    <row r="317" spans="1:34" ht="15.95" customHeight="1">
      <c r="A317" s="7"/>
      <c r="B317" s="10"/>
      <c r="C317" s="12"/>
      <c r="D317" s="194"/>
      <c r="E317" s="194"/>
      <c r="F317" s="193"/>
      <c r="G317" s="194"/>
      <c r="H317" s="193"/>
      <c r="I317" s="193"/>
      <c r="J317" s="194"/>
      <c r="K317" s="194"/>
      <c r="L317" s="285" t="s">
        <v>34</v>
      </c>
      <c r="M317" s="193"/>
      <c r="N317" s="47" t="str">
        <f t="shared" si="30"/>
        <v>FY2010-11</v>
      </c>
      <c r="O317" s="47" t="s">
        <v>153</v>
      </c>
      <c r="P317" s="47" t="s">
        <v>138</v>
      </c>
      <c r="Q317" s="47" t="s">
        <v>139</v>
      </c>
      <c r="R317" s="194"/>
      <c r="S317" s="194"/>
      <c r="T317" s="194"/>
      <c r="U317" s="194"/>
      <c r="V317" s="195"/>
      <c r="W317" s="195"/>
      <c r="X317" s="195"/>
      <c r="Y317" s="195"/>
      <c r="Z317" s="195"/>
      <c r="AA317" s="195"/>
      <c r="AB317" s="195"/>
      <c r="AC317" s="195"/>
      <c r="AD317" s="195"/>
      <c r="AE317" s="195"/>
      <c r="AF317" s="195"/>
      <c r="AG317" s="195"/>
    </row>
    <row r="318" spans="1:34" ht="15.95" customHeight="1">
      <c r="A318" s="7"/>
      <c r="B318" s="10"/>
      <c r="C318" s="12"/>
      <c r="D318" s="194"/>
      <c r="E318" s="194"/>
      <c r="F318" s="193"/>
      <c r="G318" s="194"/>
      <c r="H318" s="193"/>
      <c r="I318" s="193"/>
      <c r="J318" s="194"/>
      <c r="K318" s="194"/>
      <c r="L318" s="285" t="s">
        <v>34</v>
      </c>
      <c r="M318" s="193"/>
      <c r="N318" s="47" t="str">
        <f t="shared" si="30"/>
        <v>FY2010-11</v>
      </c>
      <c r="O318" s="47" t="s">
        <v>153</v>
      </c>
      <c r="P318" s="47" t="s">
        <v>138</v>
      </c>
      <c r="Q318" s="47" t="s">
        <v>139</v>
      </c>
      <c r="R318" s="194"/>
      <c r="S318" s="194"/>
      <c r="T318" s="194"/>
      <c r="U318" s="194"/>
      <c r="V318" s="195"/>
      <c r="W318" s="195"/>
      <c r="X318" s="195"/>
      <c r="Y318" s="195"/>
      <c r="Z318" s="195"/>
      <c r="AA318" s="195"/>
      <c r="AB318" s="195"/>
      <c r="AC318" s="195"/>
      <c r="AD318" s="195"/>
      <c r="AE318" s="195"/>
      <c r="AF318" s="195"/>
      <c r="AG318" s="195"/>
    </row>
    <row r="319" spans="1:34" ht="15.95" customHeight="1">
      <c r="A319" s="7"/>
      <c r="B319" s="10"/>
      <c r="C319" s="12"/>
      <c r="D319" s="194"/>
      <c r="E319" s="194"/>
      <c r="F319" s="193"/>
      <c r="G319" s="194"/>
      <c r="H319" s="193"/>
      <c r="I319" s="193"/>
      <c r="J319" s="194"/>
      <c r="K319" s="194"/>
      <c r="L319" s="285" t="s">
        <v>34</v>
      </c>
      <c r="M319" s="193"/>
      <c r="N319" s="47" t="str">
        <f t="shared" si="30"/>
        <v>FY2010-11</v>
      </c>
      <c r="O319" s="47" t="s">
        <v>153</v>
      </c>
      <c r="P319" s="47" t="s">
        <v>138</v>
      </c>
      <c r="Q319" s="47" t="s">
        <v>139</v>
      </c>
      <c r="R319" s="194"/>
      <c r="S319" s="194"/>
      <c r="T319" s="194"/>
      <c r="U319" s="194"/>
      <c r="V319" s="195"/>
      <c r="W319" s="195"/>
      <c r="X319" s="195"/>
      <c r="Y319" s="195"/>
      <c r="Z319" s="195"/>
      <c r="AA319" s="195"/>
      <c r="AB319" s="195"/>
      <c r="AC319" s="195"/>
      <c r="AD319" s="195"/>
      <c r="AE319" s="195"/>
      <c r="AF319" s="195"/>
      <c r="AG319" s="195"/>
    </row>
    <row r="320" spans="1:34" ht="15.95" customHeight="1">
      <c r="A320" s="7"/>
      <c r="B320" s="10"/>
      <c r="C320" s="12"/>
      <c r="D320" s="194"/>
      <c r="E320" s="194"/>
      <c r="F320" s="193"/>
      <c r="G320" s="194"/>
      <c r="H320" s="193"/>
      <c r="I320" s="193"/>
      <c r="J320" s="194"/>
      <c r="K320" s="194"/>
      <c r="L320" s="285" t="s">
        <v>34</v>
      </c>
      <c r="M320" s="193"/>
      <c r="N320" s="47" t="str">
        <f t="shared" si="30"/>
        <v>FY2010-11</v>
      </c>
      <c r="O320" s="47" t="s">
        <v>153</v>
      </c>
      <c r="P320" s="47" t="s">
        <v>138</v>
      </c>
      <c r="Q320" s="47" t="s">
        <v>139</v>
      </c>
      <c r="R320" s="194"/>
      <c r="S320" s="194"/>
      <c r="T320" s="194"/>
      <c r="U320" s="194"/>
      <c r="V320" s="195"/>
      <c r="W320" s="195"/>
      <c r="X320" s="195"/>
      <c r="Y320" s="195"/>
      <c r="Z320" s="195"/>
      <c r="AA320" s="195"/>
      <c r="AB320" s="195"/>
      <c r="AC320" s="195"/>
      <c r="AD320" s="195"/>
      <c r="AE320" s="195"/>
      <c r="AF320" s="195"/>
      <c r="AG320" s="195"/>
    </row>
    <row r="321" spans="1:34" ht="15.95" customHeight="1">
      <c r="A321" s="7"/>
      <c r="B321" s="10"/>
      <c r="C321" s="12"/>
      <c r="D321" s="194"/>
      <c r="E321" s="194"/>
      <c r="F321" s="193"/>
      <c r="G321" s="194"/>
      <c r="H321" s="193"/>
      <c r="I321" s="193"/>
      <c r="J321" s="194"/>
      <c r="K321" s="194"/>
      <c r="L321" s="285" t="s">
        <v>34</v>
      </c>
      <c r="M321" s="193"/>
      <c r="N321" s="47" t="str">
        <f t="shared" si="30"/>
        <v>FY2010-11</v>
      </c>
      <c r="O321" s="47" t="s">
        <v>153</v>
      </c>
      <c r="P321" s="47" t="s">
        <v>138</v>
      </c>
      <c r="Q321" s="47" t="s">
        <v>139</v>
      </c>
      <c r="R321" s="194"/>
      <c r="S321" s="194"/>
      <c r="T321" s="194"/>
      <c r="U321" s="194"/>
      <c r="V321" s="195"/>
      <c r="W321" s="195"/>
      <c r="X321" s="195"/>
      <c r="Y321" s="195"/>
      <c r="Z321" s="195"/>
      <c r="AA321" s="195"/>
      <c r="AB321" s="195"/>
      <c r="AC321" s="195"/>
      <c r="AD321" s="195"/>
      <c r="AE321" s="195"/>
      <c r="AF321" s="195"/>
      <c r="AG321" s="195"/>
    </row>
    <row r="322" spans="1:34" ht="15.95" customHeight="1">
      <c r="A322" s="29"/>
      <c r="B322" s="30"/>
      <c r="C322" s="30"/>
      <c r="D322" s="31"/>
      <c r="E322" s="31"/>
      <c r="F322" s="32"/>
      <c r="G322" s="31"/>
      <c r="H322" s="32"/>
      <c r="I322" s="32"/>
      <c r="J322" s="31"/>
      <c r="K322" s="31"/>
      <c r="L322" s="284"/>
      <c r="M322" s="32"/>
      <c r="N322" s="32"/>
      <c r="O322" s="31"/>
      <c r="P322" s="32"/>
      <c r="Q322" s="32"/>
      <c r="R322" s="31"/>
      <c r="S322" s="31"/>
      <c r="T322" s="31"/>
      <c r="U322" s="31"/>
      <c r="V322" s="29"/>
      <c r="W322" s="29"/>
      <c r="X322" s="29"/>
      <c r="Y322" s="29"/>
      <c r="Z322" s="29"/>
      <c r="AA322" s="29"/>
      <c r="AB322" s="29"/>
      <c r="AC322" s="29"/>
      <c r="AD322" s="29"/>
      <c r="AE322" s="29"/>
      <c r="AF322" s="29"/>
      <c r="AG322" s="29"/>
    </row>
    <row r="323" spans="1:34" ht="15.95" customHeight="1" thickBot="1">
      <c r="A323" s="7"/>
      <c r="B323" s="19" t="str">
        <f>"FA2 = "&amp;'FIG3'!$W$53&amp;" "&amp;'FIG3'!$X$53</f>
        <v>FA2 = Atlanta Public Schools</v>
      </c>
      <c r="C323" s="7"/>
      <c r="D323" s="8"/>
      <c r="E323" s="8"/>
      <c r="F323" s="9"/>
      <c r="G323" s="8"/>
      <c r="H323" s="9"/>
      <c r="I323" s="9"/>
      <c r="J323" s="8"/>
      <c r="K323" s="8"/>
      <c r="L323" s="280"/>
      <c r="M323" s="9"/>
      <c r="N323" s="9"/>
      <c r="O323" s="8"/>
      <c r="P323" s="9"/>
      <c r="Q323" s="9"/>
      <c r="R323" s="8"/>
      <c r="S323" s="866"/>
      <c r="T323" s="867" t="str">
        <f>'$REV-DB'!$T$34</f>
        <v>UD1</v>
      </c>
      <c r="U323" s="867" t="str">
        <f>'$REV-DB'!$U$34</f>
        <v>UD2</v>
      </c>
      <c r="V323" s="867" t="str">
        <f>'$REV-DB'!$V$34</f>
        <v>UD3</v>
      </c>
      <c r="W323" s="867" t="str">
        <f>'$REV-DB'!$W$34</f>
        <v>UD4</v>
      </c>
      <c r="X323" s="867" t="str">
        <f>'$REV-DB'!$X$34</f>
        <v>UD5</v>
      </c>
      <c r="Y323" s="867" t="str">
        <f>'$REV-DB'!$Y$34</f>
        <v>UD6</v>
      </c>
      <c r="Z323" s="867" t="str">
        <f>'$REV-DB'!$Z$34</f>
        <v>UD7</v>
      </c>
      <c r="AA323" s="867" t="str">
        <f>'$REV-DB'!$AA$34</f>
        <v>UD8</v>
      </c>
      <c r="AB323" s="867" t="str">
        <f>'$REV-DB'!$AB$34</f>
        <v>UD9</v>
      </c>
      <c r="AC323" s="867" t="str">
        <f>'$REV-DB'!$AC$34</f>
        <v>UD10</v>
      </c>
      <c r="AD323" s="867" t="str">
        <f>'$REV-DB'!$AD$34</f>
        <v>UD11</v>
      </c>
      <c r="AE323" s="867" t="str">
        <f>'$REV-DB'!$AE$34</f>
        <v>UD12</v>
      </c>
      <c r="AF323" s="867" t="str">
        <f>'$REV-DB'!$AF$34</f>
        <v>UD13</v>
      </c>
      <c r="AG323" s="867" t="str">
        <f>'$REV-DB'!$AG$34</f>
        <v>UD14</v>
      </c>
    </row>
    <row r="324" spans="1:34" ht="15.95" customHeight="1" thickTop="1" thickBot="1">
      <c r="A324" s="7"/>
      <c r="B324" s="20" t="s">
        <v>4</v>
      </c>
      <c r="C324" s="15"/>
      <c r="D324" s="105" t="s">
        <v>186</v>
      </c>
      <c r="E324" s="105" t="s">
        <v>187</v>
      </c>
      <c r="F324" s="105" t="s">
        <v>188</v>
      </c>
      <c r="G324" s="105" t="s">
        <v>189</v>
      </c>
      <c r="H324" s="301" t="s">
        <v>11</v>
      </c>
      <c r="I324" s="301" t="s">
        <v>190</v>
      </c>
      <c r="J324" s="301" t="s">
        <v>191</v>
      </c>
      <c r="K324" s="301" t="s">
        <v>192</v>
      </c>
      <c r="L324" s="301" t="s">
        <v>203</v>
      </c>
      <c r="M324" s="301" t="s">
        <v>42</v>
      </c>
      <c r="N324" s="105" t="s">
        <v>148</v>
      </c>
      <c r="O324" s="105" t="s">
        <v>193</v>
      </c>
      <c r="P324" s="105" t="s">
        <v>142</v>
      </c>
      <c r="Q324" s="105" t="s">
        <v>194</v>
      </c>
      <c r="R324" s="112" t="s">
        <v>141</v>
      </c>
      <c r="S324" s="112" t="s">
        <v>672</v>
      </c>
      <c r="T324" s="857" t="s">
        <v>541</v>
      </c>
      <c r="U324" s="857" t="s">
        <v>542</v>
      </c>
      <c r="V324" s="857" t="s">
        <v>543</v>
      </c>
      <c r="W324" s="857" t="s">
        <v>544</v>
      </c>
      <c r="X324" s="857" t="s">
        <v>545</v>
      </c>
      <c r="Y324" s="857" t="s">
        <v>546</v>
      </c>
      <c r="Z324" s="857" t="s">
        <v>547</v>
      </c>
      <c r="AA324" s="857" t="s">
        <v>548</v>
      </c>
      <c r="AB324" s="857" t="s">
        <v>549</v>
      </c>
      <c r="AC324" s="857" t="s">
        <v>550</v>
      </c>
      <c r="AD324" s="857" t="s">
        <v>551</v>
      </c>
      <c r="AE324" s="857" t="s">
        <v>552</v>
      </c>
      <c r="AF324" s="857" t="s">
        <v>553</v>
      </c>
      <c r="AG324" s="857" t="s">
        <v>554</v>
      </c>
      <c r="AH324" s="6"/>
    </row>
    <row r="325" spans="1:34" ht="15.95" customHeight="1" thickTop="1">
      <c r="A325" s="7"/>
      <c r="B325" s="19" t="s">
        <v>143</v>
      </c>
      <c r="C325" s="12"/>
      <c r="D325" s="194"/>
      <c r="E325" s="194"/>
      <c r="F325" s="193"/>
      <c r="G325" s="194"/>
      <c r="H325" s="193"/>
      <c r="I325" s="193"/>
      <c r="J325" s="194"/>
      <c r="K325" s="194"/>
      <c r="L325" s="285" t="s">
        <v>34</v>
      </c>
      <c r="M325" s="193"/>
      <c r="N325" s="47" t="str">
        <f>J$6</f>
        <v>FY2010-11</v>
      </c>
      <c r="O325" s="47" t="s">
        <v>153</v>
      </c>
      <c r="P325" s="47" t="s">
        <v>138</v>
      </c>
      <c r="Q325" s="47" t="s">
        <v>179</v>
      </c>
      <c r="R325" s="194"/>
      <c r="S325" s="194"/>
      <c r="T325" s="194"/>
      <c r="U325" s="194"/>
      <c r="V325" s="195"/>
      <c r="W325" s="195"/>
      <c r="X325" s="195"/>
      <c r="Y325" s="195"/>
      <c r="Z325" s="195"/>
      <c r="AA325" s="195"/>
      <c r="AB325" s="195"/>
      <c r="AC325" s="195"/>
      <c r="AD325" s="195"/>
      <c r="AE325" s="195"/>
      <c r="AF325" s="195"/>
      <c r="AG325" s="195"/>
      <c r="AH325" s="6"/>
    </row>
    <row r="326" spans="1:34" ht="15.95" customHeight="1">
      <c r="A326" s="7"/>
      <c r="B326" s="16">
        <f>DSUM('$REV-DB'!D35:AG67,"AMOUNT",'$REV-DSUM'!D324:AG331)</f>
        <v>481458463.28000003</v>
      </c>
      <c r="C326" s="12"/>
      <c r="D326" s="194"/>
      <c r="E326" s="194"/>
      <c r="F326" s="193"/>
      <c r="G326" s="194"/>
      <c r="H326" s="193"/>
      <c r="I326" s="193"/>
      <c r="J326" s="194"/>
      <c r="K326" s="194"/>
      <c r="L326" s="285" t="s">
        <v>34</v>
      </c>
      <c r="M326" s="193"/>
      <c r="N326" s="47" t="str">
        <f t="shared" ref="N326:N331" si="31">J$6</f>
        <v>FY2010-11</v>
      </c>
      <c r="O326" s="47" t="s">
        <v>153</v>
      </c>
      <c r="P326" s="47" t="s">
        <v>138</v>
      </c>
      <c r="Q326" s="47" t="s">
        <v>179</v>
      </c>
      <c r="R326" s="194"/>
      <c r="S326" s="194"/>
      <c r="T326" s="194"/>
      <c r="U326" s="194"/>
      <c r="V326" s="195"/>
      <c r="W326" s="195"/>
      <c r="X326" s="195"/>
      <c r="Y326" s="195"/>
      <c r="Z326" s="195"/>
      <c r="AA326" s="195"/>
      <c r="AB326" s="195"/>
      <c r="AC326" s="195"/>
      <c r="AD326" s="195"/>
      <c r="AE326" s="195"/>
      <c r="AF326" s="195"/>
      <c r="AG326" s="195"/>
      <c r="AH326" s="6"/>
    </row>
    <row r="327" spans="1:34" ht="15.95" customHeight="1">
      <c r="A327" s="7"/>
      <c r="B327" s="10"/>
      <c r="C327" s="12"/>
      <c r="D327" s="194"/>
      <c r="E327" s="194"/>
      <c r="F327" s="193"/>
      <c r="G327" s="194"/>
      <c r="H327" s="193"/>
      <c r="I327" s="193"/>
      <c r="J327" s="194"/>
      <c r="K327" s="194"/>
      <c r="L327" s="285" t="s">
        <v>34</v>
      </c>
      <c r="M327" s="193"/>
      <c r="N327" s="47" t="str">
        <f t="shared" si="31"/>
        <v>FY2010-11</v>
      </c>
      <c r="O327" s="47" t="s">
        <v>153</v>
      </c>
      <c r="P327" s="47" t="s">
        <v>138</v>
      </c>
      <c r="Q327" s="47" t="s">
        <v>179</v>
      </c>
      <c r="R327" s="194"/>
      <c r="S327" s="194"/>
      <c r="T327" s="194"/>
      <c r="U327" s="194"/>
      <c r="V327" s="195"/>
      <c r="W327" s="195"/>
      <c r="X327" s="195"/>
      <c r="Y327" s="195"/>
      <c r="Z327" s="195"/>
      <c r="AA327" s="195"/>
      <c r="AB327" s="195"/>
      <c r="AC327" s="195"/>
      <c r="AD327" s="195"/>
      <c r="AE327" s="195"/>
      <c r="AF327" s="195"/>
      <c r="AG327" s="195"/>
    </row>
    <row r="328" spans="1:34" ht="15.95" customHeight="1">
      <c r="A328" s="7"/>
      <c r="B328" s="10"/>
      <c r="C328" s="12"/>
      <c r="D328" s="194"/>
      <c r="E328" s="194"/>
      <c r="F328" s="193"/>
      <c r="G328" s="194"/>
      <c r="H328" s="193"/>
      <c r="I328" s="193"/>
      <c r="J328" s="194"/>
      <c r="K328" s="194"/>
      <c r="L328" s="285" t="s">
        <v>34</v>
      </c>
      <c r="M328" s="193"/>
      <c r="N328" s="47" t="str">
        <f t="shared" si="31"/>
        <v>FY2010-11</v>
      </c>
      <c r="O328" s="47" t="s">
        <v>153</v>
      </c>
      <c r="P328" s="47" t="s">
        <v>138</v>
      </c>
      <c r="Q328" s="47" t="s">
        <v>179</v>
      </c>
      <c r="R328" s="194"/>
      <c r="S328" s="194"/>
      <c r="T328" s="194"/>
      <c r="U328" s="194"/>
      <c r="V328" s="195"/>
      <c r="W328" s="195"/>
      <c r="X328" s="195"/>
      <c r="Y328" s="195"/>
      <c r="Z328" s="195"/>
      <c r="AA328" s="195"/>
      <c r="AB328" s="195"/>
      <c r="AC328" s="195"/>
      <c r="AD328" s="195"/>
      <c r="AE328" s="195"/>
      <c r="AF328" s="195"/>
      <c r="AG328" s="195"/>
    </row>
    <row r="329" spans="1:34" ht="15.95" customHeight="1">
      <c r="A329" s="7"/>
      <c r="B329" s="10"/>
      <c r="C329" s="12"/>
      <c r="D329" s="194"/>
      <c r="E329" s="194"/>
      <c r="F329" s="193"/>
      <c r="G329" s="194"/>
      <c r="H329" s="193"/>
      <c r="I329" s="193"/>
      <c r="J329" s="194"/>
      <c r="K329" s="194"/>
      <c r="L329" s="285" t="s">
        <v>34</v>
      </c>
      <c r="M329" s="193"/>
      <c r="N329" s="47" t="str">
        <f t="shared" si="31"/>
        <v>FY2010-11</v>
      </c>
      <c r="O329" s="47" t="s">
        <v>153</v>
      </c>
      <c r="P329" s="47" t="s">
        <v>138</v>
      </c>
      <c r="Q329" s="47" t="s">
        <v>179</v>
      </c>
      <c r="R329" s="194"/>
      <c r="S329" s="194"/>
      <c r="T329" s="194"/>
      <c r="U329" s="194"/>
      <c r="V329" s="195"/>
      <c r="W329" s="195"/>
      <c r="X329" s="195"/>
      <c r="Y329" s="195"/>
      <c r="Z329" s="195"/>
      <c r="AA329" s="195"/>
      <c r="AB329" s="195"/>
      <c r="AC329" s="195"/>
      <c r="AD329" s="195"/>
      <c r="AE329" s="195"/>
      <c r="AF329" s="195"/>
      <c r="AG329" s="195"/>
    </row>
    <row r="330" spans="1:34" ht="15.95" customHeight="1">
      <c r="A330" s="7"/>
      <c r="B330" s="10"/>
      <c r="C330" s="12"/>
      <c r="D330" s="194"/>
      <c r="E330" s="194"/>
      <c r="F330" s="193"/>
      <c r="G330" s="194"/>
      <c r="H330" s="193"/>
      <c r="I330" s="193"/>
      <c r="J330" s="194"/>
      <c r="K330" s="194"/>
      <c r="L330" s="285" t="s">
        <v>34</v>
      </c>
      <c r="M330" s="193"/>
      <c r="N330" s="47" t="str">
        <f t="shared" si="31"/>
        <v>FY2010-11</v>
      </c>
      <c r="O330" s="47" t="s">
        <v>153</v>
      </c>
      <c r="P330" s="47" t="s">
        <v>138</v>
      </c>
      <c r="Q330" s="47" t="s">
        <v>179</v>
      </c>
      <c r="R330" s="194"/>
      <c r="S330" s="194"/>
      <c r="T330" s="194"/>
      <c r="U330" s="194"/>
      <c r="V330" s="195"/>
      <c r="W330" s="195"/>
      <c r="X330" s="195"/>
      <c r="Y330" s="195"/>
      <c r="Z330" s="195"/>
      <c r="AA330" s="195"/>
      <c r="AB330" s="195"/>
      <c r="AC330" s="195"/>
      <c r="AD330" s="195"/>
      <c r="AE330" s="195"/>
      <c r="AF330" s="195"/>
      <c r="AG330" s="195"/>
    </row>
    <row r="331" spans="1:34" ht="15.95" customHeight="1">
      <c r="A331" s="7"/>
      <c r="B331" s="10"/>
      <c r="C331" s="12"/>
      <c r="D331" s="194"/>
      <c r="E331" s="194"/>
      <c r="F331" s="193"/>
      <c r="G331" s="194"/>
      <c r="H331" s="193"/>
      <c r="I331" s="193"/>
      <c r="J331" s="194"/>
      <c r="K331" s="194"/>
      <c r="L331" s="285" t="s">
        <v>34</v>
      </c>
      <c r="M331" s="193"/>
      <c r="N331" s="47" t="str">
        <f t="shared" si="31"/>
        <v>FY2010-11</v>
      </c>
      <c r="O331" s="47" t="s">
        <v>153</v>
      </c>
      <c r="P331" s="47" t="s">
        <v>138</v>
      </c>
      <c r="Q331" s="47" t="s">
        <v>179</v>
      </c>
      <c r="R331" s="194"/>
      <c r="S331" s="194"/>
      <c r="T331" s="194"/>
      <c r="U331" s="194"/>
      <c r="V331" s="195"/>
      <c r="W331" s="195"/>
      <c r="X331" s="195"/>
      <c r="Y331" s="195"/>
      <c r="Z331" s="195"/>
      <c r="AA331" s="195"/>
      <c r="AB331" s="195"/>
      <c r="AC331" s="195"/>
      <c r="AD331" s="195"/>
      <c r="AE331" s="195"/>
      <c r="AF331" s="195"/>
      <c r="AG331" s="195"/>
    </row>
    <row r="332" spans="1:34" ht="15.95" customHeight="1">
      <c r="A332" s="29"/>
      <c r="B332" s="30"/>
      <c r="C332" s="30"/>
      <c r="D332" s="31"/>
      <c r="E332" s="31"/>
      <c r="F332" s="32"/>
      <c r="G332" s="31"/>
      <c r="H332" s="32"/>
      <c r="I332" s="32"/>
      <c r="J332" s="31"/>
      <c r="K332" s="31"/>
      <c r="L332" s="284"/>
      <c r="M332" s="32"/>
      <c r="N332" s="32"/>
      <c r="O332" s="31"/>
      <c r="P332" s="32"/>
      <c r="Q332" s="32"/>
      <c r="R332" s="31"/>
      <c r="S332" s="31"/>
      <c r="T332" s="31"/>
      <c r="U332" s="31"/>
      <c r="V332" s="29"/>
      <c r="W332" s="29"/>
      <c r="X332" s="29"/>
      <c r="Y332" s="29"/>
      <c r="Z332" s="29"/>
      <c r="AA332" s="29"/>
      <c r="AB332" s="29"/>
      <c r="AC332" s="29"/>
      <c r="AD332" s="29"/>
      <c r="AE332" s="29"/>
      <c r="AF332" s="29"/>
      <c r="AG332" s="29"/>
    </row>
    <row r="333" spans="1:34" ht="15.95" customHeight="1" thickBot="1">
      <c r="A333" s="7"/>
      <c r="B333" s="19" t="str">
        <f>"FA2 = "&amp;'FIG3'!$W$53&amp;" "&amp;'FIG3'!$X$53</f>
        <v>FA2 = Atlanta Public Schools</v>
      </c>
      <c r="C333" s="7"/>
      <c r="D333" s="8"/>
      <c r="E333" s="8"/>
      <c r="F333" s="9"/>
      <c r="G333" s="8"/>
      <c r="H333" s="9"/>
      <c r="I333" s="9"/>
      <c r="J333" s="8"/>
      <c r="K333" s="8"/>
      <c r="L333" s="280"/>
      <c r="M333" s="9"/>
      <c r="N333" s="9"/>
      <c r="O333" s="8"/>
      <c r="P333" s="9"/>
      <c r="Q333" s="9"/>
      <c r="R333" s="8"/>
      <c r="S333" s="866"/>
      <c r="T333" s="867" t="str">
        <f>'$REV-DB'!$T$34</f>
        <v>UD1</v>
      </c>
      <c r="U333" s="867" t="str">
        <f>'$REV-DB'!$U$34</f>
        <v>UD2</v>
      </c>
      <c r="V333" s="867" t="str">
        <f>'$REV-DB'!$V$34</f>
        <v>UD3</v>
      </c>
      <c r="W333" s="867" t="str">
        <f>'$REV-DB'!$W$34</f>
        <v>UD4</v>
      </c>
      <c r="X333" s="867" t="str">
        <f>'$REV-DB'!$X$34</f>
        <v>UD5</v>
      </c>
      <c r="Y333" s="867" t="str">
        <f>'$REV-DB'!$Y$34</f>
        <v>UD6</v>
      </c>
      <c r="Z333" s="867" t="str">
        <f>'$REV-DB'!$Z$34</f>
        <v>UD7</v>
      </c>
      <c r="AA333" s="867" t="str">
        <f>'$REV-DB'!$AA$34</f>
        <v>UD8</v>
      </c>
      <c r="AB333" s="867" t="str">
        <f>'$REV-DB'!$AB$34</f>
        <v>UD9</v>
      </c>
      <c r="AC333" s="867" t="str">
        <f>'$REV-DB'!$AC$34</f>
        <v>UD10</v>
      </c>
      <c r="AD333" s="867" t="str">
        <f>'$REV-DB'!$AD$34</f>
        <v>UD11</v>
      </c>
      <c r="AE333" s="867" t="str">
        <f>'$REV-DB'!$AE$34</f>
        <v>UD12</v>
      </c>
      <c r="AF333" s="867" t="str">
        <f>'$REV-DB'!$AF$34</f>
        <v>UD13</v>
      </c>
      <c r="AG333" s="867" t="str">
        <f>'$REV-DB'!$AG$34</f>
        <v>UD14</v>
      </c>
    </row>
    <row r="334" spans="1:34" ht="15.95" customHeight="1" thickTop="1" thickBot="1">
      <c r="A334" s="7"/>
      <c r="B334" s="20" t="s">
        <v>4</v>
      </c>
      <c r="C334" s="15"/>
      <c r="D334" s="105" t="s">
        <v>186</v>
      </c>
      <c r="E334" s="105" t="s">
        <v>187</v>
      </c>
      <c r="F334" s="105" t="s">
        <v>188</v>
      </c>
      <c r="G334" s="105" t="s">
        <v>189</v>
      </c>
      <c r="H334" s="301" t="s">
        <v>11</v>
      </c>
      <c r="I334" s="301" t="s">
        <v>190</v>
      </c>
      <c r="J334" s="301" t="s">
        <v>191</v>
      </c>
      <c r="K334" s="301" t="s">
        <v>192</v>
      </c>
      <c r="L334" s="301" t="s">
        <v>203</v>
      </c>
      <c r="M334" s="301" t="s">
        <v>42</v>
      </c>
      <c r="N334" s="105" t="s">
        <v>148</v>
      </c>
      <c r="O334" s="105" t="s">
        <v>193</v>
      </c>
      <c r="P334" s="105" t="s">
        <v>142</v>
      </c>
      <c r="Q334" s="105" t="s">
        <v>194</v>
      </c>
      <c r="R334" s="112" t="s">
        <v>141</v>
      </c>
      <c r="S334" s="112" t="s">
        <v>672</v>
      </c>
      <c r="T334" s="857" t="s">
        <v>541</v>
      </c>
      <c r="U334" s="857" t="s">
        <v>542</v>
      </c>
      <c r="V334" s="857" t="s">
        <v>543</v>
      </c>
      <c r="W334" s="857" t="s">
        <v>544</v>
      </c>
      <c r="X334" s="857" t="s">
        <v>545</v>
      </c>
      <c r="Y334" s="857" t="s">
        <v>546</v>
      </c>
      <c r="Z334" s="857" t="s">
        <v>547</v>
      </c>
      <c r="AA334" s="857" t="s">
        <v>548</v>
      </c>
      <c r="AB334" s="857" t="s">
        <v>549</v>
      </c>
      <c r="AC334" s="857" t="s">
        <v>550</v>
      </c>
      <c r="AD334" s="857" t="s">
        <v>551</v>
      </c>
      <c r="AE334" s="857" t="s">
        <v>552</v>
      </c>
      <c r="AF334" s="857" t="s">
        <v>553</v>
      </c>
      <c r="AG334" s="857" t="s">
        <v>554</v>
      </c>
      <c r="AH334" s="6"/>
    </row>
    <row r="335" spans="1:34" ht="15.95" customHeight="1" thickTop="1">
      <c r="A335" s="7"/>
      <c r="B335" s="19" t="s">
        <v>149</v>
      </c>
      <c r="C335" s="12"/>
      <c r="D335" s="194"/>
      <c r="E335" s="194"/>
      <c r="F335" s="193"/>
      <c r="G335" s="194"/>
      <c r="H335" s="193"/>
      <c r="I335" s="193"/>
      <c r="J335" s="194"/>
      <c r="K335" s="194"/>
      <c r="L335" s="285" t="s">
        <v>34</v>
      </c>
      <c r="M335" s="193"/>
      <c r="N335" s="47" t="str">
        <f>J$6</f>
        <v>FY2010-11</v>
      </c>
      <c r="O335" s="47" t="s">
        <v>153</v>
      </c>
      <c r="P335" s="47" t="s">
        <v>138</v>
      </c>
      <c r="Q335" s="47" t="s">
        <v>2</v>
      </c>
      <c r="R335" s="194"/>
      <c r="S335" s="194"/>
      <c r="T335" s="194"/>
      <c r="U335" s="194"/>
      <c r="V335" s="195"/>
      <c r="W335" s="195"/>
      <c r="X335" s="195"/>
      <c r="Y335" s="195"/>
      <c r="Z335" s="195"/>
      <c r="AA335" s="195"/>
      <c r="AB335" s="195"/>
      <c r="AC335" s="195"/>
      <c r="AD335" s="195"/>
      <c r="AE335" s="195"/>
      <c r="AF335" s="195"/>
      <c r="AG335" s="195"/>
      <c r="AH335" s="6"/>
    </row>
    <row r="336" spans="1:34" ht="15.95" customHeight="1">
      <c r="A336" s="7"/>
      <c r="B336" s="16">
        <f>DSUM('$REV-DB'!D35:AG67,"AMOUNT",'$REV-DSUM'!D334:AG341)</f>
        <v>151745479.02999997</v>
      </c>
      <c r="C336" s="12"/>
      <c r="D336" s="194"/>
      <c r="E336" s="194"/>
      <c r="F336" s="193"/>
      <c r="G336" s="194"/>
      <c r="H336" s="193"/>
      <c r="I336" s="193"/>
      <c r="J336" s="194"/>
      <c r="K336" s="194"/>
      <c r="L336" s="285" t="s">
        <v>34</v>
      </c>
      <c r="M336" s="193"/>
      <c r="N336" s="47" t="str">
        <f t="shared" ref="N336:N341" si="32">J$6</f>
        <v>FY2010-11</v>
      </c>
      <c r="O336" s="47" t="s">
        <v>153</v>
      </c>
      <c r="P336" s="47" t="s">
        <v>138</v>
      </c>
      <c r="Q336" s="47" t="s">
        <v>2</v>
      </c>
      <c r="R336" s="194"/>
      <c r="S336" s="194"/>
      <c r="T336" s="194"/>
      <c r="U336" s="194"/>
      <c r="V336" s="195"/>
      <c r="W336" s="195"/>
      <c r="X336" s="195"/>
      <c r="Y336" s="195"/>
      <c r="Z336" s="195"/>
      <c r="AA336" s="195"/>
      <c r="AB336" s="195"/>
      <c r="AC336" s="195"/>
      <c r="AD336" s="195"/>
      <c r="AE336" s="195"/>
      <c r="AF336" s="195"/>
      <c r="AG336" s="195"/>
      <c r="AH336" s="6"/>
    </row>
    <row r="337" spans="1:34" ht="15.95" customHeight="1">
      <c r="A337" s="7"/>
      <c r="B337" s="10"/>
      <c r="C337" s="12"/>
      <c r="D337" s="194"/>
      <c r="E337" s="194"/>
      <c r="F337" s="193"/>
      <c r="G337" s="194"/>
      <c r="H337" s="193"/>
      <c r="I337" s="193"/>
      <c r="J337" s="194"/>
      <c r="K337" s="194"/>
      <c r="L337" s="285" t="s">
        <v>34</v>
      </c>
      <c r="M337" s="193"/>
      <c r="N337" s="47" t="str">
        <f t="shared" si="32"/>
        <v>FY2010-11</v>
      </c>
      <c r="O337" s="47" t="s">
        <v>153</v>
      </c>
      <c r="P337" s="47" t="s">
        <v>138</v>
      </c>
      <c r="Q337" s="47" t="s">
        <v>2</v>
      </c>
      <c r="R337" s="194"/>
      <c r="S337" s="194"/>
      <c r="T337" s="194"/>
      <c r="U337" s="194"/>
      <c r="V337" s="195"/>
      <c r="W337" s="195"/>
      <c r="X337" s="195"/>
      <c r="Y337" s="195"/>
      <c r="Z337" s="195"/>
      <c r="AA337" s="195"/>
      <c r="AB337" s="195"/>
      <c r="AC337" s="195"/>
      <c r="AD337" s="195"/>
      <c r="AE337" s="195"/>
      <c r="AF337" s="195"/>
      <c r="AG337" s="195"/>
    </row>
    <row r="338" spans="1:34" ht="15.95" customHeight="1">
      <c r="A338" s="7"/>
      <c r="B338" s="10"/>
      <c r="C338" s="12"/>
      <c r="D338" s="194"/>
      <c r="E338" s="194"/>
      <c r="F338" s="193"/>
      <c r="G338" s="194"/>
      <c r="H338" s="193"/>
      <c r="I338" s="193"/>
      <c r="J338" s="194"/>
      <c r="K338" s="194"/>
      <c r="L338" s="285" t="s">
        <v>34</v>
      </c>
      <c r="M338" s="193"/>
      <c r="N338" s="47" t="str">
        <f t="shared" si="32"/>
        <v>FY2010-11</v>
      </c>
      <c r="O338" s="47" t="s">
        <v>153</v>
      </c>
      <c r="P338" s="47" t="s">
        <v>138</v>
      </c>
      <c r="Q338" s="47" t="s">
        <v>2</v>
      </c>
      <c r="R338" s="194"/>
      <c r="S338" s="194"/>
      <c r="T338" s="194"/>
      <c r="U338" s="194"/>
      <c r="V338" s="195"/>
      <c r="W338" s="195"/>
      <c r="X338" s="195"/>
      <c r="Y338" s="195"/>
      <c r="Z338" s="195"/>
      <c r="AA338" s="195"/>
      <c r="AB338" s="195"/>
      <c r="AC338" s="195"/>
      <c r="AD338" s="195"/>
      <c r="AE338" s="195"/>
      <c r="AF338" s="195"/>
      <c r="AG338" s="195"/>
    </row>
    <row r="339" spans="1:34" ht="15.95" customHeight="1">
      <c r="A339" s="7"/>
      <c r="B339" s="10"/>
      <c r="C339" s="12"/>
      <c r="D339" s="194"/>
      <c r="E339" s="194"/>
      <c r="F339" s="193"/>
      <c r="G339" s="194"/>
      <c r="H339" s="193"/>
      <c r="I339" s="193"/>
      <c r="J339" s="194"/>
      <c r="K339" s="194"/>
      <c r="L339" s="285" t="s">
        <v>34</v>
      </c>
      <c r="M339" s="193"/>
      <c r="N339" s="47" t="str">
        <f t="shared" si="32"/>
        <v>FY2010-11</v>
      </c>
      <c r="O339" s="47" t="s">
        <v>153</v>
      </c>
      <c r="P339" s="47" t="s">
        <v>138</v>
      </c>
      <c r="Q339" s="47" t="s">
        <v>2</v>
      </c>
      <c r="R339" s="194"/>
      <c r="S339" s="194"/>
      <c r="T339" s="194"/>
      <c r="U339" s="194"/>
      <c r="V339" s="195"/>
      <c r="W339" s="195"/>
      <c r="X339" s="195"/>
      <c r="Y339" s="195"/>
      <c r="Z339" s="195"/>
      <c r="AA339" s="195"/>
      <c r="AB339" s="195"/>
      <c r="AC339" s="195"/>
      <c r="AD339" s="195"/>
      <c r="AE339" s="195"/>
      <c r="AF339" s="195"/>
      <c r="AG339" s="195"/>
    </row>
    <row r="340" spans="1:34" ht="15.95" customHeight="1">
      <c r="A340" s="7"/>
      <c r="B340" s="10"/>
      <c r="C340" s="12"/>
      <c r="D340" s="194"/>
      <c r="E340" s="194"/>
      <c r="F340" s="193"/>
      <c r="G340" s="194"/>
      <c r="H340" s="193"/>
      <c r="I340" s="193"/>
      <c r="J340" s="194"/>
      <c r="K340" s="194"/>
      <c r="L340" s="285" t="s">
        <v>34</v>
      </c>
      <c r="M340" s="193"/>
      <c r="N340" s="47" t="str">
        <f t="shared" si="32"/>
        <v>FY2010-11</v>
      </c>
      <c r="O340" s="47" t="s">
        <v>153</v>
      </c>
      <c r="P340" s="47" t="s">
        <v>138</v>
      </c>
      <c r="Q340" s="47" t="s">
        <v>2</v>
      </c>
      <c r="R340" s="194"/>
      <c r="S340" s="194"/>
      <c r="T340" s="194"/>
      <c r="U340" s="194"/>
      <c r="V340" s="195"/>
      <c r="W340" s="195"/>
      <c r="X340" s="195"/>
      <c r="Y340" s="195"/>
      <c r="Z340" s="195"/>
      <c r="AA340" s="195"/>
      <c r="AB340" s="195"/>
      <c r="AC340" s="195"/>
      <c r="AD340" s="195"/>
      <c r="AE340" s="195"/>
      <c r="AF340" s="195"/>
      <c r="AG340" s="195"/>
    </row>
    <row r="341" spans="1:34" ht="15.95" customHeight="1">
      <c r="A341" s="7"/>
      <c r="B341" s="10"/>
      <c r="C341" s="12"/>
      <c r="D341" s="194"/>
      <c r="E341" s="194"/>
      <c r="F341" s="193"/>
      <c r="G341" s="194"/>
      <c r="H341" s="193"/>
      <c r="I341" s="193"/>
      <c r="J341" s="194"/>
      <c r="K341" s="194"/>
      <c r="L341" s="285" t="s">
        <v>34</v>
      </c>
      <c r="M341" s="193"/>
      <c r="N341" s="47" t="str">
        <f t="shared" si="32"/>
        <v>FY2010-11</v>
      </c>
      <c r="O341" s="47" t="s">
        <v>153</v>
      </c>
      <c r="P341" s="47" t="s">
        <v>138</v>
      </c>
      <c r="Q341" s="47" t="s">
        <v>2</v>
      </c>
      <c r="R341" s="194"/>
      <c r="S341" s="194"/>
      <c r="T341" s="194"/>
      <c r="U341" s="194"/>
      <c r="V341" s="195"/>
      <c r="W341" s="195"/>
      <c r="X341" s="195"/>
      <c r="Y341" s="195"/>
      <c r="Z341" s="195"/>
      <c r="AA341" s="195"/>
      <c r="AB341" s="195"/>
      <c r="AC341" s="195"/>
      <c r="AD341" s="195"/>
      <c r="AE341" s="195"/>
      <c r="AF341" s="195"/>
      <c r="AG341" s="195"/>
    </row>
    <row r="342" spans="1:34" ht="15.95" customHeight="1">
      <c r="A342" s="29"/>
      <c r="B342" s="30"/>
      <c r="C342" s="30"/>
      <c r="D342" s="31"/>
      <c r="E342" s="31"/>
      <c r="F342" s="32"/>
      <c r="G342" s="31"/>
      <c r="H342" s="32"/>
      <c r="I342" s="32"/>
      <c r="J342" s="31"/>
      <c r="K342" s="31"/>
      <c r="L342" s="284"/>
      <c r="M342" s="32"/>
      <c r="N342" s="32"/>
      <c r="O342" s="31"/>
      <c r="P342" s="32"/>
      <c r="Q342" s="32"/>
      <c r="R342" s="31"/>
      <c r="S342" s="31"/>
      <c r="T342" s="31"/>
      <c r="U342" s="31"/>
      <c r="V342" s="29"/>
      <c r="W342" s="29"/>
      <c r="X342" s="29"/>
      <c r="Y342" s="29"/>
      <c r="Z342" s="29"/>
      <c r="AA342" s="29"/>
      <c r="AB342" s="29"/>
      <c r="AC342" s="29"/>
      <c r="AD342" s="29"/>
      <c r="AE342" s="29"/>
      <c r="AF342" s="29"/>
      <c r="AG342" s="29"/>
    </row>
    <row r="343" spans="1:34" ht="15.95" customHeight="1" thickBot="1">
      <c r="A343" s="7"/>
      <c r="B343" s="19" t="str">
        <f>"FA2 = "&amp;'FIG3'!$W$53&amp;" "&amp;'FIG3'!$X$53</f>
        <v>FA2 = Atlanta Public Schools</v>
      </c>
      <c r="C343" s="7"/>
      <c r="D343" s="8"/>
      <c r="E343" s="8"/>
      <c r="F343" s="9"/>
      <c r="G343" s="8"/>
      <c r="H343" s="9"/>
      <c r="I343" s="9"/>
      <c r="J343" s="8"/>
      <c r="K343" s="8"/>
      <c r="L343" s="280"/>
      <c r="M343" s="9"/>
      <c r="N343" s="9"/>
      <c r="O343" s="8"/>
      <c r="P343" s="9"/>
      <c r="Q343" s="9"/>
      <c r="R343" s="8"/>
      <c r="S343" s="866"/>
      <c r="T343" s="867" t="str">
        <f>'$REV-DB'!$T$34</f>
        <v>UD1</v>
      </c>
      <c r="U343" s="867" t="str">
        <f>'$REV-DB'!$U$34</f>
        <v>UD2</v>
      </c>
      <c r="V343" s="867" t="str">
        <f>'$REV-DB'!$V$34</f>
        <v>UD3</v>
      </c>
      <c r="W343" s="867" t="str">
        <f>'$REV-DB'!$W$34</f>
        <v>UD4</v>
      </c>
      <c r="X343" s="867" t="str">
        <f>'$REV-DB'!$X$34</f>
        <v>UD5</v>
      </c>
      <c r="Y343" s="867" t="str">
        <f>'$REV-DB'!$Y$34</f>
        <v>UD6</v>
      </c>
      <c r="Z343" s="867" t="str">
        <f>'$REV-DB'!$Z$34</f>
        <v>UD7</v>
      </c>
      <c r="AA343" s="867" t="str">
        <f>'$REV-DB'!$AA$34</f>
        <v>UD8</v>
      </c>
      <c r="AB343" s="867" t="str">
        <f>'$REV-DB'!$AB$34</f>
        <v>UD9</v>
      </c>
      <c r="AC343" s="867" t="str">
        <f>'$REV-DB'!$AC$34</f>
        <v>UD10</v>
      </c>
      <c r="AD343" s="867" t="str">
        <f>'$REV-DB'!$AD$34</f>
        <v>UD11</v>
      </c>
      <c r="AE343" s="867" t="str">
        <f>'$REV-DB'!$AE$34</f>
        <v>UD12</v>
      </c>
      <c r="AF343" s="867" t="str">
        <f>'$REV-DB'!$AF$34</f>
        <v>UD13</v>
      </c>
      <c r="AG343" s="867" t="str">
        <f>'$REV-DB'!$AG$34</f>
        <v>UD14</v>
      </c>
    </row>
    <row r="344" spans="1:34" ht="15.95" customHeight="1" thickTop="1" thickBot="1">
      <c r="A344" s="7"/>
      <c r="B344" s="20" t="s">
        <v>4</v>
      </c>
      <c r="C344" s="15"/>
      <c r="D344" s="276" t="s">
        <v>186</v>
      </c>
      <c r="E344" s="276" t="s">
        <v>187</v>
      </c>
      <c r="F344" s="276" t="s">
        <v>188</v>
      </c>
      <c r="G344" s="276" t="s">
        <v>189</v>
      </c>
      <c r="H344" s="301" t="s">
        <v>11</v>
      </c>
      <c r="I344" s="301" t="s">
        <v>190</v>
      </c>
      <c r="J344" s="301" t="s">
        <v>191</v>
      </c>
      <c r="K344" s="301" t="s">
        <v>192</v>
      </c>
      <c r="L344" s="301" t="s">
        <v>203</v>
      </c>
      <c r="M344" s="301" t="s">
        <v>42</v>
      </c>
      <c r="N344" s="276" t="s">
        <v>148</v>
      </c>
      <c r="O344" s="276" t="s">
        <v>193</v>
      </c>
      <c r="P344" s="276" t="s">
        <v>142</v>
      </c>
      <c r="Q344" s="276" t="s">
        <v>194</v>
      </c>
      <c r="R344" s="112" t="s">
        <v>141</v>
      </c>
      <c r="S344" s="112" t="s">
        <v>672</v>
      </c>
      <c r="T344" s="857" t="s">
        <v>541</v>
      </c>
      <c r="U344" s="857" t="s">
        <v>542</v>
      </c>
      <c r="V344" s="857" t="s">
        <v>543</v>
      </c>
      <c r="W344" s="857" t="s">
        <v>544</v>
      </c>
      <c r="X344" s="857" t="s">
        <v>545</v>
      </c>
      <c r="Y344" s="857" t="s">
        <v>546</v>
      </c>
      <c r="Z344" s="857" t="s">
        <v>547</v>
      </c>
      <c r="AA344" s="857" t="s">
        <v>548</v>
      </c>
      <c r="AB344" s="857" t="s">
        <v>549</v>
      </c>
      <c r="AC344" s="857" t="s">
        <v>550</v>
      </c>
      <c r="AD344" s="857" t="s">
        <v>551</v>
      </c>
      <c r="AE344" s="857" t="s">
        <v>552</v>
      </c>
      <c r="AF344" s="857" t="s">
        <v>553</v>
      </c>
      <c r="AG344" s="857" t="s">
        <v>554</v>
      </c>
      <c r="AH344" s="6"/>
    </row>
    <row r="345" spans="1:34" ht="15.95" customHeight="1" thickTop="1">
      <c r="A345" s="7"/>
      <c r="B345" s="19" t="s">
        <v>364</v>
      </c>
      <c r="C345" s="12"/>
      <c r="D345" s="194"/>
      <c r="E345" s="194"/>
      <c r="F345" s="193"/>
      <c r="G345" s="194"/>
      <c r="H345" s="193"/>
      <c r="I345" s="193"/>
      <c r="J345" s="194"/>
      <c r="K345" s="194"/>
      <c r="L345" s="285" t="s">
        <v>34</v>
      </c>
      <c r="M345" s="193"/>
      <c r="N345" s="47" t="str">
        <f>J$6</f>
        <v>FY2010-11</v>
      </c>
      <c r="O345" s="47" t="s">
        <v>153</v>
      </c>
      <c r="P345" s="47" t="s">
        <v>138</v>
      </c>
      <c r="Q345" s="47" t="s">
        <v>70</v>
      </c>
      <c r="R345" s="194"/>
      <c r="S345" s="194"/>
      <c r="T345" s="194"/>
      <c r="U345" s="194"/>
      <c r="V345" s="195"/>
      <c r="W345" s="195"/>
      <c r="X345" s="195"/>
      <c r="Y345" s="195"/>
      <c r="Z345" s="195"/>
      <c r="AA345" s="195"/>
      <c r="AB345" s="195"/>
      <c r="AC345" s="195"/>
      <c r="AD345" s="195"/>
      <c r="AE345" s="195"/>
      <c r="AF345" s="195"/>
      <c r="AG345" s="195"/>
      <c r="AH345" s="6"/>
    </row>
    <row r="346" spans="1:34" ht="15.95" customHeight="1">
      <c r="A346" s="7"/>
      <c r="B346" s="16">
        <f>DSUM('$REV-DB'!D35:AG67,"AMOUNT",'$REV-DSUM'!D344:AG351)</f>
        <v>0</v>
      </c>
      <c r="C346" s="12"/>
      <c r="D346" s="194"/>
      <c r="E346" s="194"/>
      <c r="F346" s="193"/>
      <c r="G346" s="194"/>
      <c r="H346" s="193"/>
      <c r="I346" s="193"/>
      <c r="J346" s="194"/>
      <c r="K346" s="194"/>
      <c r="L346" s="285" t="s">
        <v>34</v>
      </c>
      <c r="M346" s="193"/>
      <c r="N346" s="47" t="str">
        <f t="shared" ref="N346:N351" si="33">J$6</f>
        <v>FY2010-11</v>
      </c>
      <c r="O346" s="47" t="s">
        <v>153</v>
      </c>
      <c r="P346" s="47" t="s">
        <v>138</v>
      </c>
      <c r="Q346" s="47" t="s">
        <v>70</v>
      </c>
      <c r="R346" s="194"/>
      <c r="S346" s="194"/>
      <c r="T346" s="194"/>
      <c r="U346" s="194"/>
      <c r="V346" s="195"/>
      <c r="W346" s="195"/>
      <c r="X346" s="195"/>
      <c r="Y346" s="195"/>
      <c r="Z346" s="195"/>
      <c r="AA346" s="195"/>
      <c r="AB346" s="195"/>
      <c r="AC346" s="195"/>
      <c r="AD346" s="195"/>
      <c r="AE346" s="195"/>
      <c r="AF346" s="195"/>
      <c r="AG346" s="195"/>
      <c r="AH346" s="6"/>
    </row>
    <row r="347" spans="1:34" ht="15.95" customHeight="1">
      <c r="A347" s="7"/>
      <c r="B347" s="10"/>
      <c r="C347" s="12"/>
      <c r="D347" s="194"/>
      <c r="E347" s="194"/>
      <c r="F347" s="193"/>
      <c r="G347" s="194"/>
      <c r="H347" s="193"/>
      <c r="I347" s="193"/>
      <c r="J347" s="194"/>
      <c r="K347" s="194"/>
      <c r="L347" s="285" t="s">
        <v>34</v>
      </c>
      <c r="M347" s="193"/>
      <c r="N347" s="47" t="str">
        <f t="shared" si="33"/>
        <v>FY2010-11</v>
      </c>
      <c r="O347" s="47" t="s">
        <v>153</v>
      </c>
      <c r="P347" s="47" t="s">
        <v>138</v>
      </c>
      <c r="Q347" s="47" t="s">
        <v>70</v>
      </c>
      <c r="R347" s="194"/>
      <c r="S347" s="194"/>
      <c r="T347" s="194"/>
      <c r="U347" s="194"/>
      <c r="V347" s="195"/>
      <c r="W347" s="195"/>
      <c r="X347" s="195"/>
      <c r="Y347" s="195"/>
      <c r="Z347" s="195"/>
      <c r="AA347" s="195"/>
      <c r="AB347" s="195"/>
      <c r="AC347" s="195"/>
      <c r="AD347" s="195"/>
      <c r="AE347" s="195"/>
      <c r="AF347" s="195"/>
      <c r="AG347" s="195"/>
    </row>
    <row r="348" spans="1:34" ht="15.95" customHeight="1">
      <c r="A348" s="7"/>
      <c r="B348" s="10"/>
      <c r="C348" s="12"/>
      <c r="D348" s="194"/>
      <c r="E348" s="194"/>
      <c r="F348" s="193"/>
      <c r="G348" s="194"/>
      <c r="H348" s="193"/>
      <c r="I348" s="193"/>
      <c r="J348" s="194"/>
      <c r="K348" s="194"/>
      <c r="L348" s="285" t="s">
        <v>34</v>
      </c>
      <c r="M348" s="193"/>
      <c r="N348" s="47" t="str">
        <f t="shared" si="33"/>
        <v>FY2010-11</v>
      </c>
      <c r="O348" s="47" t="s">
        <v>153</v>
      </c>
      <c r="P348" s="47" t="s">
        <v>138</v>
      </c>
      <c r="Q348" s="47" t="s">
        <v>70</v>
      </c>
      <c r="R348" s="194"/>
      <c r="S348" s="194"/>
      <c r="T348" s="194"/>
      <c r="U348" s="194"/>
      <c r="V348" s="195"/>
      <c r="W348" s="195"/>
      <c r="X348" s="195"/>
      <c r="Y348" s="195"/>
      <c r="Z348" s="195"/>
      <c r="AA348" s="195"/>
      <c r="AB348" s="195"/>
      <c r="AC348" s="195"/>
      <c r="AD348" s="195"/>
      <c r="AE348" s="195"/>
      <c r="AF348" s="195"/>
      <c r="AG348" s="195"/>
    </row>
    <row r="349" spans="1:34" ht="15.95" customHeight="1">
      <c r="A349" s="7"/>
      <c r="B349" s="10"/>
      <c r="C349" s="12"/>
      <c r="D349" s="194"/>
      <c r="E349" s="194"/>
      <c r="F349" s="193"/>
      <c r="G349" s="194"/>
      <c r="H349" s="193"/>
      <c r="I349" s="193"/>
      <c r="J349" s="194"/>
      <c r="K349" s="194"/>
      <c r="L349" s="285" t="s">
        <v>34</v>
      </c>
      <c r="M349" s="193"/>
      <c r="N349" s="47" t="str">
        <f t="shared" si="33"/>
        <v>FY2010-11</v>
      </c>
      <c r="O349" s="47" t="s">
        <v>153</v>
      </c>
      <c r="P349" s="47" t="s">
        <v>138</v>
      </c>
      <c r="Q349" s="47" t="s">
        <v>70</v>
      </c>
      <c r="R349" s="194"/>
      <c r="S349" s="194"/>
      <c r="T349" s="194"/>
      <c r="U349" s="194"/>
      <c r="V349" s="195"/>
      <c r="W349" s="195"/>
      <c r="X349" s="195"/>
      <c r="Y349" s="195"/>
      <c r="Z349" s="195"/>
      <c r="AA349" s="195"/>
      <c r="AB349" s="195"/>
      <c r="AC349" s="195"/>
      <c r="AD349" s="195"/>
      <c r="AE349" s="195"/>
      <c r="AF349" s="195"/>
      <c r="AG349" s="195"/>
    </row>
    <row r="350" spans="1:34" ht="15.95" customHeight="1">
      <c r="A350" s="7"/>
      <c r="B350" s="10"/>
      <c r="C350" s="12"/>
      <c r="D350" s="194"/>
      <c r="E350" s="194"/>
      <c r="F350" s="193"/>
      <c r="G350" s="194"/>
      <c r="H350" s="193"/>
      <c r="I350" s="193"/>
      <c r="J350" s="194"/>
      <c r="K350" s="194"/>
      <c r="L350" s="285" t="s">
        <v>34</v>
      </c>
      <c r="M350" s="193"/>
      <c r="N350" s="47" t="str">
        <f t="shared" si="33"/>
        <v>FY2010-11</v>
      </c>
      <c r="O350" s="47" t="s">
        <v>153</v>
      </c>
      <c r="P350" s="47" t="s">
        <v>138</v>
      </c>
      <c r="Q350" s="47" t="s">
        <v>70</v>
      </c>
      <c r="R350" s="194"/>
      <c r="S350" s="194"/>
      <c r="T350" s="194"/>
      <c r="U350" s="194"/>
      <c r="V350" s="195"/>
      <c r="W350" s="195"/>
      <c r="X350" s="195"/>
      <c r="Y350" s="195"/>
      <c r="Z350" s="195"/>
      <c r="AA350" s="195"/>
      <c r="AB350" s="195"/>
      <c r="AC350" s="195"/>
      <c r="AD350" s="195"/>
      <c r="AE350" s="195"/>
      <c r="AF350" s="195"/>
      <c r="AG350" s="195"/>
    </row>
    <row r="351" spans="1:34" ht="15.95" customHeight="1">
      <c r="A351" s="7"/>
      <c r="B351" s="10"/>
      <c r="C351" s="12"/>
      <c r="D351" s="194"/>
      <c r="E351" s="194"/>
      <c r="F351" s="193"/>
      <c r="G351" s="194"/>
      <c r="H351" s="193"/>
      <c r="I351" s="193"/>
      <c r="J351" s="194"/>
      <c r="K351" s="194"/>
      <c r="L351" s="285" t="s">
        <v>34</v>
      </c>
      <c r="M351" s="193"/>
      <c r="N351" s="47" t="str">
        <f t="shared" si="33"/>
        <v>FY2010-11</v>
      </c>
      <c r="O351" s="47" t="s">
        <v>153</v>
      </c>
      <c r="P351" s="47" t="s">
        <v>138</v>
      </c>
      <c r="Q351" s="47" t="s">
        <v>70</v>
      </c>
      <c r="R351" s="194"/>
      <c r="S351" s="194"/>
      <c r="T351" s="194"/>
      <c r="U351" s="194"/>
      <c r="V351" s="195"/>
      <c r="W351" s="195"/>
      <c r="X351" s="195"/>
      <c r="Y351" s="195"/>
      <c r="Z351" s="195"/>
      <c r="AA351" s="195"/>
      <c r="AB351" s="195"/>
      <c r="AC351" s="195"/>
      <c r="AD351" s="195"/>
      <c r="AE351" s="195"/>
      <c r="AF351" s="195"/>
      <c r="AG351" s="195"/>
    </row>
    <row r="352" spans="1:34" ht="15.95" customHeight="1">
      <c r="A352" s="29"/>
      <c r="B352" s="30"/>
      <c r="C352" s="30"/>
      <c r="D352" s="31"/>
      <c r="E352" s="31"/>
      <c r="F352" s="32"/>
      <c r="G352" s="31"/>
      <c r="H352" s="32"/>
      <c r="I352" s="32"/>
      <c r="J352" s="31"/>
      <c r="K352" s="31"/>
      <c r="L352" s="284"/>
      <c r="M352" s="32"/>
      <c r="N352" s="32"/>
      <c r="O352" s="31"/>
      <c r="P352" s="32"/>
      <c r="Q352" s="32"/>
      <c r="R352" s="31"/>
      <c r="S352" s="31"/>
      <c r="T352" s="31"/>
      <c r="U352" s="31"/>
      <c r="V352" s="29"/>
      <c r="W352" s="29"/>
      <c r="X352" s="29"/>
      <c r="Y352" s="29"/>
      <c r="Z352" s="29"/>
      <c r="AA352" s="29"/>
      <c r="AB352" s="29"/>
      <c r="AC352" s="29"/>
      <c r="AD352" s="29"/>
      <c r="AE352" s="29"/>
      <c r="AF352" s="29"/>
      <c r="AG352" s="29"/>
    </row>
    <row r="353" spans="1:34" ht="15.95" customHeight="1" thickBot="1">
      <c r="A353" s="7"/>
      <c r="B353" s="19" t="str">
        <f>"FA2 = "&amp;'FIG3'!$W$53&amp;" "&amp;'FIG3'!$X$53</f>
        <v>FA2 = Atlanta Public Schools</v>
      </c>
      <c r="C353" s="7"/>
      <c r="D353" s="8"/>
      <c r="E353" s="8"/>
      <c r="F353" s="9"/>
      <c r="G353" s="8"/>
      <c r="H353" s="9"/>
      <c r="I353" s="9"/>
      <c r="J353" s="8"/>
      <c r="K353" s="8"/>
      <c r="L353" s="280"/>
      <c r="M353" s="9"/>
      <c r="N353" s="9"/>
      <c r="O353" s="8"/>
      <c r="P353" s="9"/>
      <c r="Q353" s="9"/>
      <c r="R353" s="8"/>
      <c r="S353" s="866"/>
      <c r="T353" s="867" t="str">
        <f>'$REV-DB'!$T$34</f>
        <v>UD1</v>
      </c>
      <c r="U353" s="867" t="str">
        <f>'$REV-DB'!$U$34</f>
        <v>UD2</v>
      </c>
      <c r="V353" s="867" t="str">
        <f>'$REV-DB'!$V$34</f>
        <v>UD3</v>
      </c>
      <c r="W353" s="867" t="str">
        <f>'$REV-DB'!$W$34</f>
        <v>UD4</v>
      </c>
      <c r="X353" s="867" t="str">
        <f>'$REV-DB'!$X$34</f>
        <v>UD5</v>
      </c>
      <c r="Y353" s="867" t="str">
        <f>'$REV-DB'!$Y$34</f>
        <v>UD6</v>
      </c>
      <c r="Z353" s="867" t="str">
        <f>'$REV-DB'!$Z$34</f>
        <v>UD7</v>
      </c>
      <c r="AA353" s="867" t="str">
        <f>'$REV-DB'!$AA$34</f>
        <v>UD8</v>
      </c>
      <c r="AB353" s="867" t="str">
        <f>'$REV-DB'!$AB$34</f>
        <v>UD9</v>
      </c>
      <c r="AC353" s="867" t="str">
        <f>'$REV-DB'!$AC$34</f>
        <v>UD10</v>
      </c>
      <c r="AD353" s="867" t="str">
        <f>'$REV-DB'!$AD$34</f>
        <v>UD11</v>
      </c>
      <c r="AE353" s="867" t="str">
        <f>'$REV-DB'!$AE$34</f>
        <v>UD12</v>
      </c>
      <c r="AF353" s="867" t="str">
        <f>'$REV-DB'!$AF$34</f>
        <v>UD13</v>
      </c>
      <c r="AG353" s="867" t="str">
        <f>'$REV-DB'!$AG$34</f>
        <v>UD14</v>
      </c>
    </row>
    <row r="354" spans="1:34" ht="15.95" customHeight="1" thickTop="1" thickBot="1">
      <c r="A354" s="7"/>
      <c r="B354" s="20" t="s">
        <v>4</v>
      </c>
      <c r="C354" s="15"/>
      <c r="D354" s="105" t="s">
        <v>186</v>
      </c>
      <c r="E354" s="105" t="s">
        <v>187</v>
      </c>
      <c r="F354" s="105" t="s">
        <v>188</v>
      </c>
      <c r="G354" s="105" t="s">
        <v>189</v>
      </c>
      <c r="H354" s="301" t="s">
        <v>11</v>
      </c>
      <c r="I354" s="301" t="s">
        <v>190</v>
      </c>
      <c r="J354" s="301" t="s">
        <v>191</v>
      </c>
      <c r="K354" s="301" t="s">
        <v>192</v>
      </c>
      <c r="L354" s="301" t="s">
        <v>203</v>
      </c>
      <c r="M354" s="301" t="s">
        <v>42</v>
      </c>
      <c r="N354" s="105" t="s">
        <v>148</v>
      </c>
      <c r="O354" s="105" t="s">
        <v>193</v>
      </c>
      <c r="P354" s="105" t="s">
        <v>142</v>
      </c>
      <c r="Q354" s="105" t="s">
        <v>194</v>
      </c>
      <c r="R354" s="112" t="s">
        <v>141</v>
      </c>
      <c r="S354" s="112" t="s">
        <v>672</v>
      </c>
      <c r="T354" s="857" t="s">
        <v>541</v>
      </c>
      <c r="U354" s="857" t="s">
        <v>542</v>
      </c>
      <c r="V354" s="857" t="s">
        <v>543</v>
      </c>
      <c r="W354" s="857" t="s">
        <v>544</v>
      </c>
      <c r="X354" s="857" t="s">
        <v>545</v>
      </c>
      <c r="Y354" s="857" t="s">
        <v>546</v>
      </c>
      <c r="Z354" s="857" t="s">
        <v>547</v>
      </c>
      <c r="AA354" s="857" t="s">
        <v>548</v>
      </c>
      <c r="AB354" s="857" t="s">
        <v>549</v>
      </c>
      <c r="AC354" s="857" t="s">
        <v>550</v>
      </c>
      <c r="AD354" s="857" t="s">
        <v>551</v>
      </c>
      <c r="AE354" s="857" t="s">
        <v>552</v>
      </c>
      <c r="AF354" s="857" t="s">
        <v>553</v>
      </c>
      <c r="AG354" s="857" t="s">
        <v>554</v>
      </c>
      <c r="AH354" s="6"/>
    </row>
    <row r="355" spans="1:34" ht="15.95" customHeight="1" thickTop="1">
      <c r="A355" s="7"/>
      <c r="B355" s="19" t="s">
        <v>150</v>
      </c>
      <c r="C355" s="12"/>
      <c r="D355" s="194"/>
      <c r="E355" s="194"/>
      <c r="F355" s="193"/>
      <c r="G355" s="194"/>
      <c r="H355" s="193"/>
      <c r="I355" s="193"/>
      <c r="J355" s="194"/>
      <c r="K355" s="194"/>
      <c r="L355" s="285" t="s">
        <v>34</v>
      </c>
      <c r="M355" s="193"/>
      <c r="N355" s="47" t="str">
        <f>J$6</f>
        <v>FY2010-11</v>
      </c>
      <c r="O355" s="47" t="s">
        <v>153</v>
      </c>
      <c r="P355" s="47" t="s">
        <v>138</v>
      </c>
      <c r="Q355" s="47" t="s">
        <v>140</v>
      </c>
      <c r="R355" s="194"/>
      <c r="S355" s="194"/>
      <c r="T355" s="194"/>
      <c r="U355" s="194"/>
      <c r="V355" s="195"/>
      <c r="W355" s="195"/>
      <c r="X355" s="195"/>
      <c r="Y355" s="195"/>
      <c r="Z355" s="195"/>
      <c r="AA355" s="195"/>
      <c r="AB355" s="195"/>
      <c r="AC355" s="195"/>
      <c r="AD355" s="195"/>
      <c r="AE355" s="195"/>
      <c r="AF355" s="195"/>
      <c r="AG355" s="195"/>
      <c r="AH355" s="6"/>
    </row>
    <row r="356" spans="1:34" ht="15.95" customHeight="1">
      <c r="A356" s="7"/>
      <c r="B356" s="16">
        <f>DSUM('$REV-DB'!D35:AG67,"AMOUNT",'$REV-DSUM'!D354:AG361)</f>
        <v>0</v>
      </c>
      <c r="C356" s="12"/>
      <c r="D356" s="194"/>
      <c r="E356" s="194"/>
      <c r="F356" s="193"/>
      <c r="G356" s="194"/>
      <c r="H356" s="193"/>
      <c r="I356" s="193"/>
      <c r="J356" s="194"/>
      <c r="K356" s="194"/>
      <c r="L356" s="285" t="s">
        <v>34</v>
      </c>
      <c r="M356" s="193"/>
      <c r="N356" s="47" t="str">
        <f t="shared" ref="N356:N361" si="34">J$6</f>
        <v>FY2010-11</v>
      </c>
      <c r="O356" s="47" t="s">
        <v>153</v>
      </c>
      <c r="P356" s="47" t="s">
        <v>138</v>
      </c>
      <c r="Q356" s="47" t="s">
        <v>140</v>
      </c>
      <c r="R356" s="194"/>
      <c r="S356" s="194"/>
      <c r="T356" s="194"/>
      <c r="U356" s="194"/>
      <c r="V356" s="195"/>
      <c r="W356" s="195"/>
      <c r="X356" s="195"/>
      <c r="Y356" s="195"/>
      <c r="Z356" s="195"/>
      <c r="AA356" s="195"/>
      <c r="AB356" s="195"/>
      <c r="AC356" s="195"/>
      <c r="AD356" s="195"/>
      <c r="AE356" s="195"/>
      <c r="AF356" s="195"/>
      <c r="AG356" s="195"/>
      <c r="AH356" s="6"/>
    </row>
    <row r="357" spans="1:34" ht="15.95" customHeight="1">
      <c r="A357" s="7"/>
      <c r="B357" s="10"/>
      <c r="C357" s="12"/>
      <c r="D357" s="194"/>
      <c r="E357" s="194"/>
      <c r="F357" s="193"/>
      <c r="G357" s="194"/>
      <c r="H357" s="193"/>
      <c r="I357" s="193"/>
      <c r="J357" s="194"/>
      <c r="K357" s="194"/>
      <c r="L357" s="285" t="s">
        <v>34</v>
      </c>
      <c r="M357" s="193"/>
      <c r="N357" s="47" t="str">
        <f t="shared" si="34"/>
        <v>FY2010-11</v>
      </c>
      <c r="O357" s="47" t="s">
        <v>153</v>
      </c>
      <c r="P357" s="47" t="s">
        <v>138</v>
      </c>
      <c r="Q357" s="47" t="s">
        <v>140</v>
      </c>
      <c r="R357" s="194"/>
      <c r="S357" s="194"/>
      <c r="T357" s="194"/>
      <c r="U357" s="194"/>
      <c r="V357" s="195"/>
      <c r="W357" s="195"/>
      <c r="X357" s="195"/>
      <c r="Y357" s="195"/>
      <c r="Z357" s="195"/>
      <c r="AA357" s="195"/>
      <c r="AB357" s="195"/>
      <c r="AC357" s="195"/>
      <c r="AD357" s="195"/>
      <c r="AE357" s="195"/>
      <c r="AF357" s="195"/>
      <c r="AG357" s="195"/>
    </row>
    <row r="358" spans="1:34" ht="15.95" customHeight="1">
      <c r="A358" s="7"/>
      <c r="B358" s="10"/>
      <c r="C358" s="12"/>
      <c r="D358" s="194"/>
      <c r="E358" s="194"/>
      <c r="F358" s="193"/>
      <c r="G358" s="194"/>
      <c r="H358" s="193"/>
      <c r="I358" s="193"/>
      <c r="J358" s="194"/>
      <c r="K358" s="194"/>
      <c r="L358" s="285" t="s">
        <v>34</v>
      </c>
      <c r="M358" s="193"/>
      <c r="N358" s="47" t="str">
        <f t="shared" si="34"/>
        <v>FY2010-11</v>
      </c>
      <c r="O358" s="47" t="s">
        <v>153</v>
      </c>
      <c r="P358" s="47" t="s">
        <v>138</v>
      </c>
      <c r="Q358" s="47" t="s">
        <v>140</v>
      </c>
      <c r="R358" s="194"/>
      <c r="S358" s="194"/>
      <c r="T358" s="194"/>
      <c r="U358" s="194"/>
      <c r="V358" s="195"/>
      <c r="W358" s="195"/>
      <c r="X358" s="195"/>
      <c r="Y358" s="195"/>
      <c r="Z358" s="195"/>
      <c r="AA358" s="195"/>
      <c r="AB358" s="195"/>
      <c r="AC358" s="195"/>
      <c r="AD358" s="195"/>
      <c r="AE358" s="195"/>
      <c r="AF358" s="195"/>
      <c r="AG358" s="195"/>
    </row>
    <row r="359" spans="1:34" ht="15.95" customHeight="1">
      <c r="A359" s="7"/>
      <c r="B359" s="10"/>
      <c r="C359" s="12"/>
      <c r="D359" s="194"/>
      <c r="E359" s="194"/>
      <c r="F359" s="193"/>
      <c r="G359" s="194"/>
      <c r="H359" s="193"/>
      <c r="I359" s="193"/>
      <c r="J359" s="194"/>
      <c r="K359" s="194"/>
      <c r="L359" s="285" t="s">
        <v>34</v>
      </c>
      <c r="M359" s="193"/>
      <c r="N359" s="47" t="str">
        <f t="shared" si="34"/>
        <v>FY2010-11</v>
      </c>
      <c r="O359" s="47" t="s">
        <v>153</v>
      </c>
      <c r="P359" s="47" t="s">
        <v>138</v>
      </c>
      <c r="Q359" s="47" t="s">
        <v>140</v>
      </c>
      <c r="R359" s="194"/>
      <c r="S359" s="194"/>
      <c r="T359" s="194"/>
      <c r="U359" s="194"/>
      <c r="V359" s="195"/>
      <c r="W359" s="195"/>
      <c r="X359" s="195"/>
      <c r="Y359" s="195"/>
      <c r="Z359" s="195"/>
      <c r="AA359" s="195"/>
      <c r="AB359" s="195"/>
      <c r="AC359" s="195"/>
      <c r="AD359" s="195"/>
      <c r="AE359" s="195"/>
      <c r="AF359" s="195"/>
      <c r="AG359" s="195"/>
    </row>
    <row r="360" spans="1:34" ht="15.95" customHeight="1">
      <c r="A360" s="7"/>
      <c r="B360" s="10"/>
      <c r="C360" s="12"/>
      <c r="D360" s="194"/>
      <c r="E360" s="194"/>
      <c r="F360" s="193"/>
      <c r="G360" s="194"/>
      <c r="H360" s="193"/>
      <c r="I360" s="193"/>
      <c r="J360" s="194"/>
      <c r="K360" s="194"/>
      <c r="L360" s="285" t="s">
        <v>34</v>
      </c>
      <c r="M360" s="193"/>
      <c r="N360" s="47" t="str">
        <f t="shared" si="34"/>
        <v>FY2010-11</v>
      </c>
      <c r="O360" s="47" t="s">
        <v>153</v>
      </c>
      <c r="P360" s="47" t="s">
        <v>138</v>
      </c>
      <c r="Q360" s="47" t="s">
        <v>140</v>
      </c>
      <c r="R360" s="194"/>
      <c r="S360" s="194"/>
      <c r="T360" s="194"/>
      <c r="U360" s="194"/>
      <c r="V360" s="195"/>
      <c r="W360" s="195"/>
      <c r="X360" s="195"/>
      <c r="Y360" s="195"/>
      <c r="Z360" s="195"/>
      <c r="AA360" s="195"/>
      <c r="AB360" s="195"/>
      <c r="AC360" s="195"/>
      <c r="AD360" s="195"/>
      <c r="AE360" s="195"/>
      <c r="AF360" s="195"/>
      <c r="AG360" s="195"/>
    </row>
    <row r="361" spans="1:34" ht="15.95" customHeight="1">
      <c r="A361" s="7"/>
      <c r="B361" s="10"/>
      <c r="C361" s="12"/>
      <c r="D361" s="194"/>
      <c r="E361" s="194"/>
      <c r="F361" s="193"/>
      <c r="G361" s="194"/>
      <c r="H361" s="193"/>
      <c r="I361" s="193"/>
      <c r="J361" s="194"/>
      <c r="K361" s="194"/>
      <c r="L361" s="285" t="s">
        <v>34</v>
      </c>
      <c r="M361" s="193"/>
      <c r="N361" s="47" t="str">
        <f t="shared" si="34"/>
        <v>FY2010-11</v>
      </c>
      <c r="O361" s="47" t="s">
        <v>153</v>
      </c>
      <c r="P361" s="47" t="s">
        <v>138</v>
      </c>
      <c r="Q361" s="47" t="s">
        <v>140</v>
      </c>
      <c r="R361" s="194"/>
      <c r="S361" s="194"/>
      <c r="T361" s="194"/>
      <c r="U361" s="194"/>
      <c r="V361" s="195"/>
      <c r="W361" s="195"/>
      <c r="X361" s="195"/>
      <c r="Y361" s="195"/>
      <c r="Z361" s="195"/>
      <c r="AA361" s="195"/>
      <c r="AB361" s="195"/>
      <c r="AC361" s="195"/>
      <c r="AD361" s="195"/>
      <c r="AE361" s="195"/>
      <c r="AF361" s="195"/>
      <c r="AG361" s="195"/>
    </row>
    <row r="362" spans="1:34" ht="15.95" customHeight="1">
      <c r="A362" s="29"/>
      <c r="B362" s="30"/>
      <c r="C362" s="30"/>
      <c r="D362" s="31"/>
      <c r="E362" s="31"/>
      <c r="F362" s="32"/>
      <c r="G362" s="31"/>
      <c r="H362" s="32"/>
      <c r="I362" s="32"/>
      <c r="J362" s="31"/>
      <c r="K362" s="31"/>
      <c r="L362" s="284"/>
      <c r="M362" s="32"/>
      <c r="N362" s="32"/>
      <c r="O362" s="31"/>
      <c r="P362" s="32"/>
      <c r="Q362" s="32"/>
      <c r="R362" s="31"/>
      <c r="S362" s="31"/>
      <c r="T362" s="31"/>
      <c r="U362" s="31"/>
      <c r="V362" s="29"/>
      <c r="W362" s="29"/>
      <c r="X362" s="29"/>
      <c r="Y362" s="29"/>
      <c r="Z362" s="29"/>
      <c r="AA362" s="29"/>
      <c r="AB362" s="29"/>
      <c r="AC362" s="29"/>
      <c r="AD362" s="29"/>
      <c r="AE362" s="29"/>
      <c r="AF362" s="29"/>
      <c r="AG362" s="29"/>
    </row>
    <row r="363" spans="1:34" ht="15.95" customHeight="1" thickBot="1">
      <c r="A363" s="7"/>
      <c r="B363" s="19" t="str">
        <f>"FA2 = "&amp;'FIG3'!$W$53&amp;" "&amp;'FIG3'!$X$53</f>
        <v>FA2 = Atlanta Public Schools</v>
      </c>
      <c r="C363" s="7"/>
      <c r="D363" s="17"/>
      <c r="E363" s="17"/>
      <c r="F363" s="18"/>
      <c r="G363" s="17"/>
      <c r="H363" s="18"/>
      <c r="I363" s="18"/>
      <c r="J363" s="17"/>
      <c r="K363" s="17"/>
      <c r="L363" s="281"/>
      <c r="M363" s="18"/>
      <c r="N363" s="9"/>
      <c r="O363" s="17"/>
      <c r="P363" s="18"/>
      <c r="Q363" s="18"/>
      <c r="R363" s="17"/>
      <c r="S363" s="866"/>
      <c r="T363" s="867" t="str">
        <f>'$REV-DB'!$T$34</f>
        <v>UD1</v>
      </c>
      <c r="U363" s="867" t="str">
        <f>'$REV-DB'!$U$34</f>
        <v>UD2</v>
      </c>
      <c r="V363" s="867" t="str">
        <f>'$REV-DB'!$V$34</f>
        <v>UD3</v>
      </c>
      <c r="W363" s="867" t="str">
        <f>'$REV-DB'!$W$34</f>
        <v>UD4</v>
      </c>
      <c r="X363" s="867" t="str">
        <f>'$REV-DB'!$X$34</f>
        <v>UD5</v>
      </c>
      <c r="Y363" s="867" t="str">
        <f>'$REV-DB'!$Y$34</f>
        <v>UD6</v>
      </c>
      <c r="Z363" s="867" t="str">
        <f>'$REV-DB'!$Z$34</f>
        <v>UD7</v>
      </c>
      <c r="AA363" s="867" t="str">
        <f>'$REV-DB'!$AA$34</f>
        <v>UD8</v>
      </c>
      <c r="AB363" s="867" t="str">
        <f>'$REV-DB'!$AB$34</f>
        <v>UD9</v>
      </c>
      <c r="AC363" s="867" t="str">
        <f>'$REV-DB'!$AC$34</f>
        <v>UD10</v>
      </c>
      <c r="AD363" s="867" t="str">
        <f>'$REV-DB'!$AD$34</f>
        <v>UD11</v>
      </c>
      <c r="AE363" s="867" t="str">
        <f>'$REV-DB'!$AE$34</f>
        <v>UD12</v>
      </c>
      <c r="AF363" s="867" t="str">
        <f>'$REV-DB'!$AF$34</f>
        <v>UD13</v>
      </c>
      <c r="AG363" s="867" t="str">
        <f>'$REV-DB'!$AG$34</f>
        <v>UD14</v>
      </c>
    </row>
    <row r="364" spans="1:34" ht="15.95" customHeight="1" thickTop="1" thickBot="1">
      <c r="A364" s="7"/>
      <c r="B364" s="20" t="s">
        <v>175</v>
      </c>
      <c r="C364" s="15"/>
      <c r="D364" s="105" t="s">
        <v>186</v>
      </c>
      <c r="E364" s="105" t="s">
        <v>187</v>
      </c>
      <c r="F364" s="105" t="s">
        <v>188</v>
      </c>
      <c r="G364" s="105" t="s">
        <v>189</v>
      </c>
      <c r="H364" s="301" t="s">
        <v>11</v>
      </c>
      <c r="I364" s="301" t="s">
        <v>190</v>
      </c>
      <c r="J364" s="301" t="s">
        <v>191</v>
      </c>
      <c r="K364" s="301" t="s">
        <v>192</v>
      </c>
      <c r="L364" s="301" t="s">
        <v>203</v>
      </c>
      <c r="M364" s="301" t="s">
        <v>42</v>
      </c>
      <c r="N364" s="105" t="s">
        <v>148</v>
      </c>
      <c r="O364" s="105" t="s">
        <v>193</v>
      </c>
      <c r="P364" s="105" t="s">
        <v>142</v>
      </c>
      <c r="Q364" s="105" t="s">
        <v>194</v>
      </c>
      <c r="R364" s="112" t="s">
        <v>141</v>
      </c>
      <c r="S364" s="112" t="s">
        <v>672</v>
      </c>
      <c r="T364" s="857" t="s">
        <v>541</v>
      </c>
      <c r="U364" s="857" t="s">
        <v>542</v>
      </c>
      <c r="V364" s="857" t="s">
        <v>543</v>
      </c>
      <c r="W364" s="857" t="s">
        <v>544</v>
      </c>
      <c r="X364" s="857" t="s">
        <v>545</v>
      </c>
      <c r="Y364" s="857" t="s">
        <v>546</v>
      </c>
      <c r="Z364" s="857" t="s">
        <v>547</v>
      </c>
      <c r="AA364" s="857" t="s">
        <v>548</v>
      </c>
      <c r="AB364" s="857" t="s">
        <v>549</v>
      </c>
      <c r="AC364" s="857" t="s">
        <v>550</v>
      </c>
      <c r="AD364" s="857" t="s">
        <v>551</v>
      </c>
      <c r="AE364" s="857" t="s">
        <v>552</v>
      </c>
      <c r="AF364" s="857" t="s">
        <v>553</v>
      </c>
      <c r="AG364" s="857" t="s">
        <v>554</v>
      </c>
      <c r="AH364" s="6"/>
    </row>
    <row r="365" spans="1:34" ht="15.95" customHeight="1" thickTop="1">
      <c r="A365" s="7"/>
      <c r="B365" s="19" t="s">
        <v>146</v>
      </c>
      <c r="C365" s="12"/>
      <c r="D365" s="194"/>
      <c r="E365" s="194"/>
      <c r="F365" s="193"/>
      <c r="G365" s="194"/>
      <c r="H365" s="193"/>
      <c r="I365" s="193"/>
      <c r="J365" s="194"/>
      <c r="K365" s="194"/>
      <c r="L365" s="285" t="s">
        <v>34</v>
      </c>
      <c r="M365" s="193"/>
      <c r="N365" s="47" t="str">
        <f>J$6</f>
        <v>FY2010-11</v>
      </c>
      <c r="O365" s="47" t="s">
        <v>153</v>
      </c>
      <c r="P365" s="47" t="s">
        <v>147</v>
      </c>
      <c r="Q365" s="47"/>
      <c r="R365" s="194"/>
      <c r="S365" s="194"/>
      <c r="T365" s="194"/>
      <c r="U365" s="194"/>
      <c r="V365" s="195"/>
      <c r="W365" s="195"/>
      <c r="X365" s="195"/>
      <c r="Y365" s="195"/>
      <c r="Z365" s="195"/>
      <c r="AA365" s="195"/>
      <c r="AB365" s="195"/>
      <c r="AC365" s="195"/>
      <c r="AD365" s="195"/>
      <c r="AE365" s="195"/>
      <c r="AF365" s="195"/>
      <c r="AG365" s="195"/>
      <c r="AH365" s="6"/>
    </row>
    <row r="366" spans="1:34" ht="15.95" customHeight="1">
      <c r="A366" s="7"/>
      <c r="B366" s="16">
        <f>DSUM('$REV-DB'!D35:AG67,"AMOUNT",'$REV-DSUM'!D364:AG371)</f>
        <v>56530342</v>
      </c>
      <c r="C366" s="12"/>
      <c r="D366" s="194"/>
      <c r="E366" s="194"/>
      <c r="F366" s="193"/>
      <c r="G366" s="194"/>
      <c r="H366" s="193"/>
      <c r="I366" s="193"/>
      <c r="J366" s="194"/>
      <c r="K366" s="194"/>
      <c r="L366" s="285" t="s">
        <v>34</v>
      </c>
      <c r="M366" s="193"/>
      <c r="N366" s="47" t="str">
        <f t="shared" ref="N366:N371" si="35">J$6</f>
        <v>FY2010-11</v>
      </c>
      <c r="O366" s="47" t="s">
        <v>153</v>
      </c>
      <c r="P366" s="47" t="s">
        <v>147</v>
      </c>
      <c r="Q366" s="47"/>
      <c r="R366" s="194"/>
      <c r="S366" s="194"/>
      <c r="T366" s="194"/>
      <c r="U366" s="194"/>
      <c r="V366" s="195"/>
      <c r="W366" s="195"/>
      <c r="X366" s="195"/>
      <c r="Y366" s="195"/>
      <c r="Z366" s="195"/>
      <c r="AA366" s="195"/>
      <c r="AB366" s="195"/>
      <c r="AC366" s="195"/>
      <c r="AD366" s="195"/>
      <c r="AE366" s="195"/>
      <c r="AF366" s="195"/>
      <c r="AG366" s="195"/>
      <c r="AH366" s="6"/>
    </row>
    <row r="367" spans="1:34" ht="15.95" customHeight="1">
      <c r="A367" s="7"/>
      <c r="B367" s="10"/>
      <c r="C367" s="12"/>
      <c r="D367" s="194"/>
      <c r="E367" s="194"/>
      <c r="F367" s="193"/>
      <c r="G367" s="194"/>
      <c r="H367" s="193"/>
      <c r="I367" s="193"/>
      <c r="J367" s="194"/>
      <c r="K367" s="194"/>
      <c r="L367" s="285" t="s">
        <v>34</v>
      </c>
      <c r="M367" s="193"/>
      <c r="N367" s="47" t="str">
        <f t="shared" si="35"/>
        <v>FY2010-11</v>
      </c>
      <c r="O367" s="47" t="s">
        <v>153</v>
      </c>
      <c r="P367" s="47" t="s">
        <v>147</v>
      </c>
      <c r="Q367" s="47"/>
      <c r="R367" s="194"/>
      <c r="S367" s="194"/>
      <c r="T367" s="194"/>
      <c r="U367" s="194"/>
      <c r="V367" s="195"/>
      <c r="W367" s="195"/>
      <c r="X367" s="195"/>
      <c r="Y367" s="195"/>
      <c r="Z367" s="195"/>
      <c r="AA367" s="195"/>
      <c r="AB367" s="195"/>
      <c r="AC367" s="195"/>
      <c r="AD367" s="195"/>
      <c r="AE367" s="195"/>
      <c r="AF367" s="195"/>
      <c r="AG367" s="195"/>
    </row>
    <row r="368" spans="1:34" ht="15.95" customHeight="1">
      <c r="A368" s="7"/>
      <c r="B368" s="10"/>
      <c r="C368" s="12"/>
      <c r="D368" s="194"/>
      <c r="E368" s="194"/>
      <c r="F368" s="193"/>
      <c r="G368" s="194"/>
      <c r="H368" s="193"/>
      <c r="I368" s="193"/>
      <c r="J368" s="194"/>
      <c r="K368" s="194"/>
      <c r="L368" s="285" t="s">
        <v>34</v>
      </c>
      <c r="M368" s="193"/>
      <c r="N368" s="47" t="str">
        <f t="shared" si="35"/>
        <v>FY2010-11</v>
      </c>
      <c r="O368" s="47" t="s">
        <v>153</v>
      </c>
      <c r="P368" s="47" t="s">
        <v>147</v>
      </c>
      <c r="Q368" s="47"/>
      <c r="R368" s="194"/>
      <c r="S368" s="194"/>
      <c r="T368" s="194"/>
      <c r="U368" s="194"/>
      <c r="V368" s="195"/>
      <c r="W368" s="195"/>
      <c r="X368" s="195"/>
      <c r="Y368" s="195"/>
      <c r="Z368" s="195"/>
      <c r="AA368" s="195"/>
      <c r="AB368" s="195"/>
      <c r="AC368" s="195"/>
      <c r="AD368" s="195"/>
      <c r="AE368" s="195"/>
      <c r="AF368" s="195"/>
      <c r="AG368" s="195"/>
    </row>
    <row r="369" spans="1:34" ht="15.95" customHeight="1">
      <c r="A369" s="7"/>
      <c r="B369" s="10"/>
      <c r="C369" s="12"/>
      <c r="D369" s="194"/>
      <c r="E369" s="194"/>
      <c r="F369" s="193"/>
      <c r="G369" s="194"/>
      <c r="H369" s="193"/>
      <c r="I369" s="193"/>
      <c r="J369" s="194"/>
      <c r="K369" s="194"/>
      <c r="L369" s="285" t="s">
        <v>34</v>
      </c>
      <c r="M369" s="193"/>
      <c r="N369" s="47" t="str">
        <f t="shared" si="35"/>
        <v>FY2010-11</v>
      </c>
      <c r="O369" s="47" t="s">
        <v>153</v>
      </c>
      <c r="P369" s="47" t="s">
        <v>147</v>
      </c>
      <c r="Q369" s="47"/>
      <c r="R369" s="194"/>
      <c r="S369" s="194"/>
      <c r="T369" s="194"/>
      <c r="U369" s="194"/>
      <c r="V369" s="195"/>
      <c r="W369" s="195"/>
      <c r="X369" s="195"/>
      <c r="Y369" s="195"/>
      <c r="Z369" s="195"/>
      <c r="AA369" s="195"/>
      <c r="AB369" s="195"/>
      <c r="AC369" s="195"/>
      <c r="AD369" s="195"/>
      <c r="AE369" s="195"/>
      <c r="AF369" s="195"/>
      <c r="AG369" s="195"/>
    </row>
    <row r="370" spans="1:34" ht="15.95" customHeight="1">
      <c r="A370" s="7"/>
      <c r="B370" s="10"/>
      <c r="C370" s="12"/>
      <c r="D370" s="194"/>
      <c r="E370" s="194"/>
      <c r="F370" s="193"/>
      <c r="G370" s="194"/>
      <c r="H370" s="193"/>
      <c r="I370" s="193"/>
      <c r="J370" s="194"/>
      <c r="K370" s="194"/>
      <c r="L370" s="285" t="s">
        <v>34</v>
      </c>
      <c r="M370" s="193"/>
      <c r="N370" s="47" t="str">
        <f t="shared" si="35"/>
        <v>FY2010-11</v>
      </c>
      <c r="O370" s="47" t="s">
        <v>153</v>
      </c>
      <c r="P370" s="47" t="s">
        <v>147</v>
      </c>
      <c r="Q370" s="47"/>
      <c r="R370" s="194"/>
      <c r="S370" s="194"/>
      <c r="T370" s="194"/>
      <c r="U370" s="194"/>
      <c r="V370" s="195"/>
      <c r="W370" s="195"/>
      <c r="X370" s="195"/>
      <c r="Y370" s="195"/>
      <c r="Z370" s="195"/>
      <c r="AA370" s="195"/>
      <c r="AB370" s="195"/>
      <c r="AC370" s="195"/>
      <c r="AD370" s="195"/>
      <c r="AE370" s="195"/>
      <c r="AF370" s="195"/>
      <c r="AG370" s="195"/>
    </row>
    <row r="371" spans="1:34" ht="15.95" customHeight="1">
      <c r="A371" s="7"/>
      <c r="B371" s="10"/>
      <c r="C371" s="12"/>
      <c r="D371" s="194"/>
      <c r="E371" s="194"/>
      <c r="F371" s="193"/>
      <c r="G371" s="194"/>
      <c r="H371" s="193"/>
      <c r="I371" s="193"/>
      <c r="J371" s="194"/>
      <c r="K371" s="194"/>
      <c r="L371" s="285" t="s">
        <v>34</v>
      </c>
      <c r="M371" s="193"/>
      <c r="N371" s="47" t="str">
        <f t="shared" si="35"/>
        <v>FY2010-11</v>
      </c>
      <c r="O371" s="47" t="s">
        <v>153</v>
      </c>
      <c r="P371" s="47" t="s">
        <v>147</v>
      </c>
      <c r="Q371" s="47"/>
      <c r="R371" s="194"/>
      <c r="S371" s="194"/>
      <c r="T371" s="194"/>
      <c r="U371" s="194"/>
      <c r="V371" s="195"/>
      <c r="W371" s="195"/>
      <c r="X371" s="195"/>
      <c r="Y371" s="195"/>
      <c r="Z371" s="195"/>
      <c r="AA371" s="195"/>
      <c r="AB371" s="195"/>
      <c r="AC371" s="195"/>
      <c r="AD371" s="195"/>
      <c r="AE371" s="195"/>
      <c r="AF371" s="195"/>
      <c r="AG371" s="195"/>
    </row>
    <row r="372" spans="1:34" ht="15.95" customHeight="1">
      <c r="A372" s="29"/>
      <c r="B372" s="30"/>
      <c r="C372" s="30"/>
      <c r="D372" s="31"/>
      <c r="E372" s="31"/>
      <c r="F372" s="32"/>
      <c r="G372" s="31"/>
      <c r="H372" s="32"/>
      <c r="I372" s="32"/>
      <c r="J372" s="31"/>
      <c r="K372" s="31"/>
      <c r="L372" s="284"/>
      <c r="M372" s="32"/>
      <c r="N372" s="32"/>
      <c r="O372" s="31"/>
      <c r="P372" s="32"/>
      <c r="Q372" s="32"/>
      <c r="R372" s="31"/>
      <c r="S372" s="31"/>
      <c r="T372" s="31"/>
      <c r="U372" s="31"/>
      <c r="V372" s="29"/>
      <c r="W372" s="29"/>
      <c r="X372" s="29"/>
      <c r="Y372" s="29"/>
      <c r="Z372" s="29"/>
      <c r="AA372" s="29"/>
      <c r="AB372" s="29"/>
      <c r="AC372" s="29"/>
      <c r="AD372" s="29"/>
      <c r="AE372" s="29"/>
      <c r="AF372" s="29"/>
      <c r="AG372" s="29"/>
    </row>
    <row r="373" spans="1:34" ht="15.95" customHeight="1" thickBot="1">
      <c r="A373" s="7"/>
      <c r="B373" s="19" t="str">
        <f>"FA2 = "&amp;'FIG3'!$W$53&amp;" "&amp;'FIG3'!$X$53</f>
        <v>FA2 = Atlanta Public Schools</v>
      </c>
      <c r="C373" s="7"/>
      <c r="D373" s="8"/>
      <c r="E373" s="8"/>
      <c r="F373" s="9"/>
      <c r="G373" s="8"/>
      <c r="H373" s="9"/>
      <c r="I373" s="9"/>
      <c r="J373" s="8"/>
      <c r="K373" s="8"/>
      <c r="L373" s="280"/>
      <c r="M373" s="9"/>
      <c r="N373" s="9"/>
      <c r="O373" s="8"/>
      <c r="P373" s="9"/>
      <c r="Q373" s="9"/>
      <c r="R373" s="8"/>
      <c r="S373" s="866"/>
      <c r="T373" s="867" t="str">
        <f>'$REV-DB'!$T$34</f>
        <v>UD1</v>
      </c>
      <c r="U373" s="867" t="str">
        <f>'$REV-DB'!$U$34</f>
        <v>UD2</v>
      </c>
      <c r="V373" s="867" t="str">
        <f>'$REV-DB'!$V$34</f>
        <v>UD3</v>
      </c>
      <c r="W373" s="867" t="str">
        <f>'$REV-DB'!$W$34</f>
        <v>UD4</v>
      </c>
      <c r="X373" s="867" t="str">
        <f>'$REV-DB'!$X$34</f>
        <v>UD5</v>
      </c>
      <c r="Y373" s="867" t="str">
        <f>'$REV-DB'!$Y$34</f>
        <v>UD6</v>
      </c>
      <c r="Z373" s="867" t="str">
        <f>'$REV-DB'!$Z$34</f>
        <v>UD7</v>
      </c>
      <c r="AA373" s="867" t="str">
        <f>'$REV-DB'!$AA$34</f>
        <v>UD8</v>
      </c>
      <c r="AB373" s="867" t="str">
        <f>'$REV-DB'!$AB$34</f>
        <v>UD9</v>
      </c>
      <c r="AC373" s="867" t="str">
        <f>'$REV-DB'!$AC$34</f>
        <v>UD10</v>
      </c>
      <c r="AD373" s="867" t="str">
        <f>'$REV-DB'!$AD$34</f>
        <v>UD11</v>
      </c>
      <c r="AE373" s="867" t="str">
        <f>'$REV-DB'!$AE$34</f>
        <v>UD12</v>
      </c>
      <c r="AF373" s="867" t="str">
        <f>'$REV-DB'!$AF$34</f>
        <v>UD13</v>
      </c>
      <c r="AG373" s="867" t="str">
        <f>'$REV-DB'!$AG$34</f>
        <v>UD14</v>
      </c>
    </row>
    <row r="374" spans="1:34" ht="15.95" customHeight="1" thickTop="1" thickBot="1">
      <c r="A374" s="7"/>
      <c r="B374" s="20" t="s">
        <v>175</v>
      </c>
      <c r="C374" s="15"/>
      <c r="D374" s="105" t="s">
        <v>186</v>
      </c>
      <c r="E374" s="105" t="s">
        <v>187</v>
      </c>
      <c r="F374" s="105" t="s">
        <v>188</v>
      </c>
      <c r="G374" s="105" t="s">
        <v>189</v>
      </c>
      <c r="H374" s="301" t="s">
        <v>11</v>
      </c>
      <c r="I374" s="301" t="s">
        <v>190</v>
      </c>
      <c r="J374" s="301" t="s">
        <v>191</v>
      </c>
      <c r="K374" s="301" t="s">
        <v>192</v>
      </c>
      <c r="L374" s="301" t="s">
        <v>203</v>
      </c>
      <c r="M374" s="301" t="s">
        <v>42</v>
      </c>
      <c r="N374" s="105" t="s">
        <v>148</v>
      </c>
      <c r="O374" s="105" t="s">
        <v>193</v>
      </c>
      <c r="P374" s="105" t="s">
        <v>142</v>
      </c>
      <c r="Q374" s="105" t="s">
        <v>194</v>
      </c>
      <c r="R374" s="112" t="s">
        <v>141</v>
      </c>
      <c r="S374" s="112" t="s">
        <v>672</v>
      </c>
      <c r="T374" s="857" t="s">
        <v>541</v>
      </c>
      <c r="U374" s="857" t="s">
        <v>542</v>
      </c>
      <c r="V374" s="857" t="s">
        <v>543</v>
      </c>
      <c r="W374" s="857" t="s">
        <v>544</v>
      </c>
      <c r="X374" s="857" t="s">
        <v>545</v>
      </c>
      <c r="Y374" s="857" t="s">
        <v>546</v>
      </c>
      <c r="Z374" s="857" t="s">
        <v>547</v>
      </c>
      <c r="AA374" s="857" t="s">
        <v>548</v>
      </c>
      <c r="AB374" s="857" t="s">
        <v>549</v>
      </c>
      <c r="AC374" s="857" t="s">
        <v>550</v>
      </c>
      <c r="AD374" s="857" t="s">
        <v>551</v>
      </c>
      <c r="AE374" s="857" t="s">
        <v>552</v>
      </c>
      <c r="AF374" s="857" t="s">
        <v>553</v>
      </c>
      <c r="AG374" s="857" t="s">
        <v>554</v>
      </c>
      <c r="AH374" s="6"/>
    </row>
    <row r="375" spans="1:34" ht="15.95" customHeight="1" thickTop="1">
      <c r="A375" s="7"/>
      <c r="B375" s="19" t="s">
        <v>145</v>
      </c>
      <c r="C375" s="12"/>
      <c r="D375" s="194"/>
      <c r="E375" s="194"/>
      <c r="F375" s="193"/>
      <c r="G375" s="194"/>
      <c r="H375" s="193"/>
      <c r="I375" s="193"/>
      <c r="J375" s="194"/>
      <c r="K375" s="194"/>
      <c r="L375" s="285" t="s">
        <v>34</v>
      </c>
      <c r="M375" s="193"/>
      <c r="N375" s="47" t="str">
        <f>J$6</f>
        <v>FY2010-11</v>
      </c>
      <c r="O375" s="47" t="s">
        <v>153</v>
      </c>
      <c r="P375" s="47" t="s">
        <v>147</v>
      </c>
      <c r="Q375" s="47" t="s">
        <v>180</v>
      </c>
      <c r="R375" s="194"/>
      <c r="S375" s="194"/>
      <c r="T375" s="194"/>
      <c r="U375" s="194"/>
      <c r="V375" s="195"/>
      <c r="W375" s="195"/>
      <c r="X375" s="195"/>
      <c r="Y375" s="195"/>
      <c r="Z375" s="195"/>
      <c r="AA375" s="195"/>
      <c r="AB375" s="195"/>
      <c r="AC375" s="195"/>
      <c r="AD375" s="195"/>
      <c r="AE375" s="195"/>
      <c r="AF375" s="195"/>
      <c r="AG375" s="195"/>
      <c r="AH375" s="6"/>
    </row>
    <row r="376" spans="1:34" ht="15.95" customHeight="1">
      <c r="A376" s="7"/>
      <c r="B376" s="16">
        <f>DSUM('$REV-DB'!D35:AG67,"AMOUNT",'$REV-DSUM'!D374:AG381)</f>
        <v>4412328.3599999994</v>
      </c>
      <c r="C376" s="12"/>
      <c r="D376" s="194"/>
      <c r="E376" s="194"/>
      <c r="F376" s="193"/>
      <c r="G376" s="194"/>
      <c r="H376" s="193"/>
      <c r="I376" s="193"/>
      <c r="J376" s="194"/>
      <c r="K376" s="194"/>
      <c r="L376" s="285" t="s">
        <v>34</v>
      </c>
      <c r="M376" s="193"/>
      <c r="N376" s="47" t="str">
        <f t="shared" ref="N376:N381" si="36">J$6</f>
        <v>FY2010-11</v>
      </c>
      <c r="O376" s="47" t="s">
        <v>153</v>
      </c>
      <c r="P376" s="47" t="s">
        <v>147</v>
      </c>
      <c r="Q376" s="47" t="s">
        <v>180</v>
      </c>
      <c r="R376" s="194"/>
      <c r="S376" s="194"/>
      <c r="T376" s="194"/>
      <c r="U376" s="194"/>
      <c r="V376" s="195"/>
      <c r="W376" s="195"/>
      <c r="X376" s="195"/>
      <c r="Y376" s="195"/>
      <c r="Z376" s="195"/>
      <c r="AA376" s="195"/>
      <c r="AB376" s="195"/>
      <c r="AC376" s="195"/>
      <c r="AD376" s="195"/>
      <c r="AE376" s="195"/>
      <c r="AF376" s="195"/>
      <c r="AG376" s="195"/>
      <c r="AH376" s="6"/>
    </row>
    <row r="377" spans="1:34" ht="15.95" customHeight="1">
      <c r="A377" s="7"/>
      <c r="B377" s="10"/>
      <c r="C377" s="12"/>
      <c r="D377" s="194"/>
      <c r="E377" s="194"/>
      <c r="F377" s="193"/>
      <c r="G377" s="194"/>
      <c r="H377" s="193"/>
      <c r="I377" s="193"/>
      <c r="J377" s="194"/>
      <c r="K377" s="194"/>
      <c r="L377" s="285" t="s">
        <v>34</v>
      </c>
      <c r="M377" s="193"/>
      <c r="N377" s="47" t="str">
        <f t="shared" si="36"/>
        <v>FY2010-11</v>
      </c>
      <c r="O377" s="47" t="s">
        <v>153</v>
      </c>
      <c r="P377" s="47" t="s">
        <v>147</v>
      </c>
      <c r="Q377" s="47" t="s">
        <v>180</v>
      </c>
      <c r="R377" s="194"/>
      <c r="S377" s="194"/>
      <c r="T377" s="194"/>
      <c r="U377" s="194"/>
      <c r="V377" s="195"/>
      <c r="W377" s="195"/>
      <c r="X377" s="195"/>
      <c r="Y377" s="195"/>
      <c r="Z377" s="195"/>
      <c r="AA377" s="195"/>
      <c r="AB377" s="195"/>
      <c r="AC377" s="195"/>
      <c r="AD377" s="195"/>
      <c r="AE377" s="195"/>
      <c r="AF377" s="195"/>
      <c r="AG377" s="195"/>
    </row>
    <row r="378" spans="1:34" ht="15.95" customHeight="1">
      <c r="A378" s="7"/>
      <c r="B378" s="10"/>
      <c r="C378" s="12"/>
      <c r="D378" s="194"/>
      <c r="E378" s="194"/>
      <c r="F378" s="193"/>
      <c r="G378" s="194"/>
      <c r="H378" s="193"/>
      <c r="I378" s="193"/>
      <c r="J378" s="194"/>
      <c r="K378" s="194"/>
      <c r="L378" s="285" t="s">
        <v>34</v>
      </c>
      <c r="M378" s="193"/>
      <c r="N378" s="47" t="str">
        <f t="shared" si="36"/>
        <v>FY2010-11</v>
      </c>
      <c r="O378" s="47" t="s">
        <v>153</v>
      </c>
      <c r="P378" s="47" t="s">
        <v>147</v>
      </c>
      <c r="Q378" s="47" t="s">
        <v>180</v>
      </c>
      <c r="R378" s="194"/>
      <c r="S378" s="194"/>
      <c r="T378" s="194"/>
      <c r="U378" s="194"/>
      <c r="V378" s="195"/>
      <c r="W378" s="195"/>
      <c r="X378" s="195"/>
      <c r="Y378" s="195"/>
      <c r="Z378" s="195"/>
      <c r="AA378" s="195"/>
      <c r="AB378" s="195"/>
      <c r="AC378" s="195"/>
      <c r="AD378" s="195"/>
      <c r="AE378" s="195"/>
      <c r="AF378" s="195"/>
      <c r="AG378" s="195"/>
    </row>
    <row r="379" spans="1:34" ht="15.95" customHeight="1">
      <c r="A379" s="7"/>
      <c r="B379" s="10"/>
      <c r="C379" s="12"/>
      <c r="D379" s="194"/>
      <c r="E379" s="194"/>
      <c r="F379" s="193"/>
      <c r="G379" s="194"/>
      <c r="H379" s="193"/>
      <c r="I379" s="193"/>
      <c r="J379" s="194"/>
      <c r="K379" s="194"/>
      <c r="L379" s="285" t="s">
        <v>34</v>
      </c>
      <c r="M379" s="193"/>
      <c r="N379" s="47" t="str">
        <f t="shared" si="36"/>
        <v>FY2010-11</v>
      </c>
      <c r="O379" s="47" t="s">
        <v>153</v>
      </c>
      <c r="P379" s="47" t="s">
        <v>147</v>
      </c>
      <c r="Q379" s="47" t="s">
        <v>180</v>
      </c>
      <c r="R379" s="194"/>
      <c r="S379" s="194"/>
      <c r="T379" s="194"/>
      <c r="U379" s="194"/>
      <c r="V379" s="195"/>
      <c r="W379" s="195"/>
      <c r="X379" s="195"/>
      <c r="Y379" s="195"/>
      <c r="Z379" s="195"/>
      <c r="AA379" s="195"/>
      <c r="AB379" s="195"/>
      <c r="AC379" s="195"/>
      <c r="AD379" s="195"/>
      <c r="AE379" s="195"/>
      <c r="AF379" s="195"/>
      <c r="AG379" s="195"/>
    </row>
    <row r="380" spans="1:34" ht="15.95" customHeight="1">
      <c r="A380" s="7"/>
      <c r="B380" s="10"/>
      <c r="C380" s="12"/>
      <c r="D380" s="194"/>
      <c r="E380" s="194"/>
      <c r="F380" s="193"/>
      <c r="G380" s="194"/>
      <c r="H380" s="193"/>
      <c r="I380" s="193"/>
      <c r="J380" s="194"/>
      <c r="K380" s="194"/>
      <c r="L380" s="285" t="s">
        <v>34</v>
      </c>
      <c r="M380" s="193"/>
      <c r="N380" s="47" t="str">
        <f t="shared" si="36"/>
        <v>FY2010-11</v>
      </c>
      <c r="O380" s="47" t="s">
        <v>153</v>
      </c>
      <c r="P380" s="47" t="s">
        <v>147</v>
      </c>
      <c r="Q380" s="47" t="s">
        <v>180</v>
      </c>
      <c r="R380" s="194"/>
      <c r="S380" s="194"/>
      <c r="T380" s="194"/>
      <c r="U380" s="194"/>
      <c r="V380" s="195"/>
      <c r="W380" s="195"/>
      <c r="X380" s="195"/>
      <c r="Y380" s="195"/>
      <c r="Z380" s="195"/>
      <c r="AA380" s="195"/>
      <c r="AB380" s="195"/>
      <c r="AC380" s="195"/>
      <c r="AD380" s="195"/>
      <c r="AE380" s="195"/>
      <c r="AF380" s="195"/>
      <c r="AG380" s="195"/>
    </row>
    <row r="381" spans="1:34" ht="15.95" customHeight="1">
      <c r="A381" s="7"/>
      <c r="B381" s="10"/>
      <c r="C381" s="12"/>
      <c r="D381" s="194"/>
      <c r="E381" s="194"/>
      <c r="F381" s="193"/>
      <c r="G381" s="194"/>
      <c r="H381" s="193"/>
      <c r="I381" s="193"/>
      <c r="J381" s="194"/>
      <c r="K381" s="194"/>
      <c r="L381" s="285" t="s">
        <v>34</v>
      </c>
      <c r="M381" s="193"/>
      <c r="N381" s="47" t="str">
        <f t="shared" si="36"/>
        <v>FY2010-11</v>
      </c>
      <c r="O381" s="47" t="s">
        <v>153</v>
      </c>
      <c r="P381" s="47" t="s">
        <v>147</v>
      </c>
      <c r="Q381" s="47" t="s">
        <v>180</v>
      </c>
      <c r="R381" s="194"/>
      <c r="S381" s="194"/>
      <c r="T381" s="194"/>
      <c r="U381" s="194"/>
      <c r="V381" s="195"/>
      <c r="W381" s="195"/>
      <c r="X381" s="195"/>
      <c r="Y381" s="195"/>
      <c r="Z381" s="195"/>
      <c r="AA381" s="195"/>
      <c r="AB381" s="195"/>
      <c r="AC381" s="195"/>
      <c r="AD381" s="195"/>
      <c r="AE381" s="195"/>
      <c r="AF381" s="195"/>
      <c r="AG381" s="195"/>
    </row>
    <row r="382" spans="1:34" ht="15.95" customHeight="1">
      <c r="A382" s="29"/>
      <c r="B382" s="30"/>
      <c r="C382" s="30"/>
      <c r="D382" s="31"/>
      <c r="E382" s="31"/>
      <c r="F382" s="32"/>
      <c r="G382" s="31"/>
      <c r="H382" s="32"/>
      <c r="I382" s="32"/>
      <c r="J382" s="31"/>
      <c r="K382" s="31"/>
      <c r="L382" s="284"/>
      <c r="M382" s="32"/>
      <c r="N382" s="32"/>
      <c r="O382" s="31"/>
      <c r="P382" s="32"/>
      <c r="Q382" s="32"/>
      <c r="R382" s="31"/>
      <c r="S382" s="31"/>
      <c r="T382" s="31"/>
      <c r="U382" s="31"/>
      <c r="V382" s="29"/>
      <c r="W382" s="29"/>
      <c r="X382" s="29"/>
      <c r="Y382" s="29"/>
      <c r="Z382" s="29"/>
      <c r="AA382" s="29"/>
      <c r="AB382" s="29"/>
      <c r="AC382" s="29"/>
      <c r="AD382" s="29"/>
      <c r="AE382" s="29"/>
      <c r="AF382" s="29"/>
      <c r="AG382" s="29"/>
    </row>
    <row r="383" spans="1:34" ht="15.95" customHeight="1" thickBot="1">
      <c r="A383" s="7"/>
      <c r="B383" s="19" t="str">
        <f>"FA2 = "&amp;'FIG3'!$W$53&amp;" "&amp;'FIG3'!$X$53</f>
        <v>FA2 = Atlanta Public Schools</v>
      </c>
      <c r="C383" s="7"/>
      <c r="D383" s="8"/>
      <c r="E383" s="8"/>
      <c r="F383" s="9"/>
      <c r="G383" s="8"/>
      <c r="H383" s="9"/>
      <c r="I383" s="9"/>
      <c r="J383" s="8"/>
      <c r="K383" s="8"/>
      <c r="L383" s="280"/>
      <c r="M383" s="9"/>
      <c r="N383" s="9"/>
      <c r="O383" s="8"/>
      <c r="P383" s="9"/>
      <c r="Q383" s="9"/>
      <c r="R383" s="8"/>
      <c r="S383" s="866"/>
      <c r="T383" s="867" t="str">
        <f>'$REV-DB'!$T$34</f>
        <v>UD1</v>
      </c>
      <c r="U383" s="867" t="str">
        <f>'$REV-DB'!$U$34</f>
        <v>UD2</v>
      </c>
      <c r="V383" s="867" t="str">
        <f>'$REV-DB'!$V$34</f>
        <v>UD3</v>
      </c>
      <c r="W383" s="867" t="str">
        <f>'$REV-DB'!$W$34</f>
        <v>UD4</v>
      </c>
      <c r="X383" s="867" t="str">
        <f>'$REV-DB'!$X$34</f>
        <v>UD5</v>
      </c>
      <c r="Y383" s="867" t="str">
        <f>'$REV-DB'!$Y$34</f>
        <v>UD6</v>
      </c>
      <c r="Z383" s="867" t="str">
        <f>'$REV-DB'!$Z$34</f>
        <v>UD7</v>
      </c>
      <c r="AA383" s="867" t="str">
        <f>'$REV-DB'!$AA$34</f>
        <v>UD8</v>
      </c>
      <c r="AB383" s="867" t="str">
        <f>'$REV-DB'!$AB$34</f>
        <v>UD9</v>
      </c>
      <c r="AC383" s="867" t="str">
        <f>'$REV-DB'!$AC$34</f>
        <v>UD10</v>
      </c>
      <c r="AD383" s="867" t="str">
        <f>'$REV-DB'!$AD$34</f>
        <v>UD11</v>
      </c>
      <c r="AE383" s="867" t="str">
        <f>'$REV-DB'!$AE$34</f>
        <v>UD12</v>
      </c>
      <c r="AF383" s="867" t="str">
        <f>'$REV-DB'!$AF$34</f>
        <v>UD13</v>
      </c>
      <c r="AG383" s="867" t="str">
        <f>'$REV-DB'!$AG$34</f>
        <v>UD14</v>
      </c>
    </row>
    <row r="384" spans="1:34" ht="15.95" customHeight="1" thickTop="1" thickBot="1">
      <c r="A384" s="7"/>
      <c r="B384" s="20" t="s">
        <v>175</v>
      </c>
      <c r="C384" s="15"/>
      <c r="D384" s="105" t="s">
        <v>186</v>
      </c>
      <c r="E384" s="105" t="s">
        <v>187</v>
      </c>
      <c r="F384" s="105" t="s">
        <v>188</v>
      </c>
      <c r="G384" s="105" t="s">
        <v>189</v>
      </c>
      <c r="H384" s="301" t="s">
        <v>11</v>
      </c>
      <c r="I384" s="301" t="s">
        <v>190</v>
      </c>
      <c r="J384" s="301" t="s">
        <v>191</v>
      </c>
      <c r="K384" s="301" t="s">
        <v>192</v>
      </c>
      <c r="L384" s="301" t="s">
        <v>203</v>
      </c>
      <c r="M384" s="301" t="s">
        <v>42</v>
      </c>
      <c r="N384" s="105" t="s">
        <v>148</v>
      </c>
      <c r="O384" s="105" t="s">
        <v>193</v>
      </c>
      <c r="P384" s="105" t="s">
        <v>142</v>
      </c>
      <c r="Q384" s="105" t="s">
        <v>194</v>
      </c>
      <c r="R384" s="112" t="s">
        <v>141</v>
      </c>
      <c r="S384" s="112" t="s">
        <v>672</v>
      </c>
      <c r="T384" s="857" t="s">
        <v>541</v>
      </c>
      <c r="U384" s="857" t="s">
        <v>542</v>
      </c>
      <c r="V384" s="857" t="s">
        <v>543</v>
      </c>
      <c r="W384" s="857" t="s">
        <v>544</v>
      </c>
      <c r="X384" s="857" t="s">
        <v>545</v>
      </c>
      <c r="Y384" s="857" t="s">
        <v>546</v>
      </c>
      <c r="Z384" s="857" t="s">
        <v>547</v>
      </c>
      <c r="AA384" s="857" t="s">
        <v>548</v>
      </c>
      <c r="AB384" s="857" t="s">
        <v>549</v>
      </c>
      <c r="AC384" s="857" t="s">
        <v>550</v>
      </c>
      <c r="AD384" s="857" t="s">
        <v>551</v>
      </c>
      <c r="AE384" s="857" t="s">
        <v>552</v>
      </c>
      <c r="AF384" s="857" t="s">
        <v>553</v>
      </c>
      <c r="AG384" s="857" t="s">
        <v>554</v>
      </c>
      <c r="AH384" s="6"/>
    </row>
    <row r="385" spans="1:34" ht="15.95" customHeight="1" thickTop="1">
      <c r="A385" s="7"/>
      <c r="B385" s="19" t="s">
        <v>144</v>
      </c>
      <c r="C385" s="12"/>
      <c r="D385" s="194"/>
      <c r="E385" s="194"/>
      <c r="F385" s="193"/>
      <c r="G385" s="194"/>
      <c r="H385" s="193"/>
      <c r="I385" s="193"/>
      <c r="J385" s="194"/>
      <c r="K385" s="194"/>
      <c r="L385" s="285" t="s">
        <v>34</v>
      </c>
      <c r="M385" s="193"/>
      <c r="N385" s="47" t="str">
        <f>J$6</f>
        <v>FY2010-11</v>
      </c>
      <c r="O385" s="47" t="s">
        <v>153</v>
      </c>
      <c r="P385" s="47" t="s">
        <v>147</v>
      </c>
      <c r="Q385" s="47" t="s">
        <v>139</v>
      </c>
      <c r="R385" s="194"/>
      <c r="S385" s="194"/>
      <c r="T385" s="194"/>
      <c r="U385" s="194"/>
      <c r="V385" s="195"/>
      <c r="W385" s="195"/>
      <c r="X385" s="195"/>
      <c r="Y385" s="195"/>
      <c r="Z385" s="195"/>
      <c r="AA385" s="195"/>
      <c r="AB385" s="195"/>
      <c r="AC385" s="195"/>
      <c r="AD385" s="195"/>
      <c r="AE385" s="195"/>
      <c r="AF385" s="195"/>
      <c r="AG385" s="195"/>
      <c r="AH385" s="6"/>
    </row>
    <row r="386" spans="1:34" ht="15.95" customHeight="1">
      <c r="A386" s="7"/>
      <c r="B386" s="16">
        <f>DSUM('$REV-DB'!D35:AG67,"AMOUNT",'$REV-DSUM'!D384:AG391)</f>
        <v>23160878</v>
      </c>
      <c r="C386" s="12"/>
      <c r="D386" s="194"/>
      <c r="E386" s="194"/>
      <c r="F386" s="193"/>
      <c r="G386" s="194"/>
      <c r="H386" s="193"/>
      <c r="I386" s="193"/>
      <c r="J386" s="194"/>
      <c r="K386" s="194"/>
      <c r="L386" s="285" t="s">
        <v>34</v>
      </c>
      <c r="M386" s="193"/>
      <c r="N386" s="47" t="str">
        <f t="shared" ref="N386:N391" si="37">J$6</f>
        <v>FY2010-11</v>
      </c>
      <c r="O386" s="47" t="s">
        <v>153</v>
      </c>
      <c r="P386" s="47" t="s">
        <v>147</v>
      </c>
      <c r="Q386" s="47" t="s">
        <v>139</v>
      </c>
      <c r="R386" s="194"/>
      <c r="S386" s="194"/>
      <c r="T386" s="194"/>
      <c r="U386" s="194"/>
      <c r="V386" s="195"/>
      <c r="W386" s="195"/>
      <c r="X386" s="195"/>
      <c r="Y386" s="195"/>
      <c r="Z386" s="195"/>
      <c r="AA386" s="195"/>
      <c r="AB386" s="195"/>
      <c r="AC386" s="195"/>
      <c r="AD386" s="195"/>
      <c r="AE386" s="195"/>
      <c r="AF386" s="195"/>
      <c r="AG386" s="195"/>
      <c r="AH386" s="6"/>
    </row>
    <row r="387" spans="1:34" ht="15.95" customHeight="1">
      <c r="A387" s="7"/>
      <c r="B387" s="10"/>
      <c r="C387" s="12"/>
      <c r="D387" s="194"/>
      <c r="E387" s="194"/>
      <c r="F387" s="193"/>
      <c r="G387" s="194"/>
      <c r="H387" s="193"/>
      <c r="I387" s="193"/>
      <c r="J387" s="194"/>
      <c r="K387" s="194"/>
      <c r="L387" s="285" t="s">
        <v>34</v>
      </c>
      <c r="M387" s="193"/>
      <c r="N387" s="47" t="str">
        <f t="shared" si="37"/>
        <v>FY2010-11</v>
      </c>
      <c r="O387" s="47" t="s">
        <v>153</v>
      </c>
      <c r="P387" s="47" t="s">
        <v>147</v>
      </c>
      <c r="Q387" s="47" t="s">
        <v>139</v>
      </c>
      <c r="R387" s="194"/>
      <c r="S387" s="194"/>
      <c r="T387" s="194"/>
      <c r="U387" s="194"/>
      <c r="V387" s="195"/>
      <c r="W387" s="195"/>
      <c r="X387" s="195"/>
      <c r="Y387" s="195"/>
      <c r="Z387" s="195"/>
      <c r="AA387" s="195"/>
      <c r="AB387" s="195"/>
      <c r="AC387" s="195"/>
      <c r="AD387" s="195"/>
      <c r="AE387" s="195"/>
      <c r="AF387" s="195"/>
      <c r="AG387" s="195"/>
    </row>
    <row r="388" spans="1:34" ht="15.95" customHeight="1">
      <c r="A388" s="7"/>
      <c r="B388" s="10"/>
      <c r="C388" s="12"/>
      <c r="D388" s="194"/>
      <c r="E388" s="194"/>
      <c r="F388" s="193"/>
      <c r="G388" s="194"/>
      <c r="H388" s="193"/>
      <c r="I388" s="193"/>
      <c r="J388" s="194"/>
      <c r="K388" s="194"/>
      <c r="L388" s="285" t="s">
        <v>34</v>
      </c>
      <c r="M388" s="193"/>
      <c r="N388" s="47" t="str">
        <f t="shared" si="37"/>
        <v>FY2010-11</v>
      </c>
      <c r="O388" s="47" t="s">
        <v>153</v>
      </c>
      <c r="P388" s="47" t="s">
        <v>147</v>
      </c>
      <c r="Q388" s="47" t="s">
        <v>139</v>
      </c>
      <c r="R388" s="194"/>
      <c r="S388" s="194"/>
      <c r="T388" s="194"/>
      <c r="U388" s="194"/>
      <c r="V388" s="195"/>
      <c r="W388" s="195"/>
      <c r="X388" s="195"/>
      <c r="Y388" s="195"/>
      <c r="Z388" s="195"/>
      <c r="AA388" s="195"/>
      <c r="AB388" s="195"/>
      <c r="AC388" s="195"/>
      <c r="AD388" s="195"/>
      <c r="AE388" s="195"/>
      <c r="AF388" s="195"/>
      <c r="AG388" s="195"/>
    </row>
    <row r="389" spans="1:34" ht="15.95" customHeight="1">
      <c r="A389" s="7"/>
      <c r="B389" s="10"/>
      <c r="C389" s="12"/>
      <c r="D389" s="194"/>
      <c r="E389" s="194"/>
      <c r="F389" s="193"/>
      <c r="G389" s="194"/>
      <c r="H389" s="193"/>
      <c r="I389" s="193"/>
      <c r="J389" s="194"/>
      <c r="K389" s="194"/>
      <c r="L389" s="285" t="s">
        <v>34</v>
      </c>
      <c r="M389" s="193"/>
      <c r="N389" s="47" t="str">
        <f t="shared" si="37"/>
        <v>FY2010-11</v>
      </c>
      <c r="O389" s="47" t="s">
        <v>153</v>
      </c>
      <c r="P389" s="47" t="s">
        <v>147</v>
      </c>
      <c r="Q389" s="47" t="s">
        <v>139</v>
      </c>
      <c r="R389" s="194"/>
      <c r="S389" s="194"/>
      <c r="T389" s="194"/>
      <c r="U389" s="194"/>
      <c r="V389" s="195"/>
      <c r="W389" s="195"/>
      <c r="X389" s="195"/>
      <c r="Y389" s="195"/>
      <c r="Z389" s="195"/>
      <c r="AA389" s="195"/>
      <c r="AB389" s="195"/>
      <c r="AC389" s="195"/>
      <c r="AD389" s="195"/>
      <c r="AE389" s="195"/>
      <c r="AF389" s="195"/>
      <c r="AG389" s="195"/>
    </row>
    <row r="390" spans="1:34" ht="15.95" customHeight="1">
      <c r="A390" s="7"/>
      <c r="B390" s="10"/>
      <c r="C390" s="12"/>
      <c r="D390" s="194"/>
      <c r="E390" s="194"/>
      <c r="F390" s="193"/>
      <c r="G390" s="194"/>
      <c r="H390" s="193"/>
      <c r="I390" s="193"/>
      <c r="J390" s="194"/>
      <c r="K390" s="194"/>
      <c r="L390" s="285" t="s">
        <v>34</v>
      </c>
      <c r="M390" s="193"/>
      <c r="N390" s="47" t="str">
        <f t="shared" si="37"/>
        <v>FY2010-11</v>
      </c>
      <c r="O390" s="47" t="s">
        <v>153</v>
      </c>
      <c r="P390" s="47" t="s">
        <v>147</v>
      </c>
      <c r="Q390" s="47" t="s">
        <v>139</v>
      </c>
      <c r="R390" s="194"/>
      <c r="S390" s="194"/>
      <c r="T390" s="194"/>
      <c r="U390" s="194"/>
      <c r="V390" s="195"/>
      <c r="W390" s="195"/>
      <c r="X390" s="195"/>
      <c r="Y390" s="195"/>
      <c r="Z390" s="195"/>
      <c r="AA390" s="195"/>
      <c r="AB390" s="195"/>
      <c r="AC390" s="195"/>
      <c r="AD390" s="195"/>
      <c r="AE390" s="195"/>
      <c r="AF390" s="195"/>
      <c r="AG390" s="195"/>
    </row>
    <row r="391" spans="1:34" ht="15.95" customHeight="1">
      <c r="A391" s="7"/>
      <c r="B391" s="10"/>
      <c r="C391" s="12"/>
      <c r="D391" s="194"/>
      <c r="E391" s="194"/>
      <c r="F391" s="193"/>
      <c r="G391" s="194"/>
      <c r="H391" s="193"/>
      <c r="I391" s="193"/>
      <c r="J391" s="194"/>
      <c r="K391" s="194"/>
      <c r="L391" s="285" t="s">
        <v>34</v>
      </c>
      <c r="M391" s="193"/>
      <c r="N391" s="47" t="str">
        <f t="shared" si="37"/>
        <v>FY2010-11</v>
      </c>
      <c r="O391" s="47" t="s">
        <v>153</v>
      </c>
      <c r="P391" s="47" t="s">
        <v>147</v>
      </c>
      <c r="Q391" s="47" t="s">
        <v>139</v>
      </c>
      <c r="R391" s="194"/>
      <c r="S391" s="194"/>
      <c r="T391" s="194"/>
      <c r="U391" s="194"/>
      <c r="V391" s="195"/>
      <c r="W391" s="195"/>
      <c r="X391" s="195"/>
      <c r="Y391" s="195"/>
      <c r="Z391" s="195"/>
      <c r="AA391" s="195"/>
      <c r="AB391" s="195"/>
      <c r="AC391" s="195"/>
      <c r="AD391" s="195"/>
      <c r="AE391" s="195"/>
      <c r="AF391" s="195"/>
      <c r="AG391" s="195"/>
    </row>
    <row r="392" spans="1:34" ht="15.95" customHeight="1">
      <c r="A392" s="29"/>
      <c r="B392" s="30"/>
      <c r="C392" s="30"/>
      <c r="D392" s="31"/>
      <c r="E392" s="31"/>
      <c r="F392" s="32"/>
      <c r="G392" s="31"/>
      <c r="H392" s="32"/>
      <c r="I392" s="32"/>
      <c r="J392" s="31"/>
      <c r="K392" s="31"/>
      <c r="L392" s="284"/>
      <c r="M392" s="32"/>
      <c r="N392" s="32"/>
      <c r="O392" s="31"/>
      <c r="P392" s="32"/>
      <c r="Q392" s="32"/>
      <c r="R392" s="31"/>
      <c r="S392" s="31"/>
      <c r="T392" s="31"/>
      <c r="U392" s="31"/>
      <c r="V392" s="29"/>
      <c r="W392" s="29"/>
      <c r="X392" s="29"/>
      <c r="Y392" s="29"/>
      <c r="Z392" s="29"/>
      <c r="AA392" s="29"/>
      <c r="AB392" s="29"/>
      <c r="AC392" s="29"/>
      <c r="AD392" s="29"/>
      <c r="AE392" s="29"/>
      <c r="AF392" s="29"/>
      <c r="AG392" s="29"/>
    </row>
    <row r="393" spans="1:34" ht="15.95" customHeight="1" thickBot="1">
      <c r="A393" s="7"/>
      <c r="B393" s="19" t="str">
        <f>"FA2 = "&amp;'FIG3'!$W$53&amp;" "&amp;'FIG3'!$X$53</f>
        <v>FA2 = Atlanta Public Schools</v>
      </c>
      <c r="C393" s="7"/>
      <c r="D393" s="8"/>
      <c r="E393" s="8"/>
      <c r="F393" s="9"/>
      <c r="G393" s="8"/>
      <c r="H393" s="9"/>
      <c r="I393" s="9"/>
      <c r="J393" s="8"/>
      <c r="K393" s="8"/>
      <c r="L393" s="280"/>
      <c r="M393" s="9"/>
      <c r="N393" s="9"/>
      <c r="O393" s="8"/>
      <c r="P393" s="9"/>
      <c r="Q393" s="9"/>
      <c r="R393" s="8"/>
      <c r="S393" s="866"/>
      <c r="T393" s="867" t="str">
        <f>'$REV-DB'!$T$34</f>
        <v>UD1</v>
      </c>
      <c r="U393" s="867" t="str">
        <f>'$REV-DB'!$U$34</f>
        <v>UD2</v>
      </c>
      <c r="V393" s="867" t="str">
        <f>'$REV-DB'!$V$34</f>
        <v>UD3</v>
      </c>
      <c r="W393" s="867" t="str">
        <f>'$REV-DB'!$W$34</f>
        <v>UD4</v>
      </c>
      <c r="X393" s="867" t="str">
        <f>'$REV-DB'!$X$34</f>
        <v>UD5</v>
      </c>
      <c r="Y393" s="867" t="str">
        <f>'$REV-DB'!$Y$34</f>
        <v>UD6</v>
      </c>
      <c r="Z393" s="867" t="str">
        <f>'$REV-DB'!$Z$34</f>
        <v>UD7</v>
      </c>
      <c r="AA393" s="867" t="str">
        <f>'$REV-DB'!$AA$34</f>
        <v>UD8</v>
      </c>
      <c r="AB393" s="867" t="str">
        <f>'$REV-DB'!$AB$34</f>
        <v>UD9</v>
      </c>
      <c r="AC393" s="867" t="str">
        <f>'$REV-DB'!$AC$34</f>
        <v>UD10</v>
      </c>
      <c r="AD393" s="867" t="str">
        <f>'$REV-DB'!$AD$34</f>
        <v>UD11</v>
      </c>
      <c r="AE393" s="867" t="str">
        <f>'$REV-DB'!$AE$34</f>
        <v>UD12</v>
      </c>
      <c r="AF393" s="867" t="str">
        <f>'$REV-DB'!$AF$34</f>
        <v>UD13</v>
      </c>
      <c r="AG393" s="867" t="str">
        <f>'$REV-DB'!$AG$34</f>
        <v>UD14</v>
      </c>
    </row>
    <row r="394" spans="1:34" ht="15.95" customHeight="1" thickTop="1" thickBot="1">
      <c r="A394" s="7"/>
      <c r="B394" s="20" t="s">
        <v>175</v>
      </c>
      <c r="C394" s="15"/>
      <c r="D394" s="105" t="s">
        <v>186</v>
      </c>
      <c r="E394" s="105" t="s">
        <v>187</v>
      </c>
      <c r="F394" s="105" t="s">
        <v>188</v>
      </c>
      <c r="G394" s="105" t="s">
        <v>189</v>
      </c>
      <c r="H394" s="301" t="s">
        <v>11</v>
      </c>
      <c r="I394" s="301" t="s">
        <v>190</v>
      </c>
      <c r="J394" s="301" t="s">
        <v>191</v>
      </c>
      <c r="K394" s="301" t="s">
        <v>192</v>
      </c>
      <c r="L394" s="301" t="s">
        <v>203</v>
      </c>
      <c r="M394" s="301" t="s">
        <v>42</v>
      </c>
      <c r="N394" s="105" t="s">
        <v>148</v>
      </c>
      <c r="O394" s="105" t="s">
        <v>193</v>
      </c>
      <c r="P394" s="105" t="s">
        <v>142</v>
      </c>
      <c r="Q394" s="105" t="s">
        <v>194</v>
      </c>
      <c r="R394" s="112" t="s">
        <v>141</v>
      </c>
      <c r="S394" s="112" t="s">
        <v>672</v>
      </c>
      <c r="T394" s="857" t="s">
        <v>541</v>
      </c>
      <c r="U394" s="857" t="s">
        <v>542</v>
      </c>
      <c r="V394" s="857" t="s">
        <v>543</v>
      </c>
      <c r="W394" s="857" t="s">
        <v>544</v>
      </c>
      <c r="X394" s="857" t="s">
        <v>545</v>
      </c>
      <c r="Y394" s="857" t="s">
        <v>546</v>
      </c>
      <c r="Z394" s="857" t="s">
        <v>547</v>
      </c>
      <c r="AA394" s="857" t="s">
        <v>548</v>
      </c>
      <c r="AB394" s="857" t="s">
        <v>549</v>
      </c>
      <c r="AC394" s="857" t="s">
        <v>550</v>
      </c>
      <c r="AD394" s="857" t="s">
        <v>551</v>
      </c>
      <c r="AE394" s="857" t="s">
        <v>552</v>
      </c>
      <c r="AF394" s="857" t="s">
        <v>553</v>
      </c>
      <c r="AG394" s="857" t="s">
        <v>554</v>
      </c>
      <c r="AH394" s="6"/>
    </row>
    <row r="395" spans="1:34" ht="15.95" customHeight="1" thickTop="1">
      <c r="A395" s="7"/>
      <c r="B395" s="19" t="s">
        <v>143</v>
      </c>
      <c r="C395" s="12"/>
      <c r="D395" s="194"/>
      <c r="E395" s="194"/>
      <c r="F395" s="193"/>
      <c r="G395" s="194"/>
      <c r="H395" s="193"/>
      <c r="I395" s="193"/>
      <c r="J395" s="194"/>
      <c r="K395" s="194"/>
      <c r="L395" s="285" t="s">
        <v>34</v>
      </c>
      <c r="M395" s="193"/>
      <c r="N395" s="47" t="str">
        <f>J$6</f>
        <v>FY2010-11</v>
      </c>
      <c r="O395" s="47" t="s">
        <v>153</v>
      </c>
      <c r="P395" s="47" t="s">
        <v>147</v>
      </c>
      <c r="Q395" s="47" t="s">
        <v>179</v>
      </c>
      <c r="R395" s="194"/>
      <c r="S395" s="194"/>
      <c r="T395" s="194"/>
      <c r="U395" s="194"/>
      <c r="V395" s="195"/>
      <c r="W395" s="195"/>
      <c r="X395" s="195"/>
      <c r="Y395" s="195"/>
      <c r="Z395" s="195"/>
      <c r="AA395" s="195"/>
      <c r="AB395" s="195"/>
      <c r="AC395" s="195"/>
      <c r="AD395" s="195"/>
      <c r="AE395" s="195"/>
      <c r="AF395" s="195"/>
      <c r="AG395" s="195"/>
      <c r="AH395" s="6"/>
    </row>
    <row r="396" spans="1:34" ht="15.95" customHeight="1">
      <c r="A396" s="7"/>
      <c r="B396" s="16">
        <f>DSUM('$REV-DB'!D35:AG67,"AMOUNT",'$REV-DSUM'!D394:AG401)</f>
        <v>21032144.640000001</v>
      </c>
      <c r="C396" s="12"/>
      <c r="D396" s="194"/>
      <c r="E396" s="194"/>
      <c r="F396" s="193"/>
      <c r="G396" s="194"/>
      <c r="H396" s="193"/>
      <c r="I396" s="193"/>
      <c r="J396" s="194"/>
      <c r="K396" s="194"/>
      <c r="L396" s="285" t="s">
        <v>34</v>
      </c>
      <c r="M396" s="193"/>
      <c r="N396" s="47" t="str">
        <f t="shared" ref="N396:N401" si="38">J$6</f>
        <v>FY2010-11</v>
      </c>
      <c r="O396" s="47" t="s">
        <v>153</v>
      </c>
      <c r="P396" s="47" t="s">
        <v>147</v>
      </c>
      <c r="Q396" s="47" t="s">
        <v>179</v>
      </c>
      <c r="R396" s="194"/>
      <c r="S396" s="194"/>
      <c r="T396" s="194"/>
      <c r="U396" s="194"/>
      <c r="V396" s="195"/>
      <c r="W396" s="195"/>
      <c r="X396" s="195"/>
      <c r="Y396" s="195"/>
      <c r="Z396" s="195"/>
      <c r="AA396" s="195"/>
      <c r="AB396" s="195"/>
      <c r="AC396" s="195"/>
      <c r="AD396" s="195"/>
      <c r="AE396" s="195"/>
      <c r="AF396" s="195"/>
      <c r="AG396" s="195"/>
      <c r="AH396" s="6"/>
    </row>
    <row r="397" spans="1:34" ht="15.95" customHeight="1">
      <c r="A397" s="7"/>
      <c r="B397" s="10"/>
      <c r="C397" s="12"/>
      <c r="D397" s="194"/>
      <c r="E397" s="194"/>
      <c r="F397" s="193"/>
      <c r="G397" s="194"/>
      <c r="H397" s="193"/>
      <c r="I397" s="193"/>
      <c r="J397" s="194"/>
      <c r="K397" s="194"/>
      <c r="L397" s="285" t="s">
        <v>34</v>
      </c>
      <c r="M397" s="193"/>
      <c r="N397" s="47" t="str">
        <f t="shared" si="38"/>
        <v>FY2010-11</v>
      </c>
      <c r="O397" s="47" t="s">
        <v>153</v>
      </c>
      <c r="P397" s="47" t="s">
        <v>147</v>
      </c>
      <c r="Q397" s="47" t="s">
        <v>179</v>
      </c>
      <c r="R397" s="194"/>
      <c r="S397" s="194"/>
      <c r="T397" s="194"/>
      <c r="U397" s="194"/>
      <c r="V397" s="195"/>
      <c r="W397" s="195"/>
      <c r="X397" s="195"/>
      <c r="Y397" s="195"/>
      <c r="Z397" s="195"/>
      <c r="AA397" s="195"/>
      <c r="AB397" s="195"/>
      <c r="AC397" s="195"/>
      <c r="AD397" s="195"/>
      <c r="AE397" s="195"/>
      <c r="AF397" s="195"/>
      <c r="AG397" s="195"/>
    </row>
    <row r="398" spans="1:34" ht="15.95" customHeight="1">
      <c r="A398" s="7"/>
      <c r="B398" s="10"/>
      <c r="C398" s="12"/>
      <c r="D398" s="194"/>
      <c r="E398" s="194"/>
      <c r="F398" s="193"/>
      <c r="G398" s="194"/>
      <c r="H398" s="193"/>
      <c r="I398" s="193"/>
      <c r="J398" s="194"/>
      <c r="K398" s="194"/>
      <c r="L398" s="285" t="s">
        <v>34</v>
      </c>
      <c r="M398" s="193"/>
      <c r="N398" s="47" t="str">
        <f t="shared" si="38"/>
        <v>FY2010-11</v>
      </c>
      <c r="O398" s="47" t="s">
        <v>153</v>
      </c>
      <c r="P398" s="47" t="s">
        <v>147</v>
      </c>
      <c r="Q398" s="47" t="s">
        <v>179</v>
      </c>
      <c r="R398" s="194"/>
      <c r="S398" s="194"/>
      <c r="T398" s="194"/>
      <c r="U398" s="194"/>
      <c r="V398" s="195"/>
      <c r="W398" s="195"/>
      <c r="X398" s="195"/>
      <c r="Y398" s="195"/>
      <c r="Z398" s="195"/>
      <c r="AA398" s="195"/>
      <c r="AB398" s="195"/>
      <c r="AC398" s="195"/>
      <c r="AD398" s="195"/>
      <c r="AE398" s="195"/>
      <c r="AF398" s="195"/>
      <c r="AG398" s="195"/>
    </row>
    <row r="399" spans="1:34" ht="15.95" customHeight="1">
      <c r="A399" s="7"/>
      <c r="B399" s="10"/>
      <c r="C399" s="12"/>
      <c r="D399" s="194"/>
      <c r="E399" s="194"/>
      <c r="F399" s="193"/>
      <c r="G399" s="194"/>
      <c r="H399" s="193"/>
      <c r="I399" s="193"/>
      <c r="J399" s="194"/>
      <c r="K399" s="194"/>
      <c r="L399" s="285" t="s">
        <v>34</v>
      </c>
      <c r="M399" s="193"/>
      <c r="N399" s="47" t="str">
        <f t="shared" si="38"/>
        <v>FY2010-11</v>
      </c>
      <c r="O399" s="47" t="s">
        <v>153</v>
      </c>
      <c r="P399" s="47" t="s">
        <v>147</v>
      </c>
      <c r="Q399" s="47" t="s">
        <v>179</v>
      </c>
      <c r="R399" s="194"/>
      <c r="S399" s="194"/>
      <c r="T399" s="194"/>
      <c r="U399" s="194"/>
      <c r="V399" s="195"/>
      <c r="W399" s="195"/>
      <c r="X399" s="195"/>
      <c r="Y399" s="195"/>
      <c r="Z399" s="195"/>
      <c r="AA399" s="195"/>
      <c r="AB399" s="195"/>
      <c r="AC399" s="195"/>
      <c r="AD399" s="195"/>
      <c r="AE399" s="195"/>
      <c r="AF399" s="195"/>
      <c r="AG399" s="195"/>
    </row>
    <row r="400" spans="1:34" ht="15.95" customHeight="1">
      <c r="A400" s="7"/>
      <c r="B400" s="10"/>
      <c r="C400" s="12"/>
      <c r="D400" s="194"/>
      <c r="E400" s="194"/>
      <c r="F400" s="193"/>
      <c r="G400" s="194"/>
      <c r="H400" s="193"/>
      <c r="I400" s="193"/>
      <c r="J400" s="194"/>
      <c r="K400" s="194"/>
      <c r="L400" s="285" t="s">
        <v>34</v>
      </c>
      <c r="M400" s="193"/>
      <c r="N400" s="47" t="str">
        <f t="shared" si="38"/>
        <v>FY2010-11</v>
      </c>
      <c r="O400" s="47" t="s">
        <v>153</v>
      </c>
      <c r="P400" s="47" t="s">
        <v>147</v>
      </c>
      <c r="Q400" s="47" t="s">
        <v>179</v>
      </c>
      <c r="R400" s="194"/>
      <c r="S400" s="194"/>
      <c r="T400" s="194"/>
      <c r="U400" s="194"/>
      <c r="V400" s="195"/>
      <c r="W400" s="195"/>
      <c r="X400" s="195"/>
      <c r="Y400" s="195"/>
      <c r="Z400" s="195"/>
      <c r="AA400" s="195"/>
      <c r="AB400" s="195"/>
      <c r="AC400" s="195"/>
      <c r="AD400" s="195"/>
      <c r="AE400" s="195"/>
      <c r="AF400" s="195"/>
      <c r="AG400" s="195"/>
    </row>
    <row r="401" spans="1:34" ht="15.95" customHeight="1">
      <c r="A401" s="7"/>
      <c r="B401" s="10"/>
      <c r="C401" s="12"/>
      <c r="D401" s="194"/>
      <c r="E401" s="194"/>
      <c r="F401" s="193"/>
      <c r="G401" s="194"/>
      <c r="H401" s="193"/>
      <c r="I401" s="193"/>
      <c r="J401" s="194"/>
      <c r="K401" s="194"/>
      <c r="L401" s="285" t="s">
        <v>34</v>
      </c>
      <c r="M401" s="193"/>
      <c r="N401" s="47" t="str">
        <f t="shared" si="38"/>
        <v>FY2010-11</v>
      </c>
      <c r="O401" s="47" t="s">
        <v>153</v>
      </c>
      <c r="P401" s="47" t="s">
        <v>147</v>
      </c>
      <c r="Q401" s="47" t="s">
        <v>179</v>
      </c>
      <c r="R401" s="194"/>
      <c r="S401" s="194"/>
      <c r="T401" s="194"/>
      <c r="U401" s="194"/>
      <c r="V401" s="195"/>
      <c r="W401" s="195"/>
      <c r="X401" s="195"/>
      <c r="Y401" s="195"/>
      <c r="Z401" s="195"/>
      <c r="AA401" s="195"/>
      <c r="AB401" s="195"/>
      <c r="AC401" s="195"/>
      <c r="AD401" s="195"/>
      <c r="AE401" s="195"/>
      <c r="AF401" s="195"/>
      <c r="AG401" s="195"/>
    </row>
    <row r="402" spans="1:34" ht="15.95" customHeight="1">
      <c r="A402" s="29"/>
      <c r="B402" s="30"/>
      <c r="C402" s="30"/>
      <c r="D402" s="31"/>
      <c r="E402" s="31"/>
      <c r="F402" s="32"/>
      <c r="G402" s="31"/>
      <c r="H402" s="32"/>
      <c r="I402" s="32"/>
      <c r="J402" s="31"/>
      <c r="K402" s="31"/>
      <c r="L402" s="284"/>
      <c r="M402" s="32"/>
      <c r="N402" s="32"/>
      <c r="O402" s="31"/>
      <c r="P402" s="32"/>
      <c r="Q402" s="32"/>
      <c r="R402" s="31"/>
      <c r="S402" s="31"/>
      <c r="T402" s="31"/>
      <c r="U402" s="31"/>
      <c r="V402" s="29"/>
      <c r="W402" s="29"/>
      <c r="X402" s="29"/>
      <c r="Y402" s="29"/>
      <c r="Z402" s="29"/>
      <c r="AA402" s="29"/>
      <c r="AB402" s="29"/>
      <c r="AC402" s="29"/>
      <c r="AD402" s="29"/>
      <c r="AE402" s="29"/>
      <c r="AF402" s="29"/>
      <c r="AG402" s="29"/>
    </row>
    <row r="403" spans="1:34" ht="15.95" customHeight="1" thickBot="1">
      <c r="A403" s="7"/>
      <c r="B403" s="19" t="str">
        <f>"FA2 = "&amp;'FIG3'!$W$53&amp;" "&amp;'FIG3'!$X$53</f>
        <v>FA2 = Atlanta Public Schools</v>
      </c>
      <c r="C403" s="7"/>
      <c r="D403" s="8"/>
      <c r="E403" s="8"/>
      <c r="F403" s="9"/>
      <c r="G403" s="8"/>
      <c r="H403" s="9"/>
      <c r="I403" s="9"/>
      <c r="J403" s="8"/>
      <c r="K403" s="8"/>
      <c r="L403" s="280"/>
      <c r="M403" s="9"/>
      <c r="N403" s="9"/>
      <c r="O403" s="8"/>
      <c r="P403" s="9"/>
      <c r="Q403" s="9"/>
      <c r="R403" s="8"/>
      <c r="S403" s="866"/>
      <c r="T403" s="867" t="str">
        <f>'$REV-DB'!$T$34</f>
        <v>UD1</v>
      </c>
      <c r="U403" s="867" t="str">
        <f>'$REV-DB'!$U$34</f>
        <v>UD2</v>
      </c>
      <c r="V403" s="867" t="str">
        <f>'$REV-DB'!$V$34</f>
        <v>UD3</v>
      </c>
      <c r="W403" s="867" t="str">
        <f>'$REV-DB'!$W$34</f>
        <v>UD4</v>
      </c>
      <c r="X403" s="867" t="str">
        <f>'$REV-DB'!$X$34</f>
        <v>UD5</v>
      </c>
      <c r="Y403" s="867" t="str">
        <f>'$REV-DB'!$Y$34</f>
        <v>UD6</v>
      </c>
      <c r="Z403" s="867" t="str">
        <f>'$REV-DB'!$Z$34</f>
        <v>UD7</v>
      </c>
      <c r="AA403" s="867" t="str">
        <f>'$REV-DB'!$AA$34</f>
        <v>UD8</v>
      </c>
      <c r="AB403" s="867" t="str">
        <f>'$REV-DB'!$AB$34</f>
        <v>UD9</v>
      </c>
      <c r="AC403" s="867" t="str">
        <f>'$REV-DB'!$AC$34</f>
        <v>UD10</v>
      </c>
      <c r="AD403" s="867" t="str">
        <f>'$REV-DB'!$AD$34</f>
        <v>UD11</v>
      </c>
      <c r="AE403" s="867" t="str">
        <f>'$REV-DB'!$AE$34</f>
        <v>UD12</v>
      </c>
      <c r="AF403" s="867" t="str">
        <f>'$REV-DB'!$AF$34</f>
        <v>UD13</v>
      </c>
      <c r="AG403" s="867" t="str">
        <f>'$REV-DB'!$AG$34</f>
        <v>UD14</v>
      </c>
    </row>
    <row r="404" spans="1:34" ht="15.95" customHeight="1" thickTop="1" thickBot="1">
      <c r="A404" s="7"/>
      <c r="B404" s="20" t="s">
        <v>175</v>
      </c>
      <c r="C404" s="15"/>
      <c r="D404" s="105" t="s">
        <v>186</v>
      </c>
      <c r="E404" s="105" t="s">
        <v>187</v>
      </c>
      <c r="F404" s="105" t="s">
        <v>188</v>
      </c>
      <c r="G404" s="105" t="s">
        <v>189</v>
      </c>
      <c r="H404" s="301" t="s">
        <v>11</v>
      </c>
      <c r="I404" s="301" t="s">
        <v>190</v>
      </c>
      <c r="J404" s="301" t="s">
        <v>191</v>
      </c>
      <c r="K404" s="301" t="s">
        <v>192</v>
      </c>
      <c r="L404" s="301" t="s">
        <v>203</v>
      </c>
      <c r="M404" s="301" t="s">
        <v>42</v>
      </c>
      <c r="N404" s="105" t="s">
        <v>148</v>
      </c>
      <c r="O404" s="105" t="s">
        <v>193</v>
      </c>
      <c r="P404" s="105" t="s">
        <v>142</v>
      </c>
      <c r="Q404" s="105" t="s">
        <v>194</v>
      </c>
      <c r="R404" s="112" t="s">
        <v>141</v>
      </c>
      <c r="S404" s="112" t="s">
        <v>672</v>
      </c>
      <c r="T404" s="857" t="s">
        <v>541</v>
      </c>
      <c r="U404" s="857" t="s">
        <v>542</v>
      </c>
      <c r="V404" s="857" t="s">
        <v>543</v>
      </c>
      <c r="W404" s="857" t="s">
        <v>544</v>
      </c>
      <c r="X404" s="857" t="s">
        <v>545</v>
      </c>
      <c r="Y404" s="857" t="s">
        <v>546</v>
      </c>
      <c r="Z404" s="857" t="s">
        <v>547</v>
      </c>
      <c r="AA404" s="857" t="s">
        <v>548</v>
      </c>
      <c r="AB404" s="857" t="s">
        <v>549</v>
      </c>
      <c r="AC404" s="857" t="s">
        <v>550</v>
      </c>
      <c r="AD404" s="857" t="s">
        <v>551</v>
      </c>
      <c r="AE404" s="857" t="s">
        <v>552</v>
      </c>
      <c r="AF404" s="857" t="s">
        <v>553</v>
      </c>
      <c r="AG404" s="857" t="s">
        <v>554</v>
      </c>
      <c r="AH404" s="6"/>
    </row>
    <row r="405" spans="1:34" ht="15.95" customHeight="1" thickTop="1">
      <c r="A405" s="7"/>
      <c r="B405" s="19" t="s">
        <v>149</v>
      </c>
      <c r="C405" s="12"/>
      <c r="D405" s="194"/>
      <c r="E405" s="194"/>
      <c r="F405" s="193"/>
      <c r="G405" s="194"/>
      <c r="H405" s="193"/>
      <c r="I405" s="193"/>
      <c r="J405" s="194"/>
      <c r="K405" s="194"/>
      <c r="L405" s="285" t="s">
        <v>34</v>
      </c>
      <c r="M405" s="193"/>
      <c r="N405" s="47" t="str">
        <f>J$6</f>
        <v>FY2010-11</v>
      </c>
      <c r="O405" s="47" t="s">
        <v>153</v>
      </c>
      <c r="P405" s="47" t="s">
        <v>147</v>
      </c>
      <c r="Q405" s="47" t="s">
        <v>2</v>
      </c>
      <c r="R405" s="194"/>
      <c r="S405" s="194"/>
      <c r="T405" s="194"/>
      <c r="U405" s="194"/>
      <c r="V405" s="195"/>
      <c r="W405" s="195"/>
      <c r="X405" s="195"/>
      <c r="Y405" s="195"/>
      <c r="Z405" s="195"/>
      <c r="AA405" s="195"/>
      <c r="AB405" s="195"/>
      <c r="AC405" s="195"/>
      <c r="AD405" s="195"/>
      <c r="AE405" s="195"/>
      <c r="AF405" s="195"/>
      <c r="AG405" s="195"/>
      <c r="AH405" s="6"/>
    </row>
    <row r="406" spans="1:34" ht="15.95" customHeight="1">
      <c r="A406" s="7"/>
      <c r="B406" s="16">
        <f>DSUM('$REV-DB'!D35:AG67,"AMOUNT",'$REV-DSUM'!D404:AG411)</f>
        <v>6582336</v>
      </c>
      <c r="C406" s="12"/>
      <c r="D406" s="194"/>
      <c r="E406" s="194"/>
      <c r="F406" s="193"/>
      <c r="G406" s="194"/>
      <c r="H406" s="193"/>
      <c r="I406" s="193"/>
      <c r="J406" s="194"/>
      <c r="K406" s="194"/>
      <c r="L406" s="285" t="s">
        <v>34</v>
      </c>
      <c r="M406" s="193"/>
      <c r="N406" s="47" t="str">
        <f t="shared" ref="N406:N411" si="39">J$6</f>
        <v>FY2010-11</v>
      </c>
      <c r="O406" s="47" t="s">
        <v>153</v>
      </c>
      <c r="P406" s="47" t="s">
        <v>147</v>
      </c>
      <c r="Q406" s="47" t="s">
        <v>2</v>
      </c>
      <c r="R406" s="194"/>
      <c r="S406" s="194"/>
      <c r="T406" s="194"/>
      <c r="U406" s="194"/>
      <c r="V406" s="195"/>
      <c r="W406" s="195"/>
      <c r="X406" s="195"/>
      <c r="Y406" s="195"/>
      <c r="Z406" s="195"/>
      <c r="AA406" s="195"/>
      <c r="AB406" s="195"/>
      <c r="AC406" s="195"/>
      <c r="AD406" s="195"/>
      <c r="AE406" s="195"/>
      <c r="AF406" s="195"/>
      <c r="AG406" s="195"/>
      <c r="AH406" s="6"/>
    </row>
    <row r="407" spans="1:34" ht="15.95" customHeight="1">
      <c r="A407" s="7"/>
      <c r="B407" s="10"/>
      <c r="C407" s="12"/>
      <c r="D407" s="194"/>
      <c r="E407" s="194"/>
      <c r="F407" s="193"/>
      <c r="G407" s="194"/>
      <c r="H407" s="193"/>
      <c r="I407" s="193"/>
      <c r="J407" s="194"/>
      <c r="K407" s="194"/>
      <c r="L407" s="285" t="s">
        <v>34</v>
      </c>
      <c r="M407" s="193"/>
      <c r="N407" s="47" t="str">
        <f t="shared" si="39"/>
        <v>FY2010-11</v>
      </c>
      <c r="O407" s="47" t="s">
        <v>153</v>
      </c>
      <c r="P407" s="47" t="s">
        <v>147</v>
      </c>
      <c r="Q407" s="47" t="s">
        <v>2</v>
      </c>
      <c r="R407" s="194"/>
      <c r="S407" s="194"/>
      <c r="T407" s="194"/>
      <c r="U407" s="194"/>
      <c r="V407" s="195"/>
      <c r="W407" s="195"/>
      <c r="X407" s="195"/>
      <c r="Y407" s="195"/>
      <c r="Z407" s="195"/>
      <c r="AA407" s="195"/>
      <c r="AB407" s="195"/>
      <c r="AC407" s="195"/>
      <c r="AD407" s="195"/>
      <c r="AE407" s="195"/>
      <c r="AF407" s="195"/>
      <c r="AG407" s="195"/>
    </row>
    <row r="408" spans="1:34" ht="15.95" customHeight="1">
      <c r="A408" s="7"/>
      <c r="B408" s="10"/>
      <c r="C408" s="12"/>
      <c r="D408" s="194"/>
      <c r="E408" s="194"/>
      <c r="F408" s="193"/>
      <c r="G408" s="194"/>
      <c r="H408" s="193"/>
      <c r="I408" s="193"/>
      <c r="J408" s="194"/>
      <c r="K408" s="194"/>
      <c r="L408" s="285" t="s">
        <v>34</v>
      </c>
      <c r="M408" s="193"/>
      <c r="N408" s="47" t="str">
        <f t="shared" si="39"/>
        <v>FY2010-11</v>
      </c>
      <c r="O408" s="47" t="s">
        <v>153</v>
      </c>
      <c r="P408" s="47" t="s">
        <v>147</v>
      </c>
      <c r="Q408" s="47" t="s">
        <v>2</v>
      </c>
      <c r="R408" s="194"/>
      <c r="S408" s="194"/>
      <c r="T408" s="194"/>
      <c r="U408" s="194"/>
      <c r="V408" s="195"/>
      <c r="W408" s="195"/>
      <c r="X408" s="195"/>
      <c r="Y408" s="195"/>
      <c r="Z408" s="195"/>
      <c r="AA408" s="195"/>
      <c r="AB408" s="195"/>
      <c r="AC408" s="195"/>
      <c r="AD408" s="195"/>
      <c r="AE408" s="195"/>
      <c r="AF408" s="195"/>
      <c r="AG408" s="195"/>
    </row>
    <row r="409" spans="1:34" ht="15.95" customHeight="1">
      <c r="A409" s="7"/>
      <c r="B409" s="10"/>
      <c r="C409" s="12"/>
      <c r="D409" s="194"/>
      <c r="E409" s="194"/>
      <c r="F409" s="193"/>
      <c r="G409" s="194"/>
      <c r="H409" s="193"/>
      <c r="I409" s="193"/>
      <c r="J409" s="194"/>
      <c r="K409" s="194"/>
      <c r="L409" s="285" t="s">
        <v>34</v>
      </c>
      <c r="M409" s="193"/>
      <c r="N409" s="47" t="str">
        <f t="shared" si="39"/>
        <v>FY2010-11</v>
      </c>
      <c r="O409" s="47" t="s">
        <v>153</v>
      </c>
      <c r="P409" s="47" t="s">
        <v>147</v>
      </c>
      <c r="Q409" s="47" t="s">
        <v>2</v>
      </c>
      <c r="R409" s="194"/>
      <c r="S409" s="194"/>
      <c r="T409" s="194"/>
      <c r="U409" s="194"/>
      <c r="V409" s="195"/>
      <c r="W409" s="195"/>
      <c r="X409" s="195"/>
      <c r="Y409" s="195"/>
      <c r="Z409" s="195"/>
      <c r="AA409" s="195"/>
      <c r="AB409" s="195"/>
      <c r="AC409" s="195"/>
      <c r="AD409" s="195"/>
      <c r="AE409" s="195"/>
      <c r="AF409" s="195"/>
      <c r="AG409" s="195"/>
    </row>
    <row r="410" spans="1:34" ht="15.95" customHeight="1">
      <c r="A410" s="7"/>
      <c r="B410" s="10"/>
      <c r="C410" s="12"/>
      <c r="D410" s="194"/>
      <c r="E410" s="194"/>
      <c r="F410" s="193"/>
      <c r="G410" s="194"/>
      <c r="H410" s="193"/>
      <c r="I410" s="193"/>
      <c r="J410" s="194"/>
      <c r="K410" s="194"/>
      <c r="L410" s="285" t="s">
        <v>34</v>
      </c>
      <c r="M410" s="193"/>
      <c r="N410" s="47" t="str">
        <f t="shared" si="39"/>
        <v>FY2010-11</v>
      </c>
      <c r="O410" s="47" t="s">
        <v>153</v>
      </c>
      <c r="P410" s="47" t="s">
        <v>147</v>
      </c>
      <c r="Q410" s="47" t="s">
        <v>2</v>
      </c>
      <c r="R410" s="194"/>
      <c r="S410" s="194"/>
      <c r="T410" s="194"/>
      <c r="U410" s="194"/>
      <c r="V410" s="195"/>
      <c r="W410" s="195"/>
      <c r="X410" s="195"/>
      <c r="Y410" s="195"/>
      <c r="Z410" s="195"/>
      <c r="AA410" s="195"/>
      <c r="AB410" s="195"/>
      <c r="AC410" s="195"/>
      <c r="AD410" s="195"/>
      <c r="AE410" s="195"/>
      <c r="AF410" s="195"/>
      <c r="AG410" s="195"/>
    </row>
    <row r="411" spans="1:34" ht="15.95" customHeight="1">
      <c r="A411" s="7"/>
      <c r="B411" s="10"/>
      <c r="C411" s="12"/>
      <c r="D411" s="194"/>
      <c r="E411" s="194"/>
      <c r="F411" s="193"/>
      <c r="G411" s="194"/>
      <c r="H411" s="193"/>
      <c r="I411" s="193"/>
      <c r="J411" s="194"/>
      <c r="K411" s="194"/>
      <c r="L411" s="285" t="s">
        <v>34</v>
      </c>
      <c r="M411" s="193"/>
      <c r="N411" s="47" t="str">
        <f t="shared" si="39"/>
        <v>FY2010-11</v>
      </c>
      <c r="O411" s="47" t="s">
        <v>153</v>
      </c>
      <c r="P411" s="47" t="s">
        <v>147</v>
      </c>
      <c r="Q411" s="47" t="s">
        <v>2</v>
      </c>
      <c r="R411" s="194"/>
      <c r="S411" s="194"/>
      <c r="T411" s="194"/>
      <c r="U411" s="194"/>
      <c r="V411" s="195"/>
      <c r="W411" s="195"/>
      <c r="X411" s="195"/>
      <c r="Y411" s="195"/>
      <c r="Z411" s="195"/>
      <c r="AA411" s="195"/>
      <c r="AB411" s="195"/>
      <c r="AC411" s="195"/>
      <c r="AD411" s="195"/>
      <c r="AE411" s="195"/>
      <c r="AF411" s="195"/>
      <c r="AG411" s="195"/>
    </row>
    <row r="412" spans="1:34" ht="15.95" customHeight="1">
      <c r="A412" s="29"/>
      <c r="B412" s="30"/>
      <c r="C412" s="30"/>
      <c r="D412" s="31"/>
      <c r="E412" s="31"/>
      <c r="F412" s="32"/>
      <c r="G412" s="31"/>
      <c r="H412" s="32"/>
      <c r="I412" s="32"/>
      <c r="J412" s="31"/>
      <c r="K412" s="31"/>
      <c r="L412" s="284"/>
      <c r="M412" s="32"/>
      <c r="N412" s="32"/>
      <c r="O412" s="31"/>
      <c r="P412" s="32"/>
      <c r="Q412" s="32"/>
      <c r="R412" s="31"/>
      <c r="S412" s="31"/>
      <c r="T412" s="31"/>
      <c r="U412" s="31"/>
      <c r="V412" s="29"/>
      <c r="W412" s="29"/>
      <c r="X412" s="29"/>
      <c r="Y412" s="29"/>
      <c r="Z412" s="29"/>
      <c r="AA412" s="29"/>
      <c r="AB412" s="29"/>
      <c r="AC412" s="29"/>
      <c r="AD412" s="29"/>
      <c r="AE412" s="29"/>
      <c r="AF412" s="29"/>
      <c r="AG412" s="29"/>
    </row>
    <row r="413" spans="1:34" ht="15.95" customHeight="1" thickBot="1">
      <c r="A413" s="7"/>
      <c r="B413" s="19" t="str">
        <f>"FA2 = "&amp;'FIG3'!$W$53&amp;" "&amp;'FIG3'!$X$53</f>
        <v>FA2 = Atlanta Public Schools</v>
      </c>
      <c r="C413" s="7"/>
      <c r="D413" s="8"/>
      <c r="E413" s="8"/>
      <c r="F413" s="9"/>
      <c r="G413" s="8"/>
      <c r="H413" s="9"/>
      <c r="I413" s="9"/>
      <c r="J413" s="8"/>
      <c r="K413" s="8"/>
      <c r="L413" s="280"/>
      <c r="M413" s="9"/>
      <c r="N413" s="9"/>
      <c r="O413" s="8"/>
      <c r="P413" s="9"/>
      <c r="Q413" s="9"/>
      <c r="R413" s="8"/>
      <c r="S413" s="866"/>
      <c r="T413" s="867" t="str">
        <f>'$REV-DB'!$T$34</f>
        <v>UD1</v>
      </c>
      <c r="U413" s="867" t="str">
        <f>'$REV-DB'!$U$34</f>
        <v>UD2</v>
      </c>
      <c r="V413" s="867" t="str">
        <f>'$REV-DB'!$V$34</f>
        <v>UD3</v>
      </c>
      <c r="W413" s="867" t="str">
        <f>'$REV-DB'!$W$34</f>
        <v>UD4</v>
      </c>
      <c r="X413" s="867" t="str">
        <f>'$REV-DB'!$X$34</f>
        <v>UD5</v>
      </c>
      <c r="Y413" s="867" t="str">
        <f>'$REV-DB'!$Y$34</f>
        <v>UD6</v>
      </c>
      <c r="Z413" s="867" t="str">
        <f>'$REV-DB'!$Z$34</f>
        <v>UD7</v>
      </c>
      <c r="AA413" s="867" t="str">
        <f>'$REV-DB'!$AA$34</f>
        <v>UD8</v>
      </c>
      <c r="AB413" s="867" t="str">
        <f>'$REV-DB'!$AB$34</f>
        <v>UD9</v>
      </c>
      <c r="AC413" s="867" t="str">
        <f>'$REV-DB'!$AC$34</f>
        <v>UD10</v>
      </c>
      <c r="AD413" s="867" t="str">
        <f>'$REV-DB'!$AD$34</f>
        <v>UD11</v>
      </c>
      <c r="AE413" s="867" t="str">
        <f>'$REV-DB'!$AE$34</f>
        <v>UD12</v>
      </c>
      <c r="AF413" s="867" t="str">
        <f>'$REV-DB'!$AF$34</f>
        <v>UD13</v>
      </c>
      <c r="AG413" s="867" t="str">
        <f>'$REV-DB'!$AG$34</f>
        <v>UD14</v>
      </c>
    </row>
    <row r="414" spans="1:34" ht="15.95" customHeight="1" thickTop="1" thickBot="1">
      <c r="A414" s="7"/>
      <c r="B414" s="20" t="s">
        <v>175</v>
      </c>
      <c r="C414" s="15"/>
      <c r="D414" s="276" t="s">
        <v>186</v>
      </c>
      <c r="E414" s="276" t="s">
        <v>187</v>
      </c>
      <c r="F414" s="276" t="s">
        <v>188</v>
      </c>
      <c r="G414" s="276" t="s">
        <v>189</v>
      </c>
      <c r="H414" s="301" t="s">
        <v>11</v>
      </c>
      <c r="I414" s="301" t="s">
        <v>190</v>
      </c>
      <c r="J414" s="301" t="s">
        <v>191</v>
      </c>
      <c r="K414" s="301" t="s">
        <v>192</v>
      </c>
      <c r="L414" s="301" t="s">
        <v>203</v>
      </c>
      <c r="M414" s="301" t="s">
        <v>42</v>
      </c>
      <c r="N414" s="276" t="s">
        <v>148</v>
      </c>
      <c r="O414" s="276" t="s">
        <v>193</v>
      </c>
      <c r="P414" s="276" t="s">
        <v>142</v>
      </c>
      <c r="Q414" s="276" t="s">
        <v>194</v>
      </c>
      <c r="R414" s="112" t="s">
        <v>141</v>
      </c>
      <c r="S414" s="112" t="s">
        <v>672</v>
      </c>
      <c r="T414" s="857" t="s">
        <v>541</v>
      </c>
      <c r="U414" s="857" t="s">
        <v>542</v>
      </c>
      <c r="V414" s="857" t="s">
        <v>543</v>
      </c>
      <c r="W414" s="857" t="s">
        <v>544</v>
      </c>
      <c r="X414" s="857" t="s">
        <v>545</v>
      </c>
      <c r="Y414" s="857" t="s">
        <v>546</v>
      </c>
      <c r="Z414" s="857" t="s">
        <v>547</v>
      </c>
      <c r="AA414" s="857" t="s">
        <v>548</v>
      </c>
      <c r="AB414" s="857" t="s">
        <v>549</v>
      </c>
      <c r="AC414" s="857" t="s">
        <v>550</v>
      </c>
      <c r="AD414" s="857" t="s">
        <v>551</v>
      </c>
      <c r="AE414" s="857" t="s">
        <v>552</v>
      </c>
      <c r="AF414" s="857" t="s">
        <v>553</v>
      </c>
      <c r="AG414" s="857" t="s">
        <v>554</v>
      </c>
      <c r="AH414" s="6"/>
    </row>
    <row r="415" spans="1:34" ht="15.95" customHeight="1" thickTop="1">
      <c r="A415" s="7"/>
      <c r="B415" s="19" t="s">
        <v>364</v>
      </c>
      <c r="C415" s="12"/>
      <c r="D415" s="194"/>
      <c r="E415" s="194"/>
      <c r="F415" s="193"/>
      <c r="G415" s="194"/>
      <c r="H415" s="193"/>
      <c r="I415" s="193"/>
      <c r="J415" s="194"/>
      <c r="K415" s="194"/>
      <c r="L415" s="285" t="s">
        <v>34</v>
      </c>
      <c r="M415" s="193"/>
      <c r="N415" s="47" t="str">
        <f>J$6</f>
        <v>FY2010-11</v>
      </c>
      <c r="O415" s="47" t="s">
        <v>153</v>
      </c>
      <c r="P415" s="47" t="s">
        <v>147</v>
      </c>
      <c r="Q415" s="47" t="s">
        <v>70</v>
      </c>
      <c r="R415" s="194"/>
      <c r="S415" s="194"/>
      <c r="T415" s="194"/>
      <c r="U415" s="194"/>
      <c r="V415" s="195"/>
      <c r="W415" s="195"/>
      <c r="X415" s="195"/>
      <c r="Y415" s="195"/>
      <c r="Z415" s="195"/>
      <c r="AA415" s="195"/>
      <c r="AB415" s="195"/>
      <c r="AC415" s="195"/>
      <c r="AD415" s="195"/>
      <c r="AE415" s="195"/>
      <c r="AF415" s="195"/>
      <c r="AG415" s="195"/>
      <c r="AH415" s="6"/>
    </row>
    <row r="416" spans="1:34" ht="15.95" customHeight="1">
      <c r="A416" s="7"/>
      <c r="B416" s="16">
        <f>DSUM('$REV-DB'!D35:AG67,"AMOUNT",'$REV-DSUM'!D414:AG421)</f>
        <v>1342655</v>
      </c>
      <c r="C416" s="12"/>
      <c r="D416" s="194"/>
      <c r="E416" s="194"/>
      <c r="F416" s="193"/>
      <c r="G416" s="194"/>
      <c r="H416" s="193"/>
      <c r="I416" s="193"/>
      <c r="J416" s="194"/>
      <c r="K416" s="194"/>
      <c r="L416" s="285" t="s">
        <v>34</v>
      </c>
      <c r="M416" s="193"/>
      <c r="N416" s="47" t="str">
        <f t="shared" ref="N416:N421" si="40">J$6</f>
        <v>FY2010-11</v>
      </c>
      <c r="O416" s="47" t="s">
        <v>153</v>
      </c>
      <c r="P416" s="47" t="s">
        <v>147</v>
      </c>
      <c r="Q416" s="47" t="s">
        <v>70</v>
      </c>
      <c r="R416" s="194"/>
      <c r="S416" s="194"/>
      <c r="T416" s="194"/>
      <c r="U416" s="194"/>
      <c r="V416" s="195"/>
      <c r="W416" s="195"/>
      <c r="X416" s="195"/>
      <c r="Y416" s="195"/>
      <c r="Z416" s="195"/>
      <c r="AA416" s="195"/>
      <c r="AB416" s="195"/>
      <c r="AC416" s="195"/>
      <c r="AD416" s="195"/>
      <c r="AE416" s="195"/>
      <c r="AF416" s="195"/>
      <c r="AG416" s="195"/>
      <c r="AH416" s="6"/>
    </row>
    <row r="417" spans="1:34" ht="15.95" customHeight="1">
      <c r="A417" s="7"/>
      <c r="B417" s="10"/>
      <c r="C417" s="12"/>
      <c r="D417" s="194"/>
      <c r="E417" s="194"/>
      <c r="F417" s="193"/>
      <c r="G417" s="194"/>
      <c r="H417" s="193"/>
      <c r="I417" s="193"/>
      <c r="J417" s="194"/>
      <c r="K417" s="194"/>
      <c r="L417" s="285" t="s">
        <v>34</v>
      </c>
      <c r="M417" s="193"/>
      <c r="N417" s="47" t="str">
        <f t="shared" si="40"/>
        <v>FY2010-11</v>
      </c>
      <c r="O417" s="47" t="s">
        <v>153</v>
      </c>
      <c r="P417" s="47" t="s">
        <v>147</v>
      </c>
      <c r="Q417" s="47" t="s">
        <v>70</v>
      </c>
      <c r="R417" s="194"/>
      <c r="S417" s="194"/>
      <c r="T417" s="194"/>
      <c r="U417" s="194"/>
      <c r="V417" s="195"/>
      <c r="W417" s="195"/>
      <c r="X417" s="195"/>
      <c r="Y417" s="195"/>
      <c r="Z417" s="195"/>
      <c r="AA417" s="195"/>
      <c r="AB417" s="195"/>
      <c r="AC417" s="195"/>
      <c r="AD417" s="195"/>
      <c r="AE417" s="195"/>
      <c r="AF417" s="195"/>
      <c r="AG417" s="195"/>
    </row>
    <row r="418" spans="1:34" ht="15.95" customHeight="1">
      <c r="A418" s="7"/>
      <c r="B418" s="10"/>
      <c r="C418" s="12"/>
      <c r="D418" s="194"/>
      <c r="E418" s="194"/>
      <c r="F418" s="193"/>
      <c r="G418" s="194"/>
      <c r="H418" s="193"/>
      <c r="I418" s="193"/>
      <c r="J418" s="194"/>
      <c r="K418" s="194"/>
      <c r="L418" s="285" t="s">
        <v>34</v>
      </c>
      <c r="M418" s="193"/>
      <c r="N418" s="47" t="str">
        <f t="shared" si="40"/>
        <v>FY2010-11</v>
      </c>
      <c r="O418" s="47" t="s">
        <v>153</v>
      </c>
      <c r="P418" s="47" t="s">
        <v>147</v>
      </c>
      <c r="Q418" s="47" t="s">
        <v>70</v>
      </c>
      <c r="R418" s="194"/>
      <c r="S418" s="194"/>
      <c r="T418" s="194"/>
      <c r="U418" s="194"/>
      <c r="V418" s="195"/>
      <c r="W418" s="195"/>
      <c r="X418" s="195"/>
      <c r="Y418" s="195"/>
      <c r="Z418" s="195"/>
      <c r="AA418" s="195"/>
      <c r="AB418" s="195"/>
      <c r="AC418" s="195"/>
      <c r="AD418" s="195"/>
      <c r="AE418" s="195"/>
      <c r="AF418" s="195"/>
      <c r="AG418" s="195"/>
    </row>
    <row r="419" spans="1:34" ht="15.95" customHeight="1">
      <c r="A419" s="7"/>
      <c r="B419" s="10"/>
      <c r="C419" s="12"/>
      <c r="D419" s="194"/>
      <c r="E419" s="194"/>
      <c r="F419" s="193"/>
      <c r="G419" s="194"/>
      <c r="H419" s="193"/>
      <c r="I419" s="193"/>
      <c r="J419" s="194"/>
      <c r="K419" s="194"/>
      <c r="L419" s="285" t="s">
        <v>34</v>
      </c>
      <c r="M419" s="193"/>
      <c r="N419" s="47" t="str">
        <f t="shared" si="40"/>
        <v>FY2010-11</v>
      </c>
      <c r="O419" s="47" t="s">
        <v>153</v>
      </c>
      <c r="P419" s="47" t="s">
        <v>147</v>
      </c>
      <c r="Q419" s="47" t="s">
        <v>70</v>
      </c>
      <c r="R419" s="194"/>
      <c r="S419" s="194"/>
      <c r="T419" s="194"/>
      <c r="U419" s="194"/>
      <c r="V419" s="195"/>
      <c r="W419" s="195"/>
      <c r="X419" s="195"/>
      <c r="Y419" s="195"/>
      <c r="Z419" s="195"/>
      <c r="AA419" s="195"/>
      <c r="AB419" s="195"/>
      <c r="AC419" s="195"/>
      <c r="AD419" s="195"/>
      <c r="AE419" s="195"/>
      <c r="AF419" s="195"/>
      <c r="AG419" s="195"/>
    </row>
    <row r="420" spans="1:34" ht="15.95" customHeight="1">
      <c r="A420" s="7"/>
      <c r="B420" s="10"/>
      <c r="C420" s="12"/>
      <c r="D420" s="194"/>
      <c r="E420" s="194"/>
      <c r="F420" s="193"/>
      <c r="G420" s="194"/>
      <c r="H420" s="193"/>
      <c r="I420" s="193"/>
      <c r="J420" s="194"/>
      <c r="K420" s="194"/>
      <c r="L420" s="285" t="s">
        <v>34</v>
      </c>
      <c r="M420" s="193"/>
      <c r="N420" s="47" t="str">
        <f t="shared" si="40"/>
        <v>FY2010-11</v>
      </c>
      <c r="O420" s="47" t="s">
        <v>153</v>
      </c>
      <c r="P420" s="47" t="s">
        <v>147</v>
      </c>
      <c r="Q420" s="47" t="s">
        <v>70</v>
      </c>
      <c r="R420" s="194"/>
      <c r="S420" s="194"/>
      <c r="T420" s="194"/>
      <c r="U420" s="194"/>
      <c r="V420" s="195"/>
      <c r="W420" s="195"/>
      <c r="X420" s="195"/>
      <c r="Y420" s="195"/>
      <c r="Z420" s="195"/>
      <c r="AA420" s="195"/>
      <c r="AB420" s="195"/>
      <c r="AC420" s="195"/>
      <c r="AD420" s="195"/>
      <c r="AE420" s="195"/>
      <c r="AF420" s="195"/>
      <c r="AG420" s="195"/>
    </row>
    <row r="421" spans="1:34" ht="15.95" customHeight="1">
      <c r="A421" s="7"/>
      <c r="B421" s="10"/>
      <c r="C421" s="12"/>
      <c r="D421" s="194"/>
      <c r="E421" s="194"/>
      <c r="F421" s="193"/>
      <c r="G421" s="194"/>
      <c r="H421" s="193"/>
      <c r="I421" s="193"/>
      <c r="J421" s="194"/>
      <c r="K421" s="194"/>
      <c r="L421" s="285" t="s">
        <v>34</v>
      </c>
      <c r="M421" s="193"/>
      <c r="N421" s="47" t="str">
        <f t="shared" si="40"/>
        <v>FY2010-11</v>
      </c>
      <c r="O421" s="47" t="s">
        <v>153</v>
      </c>
      <c r="P421" s="47" t="s">
        <v>147</v>
      </c>
      <c r="Q421" s="47" t="s">
        <v>70</v>
      </c>
      <c r="R421" s="194"/>
      <c r="S421" s="194"/>
      <c r="T421" s="194"/>
      <c r="U421" s="194"/>
      <c r="V421" s="195"/>
      <c r="W421" s="195"/>
      <c r="X421" s="195"/>
      <c r="Y421" s="195"/>
      <c r="Z421" s="195"/>
      <c r="AA421" s="195"/>
      <c r="AB421" s="195"/>
      <c r="AC421" s="195"/>
      <c r="AD421" s="195"/>
      <c r="AE421" s="195"/>
      <c r="AF421" s="195"/>
      <c r="AG421" s="195"/>
    </row>
    <row r="422" spans="1:34" ht="15.95" customHeight="1">
      <c r="A422" s="29"/>
      <c r="B422" s="30"/>
      <c r="C422" s="30"/>
      <c r="D422" s="31"/>
      <c r="E422" s="31"/>
      <c r="F422" s="32"/>
      <c r="G422" s="31"/>
      <c r="H422" s="32"/>
      <c r="I422" s="32"/>
      <c r="J422" s="31"/>
      <c r="K422" s="31"/>
      <c r="L422" s="284"/>
      <c r="M422" s="32"/>
      <c r="N422" s="32"/>
      <c r="O422" s="31"/>
      <c r="P422" s="32"/>
      <c r="Q422" s="32"/>
      <c r="R422" s="31"/>
      <c r="S422" s="31"/>
      <c r="T422" s="31"/>
      <c r="U422" s="31"/>
      <c r="V422" s="29"/>
      <c r="W422" s="29"/>
      <c r="X422" s="29"/>
      <c r="Y422" s="29"/>
      <c r="Z422" s="29"/>
      <c r="AA422" s="29"/>
      <c r="AB422" s="29"/>
      <c r="AC422" s="29"/>
      <c r="AD422" s="29"/>
      <c r="AE422" s="29"/>
      <c r="AF422" s="29"/>
      <c r="AG422" s="29"/>
    </row>
    <row r="423" spans="1:34" ht="15.95" customHeight="1" thickBot="1">
      <c r="A423" s="7"/>
      <c r="B423" s="19" t="str">
        <f>"FA2 = "&amp;'FIG3'!$W$53&amp;" "&amp;'FIG3'!$X$53</f>
        <v>FA2 = Atlanta Public Schools</v>
      </c>
      <c r="C423" s="7"/>
      <c r="D423" s="8"/>
      <c r="E423" s="8"/>
      <c r="F423" s="9"/>
      <c r="G423" s="8"/>
      <c r="H423" s="9"/>
      <c r="I423" s="9"/>
      <c r="J423" s="8"/>
      <c r="K423" s="8"/>
      <c r="L423" s="280"/>
      <c r="M423" s="9"/>
      <c r="N423" s="9"/>
      <c r="O423" s="8"/>
      <c r="P423" s="9"/>
      <c r="Q423" s="9"/>
      <c r="R423" s="8"/>
      <c r="S423" s="866"/>
      <c r="T423" s="867" t="str">
        <f>'$REV-DB'!$T$34</f>
        <v>UD1</v>
      </c>
      <c r="U423" s="867" t="str">
        <f>'$REV-DB'!$U$34</f>
        <v>UD2</v>
      </c>
      <c r="V423" s="867" t="str">
        <f>'$REV-DB'!$V$34</f>
        <v>UD3</v>
      </c>
      <c r="W423" s="867" t="str">
        <f>'$REV-DB'!$W$34</f>
        <v>UD4</v>
      </c>
      <c r="X423" s="867" t="str">
        <f>'$REV-DB'!$X$34</f>
        <v>UD5</v>
      </c>
      <c r="Y423" s="867" t="str">
        <f>'$REV-DB'!$Y$34</f>
        <v>UD6</v>
      </c>
      <c r="Z423" s="867" t="str">
        <f>'$REV-DB'!$Z$34</f>
        <v>UD7</v>
      </c>
      <c r="AA423" s="867" t="str">
        <f>'$REV-DB'!$AA$34</f>
        <v>UD8</v>
      </c>
      <c r="AB423" s="867" t="str">
        <f>'$REV-DB'!$AB$34</f>
        <v>UD9</v>
      </c>
      <c r="AC423" s="867" t="str">
        <f>'$REV-DB'!$AC$34</f>
        <v>UD10</v>
      </c>
      <c r="AD423" s="867" t="str">
        <f>'$REV-DB'!$AD$34</f>
        <v>UD11</v>
      </c>
      <c r="AE423" s="867" t="str">
        <f>'$REV-DB'!$AE$34</f>
        <v>UD12</v>
      </c>
      <c r="AF423" s="867" t="str">
        <f>'$REV-DB'!$AF$34</f>
        <v>UD13</v>
      </c>
      <c r="AG423" s="867" t="str">
        <f>'$REV-DB'!$AG$34</f>
        <v>UD14</v>
      </c>
    </row>
    <row r="424" spans="1:34" ht="15.95" customHeight="1" thickTop="1" thickBot="1">
      <c r="A424" s="7"/>
      <c r="B424" s="20" t="s">
        <v>175</v>
      </c>
      <c r="C424" s="15"/>
      <c r="D424" s="105" t="s">
        <v>186</v>
      </c>
      <c r="E424" s="105" t="s">
        <v>187</v>
      </c>
      <c r="F424" s="105" t="s">
        <v>188</v>
      </c>
      <c r="G424" s="105" t="s">
        <v>189</v>
      </c>
      <c r="H424" s="301" t="s">
        <v>11</v>
      </c>
      <c r="I424" s="301" t="s">
        <v>190</v>
      </c>
      <c r="J424" s="301" t="s">
        <v>191</v>
      </c>
      <c r="K424" s="301" t="s">
        <v>192</v>
      </c>
      <c r="L424" s="301" t="s">
        <v>203</v>
      </c>
      <c r="M424" s="301" t="s">
        <v>42</v>
      </c>
      <c r="N424" s="105" t="s">
        <v>148</v>
      </c>
      <c r="O424" s="105" t="s">
        <v>193</v>
      </c>
      <c r="P424" s="105" t="s">
        <v>142</v>
      </c>
      <c r="Q424" s="105" t="s">
        <v>194</v>
      </c>
      <c r="R424" s="112" t="s">
        <v>141</v>
      </c>
      <c r="S424" s="112" t="s">
        <v>672</v>
      </c>
      <c r="T424" s="857" t="s">
        <v>541</v>
      </c>
      <c r="U424" s="857" t="s">
        <v>542</v>
      </c>
      <c r="V424" s="857" t="s">
        <v>543</v>
      </c>
      <c r="W424" s="857" t="s">
        <v>544</v>
      </c>
      <c r="X424" s="857" t="s">
        <v>545</v>
      </c>
      <c r="Y424" s="857" t="s">
        <v>546</v>
      </c>
      <c r="Z424" s="857" t="s">
        <v>547</v>
      </c>
      <c r="AA424" s="857" t="s">
        <v>548</v>
      </c>
      <c r="AB424" s="857" t="s">
        <v>549</v>
      </c>
      <c r="AC424" s="857" t="s">
        <v>550</v>
      </c>
      <c r="AD424" s="857" t="s">
        <v>551</v>
      </c>
      <c r="AE424" s="857" t="s">
        <v>552</v>
      </c>
      <c r="AF424" s="857" t="s">
        <v>553</v>
      </c>
      <c r="AG424" s="857" t="s">
        <v>554</v>
      </c>
      <c r="AH424" s="6"/>
    </row>
    <row r="425" spans="1:34" ht="15.95" customHeight="1" thickTop="1">
      <c r="A425" s="7"/>
      <c r="B425" s="19" t="s">
        <v>150</v>
      </c>
      <c r="C425" s="12"/>
      <c r="D425" s="194"/>
      <c r="E425" s="194"/>
      <c r="F425" s="193"/>
      <c r="G425" s="194"/>
      <c r="H425" s="193"/>
      <c r="I425" s="193"/>
      <c r="J425" s="194"/>
      <c r="K425" s="194"/>
      <c r="L425" s="285" t="s">
        <v>34</v>
      </c>
      <c r="M425" s="193"/>
      <c r="N425" s="47" t="str">
        <f>J$6</f>
        <v>FY2010-11</v>
      </c>
      <c r="O425" s="47" t="s">
        <v>153</v>
      </c>
      <c r="P425" s="47" t="s">
        <v>147</v>
      </c>
      <c r="Q425" s="47" t="s">
        <v>140</v>
      </c>
      <c r="R425" s="194"/>
      <c r="S425" s="194"/>
      <c r="T425" s="194"/>
      <c r="U425" s="194"/>
      <c r="V425" s="195"/>
      <c r="W425" s="195"/>
      <c r="X425" s="195"/>
      <c r="Y425" s="195"/>
      <c r="Z425" s="195"/>
      <c r="AA425" s="195"/>
      <c r="AB425" s="195"/>
      <c r="AC425" s="195"/>
      <c r="AD425" s="195"/>
      <c r="AE425" s="195"/>
      <c r="AF425" s="195"/>
      <c r="AG425" s="195"/>
      <c r="AH425" s="6"/>
    </row>
    <row r="426" spans="1:34" ht="15.95" customHeight="1">
      <c r="A426" s="7"/>
      <c r="B426" s="16">
        <f>DSUM('$REV-DB'!D35:AG67,"AMOUNT",'$REV-DSUM'!D424:AG431)</f>
        <v>0</v>
      </c>
      <c r="C426" s="12"/>
      <c r="D426" s="194"/>
      <c r="E426" s="194"/>
      <c r="F426" s="193"/>
      <c r="G426" s="194"/>
      <c r="H426" s="193"/>
      <c r="I426" s="193"/>
      <c r="J426" s="194"/>
      <c r="K426" s="194"/>
      <c r="L426" s="285" t="s">
        <v>34</v>
      </c>
      <c r="M426" s="193"/>
      <c r="N426" s="47" t="str">
        <f t="shared" ref="N426:N431" si="41">J$6</f>
        <v>FY2010-11</v>
      </c>
      <c r="O426" s="47" t="s">
        <v>153</v>
      </c>
      <c r="P426" s="47" t="s">
        <v>147</v>
      </c>
      <c r="Q426" s="47" t="s">
        <v>140</v>
      </c>
      <c r="R426" s="194"/>
      <c r="S426" s="194"/>
      <c r="T426" s="194"/>
      <c r="U426" s="194"/>
      <c r="V426" s="195"/>
      <c r="W426" s="195"/>
      <c r="X426" s="195"/>
      <c r="Y426" s="195"/>
      <c r="Z426" s="195"/>
      <c r="AA426" s="195"/>
      <c r="AB426" s="195"/>
      <c r="AC426" s="195"/>
      <c r="AD426" s="195"/>
      <c r="AE426" s="195"/>
      <c r="AF426" s="195"/>
      <c r="AG426" s="195"/>
      <c r="AH426" s="6"/>
    </row>
    <row r="427" spans="1:34" ht="15.95" customHeight="1">
      <c r="A427" s="7"/>
      <c r="B427" s="10"/>
      <c r="C427" s="12"/>
      <c r="D427" s="194"/>
      <c r="E427" s="194"/>
      <c r="F427" s="193"/>
      <c r="G427" s="194"/>
      <c r="H427" s="193"/>
      <c r="I427" s="193"/>
      <c r="J427" s="194"/>
      <c r="K427" s="194"/>
      <c r="L427" s="285" t="s">
        <v>34</v>
      </c>
      <c r="M427" s="193"/>
      <c r="N427" s="47" t="str">
        <f t="shared" si="41"/>
        <v>FY2010-11</v>
      </c>
      <c r="O427" s="47" t="s">
        <v>153</v>
      </c>
      <c r="P427" s="47" t="s">
        <v>147</v>
      </c>
      <c r="Q427" s="47" t="s">
        <v>140</v>
      </c>
      <c r="R427" s="194"/>
      <c r="S427" s="194"/>
      <c r="T427" s="194"/>
      <c r="U427" s="194"/>
      <c r="V427" s="195"/>
      <c r="W427" s="195"/>
      <c r="X427" s="195"/>
      <c r="Y427" s="195"/>
      <c r="Z427" s="195"/>
      <c r="AA427" s="195"/>
      <c r="AB427" s="195"/>
      <c r="AC427" s="195"/>
      <c r="AD427" s="195"/>
      <c r="AE427" s="195"/>
      <c r="AF427" s="195"/>
      <c r="AG427" s="195"/>
    </row>
    <row r="428" spans="1:34" ht="15.95" customHeight="1">
      <c r="A428" s="7"/>
      <c r="B428" s="10"/>
      <c r="C428" s="12"/>
      <c r="D428" s="194"/>
      <c r="E428" s="194"/>
      <c r="F428" s="193"/>
      <c r="G428" s="194"/>
      <c r="H428" s="193"/>
      <c r="I428" s="193"/>
      <c r="J428" s="194"/>
      <c r="K428" s="194"/>
      <c r="L428" s="285" t="s">
        <v>34</v>
      </c>
      <c r="M428" s="193"/>
      <c r="N428" s="47" t="str">
        <f t="shared" si="41"/>
        <v>FY2010-11</v>
      </c>
      <c r="O428" s="47" t="s">
        <v>153</v>
      </c>
      <c r="P428" s="47" t="s">
        <v>147</v>
      </c>
      <c r="Q428" s="47" t="s">
        <v>140</v>
      </c>
      <c r="R428" s="194"/>
      <c r="S428" s="194"/>
      <c r="T428" s="194"/>
      <c r="U428" s="194"/>
      <c r="V428" s="195"/>
      <c r="W428" s="195"/>
      <c r="X428" s="195"/>
      <c r="Y428" s="195"/>
      <c r="Z428" s="195"/>
      <c r="AA428" s="195"/>
      <c r="AB428" s="195"/>
      <c r="AC428" s="195"/>
      <c r="AD428" s="195"/>
      <c r="AE428" s="195"/>
      <c r="AF428" s="195"/>
      <c r="AG428" s="195"/>
    </row>
    <row r="429" spans="1:34" ht="15.95" customHeight="1">
      <c r="A429" s="7"/>
      <c r="B429" s="10"/>
      <c r="C429" s="12"/>
      <c r="D429" s="194"/>
      <c r="E429" s="194"/>
      <c r="F429" s="193"/>
      <c r="G429" s="194"/>
      <c r="H429" s="193"/>
      <c r="I429" s="193"/>
      <c r="J429" s="194"/>
      <c r="K429" s="194"/>
      <c r="L429" s="285" t="s">
        <v>34</v>
      </c>
      <c r="M429" s="193"/>
      <c r="N429" s="47" t="str">
        <f t="shared" si="41"/>
        <v>FY2010-11</v>
      </c>
      <c r="O429" s="47" t="s">
        <v>153</v>
      </c>
      <c r="P429" s="47" t="s">
        <v>147</v>
      </c>
      <c r="Q429" s="47" t="s">
        <v>140</v>
      </c>
      <c r="R429" s="194"/>
      <c r="S429" s="194"/>
      <c r="T429" s="194"/>
      <c r="U429" s="194"/>
      <c r="V429" s="195"/>
      <c r="W429" s="195"/>
      <c r="X429" s="195"/>
      <c r="Y429" s="195"/>
      <c r="Z429" s="195"/>
      <c r="AA429" s="195"/>
      <c r="AB429" s="195"/>
      <c r="AC429" s="195"/>
      <c r="AD429" s="195"/>
      <c r="AE429" s="195"/>
      <c r="AF429" s="195"/>
      <c r="AG429" s="195"/>
    </row>
    <row r="430" spans="1:34" ht="15.95" customHeight="1">
      <c r="A430" s="7"/>
      <c r="B430" s="10"/>
      <c r="C430" s="12"/>
      <c r="D430" s="194"/>
      <c r="E430" s="194"/>
      <c r="F430" s="193"/>
      <c r="G430" s="194"/>
      <c r="H430" s="193"/>
      <c r="I430" s="193"/>
      <c r="J430" s="194"/>
      <c r="K430" s="194"/>
      <c r="L430" s="285" t="s">
        <v>34</v>
      </c>
      <c r="M430" s="193"/>
      <c r="N430" s="47" t="str">
        <f t="shared" si="41"/>
        <v>FY2010-11</v>
      </c>
      <c r="O430" s="47" t="s">
        <v>153</v>
      </c>
      <c r="P430" s="47" t="s">
        <v>147</v>
      </c>
      <c r="Q430" s="47" t="s">
        <v>140</v>
      </c>
      <c r="R430" s="194"/>
      <c r="S430" s="194"/>
      <c r="T430" s="194"/>
      <c r="U430" s="194"/>
      <c r="V430" s="195"/>
      <c r="W430" s="195"/>
      <c r="X430" s="195"/>
      <c r="Y430" s="195"/>
      <c r="Z430" s="195"/>
      <c r="AA430" s="195"/>
      <c r="AB430" s="195"/>
      <c r="AC430" s="195"/>
      <c r="AD430" s="195"/>
      <c r="AE430" s="195"/>
      <c r="AF430" s="195"/>
      <c r="AG430" s="195"/>
    </row>
    <row r="431" spans="1:34" ht="15.95" customHeight="1">
      <c r="A431" s="7"/>
      <c r="B431" s="10"/>
      <c r="C431" s="12"/>
      <c r="D431" s="194"/>
      <c r="E431" s="194"/>
      <c r="F431" s="193"/>
      <c r="G431" s="194"/>
      <c r="H431" s="193"/>
      <c r="I431" s="193"/>
      <c r="J431" s="194"/>
      <c r="K431" s="194"/>
      <c r="L431" s="285" t="s">
        <v>34</v>
      </c>
      <c r="M431" s="193"/>
      <c r="N431" s="47" t="str">
        <f t="shared" si="41"/>
        <v>FY2010-11</v>
      </c>
      <c r="O431" s="47" t="s">
        <v>153</v>
      </c>
      <c r="P431" s="47" t="s">
        <v>147</v>
      </c>
      <c r="Q431" s="47" t="s">
        <v>140</v>
      </c>
      <c r="R431" s="194"/>
      <c r="S431" s="194"/>
      <c r="T431" s="194"/>
      <c r="U431" s="194"/>
      <c r="V431" s="195"/>
      <c r="W431" s="195"/>
      <c r="X431" s="195"/>
      <c r="Y431" s="195"/>
      <c r="Z431" s="195"/>
      <c r="AA431" s="195"/>
      <c r="AB431" s="195"/>
      <c r="AC431" s="195"/>
      <c r="AD431" s="195"/>
      <c r="AE431" s="195"/>
      <c r="AF431" s="195"/>
      <c r="AG431" s="195"/>
    </row>
    <row r="432" spans="1:34" ht="15.95" customHeight="1">
      <c r="A432" s="21"/>
      <c r="B432" s="22"/>
      <c r="C432" s="22"/>
      <c r="D432" s="23"/>
      <c r="E432" s="23"/>
      <c r="F432" s="24"/>
      <c r="G432" s="23"/>
      <c r="H432" s="24"/>
      <c r="I432" s="24"/>
      <c r="J432" s="23"/>
      <c r="K432" s="23"/>
      <c r="L432" s="286"/>
      <c r="M432" s="24"/>
      <c r="N432" s="24"/>
      <c r="O432" s="23"/>
      <c r="P432" s="24"/>
      <c r="Q432" s="24"/>
      <c r="R432" s="23"/>
      <c r="S432" s="23"/>
      <c r="T432" s="23"/>
      <c r="U432" s="23"/>
      <c r="V432" s="21"/>
      <c r="W432" s="21"/>
      <c r="X432" s="21"/>
      <c r="Y432" s="21"/>
      <c r="Z432" s="21"/>
      <c r="AA432" s="21"/>
      <c r="AB432" s="21"/>
      <c r="AC432" s="21"/>
      <c r="AD432" s="21"/>
      <c r="AE432" s="21"/>
      <c r="AF432" s="21"/>
      <c r="AG432" s="21"/>
    </row>
    <row r="433" spans="1:34"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66"/>
      <c r="T433" s="867" t="str">
        <f>'$REV-DB'!$T$34</f>
        <v>UD1</v>
      </c>
      <c r="U433" s="867" t="str">
        <f>'$REV-DB'!$U$34</f>
        <v>UD2</v>
      </c>
      <c r="V433" s="867" t="str">
        <f>'$REV-DB'!$V$34</f>
        <v>UD3</v>
      </c>
      <c r="W433" s="867" t="str">
        <f>'$REV-DB'!$W$34</f>
        <v>UD4</v>
      </c>
      <c r="X433" s="867" t="str">
        <f>'$REV-DB'!$X$34</f>
        <v>UD5</v>
      </c>
      <c r="Y433" s="867" t="str">
        <f>'$REV-DB'!$Y$34</f>
        <v>UD6</v>
      </c>
      <c r="Z433" s="867" t="str">
        <f>'$REV-DB'!$Z$34</f>
        <v>UD7</v>
      </c>
      <c r="AA433" s="867" t="str">
        <f>'$REV-DB'!$AA$34</f>
        <v>UD8</v>
      </c>
      <c r="AB433" s="867" t="str">
        <f>'$REV-DB'!$AB$34</f>
        <v>UD9</v>
      </c>
      <c r="AC433" s="867" t="str">
        <f>'$REV-DB'!$AC$34</f>
        <v>UD10</v>
      </c>
      <c r="AD433" s="867" t="str">
        <f>'$REV-DB'!$AD$34</f>
        <v>UD11</v>
      </c>
      <c r="AE433" s="867" t="str">
        <f>'$REV-DB'!$AE$34</f>
        <v>UD12</v>
      </c>
      <c r="AF433" s="867" t="str">
        <f>'$REV-DB'!$AF$34</f>
        <v>UD13</v>
      </c>
      <c r="AG433" s="867" t="str">
        <f>'$REV-DB'!$AG$34</f>
        <v>UD14</v>
      </c>
    </row>
    <row r="434" spans="1:34" ht="15.95" customHeight="1" thickTop="1" thickBot="1">
      <c r="A434" s="7"/>
      <c r="B434" s="20" t="s">
        <v>4</v>
      </c>
      <c r="C434" s="15"/>
      <c r="D434" s="105" t="s">
        <v>186</v>
      </c>
      <c r="E434" s="105" t="s">
        <v>187</v>
      </c>
      <c r="F434" s="105" t="s">
        <v>188</v>
      </c>
      <c r="G434" s="105" t="s">
        <v>189</v>
      </c>
      <c r="H434" s="301" t="s">
        <v>11</v>
      </c>
      <c r="I434" s="301" t="s">
        <v>190</v>
      </c>
      <c r="J434" s="301" t="s">
        <v>191</v>
      </c>
      <c r="K434" s="301" t="s">
        <v>192</v>
      </c>
      <c r="L434" s="301" t="s">
        <v>203</v>
      </c>
      <c r="M434" s="301" t="s">
        <v>42</v>
      </c>
      <c r="N434" s="105" t="s">
        <v>148</v>
      </c>
      <c r="O434" s="105" t="s">
        <v>193</v>
      </c>
      <c r="P434" s="105" t="s">
        <v>142</v>
      </c>
      <c r="Q434" s="105" t="s">
        <v>194</v>
      </c>
      <c r="R434" s="112" t="s">
        <v>141</v>
      </c>
      <c r="S434" s="112" t="s">
        <v>672</v>
      </c>
      <c r="T434" s="857" t="s">
        <v>541</v>
      </c>
      <c r="U434" s="857" t="s">
        <v>542</v>
      </c>
      <c r="V434" s="857" t="s">
        <v>543</v>
      </c>
      <c r="W434" s="857" t="s">
        <v>544</v>
      </c>
      <c r="X434" s="857" t="s">
        <v>545</v>
      </c>
      <c r="Y434" s="857" t="s">
        <v>546</v>
      </c>
      <c r="Z434" s="857" t="s">
        <v>547</v>
      </c>
      <c r="AA434" s="857" t="s">
        <v>548</v>
      </c>
      <c r="AB434" s="857" t="s">
        <v>549</v>
      </c>
      <c r="AC434" s="857" t="s">
        <v>550</v>
      </c>
      <c r="AD434" s="857" t="s">
        <v>551</v>
      </c>
      <c r="AE434" s="857" t="s">
        <v>552</v>
      </c>
      <c r="AF434" s="857" t="s">
        <v>553</v>
      </c>
      <c r="AG434" s="857" t="s">
        <v>554</v>
      </c>
      <c r="AH434" s="6"/>
    </row>
    <row r="435" spans="1:34" ht="15.95" customHeight="1" thickTop="1">
      <c r="A435" s="7"/>
      <c r="B435" s="19" t="s">
        <v>146</v>
      </c>
      <c r="C435" s="12"/>
      <c r="D435" s="196"/>
      <c r="E435" s="196"/>
      <c r="F435" s="196"/>
      <c r="G435" s="196"/>
      <c r="H435" s="196"/>
      <c r="I435" s="196"/>
      <c r="J435" s="196"/>
      <c r="K435" s="196"/>
      <c r="L435" s="287" t="s">
        <v>34</v>
      </c>
      <c r="M435" s="196"/>
      <c r="N435" s="39" t="str">
        <f>J$6</f>
        <v>FY2010-11</v>
      </c>
      <c r="O435" s="39" t="s">
        <v>154</v>
      </c>
      <c r="P435" s="39" t="s">
        <v>138</v>
      </c>
      <c r="Q435" s="196"/>
      <c r="R435" s="196"/>
      <c r="S435" s="197"/>
      <c r="T435" s="197"/>
      <c r="U435" s="197"/>
      <c r="V435" s="198"/>
      <c r="W435" s="198"/>
      <c r="X435" s="198"/>
      <c r="Y435" s="198"/>
      <c r="Z435" s="198"/>
      <c r="AA435" s="198"/>
      <c r="AB435" s="198"/>
      <c r="AC435" s="198"/>
      <c r="AD435" s="198"/>
      <c r="AE435" s="198"/>
      <c r="AF435" s="198"/>
      <c r="AG435" s="198"/>
      <c r="AH435" s="6"/>
    </row>
    <row r="436" spans="1:34" ht="15.95" customHeight="1">
      <c r="A436" s="7"/>
      <c r="B436" s="16">
        <f>DSUM('$REV-DB'!D35:AG67,"AMOUNT",'$REV-DSUM'!D434:AG441)</f>
        <v>0</v>
      </c>
      <c r="C436" s="12"/>
      <c r="D436" s="196"/>
      <c r="E436" s="196"/>
      <c r="F436" s="196"/>
      <c r="G436" s="196"/>
      <c r="H436" s="196"/>
      <c r="I436" s="196"/>
      <c r="J436" s="196"/>
      <c r="K436" s="196"/>
      <c r="L436" s="287" t="s">
        <v>34</v>
      </c>
      <c r="M436" s="196"/>
      <c r="N436" s="39" t="str">
        <f t="shared" ref="N436:N441" si="42">J$6</f>
        <v>FY2010-11</v>
      </c>
      <c r="O436" s="39" t="s">
        <v>154</v>
      </c>
      <c r="P436" s="39" t="s">
        <v>138</v>
      </c>
      <c r="Q436" s="196"/>
      <c r="R436" s="196"/>
      <c r="S436" s="197"/>
      <c r="T436" s="197"/>
      <c r="U436" s="197"/>
      <c r="V436" s="198"/>
      <c r="W436" s="198"/>
      <c r="X436" s="198"/>
      <c r="Y436" s="198"/>
      <c r="Z436" s="198"/>
      <c r="AA436" s="198"/>
      <c r="AB436" s="198"/>
      <c r="AC436" s="198"/>
      <c r="AD436" s="198"/>
      <c r="AE436" s="198"/>
      <c r="AF436" s="198"/>
      <c r="AG436" s="198"/>
      <c r="AH436" s="6"/>
    </row>
    <row r="437" spans="1:34" ht="15.95" customHeight="1">
      <c r="A437" s="7"/>
      <c r="B437" s="10"/>
      <c r="C437" s="12"/>
      <c r="D437" s="196"/>
      <c r="E437" s="196"/>
      <c r="F437" s="196"/>
      <c r="G437" s="196"/>
      <c r="H437" s="196"/>
      <c r="I437" s="196"/>
      <c r="J437" s="196"/>
      <c r="K437" s="196"/>
      <c r="L437" s="287" t="s">
        <v>34</v>
      </c>
      <c r="M437" s="196"/>
      <c r="N437" s="39" t="str">
        <f t="shared" si="42"/>
        <v>FY2010-11</v>
      </c>
      <c r="O437" s="39" t="s">
        <v>154</v>
      </c>
      <c r="P437" s="39" t="s">
        <v>138</v>
      </c>
      <c r="Q437" s="196"/>
      <c r="R437" s="196"/>
      <c r="S437" s="197"/>
      <c r="T437" s="197"/>
      <c r="U437" s="197"/>
      <c r="V437" s="198"/>
      <c r="W437" s="198"/>
      <c r="X437" s="198"/>
      <c r="Y437" s="198"/>
      <c r="Z437" s="198"/>
      <c r="AA437" s="198"/>
      <c r="AB437" s="198"/>
      <c r="AC437" s="198"/>
      <c r="AD437" s="198"/>
      <c r="AE437" s="198"/>
      <c r="AF437" s="198"/>
      <c r="AG437" s="198"/>
    </row>
    <row r="438" spans="1:34" ht="15.95" customHeight="1">
      <c r="A438" s="7"/>
      <c r="B438" s="10"/>
      <c r="C438" s="12"/>
      <c r="D438" s="196"/>
      <c r="E438" s="196"/>
      <c r="F438" s="196"/>
      <c r="G438" s="196"/>
      <c r="H438" s="196"/>
      <c r="I438" s="196"/>
      <c r="J438" s="196"/>
      <c r="K438" s="196"/>
      <c r="L438" s="287" t="s">
        <v>34</v>
      </c>
      <c r="M438" s="196"/>
      <c r="N438" s="39" t="str">
        <f t="shared" si="42"/>
        <v>FY2010-11</v>
      </c>
      <c r="O438" s="39" t="s">
        <v>154</v>
      </c>
      <c r="P438" s="39" t="s">
        <v>138</v>
      </c>
      <c r="Q438" s="196"/>
      <c r="R438" s="196"/>
      <c r="S438" s="197"/>
      <c r="T438" s="197"/>
      <c r="U438" s="197"/>
      <c r="V438" s="198"/>
      <c r="W438" s="198"/>
      <c r="X438" s="198"/>
      <c r="Y438" s="198"/>
      <c r="Z438" s="198"/>
      <c r="AA438" s="198"/>
      <c r="AB438" s="198"/>
      <c r="AC438" s="198"/>
      <c r="AD438" s="198"/>
      <c r="AE438" s="198"/>
      <c r="AF438" s="198"/>
      <c r="AG438" s="198"/>
    </row>
    <row r="439" spans="1:34" ht="15.95" customHeight="1">
      <c r="A439" s="7"/>
      <c r="B439" s="10"/>
      <c r="C439" s="12"/>
      <c r="D439" s="196"/>
      <c r="E439" s="196"/>
      <c r="F439" s="196"/>
      <c r="G439" s="196"/>
      <c r="H439" s="196"/>
      <c r="I439" s="196"/>
      <c r="J439" s="196"/>
      <c r="K439" s="196"/>
      <c r="L439" s="287" t="s">
        <v>34</v>
      </c>
      <c r="M439" s="196"/>
      <c r="N439" s="39" t="str">
        <f t="shared" si="42"/>
        <v>FY2010-11</v>
      </c>
      <c r="O439" s="39" t="s">
        <v>154</v>
      </c>
      <c r="P439" s="39" t="s">
        <v>138</v>
      </c>
      <c r="Q439" s="196"/>
      <c r="R439" s="196"/>
      <c r="S439" s="197"/>
      <c r="T439" s="197"/>
      <c r="U439" s="197"/>
      <c r="V439" s="198"/>
      <c r="W439" s="198"/>
      <c r="X439" s="198"/>
      <c r="Y439" s="198"/>
      <c r="Z439" s="198"/>
      <c r="AA439" s="198"/>
      <c r="AB439" s="198"/>
      <c r="AC439" s="198"/>
      <c r="AD439" s="198"/>
      <c r="AE439" s="198"/>
      <c r="AF439" s="198"/>
      <c r="AG439" s="198"/>
    </row>
    <row r="440" spans="1:34" ht="15.95" customHeight="1">
      <c r="A440" s="7"/>
      <c r="B440" s="10"/>
      <c r="C440" s="12"/>
      <c r="D440" s="196"/>
      <c r="E440" s="196"/>
      <c r="F440" s="196"/>
      <c r="G440" s="196"/>
      <c r="H440" s="196"/>
      <c r="I440" s="196"/>
      <c r="J440" s="196"/>
      <c r="K440" s="196"/>
      <c r="L440" s="287" t="s">
        <v>34</v>
      </c>
      <c r="M440" s="196"/>
      <c r="N440" s="39" t="str">
        <f t="shared" si="42"/>
        <v>FY2010-11</v>
      </c>
      <c r="O440" s="39" t="s">
        <v>154</v>
      </c>
      <c r="P440" s="39" t="s">
        <v>138</v>
      </c>
      <c r="Q440" s="196"/>
      <c r="R440" s="196"/>
      <c r="S440" s="197"/>
      <c r="T440" s="197"/>
      <c r="U440" s="197"/>
      <c r="V440" s="198"/>
      <c r="W440" s="198"/>
      <c r="X440" s="198"/>
      <c r="Y440" s="198"/>
      <c r="Z440" s="198"/>
      <c r="AA440" s="198"/>
      <c r="AB440" s="198"/>
      <c r="AC440" s="198"/>
      <c r="AD440" s="198"/>
      <c r="AE440" s="198"/>
      <c r="AF440" s="198"/>
      <c r="AG440" s="198"/>
    </row>
    <row r="441" spans="1:34" ht="15.95" customHeight="1">
      <c r="A441" s="7"/>
      <c r="B441" s="10"/>
      <c r="C441" s="12"/>
      <c r="D441" s="196"/>
      <c r="E441" s="196"/>
      <c r="F441" s="196"/>
      <c r="G441" s="196"/>
      <c r="H441" s="196"/>
      <c r="I441" s="196"/>
      <c r="J441" s="196"/>
      <c r="K441" s="196"/>
      <c r="L441" s="287" t="s">
        <v>34</v>
      </c>
      <c r="M441" s="196"/>
      <c r="N441" s="39" t="str">
        <f t="shared" si="42"/>
        <v>FY2010-11</v>
      </c>
      <c r="O441" s="39" t="s">
        <v>154</v>
      </c>
      <c r="P441" s="39" t="s">
        <v>138</v>
      </c>
      <c r="Q441" s="196"/>
      <c r="R441" s="196"/>
      <c r="S441" s="197"/>
      <c r="T441" s="197"/>
      <c r="U441" s="197"/>
      <c r="V441" s="198"/>
      <c r="W441" s="198"/>
      <c r="X441" s="198"/>
      <c r="Y441" s="198"/>
      <c r="Z441" s="198"/>
      <c r="AA441" s="198"/>
      <c r="AB441" s="198"/>
      <c r="AC441" s="198"/>
      <c r="AD441" s="198"/>
      <c r="AE441" s="198"/>
      <c r="AF441" s="198"/>
      <c r="AG441" s="198"/>
    </row>
    <row r="442" spans="1:34" ht="15.95" customHeight="1">
      <c r="A442" s="21"/>
      <c r="B442" s="22"/>
      <c r="C442" s="22"/>
      <c r="D442" s="23"/>
      <c r="E442" s="23"/>
      <c r="F442" s="24"/>
      <c r="G442" s="23"/>
      <c r="H442" s="24"/>
      <c r="I442" s="24"/>
      <c r="J442" s="23"/>
      <c r="K442" s="23"/>
      <c r="L442" s="286"/>
      <c r="M442" s="24"/>
      <c r="N442" s="24"/>
      <c r="O442" s="23"/>
      <c r="P442" s="24"/>
      <c r="Q442" s="24"/>
      <c r="R442" s="23"/>
      <c r="S442" s="23"/>
      <c r="T442" s="23"/>
      <c r="U442" s="23"/>
      <c r="V442" s="21"/>
      <c r="W442" s="21"/>
      <c r="X442" s="21"/>
      <c r="Y442" s="21"/>
      <c r="Z442" s="21"/>
      <c r="AA442" s="21"/>
      <c r="AB442" s="21"/>
      <c r="AC442" s="21"/>
      <c r="AD442" s="21"/>
      <c r="AE442" s="21"/>
      <c r="AF442" s="21"/>
      <c r="AG442" s="21"/>
    </row>
    <row r="443" spans="1:34"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66"/>
      <c r="T443" s="867" t="str">
        <f>'$REV-DB'!$T$34</f>
        <v>UD1</v>
      </c>
      <c r="U443" s="867" t="str">
        <f>'$REV-DB'!$U$34</f>
        <v>UD2</v>
      </c>
      <c r="V443" s="867" t="str">
        <f>'$REV-DB'!$V$34</f>
        <v>UD3</v>
      </c>
      <c r="W443" s="867" t="str">
        <f>'$REV-DB'!$W$34</f>
        <v>UD4</v>
      </c>
      <c r="X443" s="867" t="str">
        <f>'$REV-DB'!$X$34</f>
        <v>UD5</v>
      </c>
      <c r="Y443" s="867" t="str">
        <f>'$REV-DB'!$Y$34</f>
        <v>UD6</v>
      </c>
      <c r="Z443" s="867" t="str">
        <f>'$REV-DB'!$Z$34</f>
        <v>UD7</v>
      </c>
      <c r="AA443" s="867" t="str">
        <f>'$REV-DB'!$AA$34</f>
        <v>UD8</v>
      </c>
      <c r="AB443" s="867" t="str">
        <f>'$REV-DB'!$AB$34</f>
        <v>UD9</v>
      </c>
      <c r="AC443" s="867" t="str">
        <f>'$REV-DB'!$AC$34</f>
        <v>UD10</v>
      </c>
      <c r="AD443" s="867" t="str">
        <f>'$REV-DB'!$AD$34</f>
        <v>UD11</v>
      </c>
      <c r="AE443" s="867" t="str">
        <f>'$REV-DB'!$AE$34</f>
        <v>UD12</v>
      </c>
      <c r="AF443" s="867" t="str">
        <f>'$REV-DB'!$AF$34</f>
        <v>UD13</v>
      </c>
      <c r="AG443" s="867" t="str">
        <f>'$REV-DB'!$AG$34</f>
        <v>UD14</v>
      </c>
    </row>
    <row r="444" spans="1:34" ht="15.95" customHeight="1" thickTop="1" thickBot="1">
      <c r="A444" s="7"/>
      <c r="B444" s="20" t="s">
        <v>4</v>
      </c>
      <c r="C444" s="15"/>
      <c r="D444" s="105" t="s">
        <v>186</v>
      </c>
      <c r="E444" s="105" t="s">
        <v>187</v>
      </c>
      <c r="F444" s="105" t="s">
        <v>188</v>
      </c>
      <c r="G444" s="105" t="s">
        <v>189</v>
      </c>
      <c r="H444" s="301" t="s">
        <v>11</v>
      </c>
      <c r="I444" s="301" t="s">
        <v>190</v>
      </c>
      <c r="J444" s="301" t="s">
        <v>191</v>
      </c>
      <c r="K444" s="301" t="s">
        <v>192</v>
      </c>
      <c r="L444" s="301" t="s">
        <v>203</v>
      </c>
      <c r="M444" s="301" t="s">
        <v>42</v>
      </c>
      <c r="N444" s="105" t="s">
        <v>148</v>
      </c>
      <c r="O444" s="105" t="s">
        <v>193</v>
      </c>
      <c r="P444" s="105" t="s">
        <v>142</v>
      </c>
      <c r="Q444" s="105" t="s">
        <v>194</v>
      </c>
      <c r="R444" s="112" t="s">
        <v>141</v>
      </c>
      <c r="S444" s="112" t="s">
        <v>672</v>
      </c>
      <c r="T444" s="857" t="s">
        <v>541</v>
      </c>
      <c r="U444" s="857" t="s">
        <v>542</v>
      </c>
      <c r="V444" s="857" t="s">
        <v>543</v>
      </c>
      <c r="W444" s="857" t="s">
        <v>544</v>
      </c>
      <c r="X444" s="857" t="s">
        <v>545</v>
      </c>
      <c r="Y444" s="857" t="s">
        <v>546</v>
      </c>
      <c r="Z444" s="857" t="s">
        <v>547</v>
      </c>
      <c r="AA444" s="857" t="s">
        <v>548</v>
      </c>
      <c r="AB444" s="857" t="s">
        <v>549</v>
      </c>
      <c r="AC444" s="857" t="s">
        <v>550</v>
      </c>
      <c r="AD444" s="857" t="s">
        <v>551</v>
      </c>
      <c r="AE444" s="857" t="s">
        <v>552</v>
      </c>
      <c r="AF444" s="857" t="s">
        <v>553</v>
      </c>
      <c r="AG444" s="857" t="s">
        <v>554</v>
      </c>
      <c r="AH444" s="6"/>
    </row>
    <row r="445" spans="1:34" ht="15.95" customHeight="1" thickTop="1">
      <c r="A445" s="7"/>
      <c r="B445" s="19" t="s">
        <v>145</v>
      </c>
      <c r="C445" s="12"/>
      <c r="D445" s="197"/>
      <c r="E445" s="197"/>
      <c r="F445" s="196"/>
      <c r="G445" s="197"/>
      <c r="H445" s="196"/>
      <c r="I445" s="196"/>
      <c r="J445" s="197"/>
      <c r="K445" s="197"/>
      <c r="L445" s="287" t="s">
        <v>34</v>
      </c>
      <c r="M445" s="196"/>
      <c r="N445" s="39" t="str">
        <f>J$6</f>
        <v>FY2010-11</v>
      </c>
      <c r="O445" s="39" t="s">
        <v>154</v>
      </c>
      <c r="P445" s="39" t="s">
        <v>138</v>
      </c>
      <c r="Q445" s="39" t="s">
        <v>180</v>
      </c>
      <c r="R445" s="197"/>
      <c r="S445" s="197"/>
      <c r="T445" s="197"/>
      <c r="U445" s="197"/>
      <c r="V445" s="198"/>
      <c r="W445" s="198"/>
      <c r="X445" s="198"/>
      <c r="Y445" s="198"/>
      <c r="Z445" s="198"/>
      <c r="AA445" s="198"/>
      <c r="AB445" s="198"/>
      <c r="AC445" s="198"/>
      <c r="AD445" s="198"/>
      <c r="AE445" s="198"/>
      <c r="AF445" s="198"/>
      <c r="AG445" s="198"/>
      <c r="AH445" s="6"/>
    </row>
    <row r="446" spans="1:34" ht="15.95" customHeight="1">
      <c r="A446" s="7"/>
      <c r="B446" s="16">
        <f>DSUM('$REV-DB'!D35:AG67,"AMOUNT",'$REV-DSUM'!D444:AG451)</f>
        <v>0</v>
      </c>
      <c r="C446" s="12"/>
      <c r="D446" s="197"/>
      <c r="E446" s="197"/>
      <c r="F446" s="196"/>
      <c r="G446" s="197"/>
      <c r="H446" s="196"/>
      <c r="I446" s="196"/>
      <c r="J446" s="197"/>
      <c r="K446" s="197"/>
      <c r="L446" s="287" t="s">
        <v>34</v>
      </c>
      <c r="M446" s="196"/>
      <c r="N446" s="39" t="str">
        <f t="shared" ref="N446:N451" si="43">J$6</f>
        <v>FY2010-11</v>
      </c>
      <c r="O446" s="39" t="s">
        <v>154</v>
      </c>
      <c r="P446" s="39" t="s">
        <v>138</v>
      </c>
      <c r="Q446" s="39" t="s">
        <v>180</v>
      </c>
      <c r="R446" s="197"/>
      <c r="S446" s="197"/>
      <c r="T446" s="197"/>
      <c r="U446" s="197"/>
      <c r="V446" s="198"/>
      <c r="W446" s="198"/>
      <c r="X446" s="198"/>
      <c r="Y446" s="198"/>
      <c r="Z446" s="198"/>
      <c r="AA446" s="198"/>
      <c r="AB446" s="198"/>
      <c r="AC446" s="198"/>
      <c r="AD446" s="198"/>
      <c r="AE446" s="198"/>
      <c r="AF446" s="198"/>
      <c r="AG446" s="198"/>
      <c r="AH446" s="6"/>
    </row>
    <row r="447" spans="1:34" ht="15.95" customHeight="1">
      <c r="A447" s="7"/>
      <c r="B447" s="10"/>
      <c r="C447" s="12"/>
      <c r="D447" s="197"/>
      <c r="E447" s="197"/>
      <c r="F447" s="196"/>
      <c r="G447" s="197"/>
      <c r="H447" s="196"/>
      <c r="I447" s="196"/>
      <c r="J447" s="197"/>
      <c r="K447" s="197"/>
      <c r="L447" s="287" t="s">
        <v>34</v>
      </c>
      <c r="M447" s="196"/>
      <c r="N447" s="39" t="str">
        <f t="shared" si="43"/>
        <v>FY2010-11</v>
      </c>
      <c r="O447" s="39" t="s">
        <v>154</v>
      </c>
      <c r="P447" s="39" t="s">
        <v>138</v>
      </c>
      <c r="Q447" s="39" t="s">
        <v>180</v>
      </c>
      <c r="R447" s="197"/>
      <c r="S447" s="197"/>
      <c r="T447" s="197"/>
      <c r="U447" s="197"/>
      <c r="V447" s="198"/>
      <c r="W447" s="198"/>
      <c r="X447" s="198"/>
      <c r="Y447" s="198"/>
      <c r="Z447" s="198"/>
      <c r="AA447" s="198"/>
      <c r="AB447" s="198"/>
      <c r="AC447" s="198"/>
      <c r="AD447" s="198"/>
      <c r="AE447" s="198"/>
      <c r="AF447" s="198"/>
      <c r="AG447" s="198"/>
    </row>
    <row r="448" spans="1:34" ht="15.95" customHeight="1">
      <c r="A448" s="7"/>
      <c r="B448" s="10"/>
      <c r="C448" s="12"/>
      <c r="D448" s="197"/>
      <c r="E448" s="197"/>
      <c r="F448" s="196"/>
      <c r="G448" s="197"/>
      <c r="H448" s="196"/>
      <c r="I448" s="196"/>
      <c r="J448" s="197"/>
      <c r="K448" s="197"/>
      <c r="L448" s="287" t="s">
        <v>34</v>
      </c>
      <c r="M448" s="196"/>
      <c r="N448" s="39" t="str">
        <f t="shared" si="43"/>
        <v>FY2010-11</v>
      </c>
      <c r="O448" s="39" t="s">
        <v>154</v>
      </c>
      <c r="P448" s="39" t="s">
        <v>138</v>
      </c>
      <c r="Q448" s="39" t="s">
        <v>180</v>
      </c>
      <c r="R448" s="197"/>
      <c r="S448" s="197"/>
      <c r="T448" s="197"/>
      <c r="U448" s="197"/>
      <c r="V448" s="198"/>
      <c r="W448" s="198"/>
      <c r="X448" s="198"/>
      <c r="Y448" s="198"/>
      <c r="Z448" s="198"/>
      <c r="AA448" s="198"/>
      <c r="AB448" s="198"/>
      <c r="AC448" s="198"/>
      <c r="AD448" s="198"/>
      <c r="AE448" s="198"/>
      <c r="AF448" s="198"/>
      <c r="AG448" s="198"/>
    </row>
    <row r="449" spans="1:34" ht="15.95" customHeight="1">
      <c r="A449" s="7"/>
      <c r="B449" s="10"/>
      <c r="C449" s="12"/>
      <c r="D449" s="197"/>
      <c r="E449" s="197"/>
      <c r="F449" s="196"/>
      <c r="G449" s="197"/>
      <c r="H449" s="196"/>
      <c r="I449" s="196"/>
      <c r="J449" s="197"/>
      <c r="K449" s="197"/>
      <c r="L449" s="287" t="s">
        <v>34</v>
      </c>
      <c r="M449" s="196"/>
      <c r="N449" s="39" t="str">
        <f t="shared" si="43"/>
        <v>FY2010-11</v>
      </c>
      <c r="O449" s="39" t="s">
        <v>154</v>
      </c>
      <c r="P449" s="39" t="s">
        <v>138</v>
      </c>
      <c r="Q449" s="39" t="s">
        <v>180</v>
      </c>
      <c r="R449" s="197"/>
      <c r="S449" s="197"/>
      <c r="T449" s="197"/>
      <c r="U449" s="197"/>
      <c r="V449" s="198"/>
      <c r="W449" s="198"/>
      <c r="X449" s="198"/>
      <c r="Y449" s="198"/>
      <c r="Z449" s="198"/>
      <c r="AA449" s="198"/>
      <c r="AB449" s="198"/>
      <c r="AC449" s="198"/>
      <c r="AD449" s="198"/>
      <c r="AE449" s="198"/>
      <c r="AF449" s="198"/>
      <c r="AG449" s="198"/>
    </row>
    <row r="450" spans="1:34" ht="15.95" customHeight="1">
      <c r="A450" s="7"/>
      <c r="B450" s="10"/>
      <c r="C450" s="12"/>
      <c r="D450" s="197"/>
      <c r="E450" s="197"/>
      <c r="F450" s="196"/>
      <c r="G450" s="197"/>
      <c r="H450" s="196"/>
      <c r="I450" s="196"/>
      <c r="J450" s="197"/>
      <c r="K450" s="197"/>
      <c r="L450" s="287" t="s">
        <v>34</v>
      </c>
      <c r="M450" s="196"/>
      <c r="N450" s="39" t="str">
        <f t="shared" si="43"/>
        <v>FY2010-11</v>
      </c>
      <c r="O450" s="39" t="s">
        <v>154</v>
      </c>
      <c r="P450" s="39" t="s">
        <v>138</v>
      </c>
      <c r="Q450" s="39" t="s">
        <v>180</v>
      </c>
      <c r="R450" s="197"/>
      <c r="S450" s="197"/>
      <c r="T450" s="197"/>
      <c r="U450" s="197"/>
      <c r="V450" s="198"/>
      <c r="W450" s="198"/>
      <c r="X450" s="198"/>
      <c r="Y450" s="198"/>
      <c r="Z450" s="198"/>
      <c r="AA450" s="198"/>
      <c r="AB450" s="198"/>
      <c r="AC450" s="198"/>
      <c r="AD450" s="198"/>
      <c r="AE450" s="198"/>
      <c r="AF450" s="198"/>
      <c r="AG450" s="198"/>
    </row>
    <row r="451" spans="1:34" ht="15.95" customHeight="1">
      <c r="A451" s="7"/>
      <c r="B451" s="10"/>
      <c r="C451" s="12"/>
      <c r="D451" s="197"/>
      <c r="E451" s="197"/>
      <c r="F451" s="196"/>
      <c r="G451" s="197"/>
      <c r="H451" s="196"/>
      <c r="I451" s="196"/>
      <c r="J451" s="197"/>
      <c r="K451" s="197"/>
      <c r="L451" s="287" t="s">
        <v>34</v>
      </c>
      <c r="M451" s="196"/>
      <c r="N451" s="39" t="str">
        <f t="shared" si="43"/>
        <v>FY2010-11</v>
      </c>
      <c r="O451" s="39" t="s">
        <v>154</v>
      </c>
      <c r="P451" s="39" t="s">
        <v>138</v>
      </c>
      <c r="Q451" s="39" t="s">
        <v>180</v>
      </c>
      <c r="R451" s="197"/>
      <c r="S451" s="197"/>
      <c r="T451" s="197"/>
      <c r="U451" s="197"/>
      <c r="V451" s="198"/>
      <c r="W451" s="198"/>
      <c r="X451" s="198"/>
      <c r="Y451" s="198"/>
      <c r="Z451" s="198"/>
      <c r="AA451" s="198"/>
      <c r="AB451" s="198"/>
      <c r="AC451" s="198"/>
      <c r="AD451" s="198"/>
      <c r="AE451" s="198"/>
      <c r="AF451" s="198"/>
      <c r="AG451" s="198"/>
    </row>
    <row r="452" spans="1:34" ht="15.95" customHeight="1">
      <c r="A452" s="21"/>
      <c r="B452" s="22"/>
      <c r="C452" s="22"/>
      <c r="D452" s="23"/>
      <c r="E452" s="23"/>
      <c r="F452" s="24"/>
      <c r="G452" s="23"/>
      <c r="H452" s="24"/>
      <c r="I452" s="24"/>
      <c r="J452" s="23"/>
      <c r="K452" s="23"/>
      <c r="L452" s="286"/>
      <c r="M452" s="24"/>
      <c r="N452" s="24"/>
      <c r="O452" s="23"/>
      <c r="P452" s="24"/>
      <c r="Q452" s="24"/>
      <c r="R452" s="23"/>
      <c r="S452" s="23"/>
      <c r="T452" s="23"/>
      <c r="U452" s="23"/>
      <c r="V452" s="21"/>
      <c r="W452" s="21"/>
      <c r="X452" s="21"/>
      <c r="Y452" s="21"/>
      <c r="Z452" s="21"/>
      <c r="AA452" s="21"/>
      <c r="AB452" s="21"/>
      <c r="AC452" s="21"/>
      <c r="AD452" s="21"/>
      <c r="AE452" s="21"/>
      <c r="AF452" s="21"/>
      <c r="AG452" s="21"/>
    </row>
    <row r="453" spans="1:34"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66"/>
      <c r="T453" s="867" t="str">
        <f>'$REV-DB'!$T$34</f>
        <v>UD1</v>
      </c>
      <c r="U453" s="867" t="str">
        <f>'$REV-DB'!$U$34</f>
        <v>UD2</v>
      </c>
      <c r="V453" s="867" t="str">
        <f>'$REV-DB'!$V$34</f>
        <v>UD3</v>
      </c>
      <c r="W453" s="867" t="str">
        <f>'$REV-DB'!$W$34</f>
        <v>UD4</v>
      </c>
      <c r="X453" s="867" t="str">
        <f>'$REV-DB'!$X$34</f>
        <v>UD5</v>
      </c>
      <c r="Y453" s="867" t="str">
        <f>'$REV-DB'!$Y$34</f>
        <v>UD6</v>
      </c>
      <c r="Z453" s="867" t="str">
        <f>'$REV-DB'!$Z$34</f>
        <v>UD7</v>
      </c>
      <c r="AA453" s="867" t="str">
        <f>'$REV-DB'!$AA$34</f>
        <v>UD8</v>
      </c>
      <c r="AB453" s="867" t="str">
        <f>'$REV-DB'!$AB$34</f>
        <v>UD9</v>
      </c>
      <c r="AC453" s="867" t="str">
        <f>'$REV-DB'!$AC$34</f>
        <v>UD10</v>
      </c>
      <c r="AD453" s="867" t="str">
        <f>'$REV-DB'!$AD$34</f>
        <v>UD11</v>
      </c>
      <c r="AE453" s="867" t="str">
        <f>'$REV-DB'!$AE$34</f>
        <v>UD12</v>
      </c>
      <c r="AF453" s="867" t="str">
        <f>'$REV-DB'!$AF$34</f>
        <v>UD13</v>
      </c>
      <c r="AG453" s="867" t="str">
        <f>'$REV-DB'!$AG$34</f>
        <v>UD14</v>
      </c>
    </row>
    <row r="454" spans="1:34" ht="15.95" customHeight="1" thickTop="1" thickBot="1">
      <c r="A454" s="7"/>
      <c r="B454" s="20" t="s">
        <v>4</v>
      </c>
      <c r="C454" s="15"/>
      <c r="D454" s="105" t="s">
        <v>186</v>
      </c>
      <c r="E454" s="105" t="s">
        <v>187</v>
      </c>
      <c r="F454" s="105" t="s">
        <v>188</v>
      </c>
      <c r="G454" s="105" t="s">
        <v>189</v>
      </c>
      <c r="H454" s="301" t="s">
        <v>11</v>
      </c>
      <c r="I454" s="301" t="s">
        <v>190</v>
      </c>
      <c r="J454" s="301" t="s">
        <v>191</v>
      </c>
      <c r="K454" s="301" t="s">
        <v>192</v>
      </c>
      <c r="L454" s="301" t="s">
        <v>203</v>
      </c>
      <c r="M454" s="301" t="s">
        <v>42</v>
      </c>
      <c r="N454" s="105" t="s">
        <v>148</v>
      </c>
      <c r="O454" s="105" t="s">
        <v>193</v>
      </c>
      <c r="P454" s="105" t="s">
        <v>142</v>
      </c>
      <c r="Q454" s="105" t="s">
        <v>194</v>
      </c>
      <c r="R454" s="112" t="s">
        <v>141</v>
      </c>
      <c r="S454" s="112" t="s">
        <v>672</v>
      </c>
      <c r="T454" s="857" t="s">
        <v>541</v>
      </c>
      <c r="U454" s="857" t="s">
        <v>542</v>
      </c>
      <c r="V454" s="857" t="s">
        <v>543</v>
      </c>
      <c r="W454" s="857" t="s">
        <v>544</v>
      </c>
      <c r="X454" s="857" t="s">
        <v>545</v>
      </c>
      <c r="Y454" s="857" t="s">
        <v>546</v>
      </c>
      <c r="Z454" s="857" t="s">
        <v>547</v>
      </c>
      <c r="AA454" s="857" t="s">
        <v>548</v>
      </c>
      <c r="AB454" s="857" t="s">
        <v>549</v>
      </c>
      <c r="AC454" s="857" t="s">
        <v>550</v>
      </c>
      <c r="AD454" s="857" t="s">
        <v>551</v>
      </c>
      <c r="AE454" s="857" t="s">
        <v>552</v>
      </c>
      <c r="AF454" s="857" t="s">
        <v>553</v>
      </c>
      <c r="AG454" s="857" t="s">
        <v>554</v>
      </c>
      <c r="AH454" s="6"/>
    </row>
    <row r="455" spans="1:34" ht="15.95" customHeight="1" thickTop="1">
      <c r="A455" s="7"/>
      <c r="B455" s="19" t="s">
        <v>144</v>
      </c>
      <c r="C455" s="12"/>
      <c r="D455" s="197"/>
      <c r="E455" s="197"/>
      <c r="F455" s="196"/>
      <c r="G455" s="197"/>
      <c r="H455" s="196"/>
      <c r="I455" s="196"/>
      <c r="J455" s="197"/>
      <c r="K455" s="197"/>
      <c r="L455" s="287" t="s">
        <v>34</v>
      </c>
      <c r="M455" s="196"/>
      <c r="N455" s="39" t="str">
        <f>J$6</f>
        <v>FY2010-11</v>
      </c>
      <c r="O455" s="39" t="s">
        <v>154</v>
      </c>
      <c r="P455" s="39" t="s">
        <v>138</v>
      </c>
      <c r="Q455" s="39" t="s">
        <v>139</v>
      </c>
      <c r="R455" s="197"/>
      <c r="S455" s="197"/>
      <c r="T455" s="197"/>
      <c r="U455" s="197"/>
      <c r="V455" s="198"/>
      <c r="W455" s="198"/>
      <c r="X455" s="198"/>
      <c r="Y455" s="198"/>
      <c r="Z455" s="198"/>
      <c r="AA455" s="198"/>
      <c r="AB455" s="198"/>
      <c r="AC455" s="198"/>
      <c r="AD455" s="198"/>
      <c r="AE455" s="198"/>
      <c r="AF455" s="198"/>
      <c r="AG455" s="198"/>
      <c r="AH455" s="6"/>
    </row>
    <row r="456" spans="1:34" ht="15.95" customHeight="1">
      <c r="A456" s="7"/>
      <c r="B456" s="16">
        <f>DSUM('$REV-DB'!D35:AG67,"AMOUNT",'$REV-DSUM'!D454:AG461)</f>
        <v>0</v>
      </c>
      <c r="C456" s="12"/>
      <c r="D456" s="197"/>
      <c r="E456" s="197"/>
      <c r="F456" s="196"/>
      <c r="G456" s="197"/>
      <c r="H456" s="196"/>
      <c r="I456" s="196"/>
      <c r="J456" s="197"/>
      <c r="K456" s="197"/>
      <c r="L456" s="287" t="s">
        <v>34</v>
      </c>
      <c r="M456" s="196"/>
      <c r="N456" s="39" t="str">
        <f t="shared" ref="N456:N461" si="44">J$6</f>
        <v>FY2010-11</v>
      </c>
      <c r="O456" s="39" t="s">
        <v>154</v>
      </c>
      <c r="P456" s="39" t="s">
        <v>138</v>
      </c>
      <c r="Q456" s="39" t="s">
        <v>139</v>
      </c>
      <c r="R456" s="197"/>
      <c r="S456" s="197"/>
      <c r="T456" s="197"/>
      <c r="U456" s="197"/>
      <c r="V456" s="198"/>
      <c r="W456" s="198"/>
      <c r="X456" s="198"/>
      <c r="Y456" s="198"/>
      <c r="Z456" s="198"/>
      <c r="AA456" s="198"/>
      <c r="AB456" s="198"/>
      <c r="AC456" s="198"/>
      <c r="AD456" s="198"/>
      <c r="AE456" s="198"/>
      <c r="AF456" s="198"/>
      <c r="AG456" s="198"/>
      <c r="AH456" s="6"/>
    </row>
    <row r="457" spans="1:34" ht="15.95" customHeight="1">
      <c r="A457" s="7"/>
      <c r="B457" s="10"/>
      <c r="C457" s="12"/>
      <c r="D457" s="197"/>
      <c r="E457" s="197"/>
      <c r="F457" s="196"/>
      <c r="G457" s="197"/>
      <c r="H457" s="196"/>
      <c r="I457" s="196"/>
      <c r="J457" s="197"/>
      <c r="K457" s="197"/>
      <c r="L457" s="287" t="s">
        <v>34</v>
      </c>
      <c r="M457" s="196"/>
      <c r="N457" s="39" t="str">
        <f t="shared" si="44"/>
        <v>FY2010-11</v>
      </c>
      <c r="O457" s="39" t="s">
        <v>154</v>
      </c>
      <c r="P457" s="39" t="s">
        <v>138</v>
      </c>
      <c r="Q457" s="39" t="s">
        <v>139</v>
      </c>
      <c r="R457" s="197"/>
      <c r="S457" s="197"/>
      <c r="T457" s="197"/>
      <c r="U457" s="197"/>
      <c r="V457" s="198"/>
      <c r="W457" s="198"/>
      <c r="X457" s="198"/>
      <c r="Y457" s="198"/>
      <c r="Z457" s="198"/>
      <c r="AA457" s="198"/>
      <c r="AB457" s="198"/>
      <c r="AC457" s="198"/>
      <c r="AD457" s="198"/>
      <c r="AE457" s="198"/>
      <c r="AF457" s="198"/>
      <c r="AG457" s="198"/>
    </row>
    <row r="458" spans="1:34" ht="15.95" customHeight="1">
      <c r="A458" s="7"/>
      <c r="B458" s="10"/>
      <c r="C458" s="12"/>
      <c r="D458" s="197"/>
      <c r="E458" s="197"/>
      <c r="F458" s="196"/>
      <c r="G458" s="197"/>
      <c r="H458" s="196"/>
      <c r="I458" s="196"/>
      <c r="J458" s="197"/>
      <c r="K458" s="197"/>
      <c r="L458" s="287" t="s">
        <v>34</v>
      </c>
      <c r="M458" s="196"/>
      <c r="N458" s="39" t="str">
        <f t="shared" si="44"/>
        <v>FY2010-11</v>
      </c>
      <c r="O458" s="39" t="s">
        <v>154</v>
      </c>
      <c r="P458" s="39" t="s">
        <v>138</v>
      </c>
      <c r="Q458" s="39" t="s">
        <v>139</v>
      </c>
      <c r="R458" s="197"/>
      <c r="S458" s="197"/>
      <c r="T458" s="197"/>
      <c r="U458" s="197"/>
      <c r="V458" s="198"/>
      <c r="W458" s="198"/>
      <c r="X458" s="198"/>
      <c r="Y458" s="198"/>
      <c r="Z458" s="198"/>
      <c r="AA458" s="198"/>
      <c r="AB458" s="198"/>
      <c r="AC458" s="198"/>
      <c r="AD458" s="198"/>
      <c r="AE458" s="198"/>
      <c r="AF458" s="198"/>
      <c r="AG458" s="198"/>
    </row>
    <row r="459" spans="1:34" ht="15.95" customHeight="1">
      <c r="A459" s="7"/>
      <c r="B459" s="10"/>
      <c r="C459" s="12"/>
      <c r="D459" s="197"/>
      <c r="E459" s="197"/>
      <c r="F459" s="196"/>
      <c r="G459" s="197"/>
      <c r="H459" s="196"/>
      <c r="I459" s="196"/>
      <c r="J459" s="197"/>
      <c r="K459" s="197"/>
      <c r="L459" s="287" t="s">
        <v>34</v>
      </c>
      <c r="M459" s="196"/>
      <c r="N459" s="39" t="str">
        <f t="shared" si="44"/>
        <v>FY2010-11</v>
      </c>
      <c r="O459" s="39" t="s">
        <v>154</v>
      </c>
      <c r="P459" s="39" t="s">
        <v>138</v>
      </c>
      <c r="Q459" s="39" t="s">
        <v>139</v>
      </c>
      <c r="R459" s="197"/>
      <c r="S459" s="197"/>
      <c r="T459" s="197"/>
      <c r="U459" s="197"/>
      <c r="V459" s="198"/>
      <c r="W459" s="198"/>
      <c r="X459" s="198"/>
      <c r="Y459" s="198"/>
      <c r="Z459" s="198"/>
      <c r="AA459" s="198"/>
      <c r="AB459" s="198"/>
      <c r="AC459" s="198"/>
      <c r="AD459" s="198"/>
      <c r="AE459" s="198"/>
      <c r="AF459" s="198"/>
      <c r="AG459" s="198"/>
    </row>
    <row r="460" spans="1:34" ht="15.95" customHeight="1">
      <c r="A460" s="7"/>
      <c r="B460" s="10"/>
      <c r="C460" s="12"/>
      <c r="D460" s="197"/>
      <c r="E460" s="197"/>
      <c r="F460" s="196"/>
      <c r="G460" s="197"/>
      <c r="H460" s="196"/>
      <c r="I460" s="196"/>
      <c r="J460" s="197"/>
      <c r="K460" s="197"/>
      <c r="L460" s="287" t="s">
        <v>34</v>
      </c>
      <c r="M460" s="196"/>
      <c r="N460" s="39" t="str">
        <f t="shared" si="44"/>
        <v>FY2010-11</v>
      </c>
      <c r="O460" s="39" t="s">
        <v>154</v>
      </c>
      <c r="P460" s="39" t="s">
        <v>138</v>
      </c>
      <c r="Q460" s="39" t="s">
        <v>139</v>
      </c>
      <c r="R460" s="197"/>
      <c r="S460" s="197"/>
      <c r="T460" s="197"/>
      <c r="U460" s="197"/>
      <c r="V460" s="198"/>
      <c r="W460" s="198"/>
      <c r="X460" s="198"/>
      <c r="Y460" s="198"/>
      <c r="Z460" s="198"/>
      <c r="AA460" s="198"/>
      <c r="AB460" s="198"/>
      <c r="AC460" s="198"/>
      <c r="AD460" s="198"/>
      <c r="AE460" s="198"/>
      <c r="AF460" s="198"/>
      <c r="AG460" s="198"/>
    </row>
    <row r="461" spans="1:34" ht="15.95" customHeight="1">
      <c r="A461" s="7"/>
      <c r="B461" s="10"/>
      <c r="C461" s="12"/>
      <c r="D461" s="197"/>
      <c r="E461" s="197"/>
      <c r="F461" s="196"/>
      <c r="G461" s="197"/>
      <c r="H461" s="196"/>
      <c r="I461" s="196"/>
      <c r="J461" s="197"/>
      <c r="K461" s="197"/>
      <c r="L461" s="287" t="s">
        <v>34</v>
      </c>
      <c r="M461" s="196"/>
      <c r="N461" s="39" t="str">
        <f t="shared" si="44"/>
        <v>FY2010-11</v>
      </c>
      <c r="O461" s="39" t="s">
        <v>154</v>
      </c>
      <c r="P461" s="39" t="s">
        <v>138</v>
      </c>
      <c r="Q461" s="39" t="s">
        <v>139</v>
      </c>
      <c r="R461" s="197"/>
      <c r="S461" s="197"/>
      <c r="T461" s="197"/>
      <c r="U461" s="197"/>
      <c r="V461" s="198"/>
      <c r="W461" s="198"/>
      <c r="X461" s="198"/>
      <c r="Y461" s="198"/>
      <c r="Z461" s="198"/>
      <c r="AA461" s="198"/>
      <c r="AB461" s="198"/>
      <c r="AC461" s="198"/>
      <c r="AD461" s="198"/>
      <c r="AE461" s="198"/>
      <c r="AF461" s="198"/>
      <c r="AG461" s="198"/>
    </row>
    <row r="462" spans="1:34" ht="15.95" customHeight="1">
      <c r="A462" s="21"/>
      <c r="B462" s="22"/>
      <c r="C462" s="22"/>
      <c r="D462" s="23"/>
      <c r="E462" s="23"/>
      <c r="F462" s="24"/>
      <c r="G462" s="23"/>
      <c r="H462" s="24"/>
      <c r="I462" s="24"/>
      <c r="J462" s="23"/>
      <c r="K462" s="23"/>
      <c r="L462" s="286"/>
      <c r="M462" s="24"/>
      <c r="N462" s="24"/>
      <c r="O462" s="23"/>
      <c r="P462" s="24"/>
      <c r="Q462" s="24"/>
      <c r="R462" s="23"/>
      <c r="S462" s="23"/>
      <c r="T462" s="23"/>
      <c r="U462" s="23"/>
      <c r="V462" s="21"/>
      <c r="W462" s="21"/>
      <c r="X462" s="21"/>
      <c r="Y462" s="21"/>
      <c r="Z462" s="21"/>
      <c r="AA462" s="21"/>
      <c r="AB462" s="21"/>
      <c r="AC462" s="21"/>
      <c r="AD462" s="21"/>
      <c r="AE462" s="21"/>
      <c r="AF462" s="21"/>
      <c r="AG462" s="21"/>
    </row>
    <row r="463" spans="1:34"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66"/>
      <c r="T463" s="867" t="str">
        <f>'$REV-DB'!$T$34</f>
        <v>UD1</v>
      </c>
      <c r="U463" s="867" t="str">
        <f>'$REV-DB'!$U$34</f>
        <v>UD2</v>
      </c>
      <c r="V463" s="867" t="str">
        <f>'$REV-DB'!$V$34</f>
        <v>UD3</v>
      </c>
      <c r="W463" s="867" t="str">
        <f>'$REV-DB'!$W$34</f>
        <v>UD4</v>
      </c>
      <c r="X463" s="867" t="str">
        <f>'$REV-DB'!$X$34</f>
        <v>UD5</v>
      </c>
      <c r="Y463" s="867" t="str">
        <f>'$REV-DB'!$Y$34</f>
        <v>UD6</v>
      </c>
      <c r="Z463" s="867" t="str">
        <f>'$REV-DB'!$Z$34</f>
        <v>UD7</v>
      </c>
      <c r="AA463" s="867" t="str">
        <f>'$REV-DB'!$AA$34</f>
        <v>UD8</v>
      </c>
      <c r="AB463" s="867" t="str">
        <f>'$REV-DB'!$AB$34</f>
        <v>UD9</v>
      </c>
      <c r="AC463" s="867" t="str">
        <f>'$REV-DB'!$AC$34</f>
        <v>UD10</v>
      </c>
      <c r="AD463" s="867" t="str">
        <f>'$REV-DB'!$AD$34</f>
        <v>UD11</v>
      </c>
      <c r="AE463" s="867" t="str">
        <f>'$REV-DB'!$AE$34</f>
        <v>UD12</v>
      </c>
      <c r="AF463" s="867" t="str">
        <f>'$REV-DB'!$AF$34</f>
        <v>UD13</v>
      </c>
      <c r="AG463" s="867" t="str">
        <f>'$REV-DB'!$AG$34</f>
        <v>UD14</v>
      </c>
    </row>
    <row r="464" spans="1:34" ht="15.95" customHeight="1" thickTop="1" thickBot="1">
      <c r="A464" s="7"/>
      <c r="B464" s="20" t="s">
        <v>4</v>
      </c>
      <c r="C464" s="15"/>
      <c r="D464" s="105" t="s">
        <v>186</v>
      </c>
      <c r="E464" s="105" t="s">
        <v>187</v>
      </c>
      <c r="F464" s="105" t="s">
        <v>188</v>
      </c>
      <c r="G464" s="105" t="s">
        <v>189</v>
      </c>
      <c r="H464" s="301" t="s">
        <v>11</v>
      </c>
      <c r="I464" s="301" t="s">
        <v>190</v>
      </c>
      <c r="J464" s="301" t="s">
        <v>191</v>
      </c>
      <c r="K464" s="301" t="s">
        <v>192</v>
      </c>
      <c r="L464" s="301" t="s">
        <v>203</v>
      </c>
      <c r="M464" s="301" t="s">
        <v>42</v>
      </c>
      <c r="N464" s="105" t="s">
        <v>148</v>
      </c>
      <c r="O464" s="105" t="s">
        <v>193</v>
      </c>
      <c r="P464" s="105" t="s">
        <v>142</v>
      </c>
      <c r="Q464" s="105" t="s">
        <v>194</v>
      </c>
      <c r="R464" s="112" t="s">
        <v>141</v>
      </c>
      <c r="S464" s="112" t="s">
        <v>672</v>
      </c>
      <c r="T464" s="857" t="s">
        <v>541</v>
      </c>
      <c r="U464" s="857" t="s">
        <v>542</v>
      </c>
      <c r="V464" s="857" t="s">
        <v>543</v>
      </c>
      <c r="W464" s="857" t="s">
        <v>544</v>
      </c>
      <c r="X464" s="857" t="s">
        <v>545</v>
      </c>
      <c r="Y464" s="857" t="s">
        <v>546</v>
      </c>
      <c r="Z464" s="857" t="s">
        <v>547</v>
      </c>
      <c r="AA464" s="857" t="s">
        <v>548</v>
      </c>
      <c r="AB464" s="857" t="s">
        <v>549</v>
      </c>
      <c r="AC464" s="857" t="s">
        <v>550</v>
      </c>
      <c r="AD464" s="857" t="s">
        <v>551</v>
      </c>
      <c r="AE464" s="857" t="s">
        <v>552</v>
      </c>
      <c r="AF464" s="857" t="s">
        <v>553</v>
      </c>
      <c r="AG464" s="857" t="s">
        <v>554</v>
      </c>
      <c r="AH464" s="6"/>
    </row>
    <row r="465" spans="1:34" ht="15.95" customHeight="1" thickTop="1">
      <c r="A465" s="7"/>
      <c r="B465" s="19" t="s">
        <v>143</v>
      </c>
      <c r="C465" s="12"/>
      <c r="D465" s="197"/>
      <c r="E465" s="197"/>
      <c r="F465" s="196"/>
      <c r="G465" s="197"/>
      <c r="H465" s="196"/>
      <c r="I465" s="196"/>
      <c r="J465" s="197"/>
      <c r="K465" s="197"/>
      <c r="L465" s="287" t="s">
        <v>34</v>
      </c>
      <c r="M465" s="196"/>
      <c r="N465" s="39" t="str">
        <f>J$6</f>
        <v>FY2010-11</v>
      </c>
      <c r="O465" s="39" t="s">
        <v>154</v>
      </c>
      <c r="P465" s="39" t="s">
        <v>138</v>
      </c>
      <c r="Q465" s="39" t="s">
        <v>179</v>
      </c>
      <c r="R465" s="197"/>
      <c r="S465" s="197"/>
      <c r="T465" s="197"/>
      <c r="U465" s="197"/>
      <c r="V465" s="198"/>
      <c r="W465" s="198"/>
      <c r="X465" s="198"/>
      <c r="Y465" s="198"/>
      <c r="Z465" s="198"/>
      <c r="AA465" s="198"/>
      <c r="AB465" s="198"/>
      <c r="AC465" s="198"/>
      <c r="AD465" s="198"/>
      <c r="AE465" s="198"/>
      <c r="AF465" s="198"/>
      <c r="AG465" s="198"/>
      <c r="AH465" s="6"/>
    </row>
    <row r="466" spans="1:34" ht="15.95" customHeight="1">
      <c r="A466" s="7"/>
      <c r="B466" s="16">
        <f>DSUM('$REV-DB'!D35:AG67,"AMOUNT",'$REV-DSUM'!D464:AG471)</f>
        <v>0</v>
      </c>
      <c r="C466" s="12"/>
      <c r="D466" s="197"/>
      <c r="E466" s="197"/>
      <c r="F466" s="196"/>
      <c r="G466" s="197"/>
      <c r="H466" s="196"/>
      <c r="I466" s="196"/>
      <c r="J466" s="197"/>
      <c r="K466" s="197"/>
      <c r="L466" s="287" t="s">
        <v>34</v>
      </c>
      <c r="M466" s="196"/>
      <c r="N466" s="39" t="str">
        <f t="shared" ref="N466:N471" si="45">J$6</f>
        <v>FY2010-11</v>
      </c>
      <c r="O466" s="39" t="s">
        <v>154</v>
      </c>
      <c r="P466" s="39" t="s">
        <v>138</v>
      </c>
      <c r="Q466" s="39" t="s">
        <v>179</v>
      </c>
      <c r="R466" s="197"/>
      <c r="S466" s="197"/>
      <c r="T466" s="197"/>
      <c r="U466" s="197"/>
      <c r="V466" s="198"/>
      <c r="W466" s="198"/>
      <c r="X466" s="198"/>
      <c r="Y466" s="198"/>
      <c r="Z466" s="198"/>
      <c r="AA466" s="198"/>
      <c r="AB466" s="198"/>
      <c r="AC466" s="198"/>
      <c r="AD466" s="198"/>
      <c r="AE466" s="198"/>
      <c r="AF466" s="198"/>
      <c r="AG466" s="198"/>
      <c r="AH466" s="6"/>
    </row>
    <row r="467" spans="1:34" ht="15.95" customHeight="1">
      <c r="A467" s="7"/>
      <c r="B467" s="10"/>
      <c r="C467" s="12"/>
      <c r="D467" s="197"/>
      <c r="E467" s="197"/>
      <c r="F467" s="196"/>
      <c r="G467" s="197"/>
      <c r="H467" s="196"/>
      <c r="I467" s="196"/>
      <c r="J467" s="197"/>
      <c r="K467" s="197"/>
      <c r="L467" s="287" t="s">
        <v>34</v>
      </c>
      <c r="M467" s="196"/>
      <c r="N467" s="39" t="str">
        <f t="shared" si="45"/>
        <v>FY2010-11</v>
      </c>
      <c r="O467" s="39" t="s">
        <v>154</v>
      </c>
      <c r="P467" s="39" t="s">
        <v>138</v>
      </c>
      <c r="Q467" s="39" t="s">
        <v>179</v>
      </c>
      <c r="R467" s="197"/>
      <c r="S467" s="197"/>
      <c r="T467" s="197"/>
      <c r="U467" s="197"/>
      <c r="V467" s="198"/>
      <c r="W467" s="198"/>
      <c r="X467" s="198"/>
      <c r="Y467" s="198"/>
      <c r="Z467" s="198"/>
      <c r="AA467" s="198"/>
      <c r="AB467" s="198"/>
      <c r="AC467" s="198"/>
      <c r="AD467" s="198"/>
      <c r="AE467" s="198"/>
      <c r="AF467" s="198"/>
      <c r="AG467" s="198"/>
    </row>
    <row r="468" spans="1:34" ht="15.95" customHeight="1">
      <c r="A468" s="7"/>
      <c r="B468" s="10"/>
      <c r="C468" s="12"/>
      <c r="D468" s="197"/>
      <c r="E468" s="197"/>
      <c r="F468" s="196"/>
      <c r="G468" s="197"/>
      <c r="H468" s="196"/>
      <c r="I468" s="196"/>
      <c r="J468" s="197"/>
      <c r="K468" s="197"/>
      <c r="L468" s="287" t="s">
        <v>34</v>
      </c>
      <c r="M468" s="196"/>
      <c r="N468" s="39" t="str">
        <f t="shared" si="45"/>
        <v>FY2010-11</v>
      </c>
      <c r="O468" s="39" t="s">
        <v>154</v>
      </c>
      <c r="P468" s="39" t="s">
        <v>138</v>
      </c>
      <c r="Q468" s="39" t="s">
        <v>179</v>
      </c>
      <c r="R468" s="197"/>
      <c r="S468" s="197"/>
      <c r="T468" s="197"/>
      <c r="U468" s="197"/>
      <c r="V468" s="198"/>
      <c r="W468" s="198"/>
      <c r="X468" s="198"/>
      <c r="Y468" s="198"/>
      <c r="Z468" s="198"/>
      <c r="AA468" s="198"/>
      <c r="AB468" s="198"/>
      <c r="AC468" s="198"/>
      <c r="AD468" s="198"/>
      <c r="AE468" s="198"/>
      <c r="AF468" s="198"/>
      <c r="AG468" s="198"/>
    </row>
    <row r="469" spans="1:34" ht="15.95" customHeight="1">
      <c r="A469" s="7"/>
      <c r="B469" s="10"/>
      <c r="C469" s="12"/>
      <c r="D469" s="197"/>
      <c r="E469" s="197"/>
      <c r="F469" s="196"/>
      <c r="G469" s="197"/>
      <c r="H469" s="196"/>
      <c r="I469" s="196"/>
      <c r="J469" s="197"/>
      <c r="K469" s="197"/>
      <c r="L469" s="287" t="s">
        <v>34</v>
      </c>
      <c r="M469" s="196"/>
      <c r="N469" s="39" t="str">
        <f t="shared" si="45"/>
        <v>FY2010-11</v>
      </c>
      <c r="O469" s="39" t="s">
        <v>154</v>
      </c>
      <c r="P469" s="39" t="s">
        <v>138</v>
      </c>
      <c r="Q469" s="39" t="s">
        <v>179</v>
      </c>
      <c r="R469" s="197"/>
      <c r="S469" s="197"/>
      <c r="T469" s="197"/>
      <c r="U469" s="197"/>
      <c r="V469" s="198"/>
      <c r="W469" s="198"/>
      <c r="X469" s="198"/>
      <c r="Y469" s="198"/>
      <c r="Z469" s="198"/>
      <c r="AA469" s="198"/>
      <c r="AB469" s="198"/>
      <c r="AC469" s="198"/>
      <c r="AD469" s="198"/>
      <c r="AE469" s="198"/>
      <c r="AF469" s="198"/>
      <c r="AG469" s="198"/>
    </row>
    <row r="470" spans="1:34" ht="15.95" customHeight="1">
      <c r="A470" s="7"/>
      <c r="B470" s="10"/>
      <c r="C470" s="12"/>
      <c r="D470" s="197"/>
      <c r="E470" s="197"/>
      <c r="F470" s="196"/>
      <c r="G470" s="197"/>
      <c r="H470" s="196"/>
      <c r="I470" s="196"/>
      <c r="J470" s="197"/>
      <c r="K470" s="197"/>
      <c r="L470" s="287" t="s">
        <v>34</v>
      </c>
      <c r="M470" s="196"/>
      <c r="N470" s="39" t="str">
        <f t="shared" si="45"/>
        <v>FY2010-11</v>
      </c>
      <c r="O470" s="39" t="s">
        <v>154</v>
      </c>
      <c r="P470" s="39" t="s">
        <v>138</v>
      </c>
      <c r="Q470" s="39" t="s">
        <v>179</v>
      </c>
      <c r="R470" s="197"/>
      <c r="S470" s="197"/>
      <c r="T470" s="197"/>
      <c r="U470" s="197"/>
      <c r="V470" s="198"/>
      <c r="W470" s="198"/>
      <c r="X470" s="198"/>
      <c r="Y470" s="198"/>
      <c r="Z470" s="198"/>
      <c r="AA470" s="198"/>
      <c r="AB470" s="198"/>
      <c r="AC470" s="198"/>
      <c r="AD470" s="198"/>
      <c r="AE470" s="198"/>
      <c r="AF470" s="198"/>
      <c r="AG470" s="198"/>
    </row>
    <row r="471" spans="1:34" ht="15.95" customHeight="1">
      <c r="A471" s="7"/>
      <c r="B471" s="10"/>
      <c r="C471" s="12"/>
      <c r="D471" s="197"/>
      <c r="E471" s="197"/>
      <c r="F471" s="196"/>
      <c r="G471" s="197"/>
      <c r="H471" s="196"/>
      <c r="I471" s="196"/>
      <c r="J471" s="197"/>
      <c r="K471" s="197"/>
      <c r="L471" s="287" t="s">
        <v>34</v>
      </c>
      <c r="M471" s="196"/>
      <c r="N471" s="39" t="str">
        <f t="shared" si="45"/>
        <v>FY2010-11</v>
      </c>
      <c r="O471" s="39" t="s">
        <v>154</v>
      </c>
      <c r="P471" s="39" t="s">
        <v>138</v>
      </c>
      <c r="Q471" s="39" t="s">
        <v>179</v>
      </c>
      <c r="R471" s="197"/>
      <c r="S471" s="197"/>
      <c r="T471" s="197"/>
      <c r="U471" s="197"/>
      <c r="V471" s="198"/>
      <c r="W471" s="198"/>
      <c r="X471" s="198"/>
      <c r="Y471" s="198"/>
      <c r="Z471" s="198"/>
      <c r="AA471" s="198"/>
      <c r="AB471" s="198"/>
      <c r="AC471" s="198"/>
      <c r="AD471" s="198"/>
      <c r="AE471" s="198"/>
      <c r="AF471" s="198"/>
      <c r="AG471" s="198"/>
    </row>
    <row r="472" spans="1:34" ht="15.95" customHeight="1">
      <c r="A472" s="21"/>
      <c r="B472" s="22"/>
      <c r="C472" s="22"/>
      <c r="D472" s="23"/>
      <c r="E472" s="23"/>
      <c r="F472" s="24"/>
      <c r="G472" s="23"/>
      <c r="H472" s="24"/>
      <c r="I472" s="24"/>
      <c r="J472" s="23"/>
      <c r="K472" s="23"/>
      <c r="L472" s="286"/>
      <c r="M472" s="24"/>
      <c r="N472" s="24"/>
      <c r="O472" s="23"/>
      <c r="P472" s="24"/>
      <c r="Q472" s="24"/>
      <c r="R472" s="23"/>
      <c r="S472" s="23"/>
      <c r="T472" s="23"/>
      <c r="U472" s="23"/>
      <c r="V472" s="21"/>
      <c r="W472" s="21"/>
      <c r="X472" s="21"/>
      <c r="Y472" s="21"/>
      <c r="Z472" s="21"/>
      <c r="AA472" s="21"/>
      <c r="AB472" s="21"/>
      <c r="AC472" s="21"/>
      <c r="AD472" s="21"/>
      <c r="AE472" s="21"/>
      <c r="AF472" s="21"/>
      <c r="AG472" s="21"/>
    </row>
    <row r="473" spans="1:34"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66"/>
      <c r="T473" s="867" t="str">
        <f>'$REV-DB'!$T$34</f>
        <v>UD1</v>
      </c>
      <c r="U473" s="867" t="str">
        <f>'$REV-DB'!$U$34</f>
        <v>UD2</v>
      </c>
      <c r="V473" s="867" t="str">
        <f>'$REV-DB'!$V$34</f>
        <v>UD3</v>
      </c>
      <c r="W473" s="867" t="str">
        <f>'$REV-DB'!$W$34</f>
        <v>UD4</v>
      </c>
      <c r="X473" s="867" t="str">
        <f>'$REV-DB'!$X$34</f>
        <v>UD5</v>
      </c>
      <c r="Y473" s="867" t="str">
        <f>'$REV-DB'!$Y$34</f>
        <v>UD6</v>
      </c>
      <c r="Z473" s="867" t="str">
        <f>'$REV-DB'!$Z$34</f>
        <v>UD7</v>
      </c>
      <c r="AA473" s="867" t="str">
        <f>'$REV-DB'!$AA$34</f>
        <v>UD8</v>
      </c>
      <c r="AB473" s="867" t="str">
        <f>'$REV-DB'!$AB$34</f>
        <v>UD9</v>
      </c>
      <c r="AC473" s="867" t="str">
        <f>'$REV-DB'!$AC$34</f>
        <v>UD10</v>
      </c>
      <c r="AD473" s="867" t="str">
        <f>'$REV-DB'!$AD$34</f>
        <v>UD11</v>
      </c>
      <c r="AE473" s="867" t="str">
        <f>'$REV-DB'!$AE$34</f>
        <v>UD12</v>
      </c>
      <c r="AF473" s="867" t="str">
        <f>'$REV-DB'!$AF$34</f>
        <v>UD13</v>
      </c>
      <c r="AG473" s="867" t="str">
        <f>'$REV-DB'!$AG$34</f>
        <v>UD14</v>
      </c>
    </row>
    <row r="474" spans="1:34" ht="15.95" customHeight="1" thickTop="1" thickBot="1">
      <c r="A474" s="7"/>
      <c r="B474" s="20" t="s">
        <v>4</v>
      </c>
      <c r="C474" s="15"/>
      <c r="D474" s="105" t="s">
        <v>186</v>
      </c>
      <c r="E474" s="105" t="s">
        <v>187</v>
      </c>
      <c r="F474" s="105" t="s">
        <v>188</v>
      </c>
      <c r="G474" s="105" t="s">
        <v>189</v>
      </c>
      <c r="H474" s="301" t="s">
        <v>11</v>
      </c>
      <c r="I474" s="301" t="s">
        <v>190</v>
      </c>
      <c r="J474" s="301" t="s">
        <v>191</v>
      </c>
      <c r="K474" s="301" t="s">
        <v>192</v>
      </c>
      <c r="L474" s="301" t="s">
        <v>203</v>
      </c>
      <c r="M474" s="301" t="s">
        <v>42</v>
      </c>
      <c r="N474" s="105" t="s">
        <v>148</v>
      </c>
      <c r="O474" s="105" t="s">
        <v>193</v>
      </c>
      <c r="P474" s="105" t="s">
        <v>142</v>
      </c>
      <c r="Q474" s="105" t="s">
        <v>194</v>
      </c>
      <c r="R474" s="112" t="s">
        <v>141</v>
      </c>
      <c r="S474" s="112" t="s">
        <v>672</v>
      </c>
      <c r="T474" s="857" t="s">
        <v>541</v>
      </c>
      <c r="U474" s="857" t="s">
        <v>542</v>
      </c>
      <c r="V474" s="857" t="s">
        <v>543</v>
      </c>
      <c r="W474" s="857" t="s">
        <v>544</v>
      </c>
      <c r="X474" s="857" t="s">
        <v>545</v>
      </c>
      <c r="Y474" s="857" t="s">
        <v>546</v>
      </c>
      <c r="Z474" s="857" t="s">
        <v>547</v>
      </c>
      <c r="AA474" s="857" t="s">
        <v>548</v>
      </c>
      <c r="AB474" s="857" t="s">
        <v>549</v>
      </c>
      <c r="AC474" s="857" t="s">
        <v>550</v>
      </c>
      <c r="AD474" s="857" t="s">
        <v>551</v>
      </c>
      <c r="AE474" s="857" t="s">
        <v>552</v>
      </c>
      <c r="AF474" s="857" t="s">
        <v>553</v>
      </c>
      <c r="AG474" s="857" t="s">
        <v>554</v>
      </c>
      <c r="AH474" s="6"/>
    </row>
    <row r="475" spans="1:34" ht="15.95" customHeight="1" thickTop="1">
      <c r="A475" s="7"/>
      <c r="B475" s="19" t="s">
        <v>149</v>
      </c>
      <c r="C475" s="12"/>
      <c r="D475" s="197"/>
      <c r="E475" s="197"/>
      <c r="F475" s="196"/>
      <c r="G475" s="197"/>
      <c r="H475" s="196"/>
      <c r="I475" s="196"/>
      <c r="J475" s="197"/>
      <c r="K475" s="197"/>
      <c r="L475" s="287" t="s">
        <v>34</v>
      </c>
      <c r="M475" s="196"/>
      <c r="N475" s="39" t="str">
        <f>J$6</f>
        <v>FY2010-11</v>
      </c>
      <c r="O475" s="39" t="s">
        <v>154</v>
      </c>
      <c r="P475" s="39" t="s">
        <v>138</v>
      </c>
      <c r="Q475" s="39" t="s">
        <v>2</v>
      </c>
      <c r="R475" s="197"/>
      <c r="S475" s="197"/>
      <c r="T475" s="197"/>
      <c r="U475" s="197"/>
      <c r="V475" s="198"/>
      <c r="W475" s="198"/>
      <c r="X475" s="198"/>
      <c r="Y475" s="198"/>
      <c r="Z475" s="198"/>
      <c r="AA475" s="198"/>
      <c r="AB475" s="198"/>
      <c r="AC475" s="198"/>
      <c r="AD475" s="198"/>
      <c r="AE475" s="198"/>
      <c r="AF475" s="198"/>
      <c r="AG475" s="198"/>
      <c r="AH475" s="6"/>
    </row>
    <row r="476" spans="1:34" ht="15.95" customHeight="1">
      <c r="A476" s="7"/>
      <c r="B476" s="16">
        <f>DSUM('$REV-DB'!D35:AG67,"AMOUNT",'$REV-DSUM'!D474:AG481)</f>
        <v>0</v>
      </c>
      <c r="C476" s="12"/>
      <c r="D476" s="197"/>
      <c r="E476" s="197"/>
      <c r="F476" s="196"/>
      <c r="G476" s="197"/>
      <c r="H476" s="196"/>
      <c r="I476" s="196"/>
      <c r="J476" s="197"/>
      <c r="K476" s="197"/>
      <c r="L476" s="287" t="s">
        <v>34</v>
      </c>
      <c r="M476" s="196"/>
      <c r="N476" s="39" t="str">
        <f t="shared" ref="N476:N481" si="46">J$6</f>
        <v>FY2010-11</v>
      </c>
      <c r="O476" s="39" t="s">
        <v>154</v>
      </c>
      <c r="P476" s="39" t="s">
        <v>138</v>
      </c>
      <c r="Q476" s="39" t="s">
        <v>2</v>
      </c>
      <c r="R476" s="197"/>
      <c r="S476" s="197"/>
      <c r="T476" s="197"/>
      <c r="U476" s="197"/>
      <c r="V476" s="198"/>
      <c r="W476" s="198"/>
      <c r="X476" s="198"/>
      <c r="Y476" s="198"/>
      <c r="Z476" s="198"/>
      <c r="AA476" s="198"/>
      <c r="AB476" s="198"/>
      <c r="AC476" s="198"/>
      <c r="AD476" s="198"/>
      <c r="AE476" s="198"/>
      <c r="AF476" s="198"/>
      <c r="AG476" s="198"/>
      <c r="AH476" s="6"/>
    </row>
    <row r="477" spans="1:34" ht="15.95" customHeight="1">
      <c r="A477" s="7"/>
      <c r="B477" s="10"/>
      <c r="C477" s="12"/>
      <c r="D477" s="197"/>
      <c r="E477" s="197"/>
      <c r="F477" s="196"/>
      <c r="G477" s="197"/>
      <c r="H477" s="196"/>
      <c r="I477" s="196"/>
      <c r="J477" s="197"/>
      <c r="K477" s="197"/>
      <c r="L477" s="287" t="s">
        <v>34</v>
      </c>
      <c r="M477" s="196"/>
      <c r="N477" s="39" t="str">
        <f t="shared" si="46"/>
        <v>FY2010-11</v>
      </c>
      <c r="O477" s="39" t="s">
        <v>154</v>
      </c>
      <c r="P477" s="39" t="s">
        <v>138</v>
      </c>
      <c r="Q477" s="39" t="s">
        <v>2</v>
      </c>
      <c r="R477" s="197"/>
      <c r="S477" s="197"/>
      <c r="T477" s="197"/>
      <c r="U477" s="197"/>
      <c r="V477" s="198"/>
      <c r="W477" s="198"/>
      <c r="X477" s="198"/>
      <c r="Y477" s="198"/>
      <c r="Z477" s="198"/>
      <c r="AA477" s="198"/>
      <c r="AB477" s="198"/>
      <c r="AC477" s="198"/>
      <c r="AD477" s="198"/>
      <c r="AE477" s="198"/>
      <c r="AF477" s="198"/>
      <c r="AG477" s="198"/>
    </row>
    <row r="478" spans="1:34" ht="15.95" customHeight="1">
      <c r="A478" s="7"/>
      <c r="B478" s="10"/>
      <c r="C478" s="12"/>
      <c r="D478" s="197"/>
      <c r="E478" s="197"/>
      <c r="F478" s="196"/>
      <c r="G478" s="197"/>
      <c r="H478" s="196"/>
      <c r="I478" s="196"/>
      <c r="J478" s="197"/>
      <c r="K478" s="197"/>
      <c r="L478" s="287" t="s">
        <v>34</v>
      </c>
      <c r="M478" s="196"/>
      <c r="N478" s="39" t="str">
        <f t="shared" si="46"/>
        <v>FY2010-11</v>
      </c>
      <c r="O478" s="39" t="s">
        <v>154</v>
      </c>
      <c r="P478" s="39" t="s">
        <v>138</v>
      </c>
      <c r="Q478" s="39" t="s">
        <v>2</v>
      </c>
      <c r="R478" s="197"/>
      <c r="S478" s="197"/>
      <c r="T478" s="197"/>
      <c r="U478" s="197"/>
      <c r="V478" s="198"/>
      <c r="W478" s="198"/>
      <c r="X478" s="198"/>
      <c r="Y478" s="198"/>
      <c r="Z478" s="198"/>
      <c r="AA478" s="198"/>
      <c r="AB478" s="198"/>
      <c r="AC478" s="198"/>
      <c r="AD478" s="198"/>
      <c r="AE478" s="198"/>
      <c r="AF478" s="198"/>
      <c r="AG478" s="198"/>
    </row>
    <row r="479" spans="1:34" ht="15.95" customHeight="1">
      <c r="A479" s="7"/>
      <c r="B479" s="10"/>
      <c r="C479" s="12"/>
      <c r="D479" s="197"/>
      <c r="E479" s="197"/>
      <c r="F479" s="196"/>
      <c r="G479" s="197"/>
      <c r="H479" s="196"/>
      <c r="I479" s="196"/>
      <c r="J479" s="197"/>
      <c r="K479" s="197"/>
      <c r="L479" s="287" t="s">
        <v>34</v>
      </c>
      <c r="M479" s="196"/>
      <c r="N479" s="39" t="str">
        <f t="shared" si="46"/>
        <v>FY2010-11</v>
      </c>
      <c r="O479" s="39" t="s">
        <v>154</v>
      </c>
      <c r="P479" s="39" t="s">
        <v>138</v>
      </c>
      <c r="Q479" s="39" t="s">
        <v>2</v>
      </c>
      <c r="R479" s="197"/>
      <c r="S479" s="197"/>
      <c r="T479" s="197"/>
      <c r="U479" s="197"/>
      <c r="V479" s="198"/>
      <c r="W479" s="198"/>
      <c r="X479" s="198"/>
      <c r="Y479" s="198"/>
      <c r="Z479" s="198"/>
      <c r="AA479" s="198"/>
      <c r="AB479" s="198"/>
      <c r="AC479" s="198"/>
      <c r="AD479" s="198"/>
      <c r="AE479" s="198"/>
      <c r="AF479" s="198"/>
      <c r="AG479" s="198"/>
    </row>
    <row r="480" spans="1:34" ht="15.95" customHeight="1">
      <c r="A480" s="7"/>
      <c r="B480" s="10"/>
      <c r="C480" s="12"/>
      <c r="D480" s="197"/>
      <c r="E480" s="197"/>
      <c r="F480" s="196"/>
      <c r="G480" s="197"/>
      <c r="H480" s="196"/>
      <c r="I480" s="196"/>
      <c r="J480" s="197"/>
      <c r="K480" s="197"/>
      <c r="L480" s="287" t="s">
        <v>34</v>
      </c>
      <c r="M480" s="196"/>
      <c r="N480" s="39" t="str">
        <f t="shared" si="46"/>
        <v>FY2010-11</v>
      </c>
      <c r="O480" s="39" t="s">
        <v>154</v>
      </c>
      <c r="P480" s="39" t="s">
        <v>138</v>
      </c>
      <c r="Q480" s="39" t="s">
        <v>2</v>
      </c>
      <c r="R480" s="197"/>
      <c r="S480" s="197"/>
      <c r="T480" s="197"/>
      <c r="U480" s="197"/>
      <c r="V480" s="198"/>
      <c r="W480" s="198"/>
      <c r="X480" s="198"/>
      <c r="Y480" s="198"/>
      <c r="Z480" s="198"/>
      <c r="AA480" s="198"/>
      <c r="AB480" s="198"/>
      <c r="AC480" s="198"/>
      <c r="AD480" s="198"/>
      <c r="AE480" s="198"/>
      <c r="AF480" s="198"/>
      <c r="AG480" s="198"/>
    </row>
    <row r="481" spans="1:34" ht="15.95" customHeight="1">
      <c r="A481" s="7"/>
      <c r="B481" s="10"/>
      <c r="C481" s="12"/>
      <c r="D481" s="197"/>
      <c r="E481" s="197"/>
      <c r="F481" s="196"/>
      <c r="G481" s="197"/>
      <c r="H481" s="196"/>
      <c r="I481" s="196"/>
      <c r="J481" s="197"/>
      <c r="K481" s="197"/>
      <c r="L481" s="287" t="s">
        <v>34</v>
      </c>
      <c r="M481" s="196"/>
      <c r="N481" s="39" t="str">
        <f t="shared" si="46"/>
        <v>FY2010-11</v>
      </c>
      <c r="O481" s="39" t="s">
        <v>154</v>
      </c>
      <c r="P481" s="39" t="s">
        <v>138</v>
      </c>
      <c r="Q481" s="39" t="s">
        <v>2</v>
      </c>
      <c r="R481" s="197"/>
      <c r="S481" s="197"/>
      <c r="T481" s="197"/>
      <c r="U481" s="197"/>
      <c r="V481" s="198"/>
      <c r="W481" s="198"/>
      <c r="X481" s="198"/>
      <c r="Y481" s="198"/>
      <c r="Z481" s="198"/>
      <c r="AA481" s="198"/>
      <c r="AB481" s="198"/>
      <c r="AC481" s="198"/>
      <c r="AD481" s="198"/>
      <c r="AE481" s="198"/>
      <c r="AF481" s="198"/>
      <c r="AG481" s="198"/>
    </row>
    <row r="482" spans="1:34" ht="15.95" customHeight="1">
      <c r="A482" s="21"/>
      <c r="B482" s="22"/>
      <c r="C482" s="22"/>
      <c r="D482" s="23"/>
      <c r="E482" s="23"/>
      <c r="F482" s="24"/>
      <c r="G482" s="23"/>
      <c r="H482" s="24"/>
      <c r="I482" s="24"/>
      <c r="J482" s="23"/>
      <c r="K482" s="23"/>
      <c r="L482" s="286"/>
      <c r="M482" s="24"/>
      <c r="N482" s="24"/>
      <c r="O482" s="23"/>
      <c r="P482" s="24"/>
      <c r="Q482" s="24"/>
      <c r="R482" s="23"/>
      <c r="S482" s="23"/>
      <c r="T482" s="23"/>
      <c r="U482" s="23"/>
      <c r="V482" s="21"/>
      <c r="W482" s="21"/>
      <c r="X482" s="21"/>
      <c r="Y482" s="21"/>
      <c r="Z482" s="21"/>
      <c r="AA482" s="21"/>
      <c r="AB482" s="21"/>
      <c r="AC482" s="21"/>
      <c r="AD482" s="21"/>
      <c r="AE482" s="21"/>
      <c r="AF482" s="21"/>
      <c r="AG482" s="21"/>
    </row>
    <row r="483" spans="1:34"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66"/>
      <c r="T483" s="867" t="str">
        <f>'$REV-DB'!$T$34</f>
        <v>UD1</v>
      </c>
      <c r="U483" s="867" t="str">
        <f>'$REV-DB'!$U$34</f>
        <v>UD2</v>
      </c>
      <c r="V483" s="867" t="str">
        <f>'$REV-DB'!$V$34</f>
        <v>UD3</v>
      </c>
      <c r="W483" s="867" t="str">
        <f>'$REV-DB'!$W$34</f>
        <v>UD4</v>
      </c>
      <c r="X483" s="867" t="str">
        <f>'$REV-DB'!$X$34</f>
        <v>UD5</v>
      </c>
      <c r="Y483" s="867" t="str">
        <f>'$REV-DB'!$Y$34</f>
        <v>UD6</v>
      </c>
      <c r="Z483" s="867" t="str">
        <f>'$REV-DB'!$Z$34</f>
        <v>UD7</v>
      </c>
      <c r="AA483" s="867" t="str">
        <f>'$REV-DB'!$AA$34</f>
        <v>UD8</v>
      </c>
      <c r="AB483" s="867" t="str">
        <f>'$REV-DB'!$AB$34</f>
        <v>UD9</v>
      </c>
      <c r="AC483" s="867" t="str">
        <f>'$REV-DB'!$AC$34</f>
        <v>UD10</v>
      </c>
      <c r="AD483" s="867" t="str">
        <f>'$REV-DB'!$AD$34</f>
        <v>UD11</v>
      </c>
      <c r="AE483" s="867" t="str">
        <f>'$REV-DB'!$AE$34</f>
        <v>UD12</v>
      </c>
      <c r="AF483" s="867" t="str">
        <f>'$REV-DB'!$AF$34</f>
        <v>UD13</v>
      </c>
      <c r="AG483" s="867" t="str">
        <f>'$REV-DB'!$AG$34</f>
        <v>UD14</v>
      </c>
    </row>
    <row r="484" spans="1:34" ht="15.95" customHeight="1" thickTop="1" thickBot="1">
      <c r="A484" s="7"/>
      <c r="B484" s="20" t="s">
        <v>4</v>
      </c>
      <c r="C484" s="15"/>
      <c r="D484" s="276" t="s">
        <v>186</v>
      </c>
      <c r="E484" s="276" t="s">
        <v>187</v>
      </c>
      <c r="F484" s="276" t="s">
        <v>188</v>
      </c>
      <c r="G484" s="276" t="s">
        <v>189</v>
      </c>
      <c r="H484" s="301" t="s">
        <v>11</v>
      </c>
      <c r="I484" s="301" t="s">
        <v>190</v>
      </c>
      <c r="J484" s="301" t="s">
        <v>191</v>
      </c>
      <c r="K484" s="301" t="s">
        <v>192</v>
      </c>
      <c r="L484" s="301" t="s">
        <v>203</v>
      </c>
      <c r="M484" s="301" t="s">
        <v>42</v>
      </c>
      <c r="N484" s="276" t="s">
        <v>148</v>
      </c>
      <c r="O484" s="276" t="s">
        <v>193</v>
      </c>
      <c r="P484" s="276" t="s">
        <v>142</v>
      </c>
      <c r="Q484" s="276" t="s">
        <v>194</v>
      </c>
      <c r="R484" s="112" t="s">
        <v>141</v>
      </c>
      <c r="S484" s="112" t="s">
        <v>672</v>
      </c>
      <c r="T484" s="857" t="s">
        <v>541</v>
      </c>
      <c r="U484" s="857" t="s">
        <v>542</v>
      </c>
      <c r="V484" s="857" t="s">
        <v>543</v>
      </c>
      <c r="W484" s="857" t="s">
        <v>544</v>
      </c>
      <c r="X484" s="857" t="s">
        <v>545</v>
      </c>
      <c r="Y484" s="857" t="s">
        <v>546</v>
      </c>
      <c r="Z484" s="857" t="s">
        <v>547</v>
      </c>
      <c r="AA484" s="857" t="s">
        <v>548</v>
      </c>
      <c r="AB484" s="857" t="s">
        <v>549</v>
      </c>
      <c r="AC484" s="857" t="s">
        <v>550</v>
      </c>
      <c r="AD484" s="857" t="s">
        <v>551</v>
      </c>
      <c r="AE484" s="857" t="s">
        <v>552</v>
      </c>
      <c r="AF484" s="857" t="s">
        <v>553</v>
      </c>
      <c r="AG484" s="857" t="s">
        <v>554</v>
      </c>
      <c r="AH484" s="6"/>
    </row>
    <row r="485" spans="1:34" ht="15.95" customHeight="1" thickTop="1">
      <c r="A485" s="7"/>
      <c r="B485" s="19" t="s">
        <v>364</v>
      </c>
      <c r="C485" s="12"/>
      <c r="D485" s="197"/>
      <c r="E485" s="197"/>
      <c r="F485" s="196"/>
      <c r="G485" s="197"/>
      <c r="H485" s="196"/>
      <c r="I485" s="196"/>
      <c r="J485" s="197"/>
      <c r="K485" s="197"/>
      <c r="L485" s="287" t="s">
        <v>34</v>
      </c>
      <c r="M485" s="196"/>
      <c r="N485" s="39" t="str">
        <f>J$6</f>
        <v>FY2010-11</v>
      </c>
      <c r="O485" s="39" t="s">
        <v>154</v>
      </c>
      <c r="P485" s="39" t="s">
        <v>138</v>
      </c>
      <c r="Q485" s="39" t="s">
        <v>70</v>
      </c>
      <c r="R485" s="197"/>
      <c r="S485" s="197"/>
      <c r="T485" s="197"/>
      <c r="U485" s="197"/>
      <c r="V485" s="198"/>
      <c r="W485" s="198"/>
      <c r="X485" s="198"/>
      <c r="Y485" s="198"/>
      <c r="Z485" s="198"/>
      <c r="AA485" s="198"/>
      <c r="AB485" s="198"/>
      <c r="AC485" s="198"/>
      <c r="AD485" s="198"/>
      <c r="AE485" s="198"/>
      <c r="AF485" s="198"/>
      <c r="AG485" s="198"/>
      <c r="AH485" s="6"/>
    </row>
    <row r="486" spans="1:34" ht="15.95" customHeight="1">
      <c r="A486" s="7"/>
      <c r="B486" s="16">
        <f>DSUM('$REV-DB'!D35:AG67,"AMOUNT",'$REV-DSUM'!D484:AG491)</f>
        <v>0</v>
      </c>
      <c r="C486" s="12"/>
      <c r="D486" s="197"/>
      <c r="E486" s="197"/>
      <c r="F486" s="196"/>
      <c r="G486" s="197"/>
      <c r="H486" s="196"/>
      <c r="I486" s="196"/>
      <c r="J486" s="197"/>
      <c r="K486" s="197"/>
      <c r="L486" s="287" t="s">
        <v>34</v>
      </c>
      <c r="M486" s="196"/>
      <c r="N486" s="39" t="str">
        <f t="shared" ref="N486:N491" si="47">J$6</f>
        <v>FY2010-11</v>
      </c>
      <c r="O486" s="39" t="s">
        <v>154</v>
      </c>
      <c r="P486" s="39" t="s">
        <v>138</v>
      </c>
      <c r="Q486" s="39" t="s">
        <v>70</v>
      </c>
      <c r="R486" s="197"/>
      <c r="S486" s="197"/>
      <c r="T486" s="197"/>
      <c r="U486" s="197"/>
      <c r="V486" s="198"/>
      <c r="W486" s="198"/>
      <c r="X486" s="198"/>
      <c r="Y486" s="198"/>
      <c r="Z486" s="198"/>
      <c r="AA486" s="198"/>
      <c r="AB486" s="198"/>
      <c r="AC486" s="198"/>
      <c r="AD486" s="198"/>
      <c r="AE486" s="198"/>
      <c r="AF486" s="198"/>
      <c r="AG486" s="198"/>
      <c r="AH486" s="6"/>
    </row>
    <row r="487" spans="1:34" ht="15.95" customHeight="1">
      <c r="A487" s="7"/>
      <c r="B487" s="10"/>
      <c r="C487" s="12"/>
      <c r="D487" s="197"/>
      <c r="E487" s="197"/>
      <c r="F487" s="196"/>
      <c r="G487" s="197"/>
      <c r="H487" s="196"/>
      <c r="I487" s="196"/>
      <c r="J487" s="197"/>
      <c r="K487" s="197"/>
      <c r="L487" s="287" t="s">
        <v>34</v>
      </c>
      <c r="M487" s="196"/>
      <c r="N487" s="39" t="str">
        <f t="shared" si="47"/>
        <v>FY2010-11</v>
      </c>
      <c r="O487" s="39" t="s">
        <v>154</v>
      </c>
      <c r="P487" s="39" t="s">
        <v>138</v>
      </c>
      <c r="Q487" s="39" t="s">
        <v>70</v>
      </c>
      <c r="R487" s="197"/>
      <c r="S487" s="197"/>
      <c r="T487" s="197"/>
      <c r="U487" s="197"/>
      <c r="V487" s="198"/>
      <c r="W487" s="198"/>
      <c r="X487" s="198"/>
      <c r="Y487" s="198"/>
      <c r="Z487" s="198"/>
      <c r="AA487" s="198"/>
      <c r="AB487" s="198"/>
      <c r="AC487" s="198"/>
      <c r="AD487" s="198"/>
      <c r="AE487" s="198"/>
      <c r="AF487" s="198"/>
      <c r="AG487" s="198"/>
    </row>
    <row r="488" spans="1:34" ht="15.95" customHeight="1">
      <c r="A488" s="7"/>
      <c r="B488" s="10"/>
      <c r="C488" s="12"/>
      <c r="D488" s="197"/>
      <c r="E488" s="197"/>
      <c r="F488" s="196"/>
      <c r="G488" s="197"/>
      <c r="H488" s="196"/>
      <c r="I488" s="196"/>
      <c r="J488" s="197"/>
      <c r="K488" s="197"/>
      <c r="L488" s="287" t="s">
        <v>34</v>
      </c>
      <c r="M488" s="196"/>
      <c r="N488" s="39" t="str">
        <f t="shared" si="47"/>
        <v>FY2010-11</v>
      </c>
      <c r="O488" s="39" t="s">
        <v>154</v>
      </c>
      <c r="P488" s="39" t="s">
        <v>138</v>
      </c>
      <c r="Q488" s="39" t="s">
        <v>70</v>
      </c>
      <c r="R488" s="197"/>
      <c r="S488" s="197"/>
      <c r="T488" s="197"/>
      <c r="U488" s="197"/>
      <c r="V488" s="198"/>
      <c r="W488" s="198"/>
      <c r="X488" s="198"/>
      <c r="Y488" s="198"/>
      <c r="Z488" s="198"/>
      <c r="AA488" s="198"/>
      <c r="AB488" s="198"/>
      <c r="AC488" s="198"/>
      <c r="AD488" s="198"/>
      <c r="AE488" s="198"/>
      <c r="AF488" s="198"/>
      <c r="AG488" s="198"/>
    </row>
    <row r="489" spans="1:34" ht="15.95" customHeight="1">
      <c r="A489" s="7"/>
      <c r="B489" s="10"/>
      <c r="C489" s="12"/>
      <c r="D489" s="197"/>
      <c r="E489" s="197"/>
      <c r="F489" s="196"/>
      <c r="G489" s="197"/>
      <c r="H489" s="196"/>
      <c r="I489" s="196"/>
      <c r="J489" s="197"/>
      <c r="K489" s="197"/>
      <c r="L489" s="287" t="s">
        <v>34</v>
      </c>
      <c r="M489" s="196"/>
      <c r="N489" s="39" t="str">
        <f t="shared" si="47"/>
        <v>FY2010-11</v>
      </c>
      <c r="O489" s="39" t="s">
        <v>154</v>
      </c>
      <c r="P489" s="39" t="s">
        <v>138</v>
      </c>
      <c r="Q489" s="39" t="s">
        <v>70</v>
      </c>
      <c r="R489" s="197"/>
      <c r="S489" s="197"/>
      <c r="T489" s="197"/>
      <c r="U489" s="197"/>
      <c r="V489" s="198"/>
      <c r="W489" s="198"/>
      <c r="X489" s="198"/>
      <c r="Y489" s="198"/>
      <c r="Z489" s="198"/>
      <c r="AA489" s="198"/>
      <c r="AB489" s="198"/>
      <c r="AC489" s="198"/>
      <c r="AD489" s="198"/>
      <c r="AE489" s="198"/>
      <c r="AF489" s="198"/>
      <c r="AG489" s="198"/>
    </row>
    <row r="490" spans="1:34" ht="15.95" customHeight="1">
      <c r="A490" s="7"/>
      <c r="B490" s="10"/>
      <c r="C490" s="12"/>
      <c r="D490" s="197"/>
      <c r="E490" s="197"/>
      <c r="F490" s="196"/>
      <c r="G490" s="197"/>
      <c r="H490" s="196"/>
      <c r="I490" s="196"/>
      <c r="J490" s="197"/>
      <c r="K490" s="197"/>
      <c r="L490" s="287" t="s">
        <v>34</v>
      </c>
      <c r="M490" s="196"/>
      <c r="N490" s="39" t="str">
        <f t="shared" si="47"/>
        <v>FY2010-11</v>
      </c>
      <c r="O490" s="39" t="s">
        <v>154</v>
      </c>
      <c r="P490" s="39" t="s">
        <v>138</v>
      </c>
      <c r="Q490" s="39" t="s">
        <v>70</v>
      </c>
      <c r="R490" s="197"/>
      <c r="S490" s="197"/>
      <c r="T490" s="197"/>
      <c r="U490" s="197"/>
      <c r="V490" s="198"/>
      <c r="W490" s="198"/>
      <c r="X490" s="198"/>
      <c r="Y490" s="198"/>
      <c r="Z490" s="198"/>
      <c r="AA490" s="198"/>
      <c r="AB490" s="198"/>
      <c r="AC490" s="198"/>
      <c r="AD490" s="198"/>
      <c r="AE490" s="198"/>
      <c r="AF490" s="198"/>
      <c r="AG490" s="198"/>
    </row>
    <row r="491" spans="1:34" ht="15.95" customHeight="1">
      <c r="A491" s="7"/>
      <c r="B491" s="10"/>
      <c r="C491" s="12"/>
      <c r="D491" s="197"/>
      <c r="E491" s="197"/>
      <c r="F491" s="196"/>
      <c r="G491" s="197"/>
      <c r="H491" s="196"/>
      <c r="I491" s="196"/>
      <c r="J491" s="197"/>
      <c r="K491" s="197"/>
      <c r="L491" s="287" t="s">
        <v>34</v>
      </c>
      <c r="M491" s="196"/>
      <c r="N491" s="39" t="str">
        <f t="shared" si="47"/>
        <v>FY2010-11</v>
      </c>
      <c r="O491" s="39" t="s">
        <v>154</v>
      </c>
      <c r="P491" s="39" t="s">
        <v>138</v>
      </c>
      <c r="Q491" s="39" t="s">
        <v>70</v>
      </c>
      <c r="R491" s="197"/>
      <c r="S491" s="197"/>
      <c r="T491" s="197"/>
      <c r="U491" s="197"/>
      <c r="V491" s="198"/>
      <c r="W491" s="198"/>
      <c r="X491" s="198"/>
      <c r="Y491" s="198"/>
      <c r="Z491" s="198"/>
      <c r="AA491" s="198"/>
      <c r="AB491" s="198"/>
      <c r="AC491" s="198"/>
      <c r="AD491" s="198"/>
      <c r="AE491" s="198"/>
      <c r="AF491" s="198"/>
      <c r="AG491" s="198"/>
    </row>
    <row r="492" spans="1:34" ht="15.95" customHeight="1">
      <c r="A492" s="21"/>
      <c r="B492" s="22"/>
      <c r="C492" s="22"/>
      <c r="D492" s="23"/>
      <c r="E492" s="23"/>
      <c r="F492" s="24"/>
      <c r="G492" s="23"/>
      <c r="H492" s="24"/>
      <c r="I492" s="24"/>
      <c r="J492" s="23"/>
      <c r="K492" s="23"/>
      <c r="L492" s="286"/>
      <c r="M492" s="24"/>
      <c r="N492" s="24"/>
      <c r="O492" s="23"/>
      <c r="P492" s="24"/>
      <c r="Q492" s="24"/>
      <c r="R492" s="23"/>
      <c r="S492" s="23"/>
      <c r="T492" s="23"/>
      <c r="U492" s="23"/>
      <c r="V492" s="21"/>
      <c r="W492" s="21"/>
      <c r="X492" s="21"/>
      <c r="Y492" s="21"/>
      <c r="Z492" s="21"/>
      <c r="AA492" s="21"/>
      <c r="AB492" s="21"/>
      <c r="AC492" s="21"/>
      <c r="AD492" s="21"/>
      <c r="AE492" s="21"/>
      <c r="AF492" s="21"/>
      <c r="AG492" s="21"/>
    </row>
    <row r="493" spans="1:34"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66"/>
      <c r="T493" s="867" t="str">
        <f>'$REV-DB'!$T$34</f>
        <v>UD1</v>
      </c>
      <c r="U493" s="867" t="str">
        <f>'$REV-DB'!$U$34</f>
        <v>UD2</v>
      </c>
      <c r="V493" s="867" t="str">
        <f>'$REV-DB'!$V$34</f>
        <v>UD3</v>
      </c>
      <c r="W493" s="867" t="str">
        <f>'$REV-DB'!$W$34</f>
        <v>UD4</v>
      </c>
      <c r="X493" s="867" t="str">
        <f>'$REV-DB'!$X$34</f>
        <v>UD5</v>
      </c>
      <c r="Y493" s="867" t="str">
        <f>'$REV-DB'!$Y$34</f>
        <v>UD6</v>
      </c>
      <c r="Z493" s="867" t="str">
        <f>'$REV-DB'!$Z$34</f>
        <v>UD7</v>
      </c>
      <c r="AA493" s="867" t="str">
        <f>'$REV-DB'!$AA$34</f>
        <v>UD8</v>
      </c>
      <c r="AB493" s="867" t="str">
        <f>'$REV-DB'!$AB$34</f>
        <v>UD9</v>
      </c>
      <c r="AC493" s="867" t="str">
        <f>'$REV-DB'!$AC$34</f>
        <v>UD10</v>
      </c>
      <c r="AD493" s="867" t="str">
        <f>'$REV-DB'!$AD$34</f>
        <v>UD11</v>
      </c>
      <c r="AE493" s="867" t="str">
        <f>'$REV-DB'!$AE$34</f>
        <v>UD12</v>
      </c>
      <c r="AF493" s="867" t="str">
        <f>'$REV-DB'!$AF$34</f>
        <v>UD13</v>
      </c>
      <c r="AG493" s="867" t="str">
        <f>'$REV-DB'!$AG$34</f>
        <v>UD14</v>
      </c>
    </row>
    <row r="494" spans="1:34" ht="15.95" customHeight="1" thickTop="1" thickBot="1">
      <c r="A494" s="7"/>
      <c r="B494" s="20" t="s">
        <v>4</v>
      </c>
      <c r="C494" s="15"/>
      <c r="D494" s="105" t="s">
        <v>186</v>
      </c>
      <c r="E494" s="105" t="s">
        <v>187</v>
      </c>
      <c r="F494" s="105" t="s">
        <v>188</v>
      </c>
      <c r="G494" s="105" t="s">
        <v>189</v>
      </c>
      <c r="H494" s="301" t="s">
        <v>11</v>
      </c>
      <c r="I494" s="301" t="s">
        <v>190</v>
      </c>
      <c r="J494" s="301" t="s">
        <v>191</v>
      </c>
      <c r="K494" s="301" t="s">
        <v>192</v>
      </c>
      <c r="L494" s="301" t="s">
        <v>203</v>
      </c>
      <c r="M494" s="301" t="s">
        <v>42</v>
      </c>
      <c r="N494" s="105" t="s">
        <v>148</v>
      </c>
      <c r="O494" s="105" t="s">
        <v>193</v>
      </c>
      <c r="P494" s="105" t="s">
        <v>142</v>
      </c>
      <c r="Q494" s="105" t="s">
        <v>194</v>
      </c>
      <c r="R494" s="112" t="s">
        <v>141</v>
      </c>
      <c r="S494" s="112" t="s">
        <v>672</v>
      </c>
      <c r="T494" s="857" t="s">
        <v>541</v>
      </c>
      <c r="U494" s="857" t="s">
        <v>542</v>
      </c>
      <c r="V494" s="857" t="s">
        <v>543</v>
      </c>
      <c r="W494" s="857" t="s">
        <v>544</v>
      </c>
      <c r="X494" s="857" t="s">
        <v>545</v>
      </c>
      <c r="Y494" s="857" t="s">
        <v>546</v>
      </c>
      <c r="Z494" s="857" t="s">
        <v>547</v>
      </c>
      <c r="AA494" s="857" t="s">
        <v>548</v>
      </c>
      <c r="AB494" s="857" t="s">
        <v>549</v>
      </c>
      <c r="AC494" s="857" t="s">
        <v>550</v>
      </c>
      <c r="AD494" s="857" t="s">
        <v>551</v>
      </c>
      <c r="AE494" s="857" t="s">
        <v>552</v>
      </c>
      <c r="AF494" s="857" t="s">
        <v>553</v>
      </c>
      <c r="AG494" s="857" t="s">
        <v>554</v>
      </c>
      <c r="AH494" s="6"/>
    </row>
    <row r="495" spans="1:34" ht="15.95" customHeight="1" thickTop="1">
      <c r="A495" s="7"/>
      <c r="B495" s="19" t="s">
        <v>150</v>
      </c>
      <c r="C495" s="12"/>
      <c r="D495" s="197"/>
      <c r="E495" s="197"/>
      <c r="F495" s="196"/>
      <c r="G495" s="197"/>
      <c r="H495" s="196"/>
      <c r="I495" s="196"/>
      <c r="J495" s="197"/>
      <c r="K495" s="197"/>
      <c r="L495" s="287" t="s">
        <v>34</v>
      </c>
      <c r="M495" s="196"/>
      <c r="N495" s="39" t="str">
        <f>J$6</f>
        <v>FY2010-11</v>
      </c>
      <c r="O495" s="39" t="s">
        <v>154</v>
      </c>
      <c r="P495" s="39" t="s">
        <v>138</v>
      </c>
      <c r="Q495" s="39" t="s">
        <v>140</v>
      </c>
      <c r="R495" s="197"/>
      <c r="S495" s="197"/>
      <c r="T495" s="197"/>
      <c r="U495" s="197"/>
      <c r="V495" s="198"/>
      <c r="W495" s="198"/>
      <c r="X495" s="198"/>
      <c r="Y495" s="198"/>
      <c r="Z495" s="198"/>
      <c r="AA495" s="198"/>
      <c r="AB495" s="198"/>
      <c r="AC495" s="198"/>
      <c r="AD495" s="198"/>
      <c r="AE495" s="198"/>
      <c r="AF495" s="198"/>
      <c r="AG495" s="198"/>
      <c r="AH495" s="6"/>
    </row>
    <row r="496" spans="1:34" ht="15.95" customHeight="1">
      <c r="A496" s="7"/>
      <c r="B496" s="16">
        <f>DSUM('$REV-DB'!D35:AG67,"AMOUNT",'$REV-DSUM'!D494:AG501)</f>
        <v>0</v>
      </c>
      <c r="C496" s="12"/>
      <c r="D496" s="197"/>
      <c r="E496" s="197"/>
      <c r="F496" s="196"/>
      <c r="G496" s="197"/>
      <c r="H496" s="196"/>
      <c r="I496" s="196"/>
      <c r="J496" s="197"/>
      <c r="K496" s="197"/>
      <c r="L496" s="287" t="s">
        <v>34</v>
      </c>
      <c r="M496" s="196"/>
      <c r="N496" s="39" t="str">
        <f t="shared" ref="N496:N501" si="48">J$6</f>
        <v>FY2010-11</v>
      </c>
      <c r="O496" s="39" t="s">
        <v>154</v>
      </c>
      <c r="P496" s="39" t="s">
        <v>138</v>
      </c>
      <c r="Q496" s="39" t="s">
        <v>140</v>
      </c>
      <c r="R496" s="197"/>
      <c r="S496" s="197"/>
      <c r="T496" s="197"/>
      <c r="U496" s="197"/>
      <c r="V496" s="198"/>
      <c r="W496" s="198"/>
      <c r="X496" s="198"/>
      <c r="Y496" s="198"/>
      <c r="Z496" s="198"/>
      <c r="AA496" s="198"/>
      <c r="AB496" s="198"/>
      <c r="AC496" s="198"/>
      <c r="AD496" s="198"/>
      <c r="AE496" s="198"/>
      <c r="AF496" s="198"/>
      <c r="AG496" s="198"/>
      <c r="AH496" s="6"/>
    </row>
    <row r="497" spans="1:34" ht="15.95" customHeight="1">
      <c r="A497" s="7"/>
      <c r="B497" s="10"/>
      <c r="C497" s="12"/>
      <c r="D497" s="197"/>
      <c r="E497" s="197"/>
      <c r="F497" s="196"/>
      <c r="G497" s="197"/>
      <c r="H497" s="196"/>
      <c r="I497" s="196"/>
      <c r="J497" s="197"/>
      <c r="K497" s="197"/>
      <c r="L497" s="287" t="s">
        <v>34</v>
      </c>
      <c r="M497" s="196"/>
      <c r="N497" s="39" t="str">
        <f t="shared" si="48"/>
        <v>FY2010-11</v>
      </c>
      <c r="O497" s="39" t="s">
        <v>154</v>
      </c>
      <c r="P497" s="39" t="s">
        <v>138</v>
      </c>
      <c r="Q497" s="39" t="s">
        <v>140</v>
      </c>
      <c r="R497" s="197"/>
      <c r="S497" s="197"/>
      <c r="T497" s="197"/>
      <c r="U497" s="197"/>
      <c r="V497" s="198"/>
      <c r="W497" s="198"/>
      <c r="X497" s="198"/>
      <c r="Y497" s="198"/>
      <c r="Z497" s="198"/>
      <c r="AA497" s="198"/>
      <c r="AB497" s="198"/>
      <c r="AC497" s="198"/>
      <c r="AD497" s="198"/>
      <c r="AE497" s="198"/>
      <c r="AF497" s="198"/>
      <c r="AG497" s="198"/>
    </row>
    <row r="498" spans="1:34" ht="15.95" customHeight="1">
      <c r="A498" s="7"/>
      <c r="B498" s="10"/>
      <c r="C498" s="12"/>
      <c r="D498" s="197"/>
      <c r="E498" s="197"/>
      <c r="F498" s="196"/>
      <c r="G498" s="197"/>
      <c r="H498" s="196"/>
      <c r="I498" s="196"/>
      <c r="J498" s="197"/>
      <c r="K498" s="197"/>
      <c r="L498" s="287" t="s">
        <v>34</v>
      </c>
      <c r="M498" s="196"/>
      <c r="N498" s="39" t="str">
        <f t="shared" si="48"/>
        <v>FY2010-11</v>
      </c>
      <c r="O498" s="39" t="s">
        <v>154</v>
      </c>
      <c r="P498" s="39" t="s">
        <v>138</v>
      </c>
      <c r="Q498" s="39" t="s">
        <v>140</v>
      </c>
      <c r="R498" s="197"/>
      <c r="S498" s="197"/>
      <c r="T498" s="197"/>
      <c r="U498" s="197"/>
      <c r="V498" s="198"/>
      <c r="W498" s="198"/>
      <c r="X498" s="198"/>
      <c r="Y498" s="198"/>
      <c r="Z498" s="198"/>
      <c r="AA498" s="198"/>
      <c r="AB498" s="198"/>
      <c r="AC498" s="198"/>
      <c r="AD498" s="198"/>
      <c r="AE498" s="198"/>
      <c r="AF498" s="198"/>
      <c r="AG498" s="198"/>
    </row>
    <row r="499" spans="1:34" ht="15.95" customHeight="1">
      <c r="A499" s="7"/>
      <c r="B499" s="10"/>
      <c r="C499" s="12"/>
      <c r="D499" s="197"/>
      <c r="E499" s="197"/>
      <c r="F499" s="196"/>
      <c r="G499" s="197"/>
      <c r="H499" s="196"/>
      <c r="I499" s="196"/>
      <c r="J499" s="197"/>
      <c r="K499" s="197"/>
      <c r="L499" s="287" t="s">
        <v>34</v>
      </c>
      <c r="M499" s="196"/>
      <c r="N499" s="39" t="str">
        <f t="shared" si="48"/>
        <v>FY2010-11</v>
      </c>
      <c r="O499" s="39" t="s">
        <v>154</v>
      </c>
      <c r="P499" s="39" t="s">
        <v>138</v>
      </c>
      <c r="Q499" s="39" t="s">
        <v>140</v>
      </c>
      <c r="R499" s="197"/>
      <c r="S499" s="197"/>
      <c r="T499" s="197"/>
      <c r="U499" s="197"/>
      <c r="V499" s="198"/>
      <c r="W499" s="198"/>
      <c r="X499" s="198"/>
      <c r="Y499" s="198"/>
      <c r="Z499" s="198"/>
      <c r="AA499" s="198"/>
      <c r="AB499" s="198"/>
      <c r="AC499" s="198"/>
      <c r="AD499" s="198"/>
      <c r="AE499" s="198"/>
      <c r="AF499" s="198"/>
      <c r="AG499" s="198"/>
    </row>
    <row r="500" spans="1:34" ht="15.95" customHeight="1">
      <c r="A500" s="7"/>
      <c r="B500" s="10"/>
      <c r="C500" s="12"/>
      <c r="D500" s="197"/>
      <c r="E500" s="197"/>
      <c r="F500" s="196"/>
      <c r="G500" s="197"/>
      <c r="H500" s="196"/>
      <c r="I500" s="196"/>
      <c r="J500" s="197"/>
      <c r="K500" s="197"/>
      <c r="L500" s="287" t="s">
        <v>34</v>
      </c>
      <c r="M500" s="196"/>
      <c r="N500" s="39" t="str">
        <f t="shared" si="48"/>
        <v>FY2010-11</v>
      </c>
      <c r="O500" s="39" t="s">
        <v>154</v>
      </c>
      <c r="P500" s="39" t="s">
        <v>138</v>
      </c>
      <c r="Q500" s="39" t="s">
        <v>140</v>
      </c>
      <c r="R500" s="197"/>
      <c r="S500" s="197"/>
      <c r="T500" s="197"/>
      <c r="U500" s="197"/>
      <c r="V500" s="198"/>
      <c r="W500" s="198"/>
      <c r="X500" s="198"/>
      <c r="Y500" s="198"/>
      <c r="Z500" s="198"/>
      <c r="AA500" s="198"/>
      <c r="AB500" s="198"/>
      <c r="AC500" s="198"/>
      <c r="AD500" s="198"/>
      <c r="AE500" s="198"/>
      <c r="AF500" s="198"/>
      <c r="AG500" s="198"/>
    </row>
    <row r="501" spans="1:34" ht="15.95" customHeight="1">
      <c r="A501" s="7"/>
      <c r="B501" s="10"/>
      <c r="C501" s="12"/>
      <c r="D501" s="197"/>
      <c r="E501" s="197"/>
      <c r="F501" s="196"/>
      <c r="G501" s="197"/>
      <c r="H501" s="196"/>
      <c r="I501" s="196"/>
      <c r="J501" s="197"/>
      <c r="K501" s="197"/>
      <c r="L501" s="287" t="s">
        <v>34</v>
      </c>
      <c r="M501" s="196"/>
      <c r="N501" s="39" t="str">
        <f t="shared" si="48"/>
        <v>FY2010-11</v>
      </c>
      <c r="O501" s="39" t="s">
        <v>154</v>
      </c>
      <c r="P501" s="39" t="s">
        <v>138</v>
      </c>
      <c r="Q501" s="39" t="s">
        <v>140</v>
      </c>
      <c r="R501" s="197"/>
      <c r="S501" s="197"/>
      <c r="T501" s="197"/>
      <c r="U501" s="197"/>
      <c r="V501" s="198"/>
      <c r="W501" s="198"/>
      <c r="X501" s="198"/>
      <c r="Y501" s="198"/>
      <c r="Z501" s="198"/>
      <c r="AA501" s="198"/>
      <c r="AB501" s="198"/>
      <c r="AC501" s="198"/>
      <c r="AD501" s="198"/>
      <c r="AE501" s="198"/>
      <c r="AF501" s="198"/>
      <c r="AG501" s="198"/>
    </row>
    <row r="502" spans="1:34" ht="15.95" customHeight="1">
      <c r="A502" s="21"/>
      <c r="B502" s="22"/>
      <c r="C502" s="22"/>
      <c r="D502" s="23"/>
      <c r="E502" s="23"/>
      <c r="F502" s="24"/>
      <c r="G502" s="23"/>
      <c r="H502" s="24"/>
      <c r="I502" s="24"/>
      <c r="J502" s="23"/>
      <c r="K502" s="23"/>
      <c r="L502" s="286"/>
      <c r="M502" s="24"/>
      <c r="N502" s="24"/>
      <c r="O502" s="23"/>
      <c r="P502" s="24"/>
      <c r="Q502" s="24"/>
      <c r="R502" s="23"/>
      <c r="S502" s="23"/>
      <c r="T502" s="23"/>
      <c r="U502" s="23"/>
      <c r="V502" s="21"/>
      <c r="W502" s="21"/>
      <c r="X502" s="21"/>
      <c r="Y502" s="21"/>
      <c r="Z502" s="21"/>
      <c r="AA502" s="21"/>
      <c r="AB502" s="21"/>
      <c r="AC502" s="21"/>
      <c r="AD502" s="21"/>
      <c r="AE502" s="21"/>
      <c r="AF502" s="21"/>
      <c r="AG502" s="21"/>
    </row>
    <row r="503" spans="1:34"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66"/>
      <c r="T503" s="867" t="str">
        <f>'$REV-DB'!$T$34</f>
        <v>UD1</v>
      </c>
      <c r="U503" s="867" t="str">
        <f>'$REV-DB'!$U$34</f>
        <v>UD2</v>
      </c>
      <c r="V503" s="867" t="str">
        <f>'$REV-DB'!$V$34</f>
        <v>UD3</v>
      </c>
      <c r="W503" s="867" t="str">
        <f>'$REV-DB'!$W$34</f>
        <v>UD4</v>
      </c>
      <c r="X503" s="867" t="str">
        <f>'$REV-DB'!$X$34</f>
        <v>UD5</v>
      </c>
      <c r="Y503" s="867" t="str">
        <f>'$REV-DB'!$Y$34</f>
        <v>UD6</v>
      </c>
      <c r="Z503" s="867" t="str">
        <f>'$REV-DB'!$Z$34</f>
        <v>UD7</v>
      </c>
      <c r="AA503" s="867" t="str">
        <f>'$REV-DB'!$AA$34</f>
        <v>UD8</v>
      </c>
      <c r="AB503" s="867" t="str">
        <f>'$REV-DB'!$AB$34</f>
        <v>UD9</v>
      </c>
      <c r="AC503" s="867" t="str">
        <f>'$REV-DB'!$AC$34</f>
        <v>UD10</v>
      </c>
      <c r="AD503" s="867" t="str">
        <f>'$REV-DB'!$AD$34</f>
        <v>UD11</v>
      </c>
      <c r="AE503" s="867" t="str">
        <f>'$REV-DB'!$AE$34</f>
        <v>UD12</v>
      </c>
      <c r="AF503" s="867" t="str">
        <f>'$REV-DB'!$AF$34</f>
        <v>UD13</v>
      </c>
      <c r="AG503" s="867" t="str">
        <f>'$REV-DB'!$AG$34</f>
        <v>UD14</v>
      </c>
    </row>
    <row r="504" spans="1:34" ht="15.95" customHeight="1" thickTop="1" thickBot="1">
      <c r="A504" s="7"/>
      <c r="B504" s="20" t="s">
        <v>175</v>
      </c>
      <c r="C504" s="15"/>
      <c r="D504" s="105" t="s">
        <v>186</v>
      </c>
      <c r="E504" s="105" t="s">
        <v>187</v>
      </c>
      <c r="F504" s="105" t="s">
        <v>188</v>
      </c>
      <c r="G504" s="105" t="s">
        <v>189</v>
      </c>
      <c r="H504" s="301" t="s">
        <v>11</v>
      </c>
      <c r="I504" s="301" t="s">
        <v>190</v>
      </c>
      <c r="J504" s="301" t="s">
        <v>191</v>
      </c>
      <c r="K504" s="301" t="s">
        <v>192</v>
      </c>
      <c r="L504" s="301" t="s">
        <v>203</v>
      </c>
      <c r="M504" s="301" t="s">
        <v>42</v>
      </c>
      <c r="N504" s="105" t="s">
        <v>148</v>
      </c>
      <c r="O504" s="105" t="s">
        <v>193</v>
      </c>
      <c r="P504" s="105" t="s">
        <v>142</v>
      </c>
      <c r="Q504" s="105" t="s">
        <v>194</v>
      </c>
      <c r="R504" s="112" t="s">
        <v>141</v>
      </c>
      <c r="S504" s="112" t="s">
        <v>672</v>
      </c>
      <c r="T504" s="857" t="s">
        <v>541</v>
      </c>
      <c r="U504" s="857" t="s">
        <v>542</v>
      </c>
      <c r="V504" s="857" t="s">
        <v>543</v>
      </c>
      <c r="W504" s="857" t="s">
        <v>544</v>
      </c>
      <c r="X504" s="857" t="s">
        <v>545</v>
      </c>
      <c r="Y504" s="857" t="s">
        <v>546</v>
      </c>
      <c r="Z504" s="857" t="s">
        <v>547</v>
      </c>
      <c r="AA504" s="857" t="s">
        <v>548</v>
      </c>
      <c r="AB504" s="857" t="s">
        <v>549</v>
      </c>
      <c r="AC504" s="857" t="s">
        <v>550</v>
      </c>
      <c r="AD504" s="857" t="s">
        <v>551</v>
      </c>
      <c r="AE504" s="857" t="s">
        <v>552</v>
      </c>
      <c r="AF504" s="857" t="s">
        <v>553</v>
      </c>
      <c r="AG504" s="857" t="s">
        <v>554</v>
      </c>
      <c r="AH504" s="6"/>
    </row>
    <row r="505" spans="1:34" ht="15.95" customHeight="1" thickTop="1">
      <c r="A505" s="7"/>
      <c r="B505" s="19" t="s">
        <v>146</v>
      </c>
      <c r="C505" s="12"/>
      <c r="D505" s="197"/>
      <c r="E505" s="197"/>
      <c r="F505" s="196"/>
      <c r="G505" s="197"/>
      <c r="H505" s="196"/>
      <c r="I505" s="196"/>
      <c r="J505" s="197"/>
      <c r="K505" s="197"/>
      <c r="L505" s="287" t="s">
        <v>34</v>
      </c>
      <c r="M505" s="196"/>
      <c r="N505" s="39" t="str">
        <f>J$6</f>
        <v>FY2010-11</v>
      </c>
      <c r="O505" s="39" t="s">
        <v>154</v>
      </c>
      <c r="P505" s="39" t="s">
        <v>147</v>
      </c>
      <c r="Q505" s="39"/>
      <c r="R505" s="197"/>
      <c r="S505" s="197"/>
      <c r="T505" s="197"/>
      <c r="U505" s="197"/>
      <c r="V505" s="198"/>
      <c r="W505" s="198"/>
      <c r="X505" s="198"/>
      <c r="Y505" s="198"/>
      <c r="Z505" s="198"/>
      <c r="AA505" s="198"/>
      <c r="AB505" s="198"/>
      <c r="AC505" s="198"/>
      <c r="AD505" s="198"/>
      <c r="AE505" s="198"/>
      <c r="AF505" s="198"/>
      <c r="AG505" s="198"/>
      <c r="AH505" s="6"/>
    </row>
    <row r="506" spans="1:34" ht="15.95" customHeight="1">
      <c r="A506" s="7"/>
      <c r="B506" s="16">
        <f>DSUM('$REV-DB'!D35:AG67,"AMOUNT",'$REV-DSUM'!D504:AG511)</f>
        <v>0</v>
      </c>
      <c r="C506" s="12"/>
      <c r="D506" s="197"/>
      <c r="E506" s="197"/>
      <c r="F506" s="196"/>
      <c r="G506" s="197"/>
      <c r="H506" s="196"/>
      <c r="I506" s="196"/>
      <c r="J506" s="197"/>
      <c r="K506" s="197"/>
      <c r="L506" s="287" t="s">
        <v>34</v>
      </c>
      <c r="M506" s="196"/>
      <c r="N506" s="39" t="str">
        <f t="shared" ref="N506:N511" si="49">J$6</f>
        <v>FY2010-11</v>
      </c>
      <c r="O506" s="39" t="s">
        <v>154</v>
      </c>
      <c r="P506" s="39" t="s">
        <v>147</v>
      </c>
      <c r="Q506" s="39"/>
      <c r="R506" s="197"/>
      <c r="S506" s="197"/>
      <c r="T506" s="197"/>
      <c r="U506" s="197"/>
      <c r="V506" s="198"/>
      <c r="W506" s="198"/>
      <c r="X506" s="198"/>
      <c r="Y506" s="198"/>
      <c r="Z506" s="198"/>
      <c r="AA506" s="198"/>
      <c r="AB506" s="198"/>
      <c r="AC506" s="198"/>
      <c r="AD506" s="198"/>
      <c r="AE506" s="198"/>
      <c r="AF506" s="198"/>
      <c r="AG506" s="198"/>
      <c r="AH506" s="6"/>
    </row>
    <row r="507" spans="1:34" ht="15.95" customHeight="1">
      <c r="A507" s="7"/>
      <c r="B507" s="10"/>
      <c r="C507" s="12"/>
      <c r="D507" s="197"/>
      <c r="E507" s="197"/>
      <c r="F507" s="196"/>
      <c r="G507" s="197"/>
      <c r="H507" s="196"/>
      <c r="I507" s="196"/>
      <c r="J507" s="197"/>
      <c r="K507" s="197"/>
      <c r="L507" s="287" t="s">
        <v>34</v>
      </c>
      <c r="M507" s="196"/>
      <c r="N507" s="39" t="str">
        <f t="shared" si="49"/>
        <v>FY2010-11</v>
      </c>
      <c r="O507" s="39" t="s">
        <v>154</v>
      </c>
      <c r="P507" s="39" t="s">
        <v>147</v>
      </c>
      <c r="Q507" s="39"/>
      <c r="R507" s="197"/>
      <c r="S507" s="197"/>
      <c r="T507" s="197"/>
      <c r="U507" s="197"/>
      <c r="V507" s="198"/>
      <c r="W507" s="198"/>
      <c r="X507" s="198"/>
      <c r="Y507" s="198"/>
      <c r="Z507" s="198"/>
      <c r="AA507" s="198"/>
      <c r="AB507" s="198"/>
      <c r="AC507" s="198"/>
      <c r="AD507" s="198"/>
      <c r="AE507" s="198"/>
      <c r="AF507" s="198"/>
      <c r="AG507" s="198"/>
    </row>
    <row r="508" spans="1:34" ht="15.95" customHeight="1">
      <c r="A508" s="7"/>
      <c r="B508" s="10"/>
      <c r="C508" s="12"/>
      <c r="D508" s="197"/>
      <c r="E508" s="197"/>
      <c r="F508" s="196"/>
      <c r="G508" s="197"/>
      <c r="H508" s="196"/>
      <c r="I508" s="196"/>
      <c r="J508" s="197"/>
      <c r="K508" s="197"/>
      <c r="L508" s="287" t="s">
        <v>34</v>
      </c>
      <c r="M508" s="196"/>
      <c r="N508" s="39" t="str">
        <f t="shared" si="49"/>
        <v>FY2010-11</v>
      </c>
      <c r="O508" s="39" t="s">
        <v>154</v>
      </c>
      <c r="P508" s="39" t="s">
        <v>147</v>
      </c>
      <c r="Q508" s="39"/>
      <c r="R508" s="197"/>
      <c r="S508" s="197"/>
      <c r="T508" s="197"/>
      <c r="U508" s="197"/>
      <c r="V508" s="198"/>
      <c r="W508" s="198"/>
      <c r="X508" s="198"/>
      <c r="Y508" s="198"/>
      <c r="Z508" s="198"/>
      <c r="AA508" s="198"/>
      <c r="AB508" s="198"/>
      <c r="AC508" s="198"/>
      <c r="AD508" s="198"/>
      <c r="AE508" s="198"/>
      <c r="AF508" s="198"/>
      <c r="AG508" s="198"/>
    </row>
    <row r="509" spans="1:34" ht="15.95" customHeight="1">
      <c r="A509" s="7"/>
      <c r="B509" s="10"/>
      <c r="C509" s="12"/>
      <c r="D509" s="197"/>
      <c r="E509" s="197"/>
      <c r="F509" s="196"/>
      <c r="G509" s="197"/>
      <c r="H509" s="196"/>
      <c r="I509" s="196"/>
      <c r="J509" s="197"/>
      <c r="K509" s="197"/>
      <c r="L509" s="287" t="s">
        <v>34</v>
      </c>
      <c r="M509" s="196"/>
      <c r="N509" s="39" t="str">
        <f t="shared" si="49"/>
        <v>FY2010-11</v>
      </c>
      <c r="O509" s="39" t="s">
        <v>154</v>
      </c>
      <c r="P509" s="39" t="s">
        <v>147</v>
      </c>
      <c r="Q509" s="39"/>
      <c r="R509" s="197"/>
      <c r="S509" s="197"/>
      <c r="T509" s="197"/>
      <c r="U509" s="197"/>
      <c r="V509" s="198"/>
      <c r="W509" s="198"/>
      <c r="X509" s="198"/>
      <c r="Y509" s="198"/>
      <c r="Z509" s="198"/>
      <c r="AA509" s="198"/>
      <c r="AB509" s="198"/>
      <c r="AC509" s="198"/>
      <c r="AD509" s="198"/>
      <c r="AE509" s="198"/>
      <c r="AF509" s="198"/>
      <c r="AG509" s="198"/>
    </row>
    <row r="510" spans="1:34" ht="15.95" customHeight="1">
      <c r="A510" s="7"/>
      <c r="B510" s="10"/>
      <c r="C510" s="12"/>
      <c r="D510" s="197"/>
      <c r="E510" s="197"/>
      <c r="F510" s="196"/>
      <c r="G510" s="197"/>
      <c r="H510" s="196"/>
      <c r="I510" s="196"/>
      <c r="J510" s="197"/>
      <c r="K510" s="197"/>
      <c r="L510" s="287" t="s">
        <v>34</v>
      </c>
      <c r="M510" s="196"/>
      <c r="N510" s="39" t="str">
        <f t="shared" si="49"/>
        <v>FY2010-11</v>
      </c>
      <c r="O510" s="39" t="s">
        <v>154</v>
      </c>
      <c r="P510" s="39" t="s">
        <v>147</v>
      </c>
      <c r="Q510" s="39"/>
      <c r="R510" s="197"/>
      <c r="S510" s="197"/>
      <c r="T510" s="197"/>
      <c r="U510" s="197"/>
      <c r="V510" s="198"/>
      <c r="W510" s="198"/>
      <c r="X510" s="198"/>
      <c r="Y510" s="198"/>
      <c r="Z510" s="198"/>
      <c r="AA510" s="198"/>
      <c r="AB510" s="198"/>
      <c r="AC510" s="198"/>
      <c r="AD510" s="198"/>
      <c r="AE510" s="198"/>
      <c r="AF510" s="198"/>
      <c r="AG510" s="198"/>
    </row>
    <row r="511" spans="1:34" ht="15.95" customHeight="1">
      <c r="A511" s="7"/>
      <c r="B511" s="10"/>
      <c r="C511" s="12"/>
      <c r="D511" s="197"/>
      <c r="E511" s="197"/>
      <c r="F511" s="196"/>
      <c r="G511" s="197"/>
      <c r="H511" s="196"/>
      <c r="I511" s="196"/>
      <c r="J511" s="197"/>
      <c r="K511" s="197"/>
      <c r="L511" s="287" t="s">
        <v>34</v>
      </c>
      <c r="M511" s="196"/>
      <c r="N511" s="39" t="str">
        <f t="shared" si="49"/>
        <v>FY2010-11</v>
      </c>
      <c r="O511" s="39" t="s">
        <v>154</v>
      </c>
      <c r="P511" s="39" t="s">
        <v>147</v>
      </c>
      <c r="Q511" s="39"/>
      <c r="R511" s="197"/>
      <c r="S511" s="197"/>
      <c r="T511" s="197"/>
      <c r="U511" s="197"/>
      <c r="V511" s="198"/>
      <c r="W511" s="198"/>
      <c r="X511" s="198"/>
      <c r="Y511" s="198"/>
      <c r="Z511" s="198"/>
      <c r="AA511" s="198"/>
      <c r="AB511" s="198"/>
      <c r="AC511" s="198"/>
      <c r="AD511" s="198"/>
      <c r="AE511" s="198"/>
      <c r="AF511" s="198"/>
      <c r="AG511" s="198"/>
    </row>
    <row r="512" spans="1:34" ht="15.95" customHeight="1">
      <c r="A512" s="21"/>
      <c r="B512" s="22"/>
      <c r="C512" s="22"/>
      <c r="D512" s="23"/>
      <c r="E512" s="23"/>
      <c r="F512" s="24"/>
      <c r="G512" s="23"/>
      <c r="H512" s="24"/>
      <c r="I512" s="24"/>
      <c r="J512" s="23"/>
      <c r="K512" s="23"/>
      <c r="L512" s="286"/>
      <c r="M512" s="24"/>
      <c r="N512" s="24"/>
      <c r="O512" s="23"/>
      <c r="P512" s="24"/>
      <c r="Q512" s="24"/>
      <c r="R512" s="23"/>
      <c r="S512" s="23"/>
      <c r="T512" s="23"/>
      <c r="U512" s="23"/>
      <c r="V512" s="21"/>
      <c r="W512" s="21"/>
      <c r="X512" s="21"/>
      <c r="Y512" s="21"/>
      <c r="Z512" s="21"/>
      <c r="AA512" s="21"/>
      <c r="AB512" s="21"/>
      <c r="AC512" s="21"/>
      <c r="AD512" s="21"/>
      <c r="AE512" s="21"/>
      <c r="AF512" s="21"/>
      <c r="AG512" s="21"/>
    </row>
    <row r="513" spans="1:34"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66"/>
      <c r="T513" s="867" t="str">
        <f>'$REV-DB'!$T$34</f>
        <v>UD1</v>
      </c>
      <c r="U513" s="867" t="str">
        <f>'$REV-DB'!$U$34</f>
        <v>UD2</v>
      </c>
      <c r="V513" s="867" t="str">
        <f>'$REV-DB'!$V$34</f>
        <v>UD3</v>
      </c>
      <c r="W513" s="867" t="str">
        <f>'$REV-DB'!$W$34</f>
        <v>UD4</v>
      </c>
      <c r="X513" s="867" t="str">
        <f>'$REV-DB'!$X$34</f>
        <v>UD5</v>
      </c>
      <c r="Y513" s="867" t="str">
        <f>'$REV-DB'!$Y$34</f>
        <v>UD6</v>
      </c>
      <c r="Z513" s="867" t="str">
        <f>'$REV-DB'!$Z$34</f>
        <v>UD7</v>
      </c>
      <c r="AA513" s="867" t="str">
        <f>'$REV-DB'!$AA$34</f>
        <v>UD8</v>
      </c>
      <c r="AB513" s="867" t="str">
        <f>'$REV-DB'!$AB$34</f>
        <v>UD9</v>
      </c>
      <c r="AC513" s="867" t="str">
        <f>'$REV-DB'!$AC$34</f>
        <v>UD10</v>
      </c>
      <c r="AD513" s="867" t="str">
        <f>'$REV-DB'!$AD$34</f>
        <v>UD11</v>
      </c>
      <c r="AE513" s="867" t="str">
        <f>'$REV-DB'!$AE$34</f>
        <v>UD12</v>
      </c>
      <c r="AF513" s="867" t="str">
        <f>'$REV-DB'!$AF$34</f>
        <v>UD13</v>
      </c>
      <c r="AG513" s="867" t="str">
        <f>'$REV-DB'!$AG$34</f>
        <v>UD14</v>
      </c>
    </row>
    <row r="514" spans="1:34" ht="15.95" customHeight="1" thickTop="1" thickBot="1">
      <c r="A514" s="7"/>
      <c r="B514" s="20" t="s">
        <v>175</v>
      </c>
      <c r="C514" s="15"/>
      <c r="D514" s="105" t="s">
        <v>186</v>
      </c>
      <c r="E514" s="105" t="s">
        <v>187</v>
      </c>
      <c r="F514" s="105" t="s">
        <v>188</v>
      </c>
      <c r="G514" s="105" t="s">
        <v>189</v>
      </c>
      <c r="H514" s="301" t="s">
        <v>11</v>
      </c>
      <c r="I514" s="301" t="s">
        <v>190</v>
      </c>
      <c r="J514" s="301" t="s">
        <v>191</v>
      </c>
      <c r="K514" s="301" t="s">
        <v>192</v>
      </c>
      <c r="L514" s="301" t="s">
        <v>203</v>
      </c>
      <c r="M514" s="301" t="s">
        <v>42</v>
      </c>
      <c r="N514" s="105" t="s">
        <v>148</v>
      </c>
      <c r="O514" s="105" t="s">
        <v>193</v>
      </c>
      <c r="P514" s="105" t="s">
        <v>142</v>
      </c>
      <c r="Q514" s="105" t="s">
        <v>194</v>
      </c>
      <c r="R514" s="112" t="s">
        <v>141</v>
      </c>
      <c r="S514" s="112" t="s">
        <v>672</v>
      </c>
      <c r="T514" s="857" t="s">
        <v>541</v>
      </c>
      <c r="U514" s="857" t="s">
        <v>542</v>
      </c>
      <c r="V514" s="857" t="s">
        <v>543</v>
      </c>
      <c r="W514" s="857" t="s">
        <v>544</v>
      </c>
      <c r="X514" s="857" t="s">
        <v>545</v>
      </c>
      <c r="Y514" s="857" t="s">
        <v>546</v>
      </c>
      <c r="Z514" s="857" t="s">
        <v>547</v>
      </c>
      <c r="AA514" s="857" t="s">
        <v>548</v>
      </c>
      <c r="AB514" s="857" t="s">
        <v>549</v>
      </c>
      <c r="AC514" s="857" t="s">
        <v>550</v>
      </c>
      <c r="AD514" s="857" t="s">
        <v>551</v>
      </c>
      <c r="AE514" s="857" t="s">
        <v>552</v>
      </c>
      <c r="AF514" s="857" t="s">
        <v>553</v>
      </c>
      <c r="AG514" s="857" t="s">
        <v>554</v>
      </c>
      <c r="AH514" s="6"/>
    </row>
    <row r="515" spans="1:34" ht="15.95" customHeight="1" thickTop="1">
      <c r="A515" s="7"/>
      <c r="B515" s="19" t="s">
        <v>145</v>
      </c>
      <c r="C515" s="12"/>
      <c r="D515" s="197"/>
      <c r="E515" s="197"/>
      <c r="F515" s="196"/>
      <c r="G515" s="197"/>
      <c r="H515" s="196"/>
      <c r="I515" s="196"/>
      <c r="J515" s="197"/>
      <c r="K515" s="197"/>
      <c r="L515" s="287" t="s">
        <v>34</v>
      </c>
      <c r="M515" s="196"/>
      <c r="N515" s="39" t="str">
        <f>J$6</f>
        <v>FY2010-11</v>
      </c>
      <c r="O515" s="39" t="s">
        <v>154</v>
      </c>
      <c r="P515" s="39" t="s">
        <v>147</v>
      </c>
      <c r="Q515" s="39" t="s">
        <v>180</v>
      </c>
      <c r="R515" s="197"/>
      <c r="S515" s="197"/>
      <c r="T515" s="197"/>
      <c r="U515" s="197"/>
      <c r="V515" s="198"/>
      <c r="W515" s="198"/>
      <c r="X515" s="198"/>
      <c r="Y515" s="198"/>
      <c r="Z515" s="198"/>
      <c r="AA515" s="198"/>
      <c r="AB515" s="198"/>
      <c r="AC515" s="198"/>
      <c r="AD515" s="198"/>
      <c r="AE515" s="198"/>
      <c r="AF515" s="198"/>
      <c r="AG515" s="198"/>
      <c r="AH515" s="6"/>
    </row>
    <row r="516" spans="1:34" ht="15.95" customHeight="1">
      <c r="A516" s="7"/>
      <c r="B516" s="16">
        <f>DSUM('$REV-DB'!D35:AG67,"AMOUNT",'$REV-DSUM'!D514:AG521)</f>
        <v>0</v>
      </c>
      <c r="C516" s="12"/>
      <c r="D516" s="197"/>
      <c r="E516" s="197"/>
      <c r="F516" s="196"/>
      <c r="G516" s="197"/>
      <c r="H516" s="196"/>
      <c r="I516" s="196"/>
      <c r="J516" s="197"/>
      <c r="K516" s="197"/>
      <c r="L516" s="287" t="s">
        <v>34</v>
      </c>
      <c r="M516" s="196"/>
      <c r="N516" s="39" t="str">
        <f t="shared" ref="N516:N521" si="50">J$6</f>
        <v>FY2010-11</v>
      </c>
      <c r="O516" s="39" t="s">
        <v>154</v>
      </c>
      <c r="P516" s="39" t="s">
        <v>147</v>
      </c>
      <c r="Q516" s="39" t="s">
        <v>180</v>
      </c>
      <c r="R516" s="197"/>
      <c r="S516" s="197"/>
      <c r="T516" s="197"/>
      <c r="U516" s="197"/>
      <c r="V516" s="198"/>
      <c r="W516" s="198"/>
      <c r="X516" s="198"/>
      <c r="Y516" s="198"/>
      <c r="Z516" s="198"/>
      <c r="AA516" s="198"/>
      <c r="AB516" s="198"/>
      <c r="AC516" s="198"/>
      <c r="AD516" s="198"/>
      <c r="AE516" s="198"/>
      <c r="AF516" s="198"/>
      <c r="AG516" s="198"/>
      <c r="AH516" s="6"/>
    </row>
    <row r="517" spans="1:34" ht="15.95" customHeight="1">
      <c r="A517" s="7"/>
      <c r="B517" s="10"/>
      <c r="C517" s="12"/>
      <c r="D517" s="197"/>
      <c r="E517" s="197"/>
      <c r="F517" s="196"/>
      <c r="G517" s="197"/>
      <c r="H517" s="196"/>
      <c r="I517" s="196"/>
      <c r="J517" s="197"/>
      <c r="K517" s="197"/>
      <c r="L517" s="287" t="s">
        <v>34</v>
      </c>
      <c r="M517" s="196"/>
      <c r="N517" s="39" t="str">
        <f t="shared" si="50"/>
        <v>FY2010-11</v>
      </c>
      <c r="O517" s="39" t="s">
        <v>154</v>
      </c>
      <c r="P517" s="39" t="s">
        <v>147</v>
      </c>
      <c r="Q517" s="39" t="s">
        <v>180</v>
      </c>
      <c r="R517" s="197"/>
      <c r="S517" s="197"/>
      <c r="T517" s="197"/>
      <c r="U517" s="197"/>
      <c r="V517" s="198"/>
      <c r="W517" s="198"/>
      <c r="X517" s="198"/>
      <c r="Y517" s="198"/>
      <c r="Z517" s="198"/>
      <c r="AA517" s="198"/>
      <c r="AB517" s="198"/>
      <c r="AC517" s="198"/>
      <c r="AD517" s="198"/>
      <c r="AE517" s="198"/>
      <c r="AF517" s="198"/>
      <c r="AG517" s="198"/>
    </row>
    <row r="518" spans="1:34" ht="15.95" customHeight="1">
      <c r="A518" s="7"/>
      <c r="B518" s="10"/>
      <c r="C518" s="12"/>
      <c r="D518" s="197"/>
      <c r="E518" s="197"/>
      <c r="F518" s="196"/>
      <c r="G518" s="197"/>
      <c r="H518" s="196"/>
      <c r="I518" s="196"/>
      <c r="J518" s="197"/>
      <c r="K518" s="197"/>
      <c r="L518" s="287" t="s">
        <v>34</v>
      </c>
      <c r="M518" s="196"/>
      <c r="N518" s="39" t="str">
        <f t="shared" si="50"/>
        <v>FY2010-11</v>
      </c>
      <c r="O518" s="39" t="s">
        <v>154</v>
      </c>
      <c r="P518" s="39" t="s">
        <v>147</v>
      </c>
      <c r="Q518" s="39" t="s">
        <v>180</v>
      </c>
      <c r="R518" s="197"/>
      <c r="S518" s="197"/>
      <c r="T518" s="197"/>
      <c r="U518" s="197"/>
      <c r="V518" s="198"/>
      <c r="W518" s="198"/>
      <c r="X518" s="198"/>
      <c r="Y518" s="198"/>
      <c r="Z518" s="198"/>
      <c r="AA518" s="198"/>
      <c r="AB518" s="198"/>
      <c r="AC518" s="198"/>
      <c r="AD518" s="198"/>
      <c r="AE518" s="198"/>
      <c r="AF518" s="198"/>
      <c r="AG518" s="198"/>
    </row>
    <row r="519" spans="1:34" ht="15.95" customHeight="1">
      <c r="A519" s="7"/>
      <c r="B519" s="10"/>
      <c r="C519" s="12"/>
      <c r="D519" s="197"/>
      <c r="E519" s="197"/>
      <c r="F519" s="196"/>
      <c r="G519" s="197"/>
      <c r="H519" s="196"/>
      <c r="I519" s="196"/>
      <c r="J519" s="197"/>
      <c r="K519" s="197"/>
      <c r="L519" s="287" t="s">
        <v>34</v>
      </c>
      <c r="M519" s="196"/>
      <c r="N519" s="39" t="str">
        <f t="shared" si="50"/>
        <v>FY2010-11</v>
      </c>
      <c r="O519" s="39" t="s">
        <v>154</v>
      </c>
      <c r="P519" s="39" t="s">
        <v>147</v>
      </c>
      <c r="Q519" s="39" t="s">
        <v>180</v>
      </c>
      <c r="R519" s="197"/>
      <c r="S519" s="197"/>
      <c r="T519" s="197"/>
      <c r="U519" s="197"/>
      <c r="V519" s="198"/>
      <c r="W519" s="198"/>
      <c r="X519" s="198"/>
      <c r="Y519" s="198"/>
      <c r="Z519" s="198"/>
      <c r="AA519" s="198"/>
      <c r="AB519" s="198"/>
      <c r="AC519" s="198"/>
      <c r="AD519" s="198"/>
      <c r="AE519" s="198"/>
      <c r="AF519" s="198"/>
      <c r="AG519" s="198"/>
    </row>
    <row r="520" spans="1:34" ht="15.95" customHeight="1">
      <c r="A520" s="7"/>
      <c r="B520" s="10"/>
      <c r="C520" s="12"/>
      <c r="D520" s="197"/>
      <c r="E520" s="197"/>
      <c r="F520" s="196"/>
      <c r="G520" s="197"/>
      <c r="H520" s="196"/>
      <c r="I520" s="196"/>
      <c r="J520" s="197"/>
      <c r="K520" s="197"/>
      <c r="L520" s="287" t="s">
        <v>34</v>
      </c>
      <c r="M520" s="196"/>
      <c r="N520" s="39" t="str">
        <f t="shared" si="50"/>
        <v>FY2010-11</v>
      </c>
      <c r="O520" s="39" t="s">
        <v>154</v>
      </c>
      <c r="P520" s="39" t="s">
        <v>147</v>
      </c>
      <c r="Q520" s="39" t="s">
        <v>180</v>
      </c>
      <c r="R520" s="197"/>
      <c r="S520" s="197"/>
      <c r="T520" s="197"/>
      <c r="U520" s="197"/>
      <c r="V520" s="198"/>
      <c r="W520" s="198"/>
      <c r="X520" s="198"/>
      <c r="Y520" s="198"/>
      <c r="Z520" s="198"/>
      <c r="AA520" s="198"/>
      <c r="AB520" s="198"/>
      <c r="AC520" s="198"/>
      <c r="AD520" s="198"/>
      <c r="AE520" s="198"/>
      <c r="AF520" s="198"/>
      <c r="AG520" s="198"/>
    </row>
    <row r="521" spans="1:34" ht="15.95" customHeight="1">
      <c r="A521" s="7"/>
      <c r="B521" s="10"/>
      <c r="C521" s="12"/>
      <c r="D521" s="197"/>
      <c r="E521" s="197"/>
      <c r="F521" s="196"/>
      <c r="G521" s="197"/>
      <c r="H521" s="196"/>
      <c r="I521" s="196"/>
      <c r="J521" s="197"/>
      <c r="K521" s="197"/>
      <c r="L521" s="287" t="s">
        <v>34</v>
      </c>
      <c r="M521" s="196"/>
      <c r="N521" s="39" t="str">
        <f t="shared" si="50"/>
        <v>FY2010-11</v>
      </c>
      <c r="O521" s="39" t="s">
        <v>154</v>
      </c>
      <c r="P521" s="39" t="s">
        <v>147</v>
      </c>
      <c r="Q521" s="39" t="s">
        <v>180</v>
      </c>
      <c r="R521" s="197"/>
      <c r="S521" s="197"/>
      <c r="T521" s="197"/>
      <c r="U521" s="197"/>
      <c r="V521" s="198"/>
      <c r="W521" s="198"/>
      <c r="X521" s="198"/>
      <c r="Y521" s="198"/>
      <c r="Z521" s="198"/>
      <c r="AA521" s="198"/>
      <c r="AB521" s="198"/>
      <c r="AC521" s="198"/>
      <c r="AD521" s="198"/>
      <c r="AE521" s="198"/>
      <c r="AF521" s="198"/>
      <c r="AG521" s="198"/>
    </row>
    <row r="522" spans="1:34" ht="15.95" customHeight="1">
      <c r="A522" s="21"/>
      <c r="B522" s="22"/>
      <c r="C522" s="22"/>
      <c r="D522" s="23"/>
      <c r="E522" s="23"/>
      <c r="F522" s="24"/>
      <c r="G522" s="23"/>
      <c r="H522" s="24"/>
      <c r="I522" s="24"/>
      <c r="J522" s="23"/>
      <c r="K522" s="23"/>
      <c r="L522" s="286"/>
      <c r="M522" s="24"/>
      <c r="N522" s="24"/>
      <c r="O522" s="23"/>
      <c r="P522" s="24"/>
      <c r="Q522" s="24"/>
      <c r="R522" s="23"/>
      <c r="S522" s="23"/>
      <c r="T522" s="23"/>
      <c r="U522" s="23"/>
      <c r="V522" s="21"/>
      <c r="W522" s="21"/>
      <c r="X522" s="21"/>
      <c r="Y522" s="21"/>
      <c r="Z522" s="21"/>
      <c r="AA522" s="21"/>
      <c r="AB522" s="21"/>
      <c r="AC522" s="21"/>
      <c r="AD522" s="21"/>
      <c r="AE522" s="21"/>
      <c r="AF522" s="21"/>
      <c r="AG522" s="21"/>
    </row>
    <row r="523" spans="1:34"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66"/>
      <c r="T523" s="867" t="str">
        <f>'$REV-DB'!$T$34</f>
        <v>UD1</v>
      </c>
      <c r="U523" s="867" t="str">
        <f>'$REV-DB'!$U$34</f>
        <v>UD2</v>
      </c>
      <c r="V523" s="867" t="str">
        <f>'$REV-DB'!$V$34</f>
        <v>UD3</v>
      </c>
      <c r="W523" s="867" t="str">
        <f>'$REV-DB'!$W$34</f>
        <v>UD4</v>
      </c>
      <c r="X523" s="867" t="str">
        <f>'$REV-DB'!$X$34</f>
        <v>UD5</v>
      </c>
      <c r="Y523" s="867" t="str">
        <f>'$REV-DB'!$Y$34</f>
        <v>UD6</v>
      </c>
      <c r="Z523" s="867" t="str">
        <f>'$REV-DB'!$Z$34</f>
        <v>UD7</v>
      </c>
      <c r="AA523" s="867" t="str">
        <f>'$REV-DB'!$AA$34</f>
        <v>UD8</v>
      </c>
      <c r="AB523" s="867" t="str">
        <f>'$REV-DB'!$AB$34</f>
        <v>UD9</v>
      </c>
      <c r="AC523" s="867" t="str">
        <f>'$REV-DB'!$AC$34</f>
        <v>UD10</v>
      </c>
      <c r="AD523" s="867" t="str">
        <f>'$REV-DB'!$AD$34</f>
        <v>UD11</v>
      </c>
      <c r="AE523" s="867" t="str">
        <f>'$REV-DB'!$AE$34</f>
        <v>UD12</v>
      </c>
      <c r="AF523" s="867" t="str">
        <f>'$REV-DB'!$AF$34</f>
        <v>UD13</v>
      </c>
      <c r="AG523" s="867" t="str">
        <f>'$REV-DB'!$AG$34</f>
        <v>UD14</v>
      </c>
    </row>
    <row r="524" spans="1:34" ht="15.95" customHeight="1" thickTop="1" thickBot="1">
      <c r="A524" s="7"/>
      <c r="B524" s="20" t="s">
        <v>175</v>
      </c>
      <c r="C524" s="15"/>
      <c r="D524" s="105" t="s">
        <v>186</v>
      </c>
      <c r="E524" s="105" t="s">
        <v>187</v>
      </c>
      <c r="F524" s="105" t="s">
        <v>188</v>
      </c>
      <c r="G524" s="105" t="s">
        <v>189</v>
      </c>
      <c r="H524" s="301" t="s">
        <v>11</v>
      </c>
      <c r="I524" s="301" t="s">
        <v>190</v>
      </c>
      <c r="J524" s="301" t="s">
        <v>191</v>
      </c>
      <c r="K524" s="301" t="s">
        <v>192</v>
      </c>
      <c r="L524" s="301" t="s">
        <v>203</v>
      </c>
      <c r="M524" s="301" t="s">
        <v>42</v>
      </c>
      <c r="N524" s="105" t="s">
        <v>148</v>
      </c>
      <c r="O524" s="105" t="s">
        <v>193</v>
      </c>
      <c r="P524" s="105" t="s">
        <v>142</v>
      </c>
      <c r="Q524" s="105" t="s">
        <v>194</v>
      </c>
      <c r="R524" s="112" t="s">
        <v>141</v>
      </c>
      <c r="S524" s="112" t="s">
        <v>672</v>
      </c>
      <c r="T524" s="857" t="s">
        <v>541</v>
      </c>
      <c r="U524" s="857" t="s">
        <v>542</v>
      </c>
      <c r="V524" s="857" t="s">
        <v>543</v>
      </c>
      <c r="W524" s="857" t="s">
        <v>544</v>
      </c>
      <c r="X524" s="857" t="s">
        <v>545</v>
      </c>
      <c r="Y524" s="857" t="s">
        <v>546</v>
      </c>
      <c r="Z524" s="857" t="s">
        <v>547</v>
      </c>
      <c r="AA524" s="857" t="s">
        <v>548</v>
      </c>
      <c r="AB524" s="857" t="s">
        <v>549</v>
      </c>
      <c r="AC524" s="857" t="s">
        <v>550</v>
      </c>
      <c r="AD524" s="857" t="s">
        <v>551</v>
      </c>
      <c r="AE524" s="857" t="s">
        <v>552</v>
      </c>
      <c r="AF524" s="857" t="s">
        <v>553</v>
      </c>
      <c r="AG524" s="857" t="s">
        <v>554</v>
      </c>
      <c r="AH524" s="6"/>
    </row>
    <row r="525" spans="1:34" ht="15.95" customHeight="1" thickTop="1">
      <c r="A525" s="7"/>
      <c r="B525" s="19" t="s">
        <v>144</v>
      </c>
      <c r="C525" s="12"/>
      <c r="D525" s="197"/>
      <c r="E525" s="197"/>
      <c r="F525" s="196"/>
      <c r="G525" s="197"/>
      <c r="H525" s="196"/>
      <c r="I525" s="196"/>
      <c r="J525" s="197"/>
      <c r="K525" s="197"/>
      <c r="L525" s="287" t="s">
        <v>34</v>
      </c>
      <c r="M525" s="196"/>
      <c r="N525" s="39" t="str">
        <f>J$6</f>
        <v>FY2010-11</v>
      </c>
      <c r="O525" s="39" t="s">
        <v>154</v>
      </c>
      <c r="P525" s="39" t="s">
        <v>147</v>
      </c>
      <c r="Q525" s="39" t="s">
        <v>139</v>
      </c>
      <c r="R525" s="197"/>
      <c r="S525" s="197"/>
      <c r="T525" s="197"/>
      <c r="U525" s="197"/>
      <c r="V525" s="198"/>
      <c r="W525" s="198"/>
      <c r="X525" s="198"/>
      <c r="Y525" s="198"/>
      <c r="Z525" s="198"/>
      <c r="AA525" s="198"/>
      <c r="AB525" s="198"/>
      <c r="AC525" s="198"/>
      <c r="AD525" s="198"/>
      <c r="AE525" s="198"/>
      <c r="AF525" s="198"/>
      <c r="AG525" s="198"/>
      <c r="AH525" s="6"/>
    </row>
    <row r="526" spans="1:34" ht="15.95" customHeight="1">
      <c r="A526" s="7"/>
      <c r="B526" s="16">
        <f>DSUM('$REV-DB'!D35:AG67,"AMOUNT",'$REV-DSUM'!D524:AG531)</f>
        <v>0</v>
      </c>
      <c r="C526" s="12"/>
      <c r="D526" s="197"/>
      <c r="E526" s="197"/>
      <c r="F526" s="196"/>
      <c r="G526" s="197"/>
      <c r="H526" s="196"/>
      <c r="I526" s="196"/>
      <c r="J526" s="197"/>
      <c r="K526" s="197"/>
      <c r="L526" s="287" t="s">
        <v>34</v>
      </c>
      <c r="M526" s="196"/>
      <c r="N526" s="39" t="str">
        <f t="shared" ref="N526:N531" si="51">J$6</f>
        <v>FY2010-11</v>
      </c>
      <c r="O526" s="39" t="s">
        <v>154</v>
      </c>
      <c r="P526" s="39" t="s">
        <v>147</v>
      </c>
      <c r="Q526" s="39" t="s">
        <v>139</v>
      </c>
      <c r="R526" s="197"/>
      <c r="S526" s="197"/>
      <c r="T526" s="197"/>
      <c r="U526" s="197"/>
      <c r="V526" s="198"/>
      <c r="W526" s="198"/>
      <c r="X526" s="198"/>
      <c r="Y526" s="198"/>
      <c r="Z526" s="198"/>
      <c r="AA526" s="198"/>
      <c r="AB526" s="198"/>
      <c r="AC526" s="198"/>
      <c r="AD526" s="198"/>
      <c r="AE526" s="198"/>
      <c r="AF526" s="198"/>
      <c r="AG526" s="198"/>
      <c r="AH526" s="6"/>
    </row>
    <row r="527" spans="1:34" ht="15.95" customHeight="1">
      <c r="A527" s="7"/>
      <c r="B527" s="10"/>
      <c r="C527" s="12"/>
      <c r="D527" s="197"/>
      <c r="E527" s="197"/>
      <c r="F527" s="196"/>
      <c r="G527" s="197"/>
      <c r="H527" s="196"/>
      <c r="I527" s="196"/>
      <c r="J527" s="197"/>
      <c r="K527" s="197"/>
      <c r="L527" s="287" t="s">
        <v>34</v>
      </c>
      <c r="M527" s="196"/>
      <c r="N527" s="39" t="str">
        <f t="shared" si="51"/>
        <v>FY2010-11</v>
      </c>
      <c r="O527" s="39" t="s">
        <v>154</v>
      </c>
      <c r="P527" s="39" t="s">
        <v>147</v>
      </c>
      <c r="Q527" s="39" t="s">
        <v>139</v>
      </c>
      <c r="R527" s="197"/>
      <c r="S527" s="197"/>
      <c r="T527" s="197"/>
      <c r="U527" s="197"/>
      <c r="V527" s="198"/>
      <c r="W527" s="198"/>
      <c r="X527" s="198"/>
      <c r="Y527" s="198"/>
      <c r="Z527" s="198"/>
      <c r="AA527" s="198"/>
      <c r="AB527" s="198"/>
      <c r="AC527" s="198"/>
      <c r="AD527" s="198"/>
      <c r="AE527" s="198"/>
      <c r="AF527" s="198"/>
      <c r="AG527" s="198"/>
    </row>
    <row r="528" spans="1:34" ht="15.95" customHeight="1">
      <c r="A528" s="7"/>
      <c r="B528" s="10"/>
      <c r="C528" s="12"/>
      <c r="D528" s="197"/>
      <c r="E528" s="197"/>
      <c r="F528" s="196"/>
      <c r="G528" s="197"/>
      <c r="H528" s="196"/>
      <c r="I528" s="196"/>
      <c r="J528" s="197"/>
      <c r="K528" s="197"/>
      <c r="L528" s="287" t="s">
        <v>34</v>
      </c>
      <c r="M528" s="196"/>
      <c r="N528" s="39" t="str">
        <f t="shared" si="51"/>
        <v>FY2010-11</v>
      </c>
      <c r="O528" s="39" t="s">
        <v>154</v>
      </c>
      <c r="P528" s="39" t="s">
        <v>147</v>
      </c>
      <c r="Q528" s="39" t="s">
        <v>139</v>
      </c>
      <c r="R528" s="197"/>
      <c r="S528" s="197"/>
      <c r="T528" s="197"/>
      <c r="U528" s="197"/>
      <c r="V528" s="198"/>
      <c r="W528" s="198"/>
      <c r="X528" s="198"/>
      <c r="Y528" s="198"/>
      <c r="Z528" s="198"/>
      <c r="AA528" s="198"/>
      <c r="AB528" s="198"/>
      <c r="AC528" s="198"/>
      <c r="AD528" s="198"/>
      <c r="AE528" s="198"/>
      <c r="AF528" s="198"/>
      <c r="AG528" s="198"/>
    </row>
    <row r="529" spans="1:34" ht="15.95" customHeight="1">
      <c r="A529" s="7"/>
      <c r="B529" s="10"/>
      <c r="C529" s="12"/>
      <c r="D529" s="197"/>
      <c r="E529" s="197"/>
      <c r="F529" s="196"/>
      <c r="G529" s="197"/>
      <c r="H529" s="196"/>
      <c r="I529" s="196"/>
      <c r="J529" s="197"/>
      <c r="K529" s="197"/>
      <c r="L529" s="287" t="s">
        <v>34</v>
      </c>
      <c r="M529" s="196"/>
      <c r="N529" s="39" t="str">
        <f t="shared" si="51"/>
        <v>FY2010-11</v>
      </c>
      <c r="O529" s="39" t="s">
        <v>154</v>
      </c>
      <c r="P529" s="39" t="s">
        <v>147</v>
      </c>
      <c r="Q529" s="39" t="s">
        <v>139</v>
      </c>
      <c r="R529" s="197"/>
      <c r="S529" s="197"/>
      <c r="T529" s="197"/>
      <c r="U529" s="197"/>
      <c r="V529" s="198"/>
      <c r="W529" s="198"/>
      <c r="X529" s="198"/>
      <c r="Y529" s="198"/>
      <c r="Z529" s="198"/>
      <c r="AA529" s="198"/>
      <c r="AB529" s="198"/>
      <c r="AC529" s="198"/>
      <c r="AD529" s="198"/>
      <c r="AE529" s="198"/>
      <c r="AF529" s="198"/>
      <c r="AG529" s="198"/>
    </row>
    <row r="530" spans="1:34" ht="15.95" customHeight="1">
      <c r="A530" s="7"/>
      <c r="B530" s="10"/>
      <c r="C530" s="12"/>
      <c r="D530" s="197"/>
      <c r="E530" s="197"/>
      <c r="F530" s="196"/>
      <c r="G530" s="197"/>
      <c r="H530" s="196"/>
      <c r="I530" s="196"/>
      <c r="J530" s="197"/>
      <c r="K530" s="197"/>
      <c r="L530" s="287" t="s">
        <v>34</v>
      </c>
      <c r="M530" s="196"/>
      <c r="N530" s="39" t="str">
        <f t="shared" si="51"/>
        <v>FY2010-11</v>
      </c>
      <c r="O530" s="39" t="s">
        <v>154</v>
      </c>
      <c r="P530" s="39" t="s">
        <v>147</v>
      </c>
      <c r="Q530" s="39" t="s">
        <v>139</v>
      </c>
      <c r="R530" s="197"/>
      <c r="S530" s="197"/>
      <c r="T530" s="197"/>
      <c r="U530" s="197"/>
      <c r="V530" s="198"/>
      <c r="W530" s="198"/>
      <c r="X530" s="198"/>
      <c r="Y530" s="198"/>
      <c r="Z530" s="198"/>
      <c r="AA530" s="198"/>
      <c r="AB530" s="198"/>
      <c r="AC530" s="198"/>
      <c r="AD530" s="198"/>
      <c r="AE530" s="198"/>
      <c r="AF530" s="198"/>
      <c r="AG530" s="198"/>
    </row>
    <row r="531" spans="1:34" ht="15.95" customHeight="1">
      <c r="A531" s="7"/>
      <c r="B531" s="10"/>
      <c r="C531" s="12"/>
      <c r="D531" s="197"/>
      <c r="E531" s="197"/>
      <c r="F531" s="196"/>
      <c r="G531" s="197"/>
      <c r="H531" s="196"/>
      <c r="I531" s="196"/>
      <c r="J531" s="197"/>
      <c r="K531" s="197"/>
      <c r="L531" s="287" t="s">
        <v>34</v>
      </c>
      <c r="M531" s="196"/>
      <c r="N531" s="39" t="str">
        <f t="shared" si="51"/>
        <v>FY2010-11</v>
      </c>
      <c r="O531" s="39" t="s">
        <v>154</v>
      </c>
      <c r="P531" s="39" t="s">
        <v>147</v>
      </c>
      <c r="Q531" s="39" t="s">
        <v>139</v>
      </c>
      <c r="R531" s="197"/>
      <c r="S531" s="197"/>
      <c r="T531" s="197"/>
      <c r="U531" s="197"/>
      <c r="V531" s="198"/>
      <c r="W531" s="198"/>
      <c r="X531" s="198"/>
      <c r="Y531" s="198"/>
      <c r="Z531" s="198"/>
      <c r="AA531" s="198"/>
      <c r="AB531" s="198"/>
      <c r="AC531" s="198"/>
      <c r="AD531" s="198"/>
      <c r="AE531" s="198"/>
      <c r="AF531" s="198"/>
      <c r="AG531" s="198"/>
    </row>
    <row r="532" spans="1:34" ht="15.95" customHeight="1">
      <c r="A532" s="21"/>
      <c r="B532" s="22"/>
      <c r="C532" s="22"/>
      <c r="D532" s="23"/>
      <c r="E532" s="23"/>
      <c r="F532" s="24"/>
      <c r="G532" s="23"/>
      <c r="H532" s="24"/>
      <c r="I532" s="24"/>
      <c r="J532" s="23"/>
      <c r="K532" s="23"/>
      <c r="L532" s="286"/>
      <c r="M532" s="24"/>
      <c r="N532" s="24"/>
      <c r="O532" s="23"/>
      <c r="P532" s="24"/>
      <c r="Q532" s="24"/>
      <c r="R532" s="23"/>
      <c r="S532" s="23"/>
      <c r="T532" s="23"/>
      <c r="U532" s="23"/>
      <c r="V532" s="21"/>
      <c r="W532" s="21"/>
      <c r="X532" s="21"/>
      <c r="Y532" s="21"/>
      <c r="Z532" s="21"/>
      <c r="AA532" s="21"/>
      <c r="AB532" s="21"/>
      <c r="AC532" s="21"/>
      <c r="AD532" s="21"/>
      <c r="AE532" s="21"/>
      <c r="AF532" s="21"/>
      <c r="AG532" s="21"/>
    </row>
    <row r="533" spans="1:34"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66"/>
      <c r="T533" s="867" t="str">
        <f>'$REV-DB'!$T$34</f>
        <v>UD1</v>
      </c>
      <c r="U533" s="867" t="str">
        <f>'$REV-DB'!$U$34</f>
        <v>UD2</v>
      </c>
      <c r="V533" s="867" t="str">
        <f>'$REV-DB'!$V$34</f>
        <v>UD3</v>
      </c>
      <c r="W533" s="867" t="str">
        <f>'$REV-DB'!$W$34</f>
        <v>UD4</v>
      </c>
      <c r="X533" s="867" t="str">
        <f>'$REV-DB'!$X$34</f>
        <v>UD5</v>
      </c>
      <c r="Y533" s="867" t="str">
        <f>'$REV-DB'!$Y$34</f>
        <v>UD6</v>
      </c>
      <c r="Z533" s="867" t="str">
        <f>'$REV-DB'!$Z$34</f>
        <v>UD7</v>
      </c>
      <c r="AA533" s="867" t="str">
        <f>'$REV-DB'!$AA$34</f>
        <v>UD8</v>
      </c>
      <c r="AB533" s="867" t="str">
        <f>'$REV-DB'!$AB$34</f>
        <v>UD9</v>
      </c>
      <c r="AC533" s="867" t="str">
        <f>'$REV-DB'!$AC$34</f>
        <v>UD10</v>
      </c>
      <c r="AD533" s="867" t="str">
        <f>'$REV-DB'!$AD$34</f>
        <v>UD11</v>
      </c>
      <c r="AE533" s="867" t="str">
        <f>'$REV-DB'!$AE$34</f>
        <v>UD12</v>
      </c>
      <c r="AF533" s="867" t="str">
        <f>'$REV-DB'!$AF$34</f>
        <v>UD13</v>
      </c>
      <c r="AG533" s="867" t="str">
        <f>'$REV-DB'!$AG$34</f>
        <v>UD14</v>
      </c>
    </row>
    <row r="534" spans="1:34" ht="15.95" customHeight="1" thickTop="1" thickBot="1">
      <c r="A534" s="7"/>
      <c r="B534" s="20" t="s">
        <v>175</v>
      </c>
      <c r="C534" s="15"/>
      <c r="D534" s="105" t="s">
        <v>186</v>
      </c>
      <c r="E534" s="105" t="s">
        <v>187</v>
      </c>
      <c r="F534" s="105" t="s">
        <v>188</v>
      </c>
      <c r="G534" s="105" t="s">
        <v>189</v>
      </c>
      <c r="H534" s="301" t="s">
        <v>11</v>
      </c>
      <c r="I534" s="301" t="s">
        <v>190</v>
      </c>
      <c r="J534" s="301" t="s">
        <v>191</v>
      </c>
      <c r="K534" s="301" t="s">
        <v>192</v>
      </c>
      <c r="L534" s="301" t="s">
        <v>203</v>
      </c>
      <c r="M534" s="301" t="s">
        <v>42</v>
      </c>
      <c r="N534" s="105" t="s">
        <v>148</v>
      </c>
      <c r="O534" s="105" t="s">
        <v>193</v>
      </c>
      <c r="P534" s="105" t="s">
        <v>142</v>
      </c>
      <c r="Q534" s="105" t="s">
        <v>194</v>
      </c>
      <c r="R534" s="112" t="s">
        <v>141</v>
      </c>
      <c r="S534" s="112" t="s">
        <v>672</v>
      </c>
      <c r="T534" s="857" t="s">
        <v>541</v>
      </c>
      <c r="U534" s="857" t="s">
        <v>542</v>
      </c>
      <c r="V534" s="857" t="s">
        <v>543</v>
      </c>
      <c r="W534" s="857" t="s">
        <v>544</v>
      </c>
      <c r="X534" s="857" t="s">
        <v>545</v>
      </c>
      <c r="Y534" s="857" t="s">
        <v>546</v>
      </c>
      <c r="Z534" s="857" t="s">
        <v>547</v>
      </c>
      <c r="AA534" s="857" t="s">
        <v>548</v>
      </c>
      <c r="AB534" s="857" t="s">
        <v>549</v>
      </c>
      <c r="AC534" s="857" t="s">
        <v>550</v>
      </c>
      <c r="AD534" s="857" t="s">
        <v>551</v>
      </c>
      <c r="AE534" s="857" t="s">
        <v>552</v>
      </c>
      <c r="AF534" s="857" t="s">
        <v>553</v>
      </c>
      <c r="AG534" s="857" t="s">
        <v>554</v>
      </c>
      <c r="AH534" s="6"/>
    </row>
    <row r="535" spans="1:34" ht="15.95" customHeight="1" thickTop="1">
      <c r="A535" s="7"/>
      <c r="B535" s="19" t="s">
        <v>143</v>
      </c>
      <c r="C535" s="12"/>
      <c r="D535" s="197"/>
      <c r="E535" s="197"/>
      <c r="F535" s="196"/>
      <c r="G535" s="197"/>
      <c r="H535" s="196"/>
      <c r="I535" s="196"/>
      <c r="J535" s="197"/>
      <c r="K535" s="197"/>
      <c r="L535" s="287" t="s">
        <v>34</v>
      </c>
      <c r="M535" s="196"/>
      <c r="N535" s="39" t="str">
        <f>J$6</f>
        <v>FY2010-11</v>
      </c>
      <c r="O535" s="39" t="s">
        <v>154</v>
      </c>
      <c r="P535" s="39" t="s">
        <v>147</v>
      </c>
      <c r="Q535" s="39" t="s">
        <v>179</v>
      </c>
      <c r="R535" s="197"/>
      <c r="S535" s="197"/>
      <c r="T535" s="197"/>
      <c r="U535" s="197"/>
      <c r="V535" s="198"/>
      <c r="W535" s="198"/>
      <c r="X535" s="198"/>
      <c r="Y535" s="198"/>
      <c r="Z535" s="198"/>
      <c r="AA535" s="198"/>
      <c r="AB535" s="198"/>
      <c r="AC535" s="198"/>
      <c r="AD535" s="198"/>
      <c r="AE535" s="198"/>
      <c r="AF535" s="198"/>
      <c r="AG535" s="198"/>
      <c r="AH535" s="6"/>
    </row>
    <row r="536" spans="1:34" ht="15.95" customHeight="1">
      <c r="A536" s="7"/>
      <c r="B536" s="16">
        <f>DSUM('$REV-DB'!D35:AG67,"AMOUNT",'$REV-DSUM'!D534:AG541)</f>
        <v>0</v>
      </c>
      <c r="C536" s="12"/>
      <c r="D536" s="197"/>
      <c r="E536" s="197"/>
      <c r="F536" s="196"/>
      <c r="G536" s="197"/>
      <c r="H536" s="196"/>
      <c r="I536" s="196"/>
      <c r="J536" s="197"/>
      <c r="K536" s="197"/>
      <c r="L536" s="287" t="s">
        <v>34</v>
      </c>
      <c r="M536" s="196"/>
      <c r="N536" s="39" t="str">
        <f t="shared" ref="N536:N541" si="52">J$6</f>
        <v>FY2010-11</v>
      </c>
      <c r="O536" s="39" t="s">
        <v>154</v>
      </c>
      <c r="P536" s="39" t="s">
        <v>147</v>
      </c>
      <c r="Q536" s="39" t="s">
        <v>179</v>
      </c>
      <c r="R536" s="197"/>
      <c r="S536" s="197"/>
      <c r="T536" s="197"/>
      <c r="U536" s="197"/>
      <c r="V536" s="198"/>
      <c r="W536" s="198"/>
      <c r="X536" s="198"/>
      <c r="Y536" s="198"/>
      <c r="Z536" s="198"/>
      <c r="AA536" s="198"/>
      <c r="AB536" s="198"/>
      <c r="AC536" s="198"/>
      <c r="AD536" s="198"/>
      <c r="AE536" s="198"/>
      <c r="AF536" s="198"/>
      <c r="AG536" s="198"/>
      <c r="AH536" s="6"/>
    </row>
    <row r="537" spans="1:34" ht="15.95" customHeight="1">
      <c r="A537" s="7"/>
      <c r="B537" s="10"/>
      <c r="C537" s="12"/>
      <c r="D537" s="197"/>
      <c r="E537" s="197"/>
      <c r="F537" s="196"/>
      <c r="G537" s="197"/>
      <c r="H537" s="196"/>
      <c r="I537" s="196"/>
      <c r="J537" s="197"/>
      <c r="K537" s="197"/>
      <c r="L537" s="287" t="s">
        <v>34</v>
      </c>
      <c r="M537" s="196"/>
      <c r="N537" s="39" t="str">
        <f t="shared" si="52"/>
        <v>FY2010-11</v>
      </c>
      <c r="O537" s="39" t="s">
        <v>154</v>
      </c>
      <c r="P537" s="39" t="s">
        <v>147</v>
      </c>
      <c r="Q537" s="39" t="s">
        <v>179</v>
      </c>
      <c r="R537" s="197"/>
      <c r="S537" s="197"/>
      <c r="T537" s="197"/>
      <c r="U537" s="197"/>
      <c r="V537" s="198"/>
      <c r="W537" s="198"/>
      <c r="X537" s="198"/>
      <c r="Y537" s="198"/>
      <c r="Z537" s="198"/>
      <c r="AA537" s="198"/>
      <c r="AB537" s="198"/>
      <c r="AC537" s="198"/>
      <c r="AD537" s="198"/>
      <c r="AE537" s="198"/>
      <c r="AF537" s="198"/>
      <c r="AG537" s="198"/>
    </row>
    <row r="538" spans="1:34" ht="15.95" customHeight="1">
      <c r="A538" s="7"/>
      <c r="B538" s="10"/>
      <c r="C538" s="12"/>
      <c r="D538" s="197"/>
      <c r="E538" s="197"/>
      <c r="F538" s="196"/>
      <c r="G538" s="197"/>
      <c r="H538" s="196"/>
      <c r="I538" s="196"/>
      <c r="J538" s="197"/>
      <c r="K538" s="197"/>
      <c r="L538" s="287" t="s">
        <v>34</v>
      </c>
      <c r="M538" s="196"/>
      <c r="N538" s="39" t="str">
        <f t="shared" si="52"/>
        <v>FY2010-11</v>
      </c>
      <c r="O538" s="39" t="s">
        <v>154</v>
      </c>
      <c r="P538" s="39" t="s">
        <v>147</v>
      </c>
      <c r="Q538" s="39" t="s">
        <v>179</v>
      </c>
      <c r="R538" s="197"/>
      <c r="S538" s="197"/>
      <c r="T538" s="197"/>
      <c r="U538" s="197"/>
      <c r="V538" s="198"/>
      <c r="W538" s="198"/>
      <c r="X538" s="198"/>
      <c r="Y538" s="198"/>
      <c r="Z538" s="198"/>
      <c r="AA538" s="198"/>
      <c r="AB538" s="198"/>
      <c r="AC538" s="198"/>
      <c r="AD538" s="198"/>
      <c r="AE538" s="198"/>
      <c r="AF538" s="198"/>
      <c r="AG538" s="198"/>
    </row>
    <row r="539" spans="1:34" ht="15.95" customHeight="1">
      <c r="A539" s="7"/>
      <c r="B539" s="10"/>
      <c r="C539" s="12"/>
      <c r="D539" s="197"/>
      <c r="E539" s="197"/>
      <c r="F539" s="196"/>
      <c r="G539" s="197"/>
      <c r="H539" s="196"/>
      <c r="I539" s="196"/>
      <c r="J539" s="197"/>
      <c r="K539" s="197"/>
      <c r="L539" s="287" t="s">
        <v>34</v>
      </c>
      <c r="M539" s="196"/>
      <c r="N539" s="39" t="str">
        <f t="shared" si="52"/>
        <v>FY2010-11</v>
      </c>
      <c r="O539" s="39" t="s">
        <v>154</v>
      </c>
      <c r="P539" s="39" t="s">
        <v>147</v>
      </c>
      <c r="Q539" s="39" t="s">
        <v>179</v>
      </c>
      <c r="R539" s="197"/>
      <c r="S539" s="197"/>
      <c r="T539" s="197"/>
      <c r="U539" s="197"/>
      <c r="V539" s="198"/>
      <c r="W539" s="198"/>
      <c r="X539" s="198"/>
      <c r="Y539" s="198"/>
      <c r="Z539" s="198"/>
      <c r="AA539" s="198"/>
      <c r="AB539" s="198"/>
      <c r="AC539" s="198"/>
      <c r="AD539" s="198"/>
      <c r="AE539" s="198"/>
      <c r="AF539" s="198"/>
      <c r="AG539" s="198"/>
    </row>
    <row r="540" spans="1:34" ht="15.95" customHeight="1">
      <c r="A540" s="7"/>
      <c r="B540" s="10"/>
      <c r="C540" s="12"/>
      <c r="D540" s="197"/>
      <c r="E540" s="197"/>
      <c r="F540" s="196"/>
      <c r="G540" s="197"/>
      <c r="H540" s="196"/>
      <c r="I540" s="196"/>
      <c r="J540" s="197"/>
      <c r="K540" s="197"/>
      <c r="L540" s="287" t="s">
        <v>34</v>
      </c>
      <c r="M540" s="196"/>
      <c r="N540" s="39" t="str">
        <f t="shared" si="52"/>
        <v>FY2010-11</v>
      </c>
      <c r="O540" s="39" t="s">
        <v>154</v>
      </c>
      <c r="P540" s="39" t="s">
        <v>147</v>
      </c>
      <c r="Q540" s="39" t="s">
        <v>179</v>
      </c>
      <c r="R540" s="197"/>
      <c r="S540" s="197"/>
      <c r="T540" s="197"/>
      <c r="U540" s="197"/>
      <c r="V540" s="198"/>
      <c r="W540" s="198"/>
      <c r="X540" s="198"/>
      <c r="Y540" s="198"/>
      <c r="Z540" s="198"/>
      <c r="AA540" s="198"/>
      <c r="AB540" s="198"/>
      <c r="AC540" s="198"/>
      <c r="AD540" s="198"/>
      <c r="AE540" s="198"/>
      <c r="AF540" s="198"/>
      <c r="AG540" s="198"/>
    </row>
    <row r="541" spans="1:34" ht="15.95" customHeight="1">
      <c r="A541" s="7"/>
      <c r="B541" s="10"/>
      <c r="C541" s="12"/>
      <c r="D541" s="197"/>
      <c r="E541" s="197"/>
      <c r="F541" s="196"/>
      <c r="G541" s="197"/>
      <c r="H541" s="196"/>
      <c r="I541" s="196"/>
      <c r="J541" s="197"/>
      <c r="K541" s="197"/>
      <c r="L541" s="287" t="s">
        <v>34</v>
      </c>
      <c r="M541" s="196"/>
      <c r="N541" s="39" t="str">
        <f t="shared" si="52"/>
        <v>FY2010-11</v>
      </c>
      <c r="O541" s="39" t="s">
        <v>154</v>
      </c>
      <c r="P541" s="39" t="s">
        <v>147</v>
      </c>
      <c r="Q541" s="39" t="s">
        <v>179</v>
      </c>
      <c r="R541" s="197"/>
      <c r="S541" s="197"/>
      <c r="T541" s="197"/>
      <c r="U541" s="197"/>
      <c r="V541" s="198"/>
      <c r="W541" s="198"/>
      <c r="X541" s="198"/>
      <c r="Y541" s="198"/>
      <c r="Z541" s="198"/>
      <c r="AA541" s="198"/>
      <c r="AB541" s="198"/>
      <c r="AC541" s="198"/>
      <c r="AD541" s="198"/>
      <c r="AE541" s="198"/>
      <c r="AF541" s="198"/>
      <c r="AG541" s="198"/>
    </row>
    <row r="542" spans="1:34" ht="15.95" customHeight="1">
      <c r="A542" s="21"/>
      <c r="B542" s="22"/>
      <c r="C542" s="22"/>
      <c r="D542" s="23"/>
      <c r="E542" s="23"/>
      <c r="F542" s="24"/>
      <c r="G542" s="23"/>
      <c r="H542" s="24"/>
      <c r="I542" s="24"/>
      <c r="J542" s="23"/>
      <c r="K542" s="23"/>
      <c r="L542" s="286"/>
      <c r="M542" s="24"/>
      <c r="N542" s="24"/>
      <c r="O542" s="23"/>
      <c r="P542" s="24"/>
      <c r="Q542" s="24"/>
      <c r="R542" s="23"/>
      <c r="S542" s="23"/>
      <c r="T542" s="23"/>
      <c r="U542" s="23"/>
      <c r="V542" s="21"/>
      <c r="W542" s="21"/>
      <c r="X542" s="21"/>
      <c r="Y542" s="21"/>
      <c r="Z542" s="21"/>
      <c r="AA542" s="21"/>
      <c r="AB542" s="21"/>
      <c r="AC542" s="21"/>
      <c r="AD542" s="21"/>
      <c r="AE542" s="21"/>
      <c r="AF542" s="21"/>
      <c r="AG542" s="21"/>
    </row>
    <row r="543" spans="1:34"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66"/>
      <c r="T543" s="867" t="str">
        <f>'$REV-DB'!$T$34</f>
        <v>UD1</v>
      </c>
      <c r="U543" s="867" t="str">
        <f>'$REV-DB'!$U$34</f>
        <v>UD2</v>
      </c>
      <c r="V543" s="867" t="str">
        <f>'$REV-DB'!$V$34</f>
        <v>UD3</v>
      </c>
      <c r="W543" s="867" t="str">
        <f>'$REV-DB'!$W$34</f>
        <v>UD4</v>
      </c>
      <c r="X543" s="867" t="str">
        <f>'$REV-DB'!$X$34</f>
        <v>UD5</v>
      </c>
      <c r="Y543" s="867" t="str">
        <f>'$REV-DB'!$Y$34</f>
        <v>UD6</v>
      </c>
      <c r="Z543" s="867" t="str">
        <f>'$REV-DB'!$Z$34</f>
        <v>UD7</v>
      </c>
      <c r="AA543" s="867" t="str">
        <f>'$REV-DB'!$AA$34</f>
        <v>UD8</v>
      </c>
      <c r="AB543" s="867" t="str">
        <f>'$REV-DB'!$AB$34</f>
        <v>UD9</v>
      </c>
      <c r="AC543" s="867" t="str">
        <f>'$REV-DB'!$AC$34</f>
        <v>UD10</v>
      </c>
      <c r="AD543" s="867" t="str">
        <f>'$REV-DB'!$AD$34</f>
        <v>UD11</v>
      </c>
      <c r="AE543" s="867" t="str">
        <f>'$REV-DB'!$AE$34</f>
        <v>UD12</v>
      </c>
      <c r="AF543" s="867" t="str">
        <f>'$REV-DB'!$AF$34</f>
        <v>UD13</v>
      </c>
      <c r="AG543" s="867" t="str">
        <f>'$REV-DB'!$AG$34</f>
        <v>UD14</v>
      </c>
    </row>
    <row r="544" spans="1:34" ht="15.95" customHeight="1" thickTop="1" thickBot="1">
      <c r="A544" s="7"/>
      <c r="B544" s="20" t="s">
        <v>175</v>
      </c>
      <c r="C544" s="15"/>
      <c r="D544" s="105" t="s">
        <v>186</v>
      </c>
      <c r="E544" s="105" t="s">
        <v>187</v>
      </c>
      <c r="F544" s="105" t="s">
        <v>188</v>
      </c>
      <c r="G544" s="105" t="s">
        <v>189</v>
      </c>
      <c r="H544" s="301" t="s">
        <v>11</v>
      </c>
      <c r="I544" s="301" t="s">
        <v>190</v>
      </c>
      <c r="J544" s="301" t="s">
        <v>191</v>
      </c>
      <c r="K544" s="301" t="s">
        <v>192</v>
      </c>
      <c r="L544" s="301" t="s">
        <v>203</v>
      </c>
      <c r="M544" s="301" t="s">
        <v>42</v>
      </c>
      <c r="N544" s="105" t="s">
        <v>148</v>
      </c>
      <c r="O544" s="105" t="s">
        <v>193</v>
      </c>
      <c r="P544" s="105" t="s">
        <v>142</v>
      </c>
      <c r="Q544" s="105" t="s">
        <v>194</v>
      </c>
      <c r="R544" s="112" t="s">
        <v>141</v>
      </c>
      <c r="S544" s="112" t="s">
        <v>672</v>
      </c>
      <c r="T544" s="857" t="s">
        <v>541</v>
      </c>
      <c r="U544" s="857" t="s">
        <v>542</v>
      </c>
      <c r="V544" s="857" t="s">
        <v>543</v>
      </c>
      <c r="W544" s="857" t="s">
        <v>544</v>
      </c>
      <c r="X544" s="857" t="s">
        <v>545</v>
      </c>
      <c r="Y544" s="857" t="s">
        <v>546</v>
      </c>
      <c r="Z544" s="857" t="s">
        <v>547</v>
      </c>
      <c r="AA544" s="857" t="s">
        <v>548</v>
      </c>
      <c r="AB544" s="857" t="s">
        <v>549</v>
      </c>
      <c r="AC544" s="857" t="s">
        <v>550</v>
      </c>
      <c r="AD544" s="857" t="s">
        <v>551</v>
      </c>
      <c r="AE544" s="857" t="s">
        <v>552</v>
      </c>
      <c r="AF544" s="857" t="s">
        <v>553</v>
      </c>
      <c r="AG544" s="857" t="s">
        <v>554</v>
      </c>
      <c r="AH544" s="6"/>
    </row>
    <row r="545" spans="1:34" ht="15.95" customHeight="1" thickTop="1">
      <c r="A545" s="7"/>
      <c r="B545" s="19" t="s">
        <v>149</v>
      </c>
      <c r="C545" s="12"/>
      <c r="D545" s="197"/>
      <c r="E545" s="197"/>
      <c r="F545" s="196"/>
      <c r="G545" s="197"/>
      <c r="H545" s="196"/>
      <c r="I545" s="196"/>
      <c r="J545" s="197"/>
      <c r="K545" s="197"/>
      <c r="L545" s="287" t="s">
        <v>34</v>
      </c>
      <c r="M545" s="196"/>
      <c r="N545" s="39" t="str">
        <f>J$6</f>
        <v>FY2010-11</v>
      </c>
      <c r="O545" s="39" t="s">
        <v>154</v>
      </c>
      <c r="P545" s="39" t="s">
        <v>147</v>
      </c>
      <c r="Q545" s="39" t="s">
        <v>2</v>
      </c>
      <c r="R545" s="197"/>
      <c r="S545" s="197"/>
      <c r="T545" s="197"/>
      <c r="U545" s="197"/>
      <c r="V545" s="198"/>
      <c r="W545" s="198"/>
      <c r="X545" s="198"/>
      <c r="Y545" s="198"/>
      <c r="Z545" s="198"/>
      <c r="AA545" s="198"/>
      <c r="AB545" s="198"/>
      <c r="AC545" s="198"/>
      <c r="AD545" s="198"/>
      <c r="AE545" s="198"/>
      <c r="AF545" s="198"/>
      <c r="AG545" s="198"/>
      <c r="AH545" s="6"/>
    </row>
    <row r="546" spans="1:34" ht="15.95" customHeight="1">
      <c r="A546" s="7"/>
      <c r="B546" s="16">
        <f>DSUM('$REV-DB'!D35:AG67,"AMOUNT",'$REV-DSUM'!D544:AG551)</f>
        <v>0</v>
      </c>
      <c r="C546" s="12"/>
      <c r="D546" s="197"/>
      <c r="E546" s="197"/>
      <c r="F546" s="196"/>
      <c r="G546" s="197"/>
      <c r="H546" s="196"/>
      <c r="I546" s="196"/>
      <c r="J546" s="197"/>
      <c r="K546" s="197"/>
      <c r="L546" s="287" t="s">
        <v>34</v>
      </c>
      <c r="M546" s="196"/>
      <c r="N546" s="39" t="str">
        <f t="shared" ref="N546:N551" si="53">J$6</f>
        <v>FY2010-11</v>
      </c>
      <c r="O546" s="39" t="s">
        <v>154</v>
      </c>
      <c r="P546" s="39" t="s">
        <v>147</v>
      </c>
      <c r="Q546" s="39" t="s">
        <v>2</v>
      </c>
      <c r="R546" s="197"/>
      <c r="S546" s="197"/>
      <c r="T546" s="197"/>
      <c r="U546" s="197"/>
      <c r="V546" s="198"/>
      <c r="W546" s="198"/>
      <c r="X546" s="198"/>
      <c r="Y546" s="198"/>
      <c r="Z546" s="198"/>
      <c r="AA546" s="198"/>
      <c r="AB546" s="198"/>
      <c r="AC546" s="198"/>
      <c r="AD546" s="198"/>
      <c r="AE546" s="198"/>
      <c r="AF546" s="198"/>
      <c r="AG546" s="198"/>
      <c r="AH546" s="6"/>
    </row>
    <row r="547" spans="1:34" ht="15.95" customHeight="1">
      <c r="A547" s="7"/>
      <c r="B547" s="10"/>
      <c r="C547" s="12"/>
      <c r="D547" s="197"/>
      <c r="E547" s="197"/>
      <c r="F547" s="196"/>
      <c r="G547" s="197"/>
      <c r="H547" s="196"/>
      <c r="I547" s="196"/>
      <c r="J547" s="197"/>
      <c r="K547" s="197"/>
      <c r="L547" s="287" t="s">
        <v>34</v>
      </c>
      <c r="M547" s="196"/>
      <c r="N547" s="39" t="str">
        <f t="shared" si="53"/>
        <v>FY2010-11</v>
      </c>
      <c r="O547" s="39" t="s">
        <v>154</v>
      </c>
      <c r="P547" s="39" t="s">
        <v>147</v>
      </c>
      <c r="Q547" s="39" t="s">
        <v>2</v>
      </c>
      <c r="R547" s="197"/>
      <c r="S547" s="197"/>
      <c r="T547" s="197"/>
      <c r="U547" s="197"/>
      <c r="V547" s="198"/>
      <c r="W547" s="198"/>
      <c r="X547" s="198"/>
      <c r="Y547" s="198"/>
      <c r="Z547" s="198"/>
      <c r="AA547" s="198"/>
      <c r="AB547" s="198"/>
      <c r="AC547" s="198"/>
      <c r="AD547" s="198"/>
      <c r="AE547" s="198"/>
      <c r="AF547" s="198"/>
      <c r="AG547" s="198"/>
    </row>
    <row r="548" spans="1:34" ht="15.95" customHeight="1">
      <c r="A548" s="7"/>
      <c r="B548" s="10"/>
      <c r="C548" s="12"/>
      <c r="D548" s="197"/>
      <c r="E548" s="197"/>
      <c r="F548" s="196"/>
      <c r="G548" s="197"/>
      <c r="H548" s="196"/>
      <c r="I548" s="196"/>
      <c r="J548" s="197"/>
      <c r="K548" s="197"/>
      <c r="L548" s="287" t="s">
        <v>34</v>
      </c>
      <c r="M548" s="196"/>
      <c r="N548" s="39" t="str">
        <f t="shared" si="53"/>
        <v>FY2010-11</v>
      </c>
      <c r="O548" s="39" t="s">
        <v>154</v>
      </c>
      <c r="P548" s="39" t="s">
        <v>147</v>
      </c>
      <c r="Q548" s="39" t="s">
        <v>2</v>
      </c>
      <c r="R548" s="197"/>
      <c r="S548" s="197"/>
      <c r="T548" s="197"/>
      <c r="U548" s="197"/>
      <c r="V548" s="198"/>
      <c r="W548" s="198"/>
      <c r="X548" s="198"/>
      <c r="Y548" s="198"/>
      <c r="Z548" s="198"/>
      <c r="AA548" s="198"/>
      <c r="AB548" s="198"/>
      <c r="AC548" s="198"/>
      <c r="AD548" s="198"/>
      <c r="AE548" s="198"/>
      <c r="AF548" s="198"/>
      <c r="AG548" s="198"/>
    </row>
    <row r="549" spans="1:34" ht="15.95" customHeight="1">
      <c r="A549" s="7"/>
      <c r="B549" s="10"/>
      <c r="C549" s="12"/>
      <c r="D549" s="197"/>
      <c r="E549" s="197"/>
      <c r="F549" s="196"/>
      <c r="G549" s="197"/>
      <c r="H549" s="196"/>
      <c r="I549" s="196"/>
      <c r="J549" s="197"/>
      <c r="K549" s="197"/>
      <c r="L549" s="287" t="s">
        <v>34</v>
      </c>
      <c r="M549" s="196"/>
      <c r="N549" s="39" t="str">
        <f t="shared" si="53"/>
        <v>FY2010-11</v>
      </c>
      <c r="O549" s="39" t="s">
        <v>154</v>
      </c>
      <c r="P549" s="39" t="s">
        <v>147</v>
      </c>
      <c r="Q549" s="39" t="s">
        <v>2</v>
      </c>
      <c r="R549" s="197"/>
      <c r="S549" s="197"/>
      <c r="T549" s="197"/>
      <c r="U549" s="197"/>
      <c r="V549" s="198"/>
      <c r="W549" s="198"/>
      <c r="X549" s="198"/>
      <c r="Y549" s="198"/>
      <c r="Z549" s="198"/>
      <c r="AA549" s="198"/>
      <c r="AB549" s="198"/>
      <c r="AC549" s="198"/>
      <c r="AD549" s="198"/>
      <c r="AE549" s="198"/>
      <c r="AF549" s="198"/>
      <c r="AG549" s="198"/>
    </row>
    <row r="550" spans="1:34" ht="15.95" customHeight="1">
      <c r="A550" s="7"/>
      <c r="B550" s="10"/>
      <c r="C550" s="12"/>
      <c r="D550" s="197"/>
      <c r="E550" s="197"/>
      <c r="F550" s="196"/>
      <c r="G550" s="197"/>
      <c r="H550" s="196"/>
      <c r="I550" s="196"/>
      <c r="J550" s="197"/>
      <c r="K550" s="197"/>
      <c r="L550" s="287" t="s">
        <v>34</v>
      </c>
      <c r="M550" s="196"/>
      <c r="N550" s="39" t="str">
        <f t="shared" si="53"/>
        <v>FY2010-11</v>
      </c>
      <c r="O550" s="39" t="s">
        <v>154</v>
      </c>
      <c r="P550" s="39" t="s">
        <v>147</v>
      </c>
      <c r="Q550" s="39" t="s">
        <v>2</v>
      </c>
      <c r="R550" s="197"/>
      <c r="S550" s="197"/>
      <c r="T550" s="197"/>
      <c r="U550" s="197"/>
      <c r="V550" s="198"/>
      <c r="W550" s="198"/>
      <c r="X550" s="198"/>
      <c r="Y550" s="198"/>
      <c r="Z550" s="198"/>
      <c r="AA550" s="198"/>
      <c r="AB550" s="198"/>
      <c r="AC550" s="198"/>
      <c r="AD550" s="198"/>
      <c r="AE550" s="198"/>
      <c r="AF550" s="198"/>
      <c r="AG550" s="198"/>
    </row>
    <row r="551" spans="1:34" ht="15.95" customHeight="1">
      <c r="A551" s="7"/>
      <c r="B551" s="10"/>
      <c r="C551" s="12"/>
      <c r="D551" s="197"/>
      <c r="E551" s="197"/>
      <c r="F551" s="196"/>
      <c r="G551" s="197"/>
      <c r="H551" s="196"/>
      <c r="I551" s="196"/>
      <c r="J551" s="197"/>
      <c r="K551" s="197"/>
      <c r="L551" s="287" t="s">
        <v>34</v>
      </c>
      <c r="M551" s="196"/>
      <c r="N551" s="39" t="str">
        <f t="shared" si="53"/>
        <v>FY2010-11</v>
      </c>
      <c r="O551" s="39" t="s">
        <v>154</v>
      </c>
      <c r="P551" s="39" t="s">
        <v>147</v>
      </c>
      <c r="Q551" s="39" t="s">
        <v>2</v>
      </c>
      <c r="R551" s="197"/>
      <c r="S551" s="197"/>
      <c r="T551" s="197"/>
      <c r="U551" s="197"/>
      <c r="V551" s="198"/>
      <c r="W551" s="198"/>
      <c r="X551" s="198"/>
      <c r="Y551" s="198"/>
      <c r="Z551" s="198"/>
      <c r="AA551" s="198"/>
      <c r="AB551" s="198"/>
      <c r="AC551" s="198"/>
      <c r="AD551" s="198"/>
      <c r="AE551" s="198"/>
      <c r="AF551" s="198"/>
      <c r="AG551" s="198"/>
    </row>
    <row r="552" spans="1:34" ht="15.95" customHeight="1">
      <c r="A552" s="21"/>
      <c r="B552" s="22"/>
      <c r="C552" s="22"/>
      <c r="D552" s="23"/>
      <c r="E552" s="23"/>
      <c r="F552" s="24"/>
      <c r="G552" s="23"/>
      <c r="H552" s="24"/>
      <c r="I552" s="24"/>
      <c r="J552" s="23"/>
      <c r="K552" s="23"/>
      <c r="L552" s="286"/>
      <c r="M552" s="24"/>
      <c r="N552" s="24"/>
      <c r="O552" s="23"/>
      <c r="P552" s="24"/>
      <c r="Q552" s="24"/>
      <c r="R552" s="23"/>
      <c r="S552" s="23"/>
      <c r="T552" s="23"/>
      <c r="U552" s="23"/>
      <c r="V552" s="21"/>
      <c r="W552" s="21"/>
      <c r="X552" s="21"/>
      <c r="Y552" s="21"/>
      <c r="Z552" s="21"/>
      <c r="AA552" s="21"/>
      <c r="AB552" s="21"/>
      <c r="AC552" s="21"/>
      <c r="AD552" s="21"/>
      <c r="AE552" s="21"/>
      <c r="AF552" s="21"/>
      <c r="AG552" s="21"/>
    </row>
    <row r="553" spans="1:34"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66"/>
      <c r="T553" s="867" t="str">
        <f>'$REV-DB'!$T$34</f>
        <v>UD1</v>
      </c>
      <c r="U553" s="867" t="str">
        <f>'$REV-DB'!$U$34</f>
        <v>UD2</v>
      </c>
      <c r="V553" s="867" t="str">
        <f>'$REV-DB'!$V$34</f>
        <v>UD3</v>
      </c>
      <c r="W553" s="867" t="str">
        <f>'$REV-DB'!$W$34</f>
        <v>UD4</v>
      </c>
      <c r="X553" s="867" t="str">
        <f>'$REV-DB'!$X$34</f>
        <v>UD5</v>
      </c>
      <c r="Y553" s="867" t="str">
        <f>'$REV-DB'!$Y$34</f>
        <v>UD6</v>
      </c>
      <c r="Z553" s="867" t="str">
        <f>'$REV-DB'!$Z$34</f>
        <v>UD7</v>
      </c>
      <c r="AA553" s="867" t="str">
        <f>'$REV-DB'!$AA$34</f>
        <v>UD8</v>
      </c>
      <c r="AB553" s="867" t="str">
        <f>'$REV-DB'!$AB$34</f>
        <v>UD9</v>
      </c>
      <c r="AC553" s="867" t="str">
        <f>'$REV-DB'!$AC$34</f>
        <v>UD10</v>
      </c>
      <c r="AD553" s="867" t="str">
        <f>'$REV-DB'!$AD$34</f>
        <v>UD11</v>
      </c>
      <c r="AE553" s="867" t="str">
        <f>'$REV-DB'!$AE$34</f>
        <v>UD12</v>
      </c>
      <c r="AF553" s="867" t="str">
        <f>'$REV-DB'!$AF$34</f>
        <v>UD13</v>
      </c>
      <c r="AG553" s="867" t="str">
        <f>'$REV-DB'!$AG$34</f>
        <v>UD14</v>
      </c>
    </row>
    <row r="554" spans="1:34" ht="15.95" customHeight="1" thickTop="1" thickBot="1">
      <c r="A554" s="7"/>
      <c r="B554" s="20" t="s">
        <v>175</v>
      </c>
      <c r="C554" s="15"/>
      <c r="D554" s="276" t="s">
        <v>186</v>
      </c>
      <c r="E554" s="276" t="s">
        <v>187</v>
      </c>
      <c r="F554" s="276" t="s">
        <v>188</v>
      </c>
      <c r="G554" s="276" t="s">
        <v>189</v>
      </c>
      <c r="H554" s="301" t="s">
        <v>11</v>
      </c>
      <c r="I554" s="301" t="s">
        <v>190</v>
      </c>
      <c r="J554" s="301" t="s">
        <v>191</v>
      </c>
      <c r="K554" s="301" t="s">
        <v>192</v>
      </c>
      <c r="L554" s="301" t="s">
        <v>203</v>
      </c>
      <c r="M554" s="301" t="s">
        <v>42</v>
      </c>
      <c r="N554" s="276" t="s">
        <v>148</v>
      </c>
      <c r="O554" s="276" t="s">
        <v>193</v>
      </c>
      <c r="P554" s="276" t="s">
        <v>142</v>
      </c>
      <c r="Q554" s="276" t="s">
        <v>194</v>
      </c>
      <c r="R554" s="112" t="s">
        <v>141</v>
      </c>
      <c r="S554" s="112" t="s">
        <v>672</v>
      </c>
      <c r="T554" s="857" t="s">
        <v>541</v>
      </c>
      <c r="U554" s="857" t="s">
        <v>542</v>
      </c>
      <c r="V554" s="857" t="s">
        <v>543</v>
      </c>
      <c r="W554" s="857" t="s">
        <v>544</v>
      </c>
      <c r="X554" s="857" t="s">
        <v>545</v>
      </c>
      <c r="Y554" s="857" t="s">
        <v>546</v>
      </c>
      <c r="Z554" s="857" t="s">
        <v>547</v>
      </c>
      <c r="AA554" s="857" t="s">
        <v>548</v>
      </c>
      <c r="AB554" s="857" t="s">
        <v>549</v>
      </c>
      <c r="AC554" s="857" t="s">
        <v>550</v>
      </c>
      <c r="AD554" s="857" t="s">
        <v>551</v>
      </c>
      <c r="AE554" s="857" t="s">
        <v>552</v>
      </c>
      <c r="AF554" s="857" t="s">
        <v>553</v>
      </c>
      <c r="AG554" s="857" t="s">
        <v>554</v>
      </c>
      <c r="AH554" s="6"/>
    </row>
    <row r="555" spans="1:34" ht="15.95" customHeight="1" thickTop="1">
      <c r="A555" s="7"/>
      <c r="B555" s="19" t="s">
        <v>364</v>
      </c>
      <c r="C555" s="12"/>
      <c r="D555" s="197"/>
      <c r="E555" s="197"/>
      <c r="F555" s="196"/>
      <c r="G555" s="197"/>
      <c r="H555" s="196"/>
      <c r="I555" s="196"/>
      <c r="J555" s="197"/>
      <c r="K555" s="197"/>
      <c r="L555" s="287" t="s">
        <v>34</v>
      </c>
      <c r="M555" s="196"/>
      <c r="N555" s="39" t="str">
        <f>J$6</f>
        <v>FY2010-11</v>
      </c>
      <c r="O555" s="39" t="s">
        <v>154</v>
      </c>
      <c r="P555" s="39" t="s">
        <v>147</v>
      </c>
      <c r="Q555" s="39" t="s">
        <v>70</v>
      </c>
      <c r="R555" s="197"/>
      <c r="S555" s="197"/>
      <c r="T555" s="197"/>
      <c r="U555" s="197"/>
      <c r="V555" s="198"/>
      <c r="W555" s="198"/>
      <c r="X555" s="198"/>
      <c r="Y555" s="198"/>
      <c r="Z555" s="198"/>
      <c r="AA555" s="198"/>
      <c r="AB555" s="198"/>
      <c r="AC555" s="198"/>
      <c r="AD555" s="198"/>
      <c r="AE555" s="198"/>
      <c r="AF555" s="198"/>
      <c r="AG555" s="198"/>
      <c r="AH555" s="6"/>
    </row>
    <row r="556" spans="1:34" ht="15.95" customHeight="1">
      <c r="A556" s="7"/>
      <c r="B556" s="16">
        <f>DSUM('$REV-DB'!D35:AG67,"AMOUNT",'$REV-DSUM'!D554:AG561)</f>
        <v>0</v>
      </c>
      <c r="C556" s="12"/>
      <c r="D556" s="197"/>
      <c r="E556" s="197"/>
      <c r="F556" s="196"/>
      <c r="G556" s="197"/>
      <c r="H556" s="196"/>
      <c r="I556" s="196"/>
      <c r="J556" s="197"/>
      <c r="K556" s="197"/>
      <c r="L556" s="287" t="s">
        <v>34</v>
      </c>
      <c r="M556" s="196"/>
      <c r="N556" s="39" t="str">
        <f t="shared" ref="N556:N561" si="54">J$6</f>
        <v>FY2010-11</v>
      </c>
      <c r="O556" s="39" t="s">
        <v>154</v>
      </c>
      <c r="P556" s="39" t="s">
        <v>147</v>
      </c>
      <c r="Q556" s="39" t="s">
        <v>70</v>
      </c>
      <c r="R556" s="197"/>
      <c r="S556" s="197"/>
      <c r="T556" s="197"/>
      <c r="U556" s="197"/>
      <c r="V556" s="198"/>
      <c r="W556" s="198"/>
      <c r="X556" s="198"/>
      <c r="Y556" s="198"/>
      <c r="Z556" s="198"/>
      <c r="AA556" s="198"/>
      <c r="AB556" s="198"/>
      <c r="AC556" s="198"/>
      <c r="AD556" s="198"/>
      <c r="AE556" s="198"/>
      <c r="AF556" s="198"/>
      <c r="AG556" s="198"/>
      <c r="AH556" s="6"/>
    </row>
    <row r="557" spans="1:34" ht="15.95" customHeight="1">
      <c r="A557" s="7"/>
      <c r="B557" s="10"/>
      <c r="C557" s="12"/>
      <c r="D557" s="197"/>
      <c r="E557" s="197"/>
      <c r="F557" s="196"/>
      <c r="G557" s="197"/>
      <c r="H557" s="196"/>
      <c r="I557" s="196"/>
      <c r="J557" s="197"/>
      <c r="K557" s="197"/>
      <c r="L557" s="287" t="s">
        <v>34</v>
      </c>
      <c r="M557" s="196"/>
      <c r="N557" s="39" t="str">
        <f t="shared" si="54"/>
        <v>FY2010-11</v>
      </c>
      <c r="O557" s="39" t="s">
        <v>154</v>
      </c>
      <c r="P557" s="39" t="s">
        <v>147</v>
      </c>
      <c r="Q557" s="39" t="s">
        <v>70</v>
      </c>
      <c r="R557" s="197"/>
      <c r="S557" s="197"/>
      <c r="T557" s="197"/>
      <c r="U557" s="197"/>
      <c r="V557" s="198"/>
      <c r="W557" s="198"/>
      <c r="X557" s="198"/>
      <c r="Y557" s="198"/>
      <c r="Z557" s="198"/>
      <c r="AA557" s="198"/>
      <c r="AB557" s="198"/>
      <c r="AC557" s="198"/>
      <c r="AD557" s="198"/>
      <c r="AE557" s="198"/>
      <c r="AF557" s="198"/>
      <c r="AG557" s="198"/>
    </row>
    <row r="558" spans="1:34" ht="15.95" customHeight="1">
      <c r="A558" s="7"/>
      <c r="B558" s="10"/>
      <c r="C558" s="12"/>
      <c r="D558" s="197"/>
      <c r="E558" s="197"/>
      <c r="F558" s="196"/>
      <c r="G558" s="197"/>
      <c r="H558" s="196"/>
      <c r="I558" s="196"/>
      <c r="J558" s="197"/>
      <c r="K558" s="197"/>
      <c r="L558" s="287" t="s">
        <v>34</v>
      </c>
      <c r="M558" s="196"/>
      <c r="N558" s="39" t="str">
        <f t="shared" si="54"/>
        <v>FY2010-11</v>
      </c>
      <c r="O558" s="39" t="s">
        <v>154</v>
      </c>
      <c r="P558" s="39" t="s">
        <v>147</v>
      </c>
      <c r="Q558" s="39" t="s">
        <v>70</v>
      </c>
      <c r="R558" s="197"/>
      <c r="S558" s="197"/>
      <c r="T558" s="197"/>
      <c r="U558" s="197"/>
      <c r="V558" s="198"/>
      <c r="W558" s="198"/>
      <c r="X558" s="198"/>
      <c r="Y558" s="198"/>
      <c r="Z558" s="198"/>
      <c r="AA558" s="198"/>
      <c r="AB558" s="198"/>
      <c r="AC558" s="198"/>
      <c r="AD558" s="198"/>
      <c r="AE558" s="198"/>
      <c r="AF558" s="198"/>
      <c r="AG558" s="198"/>
    </row>
    <row r="559" spans="1:34" ht="15.95" customHeight="1">
      <c r="A559" s="7"/>
      <c r="B559" s="10"/>
      <c r="C559" s="12"/>
      <c r="D559" s="197"/>
      <c r="E559" s="197"/>
      <c r="F559" s="196"/>
      <c r="G559" s="197"/>
      <c r="H559" s="196"/>
      <c r="I559" s="196"/>
      <c r="J559" s="197"/>
      <c r="K559" s="197"/>
      <c r="L559" s="287" t="s">
        <v>34</v>
      </c>
      <c r="M559" s="196"/>
      <c r="N559" s="39" t="str">
        <f t="shared" si="54"/>
        <v>FY2010-11</v>
      </c>
      <c r="O559" s="39" t="s">
        <v>154</v>
      </c>
      <c r="P559" s="39" t="s">
        <v>147</v>
      </c>
      <c r="Q559" s="39" t="s">
        <v>70</v>
      </c>
      <c r="R559" s="197"/>
      <c r="S559" s="197"/>
      <c r="T559" s="197"/>
      <c r="U559" s="197"/>
      <c r="V559" s="198"/>
      <c r="W559" s="198"/>
      <c r="X559" s="198"/>
      <c r="Y559" s="198"/>
      <c r="Z559" s="198"/>
      <c r="AA559" s="198"/>
      <c r="AB559" s="198"/>
      <c r="AC559" s="198"/>
      <c r="AD559" s="198"/>
      <c r="AE559" s="198"/>
      <c r="AF559" s="198"/>
      <c r="AG559" s="198"/>
    </row>
    <row r="560" spans="1:34" ht="15.95" customHeight="1">
      <c r="A560" s="7"/>
      <c r="B560" s="10"/>
      <c r="C560" s="12"/>
      <c r="D560" s="197"/>
      <c r="E560" s="197"/>
      <c r="F560" s="196"/>
      <c r="G560" s="197"/>
      <c r="H560" s="196"/>
      <c r="I560" s="196"/>
      <c r="J560" s="197"/>
      <c r="K560" s="197"/>
      <c r="L560" s="287" t="s">
        <v>34</v>
      </c>
      <c r="M560" s="196"/>
      <c r="N560" s="39" t="str">
        <f t="shared" si="54"/>
        <v>FY2010-11</v>
      </c>
      <c r="O560" s="39" t="s">
        <v>154</v>
      </c>
      <c r="P560" s="39" t="s">
        <v>147</v>
      </c>
      <c r="Q560" s="39" t="s">
        <v>70</v>
      </c>
      <c r="R560" s="197"/>
      <c r="S560" s="197"/>
      <c r="T560" s="197"/>
      <c r="U560" s="197"/>
      <c r="V560" s="198"/>
      <c r="W560" s="198"/>
      <c r="X560" s="198"/>
      <c r="Y560" s="198"/>
      <c r="Z560" s="198"/>
      <c r="AA560" s="198"/>
      <c r="AB560" s="198"/>
      <c r="AC560" s="198"/>
      <c r="AD560" s="198"/>
      <c r="AE560" s="198"/>
      <c r="AF560" s="198"/>
      <c r="AG560" s="198"/>
    </row>
    <row r="561" spans="1:34" ht="15.95" customHeight="1">
      <c r="A561" s="7"/>
      <c r="B561" s="10"/>
      <c r="C561" s="12"/>
      <c r="D561" s="197"/>
      <c r="E561" s="197"/>
      <c r="F561" s="196"/>
      <c r="G561" s="197"/>
      <c r="H561" s="196"/>
      <c r="I561" s="196"/>
      <c r="J561" s="197"/>
      <c r="K561" s="197"/>
      <c r="L561" s="287" t="s">
        <v>34</v>
      </c>
      <c r="M561" s="196"/>
      <c r="N561" s="39" t="str">
        <f t="shared" si="54"/>
        <v>FY2010-11</v>
      </c>
      <c r="O561" s="39" t="s">
        <v>154</v>
      </c>
      <c r="P561" s="39" t="s">
        <v>147</v>
      </c>
      <c r="Q561" s="39" t="s">
        <v>70</v>
      </c>
      <c r="R561" s="197"/>
      <c r="S561" s="197"/>
      <c r="T561" s="197"/>
      <c r="U561" s="197"/>
      <c r="V561" s="198"/>
      <c r="W561" s="198"/>
      <c r="X561" s="198"/>
      <c r="Y561" s="198"/>
      <c r="Z561" s="198"/>
      <c r="AA561" s="198"/>
      <c r="AB561" s="198"/>
      <c r="AC561" s="198"/>
      <c r="AD561" s="198"/>
      <c r="AE561" s="198"/>
      <c r="AF561" s="198"/>
      <c r="AG561" s="198"/>
    </row>
    <row r="562" spans="1:34" ht="15.95" customHeight="1">
      <c r="A562" s="21"/>
      <c r="B562" s="22"/>
      <c r="C562" s="22"/>
      <c r="D562" s="23"/>
      <c r="E562" s="23"/>
      <c r="F562" s="24"/>
      <c r="G562" s="23"/>
      <c r="H562" s="24"/>
      <c r="I562" s="24"/>
      <c r="J562" s="23"/>
      <c r="K562" s="23"/>
      <c r="L562" s="286"/>
      <c r="M562" s="24"/>
      <c r="N562" s="24"/>
      <c r="O562" s="23"/>
      <c r="P562" s="24"/>
      <c r="Q562" s="24"/>
      <c r="R562" s="23"/>
      <c r="S562" s="23"/>
      <c r="T562" s="23"/>
      <c r="U562" s="23"/>
      <c r="V562" s="21"/>
      <c r="W562" s="21"/>
      <c r="X562" s="21"/>
      <c r="Y562" s="21"/>
      <c r="Z562" s="21"/>
      <c r="AA562" s="21"/>
      <c r="AB562" s="21"/>
      <c r="AC562" s="21"/>
      <c r="AD562" s="21"/>
      <c r="AE562" s="21"/>
      <c r="AF562" s="21"/>
      <c r="AG562" s="21"/>
    </row>
    <row r="563" spans="1:34"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66"/>
      <c r="T563" s="867" t="str">
        <f>'$REV-DB'!$T$34</f>
        <v>UD1</v>
      </c>
      <c r="U563" s="867" t="str">
        <f>'$REV-DB'!$U$34</f>
        <v>UD2</v>
      </c>
      <c r="V563" s="867" t="str">
        <f>'$REV-DB'!$V$34</f>
        <v>UD3</v>
      </c>
      <c r="W563" s="867" t="str">
        <f>'$REV-DB'!$W$34</f>
        <v>UD4</v>
      </c>
      <c r="X563" s="867" t="str">
        <f>'$REV-DB'!$X$34</f>
        <v>UD5</v>
      </c>
      <c r="Y563" s="867" t="str">
        <f>'$REV-DB'!$Y$34</f>
        <v>UD6</v>
      </c>
      <c r="Z563" s="867" t="str">
        <f>'$REV-DB'!$Z$34</f>
        <v>UD7</v>
      </c>
      <c r="AA563" s="867" t="str">
        <f>'$REV-DB'!$AA$34</f>
        <v>UD8</v>
      </c>
      <c r="AB563" s="867" t="str">
        <f>'$REV-DB'!$AB$34</f>
        <v>UD9</v>
      </c>
      <c r="AC563" s="867" t="str">
        <f>'$REV-DB'!$AC$34</f>
        <v>UD10</v>
      </c>
      <c r="AD563" s="867" t="str">
        <f>'$REV-DB'!$AD$34</f>
        <v>UD11</v>
      </c>
      <c r="AE563" s="867" t="str">
        <f>'$REV-DB'!$AE$34</f>
        <v>UD12</v>
      </c>
      <c r="AF563" s="867" t="str">
        <f>'$REV-DB'!$AF$34</f>
        <v>UD13</v>
      </c>
      <c r="AG563" s="867" t="str">
        <f>'$REV-DB'!$AG$34</f>
        <v>UD14</v>
      </c>
    </row>
    <row r="564" spans="1:34" ht="15.95" customHeight="1" thickTop="1" thickBot="1">
      <c r="A564" s="7"/>
      <c r="B564" s="20" t="s">
        <v>175</v>
      </c>
      <c r="C564" s="15"/>
      <c r="D564" s="105" t="s">
        <v>186</v>
      </c>
      <c r="E564" s="105" t="s">
        <v>187</v>
      </c>
      <c r="F564" s="105" t="s">
        <v>188</v>
      </c>
      <c r="G564" s="105" t="s">
        <v>189</v>
      </c>
      <c r="H564" s="301" t="s">
        <v>11</v>
      </c>
      <c r="I564" s="301" t="s">
        <v>190</v>
      </c>
      <c r="J564" s="301" t="s">
        <v>191</v>
      </c>
      <c r="K564" s="301" t="s">
        <v>192</v>
      </c>
      <c r="L564" s="301" t="s">
        <v>203</v>
      </c>
      <c r="M564" s="301" t="s">
        <v>42</v>
      </c>
      <c r="N564" s="105" t="s">
        <v>148</v>
      </c>
      <c r="O564" s="105" t="s">
        <v>193</v>
      </c>
      <c r="P564" s="105" t="s">
        <v>142</v>
      </c>
      <c r="Q564" s="105" t="s">
        <v>194</v>
      </c>
      <c r="R564" s="112" t="s">
        <v>141</v>
      </c>
      <c r="S564" s="112" t="s">
        <v>672</v>
      </c>
      <c r="T564" s="857" t="s">
        <v>541</v>
      </c>
      <c r="U564" s="857" t="s">
        <v>542</v>
      </c>
      <c r="V564" s="857" t="s">
        <v>543</v>
      </c>
      <c r="W564" s="857" t="s">
        <v>544</v>
      </c>
      <c r="X564" s="857" t="s">
        <v>545</v>
      </c>
      <c r="Y564" s="857" t="s">
        <v>546</v>
      </c>
      <c r="Z564" s="857" t="s">
        <v>547</v>
      </c>
      <c r="AA564" s="857" t="s">
        <v>548</v>
      </c>
      <c r="AB564" s="857" t="s">
        <v>549</v>
      </c>
      <c r="AC564" s="857" t="s">
        <v>550</v>
      </c>
      <c r="AD564" s="857" t="s">
        <v>551</v>
      </c>
      <c r="AE564" s="857" t="s">
        <v>552</v>
      </c>
      <c r="AF564" s="857" t="s">
        <v>553</v>
      </c>
      <c r="AG564" s="857" t="s">
        <v>554</v>
      </c>
      <c r="AH564" s="6"/>
    </row>
    <row r="565" spans="1:34" ht="15.95" customHeight="1" thickTop="1">
      <c r="A565" s="7"/>
      <c r="B565" s="19" t="s">
        <v>150</v>
      </c>
      <c r="C565" s="12"/>
      <c r="D565" s="197"/>
      <c r="E565" s="197"/>
      <c r="F565" s="196"/>
      <c r="G565" s="197"/>
      <c r="H565" s="196"/>
      <c r="I565" s="196"/>
      <c r="J565" s="197"/>
      <c r="K565" s="197"/>
      <c r="L565" s="287" t="s">
        <v>34</v>
      </c>
      <c r="M565" s="196"/>
      <c r="N565" s="39" t="str">
        <f>J$6</f>
        <v>FY2010-11</v>
      </c>
      <c r="O565" s="39" t="s">
        <v>154</v>
      </c>
      <c r="P565" s="39" t="s">
        <v>147</v>
      </c>
      <c r="Q565" s="39" t="s">
        <v>140</v>
      </c>
      <c r="R565" s="197"/>
      <c r="S565" s="197"/>
      <c r="T565" s="197"/>
      <c r="U565" s="197"/>
      <c r="V565" s="198"/>
      <c r="W565" s="198"/>
      <c r="X565" s="198"/>
      <c r="Y565" s="198"/>
      <c r="Z565" s="198"/>
      <c r="AA565" s="198"/>
      <c r="AB565" s="198"/>
      <c r="AC565" s="198"/>
      <c r="AD565" s="198"/>
      <c r="AE565" s="198"/>
      <c r="AF565" s="198"/>
      <c r="AG565" s="198"/>
      <c r="AH565" s="6"/>
    </row>
    <row r="566" spans="1:34" ht="15.95" customHeight="1">
      <c r="A566" s="7"/>
      <c r="B566" s="16">
        <f>DSUM('$REV-DB'!D35:AG67,"AMOUNT",'$REV-DSUM'!D564:AG571)</f>
        <v>0</v>
      </c>
      <c r="C566" s="12"/>
      <c r="D566" s="197"/>
      <c r="E566" s="197"/>
      <c r="F566" s="196"/>
      <c r="G566" s="197"/>
      <c r="H566" s="196"/>
      <c r="I566" s="196"/>
      <c r="J566" s="197"/>
      <c r="K566" s="197"/>
      <c r="L566" s="287" t="s">
        <v>34</v>
      </c>
      <c r="M566" s="196"/>
      <c r="N566" s="39" t="str">
        <f t="shared" ref="N566:N571" si="55">J$6</f>
        <v>FY2010-11</v>
      </c>
      <c r="O566" s="39" t="s">
        <v>154</v>
      </c>
      <c r="P566" s="39" t="s">
        <v>147</v>
      </c>
      <c r="Q566" s="39" t="s">
        <v>140</v>
      </c>
      <c r="R566" s="197"/>
      <c r="S566" s="197"/>
      <c r="T566" s="197"/>
      <c r="U566" s="197"/>
      <c r="V566" s="198"/>
      <c r="W566" s="198"/>
      <c r="X566" s="198"/>
      <c r="Y566" s="198"/>
      <c r="Z566" s="198"/>
      <c r="AA566" s="198"/>
      <c r="AB566" s="198"/>
      <c r="AC566" s="198"/>
      <c r="AD566" s="198"/>
      <c r="AE566" s="198"/>
      <c r="AF566" s="198"/>
      <c r="AG566" s="198"/>
      <c r="AH566" s="6"/>
    </row>
    <row r="567" spans="1:34" ht="15.95" customHeight="1">
      <c r="A567" s="7"/>
      <c r="B567" s="10"/>
      <c r="C567" s="12"/>
      <c r="D567" s="197"/>
      <c r="E567" s="197"/>
      <c r="F567" s="196"/>
      <c r="G567" s="197"/>
      <c r="H567" s="196"/>
      <c r="I567" s="196"/>
      <c r="J567" s="197"/>
      <c r="K567" s="197"/>
      <c r="L567" s="287" t="s">
        <v>34</v>
      </c>
      <c r="M567" s="196"/>
      <c r="N567" s="39" t="str">
        <f t="shared" si="55"/>
        <v>FY2010-11</v>
      </c>
      <c r="O567" s="39" t="s">
        <v>154</v>
      </c>
      <c r="P567" s="39" t="s">
        <v>147</v>
      </c>
      <c r="Q567" s="39" t="s">
        <v>140</v>
      </c>
      <c r="R567" s="197"/>
      <c r="S567" s="197"/>
      <c r="T567" s="197"/>
      <c r="U567" s="197"/>
      <c r="V567" s="198"/>
      <c r="W567" s="198"/>
      <c r="X567" s="198"/>
      <c r="Y567" s="198"/>
      <c r="Z567" s="198"/>
      <c r="AA567" s="198"/>
      <c r="AB567" s="198"/>
      <c r="AC567" s="198"/>
      <c r="AD567" s="198"/>
      <c r="AE567" s="198"/>
      <c r="AF567" s="198"/>
      <c r="AG567" s="198"/>
    </row>
    <row r="568" spans="1:34" ht="15.95" customHeight="1">
      <c r="A568" s="7"/>
      <c r="B568" s="10"/>
      <c r="C568" s="12"/>
      <c r="D568" s="197"/>
      <c r="E568" s="197"/>
      <c r="F568" s="196"/>
      <c r="G568" s="197"/>
      <c r="H568" s="196"/>
      <c r="I568" s="196"/>
      <c r="J568" s="197"/>
      <c r="K568" s="197"/>
      <c r="L568" s="287" t="s">
        <v>34</v>
      </c>
      <c r="M568" s="196"/>
      <c r="N568" s="39" t="str">
        <f t="shared" si="55"/>
        <v>FY2010-11</v>
      </c>
      <c r="O568" s="39" t="s">
        <v>154</v>
      </c>
      <c r="P568" s="39" t="s">
        <v>147</v>
      </c>
      <c r="Q568" s="39" t="s">
        <v>140</v>
      </c>
      <c r="R568" s="197"/>
      <c r="S568" s="197"/>
      <c r="T568" s="197"/>
      <c r="U568" s="197"/>
      <c r="V568" s="198"/>
      <c r="W568" s="198"/>
      <c r="X568" s="198"/>
      <c r="Y568" s="198"/>
      <c r="Z568" s="198"/>
      <c r="AA568" s="198"/>
      <c r="AB568" s="198"/>
      <c r="AC568" s="198"/>
      <c r="AD568" s="198"/>
      <c r="AE568" s="198"/>
      <c r="AF568" s="198"/>
      <c r="AG568" s="198"/>
    </row>
    <row r="569" spans="1:34" ht="15.95" customHeight="1">
      <c r="A569" s="7"/>
      <c r="B569" s="10"/>
      <c r="C569" s="12"/>
      <c r="D569" s="197"/>
      <c r="E569" s="197"/>
      <c r="F569" s="196"/>
      <c r="G569" s="197"/>
      <c r="H569" s="196"/>
      <c r="I569" s="196"/>
      <c r="J569" s="197"/>
      <c r="K569" s="197"/>
      <c r="L569" s="287" t="s">
        <v>34</v>
      </c>
      <c r="M569" s="196"/>
      <c r="N569" s="39" t="str">
        <f t="shared" si="55"/>
        <v>FY2010-11</v>
      </c>
      <c r="O569" s="39" t="s">
        <v>154</v>
      </c>
      <c r="P569" s="39" t="s">
        <v>147</v>
      </c>
      <c r="Q569" s="39" t="s">
        <v>140</v>
      </c>
      <c r="R569" s="197"/>
      <c r="S569" s="197"/>
      <c r="T569" s="197"/>
      <c r="U569" s="197"/>
      <c r="V569" s="198"/>
      <c r="W569" s="198"/>
      <c r="X569" s="198"/>
      <c r="Y569" s="198"/>
      <c r="Z569" s="198"/>
      <c r="AA569" s="198"/>
      <c r="AB569" s="198"/>
      <c r="AC569" s="198"/>
      <c r="AD569" s="198"/>
      <c r="AE569" s="198"/>
      <c r="AF569" s="198"/>
      <c r="AG569" s="198"/>
    </row>
    <row r="570" spans="1:34" ht="15.95" customHeight="1">
      <c r="A570" s="7"/>
      <c r="B570" s="10"/>
      <c r="C570" s="12"/>
      <c r="D570" s="197"/>
      <c r="E570" s="197"/>
      <c r="F570" s="196"/>
      <c r="G570" s="197"/>
      <c r="H570" s="196"/>
      <c r="I570" s="196"/>
      <c r="J570" s="197"/>
      <c r="K570" s="197"/>
      <c r="L570" s="287" t="s">
        <v>34</v>
      </c>
      <c r="M570" s="196"/>
      <c r="N570" s="39" t="str">
        <f t="shared" si="55"/>
        <v>FY2010-11</v>
      </c>
      <c r="O570" s="39" t="s">
        <v>154</v>
      </c>
      <c r="P570" s="39" t="s">
        <v>147</v>
      </c>
      <c r="Q570" s="39" t="s">
        <v>140</v>
      </c>
      <c r="R570" s="197"/>
      <c r="S570" s="197"/>
      <c r="T570" s="197"/>
      <c r="U570" s="197"/>
      <c r="V570" s="198"/>
      <c r="W570" s="198"/>
      <c r="X570" s="198"/>
      <c r="Y570" s="198"/>
      <c r="Z570" s="198"/>
      <c r="AA570" s="198"/>
      <c r="AB570" s="198"/>
      <c r="AC570" s="198"/>
      <c r="AD570" s="198"/>
      <c r="AE570" s="198"/>
      <c r="AF570" s="198"/>
      <c r="AG570" s="198"/>
    </row>
    <row r="571" spans="1:34" ht="15.95" customHeight="1">
      <c r="A571" s="7"/>
      <c r="B571" s="10"/>
      <c r="C571" s="12"/>
      <c r="D571" s="197"/>
      <c r="E571" s="197"/>
      <c r="F571" s="196"/>
      <c r="G571" s="197"/>
      <c r="H571" s="196"/>
      <c r="I571" s="196"/>
      <c r="J571" s="197"/>
      <c r="K571" s="197"/>
      <c r="L571" s="287" t="s">
        <v>34</v>
      </c>
      <c r="M571" s="196"/>
      <c r="N571" s="39" t="str">
        <f t="shared" si="55"/>
        <v>FY2010-11</v>
      </c>
      <c r="O571" s="39" t="s">
        <v>154</v>
      </c>
      <c r="P571" s="39" t="s">
        <v>147</v>
      </c>
      <c r="Q571" s="39" t="s">
        <v>140</v>
      </c>
      <c r="R571" s="197"/>
      <c r="S571" s="197"/>
      <c r="T571" s="197"/>
      <c r="U571" s="197"/>
      <c r="V571" s="198"/>
      <c r="W571" s="198"/>
      <c r="X571" s="198"/>
      <c r="Y571" s="198"/>
      <c r="Z571" s="198"/>
      <c r="AA571" s="198"/>
      <c r="AB571" s="198"/>
      <c r="AC571" s="198"/>
      <c r="AD571" s="198"/>
      <c r="AE571" s="198"/>
      <c r="AF571" s="198"/>
      <c r="AG571" s="198"/>
    </row>
    <row r="572" spans="1:34" ht="15.95" customHeight="1">
      <c r="A572" s="36"/>
      <c r="B572" s="33"/>
      <c r="C572" s="33"/>
      <c r="D572" s="34"/>
      <c r="E572" s="34"/>
      <c r="F572" s="35"/>
      <c r="G572" s="34"/>
      <c r="H572" s="35"/>
      <c r="I572" s="35"/>
      <c r="J572" s="34"/>
      <c r="K572" s="34"/>
      <c r="L572" s="288"/>
      <c r="M572" s="35"/>
      <c r="N572" s="35"/>
      <c r="O572" s="34"/>
      <c r="P572" s="35"/>
      <c r="Q572" s="35"/>
      <c r="R572" s="34"/>
      <c r="S572" s="34"/>
      <c r="T572" s="34"/>
      <c r="U572" s="34"/>
      <c r="V572" s="36"/>
      <c r="W572" s="36"/>
      <c r="X572" s="36"/>
      <c r="Y572" s="36"/>
      <c r="Z572" s="36"/>
      <c r="AA572" s="36"/>
      <c r="AB572" s="36"/>
      <c r="AC572" s="36"/>
      <c r="AD572" s="36"/>
      <c r="AE572" s="36"/>
      <c r="AF572" s="36"/>
      <c r="AG572" s="36"/>
    </row>
    <row r="573" spans="1:34"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66"/>
      <c r="T573" s="867" t="str">
        <f>'$REV-DB'!$T$34</f>
        <v>UD1</v>
      </c>
      <c r="U573" s="867" t="str">
        <f>'$REV-DB'!$U$34</f>
        <v>UD2</v>
      </c>
      <c r="V573" s="867" t="str">
        <f>'$REV-DB'!$V$34</f>
        <v>UD3</v>
      </c>
      <c r="W573" s="867" t="str">
        <f>'$REV-DB'!$W$34</f>
        <v>UD4</v>
      </c>
      <c r="X573" s="867" t="str">
        <f>'$REV-DB'!$X$34</f>
        <v>UD5</v>
      </c>
      <c r="Y573" s="867" t="str">
        <f>'$REV-DB'!$Y$34</f>
        <v>UD6</v>
      </c>
      <c r="Z573" s="867" t="str">
        <f>'$REV-DB'!$Z$34</f>
        <v>UD7</v>
      </c>
      <c r="AA573" s="867" t="str">
        <f>'$REV-DB'!$AA$34</f>
        <v>UD8</v>
      </c>
      <c r="AB573" s="867" t="str">
        <f>'$REV-DB'!$AB$34</f>
        <v>UD9</v>
      </c>
      <c r="AC573" s="867" t="str">
        <f>'$REV-DB'!$AC$34</f>
        <v>UD10</v>
      </c>
      <c r="AD573" s="867" t="str">
        <f>'$REV-DB'!$AD$34</f>
        <v>UD11</v>
      </c>
      <c r="AE573" s="867" t="str">
        <f>'$REV-DB'!$AE$34</f>
        <v>UD12</v>
      </c>
      <c r="AF573" s="867" t="str">
        <f>'$REV-DB'!$AF$34</f>
        <v>UD13</v>
      </c>
      <c r="AG573" s="867" t="str">
        <f>'$REV-DB'!$AG$34</f>
        <v>UD14</v>
      </c>
    </row>
    <row r="574" spans="1:34" ht="15.95" customHeight="1" thickTop="1" thickBot="1">
      <c r="A574" s="7"/>
      <c r="B574" s="20" t="s">
        <v>4</v>
      </c>
      <c r="C574" s="15"/>
      <c r="D574" s="105" t="s">
        <v>186</v>
      </c>
      <c r="E574" s="105" t="s">
        <v>187</v>
      </c>
      <c r="F574" s="105" t="s">
        <v>188</v>
      </c>
      <c r="G574" s="105" t="s">
        <v>189</v>
      </c>
      <c r="H574" s="301" t="s">
        <v>11</v>
      </c>
      <c r="I574" s="301" t="s">
        <v>190</v>
      </c>
      <c r="J574" s="301" t="s">
        <v>191</v>
      </c>
      <c r="K574" s="301" t="s">
        <v>192</v>
      </c>
      <c r="L574" s="301" t="s">
        <v>203</v>
      </c>
      <c r="M574" s="301" t="s">
        <v>42</v>
      </c>
      <c r="N574" s="105" t="s">
        <v>148</v>
      </c>
      <c r="O574" s="105" t="s">
        <v>193</v>
      </c>
      <c r="P574" s="105" t="s">
        <v>142</v>
      </c>
      <c r="Q574" s="105" t="s">
        <v>194</v>
      </c>
      <c r="R574" s="112" t="s">
        <v>141</v>
      </c>
      <c r="S574" s="112" t="s">
        <v>672</v>
      </c>
      <c r="T574" s="857" t="s">
        <v>541</v>
      </c>
      <c r="U574" s="857" t="s">
        <v>542</v>
      </c>
      <c r="V574" s="857" t="s">
        <v>543</v>
      </c>
      <c r="W574" s="857" t="s">
        <v>544</v>
      </c>
      <c r="X574" s="857" t="s">
        <v>545</v>
      </c>
      <c r="Y574" s="857" t="s">
        <v>546</v>
      </c>
      <c r="Z574" s="857" t="s">
        <v>547</v>
      </c>
      <c r="AA574" s="857" t="s">
        <v>548</v>
      </c>
      <c r="AB574" s="857" t="s">
        <v>549</v>
      </c>
      <c r="AC574" s="857" t="s">
        <v>550</v>
      </c>
      <c r="AD574" s="857" t="s">
        <v>551</v>
      </c>
      <c r="AE574" s="857" t="s">
        <v>552</v>
      </c>
      <c r="AF574" s="857" t="s">
        <v>553</v>
      </c>
      <c r="AG574" s="857" t="s">
        <v>554</v>
      </c>
      <c r="AH574" s="6"/>
    </row>
    <row r="575" spans="1:34" ht="15.95" customHeight="1" thickTop="1">
      <c r="A575" s="7"/>
      <c r="B575" s="19" t="s">
        <v>146</v>
      </c>
      <c r="C575" s="12"/>
      <c r="D575" s="199"/>
      <c r="E575" s="199"/>
      <c r="F575" s="199"/>
      <c r="G575" s="199"/>
      <c r="H575" s="199"/>
      <c r="I575" s="199"/>
      <c r="J575" s="199"/>
      <c r="K575" s="199"/>
      <c r="L575" s="289" t="s">
        <v>34</v>
      </c>
      <c r="M575" s="199"/>
      <c r="N575" s="40" t="str">
        <f>J$6</f>
        <v>FY2010-11</v>
      </c>
      <c r="O575" s="40" t="s">
        <v>155</v>
      </c>
      <c r="P575" s="40" t="s">
        <v>138</v>
      </c>
      <c r="Q575" s="199"/>
      <c r="R575" s="199"/>
      <c r="S575" s="200"/>
      <c r="T575" s="200"/>
      <c r="U575" s="200"/>
      <c r="V575" s="201"/>
      <c r="W575" s="201"/>
      <c r="X575" s="201"/>
      <c r="Y575" s="201"/>
      <c r="Z575" s="201"/>
      <c r="AA575" s="201"/>
      <c r="AB575" s="201"/>
      <c r="AC575" s="201"/>
      <c r="AD575" s="201"/>
      <c r="AE575" s="201"/>
      <c r="AF575" s="201"/>
      <c r="AG575" s="201"/>
      <c r="AH575" s="6"/>
    </row>
    <row r="576" spans="1:34" ht="15.95" customHeight="1">
      <c r="A576" s="7"/>
      <c r="B576" s="16">
        <f>DSUM('$REV-DB'!D35:AG67,"AMOUNT",'$REV-DSUM'!D574:AG581)</f>
        <v>0</v>
      </c>
      <c r="C576" s="12"/>
      <c r="D576" s="199"/>
      <c r="E576" s="199"/>
      <c r="F576" s="199"/>
      <c r="G576" s="199"/>
      <c r="H576" s="199"/>
      <c r="I576" s="199"/>
      <c r="J576" s="199"/>
      <c r="K576" s="199"/>
      <c r="L576" s="289" t="s">
        <v>34</v>
      </c>
      <c r="M576" s="199"/>
      <c r="N576" s="40" t="str">
        <f t="shared" ref="N576:N581" si="56">J$6</f>
        <v>FY2010-11</v>
      </c>
      <c r="O576" s="40" t="s">
        <v>155</v>
      </c>
      <c r="P576" s="40" t="s">
        <v>138</v>
      </c>
      <c r="Q576" s="199"/>
      <c r="R576" s="199"/>
      <c r="S576" s="200"/>
      <c r="T576" s="200"/>
      <c r="U576" s="200"/>
      <c r="V576" s="201"/>
      <c r="W576" s="201"/>
      <c r="X576" s="201"/>
      <c r="Y576" s="201"/>
      <c r="Z576" s="201"/>
      <c r="AA576" s="201"/>
      <c r="AB576" s="201"/>
      <c r="AC576" s="201"/>
      <c r="AD576" s="201"/>
      <c r="AE576" s="201"/>
      <c r="AF576" s="201"/>
      <c r="AG576" s="201"/>
      <c r="AH576" s="6"/>
    </row>
    <row r="577" spans="1:34" ht="15.95" customHeight="1">
      <c r="A577" s="7"/>
      <c r="B577" s="10"/>
      <c r="C577" s="12"/>
      <c r="D577" s="199"/>
      <c r="E577" s="199"/>
      <c r="F577" s="199"/>
      <c r="G577" s="199"/>
      <c r="H577" s="199"/>
      <c r="I577" s="199"/>
      <c r="J577" s="199"/>
      <c r="K577" s="199"/>
      <c r="L577" s="289" t="s">
        <v>34</v>
      </c>
      <c r="M577" s="199"/>
      <c r="N577" s="40" t="str">
        <f t="shared" si="56"/>
        <v>FY2010-11</v>
      </c>
      <c r="O577" s="40" t="s">
        <v>155</v>
      </c>
      <c r="P577" s="40" t="s">
        <v>138</v>
      </c>
      <c r="Q577" s="199"/>
      <c r="R577" s="199"/>
      <c r="S577" s="200"/>
      <c r="T577" s="200"/>
      <c r="U577" s="200"/>
      <c r="V577" s="201"/>
      <c r="W577" s="201"/>
      <c r="X577" s="201"/>
      <c r="Y577" s="201"/>
      <c r="Z577" s="201"/>
      <c r="AA577" s="201"/>
      <c r="AB577" s="201"/>
      <c r="AC577" s="201"/>
      <c r="AD577" s="201"/>
      <c r="AE577" s="201"/>
      <c r="AF577" s="201"/>
      <c r="AG577" s="201"/>
    </row>
    <row r="578" spans="1:34" ht="15.95" customHeight="1">
      <c r="A578" s="7"/>
      <c r="B578" s="10"/>
      <c r="C578" s="12"/>
      <c r="D578" s="199"/>
      <c r="E578" s="199"/>
      <c r="F578" s="199"/>
      <c r="G578" s="199"/>
      <c r="H578" s="199"/>
      <c r="I578" s="199"/>
      <c r="J578" s="199"/>
      <c r="K578" s="199"/>
      <c r="L578" s="289" t="s">
        <v>34</v>
      </c>
      <c r="M578" s="199"/>
      <c r="N578" s="40" t="str">
        <f t="shared" si="56"/>
        <v>FY2010-11</v>
      </c>
      <c r="O578" s="40" t="s">
        <v>155</v>
      </c>
      <c r="P578" s="40" t="s">
        <v>138</v>
      </c>
      <c r="Q578" s="199"/>
      <c r="R578" s="199"/>
      <c r="S578" s="200"/>
      <c r="T578" s="200"/>
      <c r="U578" s="200"/>
      <c r="V578" s="201"/>
      <c r="W578" s="201"/>
      <c r="X578" s="201"/>
      <c r="Y578" s="201"/>
      <c r="Z578" s="201"/>
      <c r="AA578" s="201"/>
      <c r="AB578" s="201"/>
      <c r="AC578" s="201"/>
      <c r="AD578" s="201"/>
      <c r="AE578" s="201"/>
      <c r="AF578" s="201"/>
      <c r="AG578" s="201"/>
    </row>
    <row r="579" spans="1:34" ht="15.95" customHeight="1">
      <c r="A579" s="7"/>
      <c r="B579" s="10"/>
      <c r="C579" s="12"/>
      <c r="D579" s="199"/>
      <c r="E579" s="199"/>
      <c r="F579" s="199"/>
      <c r="G579" s="199"/>
      <c r="H579" s="199"/>
      <c r="I579" s="199"/>
      <c r="J579" s="199"/>
      <c r="K579" s="199"/>
      <c r="L579" s="289" t="s">
        <v>34</v>
      </c>
      <c r="M579" s="199"/>
      <c r="N579" s="40" t="str">
        <f t="shared" si="56"/>
        <v>FY2010-11</v>
      </c>
      <c r="O579" s="40" t="s">
        <v>155</v>
      </c>
      <c r="P579" s="40" t="s">
        <v>138</v>
      </c>
      <c r="Q579" s="199"/>
      <c r="R579" s="199"/>
      <c r="S579" s="200"/>
      <c r="T579" s="200"/>
      <c r="U579" s="200"/>
      <c r="V579" s="201"/>
      <c r="W579" s="201"/>
      <c r="X579" s="201"/>
      <c r="Y579" s="201"/>
      <c r="Z579" s="201"/>
      <c r="AA579" s="201"/>
      <c r="AB579" s="201"/>
      <c r="AC579" s="201"/>
      <c r="AD579" s="201"/>
      <c r="AE579" s="201"/>
      <c r="AF579" s="201"/>
      <c r="AG579" s="201"/>
    </row>
    <row r="580" spans="1:34" ht="15.95" customHeight="1">
      <c r="A580" s="7"/>
      <c r="B580" s="10"/>
      <c r="C580" s="12"/>
      <c r="D580" s="199"/>
      <c r="E580" s="199"/>
      <c r="F580" s="199"/>
      <c r="G580" s="199"/>
      <c r="H580" s="199"/>
      <c r="I580" s="199"/>
      <c r="J580" s="199"/>
      <c r="K580" s="199"/>
      <c r="L580" s="289" t="s">
        <v>34</v>
      </c>
      <c r="M580" s="199"/>
      <c r="N580" s="40" t="str">
        <f t="shared" si="56"/>
        <v>FY2010-11</v>
      </c>
      <c r="O580" s="40" t="s">
        <v>155</v>
      </c>
      <c r="P580" s="40" t="s">
        <v>138</v>
      </c>
      <c r="Q580" s="199"/>
      <c r="R580" s="199"/>
      <c r="S580" s="200"/>
      <c r="T580" s="200"/>
      <c r="U580" s="200"/>
      <c r="V580" s="201"/>
      <c r="W580" s="201"/>
      <c r="X580" s="201"/>
      <c r="Y580" s="201"/>
      <c r="Z580" s="201"/>
      <c r="AA580" s="201"/>
      <c r="AB580" s="201"/>
      <c r="AC580" s="201"/>
      <c r="AD580" s="201"/>
      <c r="AE580" s="201"/>
      <c r="AF580" s="201"/>
      <c r="AG580" s="201"/>
    </row>
    <row r="581" spans="1:34" ht="15.95" customHeight="1">
      <c r="A581" s="7"/>
      <c r="B581" s="10"/>
      <c r="C581" s="12"/>
      <c r="D581" s="199"/>
      <c r="E581" s="199"/>
      <c r="F581" s="199"/>
      <c r="G581" s="199"/>
      <c r="H581" s="199"/>
      <c r="I581" s="199"/>
      <c r="J581" s="199"/>
      <c r="K581" s="199"/>
      <c r="L581" s="289" t="s">
        <v>34</v>
      </c>
      <c r="M581" s="199"/>
      <c r="N581" s="40" t="str">
        <f t="shared" si="56"/>
        <v>FY2010-11</v>
      </c>
      <c r="O581" s="40" t="s">
        <v>155</v>
      </c>
      <c r="P581" s="40" t="s">
        <v>138</v>
      </c>
      <c r="Q581" s="199"/>
      <c r="R581" s="199"/>
      <c r="S581" s="200"/>
      <c r="T581" s="200"/>
      <c r="U581" s="200"/>
      <c r="V581" s="201"/>
      <c r="W581" s="201"/>
      <c r="X581" s="201"/>
      <c r="Y581" s="201"/>
      <c r="Z581" s="201"/>
      <c r="AA581" s="201"/>
      <c r="AB581" s="201"/>
      <c r="AC581" s="201"/>
      <c r="AD581" s="201"/>
      <c r="AE581" s="201"/>
      <c r="AF581" s="201"/>
      <c r="AG581" s="201"/>
    </row>
    <row r="582" spans="1:34" ht="15.95" customHeight="1">
      <c r="A582" s="36"/>
      <c r="B582" s="33"/>
      <c r="C582" s="33"/>
      <c r="D582" s="34"/>
      <c r="E582" s="34"/>
      <c r="F582" s="35"/>
      <c r="G582" s="34"/>
      <c r="H582" s="35"/>
      <c r="I582" s="35"/>
      <c r="J582" s="34"/>
      <c r="K582" s="34"/>
      <c r="L582" s="288"/>
      <c r="M582" s="35"/>
      <c r="N582" s="35"/>
      <c r="O582" s="34"/>
      <c r="P582" s="35"/>
      <c r="Q582" s="35"/>
      <c r="R582" s="34"/>
      <c r="S582" s="34"/>
      <c r="T582" s="34"/>
      <c r="U582" s="34"/>
      <c r="V582" s="36"/>
      <c r="W582" s="36"/>
      <c r="X582" s="36"/>
      <c r="Y582" s="36"/>
      <c r="Z582" s="36"/>
      <c r="AA582" s="36"/>
      <c r="AB582" s="36"/>
      <c r="AC582" s="36"/>
      <c r="AD582" s="36"/>
      <c r="AE582" s="36"/>
      <c r="AF582" s="36"/>
      <c r="AG582" s="36"/>
    </row>
    <row r="583" spans="1:34"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66"/>
      <c r="T583" s="867" t="str">
        <f>'$REV-DB'!$T$34</f>
        <v>UD1</v>
      </c>
      <c r="U583" s="867" t="str">
        <f>'$REV-DB'!$U$34</f>
        <v>UD2</v>
      </c>
      <c r="V583" s="867" t="str">
        <f>'$REV-DB'!$V$34</f>
        <v>UD3</v>
      </c>
      <c r="W583" s="867" t="str">
        <f>'$REV-DB'!$W$34</f>
        <v>UD4</v>
      </c>
      <c r="X583" s="867" t="str">
        <f>'$REV-DB'!$X$34</f>
        <v>UD5</v>
      </c>
      <c r="Y583" s="867" t="str">
        <f>'$REV-DB'!$Y$34</f>
        <v>UD6</v>
      </c>
      <c r="Z583" s="867" t="str">
        <f>'$REV-DB'!$Z$34</f>
        <v>UD7</v>
      </c>
      <c r="AA583" s="867" t="str">
        <f>'$REV-DB'!$AA$34</f>
        <v>UD8</v>
      </c>
      <c r="AB583" s="867" t="str">
        <f>'$REV-DB'!$AB$34</f>
        <v>UD9</v>
      </c>
      <c r="AC583" s="867" t="str">
        <f>'$REV-DB'!$AC$34</f>
        <v>UD10</v>
      </c>
      <c r="AD583" s="867" t="str">
        <f>'$REV-DB'!$AD$34</f>
        <v>UD11</v>
      </c>
      <c r="AE583" s="867" t="str">
        <f>'$REV-DB'!$AE$34</f>
        <v>UD12</v>
      </c>
      <c r="AF583" s="867" t="str">
        <f>'$REV-DB'!$AF$34</f>
        <v>UD13</v>
      </c>
      <c r="AG583" s="867" t="str">
        <f>'$REV-DB'!$AG$34</f>
        <v>UD14</v>
      </c>
    </row>
    <row r="584" spans="1:34" ht="15.95" customHeight="1" thickTop="1" thickBot="1">
      <c r="A584" s="7"/>
      <c r="B584" s="20" t="s">
        <v>4</v>
      </c>
      <c r="C584" s="15"/>
      <c r="D584" s="105" t="s">
        <v>186</v>
      </c>
      <c r="E584" s="105" t="s">
        <v>187</v>
      </c>
      <c r="F584" s="105" t="s">
        <v>188</v>
      </c>
      <c r="G584" s="105" t="s">
        <v>189</v>
      </c>
      <c r="H584" s="301" t="s">
        <v>11</v>
      </c>
      <c r="I584" s="301" t="s">
        <v>190</v>
      </c>
      <c r="J584" s="301" t="s">
        <v>191</v>
      </c>
      <c r="K584" s="301" t="s">
        <v>192</v>
      </c>
      <c r="L584" s="301" t="s">
        <v>203</v>
      </c>
      <c r="M584" s="301" t="s">
        <v>42</v>
      </c>
      <c r="N584" s="105" t="s">
        <v>148</v>
      </c>
      <c r="O584" s="105" t="s">
        <v>193</v>
      </c>
      <c r="P584" s="105" t="s">
        <v>142</v>
      </c>
      <c r="Q584" s="105" t="s">
        <v>194</v>
      </c>
      <c r="R584" s="112" t="s">
        <v>141</v>
      </c>
      <c r="S584" s="112" t="s">
        <v>672</v>
      </c>
      <c r="T584" s="857" t="s">
        <v>541</v>
      </c>
      <c r="U584" s="857" t="s">
        <v>542</v>
      </c>
      <c r="V584" s="857" t="s">
        <v>543</v>
      </c>
      <c r="W584" s="857" t="s">
        <v>544</v>
      </c>
      <c r="X584" s="857" t="s">
        <v>545</v>
      </c>
      <c r="Y584" s="857" t="s">
        <v>546</v>
      </c>
      <c r="Z584" s="857" t="s">
        <v>547</v>
      </c>
      <c r="AA584" s="857" t="s">
        <v>548</v>
      </c>
      <c r="AB584" s="857" t="s">
        <v>549</v>
      </c>
      <c r="AC584" s="857" t="s">
        <v>550</v>
      </c>
      <c r="AD584" s="857" t="s">
        <v>551</v>
      </c>
      <c r="AE584" s="857" t="s">
        <v>552</v>
      </c>
      <c r="AF584" s="857" t="s">
        <v>553</v>
      </c>
      <c r="AG584" s="857" t="s">
        <v>554</v>
      </c>
      <c r="AH584" s="6"/>
    </row>
    <row r="585" spans="1:34" ht="15.95" customHeight="1" thickTop="1">
      <c r="A585" s="7"/>
      <c r="B585" s="19" t="s">
        <v>145</v>
      </c>
      <c r="C585" s="12"/>
      <c r="D585" s="200"/>
      <c r="E585" s="200"/>
      <c r="F585" s="199"/>
      <c r="G585" s="200"/>
      <c r="H585" s="199"/>
      <c r="I585" s="199"/>
      <c r="J585" s="200"/>
      <c r="K585" s="200"/>
      <c r="L585" s="289" t="s">
        <v>34</v>
      </c>
      <c r="M585" s="199"/>
      <c r="N585" s="40" t="str">
        <f>J$6</f>
        <v>FY2010-11</v>
      </c>
      <c r="O585" s="40" t="s">
        <v>155</v>
      </c>
      <c r="P585" s="40" t="s">
        <v>138</v>
      </c>
      <c r="Q585" s="40" t="s">
        <v>180</v>
      </c>
      <c r="R585" s="200"/>
      <c r="S585" s="200"/>
      <c r="T585" s="200"/>
      <c r="U585" s="200"/>
      <c r="V585" s="201"/>
      <c r="W585" s="201"/>
      <c r="X585" s="201"/>
      <c r="Y585" s="201"/>
      <c r="Z585" s="201"/>
      <c r="AA585" s="201"/>
      <c r="AB585" s="201"/>
      <c r="AC585" s="201"/>
      <c r="AD585" s="201"/>
      <c r="AE585" s="201"/>
      <c r="AF585" s="201"/>
      <c r="AG585" s="201"/>
      <c r="AH585" s="6"/>
    </row>
    <row r="586" spans="1:34" ht="15.95" customHeight="1">
      <c r="A586" s="7"/>
      <c r="B586" s="16">
        <f>DSUM('$REV-DB'!D35:AG67,"AMOUNT",'$REV-DSUM'!D584:AG591)</f>
        <v>0</v>
      </c>
      <c r="C586" s="12"/>
      <c r="D586" s="200"/>
      <c r="E586" s="200"/>
      <c r="F586" s="199"/>
      <c r="G586" s="200"/>
      <c r="H586" s="199"/>
      <c r="I586" s="199"/>
      <c r="J586" s="200"/>
      <c r="K586" s="200"/>
      <c r="L586" s="289" t="s">
        <v>34</v>
      </c>
      <c r="M586" s="199"/>
      <c r="N586" s="40" t="str">
        <f t="shared" ref="N586:N591" si="57">J$6</f>
        <v>FY2010-11</v>
      </c>
      <c r="O586" s="40" t="s">
        <v>155</v>
      </c>
      <c r="P586" s="40" t="s">
        <v>138</v>
      </c>
      <c r="Q586" s="40" t="s">
        <v>180</v>
      </c>
      <c r="R586" s="200"/>
      <c r="S586" s="200"/>
      <c r="T586" s="200"/>
      <c r="U586" s="200"/>
      <c r="V586" s="201"/>
      <c r="W586" s="201"/>
      <c r="X586" s="201"/>
      <c r="Y586" s="201"/>
      <c r="Z586" s="201"/>
      <c r="AA586" s="201"/>
      <c r="AB586" s="201"/>
      <c r="AC586" s="201"/>
      <c r="AD586" s="201"/>
      <c r="AE586" s="201"/>
      <c r="AF586" s="201"/>
      <c r="AG586" s="201"/>
      <c r="AH586" s="6"/>
    </row>
    <row r="587" spans="1:34" ht="15.95" customHeight="1">
      <c r="A587" s="7"/>
      <c r="B587" s="10"/>
      <c r="C587" s="12"/>
      <c r="D587" s="200"/>
      <c r="E587" s="200"/>
      <c r="F587" s="199"/>
      <c r="G587" s="200"/>
      <c r="H587" s="199"/>
      <c r="I587" s="199"/>
      <c r="J587" s="200"/>
      <c r="K587" s="200"/>
      <c r="L587" s="289" t="s">
        <v>34</v>
      </c>
      <c r="M587" s="199"/>
      <c r="N587" s="40" t="str">
        <f t="shared" si="57"/>
        <v>FY2010-11</v>
      </c>
      <c r="O587" s="40" t="s">
        <v>155</v>
      </c>
      <c r="P587" s="40" t="s">
        <v>138</v>
      </c>
      <c r="Q587" s="40" t="s">
        <v>180</v>
      </c>
      <c r="R587" s="200"/>
      <c r="S587" s="200"/>
      <c r="T587" s="200"/>
      <c r="U587" s="200"/>
      <c r="V587" s="201"/>
      <c r="W587" s="201"/>
      <c r="X587" s="201"/>
      <c r="Y587" s="201"/>
      <c r="Z587" s="201"/>
      <c r="AA587" s="201"/>
      <c r="AB587" s="201"/>
      <c r="AC587" s="201"/>
      <c r="AD587" s="201"/>
      <c r="AE587" s="201"/>
      <c r="AF587" s="201"/>
      <c r="AG587" s="201"/>
    </row>
    <row r="588" spans="1:34" ht="15.95" customHeight="1">
      <c r="A588" s="7"/>
      <c r="B588" s="10"/>
      <c r="C588" s="12"/>
      <c r="D588" s="200"/>
      <c r="E588" s="200"/>
      <c r="F588" s="199"/>
      <c r="G588" s="200"/>
      <c r="H588" s="199"/>
      <c r="I588" s="199"/>
      <c r="J588" s="200"/>
      <c r="K588" s="200"/>
      <c r="L588" s="289" t="s">
        <v>34</v>
      </c>
      <c r="M588" s="199"/>
      <c r="N588" s="40" t="str">
        <f t="shared" si="57"/>
        <v>FY2010-11</v>
      </c>
      <c r="O588" s="40" t="s">
        <v>155</v>
      </c>
      <c r="P588" s="40" t="s">
        <v>138</v>
      </c>
      <c r="Q588" s="40" t="s">
        <v>180</v>
      </c>
      <c r="R588" s="200"/>
      <c r="S588" s="200"/>
      <c r="T588" s="200"/>
      <c r="U588" s="200"/>
      <c r="V588" s="201"/>
      <c r="W588" s="201"/>
      <c r="X588" s="201"/>
      <c r="Y588" s="201"/>
      <c r="Z588" s="201"/>
      <c r="AA588" s="201"/>
      <c r="AB588" s="201"/>
      <c r="AC588" s="201"/>
      <c r="AD588" s="201"/>
      <c r="AE588" s="201"/>
      <c r="AF588" s="201"/>
      <c r="AG588" s="201"/>
    </row>
    <row r="589" spans="1:34" ht="15.95" customHeight="1">
      <c r="A589" s="7"/>
      <c r="B589" s="10"/>
      <c r="C589" s="12"/>
      <c r="D589" s="200"/>
      <c r="E589" s="200"/>
      <c r="F589" s="199"/>
      <c r="G589" s="200"/>
      <c r="H589" s="199"/>
      <c r="I589" s="199"/>
      <c r="J589" s="200"/>
      <c r="K589" s="200"/>
      <c r="L589" s="289" t="s">
        <v>34</v>
      </c>
      <c r="M589" s="199"/>
      <c r="N589" s="40" t="str">
        <f t="shared" si="57"/>
        <v>FY2010-11</v>
      </c>
      <c r="O589" s="40" t="s">
        <v>155</v>
      </c>
      <c r="P589" s="40" t="s">
        <v>138</v>
      </c>
      <c r="Q589" s="40" t="s">
        <v>180</v>
      </c>
      <c r="R589" s="200"/>
      <c r="S589" s="200"/>
      <c r="T589" s="200"/>
      <c r="U589" s="200"/>
      <c r="V589" s="201"/>
      <c r="W589" s="201"/>
      <c r="X589" s="201"/>
      <c r="Y589" s="201"/>
      <c r="Z589" s="201"/>
      <c r="AA589" s="201"/>
      <c r="AB589" s="201"/>
      <c r="AC589" s="201"/>
      <c r="AD589" s="201"/>
      <c r="AE589" s="201"/>
      <c r="AF589" s="201"/>
      <c r="AG589" s="201"/>
    </row>
    <row r="590" spans="1:34" ht="15.95" customHeight="1">
      <c r="A590" s="7"/>
      <c r="B590" s="10"/>
      <c r="C590" s="12"/>
      <c r="D590" s="200"/>
      <c r="E590" s="200"/>
      <c r="F590" s="199"/>
      <c r="G590" s="200"/>
      <c r="H590" s="199"/>
      <c r="I590" s="199"/>
      <c r="J590" s="200"/>
      <c r="K590" s="200"/>
      <c r="L590" s="289" t="s">
        <v>34</v>
      </c>
      <c r="M590" s="199"/>
      <c r="N590" s="40" t="str">
        <f t="shared" si="57"/>
        <v>FY2010-11</v>
      </c>
      <c r="O590" s="40" t="s">
        <v>155</v>
      </c>
      <c r="P590" s="40" t="s">
        <v>138</v>
      </c>
      <c r="Q590" s="40" t="s">
        <v>180</v>
      </c>
      <c r="R590" s="200"/>
      <c r="S590" s="200"/>
      <c r="T590" s="200"/>
      <c r="U590" s="200"/>
      <c r="V590" s="201"/>
      <c r="W590" s="201"/>
      <c r="X590" s="201"/>
      <c r="Y590" s="201"/>
      <c r="Z590" s="201"/>
      <c r="AA590" s="201"/>
      <c r="AB590" s="201"/>
      <c r="AC590" s="201"/>
      <c r="AD590" s="201"/>
      <c r="AE590" s="201"/>
      <c r="AF590" s="201"/>
      <c r="AG590" s="201"/>
    </row>
    <row r="591" spans="1:34" ht="15.95" customHeight="1">
      <c r="A591" s="7"/>
      <c r="B591" s="10"/>
      <c r="C591" s="12"/>
      <c r="D591" s="200"/>
      <c r="E591" s="200"/>
      <c r="F591" s="199"/>
      <c r="G591" s="200"/>
      <c r="H591" s="199"/>
      <c r="I591" s="199"/>
      <c r="J591" s="200"/>
      <c r="K591" s="200"/>
      <c r="L591" s="289" t="s">
        <v>34</v>
      </c>
      <c r="M591" s="199"/>
      <c r="N591" s="40" t="str">
        <f t="shared" si="57"/>
        <v>FY2010-11</v>
      </c>
      <c r="O591" s="40" t="s">
        <v>155</v>
      </c>
      <c r="P591" s="40" t="s">
        <v>138</v>
      </c>
      <c r="Q591" s="40" t="s">
        <v>180</v>
      </c>
      <c r="R591" s="200"/>
      <c r="S591" s="200"/>
      <c r="T591" s="200"/>
      <c r="U591" s="200"/>
      <c r="V591" s="201"/>
      <c r="W591" s="201"/>
      <c r="X591" s="201"/>
      <c r="Y591" s="201"/>
      <c r="Z591" s="201"/>
      <c r="AA591" s="201"/>
      <c r="AB591" s="201"/>
      <c r="AC591" s="201"/>
      <c r="AD591" s="201"/>
      <c r="AE591" s="201"/>
      <c r="AF591" s="201"/>
      <c r="AG591" s="201"/>
    </row>
    <row r="592" spans="1:34" ht="15.95" customHeight="1">
      <c r="A592" s="36"/>
      <c r="B592" s="33"/>
      <c r="C592" s="33"/>
      <c r="D592" s="34"/>
      <c r="E592" s="34"/>
      <c r="F592" s="35"/>
      <c r="G592" s="34"/>
      <c r="H592" s="35"/>
      <c r="I592" s="35"/>
      <c r="J592" s="34"/>
      <c r="K592" s="34"/>
      <c r="L592" s="288"/>
      <c r="M592" s="35"/>
      <c r="N592" s="35"/>
      <c r="O592" s="34"/>
      <c r="P592" s="35"/>
      <c r="Q592" s="35"/>
      <c r="R592" s="34"/>
      <c r="S592" s="34"/>
      <c r="T592" s="34"/>
      <c r="U592" s="34"/>
      <c r="V592" s="36"/>
      <c r="W592" s="36"/>
      <c r="X592" s="36"/>
      <c r="Y592" s="36"/>
      <c r="Z592" s="36"/>
      <c r="AA592" s="36"/>
      <c r="AB592" s="36"/>
      <c r="AC592" s="36"/>
      <c r="AD592" s="36"/>
      <c r="AE592" s="36"/>
      <c r="AF592" s="36"/>
      <c r="AG592" s="36"/>
    </row>
    <row r="593" spans="1:34"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66"/>
      <c r="T593" s="867" t="str">
        <f>'$REV-DB'!$T$34</f>
        <v>UD1</v>
      </c>
      <c r="U593" s="867" t="str">
        <f>'$REV-DB'!$U$34</f>
        <v>UD2</v>
      </c>
      <c r="V593" s="867" t="str">
        <f>'$REV-DB'!$V$34</f>
        <v>UD3</v>
      </c>
      <c r="W593" s="867" t="str">
        <f>'$REV-DB'!$W$34</f>
        <v>UD4</v>
      </c>
      <c r="X593" s="867" t="str">
        <f>'$REV-DB'!$X$34</f>
        <v>UD5</v>
      </c>
      <c r="Y593" s="867" t="str">
        <f>'$REV-DB'!$Y$34</f>
        <v>UD6</v>
      </c>
      <c r="Z593" s="867" t="str">
        <f>'$REV-DB'!$Z$34</f>
        <v>UD7</v>
      </c>
      <c r="AA593" s="867" t="str">
        <f>'$REV-DB'!$AA$34</f>
        <v>UD8</v>
      </c>
      <c r="AB593" s="867" t="str">
        <f>'$REV-DB'!$AB$34</f>
        <v>UD9</v>
      </c>
      <c r="AC593" s="867" t="str">
        <f>'$REV-DB'!$AC$34</f>
        <v>UD10</v>
      </c>
      <c r="AD593" s="867" t="str">
        <f>'$REV-DB'!$AD$34</f>
        <v>UD11</v>
      </c>
      <c r="AE593" s="867" t="str">
        <f>'$REV-DB'!$AE$34</f>
        <v>UD12</v>
      </c>
      <c r="AF593" s="867" t="str">
        <f>'$REV-DB'!$AF$34</f>
        <v>UD13</v>
      </c>
      <c r="AG593" s="867" t="str">
        <f>'$REV-DB'!$AG$34</f>
        <v>UD14</v>
      </c>
    </row>
    <row r="594" spans="1:34" ht="15.95" customHeight="1" thickTop="1" thickBot="1">
      <c r="A594" s="7"/>
      <c r="B594" s="20" t="s">
        <v>4</v>
      </c>
      <c r="C594" s="15"/>
      <c r="D594" s="105" t="s">
        <v>186</v>
      </c>
      <c r="E594" s="105" t="s">
        <v>187</v>
      </c>
      <c r="F594" s="105" t="s">
        <v>188</v>
      </c>
      <c r="G594" s="105" t="s">
        <v>189</v>
      </c>
      <c r="H594" s="301" t="s">
        <v>11</v>
      </c>
      <c r="I594" s="301" t="s">
        <v>190</v>
      </c>
      <c r="J594" s="301" t="s">
        <v>191</v>
      </c>
      <c r="K594" s="301" t="s">
        <v>192</v>
      </c>
      <c r="L594" s="301" t="s">
        <v>203</v>
      </c>
      <c r="M594" s="301" t="s">
        <v>42</v>
      </c>
      <c r="N594" s="105" t="s">
        <v>148</v>
      </c>
      <c r="O594" s="105" t="s">
        <v>193</v>
      </c>
      <c r="P594" s="105" t="s">
        <v>142</v>
      </c>
      <c r="Q594" s="105" t="s">
        <v>194</v>
      </c>
      <c r="R594" s="112" t="s">
        <v>141</v>
      </c>
      <c r="S594" s="112" t="s">
        <v>672</v>
      </c>
      <c r="T594" s="857" t="s">
        <v>541</v>
      </c>
      <c r="U594" s="857" t="s">
        <v>542</v>
      </c>
      <c r="V594" s="857" t="s">
        <v>543</v>
      </c>
      <c r="W594" s="857" t="s">
        <v>544</v>
      </c>
      <c r="X594" s="857" t="s">
        <v>545</v>
      </c>
      <c r="Y594" s="857" t="s">
        <v>546</v>
      </c>
      <c r="Z594" s="857" t="s">
        <v>547</v>
      </c>
      <c r="AA594" s="857" t="s">
        <v>548</v>
      </c>
      <c r="AB594" s="857" t="s">
        <v>549</v>
      </c>
      <c r="AC594" s="857" t="s">
        <v>550</v>
      </c>
      <c r="AD594" s="857" t="s">
        <v>551</v>
      </c>
      <c r="AE594" s="857" t="s">
        <v>552</v>
      </c>
      <c r="AF594" s="857" t="s">
        <v>553</v>
      </c>
      <c r="AG594" s="857" t="s">
        <v>554</v>
      </c>
      <c r="AH594" s="6"/>
    </row>
    <row r="595" spans="1:34" ht="15.95" customHeight="1" thickTop="1">
      <c r="A595" s="7"/>
      <c r="B595" s="19" t="s">
        <v>144</v>
      </c>
      <c r="C595" s="12"/>
      <c r="D595" s="200"/>
      <c r="E595" s="200"/>
      <c r="F595" s="199"/>
      <c r="G595" s="200"/>
      <c r="H595" s="199"/>
      <c r="I595" s="199"/>
      <c r="J595" s="200"/>
      <c r="K595" s="200"/>
      <c r="L595" s="289" t="s">
        <v>34</v>
      </c>
      <c r="M595" s="199"/>
      <c r="N595" s="40" t="str">
        <f>J$6</f>
        <v>FY2010-11</v>
      </c>
      <c r="O595" s="40" t="s">
        <v>155</v>
      </c>
      <c r="P595" s="40" t="s">
        <v>138</v>
      </c>
      <c r="Q595" s="40" t="s">
        <v>139</v>
      </c>
      <c r="R595" s="200"/>
      <c r="S595" s="200"/>
      <c r="T595" s="200"/>
      <c r="U595" s="200"/>
      <c r="V595" s="201"/>
      <c r="W595" s="201"/>
      <c r="X595" s="201"/>
      <c r="Y595" s="201"/>
      <c r="Z595" s="201"/>
      <c r="AA595" s="201"/>
      <c r="AB595" s="201"/>
      <c r="AC595" s="201"/>
      <c r="AD595" s="201"/>
      <c r="AE595" s="201"/>
      <c r="AF595" s="201"/>
      <c r="AG595" s="201"/>
      <c r="AH595" s="6"/>
    </row>
    <row r="596" spans="1:34" ht="15.95" customHeight="1">
      <c r="A596" s="7"/>
      <c r="B596" s="16">
        <f>DSUM('$REV-DB'!D35:AG67,"AMOUNT",'$REV-DSUM'!D594:AG601)</f>
        <v>0</v>
      </c>
      <c r="C596" s="12"/>
      <c r="D596" s="200"/>
      <c r="E596" s="200"/>
      <c r="F596" s="199"/>
      <c r="G596" s="200"/>
      <c r="H596" s="199"/>
      <c r="I596" s="199"/>
      <c r="J596" s="200"/>
      <c r="K596" s="200"/>
      <c r="L596" s="289" t="s">
        <v>34</v>
      </c>
      <c r="M596" s="199"/>
      <c r="N596" s="40" t="str">
        <f t="shared" ref="N596:N601" si="58">J$6</f>
        <v>FY2010-11</v>
      </c>
      <c r="O596" s="40" t="s">
        <v>155</v>
      </c>
      <c r="P596" s="40" t="s">
        <v>138</v>
      </c>
      <c r="Q596" s="40" t="s">
        <v>139</v>
      </c>
      <c r="R596" s="200"/>
      <c r="S596" s="200"/>
      <c r="T596" s="200"/>
      <c r="U596" s="200"/>
      <c r="V596" s="201"/>
      <c r="W596" s="201"/>
      <c r="X596" s="201"/>
      <c r="Y596" s="201"/>
      <c r="Z596" s="201"/>
      <c r="AA596" s="201"/>
      <c r="AB596" s="201"/>
      <c r="AC596" s="201"/>
      <c r="AD596" s="201"/>
      <c r="AE596" s="201"/>
      <c r="AF596" s="201"/>
      <c r="AG596" s="201"/>
      <c r="AH596" s="6"/>
    </row>
    <row r="597" spans="1:34" ht="15.95" customHeight="1">
      <c r="A597" s="7"/>
      <c r="B597" s="10"/>
      <c r="C597" s="12"/>
      <c r="D597" s="200"/>
      <c r="E597" s="200"/>
      <c r="F597" s="199"/>
      <c r="G597" s="200"/>
      <c r="H597" s="199"/>
      <c r="I597" s="199"/>
      <c r="J597" s="200"/>
      <c r="K597" s="200"/>
      <c r="L597" s="289" t="s">
        <v>34</v>
      </c>
      <c r="M597" s="199"/>
      <c r="N597" s="40" t="str">
        <f t="shared" si="58"/>
        <v>FY2010-11</v>
      </c>
      <c r="O597" s="40" t="s">
        <v>155</v>
      </c>
      <c r="P597" s="40" t="s">
        <v>138</v>
      </c>
      <c r="Q597" s="40" t="s">
        <v>139</v>
      </c>
      <c r="R597" s="200"/>
      <c r="S597" s="200"/>
      <c r="T597" s="200"/>
      <c r="U597" s="200"/>
      <c r="V597" s="201"/>
      <c r="W597" s="201"/>
      <c r="X597" s="201"/>
      <c r="Y597" s="201"/>
      <c r="Z597" s="201"/>
      <c r="AA597" s="201"/>
      <c r="AB597" s="201"/>
      <c r="AC597" s="201"/>
      <c r="AD597" s="201"/>
      <c r="AE597" s="201"/>
      <c r="AF597" s="201"/>
      <c r="AG597" s="201"/>
    </row>
    <row r="598" spans="1:34" ht="15.95" customHeight="1">
      <c r="A598" s="7"/>
      <c r="B598" s="10"/>
      <c r="C598" s="12"/>
      <c r="D598" s="200"/>
      <c r="E598" s="200"/>
      <c r="F598" s="199"/>
      <c r="G598" s="200"/>
      <c r="H598" s="199"/>
      <c r="I598" s="199"/>
      <c r="J598" s="200"/>
      <c r="K598" s="200"/>
      <c r="L598" s="289" t="s">
        <v>34</v>
      </c>
      <c r="M598" s="199"/>
      <c r="N598" s="40" t="str">
        <f t="shared" si="58"/>
        <v>FY2010-11</v>
      </c>
      <c r="O598" s="40" t="s">
        <v>155</v>
      </c>
      <c r="P598" s="40" t="s">
        <v>138</v>
      </c>
      <c r="Q598" s="40" t="s">
        <v>139</v>
      </c>
      <c r="R598" s="200"/>
      <c r="S598" s="200"/>
      <c r="T598" s="200"/>
      <c r="U598" s="200"/>
      <c r="V598" s="201"/>
      <c r="W598" s="201"/>
      <c r="X598" s="201"/>
      <c r="Y598" s="201"/>
      <c r="Z598" s="201"/>
      <c r="AA598" s="201"/>
      <c r="AB598" s="201"/>
      <c r="AC598" s="201"/>
      <c r="AD598" s="201"/>
      <c r="AE598" s="201"/>
      <c r="AF598" s="201"/>
      <c r="AG598" s="201"/>
    </row>
    <row r="599" spans="1:34" ht="15.95" customHeight="1">
      <c r="A599" s="7"/>
      <c r="B599" s="10"/>
      <c r="C599" s="12"/>
      <c r="D599" s="200"/>
      <c r="E599" s="200"/>
      <c r="F599" s="199"/>
      <c r="G599" s="200"/>
      <c r="H599" s="199"/>
      <c r="I599" s="199"/>
      <c r="J599" s="200"/>
      <c r="K599" s="200"/>
      <c r="L599" s="289" t="s">
        <v>34</v>
      </c>
      <c r="M599" s="199"/>
      <c r="N599" s="40" t="str">
        <f t="shared" si="58"/>
        <v>FY2010-11</v>
      </c>
      <c r="O599" s="40" t="s">
        <v>155</v>
      </c>
      <c r="P599" s="40" t="s">
        <v>138</v>
      </c>
      <c r="Q599" s="40" t="s">
        <v>139</v>
      </c>
      <c r="R599" s="200"/>
      <c r="S599" s="200"/>
      <c r="T599" s="200"/>
      <c r="U599" s="200"/>
      <c r="V599" s="201"/>
      <c r="W599" s="201"/>
      <c r="X599" s="201"/>
      <c r="Y599" s="201"/>
      <c r="Z599" s="201"/>
      <c r="AA599" s="201"/>
      <c r="AB599" s="201"/>
      <c r="AC599" s="201"/>
      <c r="AD599" s="201"/>
      <c r="AE599" s="201"/>
      <c r="AF599" s="201"/>
      <c r="AG599" s="201"/>
    </row>
    <row r="600" spans="1:34" ht="15.95" customHeight="1">
      <c r="A600" s="7"/>
      <c r="B600" s="10"/>
      <c r="C600" s="12"/>
      <c r="D600" s="200"/>
      <c r="E600" s="200"/>
      <c r="F600" s="199"/>
      <c r="G600" s="200"/>
      <c r="H600" s="199"/>
      <c r="I600" s="199"/>
      <c r="J600" s="200"/>
      <c r="K600" s="200"/>
      <c r="L600" s="289" t="s">
        <v>34</v>
      </c>
      <c r="M600" s="199"/>
      <c r="N600" s="40" t="str">
        <f t="shared" si="58"/>
        <v>FY2010-11</v>
      </c>
      <c r="O600" s="40" t="s">
        <v>155</v>
      </c>
      <c r="P600" s="40" t="s">
        <v>138</v>
      </c>
      <c r="Q600" s="40" t="s">
        <v>139</v>
      </c>
      <c r="R600" s="200"/>
      <c r="S600" s="200"/>
      <c r="T600" s="200"/>
      <c r="U600" s="200"/>
      <c r="V600" s="201"/>
      <c r="W600" s="201"/>
      <c r="X600" s="201"/>
      <c r="Y600" s="201"/>
      <c r="Z600" s="201"/>
      <c r="AA600" s="201"/>
      <c r="AB600" s="201"/>
      <c r="AC600" s="201"/>
      <c r="AD600" s="201"/>
      <c r="AE600" s="201"/>
      <c r="AF600" s="201"/>
      <c r="AG600" s="201"/>
    </row>
    <row r="601" spans="1:34" ht="15.95" customHeight="1">
      <c r="A601" s="7"/>
      <c r="B601" s="10"/>
      <c r="C601" s="12"/>
      <c r="D601" s="200"/>
      <c r="E601" s="200"/>
      <c r="F601" s="199"/>
      <c r="G601" s="200"/>
      <c r="H601" s="199"/>
      <c r="I601" s="199"/>
      <c r="J601" s="200"/>
      <c r="K601" s="200"/>
      <c r="L601" s="289" t="s">
        <v>34</v>
      </c>
      <c r="M601" s="199"/>
      <c r="N601" s="40" t="str">
        <f t="shared" si="58"/>
        <v>FY2010-11</v>
      </c>
      <c r="O601" s="40" t="s">
        <v>155</v>
      </c>
      <c r="P601" s="40" t="s">
        <v>138</v>
      </c>
      <c r="Q601" s="40" t="s">
        <v>139</v>
      </c>
      <c r="R601" s="200"/>
      <c r="S601" s="200"/>
      <c r="T601" s="200"/>
      <c r="U601" s="200"/>
      <c r="V601" s="201"/>
      <c r="W601" s="201"/>
      <c r="X601" s="201"/>
      <c r="Y601" s="201"/>
      <c r="Z601" s="201"/>
      <c r="AA601" s="201"/>
      <c r="AB601" s="201"/>
      <c r="AC601" s="201"/>
      <c r="AD601" s="201"/>
      <c r="AE601" s="201"/>
      <c r="AF601" s="201"/>
      <c r="AG601" s="201"/>
    </row>
    <row r="602" spans="1:34" ht="15.95" customHeight="1">
      <c r="A602" s="36"/>
      <c r="B602" s="33"/>
      <c r="C602" s="33"/>
      <c r="D602" s="34"/>
      <c r="E602" s="34"/>
      <c r="F602" s="35"/>
      <c r="G602" s="34"/>
      <c r="H602" s="35"/>
      <c r="I602" s="35"/>
      <c r="J602" s="34"/>
      <c r="K602" s="34"/>
      <c r="L602" s="288"/>
      <c r="M602" s="35"/>
      <c r="N602" s="35"/>
      <c r="O602" s="34"/>
      <c r="P602" s="35"/>
      <c r="Q602" s="35"/>
      <c r="R602" s="34"/>
      <c r="S602" s="34"/>
      <c r="T602" s="34"/>
      <c r="U602" s="34"/>
      <c r="V602" s="36"/>
      <c r="W602" s="36"/>
      <c r="X602" s="36"/>
      <c r="Y602" s="36"/>
      <c r="Z602" s="36"/>
      <c r="AA602" s="36"/>
      <c r="AB602" s="36"/>
      <c r="AC602" s="36"/>
      <c r="AD602" s="36"/>
      <c r="AE602" s="36"/>
      <c r="AF602" s="36"/>
      <c r="AG602" s="36"/>
    </row>
    <row r="603" spans="1:34"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66"/>
      <c r="T603" s="867" t="str">
        <f>'$REV-DB'!$T$34</f>
        <v>UD1</v>
      </c>
      <c r="U603" s="867" t="str">
        <f>'$REV-DB'!$U$34</f>
        <v>UD2</v>
      </c>
      <c r="V603" s="867" t="str">
        <f>'$REV-DB'!$V$34</f>
        <v>UD3</v>
      </c>
      <c r="W603" s="867" t="str">
        <f>'$REV-DB'!$W$34</f>
        <v>UD4</v>
      </c>
      <c r="X603" s="867" t="str">
        <f>'$REV-DB'!$X$34</f>
        <v>UD5</v>
      </c>
      <c r="Y603" s="867" t="str">
        <f>'$REV-DB'!$Y$34</f>
        <v>UD6</v>
      </c>
      <c r="Z603" s="867" t="str">
        <f>'$REV-DB'!$Z$34</f>
        <v>UD7</v>
      </c>
      <c r="AA603" s="867" t="str">
        <f>'$REV-DB'!$AA$34</f>
        <v>UD8</v>
      </c>
      <c r="AB603" s="867" t="str">
        <f>'$REV-DB'!$AB$34</f>
        <v>UD9</v>
      </c>
      <c r="AC603" s="867" t="str">
        <f>'$REV-DB'!$AC$34</f>
        <v>UD10</v>
      </c>
      <c r="AD603" s="867" t="str">
        <f>'$REV-DB'!$AD$34</f>
        <v>UD11</v>
      </c>
      <c r="AE603" s="867" t="str">
        <f>'$REV-DB'!$AE$34</f>
        <v>UD12</v>
      </c>
      <c r="AF603" s="867" t="str">
        <f>'$REV-DB'!$AF$34</f>
        <v>UD13</v>
      </c>
      <c r="AG603" s="867" t="str">
        <f>'$REV-DB'!$AG$34</f>
        <v>UD14</v>
      </c>
    </row>
    <row r="604" spans="1:34" ht="15.95" customHeight="1" thickTop="1" thickBot="1">
      <c r="A604" s="7"/>
      <c r="B604" s="20" t="s">
        <v>4</v>
      </c>
      <c r="C604" s="15"/>
      <c r="D604" s="105" t="s">
        <v>186</v>
      </c>
      <c r="E604" s="105" t="s">
        <v>187</v>
      </c>
      <c r="F604" s="105" t="s">
        <v>188</v>
      </c>
      <c r="G604" s="105" t="s">
        <v>189</v>
      </c>
      <c r="H604" s="301" t="s">
        <v>11</v>
      </c>
      <c r="I604" s="301" t="s">
        <v>190</v>
      </c>
      <c r="J604" s="301" t="s">
        <v>191</v>
      </c>
      <c r="K604" s="301" t="s">
        <v>192</v>
      </c>
      <c r="L604" s="301" t="s">
        <v>203</v>
      </c>
      <c r="M604" s="301" t="s">
        <v>42</v>
      </c>
      <c r="N604" s="105" t="s">
        <v>148</v>
      </c>
      <c r="O604" s="105" t="s">
        <v>193</v>
      </c>
      <c r="P604" s="105" t="s">
        <v>142</v>
      </c>
      <c r="Q604" s="105" t="s">
        <v>194</v>
      </c>
      <c r="R604" s="112" t="s">
        <v>141</v>
      </c>
      <c r="S604" s="112" t="s">
        <v>672</v>
      </c>
      <c r="T604" s="857" t="s">
        <v>541</v>
      </c>
      <c r="U604" s="857" t="s">
        <v>542</v>
      </c>
      <c r="V604" s="857" t="s">
        <v>543</v>
      </c>
      <c r="W604" s="857" t="s">
        <v>544</v>
      </c>
      <c r="X604" s="857" t="s">
        <v>545</v>
      </c>
      <c r="Y604" s="857" t="s">
        <v>546</v>
      </c>
      <c r="Z604" s="857" t="s">
        <v>547</v>
      </c>
      <c r="AA604" s="857" t="s">
        <v>548</v>
      </c>
      <c r="AB604" s="857" t="s">
        <v>549</v>
      </c>
      <c r="AC604" s="857" t="s">
        <v>550</v>
      </c>
      <c r="AD604" s="857" t="s">
        <v>551</v>
      </c>
      <c r="AE604" s="857" t="s">
        <v>552</v>
      </c>
      <c r="AF604" s="857" t="s">
        <v>553</v>
      </c>
      <c r="AG604" s="857" t="s">
        <v>554</v>
      </c>
      <c r="AH604" s="6"/>
    </row>
    <row r="605" spans="1:34" ht="15.95" customHeight="1" thickTop="1">
      <c r="A605" s="7"/>
      <c r="B605" s="19" t="s">
        <v>143</v>
      </c>
      <c r="C605" s="12"/>
      <c r="D605" s="200"/>
      <c r="E605" s="200"/>
      <c r="F605" s="199"/>
      <c r="G605" s="200"/>
      <c r="H605" s="199"/>
      <c r="I605" s="199"/>
      <c r="J605" s="200"/>
      <c r="K605" s="200"/>
      <c r="L605" s="289" t="s">
        <v>34</v>
      </c>
      <c r="M605" s="199"/>
      <c r="N605" s="40" t="str">
        <f>J$6</f>
        <v>FY2010-11</v>
      </c>
      <c r="O605" s="40" t="s">
        <v>155</v>
      </c>
      <c r="P605" s="40" t="s">
        <v>138</v>
      </c>
      <c r="Q605" s="40" t="s">
        <v>179</v>
      </c>
      <c r="R605" s="200"/>
      <c r="S605" s="200"/>
      <c r="T605" s="200"/>
      <c r="U605" s="200"/>
      <c r="V605" s="201"/>
      <c r="W605" s="201"/>
      <c r="X605" s="201"/>
      <c r="Y605" s="201"/>
      <c r="Z605" s="201"/>
      <c r="AA605" s="201"/>
      <c r="AB605" s="201"/>
      <c r="AC605" s="201"/>
      <c r="AD605" s="201"/>
      <c r="AE605" s="201"/>
      <c r="AF605" s="201"/>
      <c r="AG605" s="201"/>
      <c r="AH605" s="6"/>
    </row>
    <row r="606" spans="1:34" ht="15.95" customHeight="1">
      <c r="A606" s="7"/>
      <c r="B606" s="16">
        <f>DSUM('$REV-DB'!D35:AG67,"AMOUNT",'$REV-DSUM'!D604:AG611)</f>
        <v>0</v>
      </c>
      <c r="C606" s="12"/>
      <c r="D606" s="200"/>
      <c r="E606" s="200"/>
      <c r="F606" s="199"/>
      <c r="G606" s="200"/>
      <c r="H606" s="199"/>
      <c r="I606" s="199"/>
      <c r="J606" s="200"/>
      <c r="K606" s="200"/>
      <c r="L606" s="289" t="s">
        <v>34</v>
      </c>
      <c r="M606" s="199"/>
      <c r="N606" s="40" t="str">
        <f t="shared" ref="N606:N611" si="59">J$6</f>
        <v>FY2010-11</v>
      </c>
      <c r="O606" s="40" t="s">
        <v>155</v>
      </c>
      <c r="P606" s="40" t="s">
        <v>138</v>
      </c>
      <c r="Q606" s="40" t="s">
        <v>179</v>
      </c>
      <c r="R606" s="200"/>
      <c r="S606" s="200"/>
      <c r="T606" s="200"/>
      <c r="U606" s="200"/>
      <c r="V606" s="201"/>
      <c r="W606" s="201"/>
      <c r="X606" s="201"/>
      <c r="Y606" s="201"/>
      <c r="Z606" s="201"/>
      <c r="AA606" s="201"/>
      <c r="AB606" s="201"/>
      <c r="AC606" s="201"/>
      <c r="AD606" s="201"/>
      <c r="AE606" s="201"/>
      <c r="AF606" s="201"/>
      <c r="AG606" s="201"/>
      <c r="AH606" s="6"/>
    </row>
    <row r="607" spans="1:34" ht="15.95" customHeight="1">
      <c r="A607" s="7"/>
      <c r="B607" s="10"/>
      <c r="C607" s="12"/>
      <c r="D607" s="200"/>
      <c r="E607" s="200"/>
      <c r="F607" s="199"/>
      <c r="G607" s="200"/>
      <c r="H607" s="199"/>
      <c r="I607" s="199"/>
      <c r="J607" s="200"/>
      <c r="K607" s="200"/>
      <c r="L607" s="289" t="s">
        <v>34</v>
      </c>
      <c r="M607" s="199"/>
      <c r="N607" s="40" t="str">
        <f t="shared" si="59"/>
        <v>FY2010-11</v>
      </c>
      <c r="O607" s="40" t="s">
        <v>155</v>
      </c>
      <c r="P607" s="40" t="s">
        <v>138</v>
      </c>
      <c r="Q607" s="40" t="s">
        <v>179</v>
      </c>
      <c r="R607" s="200"/>
      <c r="S607" s="200"/>
      <c r="T607" s="200"/>
      <c r="U607" s="200"/>
      <c r="V607" s="201"/>
      <c r="W607" s="201"/>
      <c r="X607" s="201"/>
      <c r="Y607" s="201"/>
      <c r="Z607" s="201"/>
      <c r="AA607" s="201"/>
      <c r="AB607" s="201"/>
      <c r="AC607" s="201"/>
      <c r="AD607" s="201"/>
      <c r="AE607" s="201"/>
      <c r="AF607" s="201"/>
      <c r="AG607" s="201"/>
    </row>
    <row r="608" spans="1:34" ht="15.95" customHeight="1">
      <c r="A608" s="7"/>
      <c r="B608" s="10"/>
      <c r="C608" s="12"/>
      <c r="D608" s="200"/>
      <c r="E608" s="200"/>
      <c r="F608" s="199"/>
      <c r="G608" s="200"/>
      <c r="H608" s="199"/>
      <c r="I608" s="199"/>
      <c r="J608" s="200"/>
      <c r="K608" s="200"/>
      <c r="L608" s="289" t="s">
        <v>34</v>
      </c>
      <c r="M608" s="199"/>
      <c r="N608" s="40" t="str">
        <f t="shared" si="59"/>
        <v>FY2010-11</v>
      </c>
      <c r="O608" s="40" t="s">
        <v>155</v>
      </c>
      <c r="P608" s="40" t="s">
        <v>138</v>
      </c>
      <c r="Q608" s="40" t="s">
        <v>179</v>
      </c>
      <c r="R608" s="200"/>
      <c r="S608" s="200"/>
      <c r="T608" s="200"/>
      <c r="U608" s="200"/>
      <c r="V608" s="201"/>
      <c r="W608" s="201"/>
      <c r="X608" s="201"/>
      <c r="Y608" s="201"/>
      <c r="Z608" s="201"/>
      <c r="AA608" s="201"/>
      <c r="AB608" s="201"/>
      <c r="AC608" s="201"/>
      <c r="AD608" s="201"/>
      <c r="AE608" s="201"/>
      <c r="AF608" s="201"/>
      <c r="AG608" s="201"/>
    </row>
    <row r="609" spans="1:34" ht="15.95" customHeight="1">
      <c r="A609" s="7"/>
      <c r="B609" s="10"/>
      <c r="C609" s="12"/>
      <c r="D609" s="200"/>
      <c r="E609" s="200"/>
      <c r="F609" s="199"/>
      <c r="G609" s="200"/>
      <c r="H609" s="199"/>
      <c r="I609" s="199"/>
      <c r="J609" s="200"/>
      <c r="K609" s="200"/>
      <c r="L609" s="289" t="s">
        <v>34</v>
      </c>
      <c r="M609" s="199"/>
      <c r="N609" s="40" t="str">
        <f t="shared" si="59"/>
        <v>FY2010-11</v>
      </c>
      <c r="O609" s="40" t="s">
        <v>155</v>
      </c>
      <c r="P609" s="40" t="s">
        <v>138</v>
      </c>
      <c r="Q609" s="40" t="s">
        <v>179</v>
      </c>
      <c r="R609" s="200"/>
      <c r="S609" s="200"/>
      <c r="T609" s="200"/>
      <c r="U609" s="200"/>
      <c r="V609" s="201"/>
      <c r="W609" s="201"/>
      <c r="X609" s="201"/>
      <c r="Y609" s="201"/>
      <c r="Z609" s="201"/>
      <c r="AA609" s="201"/>
      <c r="AB609" s="201"/>
      <c r="AC609" s="201"/>
      <c r="AD609" s="201"/>
      <c r="AE609" s="201"/>
      <c r="AF609" s="201"/>
      <c r="AG609" s="201"/>
    </row>
    <row r="610" spans="1:34" ht="15.95" customHeight="1">
      <c r="A610" s="7"/>
      <c r="B610" s="10"/>
      <c r="C610" s="12"/>
      <c r="D610" s="200"/>
      <c r="E610" s="200"/>
      <c r="F610" s="199"/>
      <c r="G610" s="200"/>
      <c r="H610" s="199"/>
      <c r="I610" s="199"/>
      <c r="J610" s="200"/>
      <c r="K610" s="200"/>
      <c r="L610" s="289" t="s">
        <v>34</v>
      </c>
      <c r="M610" s="199"/>
      <c r="N610" s="40" t="str">
        <f t="shared" si="59"/>
        <v>FY2010-11</v>
      </c>
      <c r="O610" s="40" t="s">
        <v>155</v>
      </c>
      <c r="P610" s="40" t="s">
        <v>138</v>
      </c>
      <c r="Q610" s="40" t="s">
        <v>179</v>
      </c>
      <c r="R610" s="200"/>
      <c r="S610" s="200"/>
      <c r="T610" s="200"/>
      <c r="U610" s="200"/>
      <c r="V610" s="201"/>
      <c r="W610" s="201"/>
      <c r="X610" s="201"/>
      <c r="Y610" s="201"/>
      <c r="Z610" s="201"/>
      <c r="AA610" s="201"/>
      <c r="AB610" s="201"/>
      <c r="AC610" s="201"/>
      <c r="AD610" s="201"/>
      <c r="AE610" s="201"/>
      <c r="AF610" s="201"/>
      <c r="AG610" s="201"/>
    </row>
    <row r="611" spans="1:34" ht="15.95" customHeight="1">
      <c r="A611" s="7"/>
      <c r="B611" s="10"/>
      <c r="C611" s="12"/>
      <c r="D611" s="200"/>
      <c r="E611" s="200"/>
      <c r="F611" s="199"/>
      <c r="G611" s="200"/>
      <c r="H611" s="199"/>
      <c r="I611" s="199"/>
      <c r="J611" s="200"/>
      <c r="K611" s="200"/>
      <c r="L611" s="289" t="s">
        <v>34</v>
      </c>
      <c r="M611" s="199"/>
      <c r="N611" s="40" t="str">
        <f t="shared" si="59"/>
        <v>FY2010-11</v>
      </c>
      <c r="O611" s="40" t="s">
        <v>155</v>
      </c>
      <c r="P611" s="40" t="s">
        <v>138</v>
      </c>
      <c r="Q611" s="40" t="s">
        <v>179</v>
      </c>
      <c r="R611" s="200"/>
      <c r="S611" s="200"/>
      <c r="T611" s="200"/>
      <c r="U611" s="200"/>
      <c r="V611" s="201"/>
      <c r="W611" s="201"/>
      <c r="X611" s="201"/>
      <c r="Y611" s="201"/>
      <c r="Z611" s="201"/>
      <c r="AA611" s="201"/>
      <c r="AB611" s="201"/>
      <c r="AC611" s="201"/>
      <c r="AD611" s="201"/>
      <c r="AE611" s="201"/>
      <c r="AF611" s="201"/>
      <c r="AG611" s="201"/>
    </row>
    <row r="612" spans="1:34" ht="15.95" customHeight="1">
      <c r="A612" s="36"/>
      <c r="B612" s="33"/>
      <c r="C612" s="33"/>
      <c r="D612" s="34"/>
      <c r="E612" s="34"/>
      <c r="F612" s="35"/>
      <c r="G612" s="34"/>
      <c r="H612" s="35"/>
      <c r="I612" s="35"/>
      <c r="J612" s="34"/>
      <c r="K612" s="34"/>
      <c r="L612" s="288"/>
      <c r="M612" s="35"/>
      <c r="N612" s="35"/>
      <c r="O612" s="34"/>
      <c r="P612" s="35"/>
      <c r="Q612" s="35"/>
      <c r="R612" s="34"/>
      <c r="S612" s="34"/>
      <c r="T612" s="34"/>
      <c r="U612" s="34"/>
      <c r="V612" s="36"/>
      <c r="W612" s="36"/>
      <c r="X612" s="36"/>
      <c r="Y612" s="36"/>
      <c r="Z612" s="36"/>
      <c r="AA612" s="36"/>
      <c r="AB612" s="36"/>
      <c r="AC612" s="36"/>
      <c r="AD612" s="36"/>
      <c r="AE612" s="36"/>
      <c r="AF612" s="36"/>
      <c r="AG612" s="36"/>
    </row>
    <row r="613" spans="1:34"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66"/>
      <c r="T613" s="867" t="str">
        <f>'$REV-DB'!$T$34</f>
        <v>UD1</v>
      </c>
      <c r="U613" s="867" t="str">
        <f>'$REV-DB'!$U$34</f>
        <v>UD2</v>
      </c>
      <c r="V613" s="867" t="str">
        <f>'$REV-DB'!$V$34</f>
        <v>UD3</v>
      </c>
      <c r="W613" s="867" t="str">
        <f>'$REV-DB'!$W$34</f>
        <v>UD4</v>
      </c>
      <c r="X613" s="867" t="str">
        <f>'$REV-DB'!$X$34</f>
        <v>UD5</v>
      </c>
      <c r="Y613" s="867" t="str">
        <f>'$REV-DB'!$Y$34</f>
        <v>UD6</v>
      </c>
      <c r="Z613" s="867" t="str">
        <f>'$REV-DB'!$Z$34</f>
        <v>UD7</v>
      </c>
      <c r="AA613" s="867" t="str">
        <f>'$REV-DB'!$AA$34</f>
        <v>UD8</v>
      </c>
      <c r="AB613" s="867" t="str">
        <f>'$REV-DB'!$AB$34</f>
        <v>UD9</v>
      </c>
      <c r="AC613" s="867" t="str">
        <f>'$REV-DB'!$AC$34</f>
        <v>UD10</v>
      </c>
      <c r="AD613" s="867" t="str">
        <f>'$REV-DB'!$AD$34</f>
        <v>UD11</v>
      </c>
      <c r="AE613" s="867" t="str">
        <f>'$REV-DB'!$AE$34</f>
        <v>UD12</v>
      </c>
      <c r="AF613" s="867" t="str">
        <f>'$REV-DB'!$AF$34</f>
        <v>UD13</v>
      </c>
      <c r="AG613" s="867" t="str">
        <f>'$REV-DB'!$AG$34</f>
        <v>UD14</v>
      </c>
    </row>
    <row r="614" spans="1:34" ht="15.95" customHeight="1" thickTop="1" thickBot="1">
      <c r="A614" s="7"/>
      <c r="B614" s="20" t="s">
        <v>4</v>
      </c>
      <c r="C614" s="15"/>
      <c r="D614" s="105" t="s">
        <v>186</v>
      </c>
      <c r="E614" s="105" t="s">
        <v>187</v>
      </c>
      <c r="F614" s="105" t="s">
        <v>188</v>
      </c>
      <c r="G614" s="105" t="s">
        <v>189</v>
      </c>
      <c r="H614" s="301" t="s">
        <v>11</v>
      </c>
      <c r="I614" s="301" t="s">
        <v>190</v>
      </c>
      <c r="J614" s="301" t="s">
        <v>191</v>
      </c>
      <c r="K614" s="301" t="s">
        <v>192</v>
      </c>
      <c r="L614" s="301" t="s">
        <v>203</v>
      </c>
      <c r="M614" s="301" t="s">
        <v>42</v>
      </c>
      <c r="N614" s="105" t="s">
        <v>148</v>
      </c>
      <c r="O614" s="105" t="s">
        <v>193</v>
      </c>
      <c r="P614" s="105" t="s">
        <v>142</v>
      </c>
      <c r="Q614" s="105" t="s">
        <v>194</v>
      </c>
      <c r="R614" s="112" t="s">
        <v>141</v>
      </c>
      <c r="S614" s="112" t="s">
        <v>672</v>
      </c>
      <c r="T614" s="857" t="s">
        <v>541</v>
      </c>
      <c r="U614" s="857" t="s">
        <v>542</v>
      </c>
      <c r="V614" s="857" t="s">
        <v>543</v>
      </c>
      <c r="W614" s="857" t="s">
        <v>544</v>
      </c>
      <c r="X614" s="857" t="s">
        <v>545</v>
      </c>
      <c r="Y614" s="857" t="s">
        <v>546</v>
      </c>
      <c r="Z614" s="857" t="s">
        <v>547</v>
      </c>
      <c r="AA614" s="857" t="s">
        <v>548</v>
      </c>
      <c r="AB614" s="857" t="s">
        <v>549</v>
      </c>
      <c r="AC614" s="857" t="s">
        <v>550</v>
      </c>
      <c r="AD614" s="857" t="s">
        <v>551</v>
      </c>
      <c r="AE614" s="857" t="s">
        <v>552</v>
      </c>
      <c r="AF614" s="857" t="s">
        <v>553</v>
      </c>
      <c r="AG614" s="857" t="s">
        <v>554</v>
      </c>
      <c r="AH614" s="6"/>
    </row>
    <row r="615" spans="1:34" ht="15.95" customHeight="1" thickTop="1">
      <c r="A615" s="7"/>
      <c r="B615" s="19" t="s">
        <v>149</v>
      </c>
      <c r="C615" s="12"/>
      <c r="D615" s="200"/>
      <c r="E615" s="200"/>
      <c r="F615" s="199"/>
      <c r="G615" s="200"/>
      <c r="H615" s="199"/>
      <c r="I615" s="199"/>
      <c r="J615" s="200"/>
      <c r="K615" s="200"/>
      <c r="L615" s="289" t="s">
        <v>34</v>
      </c>
      <c r="M615" s="199"/>
      <c r="N615" s="40" t="str">
        <f>J$6</f>
        <v>FY2010-11</v>
      </c>
      <c r="O615" s="40" t="s">
        <v>155</v>
      </c>
      <c r="P615" s="40" t="s">
        <v>138</v>
      </c>
      <c r="Q615" s="40" t="s">
        <v>2</v>
      </c>
      <c r="R615" s="200"/>
      <c r="S615" s="200"/>
      <c r="T615" s="200"/>
      <c r="U615" s="200"/>
      <c r="V615" s="201"/>
      <c r="W615" s="201"/>
      <c r="X615" s="201"/>
      <c r="Y615" s="201"/>
      <c r="Z615" s="201"/>
      <c r="AA615" s="201"/>
      <c r="AB615" s="201"/>
      <c r="AC615" s="201"/>
      <c r="AD615" s="201"/>
      <c r="AE615" s="201"/>
      <c r="AF615" s="201"/>
      <c r="AG615" s="201"/>
      <c r="AH615" s="6"/>
    </row>
    <row r="616" spans="1:34" ht="15.95" customHeight="1">
      <c r="A616" s="7"/>
      <c r="B616" s="16">
        <f>DSUM('$REV-DB'!D35:AG67,"AMOUNT",'$REV-DSUM'!D614:AG621)</f>
        <v>0</v>
      </c>
      <c r="C616" s="12"/>
      <c r="D616" s="200"/>
      <c r="E616" s="200"/>
      <c r="F616" s="199"/>
      <c r="G616" s="200"/>
      <c r="H616" s="199"/>
      <c r="I616" s="199"/>
      <c r="J616" s="200"/>
      <c r="K616" s="200"/>
      <c r="L616" s="289" t="s">
        <v>34</v>
      </c>
      <c r="M616" s="199"/>
      <c r="N616" s="40" t="str">
        <f t="shared" ref="N616:N621" si="60">J$6</f>
        <v>FY2010-11</v>
      </c>
      <c r="O616" s="40" t="s">
        <v>155</v>
      </c>
      <c r="P616" s="40" t="s">
        <v>138</v>
      </c>
      <c r="Q616" s="40" t="s">
        <v>2</v>
      </c>
      <c r="R616" s="200"/>
      <c r="S616" s="200"/>
      <c r="T616" s="200"/>
      <c r="U616" s="200"/>
      <c r="V616" s="201"/>
      <c r="W616" s="201"/>
      <c r="X616" s="201"/>
      <c r="Y616" s="201"/>
      <c r="Z616" s="201"/>
      <c r="AA616" s="201"/>
      <c r="AB616" s="201"/>
      <c r="AC616" s="201"/>
      <c r="AD616" s="201"/>
      <c r="AE616" s="201"/>
      <c r="AF616" s="201"/>
      <c r="AG616" s="201"/>
      <c r="AH616" s="6"/>
    </row>
    <row r="617" spans="1:34" ht="15.95" customHeight="1">
      <c r="A617" s="7"/>
      <c r="B617" s="10"/>
      <c r="C617" s="12"/>
      <c r="D617" s="200"/>
      <c r="E617" s="200"/>
      <c r="F617" s="199"/>
      <c r="G617" s="200"/>
      <c r="H617" s="199"/>
      <c r="I617" s="199"/>
      <c r="J617" s="200"/>
      <c r="K617" s="200"/>
      <c r="L617" s="289" t="s">
        <v>34</v>
      </c>
      <c r="M617" s="199"/>
      <c r="N617" s="40" t="str">
        <f t="shared" si="60"/>
        <v>FY2010-11</v>
      </c>
      <c r="O617" s="40" t="s">
        <v>155</v>
      </c>
      <c r="P617" s="40" t="s">
        <v>138</v>
      </c>
      <c r="Q617" s="40" t="s">
        <v>2</v>
      </c>
      <c r="R617" s="200"/>
      <c r="S617" s="200"/>
      <c r="T617" s="200"/>
      <c r="U617" s="200"/>
      <c r="V617" s="201"/>
      <c r="W617" s="201"/>
      <c r="X617" s="201"/>
      <c r="Y617" s="201"/>
      <c r="Z617" s="201"/>
      <c r="AA617" s="201"/>
      <c r="AB617" s="201"/>
      <c r="AC617" s="201"/>
      <c r="AD617" s="201"/>
      <c r="AE617" s="201"/>
      <c r="AF617" s="201"/>
      <c r="AG617" s="201"/>
    </row>
    <row r="618" spans="1:34" ht="15.95" customHeight="1">
      <c r="A618" s="7"/>
      <c r="B618" s="10"/>
      <c r="C618" s="12"/>
      <c r="D618" s="200"/>
      <c r="E618" s="200"/>
      <c r="F618" s="199"/>
      <c r="G618" s="200"/>
      <c r="H618" s="199"/>
      <c r="I618" s="199"/>
      <c r="J618" s="200"/>
      <c r="K618" s="200"/>
      <c r="L618" s="289" t="s">
        <v>34</v>
      </c>
      <c r="M618" s="199"/>
      <c r="N618" s="40" t="str">
        <f t="shared" si="60"/>
        <v>FY2010-11</v>
      </c>
      <c r="O618" s="40" t="s">
        <v>155</v>
      </c>
      <c r="P618" s="40" t="s">
        <v>138</v>
      </c>
      <c r="Q618" s="40" t="s">
        <v>2</v>
      </c>
      <c r="R618" s="200"/>
      <c r="S618" s="200"/>
      <c r="T618" s="200"/>
      <c r="U618" s="200"/>
      <c r="V618" s="201"/>
      <c r="W618" s="201"/>
      <c r="X618" s="201"/>
      <c r="Y618" s="201"/>
      <c r="Z618" s="201"/>
      <c r="AA618" s="201"/>
      <c r="AB618" s="201"/>
      <c r="AC618" s="201"/>
      <c r="AD618" s="201"/>
      <c r="AE618" s="201"/>
      <c r="AF618" s="201"/>
      <c r="AG618" s="201"/>
    </row>
    <row r="619" spans="1:34" ht="15.95" customHeight="1">
      <c r="A619" s="7"/>
      <c r="B619" s="10"/>
      <c r="C619" s="12"/>
      <c r="D619" s="200"/>
      <c r="E619" s="200"/>
      <c r="F619" s="199"/>
      <c r="G619" s="200"/>
      <c r="H619" s="199"/>
      <c r="I619" s="199"/>
      <c r="J619" s="200"/>
      <c r="K619" s="200"/>
      <c r="L619" s="289" t="s">
        <v>34</v>
      </c>
      <c r="M619" s="199"/>
      <c r="N619" s="40" t="str">
        <f t="shared" si="60"/>
        <v>FY2010-11</v>
      </c>
      <c r="O619" s="40" t="s">
        <v>155</v>
      </c>
      <c r="P619" s="40" t="s">
        <v>138</v>
      </c>
      <c r="Q619" s="40" t="s">
        <v>2</v>
      </c>
      <c r="R619" s="200"/>
      <c r="S619" s="200"/>
      <c r="T619" s="200"/>
      <c r="U619" s="200"/>
      <c r="V619" s="201"/>
      <c r="W619" s="201"/>
      <c r="X619" s="201"/>
      <c r="Y619" s="201"/>
      <c r="Z619" s="201"/>
      <c r="AA619" s="201"/>
      <c r="AB619" s="201"/>
      <c r="AC619" s="201"/>
      <c r="AD619" s="201"/>
      <c r="AE619" s="201"/>
      <c r="AF619" s="201"/>
      <c r="AG619" s="201"/>
    </row>
    <row r="620" spans="1:34" ht="15.95" customHeight="1">
      <c r="A620" s="7"/>
      <c r="B620" s="10"/>
      <c r="C620" s="12"/>
      <c r="D620" s="200"/>
      <c r="E620" s="200"/>
      <c r="F620" s="199"/>
      <c r="G620" s="200"/>
      <c r="H620" s="199"/>
      <c r="I620" s="199"/>
      <c r="J620" s="200"/>
      <c r="K620" s="200"/>
      <c r="L620" s="289" t="s">
        <v>34</v>
      </c>
      <c r="M620" s="199"/>
      <c r="N620" s="40" t="str">
        <f t="shared" si="60"/>
        <v>FY2010-11</v>
      </c>
      <c r="O620" s="40" t="s">
        <v>155</v>
      </c>
      <c r="P620" s="40" t="s">
        <v>138</v>
      </c>
      <c r="Q620" s="40" t="s">
        <v>2</v>
      </c>
      <c r="R620" s="200"/>
      <c r="S620" s="200"/>
      <c r="T620" s="200"/>
      <c r="U620" s="200"/>
      <c r="V620" s="201"/>
      <c r="W620" s="201"/>
      <c r="X620" s="201"/>
      <c r="Y620" s="201"/>
      <c r="Z620" s="201"/>
      <c r="AA620" s="201"/>
      <c r="AB620" s="201"/>
      <c r="AC620" s="201"/>
      <c r="AD620" s="201"/>
      <c r="AE620" s="201"/>
      <c r="AF620" s="201"/>
      <c r="AG620" s="201"/>
    </row>
    <row r="621" spans="1:34" ht="15.95" customHeight="1">
      <c r="A621" s="7"/>
      <c r="B621" s="10"/>
      <c r="C621" s="12"/>
      <c r="D621" s="200"/>
      <c r="E621" s="200"/>
      <c r="F621" s="199"/>
      <c r="G621" s="200"/>
      <c r="H621" s="199"/>
      <c r="I621" s="199"/>
      <c r="J621" s="200"/>
      <c r="K621" s="200"/>
      <c r="L621" s="289" t="s">
        <v>34</v>
      </c>
      <c r="M621" s="199"/>
      <c r="N621" s="40" t="str">
        <f t="shared" si="60"/>
        <v>FY2010-11</v>
      </c>
      <c r="O621" s="40" t="s">
        <v>155</v>
      </c>
      <c r="P621" s="40" t="s">
        <v>138</v>
      </c>
      <c r="Q621" s="40" t="s">
        <v>2</v>
      </c>
      <c r="R621" s="200"/>
      <c r="S621" s="200"/>
      <c r="T621" s="200"/>
      <c r="U621" s="200"/>
      <c r="V621" s="201"/>
      <c r="W621" s="201"/>
      <c r="X621" s="201"/>
      <c r="Y621" s="201"/>
      <c r="Z621" s="201"/>
      <c r="AA621" s="201"/>
      <c r="AB621" s="201"/>
      <c r="AC621" s="201"/>
      <c r="AD621" s="201"/>
      <c r="AE621" s="201"/>
      <c r="AF621" s="201"/>
      <c r="AG621" s="201"/>
    </row>
    <row r="622" spans="1:34" ht="15.95" customHeight="1">
      <c r="A622" s="36"/>
      <c r="B622" s="33"/>
      <c r="C622" s="33"/>
      <c r="D622" s="34"/>
      <c r="E622" s="34"/>
      <c r="F622" s="35"/>
      <c r="G622" s="34"/>
      <c r="H622" s="35"/>
      <c r="I622" s="35"/>
      <c r="J622" s="34"/>
      <c r="K622" s="34"/>
      <c r="L622" s="288"/>
      <c r="M622" s="35"/>
      <c r="N622" s="35"/>
      <c r="O622" s="34"/>
      <c r="P622" s="35"/>
      <c r="Q622" s="35"/>
      <c r="R622" s="34"/>
      <c r="S622" s="34"/>
      <c r="T622" s="34"/>
      <c r="U622" s="34"/>
      <c r="V622" s="36"/>
      <c r="W622" s="36"/>
      <c r="X622" s="36"/>
      <c r="Y622" s="36"/>
      <c r="Z622" s="36"/>
      <c r="AA622" s="36"/>
      <c r="AB622" s="36"/>
      <c r="AC622" s="36"/>
      <c r="AD622" s="36"/>
      <c r="AE622" s="36"/>
      <c r="AF622" s="36"/>
      <c r="AG622" s="36"/>
    </row>
    <row r="623" spans="1:34"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66"/>
      <c r="T623" s="867" t="str">
        <f>'$REV-DB'!$T$34</f>
        <v>UD1</v>
      </c>
      <c r="U623" s="867" t="str">
        <f>'$REV-DB'!$U$34</f>
        <v>UD2</v>
      </c>
      <c r="V623" s="867" t="str">
        <f>'$REV-DB'!$V$34</f>
        <v>UD3</v>
      </c>
      <c r="W623" s="867" t="str">
        <f>'$REV-DB'!$W$34</f>
        <v>UD4</v>
      </c>
      <c r="X623" s="867" t="str">
        <f>'$REV-DB'!$X$34</f>
        <v>UD5</v>
      </c>
      <c r="Y623" s="867" t="str">
        <f>'$REV-DB'!$Y$34</f>
        <v>UD6</v>
      </c>
      <c r="Z623" s="867" t="str">
        <f>'$REV-DB'!$Z$34</f>
        <v>UD7</v>
      </c>
      <c r="AA623" s="867" t="str">
        <f>'$REV-DB'!$AA$34</f>
        <v>UD8</v>
      </c>
      <c r="AB623" s="867" t="str">
        <f>'$REV-DB'!$AB$34</f>
        <v>UD9</v>
      </c>
      <c r="AC623" s="867" t="str">
        <f>'$REV-DB'!$AC$34</f>
        <v>UD10</v>
      </c>
      <c r="AD623" s="867" t="str">
        <f>'$REV-DB'!$AD$34</f>
        <v>UD11</v>
      </c>
      <c r="AE623" s="867" t="str">
        <f>'$REV-DB'!$AE$34</f>
        <v>UD12</v>
      </c>
      <c r="AF623" s="867" t="str">
        <f>'$REV-DB'!$AF$34</f>
        <v>UD13</v>
      </c>
      <c r="AG623" s="867" t="str">
        <f>'$REV-DB'!$AG$34</f>
        <v>UD14</v>
      </c>
    </row>
    <row r="624" spans="1:34" ht="15.95" customHeight="1" thickTop="1" thickBot="1">
      <c r="A624" s="7"/>
      <c r="B624" s="20" t="s">
        <v>4</v>
      </c>
      <c r="C624" s="15"/>
      <c r="D624" s="276" t="s">
        <v>186</v>
      </c>
      <c r="E624" s="276" t="s">
        <v>187</v>
      </c>
      <c r="F624" s="276" t="s">
        <v>188</v>
      </c>
      <c r="G624" s="276" t="s">
        <v>189</v>
      </c>
      <c r="H624" s="301" t="s">
        <v>11</v>
      </c>
      <c r="I624" s="301" t="s">
        <v>190</v>
      </c>
      <c r="J624" s="301" t="s">
        <v>191</v>
      </c>
      <c r="K624" s="301" t="s">
        <v>192</v>
      </c>
      <c r="L624" s="301" t="s">
        <v>203</v>
      </c>
      <c r="M624" s="301" t="s">
        <v>42</v>
      </c>
      <c r="N624" s="276" t="s">
        <v>148</v>
      </c>
      <c r="O624" s="276" t="s">
        <v>193</v>
      </c>
      <c r="P624" s="276" t="s">
        <v>142</v>
      </c>
      <c r="Q624" s="276" t="s">
        <v>194</v>
      </c>
      <c r="R624" s="112" t="s">
        <v>141</v>
      </c>
      <c r="S624" s="112" t="s">
        <v>672</v>
      </c>
      <c r="T624" s="857" t="s">
        <v>541</v>
      </c>
      <c r="U624" s="857" t="s">
        <v>542</v>
      </c>
      <c r="V624" s="857" t="s">
        <v>543</v>
      </c>
      <c r="W624" s="857" t="s">
        <v>544</v>
      </c>
      <c r="X624" s="857" t="s">
        <v>545</v>
      </c>
      <c r="Y624" s="857" t="s">
        <v>546</v>
      </c>
      <c r="Z624" s="857" t="s">
        <v>547</v>
      </c>
      <c r="AA624" s="857" t="s">
        <v>548</v>
      </c>
      <c r="AB624" s="857" t="s">
        <v>549</v>
      </c>
      <c r="AC624" s="857" t="s">
        <v>550</v>
      </c>
      <c r="AD624" s="857" t="s">
        <v>551</v>
      </c>
      <c r="AE624" s="857" t="s">
        <v>552</v>
      </c>
      <c r="AF624" s="857" t="s">
        <v>553</v>
      </c>
      <c r="AG624" s="857" t="s">
        <v>554</v>
      </c>
      <c r="AH624" s="6"/>
    </row>
    <row r="625" spans="1:34" ht="15.95" customHeight="1" thickTop="1">
      <c r="A625" s="7"/>
      <c r="B625" s="19" t="s">
        <v>364</v>
      </c>
      <c r="C625" s="12"/>
      <c r="D625" s="200"/>
      <c r="E625" s="200"/>
      <c r="F625" s="199"/>
      <c r="G625" s="200"/>
      <c r="H625" s="199"/>
      <c r="I625" s="199"/>
      <c r="J625" s="200"/>
      <c r="K625" s="200"/>
      <c r="L625" s="289" t="s">
        <v>34</v>
      </c>
      <c r="M625" s="199"/>
      <c r="N625" s="40" t="str">
        <f>J$6</f>
        <v>FY2010-11</v>
      </c>
      <c r="O625" s="40" t="s">
        <v>155</v>
      </c>
      <c r="P625" s="40" t="s">
        <v>138</v>
      </c>
      <c r="Q625" s="40" t="s">
        <v>70</v>
      </c>
      <c r="R625" s="200"/>
      <c r="S625" s="200"/>
      <c r="T625" s="200"/>
      <c r="U625" s="200"/>
      <c r="V625" s="201"/>
      <c r="W625" s="201"/>
      <c r="X625" s="201"/>
      <c r="Y625" s="201"/>
      <c r="Z625" s="201"/>
      <c r="AA625" s="201"/>
      <c r="AB625" s="201"/>
      <c r="AC625" s="201"/>
      <c r="AD625" s="201"/>
      <c r="AE625" s="201"/>
      <c r="AF625" s="201"/>
      <c r="AG625" s="201"/>
      <c r="AH625" s="6"/>
    </row>
    <row r="626" spans="1:34" ht="15.95" customHeight="1">
      <c r="A626" s="7"/>
      <c r="B626" s="16">
        <f>DSUM('$REV-DB'!D35:AG67,"AMOUNT",'$REV-DSUM'!D624:AG631)</f>
        <v>0</v>
      </c>
      <c r="C626" s="12"/>
      <c r="D626" s="200"/>
      <c r="E626" s="200"/>
      <c r="F626" s="199"/>
      <c r="G626" s="200"/>
      <c r="H626" s="199"/>
      <c r="I626" s="199"/>
      <c r="J626" s="200"/>
      <c r="K626" s="200"/>
      <c r="L626" s="289" t="s">
        <v>34</v>
      </c>
      <c r="M626" s="199"/>
      <c r="N626" s="40" t="str">
        <f t="shared" ref="N626:N631" si="61">J$6</f>
        <v>FY2010-11</v>
      </c>
      <c r="O626" s="40" t="s">
        <v>155</v>
      </c>
      <c r="P626" s="40" t="s">
        <v>138</v>
      </c>
      <c r="Q626" s="40" t="s">
        <v>70</v>
      </c>
      <c r="R626" s="200"/>
      <c r="S626" s="200"/>
      <c r="T626" s="200"/>
      <c r="U626" s="200"/>
      <c r="V626" s="201"/>
      <c r="W626" s="201"/>
      <c r="X626" s="201"/>
      <c r="Y626" s="201"/>
      <c r="Z626" s="201"/>
      <c r="AA626" s="201"/>
      <c r="AB626" s="201"/>
      <c r="AC626" s="201"/>
      <c r="AD626" s="201"/>
      <c r="AE626" s="201"/>
      <c r="AF626" s="201"/>
      <c r="AG626" s="201"/>
      <c r="AH626" s="6"/>
    </row>
    <row r="627" spans="1:34" ht="15.95" customHeight="1">
      <c r="A627" s="7"/>
      <c r="B627" s="10"/>
      <c r="C627" s="12"/>
      <c r="D627" s="200"/>
      <c r="E627" s="200"/>
      <c r="F627" s="199"/>
      <c r="G627" s="200"/>
      <c r="H627" s="199"/>
      <c r="I627" s="199"/>
      <c r="J627" s="200"/>
      <c r="K627" s="200"/>
      <c r="L627" s="289" t="s">
        <v>34</v>
      </c>
      <c r="M627" s="199"/>
      <c r="N627" s="40" t="str">
        <f t="shared" si="61"/>
        <v>FY2010-11</v>
      </c>
      <c r="O627" s="40" t="s">
        <v>155</v>
      </c>
      <c r="P627" s="40" t="s">
        <v>138</v>
      </c>
      <c r="Q627" s="40" t="s">
        <v>70</v>
      </c>
      <c r="R627" s="200"/>
      <c r="S627" s="200"/>
      <c r="T627" s="200"/>
      <c r="U627" s="200"/>
      <c r="V627" s="201"/>
      <c r="W627" s="201"/>
      <c r="X627" s="201"/>
      <c r="Y627" s="201"/>
      <c r="Z627" s="201"/>
      <c r="AA627" s="201"/>
      <c r="AB627" s="201"/>
      <c r="AC627" s="201"/>
      <c r="AD627" s="201"/>
      <c r="AE627" s="201"/>
      <c r="AF627" s="201"/>
      <c r="AG627" s="201"/>
    </row>
    <row r="628" spans="1:34" ht="15.95" customHeight="1">
      <c r="A628" s="7"/>
      <c r="B628" s="10"/>
      <c r="C628" s="12"/>
      <c r="D628" s="200"/>
      <c r="E628" s="200"/>
      <c r="F628" s="199"/>
      <c r="G628" s="200"/>
      <c r="H628" s="199"/>
      <c r="I628" s="199"/>
      <c r="J628" s="200"/>
      <c r="K628" s="200"/>
      <c r="L628" s="289" t="s">
        <v>34</v>
      </c>
      <c r="M628" s="199"/>
      <c r="N628" s="40" t="str">
        <f t="shared" si="61"/>
        <v>FY2010-11</v>
      </c>
      <c r="O628" s="40" t="s">
        <v>155</v>
      </c>
      <c r="P628" s="40" t="s">
        <v>138</v>
      </c>
      <c r="Q628" s="40" t="s">
        <v>70</v>
      </c>
      <c r="R628" s="200"/>
      <c r="S628" s="200"/>
      <c r="T628" s="200"/>
      <c r="U628" s="200"/>
      <c r="V628" s="201"/>
      <c r="W628" s="201"/>
      <c r="X628" s="201"/>
      <c r="Y628" s="201"/>
      <c r="Z628" s="201"/>
      <c r="AA628" s="201"/>
      <c r="AB628" s="201"/>
      <c r="AC628" s="201"/>
      <c r="AD628" s="201"/>
      <c r="AE628" s="201"/>
      <c r="AF628" s="201"/>
      <c r="AG628" s="201"/>
    </row>
    <row r="629" spans="1:34" ht="15.95" customHeight="1">
      <c r="A629" s="7"/>
      <c r="B629" s="10"/>
      <c r="C629" s="12"/>
      <c r="D629" s="200"/>
      <c r="E629" s="200"/>
      <c r="F629" s="199"/>
      <c r="G629" s="200"/>
      <c r="H629" s="199"/>
      <c r="I629" s="199"/>
      <c r="J629" s="200"/>
      <c r="K629" s="200"/>
      <c r="L629" s="289" t="s">
        <v>34</v>
      </c>
      <c r="M629" s="199"/>
      <c r="N629" s="40" t="str">
        <f t="shared" si="61"/>
        <v>FY2010-11</v>
      </c>
      <c r="O629" s="40" t="s">
        <v>155</v>
      </c>
      <c r="P629" s="40" t="s">
        <v>138</v>
      </c>
      <c r="Q629" s="40" t="s">
        <v>70</v>
      </c>
      <c r="R629" s="200"/>
      <c r="S629" s="200"/>
      <c r="T629" s="200"/>
      <c r="U629" s="200"/>
      <c r="V629" s="201"/>
      <c r="W629" s="201"/>
      <c r="X629" s="201"/>
      <c r="Y629" s="201"/>
      <c r="Z629" s="201"/>
      <c r="AA629" s="201"/>
      <c r="AB629" s="201"/>
      <c r="AC629" s="201"/>
      <c r="AD629" s="201"/>
      <c r="AE629" s="201"/>
      <c r="AF629" s="201"/>
      <c r="AG629" s="201"/>
    </row>
    <row r="630" spans="1:34" ht="15.95" customHeight="1">
      <c r="A630" s="7"/>
      <c r="B630" s="10"/>
      <c r="C630" s="12"/>
      <c r="D630" s="200"/>
      <c r="E630" s="200"/>
      <c r="F630" s="199"/>
      <c r="G630" s="200"/>
      <c r="H630" s="199"/>
      <c r="I630" s="199"/>
      <c r="J630" s="200"/>
      <c r="K630" s="200"/>
      <c r="L630" s="289" t="s">
        <v>34</v>
      </c>
      <c r="M630" s="199"/>
      <c r="N630" s="40" t="str">
        <f t="shared" si="61"/>
        <v>FY2010-11</v>
      </c>
      <c r="O630" s="40" t="s">
        <v>155</v>
      </c>
      <c r="P630" s="40" t="s">
        <v>138</v>
      </c>
      <c r="Q630" s="40" t="s">
        <v>70</v>
      </c>
      <c r="R630" s="200"/>
      <c r="S630" s="200"/>
      <c r="T630" s="200"/>
      <c r="U630" s="200"/>
      <c r="V630" s="201"/>
      <c r="W630" s="201"/>
      <c r="X630" s="201"/>
      <c r="Y630" s="201"/>
      <c r="Z630" s="201"/>
      <c r="AA630" s="201"/>
      <c r="AB630" s="201"/>
      <c r="AC630" s="201"/>
      <c r="AD630" s="201"/>
      <c r="AE630" s="201"/>
      <c r="AF630" s="201"/>
      <c r="AG630" s="201"/>
    </row>
    <row r="631" spans="1:34" ht="15.95" customHeight="1">
      <c r="A631" s="7"/>
      <c r="B631" s="10"/>
      <c r="C631" s="12"/>
      <c r="D631" s="200"/>
      <c r="E631" s="200"/>
      <c r="F631" s="199"/>
      <c r="G631" s="200"/>
      <c r="H631" s="199"/>
      <c r="I631" s="199"/>
      <c r="J631" s="200"/>
      <c r="K631" s="200"/>
      <c r="L631" s="289" t="s">
        <v>34</v>
      </c>
      <c r="M631" s="199"/>
      <c r="N631" s="40" t="str">
        <f t="shared" si="61"/>
        <v>FY2010-11</v>
      </c>
      <c r="O631" s="40" t="s">
        <v>155</v>
      </c>
      <c r="P631" s="40" t="s">
        <v>138</v>
      </c>
      <c r="Q631" s="40" t="s">
        <v>70</v>
      </c>
      <c r="R631" s="200"/>
      <c r="S631" s="200"/>
      <c r="T631" s="200"/>
      <c r="U631" s="200"/>
      <c r="V631" s="201"/>
      <c r="W631" s="201"/>
      <c r="X631" s="201"/>
      <c r="Y631" s="201"/>
      <c r="Z631" s="201"/>
      <c r="AA631" s="201"/>
      <c r="AB631" s="201"/>
      <c r="AC631" s="201"/>
      <c r="AD631" s="201"/>
      <c r="AE631" s="201"/>
      <c r="AF631" s="201"/>
      <c r="AG631" s="201"/>
    </row>
    <row r="632" spans="1:34" ht="15.95" customHeight="1">
      <c r="A632" s="36"/>
      <c r="B632" s="33"/>
      <c r="C632" s="33"/>
      <c r="D632" s="34"/>
      <c r="E632" s="34"/>
      <c r="F632" s="35"/>
      <c r="G632" s="34"/>
      <c r="H632" s="35"/>
      <c r="I632" s="35"/>
      <c r="J632" s="34"/>
      <c r="K632" s="34"/>
      <c r="L632" s="288"/>
      <c r="M632" s="35"/>
      <c r="N632" s="35"/>
      <c r="O632" s="34"/>
      <c r="P632" s="35"/>
      <c r="Q632" s="35"/>
      <c r="R632" s="34"/>
      <c r="S632" s="34"/>
      <c r="T632" s="34"/>
      <c r="U632" s="34"/>
      <c r="V632" s="36"/>
      <c r="W632" s="36"/>
      <c r="X632" s="36"/>
      <c r="Y632" s="36"/>
      <c r="Z632" s="36"/>
      <c r="AA632" s="36"/>
      <c r="AB632" s="36"/>
      <c r="AC632" s="36"/>
      <c r="AD632" s="36"/>
      <c r="AE632" s="36"/>
      <c r="AF632" s="36"/>
      <c r="AG632" s="36"/>
    </row>
    <row r="633" spans="1:34"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66"/>
      <c r="T633" s="867" t="str">
        <f>'$REV-DB'!$T$34</f>
        <v>UD1</v>
      </c>
      <c r="U633" s="867" t="str">
        <f>'$REV-DB'!$U$34</f>
        <v>UD2</v>
      </c>
      <c r="V633" s="867" t="str">
        <f>'$REV-DB'!$V$34</f>
        <v>UD3</v>
      </c>
      <c r="W633" s="867" t="str">
        <f>'$REV-DB'!$W$34</f>
        <v>UD4</v>
      </c>
      <c r="X633" s="867" t="str">
        <f>'$REV-DB'!$X$34</f>
        <v>UD5</v>
      </c>
      <c r="Y633" s="867" t="str">
        <f>'$REV-DB'!$Y$34</f>
        <v>UD6</v>
      </c>
      <c r="Z633" s="867" t="str">
        <f>'$REV-DB'!$Z$34</f>
        <v>UD7</v>
      </c>
      <c r="AA633" s="867" t="str">
        <f>'$REV-DB'!$AA$34</f>
        <v>UD8</v>
      </c>
      <c r="AB633" s="867" t="str">
        <f>'$REV-DB'!$AB$34</f>
        <v>UD9</v>
      </c>
      <c r="AC633" s="867" t="str">
        <f>'$REV-DB'!$AC$34</f>
        <v>UD10</v>
      </c>
      <c r="AD633" s="867" t="str">
        <f>'$REV-DB'!$AD$34</f>
        <v>UD11</v>
      </c>
      <c r="AE633" s="867" t="str">
        <f>'$REV-DB'!$AE$34</f>
        <v>UD12</v>
      </c>
      <c r="AF633" s="867" t="str">
        <f>'$REV-DB'!$AF$34</f>
        <v>UD13</v>
      </c>
      <c r="AG633" s="867" t="str">
        <f>'$REV-DB'!$AG$34</f>
        <v>UD14</v>
      </c>
    </row>
    <row r="634" spans="1:34" ht="15.95" customHeight="1" thickTop="1" thickBot="1">
      <c r="A634" s="7"/>
      <c r="B634" s="20" t="s">
        <v>4</v>
      </c>
      <c r="C634" s="15"/>
      <c r="D634" s="105" t="s">
        <v>186</v>
      </c>
      <c r="E634" s="105" t="s">
        <v>187</v>
      </c>
      <c r="F634" s="105" t="s">
        <v>188</v>
      </c>
      <c r="G634" s="105" t="s">
        <v>189</v>
      </c>
      <c r="H634" s="301" t="s">
        <v>11</v>
      </c>
      <c r="I634" s="301" t="s">
        <v>190</v>
      </c>
      <c r="J634" s="301" t="s">
        <v>191</v>
      </c>
      <c r="K634" s="301" t="s">
        <v>192</v>
      </c>
      <c r="L634" s="301" t="s">
        <v>203</v>
      </c>
      <c r="M634" s="301" t="s">
        <v>42</v>
      </c>
      <c r="N634" s="105" t="s">
        <v>148</v>
      </c>
      <c r="O634" s="105" t="s">
        <v>193</v>
      </c>
      <c r="P634" s="105" t="s">
        <v>142</v>
      </c>
      <c r="Q634" s="105" t="s">
        <v>194</v>
      </c>
      <c r="R634" s="112" t="s">
        <v>141</v>
      </c>
      <c r="S634" s="112" t="s">
        <v>540</v>
      </c>
      <c r="T634" s="857" t="s">
        <v>541</v>
      </c>
      <c r="U634" s="857" t="s">
        <v>542</v>
      </c>
      <c r="V634" s="857" t="s">
        <v>543</v>
      </c>
      <c r="W634" s="857" t="s">
        <v>544</v>
      </c>
      <c r="X634" s="857" t="s">
        <v>545</v>
      </c>
      <c r="Y634" s="857" t="s">
        <v>546</v>
      </c>
      <c r="Z634" s="857" t="s">
        <v>547</v>
      </c>
      <c r="AA634" s="857" t="s">
        <v>548</v>
      </c>
      <c r="AB634" s="857" t="s">
        <v>549</v>
      </c>
      <c r="AC634" s="857" t="s">
        <v>550</v>
      </c>
      <c r="AD634" s="857" t="s">
        <v>551</v>
      </c>
      <c r="AE634" s="857" t="s">
        <v>552</v>
      </c>
      <c r="AF634" s="857" t="s">
        <v>553</v>
      </c>
      <c r="AG634" s="857" t="s">
        <v>554</v>
      </c>
      <c r="AH634" s="6"/>
    </row>
    <row r="635" spans="1:34" ht="15.95" customHeight="1" thickTop="1">
      <c r="A635" s="7"/>
      <c r="B635" s="19" t="s">
        <v>150</v>
      </c>
      <c r="C635" s="12"/>
      <c r="D635" s="200"/>
      <c r="E635" s="200"/>
      <c r="F635" s="199"/>
      <c r="G635" s="200"/>
      <c r="H635" s="199"/>
      <c r="I635" s="199"/>
      <c r="J635" s="200"/>
      <c r="K635" s="200"/>
      <c r="L635" s="289" t="s">
        <v>34</v>
      </c>
      <c r="M635" s="199"/>
      <c r="N635" s="40" t="str">
        <f>J$6</f>
        <v>FY2010-11</v>
      </c>
      <c r="O635" s="40" t="s">
        <v>155</v>
      </c>
      <c r="P635" s="40" t="s">
        <v>138</v>
      </c>
      <c r="Q635" s="40" t="s">
        <v>140</v>
      </c>
      <c r="R635" s="200"/>
      <c r="S635" s="200"/>
      <c r="T635" s="200"/>
      <c r="U635" s="200"/>
      <c r="V635" s="201"/>
      <c r="W635" s="201"/>
      <c r="X635" s="201"/>
      <c r="Y635" s="201"/>
      <c r="Z635" s="201"/>
      <c r="AA635" s="201"/>
      <c r="AB635" s="201"/>
      <c r="AC635" s="201"/>
      <c r="AD635" s="201"/>
      <c r="AE635" s="201"/>
      <c r="AF635" s="201"/>
      <c r="AG635" s="201"/>
      <c r="AH635" s="6"/>
    </row>
    <row r="636" spans="1:34" ht="15.95" customHeight="1">
      <c r="A636" s="7"/>
      <c r="B636" s="16">
        <f>DSUM('$REV-DB'!D35:AG67,"AMOUNT",'$REV-DSUM'!D634:AG641)</f>
        <v>0</v>
      </c>
      <c r="C636" s="12"/>
      <c r="D636" s="200"/>
      <c r="E636" s="200"/>
      <c r="F636" s="199"/>
      <c r="G636" s="200"/>
      <c r="H636" s="199"/>
      <c r="I636" s="199"/>
      <c r="J636" s="200"/>
      <c r="K636" s="200"/>
      <c r="L636" s="289" t="s">
        <v>34</v>
      </c>
      <c r="M636" s="199"/>
      <c r="N636" s="40" t="str">
        <f t="shared" ref="N636:N641" si="62">J$6</f>
        <v>FY2010-11</v>
      </c>
      <c r="O636" s="40" t="s">
        <v>155</v>
      </c>
      <c r="P636" s="40" t="s">
        <v>138</v>
      </c>
      <c r="Q636" s="40" t="s">
        <v>140</v>
      </c>
      <c r="R636" s="200"/>
      <c r="S636" s="200"/>
      <c r="T636" s="200"/>
      <c r="U636" s="200"/>
      <c r="V636" s="201"/>
      <c r="W636" s="201"/>
      <c r="X636" s="201"/>
      <c r="Y636" s="201"/>
      <c r="Z636" s="201"/>
      <c r="AA636" s="201"/>
      <c r="AB636" s="201"/>
      <c r="AC636" s="201"/>
      <c r="AD636" s="201"/>
      <c r="AE636" s="201"/>
      <c r="AF636" s="201"/>
      <c r="AG636" s="201"/>
      <c r="AH636" s="6"/>
    </row>
    <row r="637" spans="1:34" ht="15.95" customHeight="1">
      <c r="A637" s="7"/>
      <c r="B637" s="10"/>
      <c r="C637" s="12"/>
      <c r="D637" s="200"/>
      <c r="E637" s="200"/>
      <c r="F637" s="199"/>
      <c r="G637" s="200"/>
      <c r="H637" s="199"/>
      <c r="I637" s="199"/>
      <c r="J637" s="200"/>
      <c r="K637" s="200"/>
      <c r="L637" s="289" t="s">
        <v>34</v>
      </c>
      <c r="M637" s="199"/>
      <c r="N637" s="40" t="str">
        <f t="shared" si="62"/>
        <v>FY2010-11</v>
      </c>
      <c r="O637" s="40" t="s">
        <v>155</v>
      </c>
      <c r="P637" s="40" t="s">
        <v>138</v>
      </c>
      <c r="Q637" s="40" t="s">
        <v>140</v>
      </c>
      <c r="R637" s="200"/>
      <c r="S637" s="200"/>
      <c r="T637" s="200"/>
      <c r="U637" s="200"/>
      <c r="V637" s="201"/>
      <c r="W637" s="201"/>
      <c r="X637" s="201"/>
      <c r="Y637" s="201"/>
      <c r="Z637" s="201"/>
      <c r="AA637" s="201"/>
      <c r="AB637" s="201"/>
      <c r="AC637" s="201"/>
      <c r="AD637" s="201"/>
      <c r="AE637" s="201"/>
      <c r="AF637" s="201"/>
      <c r="AG637" s="201"/>
    </row>
    <row r="638" spans="1:34" ht="15.95" customHeight="1">
      <c r="A638" s="7"/>
      <c r="B638" s="10"/>
      <c r="C638" s="12"/>
      <c r="D638" s="200"/>
      <c r="E638" s="200"/>
      <c r="F638" s="199"/>
      <c r="G638" s="200"/>
      <c r="H638" s="199"/>
      <c r="I638" s="199"/>
      <c r="J638" s="200"/>
      <c r="K638" s="200"/>
      <c r="L638" s="289" t="s">
        <v>34</v>
      </c>
      <c r="M638" s="199"/>
      <c r="N638" s="40" t="str">
        <f t="shared" si="62"/>
        <v>FY2010-11</v>
      </c>
      <c r="O638" s="40" t="s">
        <v>155</v>
      </c>
      <c r="P638" s="40" t="s">
        <v>138</v>
      </c>
      <c r="Q638" s="40" t="s">
        <v>140</v>
      </c>
      <c r="R638" s="200"/>
      <c r="S638" s="200"/>
      <c r="T638" s="200"/>
      <c r="U638" s="200"/>
      <c r="V638" s="201"/>
      <c r="W638" s="201"/>
      <c r="X638" s="201"/>
      <c r="Y638" s="201"/>
      <c r="Z638" s="201"/>
      <c r="AA638" s="201"/>
      <c r="AB638" s="201"/>
      <c r="AC638" s="201"/>
      <c r="AD638" s="201"/>
      <c r="AE638" s="201"/>
      <c r="AF638" s="201"/>
      <c r="AG638" s="201"/>
    </row>
    <row r="639" spans="1:34" ht="15.95" customHeight="1">
      <c r="A639" s="7"/>
      <c r="B639" s="10"/>
      <c r="C639" s="12"/>
      <c r="D639" s="200"/>
      <c r="E639" s="200"/>
      <c r="F639" s="199"/>
      <c r="G639" s="200"/>
      <c r="H639" s="199"/>
      <c r="I639" s="199"/>
      <c r="J639" s="200"/>
      <c r="K639" s="200"/>
      <c r="L639" s="289" t="s">
        <v>34</v>
      </c>
      <c r="M639" s="199"/>
      <c r="N639" s="40" t="str">
        <f t="shared" si="62"/>
        <v>FY2010-11</v>
      </c>
      <c r="O639" s="40" t="s">
        <v>155</v>
      </c>
      <c r="P639" s="40" t="s">
        <v>138</v>
      </c>
      <c r="Q639" s="40" t="s">
        <v>140</v>
      </c>
      <c r="R639" s="200"/>
      <c r="S639" s="200"/>
      <c r="T639" s="200"/>
      <c r="U639" s="200"/>
      <c r="V639" s="201"/>
      <c r="W639" s="201"/>
      <c r="X639" s="201"/>
      <c r="Y639" s="201"/>
      <c r="Z639" s="201"/>
      <c r="AA639" s="201"/>
      <c r="AB639" s="201"/>
      <c r="AC639" s="201"/>
      <c r="AD639" s="201"/>
      <c r="AE639" s="201"/>
      <c r="AF639" s="201"/>
      <c r="AG639" s="201"/>
    </row>
    <row r="640" spans="1:34" ht="15.95" customHeight="1">
      <c r="A640" s="7"/>
      <c r="B640" s="10"/>
      <c r="C640" s="12"/>
      <c r="D640" s="200"/>
      <c r="E640" s="200"/>
      <c r="F640" s="199"/>
      <c r="G640" s="200"/>
      <c r="H640" s="199"/>
      <c r="I640" s="199"/>
      <c r="J640" s="200"/>
      <c r="K640" s="200"/>
      <c r="L640" s="289" t="s">
        <v>34</v>
      </c>
      <c r="M640" s="199"/>
      <c r="N640" s="40" t="str">
        <f t="shared" si="62"/>
        <v>FY2010-11</v>
      </c>
      <c r="O640" s="40" t="s">
        <v>155</v>
      </c>
      <c r="P640" s="40" t="s">
        <v>138</v>
      </c>
      <c r="Q640" s="40" t="s">
        <v>140</v>
      </c>
      <c r="R640" s="200"/>
      <c r="S640" s="200"/>
      <c r="T640" s="200"/>
      <c r="U640" s="200"/>
      <c r="V640" s="201"/>
      <c r="W640" s="201"/>
      <c r="X640" s="201"/>
      <c r="Y640" s="201"/>
      <c r="Z640" s="201"/>
      <c r="AA640" s="201"/>
      <c r="AB640" s="201"/>
      <c r="AC640" s="201"/>
      <c r="AD640" s="201"/>
      <c r="AE640" s="201"/>
      <c r="AF640" s="201"/>
      <c r="AG640" s="201"/>
    </row>
    <row r="641" spans="1:34" ht="15.95" customHeight="1">
      <c r="A641" s="7"/>
      <c r="B641" s="10"/>
      <c r="C641" s="12"/>
      <c r="D641" s="200"/>
      <c r="E641" s="200"/>
      <c r="F641" s="199"/>
      <c r="G641" s="200"/>
      <c r="H641" s="199"/>
      <c r="I641" s="199"/>
      <c r="J641" s="200"/>
      <c r="K641" s="200"/>
      <c r="L641" s="289" t="s">
        <v>34</v>
      </c>
      <c r="M641" s="199"/>
      <c r="N641" s="40" t="str">
        <f t="shared" si="62"/>
        <v>FY2010-11</v>
      </c>
      <c r="O641" s="40" t="s">
        <v>155</v>
      </c>
      <c r="P641" s="40" t="s">
        <v>138</v>
      </c>
      <c r="Q641" s="40" t="s">
        <v>140</v>
      </c>
      <c r="R641" s="200"/>
      <c r="S641" s="200"/>
      <c r="T641" s="200"/>
      <c r="U641" s="200"/>
      <c r="V641" s="201"/>
      <c r="W641" s="201"/>
      <c r="X641" s="201"/>
      <c r="Y641" s="201"/>
      <c r="Z641" s="201"/>
      <c r="AA641" s="201"/>
      <c r="AB641" s="201"/>
      <c r="AC641" s="201"/>
      <c r="AD641" s="201"/>
      <c r="AE641" s="201"/>
      <c r="AF641" s="201"/>
      <c r="AG641" s="201"/>
    </row>
    <row r="642" spans="1:34" ht="15.95" customHeight="1">
      <c r="A642" s="36"/>
      <c r="B642" s="33"/>
      <c r="C642" s="33"/>
      <c r="D642" s="34"/>
      <c r="E642" s="34"/>
      <c r="F642" s="35"/>
      <c r="G642" s="34"/>
      <c r="H642" s="35"/>
      <c r="I642" s="35"/>
      <c r="J642" s="34"/>
      <c r="K642" s="34"/>
      <c r="L642" s="288"/>
      <c r="M642" s="35"/>
      <c r="N642" s="35"/>
      <c r="O642" s="34"/>
      <c r="P642" s="35"/>
      <c r="Q642" s="35"/>
      <c r="R642" s="34"/>
      <c r="S642" s="34"/>
      <c r="T642" s="34"/>
      <c r="U642" s="34"/>
      <c r="V642" s="36"/>
      <c r="W642" s="36"/>
      <c r="X642" s="36"/>
      <c r="Y642" s="36"/>
      <c r="Z642" s="36"/>
      <c r="AA642" s="36"/>
      <c r="AB642" s="36"/>
      <c r="AC642" s="36"/>
      <c r="AD642" s="36"/>
      <c r="AE642" s="36"/>
      <c r="AF642" s="36"/>
      <c r="AG642" s="36"/>
    </row>
    <row r="643" spans="1:34"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66"/>
      <c r="T643" s="867" t="str">
        <f>'$REV-DB'!$T$34</f>
        <v>UD1</v>
      </c>
      <c r="U643" s="867" t="str">
        <f>'$REV-DB'!$U$34</f>
        <v>UD2</v>
      </c>
      <c r="V643" s="867" t="str">
        <f>'$REV-DB'!$V$34</f>
        <v>UD3</v>
      </c>
      <c r="W643" s="867" t="str">
        <f>'$REV-DB'!$W$34</f>
        <v>UD4</v>
      </c>
      <c r="X643" s="867" t="str">
        <f>'$REV-DB'!$X$34</f>
        <v>UD5</v>
      </c>
      <c r="Y643" s="867" t="str">
        <f>'$REV-DB'!$Y$34</f>
        <v>UD6</v>
      </c>
      <c r="Z643" s="867" t="str">
        <f>'$REV-DB'!$Z$34</f>
        <v>UD7</v>
      </c>
      <c r="AA643" s="867" t="str">
        <f>'$REV-DB'!$AA$34</f>
        <v>UD8</v>
      </c>
      <c r="AB643" s="867" t="str">
        <f>'$REV-DB'!$AB$34</f>
        <v>UD9</v>
      </c>
      <c r="AC643" s="867" t="str">
        <f>'$REV-DB'!$AC$34</f>
        <v>UD10</v>
      </c>
      <c r="AD643" s="867" t="str">
        <f>'$REV-DB'!$AD$34</f>
        <v>UD11</v>
      </c>
      <c r="AE643" s="867" t="str">
        <f>'$REV-DB'!$AE$34</f>
        <v>UD12</v>
      </c>
      <c r="AF643" s="867" t="str">
        <f>'$REV-DB'!$AF$34</f>
        <v>UD13</v>
      </c>
      <c r="AG643" s="867" t="str">
        <f>'$REV-DB'!$AG$34</f>
        <v>UD14</v>
      </c>
    </row>
    <row r="644" spans="1:34" ht="15.95" customHeight="1" thickTop="1" thickBot="1">
      <c r="A644" s="7"/>
      <c r="B644" s="20" t="s">
        <v>175</v>
      </c>
      <c r="C644" s="15"/>
      <c r="D644" s="105" t="s">
        <v>186</v>
      </c>
      <c r="E644" s="105" t="s">
        <v>187</v>
      </c>
      <c r="F644" s="105" t="s">
        <v>188</v>
      </c>
      <c r="G644" s="105" t="s">
        <v>189</v>
      </c>
      <c r="H644" s="301" t="s">
        <v>11</v>
      </c>
      <c r="I644" s="301" t="s">
        <v>190</v>
      </c>
      <c r="J644" s="301" t="s">
        <v>191</v>
      </c>
      <c r="K644" s="301" t="s">
        <v>192</v>
      </c>
      <c r="L644" s="301" t="s">
        <v>203</v>
      </c>
      <c r="M644" s="301" t="s">
        <v>42</v>
      </c>
      <c r="N644" s="105" t="s">
        <v>148</v>
      </c>
      <c r="O644" s="105" t="s">
        <v>193</v>
      </c>
      <c r="P644" s="105" t="s">
        <v>142</v>
      </c>
      <c r="Q644" s="105" t="s">
        <v>194</v>
      </c>
      <c r="R644" s="112" t="s">
        <v>141</v>
      </c>
      <c r="S644" s="112" t="s">
        <v>672</v>
      </c>
      <c r="T644" s="857" t="s">
        <v>541</v>
      </c>
      <c r="U644" s="857" t="s">
        <v>542</v>
      </c>
      <c r="V644" s="857" t="s">
        <v>543</v>
      </c>
      <c r="W644" s="857" t="s">
        <v>544</v>
      </c>
      <c r="X644" s="857" t="s">
        <v>545</v>
      </c>
      <c r="Y644" s="857" t="s">
        <v>546</v>
      </c>
      <c r="Z644" s="857" t="s">
        <v>547</v>
      </c>
      <c r="AA644" s="857" t="s">
        <v>548</v>
      </c>
      <c r="AB644" s="857" t="s">
        <v>549</v>
      </c>
      <c r="AC644" s="857" t="s">
        <v>550</v>
      </c>
      <c r="AD644" s="857" t="s">
        <v>551</v>
      </c>
      <c r="AE644" s="857" t="s">
        <v>552</v>
      </c>
      <c r="AF644" s="857" t="s">
        <v>553</v>
      </c>
      <c r="AG644" s="857" t="s">
        <v>554</v>
      </c>
      <c r="AH644" s="6"/>
    </row>
    <row r="645" spans="1:34" ht="15.95" customHeight="1" thickTop="1">
      <c r="A645" s="7"/>
      <c r="B645" s="19" t="s">
        <v>146</v>
      </c>
      <c r="C645" s="12"/>
      <c r="D645" s="200"/>
      <c r="E645" s="200"/>
      <c r="F645" s="199"/>
      <c r="G645" s="200"/>
      <c r="H645" s="199"/>
      <c r="I645" s="199"/>
      <c r="J645" s="200"/>
      <c r="K645" s="200"/>
      <c r="L645" s="289" t="s">
        <v>34</v>
      </c>
      <c r="M645" s="199"/>
      <c r="N645" s="40" t="str">
        <f>J$6</f>
        <v>FY2010-11</v>
      </c>
      <c r="O645" s="40" t="s">
        <v>155</v>
      </c>
      <c r="P645" s="40" t="s">
        <v>147</v>
      </c>
      <c r="Q645" s="40"/>
      <c r="R645" s="200"/>
      <c r="S645" s="200"/>
      <c r="T645" s="200"/>
      <c r="U645" s="200"/>
      <c r="V645" s="201"/>
      <c r="W645" s="201"/>
      <c r="X645" s="201"/>
      <c r="Y645" s="201"/>
      <c r="Z645" s="201"/>
      <c r="AA645" s="201"/>
      <c r="AB645" s="201"/>
      <c r="AC645" s="201"/>
      <c r="AD645" s="201"/>
      <c r="AE645" s="201"/>
      <c r="AF645" s="201"/>
      <c r="AG645" s="201"/>
      <c r="AH645" s="6"/>
    </row>
    <row r="646" spans="1:34" ht="15.95" customHeight="1">
      <c r="A646" s="7"/>
      <c r="B646" s="16">
        <f>DSUM('$REV-DB'!D35:AG67,"AMOUNT",'$REV-DSUM'!D644:AG651)</f>
        <v>0</v>
      </c>
      <c r="C646" s="12"/>
      <c r="D646" s="200"/>
      <c r="E646" s="200"/>
      <c r="F646" s="199"/>
      <c r="G646" s="200"/>
      <c r="H646" s="199"/>
      <c r="I646" s="199"/>
      <c r="J646" s="200"/>
      <c r="K646" s="200"/>
      <c r="L646" s="289" t="s">
        <v>34</v>
      </c>
      <c r="M646" s="199"/>
      <c r="N646" s="40" t="str">
        <f t="shared" ref="N646:N651" si="63">J$6</f>
        <v>FY2010-11</v>
      </c>
      <c r="O646" s="40" t="s">
        <v>155</v>
      </c>
      <c r="P646" s="40" t="s">
        <v>147</v>
      </c>
      <c r="Q646" s="40"/>
      <c r="R646" s="200"/>
      <c r="S646" s="200"/>
      <c r="T646" s="200"/>
      <c r="U646" s="200"/>
      <c r="V646" s="201"/>
      <c r="W646" s="201"/>
      <c r="X646" s="201"/>
      <c r="Y646" s="201"/>
      <c r="Z646" s="201"/>
      <c r="AA646" s="201"/>
      <c r="AB646" s="201"/>
      <c r="AC646" s="201"/>
      <c r="AD646" s="201"/>
      <c r="AE646" s="201"/>
      <c r="AF646" s="201"/>
      <c r="AG646" s="201"/>
      <c r="AH646" s="6"/>
    </row>
    <row r="647" spans="1:34" ht="15.95" customHeight="1">
      <c r="A647" s="7"/>
      <c r="B647" s="10"/>
      <c r="C647" s="12"/>
      <c r="D647" s="200"/>
      <c r="E647" s="200"/>
      <c r="F647" s="199"/>
      <c r="G647" s="200"/>
      <c r="H647" s="199"/>
      <c r="I647" s="199"/>
      <c r="J647" s="200"/>
      <c r="K647" s="200"/>
      <c r="L647" s="289" t="s">
        <v>34</v>
      </c>
      <c r="M647" s="199"/>
      <c r="N647" s="40" t="str">
        <f t="shared" si="63"/>
        <v>FY2010-11</v>
      </c>
      <c r="O647" s="40" t="s">
        <v>155</v>
      </c>
      <c r="P647" s="40" t="s">
        <v>147</v>
      </c>
      <c r="Q647" s="40"/>
      <c r="R647" s="200"/>
      <c r="S647" s="200"/>
      <c r="T647" s="200"/>
      <c r="U647" s="200"/>
      <c r="V647" s="201"/>
      <c r="W647" s="201"/>
      <c r="X647" s="201"/>
      <c r="Y647" s="201"/>
      <c r="Z647" s="201"/>
      <c r="AA647" s="201"/>
      <c r="AB647" s="201"/>
      <c r="AC647" s="201"/>
      <c r="AD647" s="201"/>
      <c r="AE647" s="201"/>
      <c r="AF647" s="201"/>
      <c r="AG647" s="201"/>
    </row>
    <row r="648" spans="1:34" ht="15.95" customHeight="1">
      <c r="A648" s="7"/>
      <c r="B648" s="10"/>
      <c r="C648" s="12"/>
      <c r="D648" s="200"/>
      <c r="E648" s="200"/>
      <c r="F648" s="199"/>
      <c r="G648" s="200"/>
      <c r="H648" s="199"/>
      <c r="I648" s="199"/>
      <c r="J648" s="200"/>
      <c r="K648" s="200"/>
      <c r="L648" s="289" t="s">
        <v>34</v>
      </c>
      <c r="M648" s="199"/>
      <c r="N648" s="40" t="str">
        <f t="shared" si="63"/>
        <v>FY2010-11</v>
      </c>
      <c r="O648" s="40" t="s">
        <v>155</v>
      </c>
      <c r="P648" s="40" t="s">
        <v>147</v>
      </c>
      <c r="Q648" s="40"/>
      <c r="R648" s="200"/>
      <c r="S648" s="200"/>
      <c r="T648" s="200"/>
      <c r="U648" s="200"/>
      <c r="V648" s="201"/>
      <c r="W648" s="201"/>
      <c r="X648" s="201"/>
      <c r="Y648" s="201"/>
      <c r="Z648" s="201"/>
      <c r="AA648" s="201"/>
      <c r="AB648" s="201"/>
      <c r="AC648" s="201"/>
      <c r="AD648" s="201"/>
      <c r="AE648" s="201"/>
      <c r="AF648" s="201"/>
      <c r="AG648" s="201"/>
    </row>
    <row r="649" spans="1:34" ht="15.95" customHeight="1">
      <c r="A649" s="7"/>
      <c r="B649" s="10"/>
      <c r="C649" s="12"/>
      <c r="D649" s="200"/>
      <c r="E649" s="200"/>
      <c r="F649" s="199"/>
      <c r="G649" s="200"/>
      <c r="H649" s="199"/>
      <c r="I649" s="199"/>
      <c r="J649" s="200"/>
      <c r="K649" s="200"/>
      <c r="L649" s="289" t="s">
        <v>34</v>
      </c>
      <c r="M649" s="199"/>
      <c r="N649" s="40" t="str">
        <f t="shared" si="63"/>
        <v>FY2010-11</v>
      </c>
      <c r="O649" s="40" t="s">
        <v>155</v>
      </c>
      <c r="P649" s="40" t="s">
        <v>147</v>
      </c>
      <c r="Q649" s="40"/>
      <c r="R649" s="200"/>
      <c r="S649" s="200"/>
      <c r="T649" s="200"/>
      <c r="U649" s="200"/>
      <c r="V649" s="201"/>
      <c r="W649" s="201"/>
      <c r="X649" s="201"/>
      <c r="Y649" s="201"/>
      <c r="Z649" s="201"/>
      <c r="AA649" s="201"/>
      <c r="AB649" s="201"/>
      <c r="AC649" s="201"/>
      <c r="AD649" s="201"/>
      <c r="AE649" s="201"/>
      <c r="AF649" s="201"/>
      <c r="AG649" s="201"/>
    </row>
    <row r="650" spans="1:34" ht="15.95" customHeight="1">
      <c r="A650" s="7"/>
      <c r="B650" s="10"/>
      <c r="C650" s="12"/>
      <c r="D650" s="200"/>
      <c r="E650" s="200"/>
      <c r="F650" s="199"/>
      <c r="G650" s="200"/>
      <c r="H650" s="199"/>
      <c r="I650" s="199"/>
      <c r="J650" s="200"/>
      <c r="K650" s="200"/>
      <c r="L650" s="289" t="s">
        <v>34</v>
      </c>
      <c r="M650" s="199"/>
      <c r="N650" s="40" t="str">
        <f t="shared" si="63"/>
        <v>FY2010-11</v>
      </c>
      <c r="O650" s="40" t="s">
        <v>155</v>
      </c>
      <c r="P650" s="40" t="s">
        <v>147</v>
      </c>
      <c r="Q650" s="40"/>
      <c r="R650" s="200"/>
      <c r="S650" s="200"/>
      <c r="T650" s="200"/>
      <c r="U650" s="200"/>
      <c r="V650" s="201"/>
      <c r="W650" s="201"/>
      <c r="X650" s="201"/>
      <c r="Y650" s="201"/>
      <c r="Z650" s="201"/>
      <c r="AA650" s="201"/>
      <c r="AB650" s="201"/>
      <c r="AC650" s="201"/>
      <c r="AD650" s="201"/>
      <c r="AE650" s="201"/>
      <c r="AF650" s="201"/>
      <c r="AG650" s="201"/>
    </row>
    <row r="651" spans="1:34" ht="15.95" customHeight="1">
      <c r="A651" s="7"/>
      <c r="B651" s="10"/>
      <c r="C651" s="12"/>
      <c r="D651" s="200"/>
      <c r="E651" s="200"/>
      <c r="F651" s="199"/>
      <c r="G651" s="200"/>
      <c r="H651" s="199"/>
      <c r="I651" s="199"/>
      <c r="J651" s="200"/>
      <c r="K651" s="200"/>
      <c r="L651" s="289" t="s">
        <v>34</v>
      </c>
      <c r="M651" s="199"/>
      <c r="N651" s="40" t="str">
        <f t="shared" si="63"/>
        <v>FY2010-11</v>
      </c>
      <c r="O651" s="40" t="s">
        <v>155</v>
      </c>
      <c r="P651" s="40" t="s">
        <v>147</v>
      </c>
      <c r="Q651" s="40"/>
      <c r="R651" s="200"/>
      <c r="S651" s="200"/>
      <c r="T651" s="200"/>
      <c r="U651" s="200"/>
      <c r="V651" s="201"/>
      <c r="W651" s="201"/>
      <c r="X651" s="201"/>
      <c r="Y651" s="201"/>
      <c r="Z651" s="201"/>
      <c r="AA651" s="201"/>
      <c r="AB651" s="201"/>
      <c r="AC651" s="201"/>
      <c r="AD651" s="201"/>
      <c r="AE651" s="201"/>
      <c r="AF651" s="201"/>
      <c r="AG651" s="201"/>
    </row>
    <row r="652" spans="1:34" ht="15.95" customHeight="1">
      <c r="A652" s="36"/>
      <c r="B652" s="33"/>
      <c r="C652" s="33"/>
      <c r="D652" s="34"/>
      <c r="E652" s="34"/>
      <c r="F652" s="35"/>
      <c r="G652" s="34"/>
      <c r="H652" s="35"/>
      <c r="I652" s="35"/>
      <c r="J652" s="34"/>
      <c r="K652" s="34"/>
      <c r="L652" s="288"/>
      <c r="M652" s="35"/>
      <c r="N652" s="35"/>
      <c r="O652" s="34"/>
      <c r="P652" s="35"/>
      <c r="Q652" s="35"/>
      <c r="R652" s="34"/>
      <c r="S652" s="34"/>
      <c r="T652" s="34"/>
      <c r="U652" s="34"/>
      <c r="V652" s="36"/>
      <c r="W652" s="36"/>
      <c r="X652" s="36"/>
      <c r="Y652" s="36"/>
      <c r="Z652" s="36"/>
      <c r="AA652" s="36"/>
      <c r="AB652" s="36"/>
      <c r="AC652" s="36"/>
      <c r="AD652" s="36"/>
      <c r="AE652" s="36"/>
      <c r="AF652" s="36"/>
      <c r="AG652" s="36"/>
    </row>
    <row r="653" spans="1:34"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66"/>
      <c r="T653" s="867" t="str">
        <f>'$REV-DB'!$T$34</f>
        <v>UD1</v>
      </c>
      <c r="U653" s="867" t="str">
        <f>'$REV-DB'!$U$34</f>
        <v>UD2</v>
      </c>
      <c r="V653" s="867" t="str">
        <f>'$REV-DB'!$V$34</f>
        <v>UD3</v>
      </c>
      <c r="W653" s="867" t="str">
        <f>'$REV-DB'!$W$34</f>
        <v>UD4</v>
      </c>
      <c r="X653" s="867" t="str">
        <f>'$REV-DB'!$X$34</f>
        <v>UD5</v>
      </c>
      <c r="Y653" s="867" t="str">
        <f>'$REV-DB'!$Y$34</f>
        <v>UD6</v>
      </c>
      <c r="Z653" s="867" t="str">
        <f>'$REV-DB'!$Z$34</f>
        <v>UD7</v>
      </c>
      <c r="AA653" s="867" t="str">
        <f>'$REV-DB'!$AA$34</f>
        <v>UD8</v>
      </c>
      <c r="AB653" s="867" t="str">
        <f>'$REV-DB'!$AB$34</f>
        <v>UD9</v>
      </c>
      <c r="AC653" s="867" t="str">
        <f>'$REV-DB'!$AC$34</f>
        <v>UD10</v>
      </c>
      <c r="AD653" s="867" t="str">
        <f>'$REV-DB'!$AD$34</f>
        <v>UD11</v>
      </c>
      <c r="AE653" s="867" t="str">
        <f>'$REV-DB'!$AE$34</f>
        <v>UD12</v>
      </c>
      <c r="AF653" s="867" t="str">
        <f>'$REV-DB'!$AF$34</f>
        <v>UD13</v>
      </c>
      <c r="AG653" s="867" t="str">
        <f>'$REV-DB'!$AG$34</f>
        <v>UD14</v>
      </c>
    </row>
    <row r="654" spans="1:34" ht="15.95" customHeight="1" thickTop="1" thickBot="1">
      <c r="A654" s="7"/>
      <c r="B654" s="20" t="s">
        <v>175</v>
      </c>
      <c r="C654" s="15"/>
      <c r="D654" s="105" t="s">
        <v>186</v>
      </c>
      <c r="E654" s="105" t="s">
        <v>187</v>
      </c>
      <c r="F654" s="105" t="s">
        <v>188</v>
      </c>
      <c r="G654" s="105" t="s">
        <v>189</v>
      </c>
      <c r="H654" s="301" t="s">
        <v>11</v>
      </c>
      <c r="I654" s="301" t="s">
        <v>190</v>
      </c>
      <c r="J654" s="301" t="s">
        <v>191</v>
      </c>
      <c r="K654" s="301" t="s">
        <v>192</v>
      </c>
      <c r="L654" s="301" t="s">
        <v>203</v>
      </c>
      <c r="M654" s="301" t="s">
        <v>42</v>
      </c>
      <c r="N654" s="105" t="s">
        <v>148</v>
      </c>
      <c r="O654" s="105" t="s">
        <v>193</v>
      </c>
      <c r="P654" s="105" t="s">
        <v>142</v>
      </c>
      <c r="Q654" s="105" t="s">
        <v>194</v>
      </c>
      <c r="R654" s="112" t="s">
        <v>141</v>
      </c>
      <c r="S654" s="112" t="s">
        <v>672</v>
      </c>
      <c r="T654" s="857" t="s">
        <v>541</v>
      </c>
      <c r="U654" s="857" t="s">
        <v>542</v>
      </c>
      <c r="V654" s="857" t="s">
        <v>543</v>
      </c>
      <c r="W654" s="857" t="s">
        <v>544</v>
      </c>
      <c r="X654" s="857" t="s">
        <v>545</v>
      </c>
      <c r="Y654" s="857" t="s">
        <v>546</v>
      </c>
      <c r="Z654" s="857" t="s">
        <v>547</v>
      </c>
      <c r="AA654" s="857" t="s">
        <v>548</v>
      </c>
      <c r="AB654" s="857" t="s">
        <v>549</v>
      </c>
      <c r="AC654" s="857" t="s">
        <v>550</v>
      </c>
      <c r="AD654" s="857" t="s">
        <v>551</v>
      </c>
      <c r="AE654" s="857" t="s">
        <v>552</v>
      </c>
      <c r="AF654" s="857" t="s">
        <v>553</v>
      </c>
      <c r="AG654" s="857" t="s">
        <v>554</v>
      </c>
      <c r="AH654" s="6"/>
    </row>
    <row r="655" spans="1:34" ht="15.95" customHeight="1" thickTop="1">
      <c r="A655" s="7"/>
      <c r="B655" s="19" t="s">
        <v>145</v>
      </c>
      <c r="C655" s="12"/>
      <c r="D655" s="200"/>
      <c r="E655" s="200"/>
      <c r="F655" s="199"/>
      <c r="G655" s="200"/>
      <c r="H655" s="199"/>
      <c r="I655" s="199"/>
      <c r="J655" s="200"/>
      <c r="K655" s="200"/>
      <c r="L655" s="289" t="s">
        <v>34</v>
      </c>
      <c r="M655" s="199"/>
      <c r="N655" s="40" t="str">
        <f>J$6</f>
        <v>FY2010-11</v>
      </c>
      <c r="O655" s="40" t="s">
        <v>155</v>
      </c>
      <c r="P655" s="40" t="s">
        <v>147</v>
      </c>
      <c r="Q655" s="40" t="s">
        <v>180</v>
      </c>
      <c r="R655" s="200"/>
      <c r="S655" s="200"/>
      <c r="T655" s="200"/>
      <c r="U655" s="200"/>
      <c r="V655" s="201"/>
      <c r="W655" s="201"/>
      <c r="X655" s="201"/>
      <c r="Y655" s="201"/>
      <c r="Z655" s="201"/>
      <c r="AA655" s="201"/>
      <c r="AB655" s="201"/>
      <c r="AC655" s="201"/>
      <c r="AD655" s="201"/>
      <c r="AE655" s="201"/>
      <c r="AF655" s="201"/>
      <c r="AG655" s="201"/>
      <c r="AH655" s="6"/>
    </row>
    <row r="656" spans="1:34" ht="15.95" customHeight="1">
      <c r="A656" s="7"/>
      <c r="B656" s="16">
        <f>DSUM('$REV-DB'!D35:AG67,"AMOUNT",'$REV-DSUM'!D654:AG661)</f>
        <v>0</v>
      </c>
      <c r="C656" s="12"/>
      <c r="D656" s="200"/>
      <c r="E656" s="200"/>
      <c r="F656" s="199"/>
      <c r="G656" s="200"/>
      <c r="H656" s="199"/>
      <c r="I656" s="199"/>
      <c r="J656" s="200"/>
      <c r="K656" s="200"/>
      <c r="L656" s="289" t="s">
        <v>34</v>
      </c>
      <c r="M656" s="199"/>
      <c r="N656" s="40" t="str">
        <f t="shared" ref="N656:N661" si="64">J$6</f>
        <v>FY2010-11</v>
      </c>
      <c r="O656" s="40" t="s">
        <v>155</v>
      </c>
      <c r="P656" s="40" t="s">
        <v>147</v>
      </c>
      <c r="Q656" s="40" t="s">
        <v>180</v>
      </c>
      <c r="R656" s="200"/>
      <c r="S656" s="200"/>
      <c r="T656" s="200"/>
      <c r="U656" s="200"/>
      <c r="V656" s="201"/>
      <c r="W656" s="201"/>
      <c r="X656" s="201"/>
      <c r="Y656" s="201"/>
      <c r="Z656" s="201"/>
      <c r="AA656" s="201"/>
      <c r="AB656" s="201"/>
      <c r="AC656" s="201"/>
      <c r="AD656" s="201"/>
      <c r="AE656" s="201"/>
      <c r="AF656" s="201"/>
      <c r="AG656" s="201"/>
      <c r="AH656" s="6"/>
    </row>
    <row r="657" spans="1:34" ht="15.95" customHeight="1">
      <c r="A657" s="7"/>
      <c r="B657" s="10"/>
      <c r="C657" s="12"/>
      <c r="D657" s="200"/>
      <c r="E657" s="200"/>
      <c r="F657" s="199"/>
      <c r="G657" s="200"/>
      <c r="H657" s="199"/>
      <c r="I657" s="199"/>
      <c r="J657" s="200"/>
      <c r="K657" s="200"/>
      <c r="L657" s="289" t="s">
        <v>34</v>
      </c>
      <c r="M657" s="199"/>
      <c r="N657" s="40" t="str">
        <f t="shared" si="64"/>
        <v>FY2010-11</v>
      </c>
      <c r="O657" s="40" t="s">
        <v>155</v>
      </c>
      <c r="P657" s="40" t="s">
        <v>147</v>
      </c>
      <c r="Q657" s="40" t="s">
        <v>180</v>
      </c>
      <c r="R657" s="200"/>
      <c r="S657" s="200"/>
      <c r="T657" s="200"/>
      <c r="U657" s="200"/>
      <c r="V657" s="201"/>
      <c r="W657" s="201"/>
      <c r="X657" s="201"/>
      <c r="Y657" s="201"/>
      <c r="Z657" s="201"/>
      <c r="AA657" s="201"/>
      <c r="AB657" s="201"/>
      <c r="AC657" s="201"/>
      <c r="AD657" s="201"/>
      <c r="AE657" s="201"/>
      <c r="AF657" s="201"/>
      <c r="AG657" s="201"/>
    </row>
    <row r="658" spans="1:34" ht="15.95" customHeight="1">
      <c r="A658" s="7"/>
      <c r="B658" s="10"/>
      <c r="C658" s="12"/>
      <c r="D658" s="200"/>
      <c r="E658" s="200"/>
      <c r="F658" s="199"/>
      <c r="G658" s="200"/>
      <c r="H658" s="199"/>
      <c r="I658" s="199"/>
      <c r="J658" s="200"/>
      <c r="K658" s="200"/>
      <c r="L658" s="289" t="s">
        <v>34</v>
      </c>
      <c r="M658" s="199"/>
      <c r="N658" s="40" t="str">
        <f t="shared" si="64"/>
        <v>FY2010-11</v>
      </c>
      <c r="O658" s="40" t="s">
        <v>155</v>
      </c>
      <c r="P658" s="40" t="s">
        <v>147</v>
      </c>
      <c r="Q658" s="40" t="s">
        <v>180</v>
      </c>
      <c r="R658" s="200"/>
      <c r="S658" s="200"/>
      <c r="T658" s="200"/>
      <c r="U658" s="200"/>
      <c r="V658" s="201"/>
      <c r="W658" s="201"/>
      <c r="X658" s="201"/>
      <c r="Y658" s="201"/>
      <c r="Z658" s="201"/>
      <c r="AA658" s="201"/>
      <c r="AB658" s="201"/>
      <c r="AC658" s="201"/>
      <c r="AD658" s="201"/>
      <c r="AE658" s="201"/>
      <c r="AF658" s="201"/>
      <c r="AG658" s="201"/>
    </row>
    <row r="659" spans="1:34" ht="15.95" customHeight="1">
      <c r="A659" s="7"/>
      <c r="B659" s="10"/>
      <c r="C659" s="12"/>
      <c r="D659" s="200"/>
      <c r="E659" s="200"/>
      <c r="F659" s="199"/>
      <c r="G659" s="200"/>
      <c r="H659" s="199"/>
      <c r="I659" s="199"/>
      <c r="J659" s="200"/>
      <c r="K659" s="200"/>
      <c r="L659" s="289" t="s">
        <v>34</v>
      </c>
      <c r="M659" s="199"/>
      <c r="N659" s="40" t="str">
        <f t="shared" si="64"/>
        <v>FY2010-11</v>
      </c>
      <c r="O659" s="40" t="s">
        <v>155</v>
      </c>
      <c r="P659" s="40" t="s">
        <v>147</v>
      </c>
      <c r="Q659" s="40" t="s">
        <v>180</v>
      </c>
      <c r="R659" s="200"/>
      <c r="S659" s="200"/>
      <c r="T659" s="200"/>
      <c r="U659" s="200"/>
      <c r="V659" s="201"/>
      <c r="W659" s="201"/>
      <c r="X659" s="201"/>
      <c r="Y659" s="201"/>
      <c r="Z659" s="201"/>
      <c r="AA659" s="201"/>
      <c r="AB659" s="201"/>
      <c r="AC659" s="201"/>
      <c r="AD659" s="201"/>
      <c r="AE659" s="201"/>
      <c r="AF659" s="201"/>
      <c r="AG659" s="201"/>
    </row>
    <row r="660" spans="1:34" ht="15.95" customHeight="1">
      <c r="A660" s="7"/>
      <c r="B660" s="10"/>
      <c r="C660" s="12"/>
      <c r="D660" s="200"/>
      <c r="E660" s="200"/>
      <c r="F660" s="199"/>
      <c r="G660" s="200"/>
      <c r="H660" s="199"/>
      <c r="I660" s="199"/>
      <c r="J660" s="200"/>
      <c r="K660" s="200"/>
      <c r="L660" s="289" t="s">
        <v>34</v>
      </c>
      <c r="M660" s="199"/>
      <c r="N660" s="40" t="str">
        <f t="shared" si="64"/>
        <v>FY2010-11</v>
      </c>
      <c r="O660" s="40" t="s">
        <v>155</v>
      </c>
      <c r="P660" s="40" t="s">
        <v>147</v>
      </c>
      <c r="Q660" s="40" t="s">
        <v>180</v>
      </c>
      <c r="R660" s="200"/>
      <c r="S660" s="200"/>
      <c r="T660" s="200"/>
      <c r="U660" s="200"/>
      <c r="V660" s="201"/>
      <c r="W660" s="201"/>
      <c r="X660" s="201"/>
      <c r="Y660" s="201"/>
      <c r="Z660" s="201"/>
      <c r="AA660" s="201"/>
      <c r="AB660" s="201"/>
      <c r="AC660" s="201"/>
      <c r="AD660" s="201"/>
      <c r="AE660" s="201"/>
      <c r="AF660" s="201"/>
      <c r="AG660" s="201"/>
    </row>
    <row r="661" spans="1:34" ht="15.95" customHeight="1">
      <c r="A661" s="7"/>
      <c r="B661" s="10"/>
      <c r="C661" s="12"/>
      <c r="D661" s="200"/>
      <c r="E661" s="200"/>
      <c r="F661" s="199"/>
      <c r="G661" s="200"/>
      <c r="H661" s="199"/>
      <c r="I661" s="199"/>
      <c r="J661" s="200"/>
      <c r="K661" s="200"/>
      <c r="L661" s="289" t="s">
        <v>34</v>
      </c>
      <c r="M661" s="199"/>
      <c r="N661" s="40" t="str">
        <f t="shared" si="64"/>
        <v>FY2010-11</v>
      </c>
      <c r="O661" s="40" t="s">
        <v>155</v>
      </c>
      <c r="P661" s="40" t="s">
        <v>147</v>
      </c>
      <c r="Q661" s="40" t="s">
        <v>180</v>
      </c>
      <c r="R661" s="200"/>
      <c r="S661" s="200"/>
      <c r="T661" s="200"/>
      <c r="U661" s="200"/>
      <c r="V661" s="201"/>
      <c r="W661" s="201"/>
      <c r="X661" s="201"/>
      <c r="Y661" s="201"/>
      <c r="Z661" s="201"/>
      <c r="AA661" s="201"/>
      <c r="AB661" s="201"/>
      <c r="AC661" s="201"/>
      <c r="AD661" s="201"/>
      <c r="AE661" s="201"/>
      <c r="AF661" s="201"/>
      <c r="AG661" s="201"/>
    </row>
    <row r="662" spans="1:34" ht="15.95" customHeight="1">
      <c r="A662" s="36"/>
      <c r="B662" s="33"/>
      <c r="C662" s="33"/>
      <c r="D662" s="34"/>
      <c r="E662" s="34"/>
      <c r="F662" s="35"/>
      <c r="G662" s="34"/>
      <c r="H662" s="35"/>
      <c r="I662" s="35"/>
      <c r="J662" s="34"/>
      <c r="K662" s="34"/>
      <c r="L662" s="288"/>
      <c r="M662" s="35"/>
      <c r="N662" s="35"/>
      <c r="O662" s="34"/>
      <c r="P662" s="35"/>
      <c r="Q662" s="35"/>
      <c r="R662" s="34"/>
      <c r="S662" s="34"/>
      <c r="T662" s="34"/>
      <c r="U662" s="34"/>
      <c r="V662" s="36"/>
      <c r="W662" s="36"/>
      <c r="X662" s="36"/>
      <c r="Y662" s="36"/>
      <c r="Z662" s="36"/>
      <c r="AA662" s="36"/>
      <c r="AB662" s="36"/>
      <c r="AC662" s="36"/>
      <c r="AD662" s="36"/>
      <c r="AE662" s="36"/>
      <c r="AF662" s="36"/>
      <c r="AG662" s="36"/>
    </row>
    <row r="663" spans="1:34"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66"/>
      <c r="T663" s="867" t="str">
        <f>'$REV-DB'!$T$34</f>
        <v>UD1</v>
      </c>
      <c r="U663" s="867" t="str">
        <f>'$REV-DB'!$U$34</f>
        <v>UD2</v>
      </c>
      <c r="V663" s="867" t="str">
        <f>'$REV-DB'!$V$34</f>
        <v>UD3</v>
      </c>
      <c r="W663" s="867" t="str">
        <f>'$REV-DB'!$W$34</f>
        <v>UD4</v>
      </c>
      <c r="X663" s="867" t="str">
        <f>'$REV-DB'!$X$34</f>
        <v>UD5</v>
      </c>
      <c r="Y663" s="867" t="str">
        <f>'$REV-DB'!$Y$34</f>
        <v>UD6</v>
      </c>
      <c r="Z663" s="867" t="str">
        <f>'$REV-DB'!$Z$34</f>
        <v>UD7</v>
      </c>
      <c r="AA663" s="867" t="str">
        <f>'$REV-DB'!$AA$34</f>
        <v>UD8</v>
      </c>
      <c r="AB663" s="867" t="str">
        <f>'$REV-DB'!$AB$34</f>
        <v>UD9</v>
      </c>
      <c r="AC663" s="867" t="str">
        <f>'$REV-DB'!$AC$34</f>
        <v>UD10</v>
      </c>
      <c r="AD663" s="867" t="str">
        <f>'$REV-DB'!$AD$34</f>
        <v>UD11</v>
      </c>
      <c r="AE663" s="867" t="str">
        <f>'$REV-DB'!$AE$34</f>
        <v>UD12</v>
      </c>
      <c r="AF663" s="867" t="str">
        <f>'$REV-DB'!$AF$34</f>
        <v>UD13</v>
      </c>
      <c r="AG663" s="867" t="str">
        <f>'$REV-DB'!$AG$34</f>
        <v>UD14</v>
      </c>
    </row>
    <row r="664" spans="1:34" ht="15.95" customHeight="1" thickTop="1" thickBot="1">
      <c r="A664" s="7"/>
      <c r="B664" s="20" t="s">
        <v>175</v>
      </c>
      <c r="C664" s="15"/>
      <c r="D664" s="105" t="s">
        <v>186</v>
      </c>
      <c r="E664" s="105" t="s">
        <v>187</v>
      </c>
      <c r="F664" s="105" t="s">
        <v>188</v>
      </c>
      <c r="G664" s="105" t="s">
        <v>189</v>
      </c>
      <c r="H664" s="301" t="s">
        <v>11</v>
      </c>
      <c r="I664" s="301" t="s">
        <v>190</v>
      </c>
      <c r="J664" s="301" t="s">
        <v>191</v>
      </c>
      <c r="K664" s="301" t="s">
        <v>192</v>
      </c>
      <c r="L664" s="301" t="s">
        <v>203</v>
      </c>
      <c r="M664" s="301" t="s">
        <v>42</v>
      </c>
      <c r="N664" s="105" t="s">
        <v>148</v>
      </c>
      <c r="O664" s="105" t="s">
        <v>193</v>
      </c>
      <c r="P664" s="105" t="s">
        <v>142</v>
      </c>
      <c r="Q664" s="105" t="s">
        <v>194</v>
      </c>
      <c r="R664" s="112" t="s">
        <v>141</v>
      </c>
      <c r="S664" s="112" t="s">
        <v>672</v>
      </c>
      <c r="T664" s="857" t="s">
        <v>541</v>
      </c>
      <c r="U664" s="857" t="s">
        <v>542</v>
      </c>
      <c r="V664" s="857" t="s">
        <v>543</v>
      </c>
      <c r="W664" s="857" t="s">
        <v>544</v>
      </c>
      <c r="X664" s="857" t="s">
        <v>545</v>
      </c>
      <c r="Y664" s="857" t="s">
        <v>546</v>
      </c>
      <c r="Z664" s="857" t="s">
        <v>547</v>
      </c>
      <c r="AA664" s="857" t="s">
        <v>548</v>
      </c>
      <c r="AB664" s="857" t="s">
        <v>549</v>
      </c>
      <c r="AC664" s="857" t="s">
        <v>550</v>
      </c>
      <c r="AD664" s="857" t="s">
        <v>551</v>
      </c>
      <c r="AE664" s="857" t="s">
        <v>552</v>
      </c>
      <c r="AF664" s="857" t="s">
        <v>553</v>
      </c>
      <c r="AG664" s="857" t="s">
        <v>554</v>
      </c>
      <c r="AH664" s="6"/>
    </row>
    <row r="665" spans="1:34" ht="15.95" customHeight="1" thickTop="1">
      <c r="A665" s="7"/>
      <c r="B665" s="19" t="s">
        <v>144</v>
      </c>
      <c r="C665" s="12"/>
      <c r="D665" s="200"/>
      <c r="E665" s="200"/>
      <c r="F665" s="199"/>
      <c r="G665" s="200"/>
      <c r="H665" s="199"/>
      <c r="I665" s="199"/>
      <c r="J665" s="200"/>
      <c r="K665" s="200"/>
      <c r="L665" s="289" t="s">
        <v>34</v>
      </c>
      <c r="M665" s="199"/>
      <c r="N665" s="40" t="str">
        <f>J$6</f>
        <v>FY2010-11</v>
      </c>
      <c r="O665" s="40" t="s">
        <v>155</v>
      </c>
      <c r="P665" s="40" t="s">
        <v>147</v>
      </c>
      <c r="Q665" s="40" t="s">
        <v>139</v>
      </c>
      <c r="R665" s="200"/>
      <c r="S665" s="200"/>
      <c r="T665" s="200"/>
      <c r="U665" s="200"/>
      <c r="V665" s="201"/>
      <c r="W665" s="201"/>
      <c r="X665" s="201"/>
      <c r="Y665" s="201"/>
      <c r="Z665" s="201"/>
      <c r="AA665" s="201"/>
      <c r="AB665" s="201"/>
      <c r="AC665" s="201"/>
      <c r="AD665" s="201"/>
      <c r="AE665" s="201"/>
      <c r="AF665" s="201"/>
      <c r="AG665" s="201"/>
      <c r="AH665" s="6"/>
    </row>
    <row r="666" spans="1:34" ht="15.95" customHeight="1">
      <c r="A666" s="7"/>
      <c r="B666" s="16">
        <f>DSUM('$REV-DB'!D35:AG67,"AMOUNT",'$REV-DSUM'!D664:AG671)</f>
        <v>0</v>
      </c>
      <c r="C666" s="12"/>
      <c r="D666" s="200"/>
      <c r="E666" s="200"/>
      <c r="F666" s="199"/>
      <c r="G666" s="200"/>
      <c r="H666" s="199"/>
      <c r="I666" s="199"/>
      <c r="J666" s="200"/>
      <c r="K666" s="200"/>
      <c r="L666" s="289" t="s">
        <v>34</v>
      </c>
      <c r="M666" s="199"/>
      <c r="N666" s="40" t="str">
        <f t="shared" ref="N666:N671" si="65">J$6</f>
        <v>FY2010-11</v>
      </c>
      <c r="O666" s="40" t="s">
        <v>155</v>
      </c>
      <c r="P666" s="40" t="s">
        <v>147</v>
      </c>
      <c r="Q666" s="40" t="s">
        <v>139</v>
      </c>
      <c r="R666" s="200"/>
      <c r="S666" s="200"/>
      <c r="T666" s="200"/>
      <c r="U666" s="200"/>
      <c r="V666" s="201"/>
      <c r="W666" s="201"/>
      <c r="X666" s="201"/>
      <c r="Y666" s="201"/>
      <c r="Z666" s="201"/>
      <c r="AA666" s="201"/>
      <c r="AB666" s="201"/>
      <c r="AC666" s="201"/>
      <c r="AD666" s="201"/>
      <c r="AE666" s="201"/>
      <c r="AF666" s="201"/>
      <c r="AG666" s="201"/>
      <c r="AH666" s="6"/>
    </row>
    <row r="667" spans="1:34" ht="15.95" customHeight="1">
      <c r="A667" s="7"/>
      <c r="B667" s="10"/>
      <c r="C667" s="12"/>
      <c r="D667" s="200"/>
      <c r="E667" s="200"/>
      <c r="F667" s="199"/>
      <c r="G667" s="200"/>
      <c r="H667" s="199"/>
      <c r="I667" s="199"/>
      <c r="J667" s="200"/>
      <c r="K667" s="200"/>
      <c r="L667" s="289" t="s">
        <v>34</v>
      </c>
      <c r="M667" s="199"/>
      <c r="N667" s="40" t="str">
        <f t="shared" si="65"/>
        <v>FY2010-11</v>
      </c>
      <c r="O667" s="40" t="s">
        <v>155</v>
      </c>
      <c r="P667" s="40" t="s">
        <v>147</v>
      </c>
      <c r="Q667" s="40" t="s">
        <v>139</v>
      </c>
      <c r="R667" s="200"/>
      <c r="S667" s="200"/>
      <c r="T667" s="200"/>
      <c r="U667" s="200"/>
      <c r="V667" s="201"/>
      <c r="W667" s="201"/>
      <c r="X667" s="201"/>
      <c r="Y667" s="201"/>
      <c r="Z667" s="201"/>
      <c r="AA667" s="201"/>
      <c r="AB667" s="201"/>
      <c r="AC667" s="201"/>
      <c r="AD667" s="201"/>
      <c r="AE667" s="201"/>
      <c r="AF667" s="201"/>
      <c r="AG667" s="201"/>
    </row>
    <row r="668" spans="1:34" ht="15.95" customHeight="1">
      <c r="A668" s="7"/>
      <c r="B668" s="10"/>
      <c r="C668" s="12"/>
      <c r="D668" s="200"/>
      <c r="E668" s="200"/>
      <c r="F668" s="199"/>
      <c r="G668" s="200"/>
      <c r="H668" s="199"/>
      <c r="I668" s="199"/>
      <c r="J668" s="200"/>
      <c r="K668" s="200"/>
      <c r="L668" s="289" t="s">
        <v>34</v>
      </c>
      <c r="M668" s="199"/>
      <c r="N668" s="40" t="str">
        <f t="shared" si="65"/>
        <v>FY2010-11</v>
      </c>
      <c r="O668" s="40" t="s">
        <v>155</v>
      </c>
      <c r="P668" s="40" t="s">
        <v>147</v>
      </c>
      <c r="Q668" s="40" t="s">
        <v>139</v>
      </c>
      <c r="R668" s="200"/>
      <c r="S668" s="200"/>
      <c r="T668" s="200"/>
      <c r="U668" s="200"/>
      <c r="V668" s="201"/>
      <c r="W668" s="201"/>
      <c r="X668" s="201"/>
      <c r="Y668" s="201"/>
      <c r="Z668" s="201"/>
      <c r="AA668" s="201"/>
      <c r="AB668" s="201"/>
      <c r="AC668" s="201"/>
      <c r="AD668" s="201"/>
      <c r="AE668" s="201"/>
      <c r="AF668" s="201"/>
      <c r="AG668" s="201"/>
    </row>
    <row r="669" spans="1:34" ht="15.95" customHeight="1">
      <c r="A669" s="7"/>
      <c r="B669" s="10"/>
      <c r="C669" s="12"/>
      <c r="D669" s="200"/>
      <c r="E669" s="200"/>
      <c r="F669" s="199"/>
      <c r="G669" s="200"/>
      <c r="H669" s="199"/>
      <c r="I669" s="199"/>
      <c r="J669" s="200"/>
      <c r="K669" s="200"/>
      <c r="L669" s="289" t="s">
        <v>34</v>
      </c>
      <c r="M669" s="199"/>
      <c r="N669" s="40" t="str">
        <f t="shared" si="65"/>
        <v>FY2010-11</v>
      </c>
      <c r="O669" s="40" t="s">
        <v>155</v>
      </c>
      <c r="P669" s="40" t="s">
        <v>147</v>
      </c>
      <c r="Q669" s="40" t="s">
        <v>139</v>
      </c>
      <c r="R669" s="200"/>
      <c r="S669" s="200"/>
      <c r="T669" s="200"/>
      <c r="U669" s="200"/>
      <c r="V669" s="201"/>
      <c r="W669" s="201"/>
      <c r="X669" s="201"/>
      <c r="Y669" s="201"/>
      <c r="Z669" s="201"/>
      <c r="AA669" s="201"/>
      <c r="AB669" s="201"/>
      <c r="AC669" s="201"/>
      <c r="AD669" s="201"/>
      <c r="AE669" s="201"/>
      <c r="AF669" s="201"/>
      <c r="AG669" s="201"/>
    </row>
    <row r="670" spans="1:34" ht="15.95" customHeight="1">
      <c r="A670" s="7"/>
      <c r="B670" s="10"/>
      <c r="C670" s="12"/>
      <c r="D670" s="200"/>
      <c r="E670" s="200"/>
      <c r="F670" s="199"/>
      <c r="G670" s="200"/>
      <c r="H670" s="199"/>
      <c r="I670" s="199"/>
      <c r="J670" s="200"/>
      <c r="K670" s="200"/>
      <c r="L670" s="289" t="s">
        <v>34</v>
      </c>
      <c r="M670" s="199"/>
      <c r="N670" s="40" t="str">
        <f t="shared" si="65"/>
        <v>FY2010-11</v>
      </c>
      <c r="O670" s="40" t="s">
        <v>155</v>
      </c>
      <c r="P670" s="40" t="s">
        <v>147</v>
      </c>
      <c r="Q670" s="40" t="s">
        <v>139</v>
      </c>
      <c r="R670" s="200"/>
      <c r="S670" s="200"/>
      <c r="T670" s="200"/>
      <c r="U670" s="200"/>
      <c r="V670" s="201"/>
      <c r="W670" s="201"/>
      <c r="X670" s="201"/>
      <c r="Y670" s="201"/>
      <c r="Z670" s="201"/>
      <c r="AA670" s="201"/>
      <c r="AB670" s="201"/>
      <c r="AC670" s="201"/>
      <c r="AD670" s="201"/>
      <c r="AE670" s="201"/>
      <c r="AF670" s="201"/>
      <c r="AG670" s="201"/>
    </row>
    <row r="671" spans="1:34" ht="15.95" customHeight="1">
      <c r="A671" s="7"/>
      <c r="B671" s="10"/>
      <c r="C671" s="12"/>
      <c r="D671" s="200"/>
      <c r="E671" s="200"/>
      <c r="F671" s="199"/>
      <c r="G671" s="200"/>
      <c r="H671" s="199"/>
      <c r="I671" s="199"/>
      <c r="J671" s="200"/>
      <c r="K671" s="200"/>
      <c r="L671" s="289" t="s">
        <v>34</v>
      </c>
      <c r="M671" s="199"/>
      <c r="N671" s="40" t="str">
        <f t="shared" si="65"/>
        <v>FY2010-11</v>
      </c>
      <c r="O671" s="40" t="s">
        <v>155</v>
      </c>
      <c r="P671" s="40" t="s">
        <v>147</v>
      </c>
      <c r="Q671" s="40" t="s">
        <v>139</v>
      </c>
      <c r="R671" s="200"/>
      <c r="S671" s="200"/>
      <c r="T671" s="200"/>
      <c r="U671" s="200"/>
      <c r="V671" s="201"/>
      <c r="W671" s="201"/>
      <c r="X671" s="201"/>
      <c r="Y671" s="201"/>
      <c r="Z671" s="201"/>
      <c r="AA671" s="201"/>
      <c r="AB671" s="201"/>
      <c r="AC671" s="201"/>
      <c r="AD671" s="201"/>
      <c r="AE671" s="201"/>
      <c r="AF671" s="201"/>
      <c r="AG671" s="201"/>
    </row>
    <row r="672" spans="1:34" ht="15.95" customHeight="1">
      <c r="A672" s="36"/>
      <c r="B672" s="33"/>
      <c r="C672" s="33"/>
      <c r="D672" s="34"/>
      <c r="E672" s="34"/>
      <c r="F672" s="35"/>
      <c r="G672" s="34"/>
      <c r="H672" s="35"/>
      <c r="I672" s="35"/>
      <c r="J672" s="34"/>
      <c r="K672" s="34"/>
      <c r="L672" s="288"/>
      <c r="M672" s="35"/>
      <c r="N672" s="35"/>
      <c r="O672" s="34"/>
      <c r="P672" s="35"/>
      <c r="Q672" s="35"/>
      <c r="R672" s="34"/>
      <c r="S672" s="34"/>
      <c r="T672" s="34"/>
      <c r="U672" s="34"/>
      <c r="V672" s="36"/>
      <c r="W672" s="36"/>
      <c r="X672" s="36"/>
      <c r="Y672" s="36"/>
      <c r="Z672" s="36"/>
      <c r="AA672" s="36"/>
      <c r="AB672" s="36"/>
      <c r="AC672" s="36"/>
      <c r="AD672" s="36"/>
      <c r="AE672" s="36"/>
      <c r="AF672" s="36"/>
      <c r="AG672" s="36"/>
    </row>
    <row r="673" spans="1:34"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66"/>
      <c r="T673" s="867" t="str">
        <f>'$REV-DB'!$T$34</f>
        <v>UD1</v>
      </c>
      <c r="U673" s="867" t="str">
        <f>'$REV-DB'!$U$34</f>
        <v>UD2</v>
      </c>
      <c r="V673" s="867" t="str">
        <f>'$REV-DB'!$V$34</f>
        <v>UD3</v>
      </c>
      <c r="W673" s="867" t="str">
        <f>'$REV-DB'!$W$34</f>
        <v>UD4</v>
      </c>
      <c r="X673" s="867" t="str">
        <f>'$REV-DB'!$X$34</f>
        <v>UD5</v>
      </c>
      <c r="Y673" s="867" t="str">
        <f>'$REV-DB'!$Y$34</f>
        <v>UD6</v>
      </c>
      <c r="Z673" s="867" t="str">
        <f>'$REV-DB'!$Z$34</f>
        <v>UD7</v>
      </c>
      <c r="AA673" s="867" t="str">
        <f>'$REV-DB'!$AA$34</f>
        <v>UD8</v>
      </c>
      <c r="AB673" s="867" t="str">
        <f>'$REV-DB'!$AB$34</f>
        <v>UD9</v>
      </c>
      <c r="AC673" s="867" t="str">
        <f>'$REV-DB'!$AC$34</f>
        <v>UD10</v>
      </c>
      <c r="AD673" s="867" t="str">
        <f>'$REV-DB'!$AD$34</f>
        <v>UD11</v>
      </c>
      <c r="AE673" s="867" t="str">
        <f>'$REV-DB'!$AE$34</f>
        <v>UD12</v>
      </c>
      <c r="AF673" s="867" t="str">
        <f>'$REV-DB'!$AF$34</f>
        <v>UD13</v>
      </c>
      <c r="AG673" s="867" t="str">
        <f>'$REV-DB'!$AG$34</f>
        <v>UD14</v>
      </c>
    </row>
    <row r="674" spans="1:34" ht="15.95" customHeight="1" thickTop="1" thickBot="1">
      <c r="A674" s="7"/>
      <c r="B674" s="20" t="s">
        <v>175</v>
      </c>
      <c r="C674" s="15"/>
      <c r="D674" s="105" t="s">
        <v>186</v>
      </c>
      <c r="E674" s="105" t="s">
        <v>187</v>
      </c>
      <c r="F674" s="105" t="s">
        <v>188</v>
      </c>
      <c r="G674" s="105" t="s">
        <v>189</v>
      </c>
      <c r="H674" s="301" t="s">
        <v>11</v>
      </c>
      <c r="I674" s="301" t="s">
        <v>190</v>
      </c>
      <c r="J674" s="301" t="s">
        <v>191</v>
      </c>
      <c r="K674" s="301" t="s">
        <v>192</v>
      </c>
      <c r="L674" s="301" t="s">
        <v>203</v>
      </c>
      <c r="M674" s="301" t="s">
        <v>42</v>
      </c>
      <c r="N674" s="105" t="s">
        <v>148</v>
      </c>
      <c r="O674" s="105" t="s">
        <v>193</v>
      </c>
      <c r="P674" s="105" t="s">
        <v>142</v>
      </c>
      <c r="Q674" s="105" t="s">
        <v>194</v>
      </c>
      <c r="R674" s="112" t="s">
        <v>141</v>
      </c>
      <c r="S674" s="112" t="s">
        <v>672</v>
      </c>
      <c r="T674" s="857" t="s">
        <v>541</v>
      </c>
      <c r="U674" s="857" t="s">
        <v>542</v>
      </c>
      <c r="V674" s="857" t="s">
        <v>543</v>
      </c>
      <c r="W674" s="857" t="s">
        <v>544</v>
      </c>
      <c r="X674" s="857" t="s">
        <v>545</v>
      </c>
      <c r="Y674" s="857" t="s">
        <v>546</v>
      </c>
      <c r="Z674" s="857" t="s">
        <v>547</v>
      </c>
      <c r="AA674" s="857" t="s">
        <v>548</v>
      </c>
      <c r="AB674" s="857" t="s">
        <v>549</v>
      </c>
      <c r="AC674" s="857" t="s">
        <v>550</v>
      </c>
      <c r="AD674" s="857" t="s">
        <v>551</v>
      </c>
      <c r="AE674" s="857" t="s">
        <v>552</v>
      </c>
      <c r="AF674" s="857" t="s">
        <v>553</v>
      </c>
      <c r="AG674" s="857" t="s">
        <v>554</v>
      </c>
      <c r="AH674" s="6"/>
    </row>
    <row r="675" spans="1:34" ht="15.95" customHeight="1" thickTop="1">
      <c r="A675" s="7"/>
      <c r="B675" s="19" t="s">
        <v>143</v>
      </c>
      <c r="C675" s="12"/>
      <c r="D675" s="200"/>
      <c r="E675" s="200"/>
      <c r="F675" s="199"/>
      <c r="G675" s="200"/>
      <c r="H675" s="199"/>
      <c r="I675" s="199"/>
      <c r="J675" s="200"/>
      <c r="K675" s="200"/>
      <c r="L675" s="289" t="s">
        <v>34</v>
      </c>
      <c r="M675" s="199"/>
      <c r="N675" s="40" t="str">
        <f>J$6</f>
        <v>FY2010-11</v>
      </c>
      <c r="O675" s="40" t="s">
        <v>155</v>
      </c>
      <c r="P675" s="40" t="s">
        <v>147</v>
      </c>
      <c r="Q675" s="40" t="s">
        <v>179</v>
      </c>
      <c r="R675" s="200"/>
      <c r="S675" s="200"/>
      <c r="T675" s="200"/>
      <c r="U675" s="200"/>
      <c r="V675" s="201"/>
      <c r="W675" s="201"/>
      <c r="X675" s="201"/>
      <c r="Y675" s="201"/>
      <c r="Z675" s="201"/>
      <c r="AA675" s="201"/>
      <c r="AB675" s="201"/>
      <c r="AC675" s="201"/>
      <c r="AD675" s="201"/>
      <c r="AE675" s="201"/>
      <c r="AF675" s="201"/>
      <c r="AG675" s="201"/>
      <c r="AH675" s="6"/>
    </row>
    <row r="676" spans="1:34" ht="15.95" customHeight="1">
      <c r="A676" s="7"/>
      <c r="B676" s="16">
        <f>DSUM('$REV-DB'!D35:AG67,"AMOUNT",'$REV-DSUM'!D674:AG681)</f>
        <v>0</v>
      </c>
      <c r="C676" s="12"/>
      <c r="D676" s="200"/>
      <c r="E676" s="200"/>
      <c r="F676" s="199"/>
      <c r="G676" s="200"/>
      <c r="H676" s="199"/>
      <c r="I676" s="199"/>
      <c r="J676" s="200"/>
      <c r="K676" s="200"/>
      <c r="L676" s="289" t="s">
        <v>34</v>
      </c>
      <c r="M676" s="199"/>
      <c r="N676" s="40" t="str">
        <f t="shared" ref="N676:N681" si="66">J$6</f>
        <v>FY2010-11</v>
      </c>
      <c r="O676" s="40" t="s">
        <v>155</v>
      </c>
      <c r="P676" s="40" t="s">
        <v>147</v>
      </c>
      <c r="Q676" s="40" t="s">
        <v>179</v>
      </c>
      <c r="R676" s="200"/>
      <c r="S676" s="200"/>
      <c r="T676" s="200"/>
      <c r="U676" s="200"/>
      <c r="V676" s="201"/>
      <c r="W676" s="201"/>
      <c r="X676" s="201"/>
      <c r="Y676" s="201"/>
      <c r="Z676" s="201"/>
      <c r="AA676" s="201"/>
      <c r="AB676" s="201"/>
      <c r="AC676" s="201"/>
      <c r="AD676" s="201"/>
      <c r="AE676" s="201"/>
      <c r="AF676" s="201"/>
      <c r="AG676" s="201"/>
      <c r="AH676" s="6"/>
    </row>
    <row r="677" spans="1:34" ht="15.95" customHeight="1">
      <c r="A677" s="7"/>
      <c r="B677" s="10"/>
      <c r="C677" s="12"/>
      <c r="D677" s="200"/>
      <c r="E677" s="200"/>
      <c r="F677" s="199"/>
      <c r="G677" s="200"/>
      <c r="H677" s="199"/>
      <c r="I677" s="199"/>
      <c r="J677" s="200"/>
      <c r="K677" s="200"/>
      <c r="L677" s="289" t="s">
        <v>34</v>
      </c>
      <c r="M677" s="199"/>
      <c r="N677" s="40" t="str">
        <f t="shared" si="66"/>
        <v>FY2010-11</v>
      </c>
      <c r="O677" s="40" t="s">
        <v>155</v>
      </c>
      <c r="P677" s="40" t="s">
        <v>147</v>
      </c>
      <c r="Q677" s="40" t="s">
        <v>179</v>
      </c>
      <c r="R677" s="200"/>
      <c r="S677" s="200"/>
      <c r="T677" s="200"/>
      <c r="U677" s="200"/>
      <c r="V677" s="201"/>
      <c r="W677" s="201"/>
      <c r="X677" s="201"/>
      <c r="Y677" s="201"/>
      <c r="Z677" s="201"/>
      <c r="AA677" s="201"/>
      <c r="AB677" s="201"/>
      <c r="AC677" s="201"/>
      <c r="AD677" s="201"/>
      <c r="AE677" s="201"/>
      <c r="AF677" s="201"/>
      <c r="AG677" s="201"/>
    </row>
    <row r="678" spans="1:34" ht="15.95" customHeight="1">
      <c r="A678" s="7"/>
      <c r="B678" s="10"/>
      <c r="C678" s="12"/>
      <c r="D678" s="200"/>
      <c r="E678" s="200"/>
      <c r="F678" s="199"/>
      <c r="G678" s="200"/>
      <c r="H678" s="199"/>
      <c r="I678" s="199"/>
      <c r="J678" s="200"/>
      <c r="K678" s="200"/>
      <c r="L678" s="289" t="s">
        <v>34</v>
      </c>
      <c r="M678" s="199"/>
      <c r="N678" s="40" t="str">
        <f t="shared" si="66"/>
        <v>FY2010-11</v>
      </c>
      <c r="O678" s="40" t="s">
        <v>155</v>
      </c>
      <c r="P678" s="40" t="s">
        <v>147</v>
      </c>
      <c r="Q678" s="40" t="s">
        <v>179</v>
      </c>
      <c r="R678" s="200"/>
      <c r="S678" s="200"/>
      <c r="T678" s="200"/>
      <c r="U678" s="200"/>
      <c r="V678" s="201"/>
      <c r="W678" s="201"/>
      <c r="X678" s="201"/>
      <c r="Y678" s="201"/>
      <c r="Z678" s="201"/>
      <c r="AA678" s="201"/>
      <c r="AB678" s="201"/>
      <c r="AC678" s="201"/>
      <c r="AD678" s="201"/>
      <c r="AE678" s="201"/>
      <c r="AF678" s="201"/>
      <c r="AG678" s="201"/>
    </row>
    <row r="679" spans="1:34" ht="15.95" customHeight="1">
      <c r="A679" s="7"/>
      <c r="B679" s="10"/>
      <c r="C679" s="12"/>
      <c r="D679" s="200"/>
      <c r="E679" s="200"/>
      <c r="F679" s="199"/>
      <c r="G679" s="200"/>
      <c r="H679" s="199"/>
      <c r="I679" s="199"/>
      <c r="J679" s="200"/>
      <c r="K679" s="200"/>
      <c r="L679" s="289" t="s">
        <v>34</v>
      </c>
      <c r="M679" s="199"/>
      <c r="N679" s="40" t="str">
        <f t="shared" si="66"/>
        <v>FY2010-11</v>
      </c>
      <c r="O679" s="40" t="s">
        <v>155</v>
      </c>
      <c r="P679" s="40" t="s">
        <v>147</v>
      </c>
      <c r="Q679" s="40" t="s">
        <v>179</v>
      </c>
      <c r="R679" s="200"/>
      <c r="S679" s="200"/>
      <c r="T679" s="200"/>
      <c r="U679" s="200"/>
      <c r="V679" s="201"/>
      <c r="W679" s="201"/>
      <c r="X679" s="201"/>
      <c r="Y679" s="201"/>
      <c r="Z679" s="201"/>
      <c r="AA679" s="201"/>
      <c r="AB679" s="201"/>
      <c r="AC679" s="201"/>
      <c r="AD679" s="201"/>
      <c r="AE679" s="201"/>
      <c r="AF679" s="201"/>
      <c r="AG679" s="201"/>
    </row>
    <row r="680" spans="1:34" ht="15.95" customHeight="1">
      <c r="A680" s="7"/>
      <c r="B680" s="10"/>
      <c r="C680" s="12"/>
      <c r="D680" s="200"/>
      <c r="E680" s="200"/>
      <c r="F680" s="199"/>
      <c r="G680" s="200"/>
      <c r="H680" s="199"/>
      <c r="I680" s="199"/>
      <c r="J680" s="200"/>
      <c r="K680" s="200"/>
      <c r="L680" s="289" t="s">
        <v>34</v>
      </c>
      <c r="M680" s="199"/>
      <c r="N680" s="40" t="str">
        <f t="shared" si="66"/>
        <v>FY2010-11</v>
      </c>
      <c r="O680" s="40" t="s">
        <v>155</v>
      </c>
      <c r="P680" s="40" t="s">
        <v>147</v>
      </c>
      <c r="Q680" s="40" t="s">
        <v>179</v>
      </c>
      <c r="R680" s="200"/>
      <c r="S680" s="200"/>
      <c r="T680" s="200"/>
      <c r="U680" s="200"/>
      <c r="V680" s="201"/>
      <c r="W680" s="201"/>
      <c r="X680" s="201"/>
      <c r="Y680" s="201"/>
      <c r="Z680" s="201"/>
      <c r="AA680" s="201"/>
      <c r="AB680" s="201"/>
      <c r="AC680" s="201"/>
      <c r="AD680" s="201"/>
      <c r="AE680" s="201"/>
      <c r="AF680" s="201"/>
      <c r="AG680" s="201"/>
    </row>
    <row r="681" spans="1:34" ht="15.95" customHeight="1">
      <c r="A681" s="7"/>
      <c r="B681" s="10"/>
      <c r="C681" s="12"/>
      <c r="D681" s="200"/>
      <c r="E681" s="200"/>
      <c r="F681" s="199"/>
      <c r="G681" s="200"/>
      <c r="H681" s="199"/>
      <c r="I681" s="199"/>
      <c r="J681" s="200"/>
      <c r="K681" s="200"/>
      <c r="L681" s="289" t="s">
        <v>34</v>
      </c>
      <c r="M681" s="199"/>
      <c r="N681" s="40" t="str">
        <f t="shared" si="66"/>
        <v>FY2010-11</v>
      </c>
      <c r="O681" s="40" t="s">
        <v>155</v>
      </c>
      <c r="P681" s="40" t="s">
        <v>147</v>
      </c>
      <c r="Q681" s="40" t="s">
        <v>179</v>
      </c>
      <c r="R681" s="200"/>
      <c r="S681" s="200"/>
      <c r="T681" s="200"/>
      <c r="U681" s="200"/>
      <c r="V681" s="201"/>
      <c r="W681" s="201"/>
      <c r="X681" s="201"/>
      <c r="Y681" s="201"/>
      <c r="Z681" s="201"/>
      <c r="AA681" s="201"/>
      <c r="AB681" s="201"/>
      <c r="AC681" s="201"/>
      <c r="AD681" s="201"/>
      <c r="AE681" s="201"/>
      <c r="AF681" s="201"/>
      <c r="AG681" s="201"/>
    </row>
    <row r="682" spans="1:34" ht="15.95" customHeight="1">
      <c r="A682" s="36"/>
      <c r="B682" s="33"/>
      <c r="C682" s="33"/>
      <c r="D682" s="34"/>
      <c r="E682" s="34"/>
      <c r="F682" s="35"/>
      <c r="G682" s="34"/>
      <c r="H682" s="35"/>
      <c r="I682" s="35"/>
      <c r="J682" s="34"/>
      <c r="K682" s="34"/>
      <c r="L682" s="288"/>
      <c r="M682" s="35"/>
      <c r="N682" s="35"/>
      <c r="O682" s="34"/>
      <c r="P682" s="35"/>
      <c r="Q682" s="35"/>
      <c r="R682" s="34"/>
      <c r="S682" s="34"/>
      <c r="T682" s="34"/>
      <c r="U682" s="34"/>
      <c r="V682" s="36"/>
      <c r="W682" s="36"/>
      <c r="X682" s="36"/>
      <c r="Y682" s="36"/>
      <c r="Z682" s="36"/>
      <c r="AA682" s="36"/>
      <c r="AB682" s="36"/>
      <c r="AC682" s="36"/>
      <c r="AD682" s="36"/>
      <c r="AE682" s="36"/>
      <c r="AF682" s="36"/>
      <c r="AG682" s="36"/>
    </row>
    <row r="683" spans="1:34"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66"/>
      <c r="T683" s="867" t="str">
        <f>'$REV-DB'!$T$34</f>
        <v>UD1</v>
      </c>
      <c r="U683" s="867" t="str">
        <f>'$REV-DB'!$U$34</f>
        <v>UD2</v>
      </c>
      <c r="V683" s="867" t="str">
        <f>'$REV-DB'!$V$34</f>
        <v>UD3</v>
      </c>
      <c r="W683" s="867" t="str">
        <f>'$REV-DB'!$W$34</f>
        <v>UD4</v>
      </c>
      <c r="X683" s="867" t="str">
        <f>'$REV-DB'!$X$34</f>
        <v>UD5</v>
      </c>
      <c r="Y683" s="867" t="str">
        <f>'$REV-DB'!$Y$34</f>
        <v>UD6</v>
      </c>
      <c r="Z683" s="867" t="str">
        <f>'$REV-DB'!$Z$34</f>
        <v>UD7</v>
      </c>
      <c r="AA683" s="867" t="str">
        <f>'$REV-DB'!$AA$34</f>
        <v>UD8</v>
      </c>
      <c r="AB683" s="867" t="str">
        <f>'$REV-DB'!$AB$34</f>
        <v>UD9</v>
      </c>
      <c r="AC683" s="867" t="str">
        <f>'$REV-DB'!$AC$34</f>
        <v>UD10</v>
      </c>
      <c r="AD683" s="867" t="str">
        <f>'$REV-DB'!$AD$34</f>
        <v>UD11</v>
      </c>
      <c r="AE683" s="867" t="str">
        <f>'$REV-DB'!$AE$34</f>
        <v>UD12</v>
      </c>
      <c r="AF683" s="867" t="str">
        <f>'$REV-DB'!$AF$34</f>
        <v>UD13</v>
      </c>
      <c r="AG683" s="867" t="str">
        <f>'$REV-DB'!$AG$34</f>
        <v>UD14</v>
      </c>
    </row>
    <row r="684" spans="1:34" ht="15.95" customHeight="1" thickTop="1" thickBot="1">
      <c r="A684" s="7"/>
      <c r="B684" s="20" t="s">
        <v>175</v>
      </c>
      <c r="C684" s="15"/>
      <c r="D684" s="105" t="s">
        <v>186</v>
      </c>
      <c r="E684" s="105" t="s">
        <v>187</v>
      </c>
      <c r="F684" s="105" t="s">
        <v>188</v>
      </c>
      <c r="G684" s="105" t="s">
        <v>189</v>
      </c>
      <c r="H684" s="301" t="s">
        <v>11</v>
      </c>
      <c r="I684" s="301" t="s">
        <v>190</v>
      </c>
      <c r="J684" s="301" t="s">
        <v>191</v>
      </c>
      <c r="K684" s="301" t="s">
        <v>192</v>
      </c>
      <c r="L684" s="301" t="s">
        <v>203</v>
      </c>
      <c r="M684" s="301" t="s">
        <v>42</v>
      </c>
      <c r="N684" s="105" t="s">
        <v>148</v>
      </c>
      <c r="O684" s="105" t="s">
        <v>193</v>
      </c>
      <c r="P684" s="105" t="s">
        <v>142</v>
      </c>
      <c r="Q684" s="105" t="s">
        <v>194</v>
      </c>
      <c r="R684" s="112" t="s">
        <v>141</v>
      </c>
      <c r="S684" s="112" t="s">
        <v>672</v>
      </c>
      <c r="T684" s="857" t="s">
        <v>541</v>
      </c>
      <c r="U684" s="857" t="s">
        <v>542</v>
      </c>
      <c r="V684" s="857" t="s">
        <v>543</v>
      </c>
      <c r="W684" s="857" t="s">
        <v>544</v>
      </c>
      <c r="X684" s="857" t="s">
        <v>545</v>
      </c>
      <c r="Y684" s="857" t="s">
        <v>546</v>
      </c>
      <c r="Z684" s="857" t="s">
        <v>547</v>
      </c>
      <c r="AA684" s="857" t="s">
        <v>548</v>
      </c>
      <c r="AB684" s="857" t="s">
        <v>549</v>
      </c>
      <c r="AC684" s="857" t="s">
        <v>550</v>
      </c>
      <c r="AD684" s="857" t="s">
        <v>551</v>
      </c>
      <c r="AE684" s="857" t="s">
        <v>552</v>
      </c>
      <c r="AF684" s="857" t="s">
        <v>553</v>
      </c>
      <c r="AG684" s="857" t="s">
        <v>554</v>
      </c>
      <c r="AH684" s="6"/>
    </row>
    <row r="685" spans="1:34" ht="15.95" customHeight="1" thickTop="1">
      <c r="A685" s="7"/>
      <c r="B685" s="19" t="s">
        <v>149</v>
      </c>
      <c r="C685" s="12"/>
      <c r="D685" s="200"/>
      <c r="E685" s="200"/>
      <c r="F685" s="199"/>
      <c r="G685" s="200"/>
      <c r="H685" s="199"/>
      <c r="I685" s="199"/>
      <c r="J685" s="200"/>
      <c r="K685" s="200"/>
      <c r="L685" s="289" t="s">
        <v>34</v>
      </c>
      <c r="M685" s="199"/>
      <c r="N685" s="40" t="str">
        <f>J$6</f>
        <v>FY2010-11</v>
      </c>
      <c r="O685" s="40" t="s">
        <v>155</v>
      </c>
      <c r="P685" s="40" t="s">
        <v>147</v>
      </c>
      <c r="Q685" s="40" t="s">
        <v>2</v>
      </c>
      <c r="R685" s="200"/>
      <c r="S685" s="200"/>
      <c r="T685" s="200"/>
      <c r="U685" s="200"/>
      <c r="V685" s="201"/>
      <c r="W685" s="201"/>
      <c r="X685" s="201"/>
      <c r="Y685" s="201"/>
      <c r="Z685" s="201"/>
      <c r="AA685" s="201"/>
      <c r="AB685" s="201"/>
      <c r="AC685" s="201"/>
      <c r="AD685" s="201"/>
      <c r="AE685" s="201"/>
      <c r="AF685" s="201"/>
      <c r="AG685" s="201"/>
      <c r="AH685" s="6"/>
    </row>
    <row r="686" spans="1:34" ht="15.95" customHeight="1">
      <c r="A686" s="7"/>
      <c r="B686" s="16">
        <f>DSUM('$REV-DB'!D35:AG67,"AMOUNT",'$REV-DSUM'!D684:AG691)</f>
        <v>0</v>
      </c>
      <c r="C686" s="12"/>
      <c r="D686" s="200"/>
      <c r="E686" s="200"/>
      <c r="F686" s="199"/>
      <c r="G686" s="200"/>
      <c r="H686" s="199"/>
      <c r="I686" s="199"/>
      <c r="J686" s="200"/>
      <c r="K686" s="200"/>
      <c r="L686" s="289" t="s">
        <v>34</v>
      </c>
      <c r="M686" s="199"/>
      <c r="N686" s="40" t="str">
        <f t="shared" ref="N686:N691" si="67">J$6</f>
        <v>FY2010-11</v>
      </c>
      <c r="O686" s="40" t="s">
        <v>155</v>
      </c>
      <c r="P686" s="40" t="s">
        <v>147</v>
      </c>
      <c r="Q686" s="40" t="s">
        <v>2</v>
      </c>
      <c r="R686" s="200"/>
      <c r="S686" s="200"/>
      <c r="T686" s="200"/>
      <c r="U686" s="200"/>
      <c r="V686" s="201"/>
      <c r="W686" s="201"/>
      <c r="X686" s="201"/>
      <c r="Y686" s="201"/>
      <c r="Z686" s="201"/>
      <c r="AA686" s="201"/>
      <c r="AB686" s="201"/>
      <c r="AC686" s="201"/>
      <c r="AD686" s="201"/>
      <c r="AE686" s="201"/>
      <c r="AF686" s="201"/>
      <c r="AG686" s="201"/>
      <c r="AH686" s="6"/>
    </row>
    <row r="687" spans="1:34" ht="15.95" customHeight="1">
      <c r="A687" s="7"/>
      <c r="B687" s="10"/>
      <c r="C687" s="12"/>
      <c r="D687" s="200"/>
      <c r="E687" s="200"/>
      <c r="F687" s="199"/>
      <c r="G687" s="200"/>
      <c r="H687" s="199"/>
      <c r="I687" s="199"/>
      <c r="J687" s="200"/>
      <c r="K687" s="200"/>
      <c r="L687" s="289" t="s">
        <v>34</v>
      </c>
      <c r="M687" s="199"/>
      <c r="N687" s="40" t="str">
        <f t="shared" si="67"/>
        <v>FY2010-11</v>
      </c>
      <c r="O687" s="40" t="s">
        <v>155</v>
      </c>
      <c r="P687" s="40" t="s">
        <v>147</v>
      </c>
      <c r="Q687" s="40" t="s">
        <v>2</v>
      </c>
      <c r="R687" s="200"/>
      <c r="S687" s="200"/>
      <c r="T687" s="200"/>
      <c r="U687" s="200"/>
      <c r="V687" s="201"/>
      <c r="W687" s="201"/>
      <c r="X687" s="201"/>
      <c r="Y687" s="201"/>
      <c r="Z687" s="201"/>
      <c r="AA687" s="201"/>
      <c r="AB687" s="201"/>
      <c r="AC687" s="201"/>
      <c r="AD687" s="201"/>
      <c r="AE687" s="201"/>
      <c r="AF687" s="201"/>
      <c r="AG687" s="201"/>
    </row>
    <row r="688" spans="1:34" ht="15.95" customHeight="1">
      <c r="A688" s="7"/>
      <c r="B688" s="10"/>
      <c r="C688" s="12"/>
      <c r="D688" s="200"/>
      <c r="E688" s="200"/>
      <c r="F688" s="199"/>
      <c r="G688" s="200"/>
      <c r="H688" s="199"/>
      <c r="I688" s="199"/>
      <c r="J688" s="200"/>
      <c r="K688" s="200"/>
      <c r="L688" s="289" t="s">
        <v>34</v>
      </c>
      <c r="M688" s="199"/>
      <c r="N688" s="40" t="str">
        <f t="shared" si="67"/>
        <v>FY2010-11</v>
      </c>
      <c r="O688" s="40" t="s">
        <v>155</v>
      </c>
      <c r="P688" s="40" t="s">
        <v>147</v>
      </c>
      <c r="Q688" s="40" t="s">
        <v>2</v>
      </c>
      <c r="R688" s="200"/>
      <c r="S688" s="200"/>
      <c r="T688" s="200"/>
      <c r="U688" s="200"/>
      <c r="V688" s="201"/>
      <c r="W688" s="201"/>
      <c r="X688" s="201"/>
      <c r="Y688" s="201"/>
      <c r="Z688" s="201"/>
      <c r="AA688" s="201"/>
      <c r="AB688" s="201"/>
      <c r="AC688" s="201"/>
      <c r="AD688" s="201"/>
      <c r="AE688" s="201"/>
      <c r="AF688" s="201"/>
      <c r="AG688" s="201"/>
    </row>
    <row r="689" spans="1:34" ht="15.95" customHeight="1">
      <c r="A689" s="7"/>
      <c r="B689" s="10"/>
      <c r="C689" s="12"/>
      <c r="D689" s="200"/>
      <c r="E689" s="200"/>
      <c r="F689" s="199"/>
      <c r="G689" s="200"/>
      <c r="H689" s="199"/>
      <c r="I689" s="199"/>
      <c r="J689" s="200"/>
      <c r="K689" s="200"/>
      <c r="L689" s="289" t="s">
        <v>34</v>
      </c>
      <c r="M689" s="199"/>
      <c r="N689" s="40" t="str">
        <f t="shared" si="67"/>
        <v>FY2010-11</v>
      </c>
      <c r="O689" s="40" t="s">
        <v>155</v>
      </c>
      <c r="P689" s="40" t="s">
        <v>147</v>
      </c>
      <c r="Q689" s="40" t="s">
        <v>2</v>
      </c>
      <c r="R689" s="200"/>
      <c r="S689" s="200"/>
      <c r="T689" s="200"/>
      <c r="U689" s="200"/>
      <c r="V689" s="201"/>
      <c r="W689" s="201"/>
      <c r="X689" s="201"/>
      <c r="Y689" s="201"/>
      <c r="Z689" s="201"/>
      <c r="AA689" s="201"/>
      <c r="AB689" s="201"/>
      <c r="AC689" s="201"/>
      <c r="AD689" s="201"/>
      <c r="AE689" s="201"/>
      <c r="AF689" s="201"/>
      <c r="AG689" s="201"/>
    </row>
    <row r="690" spans="1:34" ht="15.95" customHeight="1">
      <c r="A690" s="7"/>
      <c r="B690" s="10"/>
      <c r="C690" s="12"/>
      <c r="D690" s="200"/>
      <c r="E690" s="200"/>
      <c r="F690" s="199"/>
      <c r="G690" s="200"/>
      <c r="H690" s="199"/>
      <c r="I690" s="199"/>
      <c r="J690" s="200"/>
      <c r="K690" s="200"/>
      <c r="L690" s="289" t="s">
        <v>34</v>
      </c>
      <c r="M690" s="199"/>
      <c r="N690" s="40" t="str">
        <f t="shared" si="67"/>
        <v>FY2010-11</v>
      </c>
      <c r="O690" s="40" t="s">
        <v>155</v>
      </c>
      <c r="P690" s="40" t="s">
        <v>147</v>
      </c>
      <c r="Q690" s="40" t="s">
        <v>2</v>
      </c>
      <c r="R690" s="200"/>
      <c r="S690" s="200"/>
      <c r="T690" s="200"/>
      <c r="U690" s="200"/>
      <c r="V690" s="201"/>
      <c r="W690" s="201"/>
      <c r="X690" s="201"/>
      <c r="Y690" s="201"/>
      <c r="Z690" s="201"/>
      <c r="AA690" s="201"/>
      <c r="AB690" s="201"/>
      <c r="AC690" s="201"/>
      <c r="AD690" s="201"/>
      <c r="AE690" s="201"/>
      <c r="AF690" s="201"/>
      <c r="AG690" s="201"/>
    </row>
    <row r="691" spans="1:34" ht="15.95" customHeight="1">
      <c r="A691" s="7"/>
      <c r="B691" s="10"/>
      <c r="C691" s="12"/>
      <c r="D691" s="200"/>
      <c r="E691" s="200"/>
      <c r="F691" s="199"/>
      <c r="G691" s="200"/>
      <c r="H691" s="199"/>
      <c r="I691" s="199"/>
      <c r="J691" s="200"/>
      <c r="K691" s="200"/>
      <c r="L691" s="289" t="s">
        <v>34</v>
      </c>
      <c r="M691" s="199"/>
      <c r="N691" s="40" t="str">
        <f t="shared" si="67"/>
        <v>FY2010-11</v>
      </c>
      <c r="O691" s="40" t="s">
        <v>155</v>
      </c>
      <c r="P691" s="40" t="s">
        <v>147</v>
      </c>
      <c r="Q691" s="40" t="s">
        <v>2</v>
      </c>
      <c r="R691" s="200"/>
      <c r="S691" s="200"/>
      <c r="T691" s="200"/>
      <c r="U691" s="200"/>
      <c r="V691" s="201"/>
      <c r="W691" s="201"/>
      <c r="X691" s="201"/>
      <c r="Y691" s="201"/>
      <c r="Z691" s="201"/>
      <c r="AA691" s="201"/>
      <c r="AB691" s="201"/>
      <c r="AC691" s="201"/>
      <c r="AD691" s="201"/>
      <c r="AE691" s="201"/>
      <c r="AF691" s="201"/>
      <c r="AG691" s="201"/>
    </row>
    <row r="692" spans="1:34" ht="15.95" customHeight="1">
      <c r="A692" s="46"/>
      <c r="B692" s="33"/>
      <c r="C692" s="33"/>
      <c r="D692" s="34"/>
      <c r="E692" s="34"/>
      <c r="F692" s="35"/>
      <c r="G692" s="34"/>
      <c r="H692" s="35"/>
      <c r="I692" s="35"/>
      <c r="J692" s="34"/>
      <c r="K692" s="34"/>
      <c r="L692" s="288"/>
      <c r="M692" s="35"/>
      <c r="N692" s="35"/>
      <c r="O692" s="34"/>
      <c r="P692" s="35"/>
      <c r="Q692" s="35"/>
      <c r="R692" s="34"/>
      <c r="S692" s="34"/>
      <c r="T692" s="34"/>
      <c r="U692" s="34"/>
      <c r="V692" s="36"/>
      <c r="W692" s="36"/>
      <c r="X692" s="36"/>
      <c r="Y692" s="36"/>
      <c r="Z692" s="36"/>
      <c r="AA692" s="36"/>
      <c r="AB692" s="36"/>
      <c r="AC692" s="36"/>
      <c r="AD692" s="36"/>
      <c r="AE692" s="36"/>
      <c r="AF692" s="36"/>
      <c r="AG692" s="36"/>
    </row>
    <row r="693" spans="1:34"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66"/>
      <c r="T693" s="867" t="str">
        <f>'$REV-DB'!$T$34</f>
        <v>UD1</v>
      </c>
      <c r="U693" s="867" t="str">
        <f>'$REV-DB'!$U$34</f>
        <v>UD2</v>
      </c>
      <c r="V693" s="867" t="str">
        <f>'$REV-DB'!$V$34</f>
        <v>UD3</v>
      </c>
      <c r="W693" s="867" t="str">
        <f>'$REV-DB'!$W$34</f>
        <v>UD4</v>
      </c>
      <c r="X693" s="867" t="str">
        <f>'$REV-DB'!$X$34</f>
        <v>UD5</v>
      </c>
      <c r="Y693" s="867" t="str">
        <f>'$REV-DB'!$Y$34</f>
        <v>UD6</v>
      </c>
      <c r="Z693" s="867" t="str">
        <f>'$REV-DB'!$Z$34</f>
        <v>UD7</v>
      </c>
      <c r="AA693" s="867" t="str">
        <f>'$REV-DB'!$AA$34</f>
        <v>UD8</v>
      </c>
      <c r="AB693" s="867" t="str">
        <f>'$REV-DB'!$AB$34</f>
        <v>UD9</v>
      </c>
      <c r="AC693" s="867" t="str">
        <f>'$REV-DB'!$AC$34</f>
        <v>UD10</v>
      </c>
      <c r="AD693" s="867" t="str">
        <f>'$REV-DB'!$AD$34</f>
        <v>UD11</v>
      </c>
      <c r="AE693" s="867" t="str">
        <f>'$REV-DB'!$AE$34</f>
        <v>UD12</v>
      </c>
      <c r="AF693" s="867" t="str">
        <f>'$REV-DB'!$AF$34</f>
        <v>UD13</v>
      </c>
      <c r="AG693" s="867" t="str">
        <f>'$REV-DB'!$AG$34</f>
        <v>UD14</v>
      </c>
    </row>
    <row r="694" spans="1:34" ht="15.95" customHeight="1" thickTop="1" thickBot="1">
      <c r="A694" s="7"/>
      <c r="B694" s="20" t="s">
        <v>175</v>
      </c>
      <c r="C694" s="15"/>
      <c r="D694" s="276" t="s">
        <v>186</v>
      </c>
      <c r="E694" s="276" t="s">
        <v>187</v>
      </c>
      <c r="F694" s="276" t="s">
        <v>188</v>
      </c>
      <c r="G694" s="276" t="s">
        <v>189</v>
      </c>
      <c r="H694" s="301" t="s">
        <v>11</v>
      </c>
      <c r="I694" s="301" t="s">
        <v>190</v>
      </c>
      <c r="J694" s="301" t="s">
        <v>191</v>
      </c>
      <c r="K694" s="301" t="s">
        <v>192</v>
      </c>
      <c r="L694" s="301" t="s">
        <v>203</v>
      </c>
      <c r="M694" s="301" t="s">
        <v>42</v>
      </c>
      <c r="N694" s="276" t="s">
        <v>148</v>
      </c>
      <c r="O694" s="276" t="s">
        <v>193</v>
      </c>
      <c r="P694" s="276" t="s">
        <v>142</v>
      </c>
      <c r="Q694" s="276" t="s">
        <v>194</v>
      </c>
      <c r="R694" s="112" t="s">
        <v>141</v>
      </c>
      <c r="S694" s="112" t="s">
        <v>672</v>
      </c>
      <c r="T694" s="857" t="s">
        <v>541</v>
      </c>
      <c r="U694" s="857" t="s">
        <v>542</v>
      </c>
      <c r="V694" s="857" t="s">
        <v>543</v>
      </c>
      <c r="W694" s="857" t="s">
        <v>544</v>
      </c>
      <c r="X694" s="857" t="s">
        <v>545</v>
      </c>
      <c r="Y694" s="857" t="s">
        <v>546</v>
      </c>
      <c r="Z694" s="857" t="s">
        <v>547</v>
      </c>
      <c r="AA694" s="857" t="s">
        <v>548</v>
      </c>
      <c r="AB694" s="857" t="s">
        <v>549</v>
      </c>
      <c r="AC694" s="857" t="s">
        <v>550</v>
      </c>
      <c r="AD694" s="857" t="s">
        <v>551</v>
      </c>
      <c r="AE694" s="857" t="s">
        <v>552</v>
      </c>
      <c r="AF694" s="857" t="s">
        <v>553</v>
      </c>
      <c r="AG694" s="857" t="s">
        <v>554</v>
      </c>
      <c r="AH694" s="6"/>
    </row>
    <row r="695" spans="1:34" ht="15.95" customHeight="1" thickTop="1">
      <c r="A695" s="7"/>
      <c r="B695" s="19" t="s">
        <v>364</v>
      </c>
      <c r="C695" s="12"/>
      <c r="D695" s="200"/>
      <c r="E695" s="200"/>
      <c r="F695" s="199"/>
      <c r="G695" s="200"/>
      <c r="H695" s="199"/>
      <c r="I695" s="199"/>
      <c r="J695" s="200"/>
      <c r="K695" s="200"/>
      <c r="L695" s="289" t="s">
        <v>34</v>
      </c>
      <c r="M695" s="199"/>
      <c r="N695" s="40" t="str">
        <f>J$6</f>
        <v>FY2010-11</v>
      </c>
      <c r="O695" s="40" t="s">
        <v>155</v>
      </c>
      <c r="P695" s="40" t="s">
        <v>147</v>
      </c>
      <c r="Q695" s="40" t="s">
        <v>70</v>
      </c>
      <c r="R695" s="200"/>
      <c r="S695" s="200"/>
      <c r="T695" s="200"/>
      <c r="U695" s="200"/>
      <c r="V695" s="201"/>
      <c r="W695" s="201"/>
      <c r="X695" s="201"/>
      <c r="Y695" s="201"/>
      <c r="Z695" s="201"/>
      <c r="AA695" s="201"/>
      <c r="AB695" s="201"/>
      <c r="AC695" s="201"/>
      <c r="AD695" s="201"/>
      <c r="AE695" s="201"/>
      <c r="AF695" s="201"/>
      <c r="AG695" s="201"/>
      <c r="AH695" s="6"/>
    </row>
    <row r="696" spans="1:34" ht="15.95" customHeight="1">
      <c r="A696" s="7"/>
      <c r="B696" s="16">
        <f>DSUM('$REV-DB'!D35:AG67,"AMOUNT",'$REV-DSUM'!D694:AG701)</f>
        <v>0</v>
      </c>
      <c r="C696" s="12"/>
      <c r="D696" s="200"/>
      <c r="E696" s="200"/>
      <c r="F696" s="199"/>
      <c r="G696" s="200"/>
      <c r="H696" s="199"/>
      <c r="I696" s="199"/>
      <c r="J696" s="200"/>
      <c r="K696" s="200"/>
      <c r="L696" s="289" t="s">
        <v>34</v>
      </c>
      <c r="M696" s="199"/>
      <c r="N696" s="40" t="str">
        <f t="shared" ref="N696:N701" si="68">J$6</f>
        <v>FY2010-11</v>
      </c>
      <c r="O696" s="40" t="s">
        <v>155</v>
      </c>
      <c r="P696" s="40" t="s">
        <v>147</v>
      </c>
      <c r="Q696" s="40" t="s">
        <v>70</v>
      </c>
      <c r="R696" s="200"/>
      <c r="S696" s="200"/>
      <c r="T696" s="200"/>
      <c r="U696" s="200"/>
      <c r="V696" s="201"/>
      <c r="W696" s="201"/>
      <c r="X696" s="201"/>
      <c r="Y696" s="201"/>
      <c r="Z696" s="201"/>
      <c r="AA696" s="201"/>
      <c r="AB696" s="201"/>
      <c r="AC696" s="201"/>
      <c r="AD696" s="201"/>
      <c r="AE696" s="201"/>
      <c r="AF696" s="201"/>
      <c r="AG696" s="201"/>
      <c r="AH696" s="6"/>
    </row>
    <row r="697" spans="1:34" ht="15.95" customHeight="1">
      <c r="A697" s="7"/>
      <c r="B697" s="10"/>
      <c r="C697" s="12"/>
      <c r="D697" s="200"/>
      <c r="E697" s="200"/>
      <c r="F697" s="199"/>
      <c r="G697" s="200"/>
      <c r="H697" s="199"/>
      <c r="I697" s="199"/>
      <c r="J697" s="200"/>
      <c r="K697" s="200"/>
      <c r="L697" s="289" t="s">
        <v>34</v>
      </c>
      <c r="M697" s="199"/>
      <c r="N697" s="40" t="str">
        <f t="shared" si="68"/>
        <v>FY2010-11</v>
      </c>
      <c r="O697" s="40" t="s">
        <v>155</v>
      </c>
      <c r="P697" s="40" t="s">
        <v>147</v>
      </c>
      <c r="Q697" s="40" t="s">
        <v>70</v>
      </c>
      <c r="R697" s="200"/>
      <c r="S697" s="200"/>
      <c r="T697" s="200"/>
      <c r="U697" s="200"/>
      <c r="V697" s="201"/>
      <c r="W697" s="201"/>
      <c r="X697" s="201"/>
      <c r="Y697" s="201"/>
      <c r="Z697" s="201"/>
      <c r="AA697" s="201"/>
      <c r="AB697" s="201"/>
      <c r="AC697" s="201"/>
      <c r="AD697" s="201"/>
      <c r="AE697" s="201"/>
      <c r="AF697" s="201"/>
      <c r="AG697" s="201"/>
    </row>
    <row r="698" spans="1:34" ht="15.95" customHeight="1">
      <c r="A698" s="7"/>
      <c r="B698" s="10"/>
      <c r="C698" s="12"/>
      <c r="D698" s="200"/>
      <c r="E698" s="200"/>
      <c r="F698" s="199"/>
      <c r="G698" s="200"/>
      <c r="H698" s="199"/>
      <c r="I698" s="199"/>
      <c r="J698" s="200"/>
      <c r="K698" s="200"/>
      <c r="L698" s="289" t="s">
        <v>34</v>
      </c>
      <c r="M698" s="199"/>
      <c r="N698" s="40" t="str">
        <f t="shared" si="68"/>
        <v>FY2010-11</v>
      </c>
      <c r="O698" s="40" t="s">
        <v>155</v>
      </c>
      <c r="P698" s="40" t="s">
        <v>147</v>
      </c>
      <c r="Q698" s="40" t="s">
        <v>70</v>
      </c>
      <c r="R698" s="200"/>
      <c r="S698" s="200"/>
      <c r="T698" s="200"/>
      <c r="U698" s="200"/>
      <c r="V698" s="201"/>
      <c r="W698" s="201"/>
      <c r="X698" s="201"/>
      <c r="Y698" s="201"/>
      <c r="Z698" s="201"/>
      <c r="AA698" s="201"/>
      <c r="AB698" s="201"/>
      <c r="AC698" s="201"/>
      <c r="AD698" s="201"/>
      <c r="AE698" s="201"/>
      <c r="AF698" s="201"/>
      <c r="AG698" s="201"/>
    </row>
    <row r="699" spans="1:34" ht="15.95" customHeight="1">
      <c r="A699" s="7"/>
      <c r="B699" s="10"/>
      <c r="C699" s="12"/>
      <c r="D699" s="200"/>
      <c r="E699" s="200"/>
      <c r="F699" s="199"/>
      <c r="G699" s="200"/>
      <c r="H699" s="199"/>
      <c r="I699" s="199"/>
      <c r="J699" s="200"/>
      <c r="K699" s="200"/>
      <c r="L699" s="289" t="s">
        <v>34</v>
      </c>
      <c r="M699" s="199"/>
      <c r="N699" s="40" t="str">
        <f t="shared" si="68"/>
        <v>FY2010-11</v>
      </c>
      <c r="O699" s="40" t="s">
        <v>155</v>
      </c>
      <c r="P699" s="40" t="s">
        <v>147</v>
      </c>
      <c r="Q699" s="40" t="s">
        <v>70</v>
      </c>
      <c r="R699" s="200"/>
      <c r="S699" s="200"/>
      <c r="T699" s="200"/>
      <c r="U699" s="200"/>
      <c r="V699" s="201"/>
      <c r="W699" s="201"/>
      <c r="X699" s="201"/>
      <c r="Y699" s="201"/>
      <c r="Z699" s="201"/>
      <c r="AA699" s="201"/>
      <c r="AB699" s="201"/>
      <c r="AC699" s="201"/>
      <c r="AD699" s="201"/>
      <c r="AE699" s="201"/>
      <c r="AF699" s="201"/>
      <c r="AG699" s="201"/>
    </row>
    <row r="700" spans="1:34" ht="15.95" customHeight="1">
      <c r="A700" s="7"/>
      <c r="B700" s="10"/>
      <c r="C700" s="12"/>
      <c r="D700" s="200"/>
      <c r="E700" s="200"/>
      <c r="F700" s="199"/>
      <c r="G700" s="200"/>
      <c r="H700" s="199"/>
      <c r="I700" s="199"/>
      <c r="J700" s="200"/>
      <c r="K700" s="200"/>
      <c r="L700" s="289" t="s">
        <v>34</v>
      </c>
      <c r="M700" s="199"/>
      <c r="N700" s="40" t="str">
        <f t="shared" si="68"/>
        <v>FY2010-11</v>
      </c>
      <c r="O700" s="40" t="s">
        <v>155</v>
      </c>
      <c r="P700" s="40" t="s">
        <v>147</v>
      </c>
      <c r="Q700" s="40" t="s">
        <v>70</v>
      </c>
      <c r="R700" s="200"/>
      <c r="S700" s="200"/>
      <c r="T700" s="200"/>
      <c r="U700" s="200"/>
      <c r="V700" s="201"/>
      <c r="W700" s="201"/>
      <c r="X700" s="201"/>
      <c r="Y700" s="201"/>
      <c r="Z700" s="201"/>
      <c r="AA700" s="201"/>
      <c r="AB700" s="201"/>
      <c r="AC700" s="201"/>
      <c r="AD700" s="201"/>
      <c r="AE700" s="201"/>
      <c r="AF700" s="201"/>
      <c r="AG700" s="201"/>
    </row>
    <row r="701" spans="1:34" ht="15.95" customHeight="1">
      <c r="A701" s="7"/>
      <c r="B701" s="10"/>
      <c r="C701" s="12"/>
      <c r="D701" s="200"/>
      <c r="E701" s="200"/>
      <c r="F701" s="199"/>
      <c r="G701" s="200"/>
      <c r="H701" s="199"/>
      <c r="I701" s="199"/>
      <c r="J701" s="200"/>
      <c r="K701" s="200"/>
      <c r="L701" s="289" t="s">
        <v>34</v>
      </c>
      <c r="M701" s="199"/>
      <c r="N701" s="40" t="str">
        <f t="shared" si="68"/>
        <v>FY2010-11</v>
      </c>
      <c r="O701" s="40" t="s">
        <v>155</v>
      </c>
      <c r="P701" s="40" t="s">
        <v>147</v>
      </c>
      <c r="Q701" s="40" t="s">
        <v>70</v>
      </c>
      <c r="R701" s="200"/>
      <c r="S701" s="200"/>
      <c r="T701" s="200"/>
      <c r="U701" s="200"/>
      <c r="V701" s="201"/>
      <c r="W701" s="201"/>
      <c r="X701" s="201"/>
      <c r="Y701" s="201"/>
      <c r="Z701" s="201"/>
      <c r="AA701" s="201"/>
      <c r="AB701" s="201"/>
      <c r="AC701" s="201"/>
      <c r="AD701" s="201"/>
      <c r="AE701" s="201"/>
      <c r="AF701" s="201"/>
      <c r="AG701" s="201"/>
    </row>
    <row r="702" spans="1:34" ht="15.95" customHeight="1">
      <c r="A702" s="46"/>
      <c r="B702" s="33"/>
      <c r="C702" s="33"/>
      <c r="D702" s="34"/>
      <c r="E702" s="34"/>
      <c r="F702" s="35"/>
      <c r="G702" s="34"/>
      <c r="H702" s="35"/>
      <c r="I702" s="35"/>
      <c r="J702" s="34"/>
      <c r="K702" s="34"/>
      <c r="L702" s="288"/>
      <c r="M702" s="35"/>
      <c r="N702" s="35"/>
      <c r="O702" s="34"/>
      <c r="P702" s="35"/>
      <c r="Q702" s="35"/>
      <c r="R702" s="34"/>
      <c r="S702" s="34"/>
      <c r="T702" s="34"/>
      <c r="U702" s="34"/>
      <c r="V702" s="36"/>
      <c r="W702" s="36"/>
      <c r="X702" s="36"/>
      <c r="Y702" s="36"/>
      <c r="Z702" s="36"/>
      <c r="AA702" s="36"/>
      <c r="AB702" s="36"/>
      <c r="AC702" s="36"/>
      <c r="AD702" s="36"/>
      <c r="AE702" s="36"/>
      <c r="AF702" s="36"/>
      <c r="AG702" s="36"/>
    </row>
    <row r="703" spans="1:34"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66"/>
      <c r="T703" s="867" t="str">
        <f>'$REV-DB'!$T$34</f>
        <v>UD1</v>
      </c>
      <c r="U703" s="867" t="str">
        <f>'$REV-DB'!$U$34</f>
        <v>UD2</v>
      </c>
      <c r="V703" s="867" t="str">
        <f>'$REV-DB'!$V$34</f>
        <v>UD3</v>
      </c>
      <c r="W703" s="867" t="str">
        <f>'$REV-DB'!$W$34</f>
        <v>UD4</v>
      </c>
      <c r="X703" s="867" t="str">
        <f>'$REV-DB'!$X$34</f>
        <v>UD5</v>
      </c>
      <c r="Y703" s="867" t="str">
        <f>'$REV-DB'!$Y$34</f>
        <v>UD6</v>
      </c>
      <c r="Z703" s="867" t="str">
        <f>'$REV-DB'!$Z$34</f>
        <v>UD7</v>
      </c>
      <c r="AA703" s="867" t="str">
        <f>'$REV-DB'!$AA$34</f>
        <v>UD8</v>
      </c>
      <c r="AB703" s="867" t="str">
        <f>'$REV-DB'!$AB$34</f>
        <v>UD9</v>
      </c>
      <c r="AC703" s="867" t="str">
        <f>'$REV-DB'!$AC$34</f>
        <v>UD10</v>
      </c>
      <c r="AD703" s="867" t="str">
        <f>'$REV-DB'!$AD$34</f>
        <v>UD11</v>
      </c>
      <c r="AE703" s="867" t="str">
        <f>'$REV-DB'!$AE$34</f>
        <v>UD12</v>
      </c>
      <c r="AF703" s="867" t="str">
        <f>'$REV-DB'!$AF$34</f>
        <v>UD13</v>
      </c>
      <c r="AG703" s="867" t="str">
        <f>'$REV-DB'!$AG$34</f>
        <v>UD14</v>
      </c>
    </row>
    <row r="704" spans="1:34" ht="15.95" customHeight="1" thickTop="1" thickBot="1">
      <c r="A704" s="7"/>
      <c r="B704" s="20" t="s">
        <v>175</v>
      </c>
      <c r="C704" s="15"/>
      <c r="D704" s="105" t="s">
        <v>186</v>
      </c>
      <c r="E704" s="105" t="s">
        <v>187</v>
      </c>
      <c r="F704" s="105" t="s">
        <v>188</v>
      </c>
      <c r="G704" s="105" t="s">
        <v>189</v>
      </c>
      <c r="H704" s="301" t="s">
        <v>11</v>
      </c>
      <c r="I704" s="301" t="s">
        <v>190</v>
      </c>
      <c r="J704" s="301" t="s">
        <v>191</v>
      </c>
      <c r="K704" s="301" t="s">
        <v>192</v>
      </c>
      <c r="L704" s="301" t="s">
        <v>203</v>
      </c>
      <c r="M704" s="301" t="s">
        <v>42</v>
      </c>
      <c r="N704" s="105" t="s">
        <v>148</v>
      </c>
      <c r="O704" s="105" t="s">
        <v>193</v>
      </c>
      <c r="P704" s="105" t="s">
        <v>142</v>
      </c>
      <c r="Q704" s="105" t="s">
        <v>194</v>
      </c>
      <c r="R704" s="112" t="s">
        <v>141</v>
      </c>
      <c r="S704" s="112" t="s">
        <v>672</v>
      </c>
      <c r="T704" s="857" t="s">
        <v>541</v>
      </c>
      <c r="U704" s="857" t="s">
        <v>542</v>
      </c>
      <c r="V704" s="857" t="s">
        <v>543</v>
      </c>
      <c r="W704" s="857" t="s">
        <v>544</v>
      </c>
      <c r="X704" s="857" t="s">
        <v>545</v>
      </c>
      <c r="Y704" s="857" t="s">
        <v>546</v>
      </c>
      <c r="Z704" s="857" t="s">
        <v>547</v>
      </c>
      <c r="AA704" s="857" t="s">
        <v>548</v>
      </c>
      <c r="AB704" s="857" t="s">
        <v>549</v>
      </c>
      <c r="AC704" s="857" t="s">
        <v>550</v>
      </c>
      <c r="AD704" s="857" t="s">
        <v>551</v>
      </c>
      <c r="AE704" s="857" t="s">
        <v>552</v>
      </c>
      <c r="AF704" s="857" t="s">
        <v>553</v>
      </c>
      <c r="AG704" s="857" t="s">
        <v>554</v>
      </c>
      <c r="AH704" s="6"/>
    </row>
    <row r="705" spans="1:34" ht="15.95" customHeight="1" thickTop="1">
      <c r="A705" s="7"/>
      <c r="B705" s="19" t="s">
        <v>150</v>
      </c>
      <c r="C705" s="12"/>
      <c r="D705" s="200"/>
      <c r="E705" s="200"/>
      <c r="F705" s="199"/>
      <c r="G705" s="200"/>
      <c r="H705" s="199"/>
      <c r="I705" s="199"/>
      <c r="J705" s="200"/>
      <c r="K705" s="200"/>
      <c r="L705" s="289" t="s">
        <v>34</v>
      </c>
      <c r="M705" s="199"/>
      <c r="N705" s="40" t="str">
        <f>J$6</f>
        <v>FY2010-11</v>
      </c>
      <c r="O705" s="40" t="s">
        <v>155</v>
      </c>
      <c r="P705" s="40" t="s">
        <v>147</v>
      </c>
      <c r="Q705" s="40" t="s">
        <v>140</v>
      </c>
      <c r="R705" s="200"/>
      <c r="S705" s="200"/>
      <c r="T705" s="200"/>
      <c r="U705" s="200"/>
      <c r="V705" s="201"/>
      <c r="W705" s="201"/>
      <c r="X705" s="201"/>
      <c r="Y705" s="201"/>
      <c r="Z705" s="201"/>
      <c r="AA705" s="201"/>
      <c r="AB705" s="201"/>
      <c r="AC705" s="201"/>
      <c r="AD705" s="201"/>
      <c r="AE705" s="201"/>
      <c r="AF705" s="201"/>
      <c r="AG705" s="201"/>
      <c r="AH705" s="6"/>
    </row>
    <row r="706" spans="1:34" ht="15.95" customHeight="1">
      <c r="A706" s="7"/>
      <c r="B706" s="16">
        <f>DSUM('$REV-DB'!D35:AG67,"AMOUNT",'$REV-DSUM'!D704:AG711)</f>
        <v>0</v>
      </c>
      <c r="C706" s="12"/>
      <c r="D706" s="200"/>
      <c r="E706" s="200"/>
      <c r="F706" s="199"/>
      <c r="G706" s="200"/>
      <c r="H706" s="199"/>
      <c r="I706" s="199"/>
      <c r="J706" s="200"/>
      <c r="K706" s="200"/>
      <c r="L706" s="289" t="s">
        <v>34</v>
      </c>
      <c r="M706" s="199"/>
      <c r="N706" s="40" t="str">
        <f t="shared" ref="N706:N711" si="69">J$6</f>
        <v>FY2010-11</v>
      </c>
      <c r="O706" s="40" t="s">
        <v>155</v>
      </c>
      <c r="P706" s="40" t="s">
        <v>147</v>
      </c>
      <c r="Q706" s="40" t="s">
        <v>140</v>
      </c>
      <c r="R706" s="200"/>
      <c r="S706" s="200"/>
      <c r="T706" s="200"/>
      <c r="U706" s="200"/>
      <c r="V706" s="201"/>
      <c r="W706" s="201"/>
      <c r="X706" s="201"/>
      <c r="Y706" s="201"/>
      <c r="Z706" s="201"/>
      <c r="AA706" s="201"/>
      <c r="AB706" s="201"/>
      <c r="AC706" s="201"/>
      <c r="AD706" s="201"/>
      <c r="AE706" s="201"/>
      <c r="AF706" s="201"/>
      <c r="AG706" s="201"/>
      <c r="AH706" s="6"/>
    </row>
    <row r="707" spans="1:34" ht="15.95" customHeight="1">
      <c r="A707" s="7"/>
      <c r="B707" s="10"/>
      <c r="C707" s="12"/>
      <c r="D707" s="200"/>
      <c r="E707" s="200"/>
      <c r="F707" s="199"/>
      <c r="G707" s="200"/>
      <c r="H707" s="199"/>
      <c r="I707" s="199"/>
      <c r="J707" s="200"/>
      <c r="K707" s="200"/>
      <c r="L707" s="289" t="s">
        <v>34</v>
      </c>
      <c r="M707" s="199"/>
      <c r="N707" s="40" t="str">
        <f t="shared" si="69"/>
        <v>FY2010-11</v>
      </c>
      <c r="O707" s="40" t="s">
        <v>155</v>
      </c>
      <c r="P707" s="40" t="s">
        <v>147</v>
      </c>
      <c r="Q707" s="40" t="s">
        <v>140</v>
      </c>
      <c r="R707" s="200"/>
      <c r="S707" s="200"/>
      <c r="T707" s="200"/>
      <c r="U707" s="200"/>
      <c r="V707" s="201"/>
      <c r="W707" s="201"/>
      <c r="X707" s="201"/>
      <c r="Y707" s="201"/>
      <c r="Z707" s="201"/>
      <c r="AA707" s="201"/>
      <c r="AB707" s="201"/>
      <c r="AC707" s="201"/>
      <c r="AD707" s="201"/>
      <c r="AE707" s="201"/>
      <c r="AF707" s="201"/>
      <c r="AG707" s="201"/>
    </row>
    <row r="708" spans="1:34" ht="15.95" customHeight="1">
      <c r="A708" s="7"/>
      <c r="B708" s="10"/>
      <c r="C708" s="12"/>
      <c r="D708" s="200"/>
      <c r="E708" s="200"/>
      <c r="F708" s="199"/>
      <c r="G708" s="200"/>
      <c r="H708" s="199"/>
      <c r="I708" s="199"/>
      <c r="J708" s="200"/>
      <c r="K708" s="200"/>
      <c r="L708" s="289" t="s">
        <v>34</v>
      </c>
      <c r="M708" s="199"/>
      <c r="N708" s="40" t="str">
        <f t="shared" si="69"/>
        <v>FY2010-11</v>
      </c>
      <c r="O708" s="40" t="s">
        <v>155</v>
      </c>
      <c r="P708" s="40" t="s">
        <v>147</v>
      </c>
      <c r="Q708" s="40" t="s">
        <v>140</v>
      </c>
      <c r="R708" s="200"/>
      <c r="S708" s="200"/>
      <c r="T708" s="200"/>
      <c r="U708" s="200"/>
      <c r="V708" s="201"/>
      <c r="W708" s="201"/>
      <c r="X708" s="201"/>
      <c r="Y708" s="201"/>
      <c r="Z708" s="201"/>
      <c r="AA708" s="201"/>
      <c r="AB708" s="201"/>
      <c r="AC708" s="201"/>
      <c r="AD708" s="201"/>
      <c r="AE708" s="201"/>
      <c r="AF708" s="201"/>
      <c r="AG708" s="201"/>
    </row>
    <row r="709" spans="1:34" ht="15.95" customHeight="1">
      <c r="A709" s="7"/>
      <c r="B709" s="10"/>
      <c r="C709" s="12"/>
      <c r="D709" s="200"/>
      <c r="E709" s="200"/>
      <c r="F709" s="199"/>
      <c r="G709" s="200"/>
      <c r="H709" s="199"/>
      <c r="I709" s="199"/>
      <c r="J709" s="200"/>
      <c r="K709" s="200"/>
      <c r="L709" s="289" t="s">
        <v>34</v>
      </c>
      <c r="M709" s="199"/>
      <c r="N709" s="40" t="str">
        <f t="shared" si="69"/>
        <v>FY2010-11</v>
      </c>
      <c r="O709" s="40" t="s">
        <v>155</v>
      </c>
      <c r="P709" s="40" t="s">
        <v>147</v>
      </c>
      <c r="Q709" s="40" t="s">
        <v>140</v>
      </c>
      <c r="R709" s="200"/>
      <c r="S709" s="200"/>
      <c r="T709" s="200"/>
      <c r="U709" s="200"/>
      <c r="V709" s="201"/>
      <c r="W709" s="201"/>
      <c r="X709" s="201"/>
      <c r="Y709" s="201"/>
      <c r="Z709" s="201"/>
      <c r="AA709" s="201"/>
      <c r="AB709" s="201"/>
      <c r="AC709" s="201"/>
      <c r="AD709" s="201"/>
      <c r="AE709" s="201"/>
      <c r="AF709" s="201"/>
      <c r="AG709" s="201"/>
    </row>
    <row r="710" spans="1:34" ht="15.95" customHeight="1">
      <c r="A710" s="7"/>
      <c r="B710" s="10"/>
      <c r="C710" s="12"/>
      <c r="D710" s="200"/>
      <c r="E710" s="200"/>
      <c r="F710" s="199"/>
      <c r="G710" s="200"/>
      <c r="H710" s="199"/>
      <c r="I710" s="199"/>
      <c r="J710" s="200"/>
      <c r="K710" s="200"/>
      <c r="L710" s="289" t="s">
        <v>34</v>
      </c>
      <c r="M710" s="199"/>
      <c r="N710" s="40" t="str">
        <f t="shared" si="69"/>
        <v>FY2010-11</v>
      </c>
      <c r="O710" s="40" t="s">
        <v>155</v>
      </c>
      <c r="P710" s="40" t="s">
        <v>147</v>
      </c>
      <c r="Q710" s="40" t="s">
        <v>140</v>
      </c>
      <c r="R710" s="200"/>
      <c r="S710" s="200"/>
      <c r="T710" s="200"/>
      <c r="U710" s="200"/>
      <c r="V710" s="201"/>
      <c r="W710" s="201"/>
      <c r="X710" s="201"/>
      <c r="Y710" s="201"/>
      <c r="Z710" s="201"/>
      <c r="AA710" s="201"/>
      <c r="AB710" s="201"/>
      <c r="AC710" s="201"/>
      <c r="AD710" s="201"/>
      <c r="AE710" s="201"/>
      <c r="AF710" s="201"/>
      <c r="AG710" s="201"/>
    </row>
    <row r="711" spans="1:34" ht="15.95" customHeight="1">
      <c r="A711" s="7"/>
      <c r="B711" s="10"/>
      <c r="C711" s="12"/>
      <c r="D711" s="200"/>
      <c r="E711" s="200"/>
      <c r="F711" s="199"/>
      <c r="G711" s="200"/>
      <c r="H711" s="199"/>
      <c r="I711" s="199"/>
      <c r="J711" s="200"/>
      <c r="K711" s="200"/>
      <c r="L711" s="289" t="s">
        <v>34</v>
      </c>
      <c r="M711" s="199"/>
      <c r="N711" s="40" t="str">
        <f t="shared" si="69"/>
        <v>FY2010-11</v>
      </c>
      <c r="O711" s="40" t="s">
        <v>155</v>
      </c>
      <c r="P711" s="40" t="s">
        <v>147</v>
      </c>
      <c r="Q711" s="40" t="s">
        <v>140</v>
      </c>
      <c r="R711" s="200"/>
      <c r="S711" s="200"/>
      <c r="T711" s="200"/>
      <c r="U711" s="200"/>
      <c r="V711" s="201"/>
      <c r="W711" s="201"/>
      <c r="X711" s="201"/>
      <c r="Y711" s="201"/>
      <c r="Z711" s="201"/>
      <c r="AA711" s="201"/>
      <c r="AB711" s="201"/>
      <c r="AC711" s="201"/>
      <c r="AD711" s="201"/>
      <c r="AE711" s="201"/>
      <c r="AF711" s="201"/>
      <c r="AG711" s="201"/>
    </row>
    <row r="712" spans="1:34" ht="15.95" customHeight="1">
      <c r="A712" s="44"/>
      <c r="B712" s="41"/>
      <c r="C712" s="41"/>
      <c r="D712" s="42"/>
      <c r="E712" s="42"/>
      <c r="F712" s="43"/>
      <c r="G712" s="42"/>
      <c r="H712" s="43"/>
      <c r="I712" s="43"/>
      <c r="J712" s="42"/>
      <c r="K712" s="42"/>
      <c r="L712" s="290"/>
      <c r="M712" s="43"/>
      <c r="N712" s="43"/>
      <c r="O712" s="42"/>
      <c r="P712" s="43"/>
      <c r="Q712" s="43"/>
      <c r="R712" s="42"/>
      <c r="S712" s="42"/>
      <c r="T712" s="42"/>
      <c r="U712" s="42"/>
      <c r="V712" s="44"/>
      <c r="W712" s="44"/>
      <c r="X712" s="44"/>
      <c r="Y712" s="44"/>
      <c r="Z712" s="44"/>
      <c r="AA712" s="44"/>
      <c r="AB712" s="44"/>
      <c r="AC712" s="44"/>
      <c r="AD712" s="44"/>
      <c r="AE712" s="44"/>
      <c r="AF712" s="44"/>
      <c r="AG712" s="44"/>
    </row>
    <row r="713" spans="1:34"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66"/>
      <c r="T713" s="867" t="str">
        <f>'$REV-DB'!$T$34</f>
        <v>UD1</v>
      </c>
      <c r="U713" s="867" t="str">
        <f>'$REV-DB'!$U$34</f>
        <v>UD2</v>
      </c>
      <c r="V713" s="867" t="str">
        <f>'$REV-DB'!$V$34</f>
        <v>UD3</v>
      </c>
      <c r="W713" s="867" t="str">
        <f>'$REV-DB'!$W$34</f>
        <v>UD4</v>
      </c>
      <c r="X713" s="867" t="str">
        <f>'$REV-DB'!$X$34</f>
        <v>UD5</v>
      </c>
      <c r="Y713" s="867" t="str">
        <f>'$REV-DB'!$Y$34</f>
        <v>UD6</v>
      </c>
      <c r="Z713" s="867" t="str">
        <f>'$REV-DB'!$Z$34</f>
        <v>UD7</v>
      </c>
      <c r="AA713" s="867" t="str">
        <f>'$REV-DB'!$AA$34</f>
        <v>UD8</v>
      </c>
      <c r="AB713" s="867" t="str">
        <f>'$REV-DB'!$AB$34</f>
        <v>UD9</v>
      </c>
      <c r="AC713" s="867" t="str">
        <f>'$REV-DB'!$AC$34</f>
        <v>UD10</v>
      </c>
      <c r="AD713" s="867" t="str">
        <f>'$REV-DB'!$AD$34</f>
        <v>UD11</v>
      </c>
      <c r="AE713" s="867" t="str">
        <f>'$REV-DB'!$AE$34</f>
        <v>UD12</v>
      </c>
      <c r="AF713" s="867" t="str">
        <f>'$REV-DB'!$AF$34</f>
        <v>UD13</v>
      </c>
      <c r="AG713" s="867" t="str">
        <f>'$REV-DB'!$AG$34</f>
        <v>UD14</v>
      </c>
    </row>
    <row r="714" spans="1:34" ht="15.95" customHeight="1" thickTop="1" thickBot="1">
      <c r="A714" s="7"/>
      <c r="B714" s="20" t="s">
        <v>4</v>
      </c>
      <c r="C714" s="15"/>
      <c r="D714" s="105" t="s">
        <v>186</v>
      </c>
      <c r="E714" s="105" t="s">
        <v>187</v>
      </c>
      <c r="F714" s="105" t="s">
        <v>188</v>
      </c>
      <c r="G714" s="105" t="s">
        <v>189</v>
      </c>
      <c r="H714" s="301" t="s">
        <v>11</v>
      </c>
      <c r="I714" s="301" t="s">
        <v>190</v>
      </c>
      <c r="J714" s="301" t="s">
        <v>191</v>
      </c>
      <c r="K714" s="301" t="s">
        <v>192</v>
      </c>
      <c r="L714" s="301" t="s">
        <v>203</v>
      </c>
      <c r="M714" s="301" t="s">
        <v>42</v>
      </c>
      <c r="N714" s="105" t="s">
        <v>148</v>
      </c>
      <c r="O714" s="105" t="s">
        <v>193</v>
      </c>
      <c r="P714" s="105" t="s">
        <v>142</v>
      </c>
      <c r="Q714" s="105" t="s">
        <v>194</v>
      </c>
      <c r="R714" s="112" t="s">
        <v>141</v>
      </c>
      <c r="S714" s="112" t="s">
        <v>672</v>
      </c>
      <c r="T714" s="857" t="s">
        <v>541</v>
      </c>
      <c r="U714" s="857" t="s">
        <v>542</v>
      </c>
      <c r="V714" s="857" t="s">
        <v>543</v>
      </c>
      <c r="W714" s="857" t="s">
        <v>544</v>
      </c>
      <c r="X714" s="857" t="s">
        <v>545</v>
      </c>
      <c r="Y714" s="857" t="s">
        <v>546</v>
      </c>
      <c r="Z714" s="857" t="s">
        <v>547</v>
      </c>
      <c r="AA714" s="857" t="s">
        <v>548</v>
      </c>
      <c r="AB714" s="857" t="s">
        <v>549</v>
      </c>
      <c r="AC714" s="857" t="s">
        <v>550</v>
      </c>
      <c r="AD714" s="857" t="s">
        <v>551</v>
      </c>
      <c r="AE714" s="857" t="s">
        <v>552</v>
      </c>
      <c r="AF714" s="857" t="s">
        <v>553</v>
      </c>
      <c r="AG714" s="857" t="s">
        <v>554</v>
      </c>
      <c r="AH714" s="6"/>
    </row>
    <row r="715" spans="1:34" ht="15.95" customHeight="1" thickTop="1">
      <c r="A715" s="7"/>
      <c r="B715" s="19" t="s">
        <v>146</v>
      </c>
      <c r="C715" s="12"/>
      <c r="D715" s="202"/>
      <c r="E715" s="202"/>
      <c r="F715" s="202"/>
      <c r="G715" s="202"/>
      <c r="H715" s="202"/>
      <c r="I715" s="202"/>
      <c r="J715" s="202"/>
      <c r="K715" s="202"/>
      <c r="L715" s="291" t="s">
        <v>34</v>
      </c>
      <c r="M715" s="202"/>
      <c r="N715" s="45" t="str">
        <f>J$6</f>
        <v>FY2010-11</v>
      </c>
      <c r="O715" s="45" t="s">
        <v>156</v>
      </c>
      <c r="P715" s="45" t="s">
        <v>138</v>
      </c>
      <c r="Q715" s="202"/>
      <c r="R715" s="202"/>
      <c r="S715" s="203"/>
      <c r="T715" s="203"/>
      <c r="U715" s="203"/>
      <c r="V715" s="204"/>
      <c r="W715" s="204"/>
      <c r="X715" s="204"/>
      <c r="Y715" s="204"/>
      <c r="Z715" s="204"/>
      <c r="AA715" s="204"/>
      <c r="AB715" s="204"/>
      <c r="AC715" s="204"/>
      <c r="AD715" s="204"/>
      <c r="AE715" s="204"/>
      <c r="AF715" s="204"/>
      <c r="AG715" s="204"/>
      <c r="AH715" s="6"/>
    </row>
    <row r="716" spans="1:34" ht="15.95" customHeight="1">
      <c r="A716" s="7"/>
      <c r="B716" s="16">
        <f>DSUM('$REV-DB'!D35:AG67,"AMOUNT",'$REV-DSUM'!D714:AG721)</f>
        <v>0</v>
      </c>
      <c r="C716" s="12"/>
      <c r="D716" s="202"/>
      <c r="E716" s="202"/>
      <c r="F716" s="202"/>
      <c r="G716" s="202"/>
      <c r="H716" s="202"/>
      <c r="I716" s="202"/>
      <c r="J716" s="202"/>
      <c r="K716" s="202"/>
      <c r="L716" s="291" t="s">
        <v>34</v>
      </c>
      <c r="M716" s="202"/>
      <c r="N716" s="45" t="str">
        <f t="shared" ref="N716:N721" si="70">J$6</f>
        <v>FY2010-11</v>
      </c>
      <c r="O716" s="45" t="s">
        <v>156</v>
      </c>
      <c r="P716" s="45" t="s">
        <v>138</v>
      </c>
      <c r="Q716" s="202"/>
      <c r="R716" s="202"/>
      <c r="S716" s="203"/>
      <c r="T716" s="203"/>
      <c r="U716" s="203"/>
      <c r="V716" s="204"/>
      <c r="W716" s="204"/>
      <c r="X716" s="204"/>
      <c r="Y716" s="204"/>
      <c r="Z716" s="204"/>
      <c r="AA716" s="204"/>
      <c r="AB716" s="204"/>
      <c r="AC716" s="204"/>
      <c r="AD716" s="204"/>
      <c r="AE716" s="204"/>
      <c r="AF716" s="204"/>
      <c r="AG716" s="204"/>
      <c r="AH716" s="6"/>
    </row>
    <row r="717" spans="1:34" ht="15.95" customHeight="1">
      <c r="A717" s="7"/>
      <c r="B717" s="10"/>
      <c r="C717" s="12"/>
      <c r="D717" s="202"/>
      <c r="E717" s="202"/>
      <c r="F717" s="202"/>
      <c r="G717" s="202"/>
      <c r="H717" s="202"/>
      <c r="I717" s="202"/>
      <c r="J717" s="202"/>
      <c r="K717" s="202"/>
      <c r="L717" s="291" t="s">
        <v>34</v>
      </c>
      <c r="M717" s="202"/>
      <c r="N717" s="45" t="str">
        <f t="shared" si="70"/>
        <v>FY2010-11</v>
      </c>
      <c r="O717" s="45" t="s">
        <v>156</v>
      </c>
      <c r="P717" s="45" t="s">
        <v>138</v>
      </c>
      <c r="Q717" s="202"/>
      <c r="R717" s="202"/>
      <c r="S717" s="203"/>
      <c r="T717" s="203"/>
      <c r="U717" s="203"/>
      <c r="V717" s="204"/>
      <c r="W717" s="204"/>
      <c r="X717" s="204"/>
      <c r="Y717" s="204"/>
      <c r="Z717" s="204"/>
      <c r="AA717" s="204"/>
      <c r="AB717" s="204"/>
      <c r="AC717" s="204"/>
      <c r="AD717" s="204"/>
      <c r="AE717" s="204"/>
      <c r="AF717" s="204"/>
      <c r="AG717" s="204"/>
    </row>
    <row r="718" spans="1:34" ht="15.95" customHeight="1">
      <c r="A718" s="7"/>
      <c r="B718" s="10"/>
      <c r="C718" s="12"/>
      <c r="D718" s="202"/>
      <c r="E718" s="202"/>
      <c r="F718" s="202"/>
      <c r="G718" s="202"/>
      <c r="H718" s="202"/>
      <c r="I718" s="202"/>
      <c r="J718" s="202"/>
      <c r="K718" s="202"/>
      <c r="L718" s="291" t="s">
        <v>34</v>
      </c>
      <c r="M718" s="202"/>
      <c r="N718" s="45" t="str">
        <f t="shared" si="70"/>
        <v>FY2010-11</v>
      </c>
      <c r="O718" s="45" t="s">
        <v>156</v>
      </c>
      <c r="P718" s="45" t="s">
        <v>138</v>
      </c>
      <c r="Q718" s="202"/>
      <c r="R718" s="202"/>
      <c r="S718" s="203"/>
      <c r="T718" s="203"/>
      <c r="U718" s="203"/>
      <c r="V718" s="204"/>
      <c r="W718" s="204"/>
      <c r="X718" s="204"/>
      <c r="Y718" s="204"/>
      <c r="Z718" s="204"/>
      <c r="AA718" s="204"/>
      <c r="AB718" s="204"/>
      <c r="AC718" s="204"/>
      <c r="AD718" s="204"/>
      <c r="AE718" s="204"/>
      <c r="AF718" s="204"/>
      <c r="AG718" s="204"/>
    </row>
    <row r="719" spans="1:34" ht="15.95" customHeight="1">
      <c r="A719" s="7"/>
      <c r="B719" s="10"/>
      <c r="C719" s="12"/>
      <c r="D719" s="202"/>
      <c r="E719" s="202"/>
      <c r="F719" s="202"/>
      <c r="G719" s="202"/>
      <c r="H719" s="202"/>
      <c r="I719" s="202"/>
      <c r="J719" s="202"/>
      <c r="K719" s="202"/>
      <c r="L719" s="291" t="s">
        <v>34</v>
      </c>
      <c r="M719" s="202"/>
      <c r="N719" s="45" t="str">
        <f t="shared" si="70"/>
        <v>FY2010-11</v>
      </c>
      <c r="O719" s="45" t="s">
        <v>156</v>
      </c>
      <c r="P719" s="45" t="s">
        <v>138</v>
      </c>
      <c r="Q719" s="202"/>
      <c r="R719" s="202"/>
      <c r="S719" s="203"/>
      <c r="T719" s="203"/>
      <c r="U719" s="203"/>
      <c r="V719" s="204"/>
      <c r="W719" s="204"/>
      <c r="X719" s="204"/>
      <c r="Y719" s="204"/>
      <c r="Z719" s="204"/>
      <c r="AA719" s="204"/>
      <c r="AB719" s="204"/>
      <c r="AC719" s="204"/>
      <c r="AD719" s="204"/>
      <c r="AE719" s="204"/>
      <c r="AF719" s="204"/>
      <c r="AG719" s="204"/>
    </row>
    <row r="720" spans="1:34" ht="15.95" customHeight="1">
      <c r="A720" s="7"/>
      <c r="B720" s="10"/>
      <c r="C720" s="12"/>
      <c r="D720" s="202"/>
      <c r="E720" s="202"/>
      <c r="F720" s="202"/>
      <c r="G720" s="202"/>
      <c r="H720" s="202"/>
      <c r="I720" s="202"/>
      <c r="J720" s="202"/>
      <c r="K720" s="202"/>
      <c r="L720" s="291" t="s">
        <v>34</v>
      </c>
      <c r="M720" s="202"/>
      <c r="N720" s="45" t="str">
        <f t="shared" si="70"/>
        <v>FY2010-11</v>
      </c>
      <c r="O720" s="45" t="s">
        <v>156</v>
      </c>
      <c r="P720" s="45" t="s">
        <v>138</v>
      </c>
      <c r="Q720" s="202"/>
      <c r="R720" s="202"/>
      <c r="S720" s="203"/>
      <c r="T720" s="203"/>
      <c r="U720" s="203"/>
      <c r="V720" s="204"/>
      <c r="W720" s="204"/>
      <c r="X720" s="204"/>
      <c r="Y720" s="204"/>
      <c r="Z720" s="204"/>
      <c r="AA720" s="204"/>
      <c r="AB720" s="204"/>
      <c r="AC720" s="204"/>
      <c r="AD720" s="204"/>
      <c r="AE720" s="204"/>
      <c r="AF720" s="204"/>
      <c r="AG720" s="204"/>
    </row>
    <row r="721" spans="1:34" ht="15.95" customHeight="1">
      <c r="A721" s="7"/>
      <c r="B721" s="10"/>
      <c r="C721" s="12"/>
      <c r="D721" s="202"/>
      <c r="E721" s="202"/>
      <c r="F721" s="202"/>
      <c r="G721" s="202"/>
      <c r="H721" s="202"/>
      <c r="I721" s="202"/>
      <c r="J721" s="202"/>
      <c r="K721" s="202"/>
      <c r="L721" s="291" t="s">
        <v>34</v>
      </c>
      <c r="M721" s="202"/>
      <c r="N721" s="45" t="str">
        <f t="shared" si="70"/>
        <v>FY2010-11</v>
      </c>
      <c r="O721" s="45" t="s">
        <v>156</v>
      </c>
      <c r="P721" s="45" t="s">
        <v>138</v>
      </c>
      <c r="Q721" s="202"/>
      <c r="R721" s="202"/>
      <c r="S721" s="203"/>
      <c r="T721" s="203"/>
      <c r="U721" s="203"/>
      <c r="V721" s="204"/>
      <c r="W721" s="204"/>
      <c r="X721" s="204"/>
      <c r="Y721" s="204"/>
      <c r="Z721" s="204"/>
      <c r="AA721" s="204"/>
      <c r="AB721" s="204"/>
      <c r="AC721" s="204"/>
      <c r="AD721" s="204"/>
      <c r="AE721" s="204"/>
      <c r="AF721" s="204"/>
      <c r="AG721" s="204"/>
    </row>
    <row r="722" spans="1:34" ht="15.95" customHeight="1">
      <c r="A722" s="44"/>
      <c r="B722" s="41"/>
      <c r="C722" s="41"/>
      <c r="D722" s="42"/>
      <c r="E722" s="42"/>
      <c r="F722" s="43"/>
      <c r="G722" s="42"/>
      <c r="H722" s="43"/>
      <c r="I722" s="43"/>
      <c r="J722" s="42"/>
      <c r="K722" s="42"/>
      <c r="L722" s="290"/>
      <c r="M722" s="43"/>
      <c r="N722" s="43"/>
      <c r="O722" s="42"/>
      <c r="P722" s="43"/>
      <c r="Q722" s="43"/>
      <c r="R722" s="42"/>
      <c r="S722" s="42"/>
      <c r="T722" s="42"/>
      <c r="U722" s="42"/>
      <c r="V722" s="44"/>
      <c r="W722" s="44"/>
      <c r="X722" s="44"/>
      <c r="Y722" s="44"/>
      <c r="Z722" s="44"/>
      <c r="AA722" s="44"/>
      <c r="AB722" s="44"/>
      <c r="AC722" s="44"/>
      <c r="AD722" s="44"/>
      <c r="AE722" s="44"/>
      <c r="AF722" s="44"/>
      <c r="AG722" s="44"/>
    </row>
    <row r="723" spans="1:34"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66"/>
      <c r="T723" s="867" t="str">
        <f>'$REV-DB'!$T$34</f>
        <v>UD1</v>
      </c>
      <c r="U723" s="867" t="str">
        <f>'$REV-DB'!$U$34</f>
        <v>UD2</v>
      </c>
      <c r="V723" s="867" t="str">
        <f>'$REV-DB'!$V$34</f>
        <v>UD3</v>
      </c>
      <c r="W723" s="867" t="str">
        <f>'$REV-DB'!$W$34</f>
        <v>UD4</v>
      </c>
      <c r="X723" s="867" t="str">
        <f>'$REV-DB'!$X$34</f>
        <v>UD5</v>
      </c>
      <c r="Y723" s="867" t="str">
        <f>'$REV-DB'!$Y$34</f>
        <v>UD6</v>
      </c>
      <c r="Z723" s="867" t="str">
        <f>'$REV-DB'!$Z$34</f>
        <v>UD7</v>
      </c>
      <c r="AA723" s="867" t="str">
        <f>'$REV-DB'!$AA$34</f>
        <v>UD8</v>
      </c>
      <c r="AB723" s="867" t="str">
        <f>'$REV-DB'!$AB$34</f>
        <v>UD9</v>
      </c>
      <c r="AC723" s="867" t="str">
        <f>'$REV-DB'!$AC$34</f>
        <v>UD10</v>
      </c>
      <c r="AD723" s="867" t="str">
        <f>'$REV-DB'!$AD$34</f>
        <v>UD11</v>
      </c>
      <c r="AE723" s="867" t="str">
        <f>'$REV-DB'!$AE$34</f>
        <v>UD12</v>
      </c>
      <c r="AF723" s="867" t="str">
        <f>'$REV-DB'!$AF$34</f>
        <v>UD13</v>
      </c>
      <c r="AG723" s="867" t="str">
        <f>'$REV-DB'!$AG$34</f>
        <v>UD14</v>
      </c>
    </row>
    <row r="724" spans="1:34" ht="15.95" customHeight="1" thickTop="1" thickBot="1">
      <c r="A724" s="7"/>
      <c r="B724" s="20" t="s">
        <v>4</v>
      </c>
      <c r="C724" s="15"/>
      <c r="D724" s="105" t="s">
        <v>186</v>
      </c>
      <c r="E724" s="105" t="s">
        <v>187</v>
      </c>
      <c r="F724" s="105" t="s">
        <v>188</v>
      </c>
      <c r="G724" s="105" t="s">
        <v>189</v>
      </c>
      <c r="H724" s="301" t="s">
        <v>11</v>
      </c>
      <c r="I724" s="301" t="s">
        <v>190</v>
      </c>
      <c r="J724" s="301" t="s">
        <v>191</v>
      </c>
      <c r="K724" s="301" t="s">
        <v>192</v>
      </c>
      <c r="L724" s="301" t="s">
        <v>203</v>
      </c>
      <c r="M724" s="301" t="s">
        <v>42</v>
      </c>
      <c r="N724" s="105" t="s">
        <v>148</v>
      </c>
      <c r="O724" s="105" t="s">
        <v>193</v>
      </c>
      <c r="P724" s="105" t="s">
        <v>142</v>
      </c>
      <c r="Q724" s="105" t="s">
        <v>194</v>
      </c>
      <c r="R724" s="112" t="s">
        <v>141</v>
      </c>
      <c r="S724" s="112" t="s">
        <v>672</v>
      </c>
      <c r="T724" s="857" t="s">
        <v>541</v>
      </c>
      <c r="U724" s="857" t="s">
        <v>542</v>
      </c>
      <c r="V724" s="857" t="s">
        <v>543</v>
      </c>
      <c r="W724" s="857" t="s">
        <v>544</v>
      </c>
      <c r="X724" s="857" t="s">
        <v>545</v>
      </c>
      <c r="Y724" s="857" t="s">
        <v>546</v>
      </c>
      <c r="Z724" s="857" t="s">
        <v>547</v>
      </c>
      <c r="AA724" s="857" t="s">
        <v>548</v>
      </c>
      <c r="AB724" s="857" t="s">
        <v>549</v>
      </c>
      <c r="AC724" s="857" t="s">
        <v>550</v>
      </c>
      <c r="AD724" s="857" t="s">
        <v>551</v>
      </c>
      <c r="AE724" s="857" t="s">
        <v>552</v>
      </c>
      <c r="AF724" s="857" t="s">
        <v>553</v>
      </c>
      <c r="AG724" s="857" t="s">
        <v>554</v>
      </c>
      <c r="AH724" s="6"/>
    </row>
    <row r="725" spans="1:34" ht="15.95" customHeight="1" thickTop="1">
      <c r="A725" s="7"/>
      <c r="B725" s="19" t="s">
        <v>145</v>
      </c>
      <c r="C725" s="12"/>
      <c r="D725" s="203"/>
      <c r="E725" s="203"/>
      <c r="F725" s="202"/>
      <c r="G725" s="203"/>
      <c r="H725" s="202"/>
      <c r="I725" s="202"/>
      <c r="J725" s="203"/>
      <c r="K725" s="203"/>
      <c r="L725" s="291" t="s">
        <v>34</v>
      </c>
      <c r="M725" s="202"/>
      <c r="N725" s="45" t="str">
        <f>J$6</f>
        <v>FY2010-11</v>
      </c>
      <c r="O725" s="45" t="s">
        <v>156</v>
      </c>
      <c r="P725" s="45" t="s">
        <v>138</v>
      </c>
      <c r="Q725" s="45" t="s">
        <v>180</v>
      </c>
      <c r="R725" s="203"/>
      <c r="S725" s="203"/>
      <c r="T725" s="203"/>
      <c r="U725" s="203"/>
      <c r="V725" s="204"/>
      <c r="W725" s="204"/>
      <c r="X725" s="204"/>
      <c r="Y725" s="204"/>
      <c r="Z725" s="204"/>
      <c r="AA725" s="204"/>
      <c r="AB725" s="204"/>
      <c r="AC725" s="204"/>
      <c r="AD725" s="204"/>
      <c r="AE725" s="204"/>
      <c r="AF725" s="204"/>
      <c r="AG725" s="204"/>
      <c r="AH725" s="6"/>
    </row>
    <row r="726" spans="1:34" ht="15.95" customHeight="1">
      <c r="A726" s="7"/>
      <c r="B726" s="16">
        <f>DSUM('$REV-DB'!D35:AG67,"AMOUNT",'$REV-DSUM'!D724:AG731)</f>
        <v>0</v>
      </c>
      <c r="C726" s="12"/>
      <c r="D726" s="203"/>
      <c r="E726" s="203"/>
      <c r="F726" s="202"/>
      <c r="G726" s="203"/>
      <c r="H726" s="202"/>
      <c r="I726" s="202"/>
      <c r="J726" s="203"/>
      <c r="K726" s="203"/>
      <c r="L726" s="291" t="s">
        <v>34</v>
      </c>
      <c r="M726" s="202"/>
      <c r="N726" s="45" t="str">
        <f t="shared" ref="N726:N731" si="71">J$6</f>
        <v>FY2010-11</v>
      </c>
      <c r="O726" s="45" t="s">
        <v>156</v>
      </c>
      <c r="P726" s="45" t="s">
        <v>138</v>
      </c>
      <c r="Q726" s="45" t="s">
        <v>180</v>
      </c>
      <c r="R726" s="203"/>
      <c r="S726" s="203"/>
      <c r="T726" s="203"/>
      <c r="U726" s="203"/>
      <c r="V726" s="204"/>
      <c r="W726" s="204"/>
      <c r="X726" s="204"/>
      <c r="Y726" s="204"/>
      <c r="Z726" s="204"/>
      <c r="AA726" s="204"/>
      <c r="AB726" s="204"/>
      <c r="AC726" s="204"/>
      <c r="AD726" s="204"/>
      <c r="AE726" s="204"/>
      <c r="AF726" s="204"/>
      <c r="AG726" s="204"/>
      <c r="AH726" s="6"/>
    </row>
    <row r="727" spans="1:34" ht="15.95" customHeight="1">
      <c r="A727" s="7"/>
      <c r="B727" s="10"/>
      <c r="C727" s="12"/>
      <c r="D727" s="203"/>
      <c r="E727" s="203"/>
      <c r="F727" s="202"/>
      <c r="G727" s="203"/>
      <c r="H727" s="202"/>
      <c r="I727" s="202"/>
      <c r="J727" s="203"/>
      <c r="K727" s="203"/>
      <c r="L727" s="291" t="s">
        <v>34</v>
      </c>
      <c r="M727" s="202"/>
      <c r="N727" s="45" t="str">
        <f t="shared" si="71"/>
        <v>FY2010-11</v>
      </c>
      <c r="O727" s="45" t="s">
        <v>156</v>
      </c>
      <c r="P727" s="45" t="s">
        <v>138</v>
      </c>
      <c r="Q727" s="45" t="s">
        <v>180</v>
      </c>
      <c r="R727" s="203"/>
      <c r="S727" s="203"/>
      <c r="T727" s="203"/>
      <c r="U727" s="203"/>
      <c r="V727" s="204"/>
      <c r="W727" s="204"/>
      <c r="X727" s="204"/>
      <c r="Y727" s="204"/>
      <c r="Z727" s="204"/>
      <c r="AA727" s="204"/>
      <c r="AB727" s="204"/>
      <c r="AC727" s="204"/>
      <c r="AD727" s="204"/>
      <c r="AE727" s="204"/>
      <c r="AF727" s="204"/>
      <c r="AG727" s="204"/>
    </row>
    <row r="728" spans="1:34" ht="15.95" customHeight="1">
      <c r="A728" s="7"/>
      <c r="B728" s="10"/>
      <c r="C728" s="12"/>
      <c r="D728" s="203"/>
      <c r="E728" s="203"/>
      <c r="F728" s="202"/>
      <c r="G728" s="203"/>
      <c r="H728" s="202"/>
      <c r="I728" s="202"/>
      <c r="J728" s="203"/>
      <c r="K728" s="203"/>
      <c r="L728" s="291" t="s">
        <v>34</v>
      </c>
      <c r="M728" s="202"/>
      <c r="N728" s="45" t="str">
        <f t="shared" si="71"/>
        <v>FY2010-11</v>
      </c>
      <c r="O728" s="45" t="s">
        <v>156</v>
      </c>
      <c r="P728" s="45" t="s">
        <v>138</v>
      </c>
      <c r="Q728" s="45" t="s">
        <v>180</v>
      </c>
      <c r="R728" s="203"/>
      <c r="S728" s="203"/>
      <c r="T728" s="203"/>
      <c r="U728" s="203"/>
      <c r="V728" s="204"/>
      <c r="W728" s="204"/>
      <c r="X728" s="204"/>
      <c r="Y728" s="204"/>
      <c r="Z728" s="204"/>
      <c r="AA728" s="204"/>
      <c r="AB728" s="204"/>
      <c r="AC728" s="204"/>
      <c r="AD728" s="204"/>
      <c r="AE728" s="204"/>
      <c r="AF728" s="204"/>
      <c r="AG728" s="204"/>
    </row>
    <row r="729" spans="1:34" ht="15.95" customHeight="1">
      <c r="A729" s="7"/>
      <c r="B729" s="10"/>
      <c r="C729" s="12"/>
      <c r="D729" s="203"/>
      <c r="E729" s="203"/>
      <c r="F729" s="202"/>
      <c r="G729" s="203"/>
      <c r="H729" s="202"/>
      <c r="I729" s="202"/>
      <c r="J729" s="203"/>
      <c r="K729" s="203"/>
      <c r="L729" s="291" t="s">
        <v>34</v>
      </c>
      <c r="M729" s="202"/>
      <c r="N729" s="45" t="str">
        <f t="shared" si="71"/>
        <v>FY2010-11</v>
      </c>
      <c r="O729" s="45" t="s">
        <v>156</v>
      </c>
      <c r="P729" s="45" t="s">
        <v>138</v>
      </c>
      <c r="Q729" s="45" t="s">
        <v>180</v>
      </c>
      <c r="R729" s="203"/>
      <c r="S729" s="203"/>
      <c r="T729" s="203"/>
      <c r="U729" s="203"/>
      <c r="V729" s="204"/>
      <c r="W729" s="204"/>
      <c r="X729" s="204"/>
      <c r="Y729" s="204"/>
      <c r="Z729" s="204"/>
      <c r="AA729" s="204"/>
      <c r="AB729" s="204"/>
      <c r="AC729" s="204"/>
      <c r="AD729" s="204"/>
      <c r="AE729" s="204"/>
      <c r="AF729" s="204"/>
      <c r="AG729" s="204"/>
    </row>
    <row r="730" spans="1:34" ht="15.95" customHeight="1">
      <c r="A730" s="7"/>
      <c r="B730" s="10"/>
      <c r="C730" s="12"/>
      <c r="D730" s="203"/>
      <c r="E730" s="203"/>
      <c r="F730" s="202"/>
      <c r="G730" s="203"/>
      <c r="H730" s="202"/>
      <c r="I730" s="202"/>
      <c r="J730" s="203"/>
      <c r="K730" s="203"/>
      <c r="L730" s="291" t="s">
        <v>34</v>
      </c>
      <c r="M730" s="202"/>
      <c r="N730" s="45" t="str">
        <f t="shared" si="71"/>
        <v>FY2010-11</v>
      </c>
      <c r="O730" s="45" t="s">
        <v>156</v>
      </c>
      <c r="P730" s="45" t="s">
        <v>138</v>
      </c>
      <c r="Q730" s="45" t="s">
        <v>180</v>
      </c>
      <c r="R730" s="203"/>
      <c r="S730" s="203"/>
      <c r="T730" s="203"/>
      <c r="U730" s="203"/>
      <c r="V730" s="204"/>
      <c r="W730" s="204"/>
      <c r="X730" s="204"/>
      <c r="Y730" s="204"/>
      <c r="Z730" s="204"/>
      <c r="AA730" s="204"/>
      <c r="AB730" s="204"/>
      <c r="AC730" s="204"/>
      <c r="AD730" s="204"/>
      <c r="AE730" s="204"/>
      <c r="AF730" s="204"/>
      <c r="AG730" s="204"/>
    </row>
    <row r="731" spans="1:34" ht="15.95" customHeight="1">
      <c r="A731" s="7"/>
      <c r="B731" s="10"/>
      <c r="C731" s="12"/>
      <c r="D731" s="203"/>
      <c r="E731" s="203"/>
      <c r="F731" s="202"/>
      <c r="G731" s="203"/>
      <c r="H731" s="202"/>
      <c r="I731" s="202"/>
      <c r="J731" s="203"/>
      <c r="K731" s="203"/>
      <c r="L731" s="291" t="s">
        <v>34</v>
      </c>
      <c r="M731" s="202"/>
      <c r="N731" s="45" t="str">
        <f t="shared" si="71"/>
        <v>FY2010-11</v>
      </c>
      <c r="O731" s="45" t="s">
        <v>156</v>
      </c>
      <c r="P731" s="45" t="s">
        <v>138</v>
      </c>
      <c r="Q731" s="45" t="s">
        <v>180</v>
      </c>
      <c r="R731" s="203"/>
      <c r="S731" s="203"/>
      <c r="T731" s="203"/>
      <c r="U731" s="203"/>
      <c r="V731" s="204"/>
      <c r="W731" s="204"/>
      <c r="X731" s="204"/>
      <c r="Y731" s="204"/>
      <c r="Z731" s="204"/>
      <c r="AA731" s="204"/>
      <c r="AB731" s="204"/>
      <c r="AC731" s="204"/>
      <c r="AD731" s="204"/>
      <c r="AE731" s="204"/>
      <c r="AF731" s="204"/>
      <c r="AG731" s="204"/>
    </row>
    <row r="732" spans="1:34" ht="15.95" customHeight="1">
      <c r="A732" s="44"/>
      <c r="B732" s="41"/>
      <c r="C732" s="41"/>
      <c r="D732" s="42"/>
      <c r="E732" s="42"/>
      <c r="F732" s="43"/>
      <c r="G732" s="42"/>
      <c r="H732" s="43"/>
      <c r="I732" s="43"/>
      <c r="J732" s="42"/>
      <c r="K732" s="42"/>
      <c r="L732" s="290"/>
      <c r="M732" s="43"/>
      <c r="N732" s="43"/>
      <c r="O732" s="42"/>
      <c r="P732" s="43"/>
      <c r="Q732" s="43"/>
      <c r="R732" s="42"/>
      <c r="S732" s="42"/>
      <c r="T732" s="42"/>
      <c r="U732" s="42"/>
      <c r="V732" s="44"/>
      <c r="W732" s="44"/>
      <c r="X732" s="44"/>
      <c r="Y732" s="44"/>
      <c r="Z732" s="44"/>
      <c r="AA732" s="44"/>
      <c r="AB732" s="44"/>
      <c r="AC732" s="44"/>
      <c r="AD732" s="44"/>
      <c r="AE732" s="44"/>
      <c r="AF732" s="44"/>
      <c r="AG732" s="44"/>
    </row>
    <row r="733" spans="1:34"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66"/>
      <c r="T733" s="867" t="str">
        <f>'$REV-DB'!$T$34</f>
        <v>UD1</v>
      </c>
      <c r="U733" s="867" t="str">
        <f>'$REV-DB'!$U$34</f>
        <v>UD2</v>
      </c>
      <c r="V733" s="867" t="str">
        <f>'$REV-DB'!$V$34</f>
        <v>UD3</v>
      </c>
      <c r="W733" s="867" t="str">
        <f>'$REV-DB'!$W$34</f>
        <v>UD4</v>
      </c>
      <c r="X733" s="867" t="str">
        <f>'$REV-DB'!$X$34</f>
        <v>UD5</v>
      </c>
      <c r="Y733" s="867" t="str">
        <f>'$REV-DB'!$Y$34</f>
        <v>UD6</v>
      </c>
      <c r="Z733" s="867" t="str">
        <f>'$REV-DB'!$Z$34</f>
        <v>UD7</v>
      </c>
      <c r="AA733" s="867" t="str">
        <f>'$REV-DB'!$AA$34</f>
        <v>UD8</v>
      </c>
      <c r="AB733" s="867" t="str">
        <f>'$REV-DB'!$AB$34</f>
        <v>UD9</v>
      </c>
      <c r="AC733" s="867" t="str">
        <f>'$REV-DB'!$AC$34</f>
        <v>UD10</v>
      </c>
      <c r="AD733" s="867" t="str">
        <f>'$REV-DB'!$AD$34</f>
        <v>UD11</v>
      </c>
      <c r="AE733" s="867" t="str">
        <f>'$REV-DB'!$AE$34</f>
        <v>UD12</v>
      </c>
      <c r="AF733" s="867" t="str">
        <f>'$REV-DB'!$AF$34</f>
        <v>UD13</v>
      </c>
      <c r="AG733" s="867" t="str">
        <f>'$REV-DB'!$AG$34</f>
        <v>UD14</v>
      </c>
    </row>
    <row r="734" spans="1:34" ht="15.95" customHeight="1" thickTop="1" thickBot="1">
      <c r="A734" s="7"/>
      <c r="B734" s="20" t="s">
        <v>4</v>
      </c>
      <c r="C734" s="15"/>
      <c r="D734" s="105" t="s">
        <v>186</v>
      </c>
      <c r="E734" s="105" t="s">
        <v>187</v>
      </c>
      <c r="F734" s="105" t="s">
        <v>188</v>
      </c>
      <c r="G734" s="105" t="s">
        <v>189</v>
      </c>
      <c r="H734" s="301" t="s">
        <v>11</v>
      </c>
      <c r="I734" s="301" t="s">
        <v>190</v>
      </c>
      <c r="J734" s="301" t="s">
        <v>191</v>
      </c>
      <c r="K734" s="301" t="s">
        <v>192</v>
      </c>
      <c r="L734" s="301" t="s">
        <v>203</v>
      </c>
      <c r="M734" s="301" t="s">
        <v>42</v>
      </c>
      <c r="N734" s="105" t="s">
        <v>148</v>
      </c>
      <c r="O734" s="105" t="s">
        <v>193</v>
      </c>
      <c r="P734" s="105" t="s">
        <v>142</v>
      </c>
      <c r="Q734" s="105" t="s">
        <v>194</v>
      </c>
      <c r="R734" s="112" t="s">
        <v>141</v>
      </c>
      <c r="S734" s="112" t="s">
        <v>672</v>
      </c>
      <c r="T734" s="857" t="s">
        <v>541</v>
      </c>
      <c r="U734" s="857" t="s">
        <v>542</v>
      </c>
      <c r="V734" s="857" t="s">
        <v>543</v>
      </c>
      <c r="W734" s="857" t="s">
        <v>544</v>
      </c>
      <c r="X734" s="857" t="s">
        <v>545</v>
      </c>
      <c r="Y734" s="857" t="s">
        <v>546</v>
      </c>
      <c r="Z734" s="857" t="s">
        <v>547</v>
      </c>
      <c r="AA734" s="857" t="s">
        <v>548</v>
      </c>
      <c r="AB734" s="857" t="s">
        <v>549</v>
      </c>
      <c r="AC734" s="857" t="s">
        <v>550</v>
      </c>
      <c r="AD734" s="857" t="s">
        <v>551</v>
      </c>
      <c r="AE734" s="857" t="s">
        <v>552</v>
      </c>
      <c r="AF734" s="857" t="s">
        <v>553</v>
      </c>
      <c r="AG734" s="857" t="s">
        <v>554</v>
      </c>
      <c r="AH734" s="6"/>
    </row>
    <row r="735" spans="1:34" ht="15.95" customHeight="1" thickTop="1">
      <c r="A735" s="7"/>
      <c r="B735" s="19" t="s">
        <v>144</v>
      </c>
      <c r="C735" s="12"/>
      <c r="D735" s="203"/>
      <c r="E735" s="203"/>
      <c r="F735" s="202"/>
      <c r="G735" s="203"/>
      <c r="H735" s="202"/>
      <c r="I735" s="202"/>
      <c r="J735" s="203"/>
      <c r="K735" s="203"/>
      <c r="L735" s="291" t="s">
        <v>34</v>
      </c>
      <c r="M735" s="202"/>
      <c r="N735" s="45" t="str">
        <f>J$6</f>
        <v>FY2010-11</v>
      </c>
      <c r="O735" s="45" t="s">
        <v>156</v>
      </c>
      <c r="P735" s="45" t="s">
        <v>138</v>
      </c>
      <c r="Q735" s="45" t="s">
        <v>139</v>
      </c>
      <c r="R735" s="203"/>
      <c r="S735" s="203"/>
      <c r="T735" s="203"/>
      <c r="U735" s="203"/>
      <c r="V735" s="204"/>
      <c r="W735" s="204"/>
      <c r="X735" s="204"/>
      <c r="Y735" s="204"/>
      <c r="Z735" s="204"/>
      <c r="AA735" s="204"/>
      <c r="AB735" s="204"/>
      <c r="AC735" s="204"/>
      <c r="AD735" s="204"/>
      <c r="AE735" s="204"/>
      <c r="AF735" s="204"/>
      <c r="AG735" s="204"/>
      <c r="AH735" s="6"/>
    </row>
    <row r="736" spans="1:34" ht="15.95" customHeight="1">
      <c r="A736" s="7"/>
      <c r="B736" s="16">
        <f>DSUM('$REV-DB'!D35:AG67,"AMOUNT",'$REV-DSUM'!D734:AG741)</f>
        <v>0</v>
      </c>
      <c r="C736" s="12"/>
      <c r="D736" s="203"/>
      <c r="E736" s="203"/>
      <c r="F736" s="202"/>
      <c r="G736" s="203"/>
      <c r="H736" s="202"/>
      <c r="I736" s="202"/>
      <c r="J736" s="203"/>
      <c r="K736" s="203"/>
      <c r="L736" s="291" t="s">
        <v>34</v>
      </c>
      <c r="M736" s="202"/>
      <c r="N736" s="45" t="str">
        <f t="shared" ref="N736:N741" si="72">J$6</f>
        <v>FY2010-11</v>
      </c>
      <c r="O736" s="45" t="s">
        <v>156</v>
      </c>
      <c r="P736" s="45" t="s">
        <v>138</v>
      </c>
      <c r="Q736" s="45" t="s">
        <v>139</v>
      </c>
      <c r="R736" s="203"/>
      <c r="S736" s="203"/>
      <c r="T736" s="203"/>
      <c r="U736" s="203"/>
      <c r="V736" s="204"/>
      <c r="W736" s="204"/>
      <c r="X736" s="204"/>
      <c r="Y736" s="204"/>
      <c r="Z736" s="204"/>
      <c r="AA736" s="204"/>
      <c r="AB736" s="204"/>
      <c r="AC736" s="204"/>
      <c r="AD736" s="204"/>
      <c r="AE736" s="204"/>
      <c r="AF736" s="204"/>
      <c r="AG736" s="204"/>
      <c r="AH736" s="6"/>
    </row>
    <row r="737" spans="1:34" ht="15.95" customHeight="1">
      <c r="A737" s="7"/>
      <c r="B737" s="10"/>
      <c r="C737" s="12"/>
      <c r="D737" s="203"/>
      <c r="E737" s="203"/>
      <c r="F737" s="202"/>
      <c r="G737" s="203"/>
      <c r="H737" s="202"/>
      <c r="I737" s="202"/>
      <c r="J737" s="203"/>
      <c r="K737" s="203"/>
      <c r="L737" s="291" t="s">
        <v>34</v>
      </c>
      <c r="M737" s="202"/>
      <c r="N737" s="45" t="str">
        <f t="shared" si="72"/>
        <v>FY2010-11</v>
      </c>
      <c r="O737" s="45" t="s">
        <v>156</v>
      </c>
      <c r="P737" s="45" t="s">
        <v>138</v>
      </c>
      <c r="Q737" s="45" t="s">
        <v>139</v>
      </c>
      <c r="R737" s="203"/>
      <c r="S737" s="203"/>
      <c r="T737" s="203"/>
      <c r="U737" s="203"/>
      <c r="V737" s="204"/>
      <c r="W737" s="204"/>
      <c r="X737" s="204"/>
      <c r="Y737" s="204"/>
      <c r="Z737" s="204"/>
      <c r="AA737" s="204"/>
      <c r="AB737" s="204"/>
      <c r="AC737" s="204"/>
      <c r="AD737" s="204"/>
      <c r="AE737" s="204"/>
      <c r="AF737" s="204"/>
      <c r="AG737" s="204"/>
    </row>
    <row r="738" spans="1:34" ht="15.95" customHeight="1">
      <c r="A738" s="7"/>
      <c r="B738" s="10"/>
      <c r="C738" s="12"/>
      <c r="D738" s="203"/>
      <c r="E738" s="203"/>
      <c r="F738" s="202"/>
      <c r="G738" s="203"/>
      <c r="H738" s="202"/>
      <c r="I738" s="202"/>
      <c r="J738" s="203"/>
      <c r="K738" s="203"/>
      <c r="L738" s="291" t="s">
        <v>34</v>
      </c>
      <c r="M738" s="202"/>
      <c r="N738" s="45" t="str">
        <f t="shared" si="72"/>
        <v>FY2010-11</v>
      </c>
      <c r="O738" s="45" t="s">
        <v>156</v>
      </c>
      <c r="P738" s="45" t="s">
        <v>138</v>
      </c>
      <c r="Q738" s="45" t="s">
        <v>139</v>
      </c>
      <c r="R738" s="203"/>
      <c r="S738" s="203"/>
      <c r="T738" s="203"/>
      <c r="U738" s="203"/>
      <c r="V738" s="204"/>
      <c r="W738" s="204"/>
      <c r="X738" s="204"/>
      <c r="Y738" s="204"/>
      <c r="Z738" s="204"/>
      <c r="AA738" s="204"/>
      <c r="AB738" s="204"/>
      <c r="AC738" s="204"/>
      <c r="AD738" s="204"/>
      <c r="AE738" s="204"/>
      <c r="AF738" s="204"/>
      <c r="AG738" s="204"/>
    </row>
    <row r="739" spans="1:34" ht="15.95" customHeight="1">
      <c r="A739" s="7"/>
      <c r="B739" s="10"/>
      <c r="C739" s="12"/>
      <c r="D739" s="203"/>
      <c r="E739" s="203"/>
      <c r="F739" s="202"/>
      <c r="G739" s="203"/>
      <c r="H739" s="202"/>
      <c r="I739" s="202"/>
      <c r="J739" s="203"/>
      <c r="K739" s="203"/>
      <c r="L739" s="291" t="s">
        <v>34</v>
      </c>
      <c r="M739" s="202"/>
      <c r="N739" s="45" t="str">
        <f t="shared" si="72"/>
        <v>FY2010-11</v>
      </c>
      <c r="O739" s="45" t="s">
        <v>156</v>
      </c>
      <c r="P739" s="45" t="s">
        <v>138</v>
      </c>
      <c r="Q739" s="45" t="s">
        <v>139</v>
      </c>
      <c r="R739" s="203"/>
      <c r="S739" s="203"/>
      <c r="T739" s="203"/>
      <c r="U739" s="203"/>
      <c r="V739" s="204"/>
      <c r="W739" s="204"/>
      <c r="X739" s="204"/>
      <c r="Y739" s="204"/>
      <c r="Z739" s="204"/>
      <c r="AA739" s="204"/>
      <c r="AB739" s="204"/>
      <c r="AC739" s="204"/>
      <c r="AD739" s="204"/>
      <c r="AE739" s="204"/>
      <c r="AF739" s="204"/>
      <c r="AG739" s="204"/>
    </row>
    <row r="740" spans="1:34" ht="15.95" customHeight="1">
      <c r="A740" s="7"/>
      <c r="B740" s="10"/>
      <c r="C740" s="12"/>
      <c r="D740" s="203"/>
      <c r="E740" s="203"/>
      <c r="F740" s="202"/>
      <c r="G740" s="203"/>
      <c r="H740" s="202"/>
      <c r="I740" s="202"/>
      <c r="J740" s="203"/>
      <c r="K740" s="203"/>
      <c r="L740" s="291" t="s">
        <v>34</v>
      </c>
      <c r="M740" s="202"/>
      <c r="N740" s="45" t="str">
        <f t="shared" si="72"/>
        <v>FY2010-11</v>
      </c>
      <c r="O740" s="45" t="s">
        <v>156</v>
      </c>
      <c r="P740" s="45" t="s">
        <v>138</v>
      </c>
      <c r="Q740" s="45" t="s">
        <v>139</v>
      </c>
      <c r="R740" s="203"/>
      <c r="S740" s="203"/>
      <c r="T740" s="203"/>
      <c r="U740" s="203"/>
      <c r="V740" s="204"/>
      <c r="W740" s="204"/>
      <c r="X740" s="204"/>
      <c r="Y740" s="204"/>
      <c r="Z740" s="204"/>
      <c r="AA740" s="204"/>
      <c r="AB740" s="204"/>
      <c r="AC740" s="204"/>
      <c r="AD740" s="204"/>
      <c r="AE740" s="204"/>
      <c r="AF740" s="204"/>
      <c r="AG740" s="204"/>
    </row>
    <row r="741" spans="1:34" ht="15.95" customHeight="1">
      <c r="A741" s="7"/>
      <c r="B741" s="10"/>
      <c r="C741" s="12"/>
      <c r="D741" s="203"/>
      <c r="E741" s="203"/>
      <c r="F741" s="202"/>
      <c r="G741" s="203"/>
      <c r="H741" s="202"/>
      <c r="I741" s="202"/>
      <c r="J741" s="203"/>
      <c r="K741" s="203"/>
      <c r="L741" s="291" t="s">
        <v>34</v>
      </c>
      <c r="M741" s="202"/>
      <c r="N741" s="45" t="str">
        <f t="shared" si="72"/>
        <v>FY2010-11</v>
      </c>
      <c r="O741" s="45" t="s">
        <v>156</v>
      </c>
      <c r="P741" s="45" t="s">
        <v>138</v>
      </c>
      <c r="Q741" s="45" t="s">
        <v>139</v>
      </c>
      <c r="R741" s="203"/>
      <c r="S741" s="203"/>
      <c r="T741" s="203"/>
      <c r="U741" s="203"/>
      <c r="V741" s="204"/>
      <c r="W741" s="204"/>
      <c r="X741" s="204"/>
      <c r="Y741" s="204"/>
      <c r="Z741" s="204"/>
      <c r="AA741" s="204"/>
      <c r="AB741" s="204"/>
      <c r="AC741" s="204"/>
      <c r="AD741" s="204"/>
      <c r="AE741" s="204"/>
      <c r="AF741" s="204"/>
      <c r="AG741" s="204"/>
    </row>
    <row r="742" spans="1:34" ht="15.95" customHeight="1">
      <c r="A742" s="44"/>
      <c r="B742" s="41"/>
      <c r="C742" s="41"/>
      <c r="D742" s="42"/>
      <c r="E742" s="42"/>
      <c r="F742" s="43"/>
      <c r="G742" s="42"/>
      <c r="H742" s="43"/>
      <c r="I742" s="43"/>
      <c r="J742" s="42"/>
      <c r="K742" s="42"/>
      <c r="L742" s="290"/>
      <c r="M742" s="43"/>
      <c r="N742" s="43"/>
      <c r="O742" s="42"/>
      <c r="P742" s="43"/>
      <c r="Q742" s="43"/>
      <c r="R742" s="42"/>
      <c r="S742" s="42"/>
      <c r="T742" s="42"/>
      <c r="U742" s="42"/>
      <c r="V742" s="44"/>
      <c r="W742" s="44"/>
      <c r="X742" s="44"/>
      <c r="Y742" s="44"/>
      <c r="Z742" s="44"/>
      <c r="AA742" s="44"/>
      <c r="AB742" s="44"/>
      <c r="AC742" s="44"/>
      <c r="AD742" s="44"/>
      <c r="AE742" s="44"/>
      <c r="AF742" s="44"/>
      <c r="AG742" s="44"/>
    </row>
    <row r="743" spans="1:34"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66"/>
      <c r="T743" s="867" t="str">
        <f>'$REV-DB'!$T$34</f>
        <v>UD1</v>
      </c>
      <c r="U743" s="867" t="str">
        <f>'$REV-DB'!$U$34</f>
        <v>UD2</v>
      </c>
      <c r="V743" s="867" t="str">
        <f>'$REV-DB'!$V$34</f>
        <v>UD3</v>
      </c>
      <c r="W743" s="867" t="str">
        <f>'$REV-DB'!$W$34</f>
        <v>UD4</v>
      </c>
      <c r="X743" s="867" t="str">
        <f>'$REV-DB'!$X$34</f>
        <v>UD5</v>
      </c>
      <c r="Y743" s="867" t="str">
        <f>'$REV-DB'!$Y$34</f>
        <v>UD6</v>
      </c>
      <c r="Z743" s="867" t="str">
        <f>'$REV-DB'!$Z$34</f>
        <v>UD7</v>
      </c>
      <c r="AA743" s="867" t="str">
        <f>'$REV-DB'!$AA$34</f>
        <v>UD8</v>
      </c>
      <c r="AB743" s="867" t="str">
        <f>'$REV-DB'!$AB$34</f>
        <v>UD9</v>
      </c>
      <c r="AC743" s="867" t="str">
        <f>'$REV-DB'!$AC$34</f>
        <v>UD10</v>
      </c>
      <c r="AD743" s="867" t="str">
        <f>'$REV-DB'!$AD$34</f>
        <v>UD11</v>
      </c>
      <c r="AE743" s="867" t="str">
        <f>'$REV-DB'!$AE$34</f>
        <v>UD12</v>
      </c>
      <c r="AF743" s="867" t="str">
        <f>'$REV-DB'!$AF$34</f>
        <v>UD13</v>
      </c>
      <c r="AG743" s="867" t="str">
        <f>'$REV-DB'!$AG$34</f>
        <v>UD14</v>
      </c>
    </row>
    <row r="744" spans="1:34" ht="15.95" customHeight="1" thickTop="1" thickBot="1">
      <c r="A744" s="7"/>
      <c r="B744" s="20" t="s">
        <v>4</v>
      </c>
      <c r="C744" s="15"/>
      <c r="D744" s="105" t="s">
        <v>186</v>
      </c>
      <c r="E744" s="105" t="s">
        <v>187</v>
      </c>
      <c r="F744" s="105" t="s">
        <v>188</v>
      </c>
      <c r="G744" s="105" t="s">
        <v>189</v>
      </c>
      <c r="H744" s="301" t="s">
        <v>11</v>
      </c>
      <c r="I744" s="301" t="s">
        <v>190</v>
      </c>
      <c r="J744" s="301" t="s">
        <v>191</v>
      </c>
      <c r="K744" s="301" t="s">
        <v>192</v>
      </c>
      <c r="L744" s="301" t="s">
        <v>203</v>
      </c>
      <c r="M744" s="301" t="s">
        <v>42</v>
      </c>
      <c r="N744" s="105" t="s">
        <v>148</v>
      </c>
      <c r="O744" s="105" t="s">
        <v>193</v>
      </c>
      <c r="P744" s="105" t="s">
        <v>142</v>
      </c>
      <c r="Q744" s="105" t="s">
        <v>194</v>
      </c>
      <c r="R744" s="112" t="s">
        <v>141</v>
      </c>
      <c r="S744" s="112" t="s">
        <v>672</v>
      </c>
      <c r="T744" s="857" t="s">
        <v>541</v>
      </c>
      <c r="U744" s="857" t="s">
        <v>542</v>
      </c>
      <c r="V744" s="857" t="s">
        <v>543</v>
      </c>
      <c r="W744" s="857" t="s">
        <v>544</v>
      </c>
      <c r="X744" s="857" t="s">
        <v>545</v>
      </c>
      <c r="Y744" s="857" t="s">
        <v>546</v>
      </c>
      <c r="Z744" s="857" t="s">
        <v>547</v>
      </c>
      <c r="AA744" s="857" t="s">
        <v>548</v>
      </c>
      <c r="AB744" s="857" t="s">
        <v>549</v>
      </c>
      <c r="AC744" s="857" t="s">
        <v>550</v>
      </c>
      <c r="AD744" s="857" t="s">
        <v>551</v>
      </c>
      <c r="AE744" s="857" t="s">
        <v>552</v>
      </c>
      <c r="AF744" s="857" t="s">
        <v>553</v>
      </c>
      <c r="AG744" s="857" t="s">
        <v>554</v>
      </c>
      <c r="AH744" s="6"/>
    </row>
    <row r="745" spans="1:34" ht="15.95" customHeight="1" thickTop="1">
      <c r="A745" s="7"/>
      <c r="B745" s="19" t="s">
        <v>143</v>
      </c>
      <c r="C745" s="12"/>
      <c r="D745" s="203"/>
      <c r="E745" s="203"/>
      <c r="F745" s="202"/>
      <c r="G745" s="203"/>
      <c r="H745" s="202"/>
      <c r="I745" s="202"/>
      <c r="J745" s="203"/>
      <c r="K745" s="203"/>
      <c r="L745" s="291" t="s">
        <v>34</v>
      </c>
      <c r="M745" s="202"/>
      <c r="N745" s="45" t="str">
        <f>J$6</f>
        <v>FY2010-11</v>
      </c>
      <c r="O745" s="45" t="s">
        <v>156</v>
      </c>
      <c r="P745" s="45" t="s">
        <v>138</v>
      </c>
      <c r="Q745" s="45" t="s">
        <v>179</v>
      </c>
      <c r="R745" s="203"/>
      <c r="S745" s="203"/>
      <c r="T745" s="203"/>
      <c r="U745" s="203"/>
      <c r="V745" s="204"/>
      <c r="W745" s="204"/>
      <c r="X745" s="204"/>
      <c r="Y745" s="204"/>
      <c r="Z745" s="204"/>
      <c r="AA745" s="204"/>
      <c r="AB745" s="204"/>
      <c r="AC745" s="204"/>
      <c r="AD745" s="204"/>
      <c r="AE745" s="204"/>
      <c r="AF745" s="204"/>
      <c r="AG745" s="204"/>
      <c r="AH745" s="6"/>
    </row>
    <row r="746" spans="1:34" ht="15.95" customHeight="1">
      <c r="A746" s="7"/>
      <c r="B746" s="16">
        <f>DSUM('$REV-DB'!D35:AG67,"AMOUNT",'$REV-DSUM'!D744:AG751)</f>
        <v>0</v>
      </c>
      <c r="C746" s="12"/>
      <c r="D746" s="203"/>
      <c r="E746" s="203"/>
      <c r="F746" s="202"/>
      <c r="G746" s="203"/>
      <c r="H746" s="202"/>
      <c r="I746" s="202"/>
      <c r="J746" s="203"/>
      <c r="K746" s="203"/>
      <c r="L746" s="291" t="s">
        <v>34</v>
      </c>
      <c r="M746" s="202"/>
      <c r="N746" s="45" t="str">
        <f t="shared" ref="N746:N751" si="73">J$6</f>
        <v>FY2010-11</v>
      </c>
      <c r="O746" s="45" t="s">
        <v>156</v>
      </c>
      <c r="P746" s="45" t="s">
        <v>138</v>
      </c>
      <c r="Q746" s="45" t="s">
        <v>179</v>
      </c>
      <c r="R746" s="203"/>
      <c r="S746" s="203"/>
      <c r="T746" s="203"/>
      <c r="U746" s="203"/>
      <c r="V746" s="204"/>
      <c r="W746" s="204"/>
      <c r="X746" s="204"/>
      <c r="Y746" s="204"/>
      <c r="Z746" s="204"/>
      <c r="AA746" s="204"/>
      <c r="AB746" s="204"/>
      <c r="AC746" s="204"/>
      <c r="AD746" s="204"/>
      <c r="AE746" s="204"/>
      <c r="AF746" s="204"/>
      <c r="AG746" s="204"/>
      <c r="AH746" s="6"/>
    </row>
    <row r="747" spans="1:34" ht="15.95" customHeight="1">
      <c r="A747" s="7"/>
      <c r="B747" s="10"/>
      <c r="C747" s="12"/>
      <c r="D747" s="203"/>
      <c r="E747" s="203"/>
      <c r="F747" s="202"/>
      <c r="G747" s="203"/>
      <c r="H747" s="202"/>
      <c r="I747" s="202"/>
      <c r="J747" s="203"/>
      <c r="K747" s="203"/>
      <c r="L747" s="291" t="s">
        <v>34</v>
      </c>
      <c r="M747" s="202"/>
      <c r="N747" s="45" t="str">
        <f t="shared" si="73"/>
        <v>FY2010-11</v>
      </c>
      <c r="O747" s="45" t="s">
        <v>156</v>
      </c>
      <c r="P747" s="45" t="s">
        <v>138</v>
      </c>
      <c r="Q747" s="45" t="s">
        <v>179</v>
      </c>
      <c r="R747" s="203"/>
      <c r="S747" s="203"/>
      <c r="T747" s="203"/>
      <c r="U747" s="203"/>
      <c r="V747" s="204"/>
      <c r="W747" s="204"/>
      <c r="X747" s="204"/>
      <c r="Y747" s="204"/>
      <c r="Z747" s="204"/>
      <c r="AA747" s="204"/>
      <c r="AB747" s="204"/>
      <c r="AC747" s="204"/>
      <c r="AD747" s="204"/>
      <c r="AE747" s="204"/>
      <c r="AF747" s="204"/>
      <c r="AG747" s="204"/>
    </row>
    <row r="748" spans="1:34" ht="15.95" customHeight="1">
      <c r="A748" s="7"/>
      <c r="B748" s="10"/>
      <c r="C748" s="12"/>
      <c r="D748" s="203"/>
      <c r="E748" s="203"/>
      <c r="F748" s="202"/>
      <c r="G748" s="203"/>
      <c r="H748" s="202"/>
      <c r="I748" s="202"/>
      <c r="J748" s="203"/>
      <c r="K748" s="203"/>
      <c r="L748" s="291" t="s">
        <v>34</v>
      </c>
      <c r="M748" s="202"/>
      <c r="N748" s="45" t="str">
        <f t="shared" si="73"/>
        <v>FY2010-11</v>
      </c>
      <c r="O748" s="45" t="s">
        <v>156</v>
      </c>
      <c r="P748" s="45" t="s">
        <v>138</v>
      </c>
      <c r="Q748" s="45" t="s">
        <v>179</v>
      </c>
      <c r="R748" s="203"/>
      <c r="S748" s="203"/>
      <c r="T748" s="203"/>
      <c r="U748" s="203"/>
      <c r="V748" s="204"/>
      <c r="W748" s="204"/>
      <c r="X748" s="204"/>
      <c r="Y748" s="204"/>
      <c r="Z748" s="204"/>
      <c r="AA748" s="204"/>
      <c r="AB748" s="204"/>
      <c r="AC748" s="204"/>
      <c r="AD748" s="204"/>
      <c r="AE748" s="204"/>
      <c r="AF748" s="204"/>
      <c r="AG748" s="204"/>
    </row>
    <row r="749" spans="1:34" ht="15.95" customHeight="1">
      <c r="A749" s="7"/>
      <c r="B749" s="10"/>
      <c r="C749" s="12"/>
      <c r="D749" s="203"/>
      <c r="E749" s="203"/>
      <c r="F749" s="202"/>
      <c r="G749" s="203"/>
      <c r="H749" s="202"/>
      <c r="I749" s="202"/>
      <c r="J749" s="203"/>
      <c r="K749" s="203"/>
      <c r="L749" s="291" t="s">
        <v>34</v>
      </c>
      <c r="M749" s="202"/>
      <c r="N749" s="45" t="str">
        <f t="shared" si="73"/>
        <v>FY2010-11</v>
      </c>
      <c r="O749" s="45" t="s">
        <v>156</v>
      </c>
      <c r="P749" s="45" t="s">
        <v>138</v>
      </c>
      <c r="Q749" s="45" t="s">
        <v>179</v>
      </c>
      <c r="R749" s="203"/>
      <c r="S749" s="203"/>
      <c r="T749" s="203"/>
      <c r="U749" s="203"/>
      <c r="V749" s="204"/>
      <c r="W749" s="204"/>
      <c r="X749" s="204"/>
      <c r="Y749" s="204"/>
      <c r="Z749" s="204"/>
      <c r="AA749" s="204"/>
      <c r="AB749" s="204"/>
      <c r="AC749" s="204"/>
      <c r="AD749" s="204"/>
      <c r="AE749" s="204"/>
      <c r="AF749" s="204"/>
      <c r="AG749" s="204"/>
    </row>
    <row r="750" spans="1:34" ht="15.95" customHeight="1">
      <c r="A750" s="7"/>
      <c r="B750" s="10"/>
      <c r="C750" s="12"/>
      <c r="D750" s="203"/>
      <c r="E750" s="203"/>
      <c r="F750" s="202"/>
      <c r="G750" s="203"/>
      <c r="H750" s="202"/>
      <c r="I750" s="202"/>
      <c r="J750" s="203"/>
      <c r="K750" s="203"/>
      <c r="L750" s="291" t="s">
        <v>34</v>
      </c>
      <c r="M750" s="202"/>
      <c r="N750" s="45" t="str">
        <f t="shared" si="73"/>
        <v>FY2010-11</v>
      </c>
      <c r="O750" s="45" t="s">
        <v>156</v>
      </c>
      <c r="P750" s="45" t="s">
        <v>138</v>
      </c>
      <c r="Q750" s="45" t="s">
        <v>179</v>
      </c>
      <c r="R750" s="203"/>
      <c r="S750" s="203"/>
      <c r="T750" s="203"/>
      <c r="U750" s="203"/>
      <c r="V750" s="204"/>
      <c r="W750" s="204"/>
      <c r="X750" s="204"/>
      <c r="Y750" s="204"/>
      <c r="Z750" s="204"/>
      <c r="AA750" s="204"/>
      <c r="AB750" s="204"/>
      <c r="AC750" s="204"/>
      <c r="AD750" s="204"/>
      <c r="AE750" s="204"/>
      <c r="AF750" s="204"/>
      <c r="AG750" s="204"/>
    </row>
    <row r="751" spans="1:34" ht="15.95" customHeight="1">
      <c r="A751" s="7"/>
      <c r="B751" s="10"/>
      <c r="C751" s="12"/>
      <c r="D751" s="203"/>
      <c r="E751" s="203"/>
      <c r="F751" s="202"/>
      <c r="G751" s="203"/>
      <c r="H751" s="202"/>
      <c r="I751" s="202"/>
      <c r="J751" s="203"/>
      <c r="K751" s="203"/>
      <c r="L751" s="291" t="s">
        <v>34</v>
      </c>
      <c r="M751" s="202"/>
      <c r="N751" s="45" t="str">
        <f t="shared" si="73"/>
        <v>FY2010-11</v>
      </c>
      <c r="O751" s="45" t="s">
        <v>156</v>
      </c>
      <c r="P751" s="45" t="s">
        <v>138</v>
      </c>
      <c r="Q751" s="45" t="s">
        <v>179</v>
      </c>
      <c r="R751" s="203"/>
      <c r="S751" s="203"/>
      <c r="T751" s="203"/>
      <c r="U751" s="203"/>
      <c r="V751" s="204"/>
      <c r="W751" s="204"/>
      <c r="X751" s="204"/>
      <c r="Y751" s="204"/>
      <c r="Z751" s="204"/>
      <c r="AA751" s="204"/>
      <c r="AB751" s="204"/>
      <c r="AC751" s="204"/>
      <c r="AD751" s="204"/>
      <c r="AE751" s="204"/>
      <c r="AF751" s="204"/>
      <c r="AG751" s="204"/>
    </row>
    <row r="752" spans="1:34" ht="15.95" customHeight="1">
      <c r="A752" s="44"/>
      <c r="B752" s="41"/>
      <c r="C752" s="41"/>
      <c r="D752" s="42"/>
      <c r="E752" s="42"/>
      <c r="F752" s="43"/>
      <c r="G752" s="42"/>
      <c r="H752" s="43"/>
      <c r="I752" s="43"/>
      <c r="J752" s="42"/>
      <c r="K752" s="42"/>
      <c r="L752" s="290"/>
      <c r="M752" s="43"/>
      <c r="N752" s="43"/>
      <c r="O752" s="42"/>
      <c r="P752" s="43"/>
      <c r="Q752" s="43"/>
      <c r="R752" s="42"/>
      <c r="S752" s="42"/>
      <c r="T752" s="42"/>
      <c r="U752" s="42"/>
      <c r="V752" s="44"/>
      <c r="W752" s="44"/>
      <c r="X752" s="44"/>
      <c r="Y752" s="44"/>
      <c r="Z752" s="44"/>
      <c r="AA752" s="44"/>
      <c r="AB752" s="44"/>
      <c r="AC752" s="44"/>
      <c r="AD752" s="44"/>
      <c r="AE752" s="44"/>
      <c r="AF752" s="44"/>
      <c r="AG752" s="44"/>
    </row>
    <row r="753" spans="1:34"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66"/>
      <c r="T753" s="867" t="str">
        <f>'$REV-DB'!$T$34</f>
        <v>UD1</v>
      </c>
      <c r="U753" s="867" t="str">
        <f>'$REV-DB'!$U$34</f>
        <v>UD2</v>
      </c>
      <c r="V753" s="867" t="str">
        <f>'$REV-DB'!$V$34</f>
        <v>UD3</v>
      </c>
      <c r="W753" s="867" t="str">
        <f>'$REV-DB'!$W$34</f>
        <v>UD4</v>
      </c>
      <c r="X753" s="867" t="str">
        <f>'$REV-DB'!$X$34</f>
        <v>UD5</v>
      </c>
      <c r="Y753" s="867" t="str">
        <f>'$REV-DB'!$Y$34</f>
        <v>UD6</v>
      </c>
      <c r="Z753" s="867" t="str">
        <f>'$REV-DB'!$Z$34</f>
        <v>UD7</v>
      </c>
      <c r="AA753" s="867" t="str">
        <f>'$REV-DB'!$AA$34</f>
        <v>UD8</v>
      </c>
      <c r="AB753" s="867" t="str">
        <f>'$REV-DB'!$AB$34</f>
        <v>UD9</v>
      </c>
      <c r="AC753" s="867" t="str">
        <f>'$REV-DB'!$AC$34</f>
        <v>UD10</v>
      </c>
      <c r="AD753" s="867" t="str">
        <f>'$REV-DB'!$AD$34</f>
        <v>UD11</v>
      </c>
      <c r="AE753" s="867" t="str">
        <f>'$REV-DB'!$AE$34</f>
        <v>UD12</v>
      </c>
      <c r="AF753" s="867" t="str">
        <f>'$REV-DB'!$AF$34</f>
        <v>UD13</v>
      </c>
      <c r="AG753" s="867" t="str">
        <f>'$REV-DB'!$AG$34</f>
        <v>UD14</v>
      </c>
    </row>
    <row r="754" spans="1:34" ht="15.95" customHeight="1" thickTop="1" thickBot="1">
      <c r="A754" s="7"/>
      <c r="B754" s="20" t="s">
        <v>4</v>
      </c>
      <c r="C754" s="15"/>
      <c r="D754" s="105" t="s">
        <v>186</v>
      </c>
      <c r="E754" s="105" t="s">
        <v>187</v>
      </c>
      <c r="F754" s="105" t="s">
        <v>188</v>
      </c>
      <c r="G754" s="105" t="s">
        <v>189</v>
      </c>
      <c r="H754" s="301" t="s">
        <v>11</v>
      </c>
      <c r="I754" s="301" t="s">
        <v>190</v>
      </c>
      <c r="J754" s="301" t="s">
        <v>191</v>
      </c>
      <c r="K754" s="301" t="s">
        <v>192</v>
      </c>
      <c r="L754" s="301" t="s">
        <v>203</v>
      </c>
      <c r="M754" s="301" t="s">
        <v>42</v>
      </c>
      <c r="N754" s="105" t="s">
        <v>148</v>
      </c>
      <c r="O754" s="105" t="s">
        <v>193</v>
      </c>
      <c r="P754" s="105" t="s">
        <v>142</v>
      </c>
      <c r="Q754" s="105" t="s">
        <v>194</v>
      </c>
      <c r="R754" s="112" t="s">
        <v>141</v>
      </c>
      <c r="S754" s="112" t="s">
        <v>672</v>
      </c>
      <c r="T754" s="857" t="s">
        <v>541</v>
      </c>
      <c r="U754" s="857" t="s">
        <v>542</v>
      </c>
      <c r="V754" s="857" t="s">
        <v>543</v>
      </c>
      <c r="W754" s="857" t="s">
        <v>544</v>
      </c>
      <c r="X754" s="857" t="s">
        <v>545</v>
      </c>
      <c r="Y754" s="857" t="s">
        <v>546</v>
      </c>
      <c r="Z754" s="857" t="s">
        <v>547</v>
      </c>
      <c r="AA754" s="857" t="s">
        <v>548</v>
      </c>
      <c r="AB754" s="857" t="s">
        <v>549</v>
      </c>
      <c r="AC754" s="857" t="s">
        <v>550</v>
      </c>
      <c r="AD754" s="857" t="s">
        <v>551</v>
      </c>
      <c r="AE754" s="857" t="s">
        <v>552</v>
      </c>
      <c r="AF754" s="857" t="s">
        <v>553</v>
      </c>
      <c r="AG754" s="857" t="s">
        <v>554</v>
      </c>
      <c r="AH754" s="6"/>
    </row>
    <row r="755" spans="1:34" ht="15.95" customHeight="1" thickTop="1">
      <c r="A755" s="7"/>
      <c r="B755" s="19" t="s">
        <v>149</v>
      </c>
      <c r="C755" s="12"/>
      <c r="D755" s="203"/>
      <c r="E755" s="203"/>
      <c r="F755" s="202"/>
      <c r="G755" s="203"/>
      <c r="H755" s="202"/>
      <c r="I755" s="202"/>
      <c r="J755" s="203"/>
      <c r="K755" s="203"/>
      <c r="L755" s="291" t="s">
        <v>34</v>
      </c>
      <c r="M755" s="202"/>
      <c r="N755" s="45" t="str">
        <f>J$6</f>
        <v>FY2010-11</v>
      </c>
      <c r="O755" s="45" t="s">
        <v>156</v>
      </c>
      <c r="P755" s="45" t="s">
        <v>138</v>
      </c>
      <c r="Q755" s="45" t="s">
        <v>2</v>
      </c>
      <c r="R755" s="203"/>
      <c r="S755" s="203"/>
      <c r="T755" s="203"/>
      <c r="U755" s="203"/>
      <c r="V755" s="204"/>
      <c r="W755" s="204"/>
      <c r="X755" s="204"/>
      <c r="Y755" s="204"/>
      <c r="Z755" s="204"/>
      <c r="AA755" s="204"/>
      <c r="AB755" s="204"/>
      <c r="AC755" s="204"/>
      <c r="AD755" s="204"/>
      <c r="AE755" s="204"/>
      <c r="AF755" s="204"/>
      <c r="AG755" s="204"/>
      <c r="AH755" s="6"/>
    </row>
    <row r="756" spans="1:34" ht="15.95" customHeight="1">
      <c r="A756" s="7"/>
      <c r="B756" s="16">
        <f>DSUM('$REV-DB'!D35:AG67,"AMOUNT",'$REV-DSUM'!D754:AG761)</f>
        <v>0</v>
      </c>
      <c r="C756" s="12"/>
      <c r="D756" s="203"/>
      <c r="E756" s="203"/>
      <c r="F756" s="202"/>
      <c r="G756" s="203"/>
      <c r="H756" s="202"/>
      <c r="I756" s="202"/>
      <c r="J756" s="203"/>
      <c r="K756" s="203"/>
      <c r="L756" s="291" t="s">
        <v>34</v>
      </c>
      <c r="M756" s="202"/>
      <c r="N756" s="45" t="str">
        <f t="shared" ref="N756:N761" si="74">J$6</f>
        <v>FY2010-11</v>
      </c>
      <c r="O756" s="45" t="s">
        <v>156</v>
      </c>
      <c r="P756" s="45" t="s">
        <v>138</v>
      </c>
      <c r="Q756" s="45" t="s">
        <v>2</v>
      </c>
      <c r="R756" s="203"/>
      <c r="S756" s="203"/>
      <c r="T756" s="203"/>
      <c r="U756" s="203"/>
      <c r="V756" s="204"/>
      <c r="W756" s="204"/>
      <c r="X756" s="204"/>
      <c r="Y756" s="204"/>
      <c r="Z756" s="204"/>
      <c r="AA756" s="204"/>
      <c r="AB756" s="204"/>
      <c r="AC756" s="204"/>
      <c r="AD756" s="204"/>
      <c r="AE756" s="204"/>
      <c r="AF756" s="204"/>
      <c r="AG756" s="204"/>
      <c r="AH756" s="6"/>
    </row>
    <row r="757" spans="1:34" ht="15.95" customHeight="1">
      <c r="A757" s="7"/>
      <c r="B757" s="10"/>
      <c r="C757" s="12"/>
      <c r="D757" s="203"/>
      <c r="E757" s="203"/>
      <c r="F757" s="202"/>
      <c r="G757" s="203"/>
      <c r="H757" s="202"/>
      <c r="I757" s="202"/>
      <c r="J757" s="203"/>
      <c r="K757" s="203"/>
      <c r="L757" s="291" t="s">
        <v>34</v>
      </c>
      <c r="M757" s="202"/>
      <c r="N757" s="45" t="str">
        <f t="shared" si="74"/>
        <v>FY2010-11</v>
      </c>
      <c r="O757" s="45" t="s">
        <v>156</v>
      </c>
      <c r="P757" s="45" t="s">
        <v>138</v>
      </c>
      <c r="Q757" s="45" t="s">
        <v>2</v>
      </c>
      <c r="R757" s="203"/>
      <c r="S757" s="203"/>
      <c r="T757" s="203"/>
      <c r="U757" s="203"/>
      <c r="V757" s="204"/>
      <c r="W757" s="204"/>
      <c r="X757" s="204"/>
      <c r="Y757" s="204"/>
      <c r="Z757" s="204"/>
      <c r="AA757" s="204"/>
      <c r="AB757" s="204"/>
      <c r="AC757" s="204"/>
      <c r="AD757" s="204"/>
      <c r="AE757" s="204"/>
      <c r="AF757" s="204"/>
      <c r="AG757" s="204"/>
    </row>
    <row r="758" spans="1:34" ht="15.95" customHeight="1">
      <c r="A758" s="7"/>
      <c r="B758" s="10"/>
      <c r="C758" s="12"/>
      <c r="D758" s="203"/>
      <c r="E758" s="203"/>
      <c r="F758" s="202"/>
      <c r="G758" s="203"/>
      <c r="H758" s="202"/>
      <c r="I758" s="202"/>
      <c r="J758" s="203"/>
      <c r="K758" s="203"/>
      <c r="L758" s="291" t="s">
        <v>34</v>
      </c>
      <c r="M758" s="202"/>
      <c r="N758" s="45" t="str">
        <f t="shared" si="74"/>
        <v>FY2010-11</v>
      </c>
      <c r="O758" s="45" t="s">
        <v>156</v>
      </c>
      <c r="P758" s="45" t="s">
        <v>138</v>
      </c>
      <c r="Q758" s="45" t="s">
        <v>2</v>
      </c>
      <c r="R758" s="203"/>
      <c r="S758" s="203"/>
      <c r="T758" s="203"/>
      <c r="U758" s="203"/>
      <c r="V758" s="204"/>
      <c r="W758" s="204"/>
      <c r="X758" s="204"/>
      <c r="Y758" s="204"/>
      <c r="Z758" s="204"/>
      <c r="AA758" s="204"/>
      <c r="AB758" s="204"/>
      <c r="AC758" s="204"/>
      <c r="AD758" s="204"/>
      <c r="AE758" s="204"/>
      <c r="AF758" s="204"/>
      <c r="AG758" s="204"/>
    </row>
    <row r="759" spans="1:34" ht="15.95" customHeight="1">
      <c r="A759" s="7"/>
      <c r="B759" s="10"/>
      <c r="C759" s="12"/>
      <c r="D759" s="203"/>
      <c r="E759" s="203"/>
      <c r="F759" s="202"/>
      <c r="G759" s="203"/>
      <c r="H759" s="202"/>
      <c r="I759" s="202"/>
      <c r="J759" s="203"/>
      <c r="K759" s="203"/>
      <c r="L759" s="291" t="s">
        <v>34</v>
      </c>
      <c r="M759" s="202"/>
      <c r="N759" s="45" t="str">
        <f t="shared" si="74"/>
        <v>FY2010-11</v>
      </c>
      <c r="O759" s="45" t="s">
        <v>156</v>
      </c>
      <c r="P759" s="45" t="s">
        <v>138</v>
      </c>
      <c r="Q759" s="45" t="s">
        <v>2</v>
      </c>
      <c r="R759" s="203"/>
      <c r="S759" s="203"/>
      <c r="T759" s="203"/>
      <c r="U759" s="203"/>
      <c r="V759" s="204"/>
      <c r="W759" s="204"/>
      <c r="X759" s="204"/>
      <c r="Y759" s="204"/>
      <c r="Z759" s="204"/>
      <c r="AA759" s="204"/>
      <c r="AB759" s="204"/>
      <c r="AC759" s="204"/>
      <c r="AD759" s="204"/>
      <c r="AE759" s="204"/>
      <c r="AF759" s="204"/>
      <c r="AG759" s="204"/>
    </row>
    <row r="760" spans="1:34" ht="15.95" customHeight="1">
      <c r="A760" s="7"/>
      <c r="B760" s="10"/>
      <c r="C760" s="12"/>
      <c r="D760" s="203"/>
      <c r="E760" s="203"/>
      <c r="F760" s="202"/>
      <c r="G760" s="203"/>
      <c r="H760" s="202"/>
      <c r="I760" s="202"/>
      <c r="J760" s="203"/>
      <c r="K760" s="203"/>
      <c r="L760" s="291" t="s">
        <v>34</v>
      </c>
      <c r="M760" s="202"/>
      <c r="N760" s="45" t="str">
        <f t="shared" si="74"/>
        <v>FY2010-11</v>
      </c>
      <c r="O760" s="45" t="s">
        <v>156</v>
      </c>
      <c r="P760" s="45" t="s">
        <v>138</v>
      </c>
      <c r="Q760" s="45" t="s">
        <v>2</v>
      </c>
      <c r="R760" s="203"/>
      <c r="S760" s="203"/>
      <c r="T760" s="203"/>
      <c r="U760" s="203"/>
      <c r="V760" s="204"/>
      <c r="W760" s="204"/>
      <c r="X760" s="204"/>
      <c r="Y760" s="204"/>
      <c r="Z760" s="204"/>
      <c r="AA760" s="204"/>
      <c r="AB760" s="204"/>
      <c r="AC760" s="204"/>
      <c r="AD760" s="204"/>
      <c r="AE760" s="204"/>
      <c r="AF760" s="204"/>
      <c r="AG760" s="204"/>
    </row>
    <row r="761" spans="1:34" ht="15.95" customHeight="1">
      <c r="A761" s="7"/>
      <c r="B761" s="10"/>
      <c r="C761" s="12"/>
      <c r="D761" s="203"/>
      <c r="E761" s="203"/>
      <c r="F761" s="202"/>
      <c r="G761" s="203"/>
      <c r="H761" s="202"/>
      <c r="I761" s="202"/>
      <c r="J761" s="203"/>
      <c r="K761" s="203"/>
      <c r="L761" s="291" t="s">
        <v>34</v>
      </c>
      <c r="M761" s="202"/>
      <c r="N761" s="45" t="str">
        <f t="shared" si="74"/>
        <v>FY2010-11</v>
      </c>
      <c r="O761" s="45" t="s">
        <v>156</v>
      </c>
      <c r="P761" s="45" t="s">
        <v>138</v>
      </c>
      <c r="Q761" s="45" t="s">
        <v>2</v>
      </c>
      <c r="R761" s="203"/>
      <c r="S761" s="203"/>
      <c r="T761" s="203"/>
      <c r="U761" s="203"/>
      <c r="V761" s="204"/>
      <c r="W761" s="204"/>
      <c r="X761" s="204"/>
      <c r="Y761" s="204"/>
      <c r="Z761" s="204"/>
      <c r="AA761" s="204"/>
      <c r="AB761" s="204"/>
      <c r="AC761" s="204"/>
      <c r="AD761" s="204"/>
      <c r="AE761" s="204"/>
      <c r="AF761" s="204"/>
      <c r="AG761" s="204"/>
    </row>
    <row r="762" spans="1:34" ht="15.95" customHeight="1">
      <c r="A762" s="44"/>
      <c r="B762" s="41"/>
      <c r="C762" s="41"/>
      <c r="D762" s="42"/>
      <c r="E762" s="42"/>
      <c r="F762" s="43"/>
      <c r="G762" s="42"/>
      <c r="H762" s="43"/>
      <c r="I762" s="43"/>
      <c r="J762" s="42"/>
      <c r="K762" s="42"/>
      <c r="L762" s="290"/>
      <c r="M762" s="43"/>
      <c r="N762" s="43"/>
      <c r="O762" s="42"/>
      <c r="P762" s="43"/>
      <c r="Q762" s="43"/>
      <c r="R762" s="42"/>
      <c r="S762" s="42"/>
      <c r="T762" s="42"/>
      <c r="U762" s="42"/>
      <c r="V762" s="44"/>
      <c r="W762" s="44"/>
      <c r="X762" s="44"/>
      <c r="Y762" s="44"/>
      <c r="Z762" s="44"/>
      <c r="AA762" s="44"/>
      <c r="AB762" s="44"/>
      <c r="AC762" s="44"/>
      <c r="AD762" s="44"/>
      <c r="AE762" s="44"/>
      <c r="AF762" s="44"/>
      <c r="AG762" s="44"/>
    </row>
    <row r="763" spans="1:34"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66"/>
      <c r="T763" s="867" t="str">
        <f>'$REV-DB'!$T$34</f>
        <v>UD1</v>
      </c>
      <c r="U763" s="867" t="str">
        <f>'$REV-DB'!$U$34</f>
        <v>UD2</v>
      </c>
      <c r="V763" s="867" t="str">
        <f>'$REV-DB'!$V$34</f>
        <v>UD3</v>
      </c>
      <c r="W763" s="867" t="str">
        <f>'$REV-DB'!$W$34</f>
        <v>UD4</v>
      </c>
      <c r="X763" s="867" t="str">
        <f>'$REV-DB'!$X$34</f>
        <v>UD5</v>
      </c>
      <c r="Y763" s="867" t="str">
        <f>'$REV-DB'!$Y$34</f>
        <v>UD6</v>
      </c>
      <c r="Z763" s="867" t="str">
        <f>'$REV-DB'!$Z$34</f>
        <v>UD7</v>
      </c>
      <c r="AA763" s="867" t="str">
        <f>'$REV-DB'!$AA$34</f>
        <v>UD8</v>
      </c>
      <c r="AB763" s="867" t="str">
        <f>'$REV-DB'!$AB$34</f>
        <v>UD9</v>
      </c>
      <c r="AC763" s="867" t="str">
        <f>'$REV-DB'!$AC$34</f>
        <v>UD10</v>
      </c>
      <c r="AD763" s="867" t="str">
        <f>'$REV-DB'!$AD$34</f>
        <v>UD11</v>
      </c>
      <c r="AE763" s="867" t="str">
        <f>'$REV-DB'!$AE$34</f>
        <v>UD12</v>
      </c>
      <c r="AF763" s="867" t="str">
        <f>'$REV-DB'!$AF$34</f>
        <v>UD13</v>
      </c>
      <c r="AG763" s="867" t="str">
        <f>'$REV-DB'!$AG$34</f>
        <v>UD14</v>
      </c>
    </row>
    <row r="764" spans="1:34" ht="15.95" customHeight="1" thickTop="1" thickBot="1">
      <c r="A764" s="7"/>
      <c r="B764" s="20" t="s">
        <v>4</v>
      </c>
      <c r="C764" s="15"/>
      <c r="D764" s="276" t="s">
        <v>186</v>
      </c>
      <c r="E764" s="276" t="s">
        <v>187</v>
      </c>
      <c r="F764" s="276" t="s">
        <v>188</v>
      </c>
      <c r="G764" s="276" t="s">
        <v>189</v>
      </c>
      <c r="H764" s="301" t="s">
        <v>11</v>
      </c>
      <c r="I764" s="301" t="s">
        <v>190</v>
      </c>
      <c r="J764" s="301" t="s">
        <v>191</v>
      </c>
      <c r="K764" s="301" t="s">
        <v>192</v>
      </c>
      <c r="L764" s="301" t="s">
        <v>203</v>
      </c>
      <c r="M764" s="301" t="s">
        <v>42</v>
      </c>
      <c r="N764" s="276" t="s">
        <v>148</v>
      </c>
      <c r="O764" s="276" t="s">
        <v>193</v>
      </c>
      <c r="P764" s="276" t="s">
        <v>142</v>
      </c>
      <c r="Q764" s="276" t="s">
        <v>194</v>
      </c>
      <c r="R764" s="112" t="s">
        <v>141</v>
      </c>
      <c r="S764" s="112" t="s">
        <v>672</v>
      </c>
      <c r="T764" s="857" t="s">
        <v>541</v>
      </c>
      <c r="U764" s="857" t="s">
        <v>542</v>
      </c>
      <c r="V764" s="857" t="s">
        <v>543</v>
      </c>
      <c r="W764" s="857" t="s">
        <v>544</v>
      </c>
      <c r="X764" s="857" t="s">
        <v>545</v>
      </c>
      <c r="Y764" s="857" t="s">
        <v>546</v>
      </c>
      <c r="Z764" s="857" t="s">
        <v>547</v>
      </c>
      <c r="AA764" s="857" t="s">
        <v>548</v>
      </c>
      <c r="AB764" s="857" t="s">
        <v>549</v>
      </c>
      <c r="AC764" s="857" t="s">
        <v>550</v>
      </c>
      <c r="AD764" s="857" t="s">
        <v>551</v>
      </c>
      <c r="AE764" s="857" t="s">
        <v>552</v>
      </c>
      <c r="AF764" s="857" t="s">
        <v>553</v>
      </c>
      <c r="AG764" s="857" t="s">
        <v>554</v>
      </c>
      <c r="AH764" s="6"/>
    </row>
    <row r="765" spans="1:34" ht="15.95" customHeight="1" thickTop="1">
      <c r="A765" s="7"/>
      <c r="B765" s="19" t="s">
        <v>364</v>
      </c>
      <c r="C765" s="12"/>
      <c r="D765" s="203"/>
      <c r="E765" s="203"/>
      <c r="F765" s="202"/>
      <c r="G765" s="203"/>
      <c r="H765" s="202"/>
      <c r="I765" s="202"/>
      <c r="J765" s="203"/>
      <c r="K765" s="203"/>
      <c r="L765" s="291" t="s">
        <v>34</v>
      </c>
      <c r="M765" s="202"/>
      <c r="N765" s="45" t="str">
        <f>J$6</f>
        <v>FY2010-11</v>
      </c>
      <c r="O765" s="45" t="s">
        <v>156</v>
      </c>
      <c r="P765" s="45" t="s">
        <v>138</v>
      </c>
      <c r="Q765" s="45" t="s">
        <v>70</v>
      </c>
      <c r="R765" s="203"/>
      <c r="S765" s="203"/>
      <c r="T765" s="203"/>
      <c r="U765" s="203"/>
      <c r="V765" s="204"/>
      <c r="W765" s="204"/>
      <c r="X765" s="204"/>
      <c r="Y765" s="204"/>
      <c r="Z765" s="204"/>
      <c r="AA765" s="204"/>
      <c r="AB765" s="204"/>
      <c r="AC765" s="204"/>
      <c r="AD765" s="204"/>
      <c r="AE765" s="204"/>
      <c r="AF765" s="204"/>
      <c r="AG765" s="204"/>
      <c r="AH765" s="6"/>
    </row>
    <row r="766" spans="1:34" ht="15.95" customHeight="1">
      <c r="A766" s="7"/>
      <c r="B766" s="16">
        <f>DSUM('$REV-DB'!D35:AG67,"AMOUNT",'$REV-DSUM'!D764:AG771)</f>
        <v>0</v>
      </c>
      <c r="C766" s="12"/>
      <c r="D766" s="203"/>
      <c r="E766" s="203"/>
      <c r="F766" s="202"/>
      <c r="G766" s="203"/>
      <c r="H766" s="202"/>
      <c r="I766" s="202"/>
      <c r="J766" s="203"/>
      <c r="K766" s="203"/>
      <c r="L766" s="291" t="s">
        <v>34</v>
      </c>
      <c r="M766" s="202"/>
      <c r="N766" s="45" t="str">
        <f t="shared" ref="N766:N771" si="75">J$6</f>
        <v>FY2010-11</v>
      </c>
      <c r="O766" s="45" t="s">
        <v>156</v>
      </c>
      <c r="P766" s="45" t="s">
        <v>138</v>
      </c>
      <c r="Q766" s="45" t="s">
        <v>70</v>
      </c>
      <c r="R766" s="203"/>
      <c r="S766" s="203"/>
      <c r="T766" s="203"/>
      <c r="U766" s="203"/>
      <c r="V766" s="204"/>
      <c r="W766" s="204"/>
      <c r="X766" s="204"/>
      <c r="Y766" s="204"/>
      <c r="Z766" s="204"/>
      <c r="AA766" s="204"/>
      <c r="AB766" s="204"/>
      <c r="AC766" s="204"/>
      <c r="AD766" s="204"/>
      <c r="AE766" s="204"/>
      <c r="AF766" s="204"/>
      <c r="AG766" s="204"/>
      <c r="AH766" s="6"/>
    </row>
    <row r="767" spans="1:34" ht="15.95" customHeight="1">
      <c r="A767" s="7"/>
      <c r="B767" s="10"/>
      <c r="C767" s="12"/>
      <c r="D767" s="203"/>
      <c r="E767" s="203"/>
      <c r="F767" s="202"/>
      <c r="G767" s="203"/>
      <c r="H767" s="202"/>
      <c r="I767" s="202"/>
      <c r="J767" s="203"/>
      <c r="K767" s="203"/>
      <c r="L767" s="291" t="s">
        <v>34</v>
      </c>
      <c r="M767" s="202"/>
      <c r="N767" s="45" t="str">
        <f t="shared" si="75"/>
        <v>FY2010-11</v>
      </c>
      <c r="O767" s="45" t="s">
        <v>156</v>
      </c>
      <c r="P767" s="45" t="s">
        <v>138</v>
      </c>
      <c r="Q767" s="45" t="s">
        <v>70</v>
      </c>
      <c r="R767" s="203"/>
      <c r="S767" s="203"/>
      <c r="T767" s="203"/>
      <c r="U767" s="203"/>
      <c r="V767" s="204"/>
      <c r="W767" s="204"/>
      <c r="X767" s="204"/>
      <c r="Y767" s="204"/>
      <c r="Z767" s="204"/>
      <c r="AA767" s="204"/>
      <c r="AB767" s="204"/>
      <c r="AC767" s="204"/>
      <c r="AD767" s="204"/>
      <c r="AE767" s="204"/>
      <c r="AF767" s="204"/>
      <c r="AG767" s="204"/>
    </row>
    <row r="768" spans="1:34" ht="15.95" customHeight="1">
      <c r="A768" s="7"/>
      <c r="B768" s="10"/>
      <c r="C768" s="12"/>
      <c r="D768" s="203"/>
      <c r="E768" s="203"/>
      <c r="F768" s="202"/>
      <c r="G768" s="203"/>
      <c r="H768" s="202"/>
      <c r="I768" s="202"/>
      <c r="J768" s="203"/>
      <c r="K768" s="203"/>
      <c r="L768" s="291" t="s">
        <v>34</v>
      </c>
      <c r="M768" s="202"/>
      <c r="N768" s="45" t="str">
        <f t="shared" si="75"/>
        <v>FY2010-11</v>
      </c>
      <c r="O768" s="45" t="s">
        <v>156</v>
      </c>
      <c r="P768" s="45" t="s">
        <v>138</v>
      </c>
      <c r="Q768" s="45" t="s">
        <v>70</v>
      </c>
      <c r="R768" s="203"/>
      <c r="S768" s="203"/>
      <c r="T768" s="203"/>
      <c r="U768" s="203"/>
      <c r="V768" s="204"/>
      <c r="W768" s="204"/>
      <c r="X768" s="204"/>
      <c r="Y768" s="204"/>
      <c r="Z768" s="204"/>
      <c r="AA768" s="204"/>
      <c r="AB768" s="204"/>
      <c r="AC768" s="204"/>
      <c r="AD768" s="204"/>
      <c r="AE768" s="204"/>
      <c r="AF768" s="204"/>
      <c r="AG768" s="204"/>
    </row>
    <row r="769" spans="1:34" ht="15.95" customHeight="1">
      <c r="A769" s="7"/>
      <c r="B769" s="10"/>
      <c r="C769" s="12"/>
      <c r="D769" s="203"/>
      <c r="E769" s="203"/>
      <c r="F769" s="202"/>
      <c r="G769" s="203"/>
      <c r="H769" s="202"/>
      <c r="I769" s="202"/>
      <c r="J769" s="203"/>
      <c r="K769" s="203"/>
      <c r="L769" s="291" t="s">
        <v>34</v>
      </c>
      <c r="M769" s="202"/>
      <c r="N769" s="45" t="str">
        <f t="shared" si="75"/>
        <v>FY2010-11</v>
      </c>
      <c r="O769" s="45" t="s">
        <v>156</v>
      </c>
      <c r="P769" s="45" t="s">
        <v>138</v>
      </c>
      <c r="Q769" s="45" t="s">
        <v>70</v>
      </c>
      <c r="R769" s="203"/>
      <c r="S769" s="203"/>
      <c r="T769" s="203"/>
      <c r="U769" s="203"/>
      <c r="V769" s="204"/>
      <c r="W769" s="204"/>
      <c r="X769" s="204"/>
      <c r="Y769" s="204"/>
      <c r="Z769" s="204"/>
      <c r="AA769" s="204"/>
      <c r="AB769" s="204"/>
      <c r="AC769" s="204"/>
      <c r="AD769" s="204"/>
      <c r="AE769" s="204"/>
      <c r="AF769" s="204"/>
      <c r="AG769" s="204"/>
    </row>
    <row r="770" spans="1:34" ht="15.95" customHeight="1">
      <c r="A770" s="7"/>
      <c r="B770" s="10"/>
      <c r="C770" s="12"/>
      <c r="D770" s="203"/>
      <c r="E770" s="203"/>
      <c r="F770" s="202"/>
      <c r="G770" s="203"/>
      <c r="H770" s="202"/>
      <c r="I770" s="202"/>
      <c r="J770" s="203"/>
      <c r="K770" s="203"/>
      <c r="L770" s="291" t="s">
        <v>34</v>
      </c>
      <c r="M770" s="202"/>
      <c r="N770" s="45" t="str">
        <f t="shared" si="75"/>
        <v>FY2010-11</v>
      </c>
      <c r="O770" s="45" t="s">
        <v>156</v>
      </c>
      <c r="P770" s="45" t="s">
        <v>138</v>
      </c>
      <c r="Q770" s="45" t="s">
        <v>70</v>
      </c>
      <c r="R770" s="203"/>
      <c r="S770" s="203"/>
      <c r="T770" s="203"/>
      <c r="U770" s="203"/>
      <c r="V770" s="204"/>
      <c r="W770" s="204"/>
      <c r="X770" s="204"/>
      <c r="Y770" s="204"/>
      <c r="Z770" s="204"/>
      <c r="AA770" s="204"/>
      <c r="AB770" s="204"/>
      <c r="AC770" s="204"/>
      <c r="AD770" s="204"/>
      <c r="AE770" s="204"/>
      <c r="AF770" s="204"/>
      <c r="AG770" s="204"/>
    </row>
    <row r="771" spans="1:34" ht="15.95" customHeight="1">
      <c r="A771" s="7"/>
      <c r="B771" s="10"/>
      <c r="C771" s="12"/>
      <c r="D771" s="203"/>
      <c r="E771" s="203"/>
      <c r="F771" s="202"/>
      <c r="G771" s="203"/>
      <c r="H771" s="202"/>
      <c r="I771" s="202"/>
      <c r="J771" s="203"/>
      <c r="K771" s="203"/>
      <c r="L771" s="291" t="s">
        <v>34</v>
      </c>
      <c r="M771" s="202"/>
      <c r="N771" s="45" t="str">
        <f t="shared" si="75"/>
        <v>FY2010-11</v>
      </c>
      <c r="O771" s="45" t="s">
        <v>156</v>
      </c>
      <c r="P771" s="45" t="s">
        <v>138</v>
      </c>
      <c r="Q771" s="45" t="s">
        <v>70</v>
      </c>
      <c r="R771" s="203"/>
      <c r="S771" s="203"/>
      <c r="T771" s="203"/>
      <c r="U771" s="203"/>
      <c r="V771" s="204"/>
      <c r="W771" s="204"/>
      <c r="X771" s="204"/>
      <c r="Y771" s="204"/>
      <c r="Z771" s="204"/>
      <c r="AA771" s="204"/>
      <c r="AB771" s="204"/>
      <c r="AC771" s="204"/>
      <c r="AD771" s="204"/>
      <c r="AE771" s="204"/>
      <c r="AF771" s="204"/>
      <c r="AG771" s="204"/>
    </row>
    <row r="772" spans="1:34" ht="15.95" customHeight="1">
      <c r="A772" s="44"/>
      <c r="B772" s="41"/>
      <c r="C772" s="41"/>
      <c r="D772" s="42"/>
      <c r="E772" s="42"/>
      <c r="F772" s="43"/>
      <c r="G772" s="42"/>
      <c r="H772" s="43"/>
      <c r="I772" s="43"/>
      <c r="J772" s="42"/>
      <c r="K772" s="42"/>
      <c r="L772" s="290"/>
      <c r="M772" s="43"/>
      <c r="N772" s="43"/>
      <c r="O772" s="42"/>
      <c r="P772" s="43"/>
      <c r="Q772" s="43"/>
      <c r="R772" s="42"/>
      <c r="S772" s="42"/>
      <c r="T772" s="42"/>
      <c r="U772" s="42"/>
      <c r="V772" s="44"/>
      <c r="W772" s="44"/>
      <c r="X772" s="44"/>
      <c r="Y772" s="44"/>
      <c r="Z772" s="44"/>
      <c r="AA772" s="44"/>
      <c r="AB772" s="44"/>
      <c r="AC772" s="44"/>
      <c r="AD772" s="44"/>
      <c r="AE772" s="44"/>
      <c r="AF772" s="44"/>
      <c r="AG772" s="44"/>
    </row>
    <row r="773" spans="1:34"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66"/>
      <c r="T773" s="867" t="str">
        <f>'$REV-DB'!$T$34</f>
        <v>UD1</v>
      </c>
      <c r="U773" s="867" t="str">
        <f>'$REV-DB'!$U$34</f>
        <v>UD2</v>
      </c>
      <c r="V773" s="867" t="str">
        <f>'$REV-DB'!$V$34</f>
        <v>UD3</v>
      </c>
      <c r="W773" s="867" t="str">
        <f>'$REV-DB'!$W$34</f>
        <v>UD4</v>
      </c>
      <c r="X773" s="867" t="str">
        <f>'$REV-DB'!$X$34</f>
        <v>UD5</v>
      </c>
      <c r="Y773" s="867" t="str">
        <f>'$REV-DB'!$Y$34</f>
        <v>UD6</v>
      </c>
      <c r="Z773" s="867" t="str">
        <f>'$REV-DB'!$Z$34</f>
        <v>UD7</v>
      </c>
      <c r="AA773" s="867" t="str">
        <f>'$REV-DB'!$AA$34</f>
        <v>UD8</v>
      </c>
      <c r="AB773" s="867" t="str">
        <f>'$REV-DB'!$AB$34</f>
        <v>UD9</v>
      </c>
      <c r="AC773" s="867" t="str">
        <f>'$REV-DB'!$AC$34</f>
        <v>UD10</v>
      </c>
      <c r="AD773" s="867" t="str">
        <f>'$REV-DB'!$AD$34</f>
        <v>UD11</v>
      </c>
      <c r="AE773" s="867" t="str">
        <f>'$REV-DB'!$AE$34</f>
        <v>UD12</v>
      </c>
      <c r="AF773" s="867" t="str">
        <f>'$REV-DB'!$AF$34</f>
        <v>UD13</v>
      </c>
      <c r="AG773" s="867" t="str">
        <f>'$REV-DB'!$AG$34</f>
        <v>UD14</v>
      </c>
    </row>
    <row r="774" spans="1:34" ht="15.95" customHeight="1" thickTop="1" thickBot="1">
      <c r="A774" s="7"/>
      <c r="B774" s="20" t="s">
        <v>4</v>
      </c>
      <c r="C774" s="15"/>
      <c r="D774" s="105" t="s">
        <v>186</v>
      </c>
      <c r="E774" s="105" t="s">
        <v>187</v>
      </c>
      <c r="F774" s="105" t="s">
        <v>188</v>
      </c>
      <c r="G774" s="105" t="s">
        <v>189</v>
      </c>
      <c r="H774" s="301" t="s">
        <v>11</v>
      </c>
      <c r="I774" s="301" t="s">
        <v>190</v>
      </c>
      <c r="J774" s="301" t="s">
        <v>191</v>
      </c>
      <c r="K774" s="301" t="s">
        <v>192</v>
      </c>
      <c r="L774" s="301" t="s">
        <v>203</v>
      </c>
      <c r="M774" s="301" t="s">
        <v>42</v>
      </c>
      <c r="N774" s="105" t="s">
        <v>148</v>
      </c>
      <c r="O774" s="105" t="s">
        <v>193</v>
      </c>
      <c r="P774" s="105" t="s">
        <v>142</v>
      </c>
      <c r="Q774" s="105" t="s">
        <v>194</v>
      </c>
      <c r="R774" s="112" t="s">
        <v>141</v>
      </c>
      <c r="S774" s="112" t="s">
        <v>672</v>
      </c>
      <c r="T774" s="857" t="s">
        <v>541</v>
      </c>
      <c r="U774" s="857" t="s">
        <v>542</v>
      </c>
      <c r="V774" s="857" t="s">
        <v>543</v>
      </c>
      <c r="W774" s="857" t="s">
        <v>544</v>
      </c>
      <c r="X774" s="857" t="s">
        <v>545</v>
      </c>
      <c r="Y774" s="857" t="s">
        <v>546</v>
      </c>
      <c r="Z774" s="857" t="s">
        <v>547</v>
      </c>
      <c r="AA774" s="857" t="s">
        <v>548</v>
      </c>
      <c r="AB774" s="857" t="s">
        <v>549</v>
      </c>
      <c r="AC774" s="857" t="s">
        <v>550</v>
      </c>
      <c r="AD774" s="857" t="s">
        <v>551</v>
      </c>
      <c r="AE774" s="857" t="s">
        <v>552</v>
      </c>
      <c r="AF774" s="857" t="s">
        <v>553</v>
      </c>
      <c r="AG774" s="857" t="s">
        <v>554</v>
      </c>
      <c r="AH774" s="6"/>
    </row>
    <row r="775" spans="1:34" ht="15.95" customHeight="1" thickTop="1">
      <c r="A775" s="7"/>
      <c r="B775" s="19" t="s">
        <v>150</v>
      </c>
      <c r="C775" s="12"/>
      <c r="D775" s="203"/>
      <c r="E775" s="203"/>
      <c r="F775" s="202"/>
      <c r="G775" s="203"/>
      <c r="H775" s="202"/>
      <c r="I775" s="202"/>
      <c r="J775" s="203"/>
      <c r="K775" s="203"/>
      <c r="L775" s="291" t="s">
        <v>34</v>
      </c>
      <c r="M775" s="202"/>
      <c r="N775" s="45" t="str">
        <f>J$6</f>
        <v>FY2010-11</v>
      </c>
      <c r="O775" s="45" t="s">
        <v>156</v>
      </c>
      <c r="P775" s="45" t="s">
        <v>138</v>
      </c>
      <c r="Q775" s="45" t="s">
        <v>140</v>
      </c>
      <c r="R775" s="203"/>
      <c r="S775" s="203"/>
      <c r="T775" s="203"/>
      <c r="U775" s="203"/>
      <c r="V775" s="204"/>
      <c r="W775" s="204"/>
      <c r="X775" s="204"/>
      <c r="Y775" s="204"/>
      <c r="Z775" s="204"/>
      <c r="AA775" s="204"/>
      <c r="AB775" s="204"/>
      <c r="AC775" s="204"/>
      <c r="AD775" s="204"/>
      <c r="AE775" s="204"/>
      <c r="AF775" s="204"/>
      <c r="AG775" s="204"/>
      <c r="AH775" s="6"/>
    </row>
    <row r="776" spans="1:34" ht="15.95" customHeight="1">
      <c r="A776" s="7"/>
      <c r="B776" s="16">
        <f>DSUM('$REV-DB'!D35:AG67,"AMOUNT",'$REV-DSUM'!D774:AG781)</f>
        <v>0</v>
      </c>
      <c r="C776" s="12"/>
      <c r="D776" s="203"/>
      <c r="E776" s="203"/>
      <c r="F776" s="202"/>
      <c r="G776" s="203"/>
      <c r="H776" s="202"/>
      <c r="I776" s="202"/>
      <c r="J776" s="203"/>
      <c r="K776" s="203"/>
      <c r="L776" s="291" t="s">
        <v>34</v>
      </c>
      <c r="M776" s="202"/>
      <c r="N776" s="45" t="str">
        <f t="shared" ref="N776:N781" si="76">J$6</f>
        <v>FY2010-11</v>
      </c>
      <c r="O776" s="45" t="s">
        <v>156</v>
      </c>
      <c r="P776" s="45" t="s">
        <v>138</v>
      </c>
      <c r="Q776" s="45" t="s">
        <v>140</v>
      </c>
      <c r="R776" s="203"/>
      <c r="S776" s="203"/>
      <c r="T776" s="203"/>
      <c r="U776" s="203"/>
      <c r="V776" s="204"/>
      <c r="W776" s="204"/>
      <c r="X776" s="204"/>
      <c r="Y776" s="204"/>
      <c r="Z776" s="204"/>
      <c r="AA776" s="204"/>
      <c r="AB776" s="204"/>
      <c r="AC776" s="204"/>
      <c r="AD776" s="204"/>
      <c r="AE776" s="204"/>
      <c r="AF776" s="204"/>
      <c r="AG776" s="204"/>
      <c r="AH776" s="6"/>
    </row>
    <row r="777" spans="1:34" ht="15.95" customHeight="1">
      <c r="A777" s="7"/>
      <c r="B777" s="10"/>
      <c r="C777" s="12"/>
      <c r="D777" s="203"/>
      <c r="E777" s="203"/>
      <c r="F777" s="202"/>
      <c r="G777" s="203"/>
      <c r="H777" s="202"/>
      <c r="I777" s="202"/>
      <c r="J777" s="203"/>
      <c r="K777" s="203"/>
      <c r="L777" s="291" t="s">
        <v>34</v>
      </c>
      <c r="M777" s="202"/>
      <c r="N777" s="45" t="str">
        <f t="shared" si="76"/>
        <v>FY2010-11</v>
      </c>
      <c r="O777" s="45" t="s">
        <v>156</v>
      </c>
      <c r="P777" s="45" t="s">
        <v>138</v>
      </c>
      <c r="Q777" s="45" t="s">
        <v>140</v>
      </c>
      <c r="R777" s="203"/>
      <c r="S777" s="203"/>
      <c r="T777" s="203"/>
      <c r="U777" s="203"/>
      <c r="V777" s="204"/>
      <c r="W777" s="204"/>
      <c r="X777" s="204"/>
      <c r="Y777" s="204"/>
      <c r="Z777" s="204"/>
      <c r="AA777" s="204"/>
      <c r="AB777" s="204"/>
      <c r="AC777" s="204"/>
      <c r="AD777" s="204"/>
      <c r="AE777" s="204"/>
      <c r="AF777" s="204"/>
      <c r="AG777" s="204"/>
    </row>
    <row r="778" spans="1:34" ht="15.95" customHeight="1">
      <c r="A778" s="7"/>
      <c r="B778" s="10"/>
      <c r="C778" s="12"/>
      <c r="D778" s="203"/>
      <c r="E778" s="203"/>
      <c r="F778" s="202"/>
      <c r="G778" s="203"/>
      <c r="H778" s="202"/>
      <c r="I778" s="202"/>
      <c r="J778" s="203"/>
      <c r="K778" s="203"/>
      <c r="L778" s="291" t="s">
        <v>34</v>
      </c>
      <c r="M778" s="202"/>
      <c r="N778" s="45" t="str">
        <f t="shared" si="76"/>
        <v>FY2010-11</v>
      </c>
      <c r="O778" s="45" t="s">
        <v>156</v>
      </c>
      <c r="P778" s="45" t="s">
        <v>138</v>
      </c>
      <c r="Q778" s="45" t="s">
        <v>140</v>
      </c>
      <c r="R778" s="203"/>
      <c r="S778" s="203"/>
      <c r="T778" s="203"/>
      <c r="U778" s="203"/>
      <c r="V778" s="204"/>
      <c r="W778" s="204"/>
      <c r="X778" s="204"/>
      <c r="Y778" s="204"/>
      <c r="Z778" s="204"/>
      <c r="AA778" s="204"/>
      <c r="AB778" s="204"/>
      <c r="AC778" s="204"/>
      <c r="AD778" s="204"/>
      <c r="AE778" s="204"/>
      <c r="AF778" s="204"/>
      <c r="AG778" s="204"/>
    </row>
    <row r="779" spans="1:34" ht="15.95" customHeight="1">
      <c r="A779" s="7"/>
      <c r="B779" s="10"/>
      <c r="C779" s="12"/>
      <c r="D779" s="203"/>
      <c r="E779" s="203"/>
      <c r="F779" s="202"/>
      <c r="G779" s="203"/>
      <c r="H779" s="202"/>
      <c r="I779" s="202"/>
      <c r="J779" s="203"/>
      <c r="K779" s="203"/>
      <c r="L779" s="291" t="s">
        <v>34</v>
      </c>
      <c r="M779" s="202"/>
      <c r="N779" s="45" t="str">
        <f t="shared" si="76"/>
        <v>FY2010-11</v>
      </c>
      <c r="O779" s="45" t="s">
        <v>156</v>
      </c>
      <c r="P779" s="45" t="s">
        <v>138</v>
      </c>
      <c r="Q779" s="45" t="s">
        <v>140</v>
      </c>
      <c r="R779" s="203"/>
      <c r="S779" s="203"/>
      <c r="T779" s="203"/>
      <c r="U779" s="203"/>
      <c r="V779" s="204"/>
      <c r="W779" s="204"/>
      <c r="X779" s="204"/>
      <c r="Y779" s="204"/>
      <c r="Z779" s="204"/>
      <c r="AA779" s="204"/>
      <c r="AB779" s="204"/>
      <c r="AC779" s="204"/>
      <c r="AD779" s="204"/>
      <c r="AE779" s="204"/>
      <c r="AF779" s="204"/>
      <c r="AG779" s="204"/>
    </row>
    <row r="780" spans="1:34" ht="15.95" customHeight="1">
      <c r="A780" s="7"/>
      <c r="B780" s="10"/>
      <c r="C780" s="12"/>
      <c r="D780" s="203"/>
      <c r="E780" s="203"/>
      <c r="F780" s="202"/>
      <c r="G780" s="203"/>
      <c r="H780" s="202"/>
      <c r="I780" s="202"/>
      <c r="J780" s="203"/>
      <c r="K780" s="203"/>
      <c r="L780" s="291" t="s">
        <v>34</v>
      </c>
      <c r="M780" s="202"/>
      <c r="N780" s="45" t="str">
        <f t="shared" si="76"/>
        <v>FY2010-11</v>
      </c>
      <c r="O780" s="45" t="s">
        <v>156</v>
      </c>
      <c r="P780" s="45" t="s">
        <v>138</v>
      </c>
      <c r="Q780" s="45" t="s">
        <v>140</v>
      </c>
      <c r="R780" s="203"/>
      <c r="S780" s="203"/>
      <c r="T780" s="203"/>
      <c r="U780" s="203"/>
      <c r="V780" s="204"/>
      <c r="W780" s="204"/>
      <c r="X780" s="204"/>
      <c r="Y780" s="204"/>
      <c r="Z780" s="204"/>
      <c r="AA780" s="204"/>
      <c r="AB780" s="204"/>
      <c r="AC780" s="204"/>
      <c r="AD780" s="204"/>
      <c r="AE780" s="204"/>
      <c r="AF780" s="204"/>
      <c r="AG780" s="204"/>
    </row>
    <row r="781" spans="1:34" ht="15.95" customHeight="1">
      <c r="A781" s="7"/>
      <c r="B781" s="10"/>
      <c r="C781" s="12"/>
      <c r="D781" s="203"/>
      <c r="E781" s="203"/>
      <c r="F781" s="202"/>
      <c r="G781" s="203"/>
      <c r="H781" s="202"/>
      <c r="I781" s="202"/>
      <c r="J781" s="203"/>
      <c r="K781" s="203"/>
      <c r="L781" s="291" t="s">
        <v>34</v>
      </c>
      <c r="M781" s="202"/>
      <c r="N781" s="45" t="str">
        <f t="shared" si="76"/>
        <v>FY2010-11</v>
      </c>
      <c r="O781" s="45" t="s">
        <v>156</v>
      </c>
      <c r="P781" s="45" t="s">
        <v>138</v>
      </c>
      <c r="Q781" s="45" t="s">
        <v>140</v>
      </c>
      <c r="R781" s="203"/>
      <c r="S781" s="203"/>
      <c r="T781" s="203"/>
      <c r="U781" s="203"/>
      <c r="V781" s="204"/>
      <c r="W781" s="204"/>
      <c r="X781" s="204"/>
      <c r="Y781" s="204"/>
      <c r="Z781" s="204"/>
      <c r="AA781" s="204"/>
      <c r="AB781" s="204"/>
      <c r="AC781" s="204"/>
      <c r="AD781" s="204"/>
      <c r="AE781" s="204"/>
      <c r="AF781" s="204"/>
      <c r="AG781" s="204"/>
    </row>
    <row r="782" spans="1:34" ht="15.95" customHeight="1">
      <c r="A782" s="44"/>
      <c r="B782" s="41"/>
      <c r="C782" s="41"/>
      <c r="D782" s="42"/>
      <c r="E782" s="42"/>
      <c r="F782" s="43"/>
      <c r="G782" s="42"/>
      <c r="H782" s="43"/>
      <c r="I782" s="43"/>
      <c r="J782" s="42"/>
      <c r="K782" s="42"/>
      <c r="L782" s="290"/>
      <c r="M782" s="43"/>
      <c r="N782" s="43"/>
      <c r="O782" s="42"/>
      <c r="P782" s="43"/>
      <c r="Q782" s="43"/>
      <c r="R782" s="42"/>
      <c r="S782" s="42"/>
      <c r="T782" s="42"/>
      <c r="U782" s="42"/>
      <c r="V782" s="44"/>
      <c r="W782" s="44"/>
      <c r="X782" s="44"/>
      <c r="Y782" s="44"/>
      <c r="Z782" s="44"/>
      <c r="AA782" s="44"/>
      <c r="AB782" s="44"/>
      <c r="AC782" s="44"/>
      <c r="AD782" s="44"/>
      <c r="AE782" s="44"/>
      <c r="AF782" s="44"/>
      <c r="AG782" s="44"/>
    </row>
    <row r="783" spans="1:34"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66"/>
      <c r="T783" s="867" t="str">
        <f>'$REV-DB'!$T$34</f>
        <v>UD1</v>
      </c>
      <c r="U783" s="867" t="str">
        <f>'$REV-DB'!$U$34</f>
        <v>UD2</v>
      </c>
      <c r="V783" s="867" t="str">
        <f>'$REV-DB'!$V$34</f>
        <v>UD3</v>
      </c>
      <c r="W783" s="867" t="str">
        <f>'$REV-DB'!$W$34</f>
        <v>UD4</v>
      </c>
      <c r="X783" s="867" t="str">
        <f>'$REV-DB'!$X$34</f>
        <v>UD5</v>
      </c>
      <c r="Y783" s="867" t="str">
        <f>'$REV-DB'!$Y$34</f>
        <v>UD6</v>
      </c>
      <c r="Z783" s="867" t="str">
        <f>'$REV-DB'!$Z$34</f>
        <v>UD7</v>
      </c>
      <c r="AA783" s="867" t="str">
        <f>'$REV-DB'!$AA$34</f>
        <v>UD8</v>
      </c>
      <c r="AB783" s="867" t="str">
        <f>'$REV-DB'!$AB$34</f>
        <v>UD9</v>
      </c>
      <c r="AC783" s="867" t="str">
        <f>'$REV-DB'!$AC$34</f>
        <v>UD10</v>
      </c>
      <c r="AD783" s="867" t="str">
        <f>'$REV-DB'!$AD$34</f>
        <v>UD11</v>
      </c>
      <c r="AE783" s="867" t="str">
        <f>'$REV-DB'!$AE$34</f>
        <v>UD12</v>
      </c>
      <c r="AF783" s="867" t="str">
        <f>'$REV-DB'!$AF$34</f>
        <v>UD13</v>
      </c>
      <c r="AG783" s="867" t="str">
        <f>'$REV-DB'!$AG$34</f>
        <v>UD14</v>
      </c>
    </row>
    <row r="784" spans="1:34" ht="15.95" customHeight="1" thickTop="1" thickBot="1">
      <c r="A784" s="7"/>
      <c r="B784" s="20" t="s">
        <v>175</v>
      </c>
      <c r="C784" s="15"/>
      <c r="D784" s="105" t="s">
        <v>186</v>
      </c>
      <c r="E784" s="105" t="s">
        <v>187</v>
      </c>
      <c r="F784" s="105" t="s">
        <v>188</v>
      </c>
      <c r="G784" s="105" t="s">
        <v>189</v>
      </c>
      <c r="H784" s="301" t="s">
        <v>11</v>
      </c>
      <c r="I784" s="301" t="s">
        <v>190</v>
      </c>
      <c r="J784" s="301" t="s">
        <v>191</v>
      </c>
      <c r="K784" s="301" t="s">
        <v>192</v>
      </c>
      <c r="L784" s="301" t="s">
        <v>203</v>
      </c>
      <c r="M784" s="301" t="s">
        <v>42</v>
      </c>
      <c r="N784" s="105" t="s">
        <v>148</v>
      </c>
      <c r="O784" s="105" t="s">
        <v>193</v>
      </c>
      <c r="P784" s="105" t="s">
        <v>142</v>
      </c>
      <c r="Q784" s="105" t="s">
        <v>194</v>
      </c>
      <c r="R784" s="112" t="s">
        <v>141</v>
      </c>
      <c r="S784" s="112" t="s">
        <v>672</v>
      </c>
      <c r="T784" s="857" t="s">
        <v>541</v>
      </c>
      <c r="U784" s="857" t="s">
        <v>542</v>
      </c>
      <c r="V784" s="857" t="s">
        <v>543</v>
      </c>
      <c r="W784" s="857" t="s">
        <v>544</v>
      </c>
      <c r="X784" s="857" t="s">
        <v>545</v>
      </c>
      <c r="Y784" s="857" t="s">
        <v>546</v>
      </c>
      <c r="Z784" s="857" t="s">
        <v>547</v>
      </c>
      <c r="AA784" s="857" t="s">
        <v>548</v>
      </c>
      <c r="AB784" s="857" t="s">
        <v>549</v>
      </c>
      <c r="AC784" s="857" t="s">
        <v>550</v>
      </c>
      <c r="AD784" s="857" t="s">
        <v>551</v>
      </c>
      <c r="AE784" s="857" t="s">
        <v>552</v>
      </c>
      <c r="AF784" s="857" t="s">
        <v>553</v>
      </c>
      <c r="AG784" s="857" t="s">
        <v>554</v>
      </c>
      <c r="AH784" s="6"/>
    </row>
    <row r="785" spans="1:34" ht="15.95" customHeight="1" thickTop="1">
      <c r="A785" s="7"/>
      <c r="B785" s="19" t="s">
        <v>146</v>
      </c>
      <c r="C785" s="12"/>
      <c r="D785" s="203"/>
      <c r="E785" s="203"/>
      <c r="F785" s="202"/>
      <c r="G785" s="203"/>
      <c r="H785" s="202"/>
      <c r="I785" s="202"/>
      <c r="J785" s="203"/>
      <c r="K785" s="203"/>
      <c r="L785" s="291" t="s">
        <v>34</v>
      </c>
      <c r="M785" s="202"/>
      <c r="N785" s="45" t="str">
        <f>J$6</f>
        <v>FY2010-11</v>
      </c>
      <c r="O785" s="45" t="s">
        <v>156</v>
      </c>
      <c r="P785" s="45" t="s">
        <v>147</v>
      </c>
      <c r="Q785" s="45"/>
      <c r="R785" s="203"/>
      <c r="S785" s="203"/>
      <c r="T785" s="203"/>
      <c r="U785" s="203"/>
      <c r="V785" s="204"/>
      <c r="W785" s="204"/>
      <c r="X785" s="204"/>
      <c r="Y785" s="204"/>
      <c r="Z785" s="204"/>
      <c r="AA785" s="204"/>
      <c r="AB785" s="204"/>
      <c r="AC785" s="204"/>
      <c r="AD785" s="204"/>
      <c r="AE785" s="204"/>
      <c r="AF785" s="204"/>
      <c r="AG785" s="204"/>
      <c r="AH785" s="6"/>
    </row>
    <row r="786" spans="1:34" ht="15.95" customHeight="1">
      <c r="A786" s="7"/>
      <c r="B786" s="16">
        <f>DSUM('$REV-DB'!D35:AG67,"AMOUNT",'$REV-DSUM'!D784:AG791)</f>
        <v>0</v>
      </c>
      <c r="C786" s="12"/>
      <c r="D786" s="203"/>
      <c r="E786" s="203"/>
      <c r="F786" s="202"/>
      <c r="G786" s="203"/>
      <c r="H786" s="202"/>
      <c r="I786" s="202"/>
      <c r="J786" s="203"/>
      <c r="K786" s="203"/>
      <c r="L786" s="291" t="s">
        <v>34</v>
      </c>
      <c r="M786" s="202"/>
      <c r="N786" s="45" t="str">
        <f t="shared" ref="N786:N791" si="77">J$6</f>
        <v>FY2010-11</v>
      </c>
      <c r="O786" s="45" t="s">
        <v>156</v>
      </c>
      <c r="P786" s="45" t="s">
        <v>147</v>
      </c>
      <c r="Q786" s="45"/>
      <c r="R786" s="203"/>
      <c r="S786" s="203"/>
      <c r="T786" s="203"/>
      <c r="U786" s="203"/>
      <c r="V786" s="204"/>
      <c r="W786" s="204"/>
      <c r="X786" s="204"/>
      <c r="Y786" s="204"/>
      <c r="Z786" s="204"/>
      <c r="AA786" s="204"/>
      <c r="AB786" s="204"/>
      <c r="AC786" s="204"/>
      <c r="AD786" s="204"/>
      <c r="AE786" s="204"/>
      <c r="AF786" s="204"/>
      <c r="AG786" s="204"/>
      <c r="AH786" s="6"/>
    </row>
    <row r="787" spans="1:34" ht="15.95" customHeight="1">
      <c r="A787" s="7"/>
      <c r="B787" s="10"/>
      <c r="C787" s="12"/>
      <c r="D787" s="203"/>
      <c r="E787" s="203"/>
      <c r="F787" s="202"/>
      <c r="G787" s="203"/>
      <c r="H787" s="202"/>
      <c r="I787" s="202"/>
      <c r="J787" s="203"/>
      <c r="K787" s="203"/>
      <c r="L787" s="291" t="s">
        <v>34</v>
      </c>
      <c r="M787" s="202"/>
      <c r="N787" s="45" t="str">
        <f t="shared" si="77"/>
        <v>FY2010-11</v>
      </c>
      <c r="O787" s="45" t="s">
        <v>156</v>
      </c>
      <c r="P787" s="45" t="s">
        <v>147</v>
      </c>
      <c r="Q787" s="45"/>
      <c r="R787" s="203"/>
      <c r="S787" s="203"/>
      <c r="T787" s="203"/>
      <c r="U787" s="203"/>
      <c r="V787" s="204"/>
      <c r="W787" s="204"/>
      <c r="X787" s="204"/>
      <c r="Y787" s="204"/>
      <c r="Z787" s="204"/>
      <c r="AA787" s="204"/>
      <c r="AB787" s="204"/>
      <c r="AC787" s="204"/>
      <c r="AD787" s="204"/>
      <c r="AE787" s="204"/>
      <c r="AF787" s="204"/>
      <c r="AG787" s="204"/>
    </row>
    <row r="788" spans="1:34" ht="15.95" customHeight="1">
      <c r="A788" s="7"/>
      <c r="B788" s="10"/>
      <c r="C788" s="12"/>
      <c r="D788" s="203"/>
      <c r="E788" s="203"/>
      <c r="F788" s="202"/>
      <c r="G788" s="203"/>
      <c r="H788" s="202"/>
      <c r="I788" s="202"/>
      <c r="J788" s="203"/>
      <c r="K788" s="203"/>
      <c r="L788" s="291" t="s">
        <v>34</v>
      </c>
      <c r="M788" s="202"/>
      <c r="N788" s="45" t="str">
        <f t="shared" si="77"/>
        <v>FY2010-11</v>
      </c>
      <c r="O788" s="45" t="s">
        <v>156</v>
      </c>
      <c r="P788" s="45" t="s">
        <v>147</v>
      </c>
      <c r="Q788" s="45"/>
      <c r="R788" s="203"/>
      <c r="S788" s="203"/>
      <c r="T788" s="203"/>
      <c r="U788" s="203"/>
      <c r="V788" s="204"/>
      <c r="W788" s="204"/>
      <c r="X788" s="204"/>
      <c r="Y788" s="204"/>
      <c r="Z788" s="204"/>
      <c r="AA788" s="204"/>
      <c r="AB788" s="204"/>
      <c r="AC788" s="204"/>
      <c r="AD788" s="204"/>
      <c r="AE788" s="204"/>
      <c r="AF788" s="204"/>
      <c r="AG788" s="204"/>
    </row>
    <row r="789" spans="1:34" ht="15.95" customHeight="1">
      <c r="A789" s="7"/>
      <c r="B789" s="10"/>
      <c r="C789" s="12"/>
      <c r="D789" s="203"/>
      <c r="E789" s="203"/>
      <c r="F789" s="202"/>
      <c r="G789" s="203"/>
      <c r="H789" s="202"/>
      <c r="I789" s="202"/>
      <c r="J789" s="203"/>
      <c r="K789" s="203"/>
      <c r="L789" s="291" t="s">
        <v>34</v>
      </c>
      <c r="M789" s="202"/>
      <c r="N789" s="45" t="str">
        <f t="shared" si="77"/>
        <v>FY2010-11</v>
      </c>
      <c r="O789" s="45" t="s">
        <v>156</v>
      </c>
      <c r="P789" s="45" t="s">
        <v>147</v>
      </c>
      <c r="Q789" s="45"/>
      <c r="R789" s="203"/>
      <c r="S789" s="203"/>
      <c r="T789" s="203"/>
      <c r="U789" s="203"/>
      <c r="V789" s="204"/>
      <c r="W789" s="204"/>
      <c r="X789" s="204"/>
      <c r="Y789" s="204"/>
      <c r="Z789" s="204"/>
      <c r="AA789" s="204"/>
      <c r="AB789" s="204"/>
      <c r="AC789" s="204"/>
      <c r="AD789" s="204"/>
      <c r="AE789" s="204"/>
      <c r="AF789" s="204"/>
      <c r="AG789" s="204"/>
    </row>
    <row r="790" spans="1:34" ht="15.95" customHeight="1">
      <c r="A790" s="7"/>
      <c r="B790" s="10"/>
      <c r="C790" s="12"/>
      <c r="D790" s="203"/>
      <c r="E790" s="203"/>
      <c r="F790" s="202"/>
      <c r="G790" s="203"/>
      <c r="H790" s="202"/>
      <c r="I790" s="202"/>
      <c r="J790" s="203"/>
      <c r="K790" s="203"/>
      <c r="L790" s="291" t="s">
        <v>34</v>
      </c>
      <c r="M790" s="202"/>
      <c r="N790" s="45" t="str">
        <f t="shared" si="77"/>
        <v>FY2010-11</v>
      </c>
      <c r="O790" s="45" t="s">
        <v>156</v>
      </c>
      <c r="P790" s="45" t="s">
        <v>147</v>
      </c>
      <c r="Q790" s="45"/>
      <c r="R790" s="203"/>
      <c r="S790" s="203"/>
      <c r="T790" s="203"/>
      <c r="U790" s="203"/>
      <c r="V790" s="204"/>
      <c r="W790" s="204"/>
      <c r="X790" s="204"/>
      <c r="Y790" s="204"/>
      <c r="Z790" s="204"/>
      <c r="AA790" s="204"/>
      <c r="AB790" s="204"/>
      <c r="AC790" s="204"/>
      <c r="AD790" s="204"/>
      <c r="AE790" s="204"/>
      <c r="AF790" s="204"/>
      <c r="AG790" s="204"/>
    </row>
    <row r="791" spans="1:34" ht="15.95" customHeight="1">
      <c r="A791" s="7"/>
      <c r="B791" s="10"/>
      <c r="C791" s="12"/>
      <c r="D791" s="203"/>
      <c r="E791" s="203"/>
      <c r="F791" s="202"/>
      <c r="G791" s="203"/>
      <c r="H791" s="202"/>
      <c r="I791" s="202"/>
      <c r="J791" s="203"/>
      <c r="K791" s="203"/>
      <c r="L791" s="291" t="s">
        <v>34</v>
      </c>
      <c r="M791" s="202"/>
      <c r="N791" s="45" t="str">
        <f t="shared" si="77"/>
        <v>FY2010-11</v>
      </c>
      <c r="O791" s="45" t="s">
        <v>156</v>
      </c>
      <c r="P791" s="45" t="s">
        <v>147</v>
      </c>
      <c r="Q791" s="45"/>
      <c r="R791" s="203"/>
      <c r="S791" s="203"/>
      <c r="T791" s="203"/>
      <c r="U791" s="203"/>
      <c r="V791" s="204"/>
      <c r="W791" s="204"/>
      <c r="X791" s="204"/>
      <c r="Y791" s="204"/>
      <c r="Z791" s="204"/>
      <c r="AA791" s="204"/>
      <c r="AB791" s="204"/>
      <c r="AC791" s="204"/>
      <c r="AD791" s="204"/>
      <c r="AE791" s="204"/>
      <c r="AF791" s="204"/>
      <c r="AG791" s="204"/>
    </row>
    <row r="792" spans="1:34" ht="15.95" customHeight="1">
      <c r="A792" s="44"/>
      <c r="B792" s="41"/>
      <c r="C792" s="41"/>
      <c r="D792" s="42"/>
      <c r="E792" s="42"/>
      <c r="F792" s="43"/>
      <c r="G792" s="42"/>
      <c r="H792" s="43"/>
      <c r="I792" s="43"/>
      <c r="J792" s="42"/>
      <c r="K792" s="42"/>
      <c r="L792" s="290"/>
      <c r="M792" s="43"/>
      <c r="N792" s="43"/>
      <c r="O792" s="42"/>
      <c r="P792" s="43"/>
      <c r="Q792" s="43"/>
      <c r="R792" s="42"/>
      <c r="S792" s="42"/>
      <c r="T792" s="42"/>
      <c r="U792" s="42"/>
      <c r="V792" s="44"/>
      <c r="W792" s="44"/>
      <c r="X792" s="44"/>
      <c r="Y792" s="44"/>
      <c r="Z792" s="44"/>
      <c r="AA792" s="44"/>
      <c r="AB792" s="44"/>
      <c r="AC792" s="44"/>
      <c r="AD792" s="44"/>
      <c r="AE792" s="44"/>
      <c r="AF792" s="44"/>
      <c r="AG792" s="44"/>
    </row>
    <row r="793" spans="1:34"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66"/>
      <c r="T793" s="867" t="str">
        <f>'$REV-DB'!$T$34</f>
        <v>UD1</v>
      </c>
      <c r="U793" s="867" t="str">
        <f>'$REV-DB'!$U$34</f>
        <v>UD2</v>
      </c>
      <c r="V793" s="867" t="str">
        <f>'$REV-DB'!$V$34</f>
        <v>UD3</v>
      </c>
      <c r="W793" s="867" t="str">
        <f>'$REV-DB'!$W$34</f>
        <v>UD4</v>
      </c>
      <c r="X793" s="867" t="str">
        <f>'$REV-DB'!$X$34</f>
        <v>UD5</v>
      </c>
      <c r="Y793" s="867" t="str">
        <f>'$REV-DB'!$Y$34</f>
        <v>UD6</v>
      </c>
      <c r="Z793" s="867" t="str">
        <f>'$REV-DB'!$Z$34</f>
        <v>UD7</v>
      </c>
      <c r="AA793" s="867" t="str">
        <f>'$REV-DB'!$AA$34</f>
        <v>UD8</v>
      </c>
      <c r="AB793" s="867" t="str">
        <f>'$REV-DB'!$AB$34</f>
        <v>UD9</v>
      </c>
      <c r="AC793" s="867" t="str">
        <f>'$REV-DB'!$AC$34</f>
        <v>UD10</v>
      </c>
      <c r="AD793" s="867" t="str">
        <f>'$REV-DB'!$AD$34</f>
        <v>UD11</v>
      </c>
      <c r="AE793" s="867" t="str">
        <f>'$REV-DB'!$AE$34</f>
        <v>UD12</v>
      </c>
      <c r="AF793" s="867" t="str">
        <f>'$REV-DB'!$AF$34</f>
        <v>UD13</v>
      </c>
      <c r="AG793" s="867" t="str">
        <f>'$REV-DB'!$AG$34</f>
        <v>UD14</v>
      </c>
    </row>
    <row r="794" spans="1:34" ht="15.95" customHeight="1" thickTop="1" thickBot="1">
      <c r="A794" s="7"/>
      <c r="B794" s="20" t="s">
        <v>175</v>
      </c>
      <c r="C794" s="15"/>
      <c r="D794" s="105" t="s">
        <v>186</v>
      </c>
      <c r="E794" s="105" t="s">
        <v>187</v>
      </c>
      <c r="F794" s="105" t="s">
        <v>188</v>
      </c>
      <c r="G794" s="105" t="s">
        <v>189</v>
      </c>
      <c r="H794" s="301" t="s">
        <v>11</v>
      </c>
      <c r="I794" s="301" t="s">
        <v>190</v>
      </c>
      <c r="J794" s="301" t="s">
        <v>191</v>
      </c>
      <c r="K794" s="301" t="s">
        <v>192</v>
      </c>
      <c r="L794" s="301" t="s">
        <v>203</v>
      </c>
      <c r="M794" s="301" t="s">
        <v>42</v>
      </c>
      <c r="N794" s="105" t="s">
        <v>148</v>
      </c>
      <c r="O794" s="105" t="s">
        <v>193</v>
      </c>
      <c r="P794" s="105" t="s">
        <v>142</v>
      </c>
      <c r="Q794" s="105" t="s">
        <v>194</v>
      </c>
      <c r="R794" s="112" t="s">
        <v>141</v>
      </c>
      <c r="S794" s="112" t="s">
        <v>672</v>
      </c>
      <c r="T794" s="857" t="s">
        <v>541</v>
      </c>
      <c r="U794" s="857" t="s">
        <v>542</v>
      </c>
      <c r="V794" s="857" t="s">
        <v>543</v>
      </c>
      <c r="W794" s="857" t="s">
        <v>544</v>
      </c>
      <c r="X794" s="857" t="s">
        <v>545</v>
      </c>
      <c r="Y794" s="857" t="s">
        <v>546</v>
      </c>
      <c r="Z794" s="857" t="s">
        <v>547</v>
      </c>
      <c r="AA794" s="857" t="s">
        <v>548</v>
      </c>
      <c r="AB794" s="857" t="s">
        <v>549</v>
      </c>
      <c r="AC794" s="857" t="s">
        <v>550</v>
      </c>
      <c r="AD794" s="857" t="s">
        <v>551</v>
      </c>
      <c r="AE794" s="857" t="s">
        <v>552</v>
      </c>
      <c r="AF794" s="857" t="s">
        <v>553</v>
      </c>
      <c r="AG794" s="857" t="s">
        <v>554</v>
      </c>
      <c r="AH794" s="6"/>
    </row>
    <row r="795" spans="1:34" ht="15.95" customHeight="1" thickTop="1">
      <c r="A795" s="7"/>
      <c r="B795" s="19" t="s">
        <v>145</v>
      </c>
      <c r="C795" s="12"/>
      <c r="D795" s="203"/>
      <c r="E795" s="203"/>
      <c r="F795" s="202"/>
      <c r="G795" s="203"/>
      <c r="H795" s="202"/>
      <c r="I795" s="202"/>
      <c r="J795" s="203"/>
      <c r="K795" s="203"/>
      <c r="L795" s="291" t="s">
        <v>34</v>
      </c>
      <c r="M795" s="202"/>
      <c r="N795" s="45" t="str">
        <f>J$6</f>
        <v>FY2010-11</v>
      </c>
      <c r="O795" s="45" t="s">
        <v>156</v>
      </c>
      <c r="P795" s="45" t="s">
        <v>147</v>
      </c>
      <c r="Q795" s="45" t="s">
        <v>180</v>
      </c>
      <c r="R795" s="203"/>
      <c r="S795" s="203"/>
      <c r="T795" s="203"/>
      <c r="U795" s="203"/>
      <c r="V795" s="204"/>
      <c r="W795" s="204"/>
      <c r="X795" s="204"/>
      <c r="Y795" s="204"/>
      <c r="Z795" s="204"/>
      <c r="AA795" s="204"/>
      <c r="AB795" s="204"/>
      <c r="AC795" s="204"/>
      <c r="AD795" s="204"/>
      <c r="AE795" s="204"/>
      <c r="AF795" s="204"/>
      <c r="AG795" s="204"/>
      <c r="AH795" s="6"/>
    </row>
    <row r="796" spans="1:34" ht="15.95" customHeight="1">
      <c r="A796" s="7"/>
      <c r="B796" s="16">
        <f>DSUM('$REV-DB'!D35:AG67,"AMOUNT",'$REV-DSUM'!D794:AG801)</f>
        <v>0</v>
      </c>
      <c r="C796" s="12"/>
      <c r="D796" s="203"/>
      <c r="E796" s="203"/>
      <c r="F796" s="202"/>
      <c r="G796" s="203"/>
      <c r="H796" s="202"/>
      <c r="I796" s="202"/>
      <c r="J796" s="203"/>
      <c r="K796" s="203"/>
      <c r="L796" s="291" t="s">
        <v>34</v>
      </c>
      <c r="M796" s="202"/>
      <c r="N796" s="45" t="str">
        <f t="shared" ref="N796:N801" si="78">J$6</f>
        <v>FY2010-11</v>
      </c>
      <c r="O796" s="45" t="s">
        <v>156</v>
      </c>
      <c r="P796" s="45" t="s">
        <v>147</v>
      </c>
      <c r="Q796" s="45" t="s">
        <v>180</v>
      </c>
      <c r="R796" s="203"/>
      <c r="S796" s="203"/>
      <c r="T796" s="203"/>
      <c r="U796" s="203"/>
      <c r="V796" s="204"/>
      <c r="W796" s="204"/>
      <c r="X796" s="204"/>
      <c r="Y796" s="204"/>
      <c r="Z796" s="204"/>
      <c r="AA796" s="204"/>
      <c r="AB796" s="204"/>
      <c r="AC796" s="204"/>
      <c r="AD796" s="204"/>
      <c r="AE796" s="204"/>
      <c r="AF796" s="204"/>
      <c r="AG796" s="204"/>
      <c r="AH796" s="6"/>
    </row>
    <row r="797" spans="1:34" ht="15.95" customHeight="1">
      <c r="A797" s="7"/>
      <c r="B797" s="10"/>
      <c r="C797" s="12"/>
      <c r="D797" s="203"/>
      <c r="E797" s="203"/>
      <c r="F797" s="202"/>
      <c r="G797" s="203"/>
      <c r="H797" s="202"/>
      <c r="I797" s="202"/>
      <c r="J797" s="203"/>
      <c r="K797" s="203"/>
      <c r="L797" s="291" t="s">
        <v>34</v>
      </c>
      <c r="M797" s="202"/>
      <c r="N797" s="45" t="str">
        <f t="shared" si="78"/>
        <v>FY2010-11</v>
      </c>
      <c r="O797" s="45" t="s">
        <v>156</v>
      </c>
      <c r="P797" s="45" t="s">
        <v>147</v>
      </c>
      <c r="Q797" s="45" t="s">
        <v>180</v>
      </c>
      <c r="R797" s="203"/>
      <c r="S797" s="203"/>
      <c r="T797" s="203"/>
      <c r="U797" s="203"/>
      <c r="V797" s="204"/>
      <c r="W797" s="204"/>
      <c r="X797" s="204"/>
      <c r="Y797" s="204"/>
      <c r="Z797" s="204"/>
      <c r="AA797" s="204"/>
      <c r="AB797" s="204"/>
      <c r="AC797" s="204"/>
      <c r="AD797" s="204"/>
      <c r="AE797" s="204"/>
      <c r="AF797" s="204"/>
      <c r="AG797" s="204"/>
    </row>
    <row r="798" spans="1:34" ht="15.95" customHeight="1">
      <c r="A798" s="7"/>
      <c r="B798" s="10"/>
      <c r="C798" s="12"/>
      <c r="D798" s="203"/>
      <c r="E798" s="203"/>
      <c r="F798" s="202"/>
      <c r="G798" s="203"/>
      <c r="H798" s="202"/>
      <c r="I798" s="202"/>
      <c r="J798" s="203"/>
      <c r="K798" s="203"/>
      <c r="L798" s="291" t="s">
        <v>34</v>
      </c>
      <c r="M798" s="202"/>
      <c r="N798" s="45" t="str">
        <f t="shared" si="78"/>
        <v>FY2010-11</v>
      </c>
      <c r="O798" s="45" t="s">
        <v>156</v>
      </c>
      <c r="P798" s="45" t="s">
        <v>147</v>
      </c>
      <c r="Q798" s="45" t="s">
        <v>180</v>
      </c>
      <c r="R798" s="203"/>
      <c r="S798" s="203"/>
      <c r="T798" s="203"/>
      <c r="U798" s="203"/>
      <c r="V798" s="204"/>
      <c r="W798" s="204"/>
      <c r="X798" s="204"/>
      <c r="Y798" s="204"/>
      <c r="Z798" s="204"/>
      <c r="AA798" s="204"/>
      <c r="AB798" s="204"/>
      <c r="AC798" s="204"/>
      <c r="AD798" s="204"/>
      <c r="AE798" s="204"/>
      <c r="AF798" s="204"/>
      <c r="AG798" s="204"/>
    </row>
    <row r="799" spans="1:34" ht="15.95" customHeight="1">
      <c r="A799" s="7"/>
      <c r="B799" s="10"/>
      <c r="C799" s="12"/>
      <c r="D799" s="203"/>
      <c r="E799" s="203"/>
      <c r="F799" s="202"/>
      <c r="G799" s="203"/>
      <c r="H799" s="202"/>
      <c r="I799" s="202"/>
      <c r="J799" s="203"/>
      <c r="K799" s="203"/>
      <c r="L799" s="291" t="s">
        <v>34</v>
      </c>
      <c r="M799" s="202"/>
      <c r="N799" s="45" t="str">
        <f t="shared" si="78"/>
        <v>FY2010-11</v>
      </c>
      <c r="O799" s="45" t="s">
        <v>156</v>
      </c>
      <c r="P799" s="45" t="s">
        <v>147</v>
      </c>
      <c r="Q799" s="45" t="s">
        <v>180</v>
      </c>
      <c r="R799" s="203"/>
      <c r="S799" s="203"/>
      <c r="T799" s="203"/>
      <c r="U799" s="203"/>
      <c r="V799" s="204"/>
      <c r="W799" s="204"/>
      <c r="X799" s="204"/>
      <c r="Y799" s="204"/>
      <c r="Z799" s="204"/>
      <c r="AA799" s="204"/>
      <c r="AB799" s="204"/>
      <c r="AC799" s="204"/>
      <c r="AD799" s="204"/>
      <c r="AE799" s="204"/>
      <c r="AF799" s="204"/>
      <c r="AG799" s="204"/>
    </row>
    <row r="800" spans="1:34" ht="15.95" customHeight="1">
      <c r="A800" s="7"/>
      <c r="B800" s="10"/>
      <c r="C800" s="12"/>
      <c r="D800" s="203"/>
      <c r="E800" s="203"/>
      <c r="F800" s="202"/>
      <c r="G800" s="203"/>
      <c r="H800" s="202"/>
      <c r="I800" s="202"/>
      <c r="J800" s="203"/>
      <c r="K800" s="203"/>
      <c r="L800" s="291" t="s">
        <v>34</v>
      </c>
      <c r="M800" s="202"/>
      <c r="N800" s="45" t="str">
        <f t="shared" si="78"/>
        <v>FY2010-11</v>
      </c>
      <c r="O800" s="45" t="s">
        <v>156</v>
      </c>
      <c r="P800" s="45" t="s">
        <v>147</v>
      </c>
      <c r="Q800" s="45" t="s">
        <v>180</v>
      </c>
      <c r="R800" s="203"/>
      <c r="S800" s="203"/>
      <c r="T800" s="203"/>
      <c r="U800" s="203"/>
      <c r="V800" s="204"/>
      <c r="W800" s="204"/>
      <c r="X800" s="204"/>
      <c r="Y800" s="204"/>
      <c r="Z800" s="204"/>
      <c r="AA800" s="204"/>
      <c r="AB800" s="204"/>
      <c r="AC800" s="204"/>
      <c r="AD800" s="204"/>
      <c r="AE800" s="204"/>
      <c r="AF800" s="204"/>
      <c r="AG800" s="204"/>
    </row>
    <row r="801" spans="1:34" ht="15.95" customHeight="1">
      <c r="A801" s="7"/>
      <c r="B801" s="10"/>
      <c r="C801" s="12"/>
      <c r="D801" s="203"/>
      <c r="E801" s="203"/>
      <c r="F801" s="202"/>
      <c r="G801" s="203"/>
      <c r="H801" s="202"/>
      <c r="I801" s="202"/>
      <c r="J801" s="203"/>
      <c r="K801" s="203"/>
      <c r="L801" s="291" t="s">
        <v>34</v>
      </c>
      <c r="M801" s="202"/>
      <c r="N801" s="45" t="str">
        <f t="shared" si="78"/>
        <v>FY2010-11</v>
      </c>
      <c r="O801" s="45" t="s">
        <v>156</v>
      </c>
      <c r="P801" s="45" t="s">
        <v>147</v>
      </c>
      <c r="Q801" s="45" t="s">
        <v>180</v>
      </c>
      <c r="R801" s="203"/>
      <c r="S801" s="203"/>
      <c r="T801" s="203"/>
      <c r="U801" s="203"/>
      <c r="V801" s="204"/>
      <c r="W801" s="204"/>
      <c r="X801" s="204"/>
      <c r="Y801" s="204"/>
      <c r="Z801" s="204"/>
      <c r="AA801" s="204"/>
      <c r="AB801" s="204"/>
      <c r="AC801" s="204"/>
      <c r="AD801" s="204"/>
      <c r="AE801" s="204"/>
      <c r="AF801" s="204"/>
      <c r="AG801" s="204"/>
    </row>
    <row r="802" spans="1:34" ht="15.95" customHeight="1">
      <c r="A802" s="44"/>
      <c r="B802" s="41"/>
      <c r="C802" s="41"/>
      <c r="D802" s="42"/>
      <c r="E802" s="42"/>
      <c r="F802" s="43"/>
      <c r="G802" s="42"/>
      <c r="H802" s="43"/>
      <c r="I802" s="43"/>
      <c r="J802" s="42"/>
      <c r="K802" s="42"/>
      <c r="L802" s="290"/>
      <c r="M802" s="43"/>
      <c r="N802" s="43"/>
      <c r="O802" s="42"/>
      <c r="P802" s="43"/>
      <c r="Q802" s="43"/>
      <c r="R802" s="42"/>
      <c r="S802" s="42"/>
      <c r="T802" s="42"/>
      <c r="U802" s="42"/>
      <c r="V802" s="44"/>
      <c r="W802" s="44"/>
      <c r="X802" s="44"/>
      <c r="Y802" s="44"/>
      <c r="Z802" s="44"/>
      <c r="AA802" s="44"/>
      <c r="AB802" s="44"/>
      <c r="AC802" s="44"/>
      <c r="AD802" s="44"/>
      <c r="AE802" s="44"/>
      <c r="AF802" s="44"/>
      <c r="AG802" s="44"/>
    </row>
    <row r="803" spans="1:34"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66"/>
      <c r="T803" s="867" t="str">
        <f>'$REV-DB'!$T$34</f>
        <v>UD1</v>
      </c>
      <c r="U803" s="867" t="str">
        <f>'$REV-DB'!$U$34</f>
        <v>UD2</v>
      </c>
      <c r="V803" s="867" t="str">
        <f>'$REV-DB'!$V$34</f>
        <v>UD3</v>
      </c>
      <c r="W803" s="867" t="str">
        <f>'$REV-DB'!$W$34</f>
        <v>UD4</v>
      </c>
      <c r="X803" s="867" t="str">
        <f>'$REV-DB'!$X$34</f>
        <v>UD5</v>
      </c>
      <c r="Y803" s="867" t="str">
        <f>'$REV-DB'!$Y$34</f>
        <v>UD6</v>
      </c>
      <c r="Z803" s="867" t="str">
        <f>'$REV-DB'!$Z$34</f>
        <v>UD7</v>
      </c>
      <c r="AA803" s="867" t="str">
        <f>'$REV-DB'!$AA$34</f>
        <v>UD8</v>
      </c>
      <c r="AB803" s="867" t="str">
        <f>'$REV-DB'!$AB$34</f>
        <v>UD9</v>
      </c>
      <c r="AC803" s="867" t="str">
        <f>'$REV-DB'!$AC$34</f>
        <v>UD10</v>
      </c>
      <c r="AD803" s="867" t="str">
        <f>'$REV-DB'!$AD$34</f>
        <v>UD11</v>
      </c>
      <c r="AE803" s="867" t="str">
        <f>'$REV-DB'!$AE$34</f>
        <v>UD12</v>
      </c>
      <c r="AF803" s="867" t="str">
        <f>'$REV-DB'!$AF$34</f>
        <v>UD13</v>
      </c>
      <c r="AG803" s="867" t="str">
        <f>'$REV-DB'!$AG$34</f>
        <v>UD14</v>
      </c>
    </row>
    <row r="804" spans="1:34" ht="15.95" customHeight="1" thickTop="1" thickBot="1">
      <c r="A804" s="7"/>
      <c r="B804" s="20" t="s">
        <v>175</v>
      </c>
      <c r="C804" s="15"/>
      <c r="D804" s="105" t="s">
        <v>186</v>
      </c>
      <c r="E804" s="105" t="s">
        <v>187</v>
      </c>
      <c r="F804" s="105" t="s">
        <v>188</v>
      </c>
      <c r="G804" s="105" t="s">
        <v>189</v>
      </c>
      <c r="H804" s="301" t="s">
        <v>11</v>
      </c>
      <c r="I804" s="301" t="s">
        <v>190</v>
      </c>
      <c r="J804" s="301" t="s">
        <v>191</v>
      </c>
      <c r="K804" s="301" t="s">
        <v>192</v>
      </c>
      <c r="L804" s="301" t="s">
        <v>203</v>
      </c>
      <c r="M804" s="301" t="s">
        <v>42</v>
      </c>
      <c r="N804" s="105" t="s">
        <v>148</v>
      </c>
      <c r="O804" s="105" t="s">
        <v>193</v>
      </c>
      <c r="P804" s="105" t="s">
        <v>142</v>
      </c>
      <c r="Q804" s="105" t="s">
        <v>194</v>
      </c>
      <c r="R804" s="112" t="s">
        <v>141</v>
      </c>
      <c r="S804" s="112" t="s">
        <v>672</v>
      </c>
      <c r="T804" s="857" t="s">
        <v>541</v>
      </c>
      <c r="U804" s="857" t="s">
        <v>542</v>
      </c>
      <c r="V804" s="857" t="s">
        <v>543</v>
      </c>
      <c r="W804" s="857" t="s">
        <v>544</v>
      </c>
      <c r="X804" s="857" t="s">
        <v>545</v>
      </c>
      <c r="Y804" s="857" t="s">
        <v>546</v>
      </c>
      <c r="Z804" s="857" t="s">
        <v>547</v>
      </c>
      <c r="AA804" s="857" t="s">
        <v>548</v>
      </c>
      <c r="AB804" s="857" t="s">
        <v>549</v>
      </c>
      <c r="AC804" s="857" t="s">
        <v>550</v>
      </c>
      <c r="AD804" s="857" t="s">
        <v>551</v>
      </c>
      <c r="AE804" s="857" t="s">
        <v>552</v>
      </c>
      <c r="AF804" s="857" t="s">
        <v>553</v>
      </c>
      <c r="AG804" s="857" t="s">
        <v>554</v>
      </c>
      <c r="AH804" s="6"/>
    </row>
    <row r="805" spans="1:34" ht="15.95" customHeight="1" thickTop="1">
      <c r="A805" s="7"/>
      <c r="B805" s="19" t="s">
        <v>144</v>
      </c>
      <c r="C805" s="12"/>
      <c r="D805" s="203"/>
      <c r="E805" s="203"/>
      <c r="F805" s="202"/>
      <c r="G805" s="203"/>
      <c r="H805" s="202"/>
      <c r="I805" s="202"/>
      <c r="J805" s="203"/>
      <c r="K805" s="203"/>
      <c r="L805" s="291" t="s">
        <v>34</v>
      </c>
      <c r="M805" s="202"/>
      <c r="N805" s="45" t="str">
        <f>J$6</f>
        <v>FY2010-11</v>
      </c>
      <c r="O805" s="45" t="s">
        <v>156</v>
      </c>
      <c r="P805" s="45" t="s">
        <v>147</v>
      </c>
      <c r="Q805" s="45" t="s">
        <v>139</v>
      </c>
      <c r="R805" s="203"/>
      <c r="S805" s="203"/>
      <c r="T805" s="203"/>
      <c r="U805" s="203"/>
      <c r="V805" s="204"/>
      <c r="W805" s="204"/>
      <c r="X805" s="204"/>
      <c r="Y805" s="204"/>
      <c r="Z805" s="204"/>
      <c r="AA805" s="204"/>
      <c r="AB805" s="204"/>
      <c r="AC805" s="204"/>
      <c r="AD805" s="204"/>
      <c r="AE805" s="204"/>
      <c r="AF805" s="204"/>
      <c r="AG805" s="204"/>
      <c r="AH805" s="6"/>
    </row>
    <row r="806" spans="1:34" ht="15.95" customHeight="1">
      <c r="A806" s="7"/>
      <c r="B806" s="16">
        <f>DSUM('$REV-DB'!D35:AG67,"AMOUNT",'$REV-DSUM'!D804:AG811)</f>
        <v>0</v>
      </c>
      <c r="C806" s="12"/>
      <c r="D806" s="203"/>
      <c r="E806" s="203"/>
      <c r="F806" s="202"/>
      <c r="G806" s="203"/>
      <c r="H806" s="202"/>
      <c r="I806" s="202"/>
      <c r="J806" s="203"/>
      <c r="K806" s="203"/>
      <c r="L806" s="291" t="s">
        <v>34</v>
      </c>
      <c r="M806" s="202"/>
      <c r="N806" s="45" t="str">
        <f t="shared" ref="N806:N811" si="79">J$6</f>
        <v>FY2010-11</v>
      </c>
      <c r="O806" s="45" t="s">
        <v>156</v>
      </c>
      <c r="P806" s="45" t="s">
        <v>147</v>
      </c>
      <c r="Q806" s="45" t="s">
        <v>139</v>
      </c>
      <c r="R806" s="203"/>
      <c r="S806" s="203"/>
      <c r="T806" s="203"/>
      <c r="U806" s="203"/>
      <c r="V806" s="204"/>
      <c r="W806" s="204"/>
      <c r="X806" s="204"/>
      <c r="Y806" s="204"/>
      <c r="Z806" s="204"/>
      <c r="AA806" s="204"/>
      <c r="AB806" s="204"/>
      <c r="AC806" s="204"/>
      <c r="AD806" s="204"/>
      <c r="AE806" s="204"/>
      <c r="AF806" s="204"/>
      <c r="AG806" s="204"/>
      <c r="AH806" s="6"/>
    </row>
    <row r="807" spans="1:34" ht="15.95" customHeight="1">
      <c r="A807" s="7"/>
      <c r="B807" s="10"/>
      <c r="C807" s="12"/>
      <c r="D807" s="203"/>
      <c r="E807" s="203"/>
      <c r="F807" s="202"/>
      <c r="G807" s="203"/>
      <c r="H807" s="202"/>
      <c r="I807" s="202"/>
      <c r="J807" s="203"/>
      <c r="K807" s="203"/>
      <c r="L807" s="291" t="s">
        <v>34</v>
      </c>
      <c r="M807" s="202"/>
      <c r="N807" s="45" t="str">
        <f t="shared" si="79"/>
        <v>FY2010-11</v>
      </c>
      <c r="O807" s="45" t="s">
        <v>156</v>
      </c>
      <c r="P807" s="45" t="s">
        <v>147</v>
      </c>
      <c r="Q807" s="45" t="s">
        <v>139</v>
      </c>
      <c r="R807" s="203"/>
      <c r="S807" s="203"/>
      <c r="T807" s="203"/>
      <c r="U807" s="203"/>
      <c r="V807" s="204"/>
      <c r="W807" s="204"/>
      <c r="X807" s="204"/>
      <c r="Y807" s="204"/>
      <c r="Z807" s="204"/>
      <c r="AA807" s="204"/>
      <c r="AB807" s="204"/>
      <c r="AC807" s="204"/>
      <c r="AD807" s="204"/>
      <c r="AE807" s="204"/>
      <c r="AF807" s="204"/>
      <c r="AG807" s="204"/>
    </row>
    <row r="808" spans="1:34" ht="15.95" customHeight="1">
      <c r="A808" s="7"/>
      <c r="B808" s="10"/>
      <c r="C808" s="12"/>
      <c r="D808" s="203"/>
      <c r="E808" s="203"/>
      <c r="F808" s="202"/>
      <c r="G808" s="203"/>
      <c r="H808" s="202"/>
      <c r="I808" s="202"/>
      <c r="J808" s="203"/>
      <c r="K808" s="203"/>
      <c r="L808" s="291" t="s">
        <v>34</v>
      </c>
      <c r="M808" s="202"/>
      <c r="N808" s="45" t="str">
        <f t="shared" si="79"/>
        <v>FY2010-11</v>
      </c>
      <c r="O808" s="45" t="s">
        <v>156</v>
      </c>
      <c r="P808" s="45" t="s">
        <v>147</v>
      </c>
      <c r="Q808" s="45" t="s">
        <v>139</v>
      </c>
      <c r="R808" s="203"/>
      <c r="S808" s="203"/>
      <c r="T808" s="203"/>
      <c r="U808" s="203"/>
      <c r="V808" s="204"/>
      <c r="W808" s="204"/>
      <c r="X808" s="204"/>
      <c r="Y808" s="204"/>
      <c r="Z808" s="204"/>
      <c r="AA808" s="204"/>
      <c r="AB808" s="204"/>
      <c r="AC808" s="204"/>
      <c r="AD808" s="204"/>
      <c r="AE808" s="204"/>
      <c r="AF808" s="204"/>
      <c r="AG808" s="204"/>
    </row>
    <row r="809" spans="1:34" ht="15.95" customHeight="1">
      <c r="A809" s="7"/>
      <c r="B809" s="10"/>
      <c r="C809" s="12"/>
      <c r="D809" s="203"/>
      <c r="E809" s="203"/>
      <c r="F809" s="202"/>
      <c r="G809" s="203"/>
      <c r="H809" s="202"/>
      <c r="I809" s="202"/>
      <c r="J809" s="203"/>
      <c r="K809" s="203"/>
      <c r="L809" s="291" t="s">
        <v>34</v>
      </c>
      <c r="M809" s="202"/>
      <c r="N809" s="45" t="str">
        <f t="shared" si="79"/>
        <v>FY2010-11</v>
      </c>
      <c r="O809" s="45" t="s">
        <v>156</v>
      </c>
      <c r="P809" s="45" t="s">
        <v>147</v>
      </c>
      <c r="Q809" s="45" t="s">
        <v>139</v>
      </c>
      <c r="R809" s="203"/>
      <c r="S809" s="203"/>
      <c r="T809" s="203"/>
      <c r="U809" s="203"/>
      <c r="V809" s="204"/>
      <c r="W809" s="204"/>
      <c r="X809" s="204"/>
      <c r="Y809" s="204"/>
      <c r="Z809" s="204"/>
      <c r="AA809" s="204"/>
      <c r="AB809" s="204"/>
      <c r="AC809" s="204"/>
      <c r="AD809" s="204"/>
      <c r="AE809" s="204"/>
      <c r="AF809" s="204"/>
      <c r="AG809" s="204"/>
    </row>
    <row r="810" spans="1:34" ht="15.95" customHeight="1">
      <c r="A810" s="7"/>
      <c r="B810" s="10"/>
      <c r="C810" s="12"/>
      <c r="D810" s="203"/>
      <c r="E810" s="203"/>
      <c r="F810" s="202"/>
      <c r="G810" s="203"/>
      <c r="H810" s="202"/>
      <c r="I810" s="202"/>
      <c r="J810" s="203"/>
      <c r="K810" s="203"/>
      <c r="L810" s="291" t="s">
        <v>34</v>
      </c>
      <c r="M810" s="202"/>
      <c r="N810" s="45" t="str">
        <f t="shared" si="79"/>
        <v>FY2010-11</v>
      </c>
      <c r="O810" s="45" t="s">
        <v>156</v>
      </c>
      <c r="P810" s="45" t="s">
        <v>147</v>
      </c>
      <c r="Q810" s="45" t="s">
        <v>139</v>
      </c>
      <c r="R810" s="203"/>
      <c r="S810" s="203"/>
      <c r="T810" s="203"/>
      <c r="U810" s="203"/>
      <c r="V810" s="204"/>
      <c r="W810" s="204"/>
      <c r="X810" s="204"/>
      <c r="Y810" s="204"/>
      <c r="Z810" s="204"/>
      <c r="AA810" s="204"/>
      <c r="AB810" s="204"/>
      <c r="AC810" s="204"/>
      <c r="AD810" s="204"/>
      <c r="AE810" s="204"/>
      <c r="AF810" s="204"/>
      <c r="AG810" s="204"/>
    </row>
    <row r="811" spans="1:34" ht="15.95" customHeight="1">
      <c r="A811" s="7"/>
      <c r="B811" s="10"/>
      <c r="C811" s="12"/>
      <c r="D811" s="203"/>
      <c r="E811" s="203"/>
      <c r="F811" s="202"/>
      <c r="G811" s="203"/>
      <c r="H811" s="202"/>
      <c r="I811" s="202"/>
      <c r="J811" s="203"/>
      <c r="K811" s="203"/>
      <c r="L811" s="291" t="s">
        <v>34</v>
      </c>
      <c r="M811" s="202"/>
      <c r="N811" s="45" t="str">
        <f t="shared" si="79"/>
        <v>FY2010-11</v>
      </c>
      <c r="O811" s="45" t="s">
        <v>156</v>
      </c>
      <c r="P811" s="45" t="s">
        <v>147</v>
      </c>
      <c r="Q811" s="45" t="s">
        <v>139</v>
      </c>
      <c r="R811" s="203"/>
      <c r="S811" s="203"/>
      <c r="T811" s="203"/>
      <c r="U811" s="203"/>
      <c r="V811" s="204"/>
      <c r="W811" s="204"/>
      <c r="X811" s="204"/>
      <c r="Y811" s="204"/>
      <c r="Z811" s="204"/>
      <c r="AA811" s="204"/>
      <c r="AB811" s="204"/>
      <c r="AC811" s="204"/>
      <c r="AD811" s="204"/>
      <c r="AE811" s="204"/>
      <c r="AF811" s="204"/>
      <c r="AG811" s="204"/>
    </row>
    <row r="812" spans="1:34" ht="15.95" customHeight="1">
      <c r="A812" s="44"/>
      <c r="B812" s="41"/>
      <c r="C812" s="41"/>
      <c r="D812" s="42"/>
      <c r="E812" s="42"/>
      <c r="F812" s="43"/>
      <c r="G812" s="42"/>
      <c r="H812" s="43"/>
      <c r="I812" s="43"/>
      <c r="J812" s="42"/>
      <c r="K812" s="42"/>
      <c r="L812" s="290"/>
      <c r="M812" s="43"/>
      <c r="N812" s="43"/>
      <c r="O812" s="42"/>
      <c r="P812" s="43"/>
      <c r="Q812" s="43"/>
      <c r="R812" s="42"/>
      <c r="S812" s="42"/>
      <c r="T812" s="42"/>
      <c r="U812" s="42"/>
      <c r="V812" s="44"/>
      <c r="W812" s="44"/>
      <c r="X812" s="44"/>
      <c r="Y812" s="44"/>
      <c r="Z812" s="44"/>
      <c r="AA812" s="44"/>
      <c r="AB812" s="44"/>
      <c r="AC812" s="44"/>
      <c r="AD812" s="44"/>
      <c r="AE812" s="44"/>
      <c r="AF812" s="44"/>
      <c r="AG812" s="44"/>
    </row>
    <row r="813" spans="1:34"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66"/>
      <c r="T813" s="867" t="str">
        <f>'$REV-DB'!$T$34</f>
        <v>UD1</v>
      </c>
      <c r="U813" s="867" t="str">
        <f>'$REV-DB'!$U$34</f>
        <v>UD2</v>
      </c>
      <c r="V813" s="867" t="str">
        <f>'$REV-DB'!$V$34</f>
        <v>UD3</v>
      </c>
      <c r="W813" s="867" t="str">
        <f>'$REV-DB'!$W$34</f>
        <v>UD4</v>
      </c>
      <c r="X813" s="867" t="str">
        <f>'$REV-DB'!$X$34</f>
        <v>UD5</v>
      </c>
      <c r="Y813" s="867" t="str">
        <f>'$REV-DB'!$Y$34</f>
        <v>UD6</v>
      </c>
      <c r="Z813" s="867" t="str">
        <f>'$REV-DB'!$Z$34</f>
        <v>UD7</v>
      </c>
      <c r="AA813" s="867" t="str">
        <f>'$REV-DB'!$AA$34</f>
        <v>UD8</v>
      </c>
      <c r="AB813" s="867" t="str">
        <f>'$REV-DB'!$AB$34</f>
        <v>UD9</v>
      </c>
      <c r="AC813" s="867" t="str">
        <f>'$REV-DB'!$AC$34</f>
        <v>UD10</v>
      </c>
      <c r="AD813" s="867" t="str">
        <f>'$REV-DB'!$AD$34</f>
        <v>UD11</v>
      </c>
      <c r="AE813" s="867" t="str">
        <f>'$REV-DB'!$AE$34</f>
        <v>UD12</v>
      </c>
      <c r="AF813" s="867" t="str">
        <f>'$REV-DB'!$AF$34</f>
        <v>UD13</v>
      </c>
      <c r="AG813" s="867" t="str">
        <f>'$REV-DB'!$AG$34</f>
        <v>UD14</v>
      </c>
    </row>
    <row r="814" spans="1:34" ht="15.95" customHeight="1" thickTop="1" thickBot="1">
      <c r="A814" s="7"/>
      <c r="B814" s="20" t="s">
        <v>175</v>
      </c>
      <c r="C814" s="15"/>
      <c r="D814" s="105" t="s">
        <v>186</v>
      </c>
      <c r="E814" s="105" t="s">
        <v>187</v>
      </c>
      <c r="F814" s="105" t="s">
        <v>188</v>
      </c>
      <c r="G814" s="105" t="s">
        <v>189</v>
      </c>
      <c r="H814" s="301" t="s">
        <v>11</v>
      </c>
      <c r="I814" s="301" t="s">
        <v>190</v>
      </c>
      <c r="J814" s="301" t="s">
        <v>191</v>
      </c>
      <c r="K814" s="301" t="s">
        <v>192</v>
      </c>
      <c r="L814" s="301" t="s">
        <v>203</v>
      </c>
      <c r="M814" s="301" t="s">
        <v>42</v>
      </c>
      <c r="N814" s="105" t="s">
        <v>148</v>
      </c>
      <c r="O814" s="105" t="s">
        <v>193</v>
      </c>
      <c r="P814" s="105" t="s">
        <v>142</v>
      </c>
      <c r="Q814" s="105" t="s">
        <v>194</v>
      </c>
      <c r="R814" s="112" t="s">
        <v>141</v>
      </c>
      <c r="S814" s="112" t="s">
        <v>672</v>
      </c>
      <c r="T814" s="857" t="s">
        <v>541</v>
      </c>
      <c r="U814" s="857" t="s">
        <v>542</v>
      </c>
      <c r="V814" s="857" t="s">
        <v>543</v>
      </c>
      <c r="W814" s="857" t="s">
        <v>544</v>
      </c>
      <c r="X814" s="857" t="s">
        <v>545</v>
      </c>
      <c r="Y814" s="857" t="s">
        <v>546</v>
      </c>
      <c r="Z814" s="857" t="s">
        <v>547</v>
      </c>
      <c r="AA814" s="857" t="s">
        <v>548</v>
      </c>
      <c r="AB814" s="857" t="s">
        <v>549</v>
      </c>
      <c r="AC814" s="857" t="s">
        <v>550</v>
      </c>
      <c r="AD814" s="857" t="s">
        <v>551</v>
      </c>
      <c r="AE814" s="857" t="s">
        <v>552</v>
      </c>
      <c r="AF814" s="857" t="s">
        <v>553</v>
      </c>
      <c r="AG814" s="857" t="s">
        <v>554</v>
      </c>
      <c r="AH814" s="6"/>
    </row>
    <row r="815" spans="1:34" ht="15.95" customHeight="1" thickTop="1">
      <c r="A815" s="7"/>
      <c r="B815" s="19" t="s">
        <v>143</v>
      </c>
      <c r="C815" s="12"/>
      <c r="D815" s="203"/>
      <c r="E815" s="203"/>
      <c r="F815" s="202"/>
      <c r="G815" s="203"/>
      <c r="H815" s="202"/>
      <c r="I815" s="202"/>
      <c r="J815" s="203"/>
      <c r="K815" s="203"/>
      <c r="L815" s="291" t="s">
        <v>34</v>
      </c>
      <c r="M815" s="202"/>
      <c r="N815" s="45" t="str">
        <f>J$6</f>
        <v>FY2010-11</v>
      </c>
      <c r="O815" s="45" t="s">
        <v>156</v>
      </c>
      <c r="P815" s="45" t="s">
        <v>147</v>
      </c>
      <c r="Q815" s="45" t="s">
        <v>179</v>
      </c>
      <c r="R815" s="203"/>
      <c r="S815" s="203"/>
      <c r="T815" s="203"/>
      <c r="U815" s="203"/>
      <c r="V815" s="204"/>
      <c r="W815" s="204"/>
      <c r="X815" s="204"/>
      <c r="Y815" s="204"/>
      <c r="Z815" s="204"/>
      <c r="AA815" s="204"/>
      <c r="AB815" s="204"/>
      <c r="AC815" s="204"/>
      <c r="AD815" s="204"/>
      <c r="AE815" s="204"/>
      <c r="AF815" s="204"/>
      <c r="AG815" s="204"/>
      <c r="AH815" s="6"/>
    </row>
    <row r="816" spans="1:34" ht="15.95" customHeight="1">
      <c r="A816" s="7"/>
      <c r="B816" s="16">
        <f>DSUM('$REV-DB'!D35:AG67,"AMOUNT",'$REV-DSUM'!D814:AG821)</f>
        <v>0</v>
      </c>
      <c r="C816" s="12"/>
      <c r="D816" s="203"/>
      <c r="E816" s="203"/>
      <c r="F816" s="202"/>
      <c r="G816" s="203"/>
      <c r="H816" s="202"/>
      <c r="I816" s="202"/>
      <c r="J816" s="203"/>
      <c r="K816" s="203"/>
      <c r="L816" s="291" t="s">
        <v>34</v>
      </c>
      <c r="M816" s="202"/>
      <c r="N816" s="45" t="str">
        <f t="shared" ref="N816:N821" si="80">J$6</f>
        <v>FY2010-11</v>
      </c>
      <c r="O816" s="45" t="s">
        <v>156</v>
      </c>
      <c r="P816" s="45" t="s">
        <v>147</v>
      </c>
      <c r="Q816" s="45" t="s">
        <v>179</v>
      </c>
      <c r="R816" s="203"/>
      <c r="S816" s="203"/>
      <c r="T816" s="203"/>
      <c r="U816" s="203"/>
      <c r="V816" s="204"/>
      <c r="W816" s="204"/>
      <c r="X816" s="204"/>
      <c r="Y816" s="204"/>
      <c r="Z816" s="204"/>
      <c r="AA816" s="204"/>
      <c r="AB816" s="204"/>
      <c r="AC816" s="204"/>
      <c r="AD816" s="204"/>
      <c r="AE816" s="204"/>
      <c r="AF816" s="204"/>
      <c r="AG816" s="204"/>
      <c r="AH816" s="6"/>
    </row>
    <row r="817" spans="1:34" ht="15.95" customHeight="1">
      <c r="A817" s="7"/>
      <c r="B817" s="10"/>
      <c r="C817" s="12"/>
      <c r="D817" s="203"/>
      <c r="E817" s="203"/>
      <c r="F817" s="202"/>
      <c r="G817" s="203"/>
      <c r="H817" s="202"/>
      <c r="I817" s="202"/>
      <c r="J817" s="203"/>
      <c r="K817" s="203"/>
      <c r="L817" s="291" t="s">
        <v>34</v>
      </c>
      <c r="M817" s="202"/>
      <c r="N817" s="45" t="str">
        <f t="shared" si="80"/>
        <v>FY2010-11</v>
      </c>
      <c r="O817" s="45" t="s">
        <v>156</v>
      </c>
      <c r="P817" s="45" t="s">
        <v>147</v>
      </c>
      <c r="Q817" s="45" t="s">
        <v>179</v>
      </c>
      <c r="R817" s="203"/>
      <c r="S817" s="203"/>
      <c r="T817" s="203"/>
      <c r="U817" s="203"/>
      <c r="V817" s="204"/>
      <c r="W817" s="204"/>
      <c r="X817" s="204"/>
      <c r="Y817" s="204"/>
      <c r="Z817" s="204"/>
      <c r="AA817" s="204"/>
      <c r="AB817" s="204"/>
      <c r="AC817" s="204"/>
      <c r="AD817" s="204"/>
      <c r="AE817" s="204"/>
      <c r="AF817" s="204"/>
      <c r="AG817" s="204"/>
    </row>
    <row r="818" spans="1:34" ht="15.95" customHeight="1">
      <c r="A818" s="7"/>
      <c r="B818" s="10"/>
      <c r="C818" s="12"/>
      <c r="D818" s="203"/>
      <c r="E818" s="203"/>
      <c r="F818" s="202"/>
      <c r="G818" s="203"/>
      <c r="H818" s="202"/>
      <c r="I818" s="202"/>
      <c r="J818" s="203"/>
      <c r="K818" s="203"/>
      <c r="L818" s="291" t="s">
        <v>34</v>
      </c>
      <c r="M818" s="202"/>
      <c r="N818" s="45" t="str">
        <f t="shared" si="80"/>
        <v>FY2010-11</v>
      </c>
      <c r="O818" s="45" t="s">
        <v>156</v>
      </c>
      <c r="P818" s="45" t="s">
        <v>147</v>
      </c>
      <c r="Q818" s="45" t="s">
        <v>179</v>
      </c>
      <c r="R818" s="203"/>
      <c r="S818" s="203"/>
      <c r="T818" s="203"/>
      <c r="U818" s="203"/>
      <c r="V818" s="204"/>
      <c r="W818" s="204"/>
      <c r="X818" s="204"/>
      <c r="Y818" s="204"/>
      <c r="Z818" s="204"/>
      <c r="AA818" s="204"/>
      <c r="AB818" s="204"/>
      <c r="AC818" s="204"/>
      <c r="AD818" s="204"/>
      <c r="AE818" s="204"/>
      <c r="AF818" s="204"/>
      <c r="AG818" s="204"/>
    </row>
    <row r="819" spans="1:34" ht="15.95" customHeight="1">
      <c r="A819" s="7"/>
      <c r="B819" s="10"/>
      <c r="C819" s="12"/>
      <c r="D819" s="203"/>
      <c r="E819" s="203"/>
      <c r="F819" s="202"/>
      <c r="G819" s="203"/>
      <c r="H819" s="202"/>
      <c r="I819" s="202"/>
      <c r="J819" s="203"/>
      <c r="K819" s="203"/>
      <c r="L819" s="291" t="s">
        <v>34</v>
      </c>
      <c r="M819" s="202"/>
      <c r="N819" s="45" t="str">
        <f t="shared" si="80"/>
        <v>FY2010-11</v>
      </c>
      <c r="O819" s="45" t="s">
        <v>156</v>
      </c>
      <c r="P819" s="45" t="s">
        <v>147</v>
      </c>
      <c r="Q819" s="45" t="s">
        <v>179</v>
      </c>
      <c r="R819" s="203"/>
      <c r="S819" s="203"/>
      <c r="T819" s="203"/>
      <c r="U819" s="203"/>
      <c r="V819" s="204"/>
      <c r="W819" s="204"/>
      <c r="X819" s="204"/>
      <c r="Y819" s="204"/>
      <c r="Z819" s="204"/>
      <c r="AA819" s="204"/>
      <c r="AB819" s="204"/>
      <c r="AC819" s="204"/>
      <c r="AD819" s="204"/>
      <c r="AE819" s="204"/>
      <c r="AF819" s="204"/>
      <c r="AG819" s="204"/>
    </row>
    <row r="820" spans="1:34" ht="15.95" customHeight="1">
      <c r="A820" s="7"/>
      <c r="B820" s="10"/>
      <c r="C820" s="12"/>
      <c r="D820" s="203"/>
      <c r="E820" s="203"/>
      <c r="F820" s="202"/>
      <c r="G820" s="203"/>
      <c r="H820" s="202"/>
      <c r="I820" s="202"/>
      <c r="J820" s="203"/>
      <c r="K820" s="203"/>
      <c r="L820" s="291" t="s">
        <v>34</v>
      </c>
      <c r="M820" s="202"/>
      <c r="N820" s="45" t="str">
        <f t="shared" si="80"/>
        <v>FY2010-11</v>
      </c>
      <c r="O820" s="45" t="s">
        <v>156</v>
      </c>
      <c r="P820" s="45" t="s">
        <v>147</v>
      </c>
      <c r="Q820" s="45" t="s">
        <v>179</v>
      </c>
      <c r="R820" s="203"/>
      <c r="S820" s="203"/>
      <c r="T820" s="203"/>
      <c r="U820" s="203"/>
      <c r="V820" s="204"/>
      <c r="W820" s="204"/>
      <c r="X820" s="204"/>
      <c r="Y820" s="204"/>
      <c r="Z820" s="204"/>
      <c r="AA820" s="204"/>
      <c r="AB820" s="204"/>
      <c r="AC820" s="204"/>
      <c r="AD820" s="204"/>
      <c r="AE820" s="204"/>
      <c r="AF820" s="204"/>
      <c r="AG820" s="204"/>
    </row>
    <row r="821" spans="1:34" ht="15.95" customHeight="1">
      <c r="A821" s="7"/>
      <c r="B821" s="10"/>
      <c r="C821" s="12"/>
      <c r="D821" s="203"/>
      <c r="E821" s="203"/>
      <c r="F821" s="202"/>
      <c r="G821" s="203"/>
      <c r="H821" s="202"/>
      <c r="I821" s="202"/>
      <c r="J821" s="203"/>
      <c r="K821" s="203"/>
      <c r="L821" s="291" t="s">
        <v>34</v>
      </c>
      <c r="M821" s="202"/>
      <c r="N821" s="45" t="str">
        <f t="shared" si="80"/>
        <v>FY2010-11</v>
      </c>
      <c r="O821" s="45" t="s">
        <v>156</v>
      </c>
      <c r="P821" s="45" t="s">
        <v>147</v>
      </c>
      <c r="Q821" s="45" t="s">
        <v>179</v>
      </c>
      <c r="R821" s="203"/>
      <c r="S821" s="203"/>
      <c r="T821" s="203"/>
      <c r="U821" s="203"/>
      <c r="V821" s="204"/>
      <c r="W821" s="204"/>
      <c r="X821" s="204"/>
      <c r="Y821" s="204"/>
      <c r="Z821" s="204"/>
      <c r="AA821" s="204"/>
      <c r="AB821" s="204"/>
      <c r="AC821" s="204"/>
      <c r="AD821" s="204"/>
      <c r="AE821" s="204"/>
      <c r="AF821" s="204"/>
      <c r="AG821" s="204"/>
    </row>
    <row r="822" spans="1:34" ht="15.95" customHeight="1">
      <c r="A822" s="44"/>
      <c r="B822" s="41"/>
      <c r="C822" s="41"/>
      <c r="D822" s="42"/>
      <c r="E822" s="42"/>
      <c r="F822" s="43"/>
      <c r="G822" s="42"/>
      <c r="H822" s="43"/>
      <c r="I822" s="43"/>
      <c r="J822" s="42"/>
      <c r="K822" s="42"/>
      <c r="L822" s="290"/>
      <c r="M822" s="43"/>
      <c r="N822" s="43"/>
      <c r="O822" s="42"/>
      <c r="P822" s="43"/>
      <c r="Q822" s="43"/>
      <c r="R822" s="42"/>
      <c r="S822" s="42"/>
      <c r="T822" s="42"/>
      <c r="U822" s="42"/>
      <c r="V822" s="44"/>
      <c r="W822" s="44"/>
      <c r="X822" s="44"/>
      <c r="Y822" s="44"/>
      <c r="Z822" s="44"/>
      <c r="AA822" s="44"/>
      <c r="AB822" s="44"/>
      <c r="AC822" s="44"/>
      <c r="AD822" s="44"/>
      <c r="AE822" s="44"/>
      <c r="AF822" s="44"/>
      <c r="AG822" s="44"/>
    </row>
    <row r="823" spans="1:34"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66"/>
      <c r="T823" s="867" t="str">
        <f>'$REV-DB'!$T$34</f>
        <v>UD1</v>
      </c>
      <c r="U823" s="867" t="str">
        <f>'$REV-DB'!$U$34</f>
        <v>UD2</v>
      </c>
      <c r="V823" s="867" t="str">
        <f>'$REV-DB'!$V$34</f>
        <v>UD3</v>
      </c>
      <c r="W823" s="867" t="str">
        <f>'$REV-DB'!$W$34</f>
        <v>UD4</v>
      </c>
      <c r="X823" s="867" t="str">
        <f>'$REV-DB'!$X$34</f>
        <v>UD5</v>
      </c>
      <c r="Y823" s="867" t="str">
        <f>'$REV-DB'!$Y$34</f>
        <v>UD6</v>
      </c>
      <c r="Z823" s="867" t="str">
        <f>'$REV-DB'!$Z$34</f>
        <v>UD7</v>
      </c>
      <c r="AA823" s="867" t="str">
        <f>'$REV-DB'!$AA$34</f>
        <v>UD8</v>
      </c>
      <c r="AB823" s="867" t="str">
        <f>'$REV-DB'!$AB$34</f>
        <v>UD9</v>
      </c>
      <c r="AC823" s="867" t="str">
        <f>'$REV-DB'!$AC$34</f>
        <v>UD10</v>
      </c>
      <c r="AD823" s="867" t="str">
        <f>'$REV-DB'!$AD$34</f>
        <v>UD11</v>
      </c>
      <c r="AE823" s="867" t="str">
        <f>'$REV-DB'!$AE$34</f>
        <v>UD12</v>
      </c>
      <c r="AF823" s="867" t="str">
        <f>'$REV-DB'!$AF$34</f>
        <v>UD13</v>
      </c>
      <c r="AG823" s="867" t="str">
        <f>'$REV-DB'!$AG$34</f>
        <v>UD14</v>
      </c>
    </row>
    <row r="824" spans="1:34" ht="15.95" customHeight="1" thickTop="1" thickBot="1">
      <c r="A824" s="7"/>
      <c r="B824" s="20" t="s">
        <v>175</v>
      </c>
      <c r="C824" s="15"/>
      <c r="D824" s="105" t="s">
        <v>186</v>
      </c>
      <c r="E824" s="105" t="s">
        <v>187</v>
      </c>
      <c r="F824" s="105" t="s">
        <v>188</v>
      </c>
      <c r="G824" s="105" t="s">
        <v>189</v>
      </c>
      <c r="H824" s="301" t="s">
        <v>11</v>
      </c>
      <c r="I824" s="301" t="s">
        <v>190</v>
      </c>
      <c r="J824" s="301" t="s">
        <v>191</v>
      </c>
      <c r="K824" s="301" t="s">
        <v>192</v>
      </c>
      <c r="L824" s="301" t="s">
        <v>203</v>
      </c>
      <c r="M824" s="301" t="s">
        <v>42</v>
      </c>
      <c r="N824" s="105" t="s">
        <v>148</v>
      </c>
      <c r="O824" s="105" t="s">
        <v>193</v>
      </c>
      <c r="P824" s="105" t="s">
        <v>142</v>
      </c>
      <c r="Q824" s="105" t="s">
        <v>194</v>
      </c>
      <c r="R824" s="112" t="s">
        <v>141</v>
      </c>
      <c r="S824" s="112" t="s">
        <v>672</v>
      </c>
      <c r="T824" s="857" t="s">
        <v>541</v>
      </c>
      <c r="U824" s="857" t="s">
        <v>542</v>
      </c>
      <c r="V824" s="857" t="s">
        <v>543</v>
      </c>
      <c r="W824" s="857" t="s">
        <v>544</v>
      </c>
      <c r="X824" s="857" t="s">
        <v>545</v>
      </c>
      <c r="Y824" s="857" t="s">
        <v>546</v>
      </c>
      <c r="Z824" s="857" t="s">
        <v>547</v>
      </c>
      <c r="AA824" s="857" t="s">
        <v>548</v>
      </c>
      <c r="AB824" s="857" t="s">
        <v>549</v>
      </c>
      <c r="AC824" s="857" t="s">
        <v>550</v>
      </c>
      <c r="AD824" s="857" t="s">
        <v>551</v>
      </c>
      <c r="AE824" s="857" t="s">
        <v>552</v>
      </c>
      <c r="AF824" s="857" t="s">
        <v>553</v>
      </c>
      <c r="AG824" s="857" t="s">
        <v>554</v>
      </c>
      <c r="AH824" s="6"/>
    </row>
    <row r="825" spans="1:34" ht="15.95" customHeight="1" thickTop="1">
      <c r="A825" s="7"/>
      <c r="B825" s="19" t="s">
        <v>149</v>
      </c>
      <c r="C825" s="12"/>
      <c r="D825" s="203"/>
      <c r="E825" s="203"/>
      <c r="F825" s="202"/>
      <c r="G825" s="203"/>
      <c r="H825" s="202"/>
      <c r="I825" s="202"/>
      <c r="J825" s="203"/>
      <c r="K825" s="203"/>
      <c r="L825" s="291" t="s">
        <v>34</v>
      </c>
      <c r="M825" s="202"/>
      <c r="N825" s="45" t="str">
        <f>J$6</f>
        <v>FY2010-11</v>
      </c>
      <c r="O825" s="45" t="s">
        <v>156</v>
      </c>
      <c r="P825" s="45" t="s">
        <v>147</v>
      </c>
      <c r="Q825" s="45" t="s">
        <v>2</v>
      </c>
      <c r="R825" s="203"/>
      <c r="S825" s="203"/>
      <c r="T825" s="203"/>
      <c r="U825" s="203"/>
      <c r="V825" s="204"/>
      <c r="W825" s="204"/>
      <c r="X825" s="204"/>
      <c r="Y825" s="204"/>
      <c r="Z825" s="204"/>
      <c r="AA825" s="204"/>
      <c r="AB825" s="204"/>
      <c r="AC825" s="204"/>
      <c r="AD825" s="204"/>
      <c r="AE825" s="204"/>
      <c r="AF825" s="204"/>
      <c r="AG825" s="204"/>
      <c r="AH825" s="6"/>
    </row>
    <row r="826" spans="1:34" ht="15.95" customHeight="1">
      <c r="A826" s="7"/>
      <c r="B826" s="16">
        <f>DSUM('$REV-DB'!D35:AG67,"AMOUNT",'$REV-DSUM'!D824:AG831)</f>
        <v>0</v>
      </c>
      <c r="C826" s="12"/>
      <c r="D826" s="203"/>
      <c r="E826" s="203"/>
      <c r="F826" s="202"/>
      <c r="G826" s="203"/>
      <c r="H826" s="202"/>
      <c r="I826" s="202"/>
      <c r="J826" s="203"/>
      <c r="K826" s="203"/>
      <c r="L826" s="291" t="s">
        <v>34</v>
      </c>
      <c r="M826" s="202"/>
      <c r="N826" s="45" t="str">
        <f t="shared" ref="N826:N831" si="81">J$6</f>
        <v>FY2010-11</v>
      </c>
      <c r="O826" s="45" t="s">
        <v>156</v>
      </c>
      <c r="P826" s="45" t="s">
        <v>147</v>
      </c>
      <c r="Q826" s="45" t="s">
        <v>2</v>
      </c>
      <c r="R826" s="203"/>
      <c r="S826" s="203"/>
      <c r="T826" s="203"/>
      <c r="U826" s="203"/>
      <c r="V826" s="204"/>
      <c r="W826" s="204"/>
      <c r="X826" s="204"/>
      <c r="Y826" s="204"/>
      <c r="Z826" s="204"/>
      <c r="AA826" s="204"/>
      <c r="AB826" s="204"/>
      <c r="AC826" s="204"/>
      <c r="AD826" s="204"/>
      <c r="AE826" s="204"/>
      <c r="AF826" s="204"/>
      <c r="AG826" s="204"/>
      <c r="AH826" s="6"/>
    </row>
    <row r="827" spans="1:34" ht="15.95" customHeight="1">
      <c r="A827" s="7"/>
      <c r="B827" s="10"/>
      <c r="C827" s="12"/>
      <c r="D827" s="203"/>
      <c r="E827" s="203"/>
      <c r="F827" s="202"/>
      <c r="G827" s="203"/>
      <c r="H827" s="202"/>
      <c r="I827" s="202"/>
      <c r="J827" s="203"/>
      <c r="K827" s="203"/>
      <c r="L827" s="291" t="s">
        <v>34</v>
      </c>
      <c r="M827" s="202"/>
      <c r="N827" s="45" t="str">
        <f t="shared" si="81"/>
        <v>FY2010-11</v>
      </c>
      <c r="O827" s="45" t="s">
        <v>156</v>
      </c>
      <c r="P827" s="45" t="s">
        <v>147</v>
      </c>
      <c r="Q827" s="45" t="s">
        <v>2</v>
      </c>
      <c r="R827" s="203"/>
      <c r="S827" s="203"/>
      <c r="T827" s="203"/>
      <c r="U827" s="203"/>
      <c r="V827" s="204"/>
      <c r="W827" s="204"/>
      <c r="X827" s="204"/>
      <c r="Y827" s="204"/>
      <c r="Z827" s="204"/>
      <c r="AA827" s="204"/>
      <c r="AB827" s="204"/>
      <c r="AC827" s="204"/>
      <c r="AD827" s="204"/>
      <c r="AE827" s="204"/>
      <c r="AF827" s="204"/>
      <c r="AG827" s="204"/>
    </row>
    <row r="828" spans="1:34" ht="15.95" customHeight="1">
      <c r="A828" s="7"/>
      <c r="B828" s="10"/>
      <c r="C828" s="12"/>
      <c r="D828" s="203"/>
      <c r="E828" s="203"/>
      <c r="F828" s="202"/>
      <c r="G828" s="203"/>
      <c r="H828" s="202"/>
      <c r="I828" s="202"/>
      <c r="J828" s="203"/>
      <c r="K828" s="203"/>
      <c r="L828" s="291" t="s">
        <v>34</v>
      </c>
      <c r="M828" s="202"/>
      <c r="N828" s="45" t="str">
        <f t="shared" si="81"/>
        <v>FY2010-11</v>
      </c>
      <c r="O828" s="45" t="s">
        <v>156</v>
      </c>
      <c r="P828" s="45" t="s">
        <v>147</v>
      </c>
      <c r="Q828" s="45" t="s">
        <v>2</v>
      </c>
      <c r="R828" s="203"/>
      <c r="S828" s="203"/>
      <c r="T828" s="203"/>
      <c r="U828" s="203"/>
      <c r="V828" s="204"/>
      <c r="W828" s="204"/>
      <c r="X828" s="204"/>
      <c r="Y828" s="204"/>
      <c r="Z828" s="204"/>
      <c r="AA828" s="204"/>
      <c r="AB828" s="204"/>
      <c r="AC828" s="204"/>
      <c r="AD828" s="204"/>
      <c r="AE828" s="204"/>
      <c r="AF828" s="204"/>
      <c r="AG828" s="204"/>
    </row>
    <row r="829" spans="1:34" ht="15.95" customHeight="1">
      <c r="A829" s="7"/>
      <c r="B829" s="10"/>
      <c r="C829" s="12"/>
      <c r="D829" s="203"/>
      <c r="E829" s="203"/>
      <c r="F829" s="202"/>
      <c r="G829" s="203"/>
      <c r="H829" s="202"/>
      <c r="I829" s="202"/>
      <c r="J829" s="203"/>
      <c r="K829" s="203"/>
      <c r="L829" s="291" t="s">
        <v>34</v>
      </c>
      <c r="M829" s="202"/>
      <c r="N829" s="45" t="str">
        <f t="shared" si="81"/>
        <v>FY2010-11</v>
      </c>
      <c r="O829" s="45" t="s">
        <v>156</v>
      </c>
      <c r="P829" s="45" t="s">
        <v>147</v>
      </c>
      <c r="Q829" s="45" t="s">
        <v>2</v>
      </c>
      <c r="R829" s="203"/>
      <c r="S829" s="203"/>
      <c r="T829" s="203"/>
      <c r="U829" s="203"/>
      <c r="V829" s="204"/>
      <c r="W829" s="204"/>
      <c r="X829" s="204"/>
      <c r="Y829" s="204"/>
      <c r="Z829" s="204"/>
      <c r="AA829" s="204"/>
      <c r="AB829" s="204"/>
      <c r="AC829" s="204"/>
      <c r="AD829" s="204"/>
      <c r="AE829" s="204"/>
      <c r="AF829" s="204"/>
      <c r="AG829" s="204"/>
    </row>
    <row r="830" spans="1:34" ht="15.95" customHeight="1">
      <c r="A830" s="7"/>
      <c r="B830" s="10"/>
      <c r="C830" s="12"/>
      <c r="D830" s="203"/>
      <c r="E830" s="203"/>
      <c r="F830" s="202"/>
      <c r="G830" s="203"/>
      <c r="H830" s="202"/>
      <c r="I830" s="202"/>
      <c r="J830" s="203"/>
      <c r="K830" s="203"/>
      <c r="L830" s="291" t="s">
        <v>34</v>
      </c>
      <c r="M830" s="202"/>
      <c r="N830" s="45" t="str">
        <f t="shared" si="81"/>
        <v>FY2010-11</v>
      </c>
      <c r="O830" s="45" t="s">
        <v>156</v>
      </c>
      <c r="P830" s="45" t="s">
        <v>147</v>
      </c>
      <c r="Q830" s="45" t="s">
        <v>2</v>
      </c>
      <c r="R830" s="203"/>
      <c r="S830" s="203"/>
      <c r="T830" s="203"/>
      <c r="U830" s="203"/>
      <c r="V830" s="204"/>
      <c r="W830" s="204"/>
      <c r="X830" s="204"/>
      <c r="Y830" s="204"/>
      <c r="Z830" s="204"/>
      <c r="AA830" s="204"/>
      <c r="AB830" s="204"/>
      <c r="AC830" s="204"/>
      <c r="AD830" s="204"/>
      <c r="AE830" s="204"/>
      <c r="AF830" s="204"/>
      <c r="AG830" s="204"/>
    </row>
    <row r="831" spans="1:34" ht="15.95" customHeight="1">
      <c r="A831" s="7"/>
      <c r="B831" s="10"/>
      <c r="C831" s="12"/>
      <c r="D831" s="203"/>
      <c r="E831" s="203"/>
      <c r="F831" s="202"/>
      <c r="G831" s="203"/>
      <c r="H831" s="202"/>
      <c r="I831" s="202"/>
      <c r="J831" s="203"/>
      <c r="K831" s="203"/>
      <c r="L831" s="291" t="s">
        <v>34</v>
      </c>
      <c r="M831" s="202"/>
      <c r="N831" s="45" t="str">
        <f t="shared" si="81"/>
        <v>FY2010-11</v>
      </c>
      <c r="O831" s="45" t="s">
        <v>156</v>
      </c>
      <c r="P831" s="45" t="s">
        <v>147</v>
      </c>
      <c r="Q831" s="45" t="s">
        <v>2</v>
      </c>
      <c r="R831" s="203"/>
      <c r="S831" s="203"/>
      <c r="T831" s="203"/>
      <c r="U831" s="203"/>
      <c r="V831" s="204"/>
      <c r="W831" s="204"/>
      <c r="X831" s="204"/>
      <c r="Y831" s="204"/>
      <c r="Z831" s="204"/>
      <c r="AA831" s="204"/>
      <c r="AB831" s="204"/>
      <c r="AC831" s="204"/>
      <c r="AD831" s="204"/>
      <c r="AE831" s="204"/>
      <c r="AF831" s="204"/>
      <c r="AG831" s="204"/>
    </row>
    <row r="832" spans="1:34" ht="15.95" customHeight="1">
      <c r="A832" s="44"/>
      <c r="B832" s="41"/>
      <c r="C832" s="41"/>
      <c r="D832" s="42"/>
      <c r="E832" s="42"/>
      <c r="F832" s="43"/>
      <c r="G832" s="42"/>
      <c r="H832" s="43"/>
      <c r="I832" s="43"/>
      <c r="J832" s="42"/>
      <c r="K832" s="42"/>
      <c r="L832" s="290"/>
      <c r="M832" s="43"/>
      <c r="N832" s="43"/>
      <c r="O832" s="42"/>
      <c r="P832" s="43"/>
      <c r="Q832" s="43"/>
      <c r="R832" s="42"/>
      <c r="S832" s="42"/>
      <c r="T832" s="42"/>
      <c r="U832" s="42"/>
      <c r="V832" s="44"/>
      <c r="W832" s="44"/>
      <c r="X832" s="44"/>
      <c r="Y832" s="44"/>
      <c r="Z832" s="44"/>
      <c r="AA832" s="44"/>
      <c r="AB832" s="44"/>
      <c r="AC832" s="44"/>
      <c r="AD832" s="44"/>
      <c r="AE832" s="44"/>
      <c r="AF832" s="44"/>
      <c r="AG832" s="44"/>
    </row>
    <row r="833" spans="1:34"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66"/>
      <c r="T833" s="867" t="str">
        <f>'$REV-DB'!$T$34</f>
        <v>UD1</v>
      </c>
      <c r="U833" s="867" t="str">
        <f>'$REV-DB'!$U$34</f>
        <v>UD2</v>
      </c>
      <c r="V833" s="867" t="str">
        <f>'$REV-DB'!$V$34</f>
        <v>UD3</v>
      </c>
      <c r="W833" s="867" t="str">
        <f>'$REV-DB'!$W$34</f>
        <v>UD4</v>
      </c>
      <c r="X833" s="867" t="str">
        <f>'$REV-DB'!$X$34</f>
        <v>UD5</v>
      </c>
      <c r="Y833" s="867" t="str">
        <f>'$REV-DB'!$Y$34</f>
        <v>UD6</v>
      </c>
      <c r="Z833" s="867" t="str">
        <f>'$REV-DB'!$Z$34</f>
        <v>UD7</v>
      </c>
      <c r="AA833" s="867" t="str">
        <f>'$REV-DB'!$AA$34</f>
        <v>UD8</v>
      </c>
      <c r="AB833" s="867" t="str">
        <f>'$REV-DB'!$AB$34</f>
        <v>UD9</v>
      </c>
      <c r="AC833" s="867" t="str">
        <f>'$REV-DB'!$AC$34</f>
        <v>UD10</v>
      </c>
      <c r="AD833" s="867" t="str">
        <f>'$REV-DB'!$AD$34</f>
        <v>UD11</v>
      </c>
      <c r="AE833" s="867" t="str">
        <f>'$REV-DB'!$AE$34</f>
        <v>UD12</v>
      </c>
      <c r="AF833" s="867" t="str">
        <f>'$REV-DB'!$AF$34</f>
        <v>UD13</v>
      </c>
      <c r="AG833" s="867" t="str">
        <f>'$REV-DB'!$AG$34</f>
        <v>UD14</v>
      </c>
    </row>
    <row r="834" spans="1:34" ht="15.95" customHeight="1" thickTop="1" thickBot="1">
      <c r="A834" s="7"/>
      <c r="B834" s="20" t="s">
        <v>175</v>
      </c>
      <c r="C834" s="15"/>
      <c r="D834" s="276" t="s">
        <v>186</v>
      </c>
      <c r="E834" s="276" t="s">
        <v>187</v>
      </c>
      <c r="F834" s="276" t="s">
        <v>188</v>
      </c>
      <c r="G834" s="276" t="s">
        <v>189</v>
      </c>
      <c r="H834" s="301" t="s">
        <v>11</v>
      </c>
      <c r="I834" s="301" t="s">
        <v>190</v>
      </c>
      <c r="J834" s="301" t="s">
        <v>191</v>
      </c>
      <c r="K834" s="301" t="s">
        <v>192</v>
      </c>
      <c r="L834" s="301" t="s">
        <v>203</v>
      </c>
      <c r="M834" s="301" t="s">
        <v>42</v>
      </c>
      <c r="N834" s="276" t="s">
        <v>148</v>
      </c>
      <c r="O834" s="276" t="s">
        <v>193</v>
      </c>
      <c r="P834" s="276" t="s">
        <v>142</v>
      </c>
      <c r="Q834" s="276" t="s">
        <v>194</v>
      </c>
      <c r="R834" s="112" t="s">
        <v>141</v>
      </c>
      <c r="S834" s="112" t="s">
        <v>672</v>
      </c>
      <c r="T834" s="857" t="s">
        <v>541</v>
      </c>
      <c r="U834" s="857" t="s">
        <v>542</v>
      </c>
      <c r="V834" s="857" t="s">
        <v>543</v>
      </c>
      <c r="W834" s="857" t="s">
        <v>544</v>
      </c>
      <c r="X834" s="857" t="s">
        <v>545</v>
      </c>
      <c r="Y834" s="857" t="s">
        <v>546</v>
      </c>
      <c r="Z834" s="857" t="s">
        <v>547</v>
      </c>
      <c r="AA834" s="857" t="s">
        <v>548</v>
      </c>
      <c r="AB834" s="857" t="s">
        <v>549</v>
      </c>
      <c r="AC834" s="857" t="s">
        <v>550</v>
      </c>
      <c r="AD834" s="857" t="s">
        <v>551</v>
      </c>
      <c r="AE834" s="857" t="s">
        <v>552</v>
      </c>
      <c r="AF834" s="857" t="s">
        <v>553</v>
      </c>
      <c r="AG834" s="857" t="s">
        <v>554</v>
      </c>
      <c r="AH834" s="6"/>
    </row>
    <row r="835" spans="1:34" ht="15.95" customHeight="1" thickTop="1">
      <c r="A835" s="7"/>
      <c r="B835" s="19" t="s">
        <v>364</v>
      </c>
      <c r="C835" s="12"/>
      <c r="D835" s="203"/>
      <c r="E835" s="203"/>
      <c r="F835" s="202"/>
      <c r="G835" s="203"/>
      <c r="H835" s="202"/>
      <c r="I835" s="202"/>
      <c r="J835" s="203"/>
      <c r="K835" s="203"/>
      <c r="L835" s="291" t="s">
        <v>34</v>
      </c>
      <c r="M835" s="202"/>
      <c r="N835" s="45" t="str">
        <f>J$6</f>
        <v>FY2010-11</v>
      </c>
      <c r="O835" s="45" t="s">
        <v>156</v>
      </c>
      <c r="P835" s="45" t="s">
        <v>147</v>
      </c>
      <c r="Q835" s="45" t="s">
        <v>70</v>
      </c>
      <c r="R835" s="203"/>
      <c r="S835" s="203"/>
      <c r="T835" s="203"/>
      <c r="U835" s="203"/>
      <c r="V835" s="204"/>
      <c r="W835" s="204"/>
      <c r="X835" s="204"/>
      <c r="Y835" s="204"/>
      <c r="Z835" s="204"/>
      <c r="AA835" s="204"/>
      <c r="AB835" s="204"/>
      <c r="AC835" s="204"/>
      <c r="AD835" s="204"/>
      <c r="AE835" s="204"/>
      <c r="AF835" s="204"/>
      <c r="AG835" s="204"/>
      <c r="AH835" s="6"/>
    </row>
    <row r="836" spans="1:34" ht="15.95" customHeight="1">
      <c r="A836" s="7"/>
      <c r="B836" s="16">
        <f>DSUM('$REV-DB'!D35:AG67,"AMOUNT",'$REV-DSUM'!D834:AG841)</f>
        <v>0</v>
      </c>
      <c r="C836" s="12"/>
      <c r="D836" s="203"/>
      <c r="E836" s="203"/>
      <c r="F836" s="202"/>
      <c r="G836" s="203"/>
      <c r="H836" s="202"/>
      <c r="I836" s="202"/>
      <c r="J836" s="203"/>
      <c r="K836" s="203"/>
      <c r="L836" s="291" t="s">
        <v>34</v>
      </c>
      <c r="M836" s="202"/>
      <c r="N836" s="45" t="str">
        <f t="shared" ref="N836:N841" si="82">J$6</f>
        <v>FY2010-11</v>
      </c>
      <c r="O836" s="45" t="s">
        <v>156</v>
      </c>
      <c r="P836" s="45" t="s">
        <v>147</v>
      </c>
      <c r="Q836" s="45" t="s">
        <v>70</v>
      </c>
      <c r="R836" s="203"/>
      <c r="S836" s="203"/>
      <c r="T836" s="203"/>
      <c r="U836" s="203"/>
      <c r="V836" s="204"/>
      <c r="W836" s="204"/>
      <c r="X836" s="204"/>
      <c r="Y836" s="204"/>
      <c r="Z836" s="204"/>
      <c r="AA836" s="204"/>
      <c r="AB836" s="204"/>
      <c r="AC836" s="204"/>
      <c r="AD836" s="204"/>
      <c r="AE836" s="204"/>
      <c r="AF836" s="204"/>
      <c r="AG836" s="204"/>
      <c r="AH836" s="6"/>
    </row>
    <row r="837" spans="1:34" ht="15.95" customHeight="1">
      <c r="A837" s="7"/>
      <c r="B837" s="10"/>
      <c r="C837" s="12"/>
      <c r="D837" s="203"/>
      <c r="E837" s="203"/>
      <c r="F837" s="202"/>
      <c r="G837" s="203"/>
      <c r="H837" s="202"/>
      <c r="I837" s="202"/>
      <c r="J837" s="203"/>
      <c r="K837" s="203"/>
      <c r="L837" s="291" t="s">
        <v>34</v>
      </c>
      <c r="M837" s="202"/>
      <c r="N837" s="45" t="str">
        <f t="shared" si="82"/>
        <v>FY2010-11</v>
      </c>
      <c r="O837" s="45" t="s">
        <v>156</v>
      </c>
      <c r="P837" s="45" t="s">
        <v>147</v>
      </c>
      <c r="Q837" s="45" t="s">
        <v>70</v>
      </c>
      <c r="R837" s="203"/>
      <c r="S837" s="203"/>
      <c r="T837" s="203"/>
      <c r="U837" s="203"/>
      <c r="V837" s="204"/>
      <c r="W837" s="204"/>
      <c r="X837" s="204"/>
      <c r="Y837" s="204"/>
      <c r="Z837" s="204"/>
      <c r="AA837" s="204"/>
      <c r="AB837" s="204"/>
      <c r="AC837" s="204"/>
      <c r="AD837" s="204"/>
      <c r="AE837" s="204"/>
      <c r="AF837" s="204"/>
      <c r="AG837" s="204"/>
    </row>
    <row r="838" spans="1:34" ht="15.95" customHeight="1">
      <c r="A838" s="7"/>
      <c r="B838" s="10"/>
      <c r="C838" s="12"/>
      <c r="D838" s="203"/>
      <c r="E838" s="203"/>
      <c r="F838" s="202"/>
      <c r="G838" s="203"/>
      <c r="H838" s="202"/>
      <c r="I838" s="202"/>
      <c r="J838" s="203"/>
      <c r="K838" s="203"/>
      <c r="L838" s="291" t="s">
        <v>34</v>
      </c>
      <c r="M838" s="202"/>
      <c r="N838" s="45" t="str">
        <f t="shared" si="82"/>
        <v>FY2010-11</v>
      </c>
      <c r="O838" s="45" t="s">
        <v>156</v>
      </c>
      <c r="P838" s="45" t="s">
        <v>147</v>
      </c>
      <c r="Q838" s="45" t="s">
        <v>70</v>
      </c>
      <c r="R838" s="203"/>
      <c r="S838" s="203"/>
      <c r="T838" s="203"/>
      <c r="U838" s="203"/>
      <c r="V838" s="204"/>
      <c r="W838" s="204"/>
      <c r="X838" s="204"/>
      <c r="Y838" s="204"/>
      <c r="Z838" s="204"/>
      <c r="AA838" s="204"/>
      <c r="AB838" s="204"/>
      <c r="AC838" s="204"/>
      <c r="AD838" s="204"/>
      <c r="AE838" s="204"/>
      <c r="AF838" s="204"/>
      <c r="AG838" s="204"/>
    </row>
    <row r="839" spans="1:34" ht="15.95" customHeight="1">
      <c r="A839" s="7"/>
      <c r="B839" s="10"/>
      <c r="C839" s="12"/>
      <c r="D839" s="203"/>
      <c r="E839" s="203"/>
      <c r="F839" s="202"/>
      <c r="G839" s="203"/>
      <c r="H839" s="202"/>
      <c r="I839" s="202"/>
      <c r="J839" s="203"/>
      <c r="K839" s="203"/>
      <c r="L839" s="291" t="s">
        <v>34</v>
      </c>
      <c r="M839" s="202"/>
      <c r="N839" s="45" t="str">
        <f t="shared" si="82"/>
        <v>FY2010-11</v>
      </c>
      <c r="O839" s="45" t="s">
        <v>156</v>
      </c>
      <c r="P839" s="45" t="s">
        <v>147</v>
      </c>
      <c r="Q839" s="45" t="s">
        <v>70</v>
      </c>
      <c r="R839" s="203"/>
      <c r="S839" s="203"/>
      <c r="T839" s="203"/>
      <c r="U839" s="203"/>
      <c r="V839" s="204"/>
      <c r="W839" s="204"/>
      <c r="X839" s="204"/>
      <c r="Y839" s="204"/>
      <c r="Z839" s="204"/>
      <c r="AA839" s="204"/>
      <c r="AB839" s="204"/>
      <c r="AC839" s="204"/>
      <c r="AD839" s="204"/>
      <c r="AE839" s="204"/>
      <c r="AF839" s="204"/>
      <c r="AG839" s="204"/>
    </row>
    <row r="840" spans="1:34" ht="15.95" customHeight="1">
      <c r="A840" s="7"/>
      <c r="B840" s="10"/>
      <c r="C840" s="12"/>
      <c r="D840" s="203"/>
      <c r="E840" s="203"/>
      <c r="F840" s="202"/>
      <c r="G840" s="203"/>
      <c r="H840" s="202"/>
      <c r="I840" s="202"/>
      <c r="J840" s="203"/>
      <c r="K840" s="203"/>
      <c r="L840" s="291" t="s">
        <v>34</v>
      </c>
      <c r="M840" s="202"/>
      <c r="N840" s="45" t="str">
        <f t="shared" si="82"/>
        <v>FY2010-11</v>
      </c>
      <c r="O840" s="45" t="s">
        <v>156</v>
      </c>
      <c r="P840" s="45" t="s">
        <v>147</v>
      </c>
      <c r="Q840" s="45" t="s">
        <v>70</v>
      </c>
      <c r="R840" s="203"/>
      <c r="S840" s="203"/>
      <c r="T840" s="203"/>
      <c r="U840" s="203"/>
      <c r="V840" s="204"/>
      <c r="W840" s="204"/>
      <c r="X840" s="204"/>
      <c r="Y840" s="204"/>
      <c r="Z840" s="204"/>
      <c r="AA840" s="204"/>
      <c r="AB840" s="204"/>
      <c r="AC840" s="204"/>
      <c r="AD840" s="204"/>
      <c r="AE840" s="204"/>
      <c r="AF840" s="204"/>
      <c r="AG840" s="204"/>
    </row>
    <row r="841" spans="1:34" ht="15.95" customHeight="1">
      <c r="A841" s="7"/>
      <c r="B841" s="10"/>
      <c r="C841" s="12"/>
      <c r="D841" s="203"/>
      <c r="E841" s="203"/>
      <c r="F841" s="202"/>
      <c r="G841" s="203"/>
      <c r="H841" s="202"/>
      <c r="I841" s="202"/>
      <c r="J841" s="203"/>
      <c r="K841" s="203"/>
      <c r="L841" s="291" t="s">
        <v>34</v>
      </c>
      <c r="M841" s="202"/>
      <c r="N841" s="45" t="str">
        <f t="shared" si="82"/>
        <v>FY2010-11</v>
      </c>
      <c r="O841" s="45" t="s">
        <v>156</v>
      </c>
      <c r="P841" s="45" t="s">
        <v>147</v>
      </c>
      <c r="Q841" s="45" t="s">
        <v>70</v>
      </c>
      <c r="R841" s="203"/>
      <c r="S841" s="203"/>
      <c r="T841" s="203"/>
      <c r="U841" s="203"/>
      <c r="V841" s="204"/>
      <c r="W841" s="204"/>
      <c r="X841" s="204"/>
      <c r="Y841" s="204"/>
      <c r="Z841" s="204"/>
      <c r="AA841" s="204"/>
      <c r="AB841" s="204"/>
      <c r="AC841" s="204"/>
      <c r="AD841" s="204"/>
      <c r="AE841" s="204"/>
      <c r="AF841" s="204"/>
      <c r="AG841" s="204"/>
    </row>
    <row r="842" spans="1:34" ht="15.95" customHeight="1">
      <c r="A842" s="44"/>
      <c r="B842" s="41"/>
      <c r="C842" s="41"/>
      <c r="D842" s="42"/>
      <c r="E842" s="42"/>
      <c r="F842" s="43"/>
      <c r="G842" s="42"/>
      <c r="H842" s="43"/>
      <c r="I842" s="43"/>
      <c r="J842" s="42"/>
      <c r="K842" s="42"/>
      <c r="L842" s="290"/>
      <c r="M842" s="43"/>
      <c r="N842" s="43"/>
      <c r="O842" s="42"/>
      <c r="P842" s="43"/>
      <c r="Q842" s="43"/>
      <c r="R842" s="42"/>
      <c r="S842" s="42"/>
      <c r="T842" s="42"/>
      <c r="U842" s="42"/>
      <c r="V842" s="44"/>
      <c r="W842" s="44"/>
      <c r="X842" s="44"/>
      <c r="Y842" s="44"/>
      <c r="Z842" s="44"/>
      <c r="AA842" s="44"/>
      <c r="AB842" s="44"/>
      <c r="AC842" s="44"/>
      <c r="AD842" s="44"/>
      <c r="AE842" s="44"/>
      <c r="AF842" s="44"/>
      <c r="AG842" s="44"/>
    </row>
    <row r="843" spans="1:34"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66"/>
      <c r="T843" s="867" t="str">
        <f>'$REV-DB'!$T$34</f>
        <v>UD1</v>
      </c>
      <c r="U843" s="867" t="str">
        <f>'$REV-DB'!$U$34</f>
        <v>UD2</v>
      </c>
      <c r="V843" s="867" t="str">
        <f>'$REV-DB'!$V$34</f>
        <v>UD3</v>
      </c>
      <c r="W843" s="867" t="str">
        <f>'$REV-DB'!$W$34</f>
        <v>UD4</v>
      </c>
      <c r="X843" s="867" t="str">
        <f>'$REV-DB'!$X$34</f>
        <v>UD5</v>
      </c>
      <c r="Y843" s="867" t="str">
        <f>'$REV-DB'!$Y$34</f>
        <v>UD6</v>
      </c>
      <c r="Z843" s="867" t="str">
        <f>'$REV-DB'!$Z$34</f>
        <v>UD7</v>
      </c>
      <c r="AA843" s="867" t="str">
        <f>'$REV-DB'!$AA$34</f>
        <v>UD8</v>
      </c>
      <c r="AB843" s="867" t="str">
        <f>'$REV-DB'!$AB$34</f>
        <v>UD9</v>
      </c>
      <c r="AC843" s="867" t="str">
        <f>'$REV-DB'!$AC$34</f>
        <v>UD10</v>
      </c>
      <c r="AD843" s="867" t="str">
        <f>'$REV-DB'!$AD$34</f>
        <v>UD11</v>
      </c>
      <c r="AE843" s="867" t="str">
        <f>'$REV-DB'!$AE$34</f>
        <v>UD12</v>
      </c>
      <c r="AF843" s="867" t="str">
        <f>'$REV-DB'!$AF$34</f>
        <v>UD13</v>
      </c>
      <c r="AG843" s="867" t="str">
        <f>'$REV-DB'!$AG$34</f>
        <v>UD14</v>
      </c>
    </row>
    <row r="844" spans="1:34" ht="15.95" customHeight="1" thickTop="1" thickBot="1">
      <c r="A844" s="7"/>
      <c r="B844" s="20" t="s">
        <v>175</v>
      </c>
      <c r="C844" s="15"/>
      <c r="D844" s="105" t="s">
        <v>186</v>
      </c>
      <c r="E844" s="105" t="s">
        <v>187</v>
      </c>
      <c r="F844" s="105" t="s">
        <v>188</v>
      </c>
      <c r="G844" s="105" t="s">
        <v>189</v>
      </c>
      <c r="H844" s="301" t="s">
        <v>11</v>
      </c>
      <c r="I844" s="301" t="s">
        <v>190</v>
      </c>
      <c r="J844" s="301" t="s">
        <v>191</v>
      </c>
      <c r="K844" s="301" t="s">
        <v>192</v>
      </c>
      <c r="L844" s="301" t="s">
        <v>203</v>
      </c>
      <c r="M844" s="301" t="s">
        <v>42</v>
      </c>
      <c r="N844" s="105" t="s">
        <v>148</v>
      </c>
      <c r="O844" s="105" t="s">
        <v>193</v>
      </c>
      <c r="P844" s="105" t="s">
        <v>142</v>
      </c>
      <c r="Q844" s="105" t="s">
        <v>194</v>
      </c>
      <c r="R844" s="112" t="s">
        <v>141</v>
      </c>
      <c r="S844" s="112" t="s">
        <v>672</v>
      </c>
      <c r="T844" s="857" t="s">
        <v>541</v>
      </c>
      <c r="U844" s="857" t="s">
        <v>542</v>
      </c>
      <c r="V844" s="857" t="s">
        <v>543</v>
      </c>
      <c r="W844" s="857" t="s">
        <v>544</v>
      </c>
      <c r="X844" s="857" t="s">
        <v>545</v>
      </c>
      <c r="Y844" s="857" t="s">
        <v>546</v>
      </c>
      <c r="Z844" s="857" t="s">
        <v>547</v>
      </c>
      <c r="AA844" s="857" t="s">
        <v>548</v>
      </c>
      <c r="AB844" s="857" t="s">
        <v>549</v>
      </c>
      <c r="AC844" s="857" t="s">
        <v>550</v>
      </c>
      <c r="AD844" s="857" t="s">
        <v>551</v>
      </c>
      <c r="AE844" s="857" t="s">
        <v>552</v>
      </c>
      <c r="AF844" s="857" t="s">
        <v>553</v>
      </c>
      <c r="AG844" s="857" t="s">
        <v>554</v>
      </c>
      <c r="AH844" s="6"/>
    </row>
    <row r="845" spans="1:34" ht="15.95" customHeight="1" thickTop="1">
      <c r="A845" s="7"/>
      <c r="B845" s="19" t="s">
        <v>150</v>
      </c>
      <c r="C845" s="12"/>
      <c r="D845" s="203"/>
      <c r="E845" s="203"/>
      <c r="F845" s="202"/>
      <c r="G845" s="203"/>
      <c r="H845" s="202"/>
      <c r="I845" s="202"/>
      <c r="J845" s="203"/>
      <c r="K845" s="203"/>
      <c r="L845" s="291" t="s">
        <v>34</v>
      </c>
      <c r="M845" s="202"/>
      <c r="N845" s="45" t="str">
        <f>J$6</f>
        <v>FY2010-11</v>
      </c>
      <c r="O845" s="45" t="s">
        <v>156</v>
      </c>
      <c r="P845" s="45" t="s">
        <v>147</v>
      </c>
      <c r="Q845" s="45" t="s">
        <v>140</v>
      </c>
      <c r="R845" s="203"/>
      <c r="S845" s="203"/>
      <c r="T845" s="203"/>
      <c r="U845" s="203"/>
      <c r="V845" s="204"/>
      <c r="W845" s="204"/>
      <c r="X845" s="204"/>
      <c r="Y845" s="204"/>
      <c r="Z845" s="204"/>
      <c r="AA845" s="204"/>
      <c r="AB845" s="204"/>
      <c r="AC845" s="204"/>
      <c r="AD845" s="204"/>
      <c r="AE845" s="204"/>
      <c r="AF845" s="204"/>
      <c r="AG845" s="204"/>
      <c r="AH845" s="6"/>
    </row>
    <row r="846" spans="1:34" ht="15.95" customHeight="1">
      <c r="A846" s="7"/>
      <c r="B846" s="16">
        <f>DSUM('$REV-DB'!D35:AG67,"AMOUNT",'$REV-DSUM'!D844:AG851)</f>
        <v>0</v>
      </c>
      <c r="C846" s="12"/>
      <c r="D846" s="203"/>
      <c r="E846" s="203"/>
      <c r="F846" s="202"/>
      <c r="G846" s="203"/>
      <c r="H846" s="202"/>
      <c r="I846" s="202"/>
      <c r="J846" s="203"/>
      <c r="K846" s="203"/>
      <c r="L846" s="291" t="s">
        <v>34</v>
      </c>
      <c r="M846" s="202"/>
      <c r="N846" s="45" t="str">
        <f t="shared" ref="N846:N851" si="83">J$6</f>
        <v>FY2010-11</v>
      </c>
      <c r="O846" s="45" t="s">
        <v>156</v>
      </c>
      <c r="P846" s="45" t="s">
        <v>147</v>
      </c>
      <c r="Q846" s="45" t="s">
        <v>140</v>
      </c>
      <c r="R846" s="203"/>
      <c r="S846" s="203"/>
      <c r="T846" s="203"/>
      <c r="U846" s="203"/>
      <c r="V846" s="204"/>
      <c r="W846" s="204"/>
      <c r="X846" s="204"/>
      <c r="Y846" s="204"/>
      <c r="Z846" s="204"/>
      <c r="AA846" s="204"/>
      <c r="AB846" s="204"/>
      <c r="AC846" s="204"/>
      <c r="AD846" s="204"/>
      <c r="AE846" s="204"/>
      <c r="AF846" s="204"/>
      <c r="AG846" s="204"/>
      <c r="AH846" s="6"/>
    </row>
    <row r="847" spans="1:34" ht="15.95" customHeight="1">
      <c r="A847" s="7"/>
      <c r="B847" s="10"/>
      <c r="C847" s="12"/>
      <c r="D847" s="203"/>
      <c r="E847" s="203"/>
      <c r="F847" s="202"/>
      <c r="G847" s="203"/>
      <c r="H847" s="202"/>
      <c r="I847" s="202"/>
      <c r="J847" s="203"/>
      <c r="K847" s="203"/>
      <c r="L847" s="291" t="s">
        <v>34</v>
      </c>
      <c r="M847" s="202"/>
      <c r="N847" s="45" t="str">
        <f t="shared" si="83"/>
        <v>FY2010-11</v>
      </c>
      <c r="O847" s="45" t="s">
        <v>156</v>
      </c>
      <c r="P847" s="45" t="s">
        <v>147</v>
      </c>
      <c r="Q847" s="45" t="s">
        <v>140</v>
      </c>
      <c r="R847" s="203"/>
      <c r="S847" s="203"/>
      <c r="T847" s="203"/>
      <c r="U847" s="203"/>
      <c r="V847" s="204"/>
      <c r="W847" s="204"/>
      <c r="X847" s="204"/>
      <c r="Y847" s="204"/>
      <c r="Z847" s="204"/>
      <c r="AA847" s="204"/>
      <c r="AB847" s="204"/>
      <c r="AC847" s="204"/>
      <c r="AD847" s="204"/>
      <c r="AE847" s="204"/>
      <c r="AF847" s="204"/>
      <c r="AG847" s="204"/>
    </row>
    <row r="848" spans="1:34" ht="15.95" customHeight="1">
      <c r="A848" s="7"/>
      <c r="B848" s="10"/>
      <c r="C848" s="12"/>
      <c r="D848" s="203"/>
      <c r="E848" s="203"/>
      <c r="F848" s="202"/>
      <c r="G848" s="203"/>
      <c r="H848" s="202"/>
      <c r="I848" s="202"/>
      <c r="J848" s="203"/>
      <c r="K848" s="203"/>
      <c r="L848" s="291" t="s">
        <v>34</v>
      </c>
      <c r="M848" s="202"/>
      <c r="N848" s="45" t="str">
        <f t="shared" si="83"/>
        <v>FY2010-11</v>
      </c>
      <c r="O848" s="45" t="s">
        <v>156</v>
      </c>
      <c r="P848" s="45" t="s">
        <v>147</v>
      </c>
      <c r="Q848" s="45" t="s">
        <v>140</v>
      </c>
      <c r="R848" s="203"/>
      <c r="S848" s="203"/>
      <c r="T848" s="203"/>
      <c r="U848" s="203"/>
      <c r="V848" s="204"/>
      <c r="W848" s="204"/>
      <c r="X848" s="204"/>
      <c r="Y848" s="204"/>
      <c r="Z848" s="204"/>
      <c r="AA848" s="204"/>
      <c r="AB848" s="204"/>
      <c r="AC848" s="204"/>
      <c r="AD848" s="204"/>
      <c r="AE848" s="204"/>
      <c r="AF848" s="204"/>
      <c r="AG848" s="204"/>
    </row>
    <row r="849" spans="1:34" ht="15.95" customHeight="1">
      <c r="A849" s="7"/>
      <c r="B849" s="10"/>
      <c r="C849" s="12"/>
      <c r="D849" s="203"/>
      <c r="E849" s="203"/>
      <c r="F849" s="202"/>
      <c r="G849" s="203"/>
      <c r="H849" s="202"/>
      <c r="I849" s="202"/>
      <c r="J849" s="203"/>
      <c r="K849" s="203"/>
      <c r="L849" s="291" t="s">
        <v>34</v>
      </c>
      <c r="M849" s="202"/>
      <c r="N849" s="45" t="str">
        <f t="shared" si="83"/>
        <v>FY2010-11</v>
      </c>
      <c r="O849" s="45" t="s">
        <v>156</v>
      </c>
      <c r="P849" s="45" t="s">
        <v>147</v>
      </c>
      <c r="Q849" s="45" t="s">
        <v>140</v>
      </c>
      <c r="R849" s="203"/>
      <c r="S849" s="203"/>
      <c r="T849" s="203"/>
      <c r="U849" s="203"/>
      <c r="V849" s="204"/>
      <c r="W849" s="204"/>
      <c r="X849" s="204"/>
      <c r="Y849" s="204"/>
      <c r="Z849" s="204"/>
      <c r="AA849" s="204"/>
      <c r="AB849" s="204"/>
      <c r="AC849" s="204"/>
      <c r="AD849" s="204"/>
      <c r="AE849" s="204"/>
      <c r="AF849" s="204"/>
      <c r="AG849" s="204"/>
    </row>
    <row r="850" spans="1:34" ht="15.95" customHeight="1">
      <c r="A850" s="7"/>
      <c r="B850" s="10"/>
      <c r="C850" s="12"/>
      <c r="D850" s="203"/>
      <c r="E850" s="203"/>
      <c r="F850" s="202"/>
      <c r="G850" s="203"/>
      <c r="H850" s="202"/>
      <c r="I850" s="202"/>
      <c r="J850" s="203"/>
      <c r="K850" s="203"/>
      <c r="L850" s="291" t="s">
        <v>34</v>
      </c>
      <c r="M850" s="202"/>
      <c r="N850" s="45" t="str">
        <f t="shared" si="83"/>
        <v>FY2010-11</v>
      </c>
      <c r="O850" s="45" t="s">
        <v>156</v>
      </c>
      <c r="P850" s="45" t="s">
        <v>147</v>
      </c>
      <c r="Q850" s="45" t="s">
        <v>140</v>
      </c>
      <c r="R850" s="203"/>
      <c r="S850" s="203"/>
      <c r="T850" s="203"/>
      <c r="U850" s="203"/>
      <c r="V850" s="204"/>
      <c r="W850" s="204"/>
      <c r="X850" s="204"/>
      <c r="Y850" s="204"/>
      <c r="Z850" s="204"/>
      <c r="AA850" s="204"/>
      <c r="AB850" s="204"/>
      <c r="AC850" s="204"/>
      <c r="AD850" s="204"/>
      <c r="AE850" s="204"/>
      <c r="AF850" s="204"/>
      <c r="AG850" s="204"/>
    </row>
    <row r="851" spans="1:34" ht="15.95" customHeight="1">
      <c r="A851" s="7"/>
      <c r="B851" s="10"/>
      <c r="C851" s="12"/>
      <c r="D851" s="203"/>
      <c r="E851" s="203"/>
      <c r="F851" s="202"/>
      <c r="G851" s="203"/>
      <c r="H851" s="202"/>
      <c r="I851" s="202"/>
      <c r="J851" s="203"/>
      <c r="K851" s="203"/>
      <c r="L851" s="291" t="s">
        <v>34</v>
      </c>
      <c r="M851" s="202"/>
      <c r="N851" s="45" t="str">
        <f t="shared" si="83"/>
        <v>FY2010-11</v>
      </c>
      <c r="O851" s="45" t="s">
        <v>156</v>
      </c>
      <c r="P851" s="45" t="s">
        <v>147</v>
      </c>
      <c r="Q851" s="45" t="s">
        <v>140</v>
      </c>
      <c r="R851" s="203"/>
      <c r="S851" s="203"/>
      <c r="T851" s="203"/>
      <c r="U851" s="203"/>
      <c r="V851" s="204"/>
      <c r="W851" s="204"/>
      <c r="X851" s="204"/>
      <c r="Y851" s="204"/>
      <c r="Z851" s="204"/>
      <c r="AA851" s="204"/>
      <c r="AB851" s="204"/>
      <c r="AC851" s="204"/>
      <c r="AD851" s="204"/>
      <c r="AE851" s="204"/>
      <c r="AF851" s="204"/>
      <c r="AG851" s="204"/>
    </row>
    <row r="852" spans="1:34" ht="15.95" customHeight="1">
      <c r="A852" s="44"/>
      <c r="B852" s="41"/>
      <c r="C852" s="41"/>
      <c r="D852" s="42"/>
      <c r="E852" s="42"/>
      <c r="F852" s="43"/>
      <c r="G852" s="42"/>
      <c r="H852" s="43"/>
      <c r="I852" s="43"/>
      <c r="J852" s="42"/>
      <c r="K852" s="42"/>
      <c r="L852" s="290"/>
      <c r="M852" s="43"/>
      <c r="N852" s="43"/>
      <c r="O852" s="42"/>
      <c r="P852" s="43"/>
      <c r="Q852" s="43"/>
      <c r="R852" s="42"/>
      <c r="S852" s="42"/>
      <c r="T852" s="42"/>
      <c r="U852" s="42"/>
      <c r="V852" s="44"/>
      <c r="W852" s="44"/>
      <c r="X852" s="44"/>
      <c r="Y852" s="44"/>
      <c r="Z852" s="44"/>
      <c r="AA852" s="44"/>
      <c r="AB852" s="44"/>
      <c r="AC852" s="44"/>
      <c r="AD852" s="44"/>
      <c r="AE852" s="44"/>
      <c r="AF852" s="44"/>
      <c r="AG852" s="44"/>
    </row>
    <row r="853" spans="1:34" ht="15.95" customHeight="1" thickBot="1">
      <c r="A853" s="317"/>
      <c r="B853" s="318" t="s">
        <v>403</v>
      </c>
      <c r="C853" s="317"/>
      <c r="D853" s="322"/>
      <c r="E853" s="322"/>
      <c r="F853" s="323"/>
      <c r="G853" s="322"/>
      <c r="H853" s="323"/>
      <c r="I853" s="323"/>
      <c r="J853" s="322"/>
      <c r="K853" s="322"/>
      <c r="L853" s="324"/>
      <c r="M853" s="323"/>
      <c r="N853" s="323"/>
      <c r="O853" s="322"/>
      <c r="P853" s="323"/>
      <c r="Q853" s="323"/>
      <c r="R853" s="322"/>
      <c r="S853" s="866"/>
      <c r="T853" s="867" t="str">
        <f>'$REV-DB'!$T$34</f>
        <v>UD1</v>
      </c>
      <c r="U853" s="867" t="str">
        <f>'$REV-DB'!$U$34</f>
        <v>UD2</v>
      </c>
      <c r="V853" s="867" t="str">
        <f>'$REV-DB'!$V$34</f>
        <v>UD3</v>
      </c>
      <c r="W853" s="867" t="str">
        <f>'$REV-DB'!$W$34</f>
        <v>UD4</v>
      </c>
      <c r="X853" s="867" t="str">
        <f>'$REV-DB'!$X$34</f>
        <v>UD5</v>
      </c>
      <c r="Y853" s="867" t="str">
        <f>'$REV-DB'!$Y$34</f>
        <v>UD6</v>
      </c>
      <c r="Z853" s="867" t="str">
        <f>'$REV-DB'!$Z$34</f>
        <v>UD7</v>
      </c>
      <c r="AA853" s="867" t="str">
        <f>'$REV-DB'!$AA$34</f>
        <v>UD8</v>
      </c>
      <c r="AB853" s="867" t="str">
        <f>'$REV-DB'!$AB$34</f>
        <v>UD9</v>
      </c>
      <c r="AC853" s="867" t="str">
        <f>'$REV-DB'!$AC$34</f>
        <v>UD10</v>
      </c>
      <c r="AD853" s="867" t="str">
        <f>'$REV-DB'!$AD$34</f>
        <v>UD11</v>
      </c>
      <c r="AE853" s="867" t="str">
        <f>'$REV-DB'!$AE$34</f>
        <v>UD12</v>
      </c>
      <c r="AF853" s="867" t="str">
        <f>'$REV-DB'!$AF$34</f>
        <v>UD13</v>
      </c>
      <c r="AG853" s="867" t="str">
        <f>'$REV-DB'!$AG$34</f>
        <v>UD14</v>
      </c>
    </row>
    <row r="854" spans="1:34" ht="15.95" customHeight="1" thickTop="1" thickBot="1">
      <c r="A854" s="317"/>
      <c r="B854" s="319" t="s">
        <v>404</v>
      </c>
      <c r="C854" s="325"/>
      <c r="D854" s="326" t="s">
        <v>186</v>
      </c>
      <c r="E854" s="326" t="s">
        <v>187</v>
      </c>
      <c r="F854" s="326" t="s">
        <v>188</v>
      </c>
      <c r="G854" s="326" t="s">
        <v>189</v>
      </c>
      <c r="H854" s="326" t="s">
        <v>11</v>
      </c>
      <c r="I854" s="326" t="s">
        <v>190</v>
      </c>
      <c r="J854" s="326" t="s">
        <v>191</v>
      </c>
      <c r="K854" s="326" t="s">
        <v>192</v>
      </c>
      <c r="L854" s="326" t="s">
        <v>203</v>
      </c>
      <c r="M854" s="326" t="s">
        <v>42</v>
      </c>
      <c r="N854" s="326" t="s">
        <v>148</v>
      </c>
      <c r="O854" s="326" t="s">
        <v>193</v>
      </c>
      <c r="P854" s="326" t="s">
        <v>142</v>
      </c>
      <c r="Q854" s="326" t="s">
        <v>194</v>
      </c>
      <c r="R854" s="327" t="s">
        <v>141</v>
      </c>
      <c r="S854" s="112" t="s">
        <v>672</v>
      </c>
      <c r="T854" s="857" t="s">
        <v>541</v>
      </c>
      <c r="U854" s="857" t="s">
        <v>542</v>
      </c>
      <c r="V854" s="857" t="s">
        <v>543</v>
      </c>
      <c r="W854" s="857" t="s">
        <v>544</v>
      </c>
      <c r="X854" s="857" t="s">
        <v>545</v>
      </c>
      <c r="Y854" s="857" t="s">
        <v>546</v>
      </c>
      <c r="Z854" s="857" t="s">
        <v>547</v>
      </c>
      <c r="AA854" s="857" t="s">
        <v>548</v>
      </c>
      <c r="AB854" s="857" t="s">
        <v>549</v>
      </c>
      <c r="AC854" s="857" t="s">
        <v>550</v>
      </c>
      <c r="AD854" s="857" t="s">
        <v>551</v>
      </c>
      <c r="AE854" s="857" t="s">
        <v>552</v>
      </c>
      <c r="AF854" s="857" t="s">
        <v>553</v>
      </c>
      <c r="AG854" s="857" t="s">
        <v>554</v>
      </c>
      <c r="AH854" s="6"/>
    </row>
    <row r="855" spans="1:34" ht="15.95" customHeight="1" thickTop="1">
      <c r="A855" s="317"/>
      <c r="B855" s="318" t="s">
        <v>408</v>
      </c>
      <c r="C855" s="328"/>
      <c r="D855" s="203"/>
      <c r="E855" s="203"/>
      <c r="F855" s="202"/>
      <c r="G855" s="203"/>
      <c r="H855" s="202"/>
      <c r="I855" s="202"/>
      <c r="J855" s="203"/>
      <c r="K855" s="203"/>
      <c r="L855" s="291" t="s">
        <v>102</v>
      </c>
      <c r="M855" s="202"/>
      <c r="N855" s="45" t="str">
        <f>J$6</f>
        <v>FY2010-11</v>
      </c>
      <c r="O855" s="45"/>
      <c r="P855" s="45"/>
      <c r="Q855" s="45"/>
      <c r="R855" s="203"/>
      <c r="S855" s="203"/>
      <c r="T855" s="203"/>
      <c r="U855" s="203"/>
      <c r="V855" s="204"/>
      <c r="W855" s="204"/>
      <c r="X855" s="204"/>
      <c r="Y855" s="204"/>
      <c r="Z855" s="204"/>
      <c r="AA855" s="204"/>
      <c r="AB855" s="204"/>
      <c r="AC855" s="204"/>
      <c r="AD855" s="204"/>
      <c r="AE855" s="204"/>
      <c r="AF855" s="204"/>
      <c r="AG855" s="204"/>
      <c r="AH855" s="6"/>
    </row>
    <row r="856" spans="1:34" ht="15.95" customHeight="1">
      <c r="A856" s="317"/>
      <c r="B856" s="320">
        <f>DSUM('$REV-DB'!D35:AG67,"AMOUNT",'$REV-DSUM'!D854:AG861)</f>
        <v>0</v>
      </c>
      <c r="C856" s="328"/>
      <c r="D856" s="203"/>
      <c r="E856" s="203"/>
      <c r="F856" s="202"/>
      <c r="G856" s="203"/>
      <c r="H856" s="202"/>
      <c r="I856" s="202"/>
      <c r="J856" s="203"/>
      <c r="K856" s="203"/>
      <c r="L856" s="291" t="s">
        <v>102</v>
      </c>
      <c r="M856" s="202"/>
      <c r="N856" s="45" t="str">
        <f t="shared" ref="N856:N861" si="84">J$6</f>
        <v>FY2010-11</v>
      </c>
      <c r="O856" s="45"/>
      <c r="P856" s="45"/>
      <c r="Q856" s="45"/>
      <c r="R856" s="203"/>
      <c r="S856" s="203"/>
      <c r="T856" s="203"/>
      <c r="U856" s="203"/>
      <c r="V856" s="204"/>
      <c r="W856" s="204"/>
      <c r="X856" s="204"/>
      <c r="Y856" s="204"/>
      <c r="Z856" s="204"/>
      <c r="AA856" s="204"/>
      <c r="AB856" s="204"/>
      <c r="AC856" s="204"/>
      <c r="AD856" s="204"/>
      <c r="AE856" s="204"/>
      <c r="AF856" s="204"/>
      <c r="AG856" s="204"/>
      <c r="AH856" s="6"/>
    </row>
    <row r="857" spans="1:34" ht="15.95" customHeight="1">
      <c r="A857" s="317"/>
      <c r="B857" s="321"/>
      <c r="C857" s="328"/>
      <c r="D857" s="203"/>
      <c r="E857" s="203"/>
      <c r="F857" s="202"/>
      <c r="G857" s="203"/>
      <c r="H857" s="202"/>
      <c r="I857" s="202"/>
      <c r="J857" s="203"/>
      <c r="K857" s="203"/>
      <c r="L857" s="291" t="s">
        <v>102</v>
      </c>
      <c r="M857" s="202"/>
      <c r="N857" s="45" t="str">
        <f t="shared" si="84"/>
        <v>FY2010-11</v>
      </c>
      <c r="O857" s="45"/>
      <c r="P857" s="45"/>
      <c r="Q857" s="45"/>
      <c r="R857" s="203"/>
      <c r="S857" s="203"/>
      <c r="T857" s="203"/>
      <c r="U857" s="203"/>
      <c r="V857" s="204"/>
      <c r="W857" s="204"/>
      <c r="X857" s="204"/>
      <c r="Y857" s="204"/>
      <c r="Z857" s="204"/>
      <c r="AA857" s="204"/>
      <c r="AB857" s="204"/>
      <c r="AC857" s="204"/>
      <c r="AD857" s="204"/>
      <c r="AE857" s="204"/>
      <c r="AF857" s="204"/>
      <c r="AG857" s="204"/>
    </row>
    <row r="858" spans="1:34" ht="15.95" customHeight="1">
      <c r="A858" s="317"/>
      <c r="B858" s="333" t="s">
        <v>405</v>
      </c>
      <c r="C858" s="328"/>
      <c r="D858" s="203"/>
      <c r="E858" s="203"/>
      <c r="F858" s="202"/>
      <c r="G858" s="203"/>
      <c r="H858" s="202"/>
      <c r="I858" s="202"/>
      <c r="J858" s="203"/>
      <c r="K858" s="203"/>
      <c r="L858" s="291" t="s">
        <v>102</v>
      </c>
      <c r="M858" s="202"/>
      <c r="N858" s="45" t="str">
        <f t="shared" si="84"/>
        <v>FY2010-11</v>
      </c>
      <c r="O858" s="45"/>
      <c r="P858" s="45"/>
      <c r="Q858" s="45"/>
      <c r="R858" s="203"/>
      <c r="S858" s="203"/>
      <c r="T858" s="203"/>
      <c r="U858" s="203"/>
      <c r="V858" s="204"/>
      <c r="W858" s="204"/>
      <c r="X858" s="204"/>
      <c r="Y858" s="204"/>
      <c r="Z858" s="204"/>
      <c r="AA858" s="204"/>
      <c r="AB858" s="204"/>
      <c r="AC858" s="204"/>
      <c r="AD858" s="204"/>
      <c r="AE858" s="204"/>
      <c r="AF858" s="204"/>
      <c r="AG858" s="204"/>
    </row>
    <row r="859" spans="1:34" ht="15.95" customHeight="1">
      <c r="A859" s="317"/>
      <c r="B859" s="333" t="s">
        <v>406</v>
      </c>
      <c r="C859" s="328"/>
      <c r="D859" s="203"/>
      <c r="E859" s="203"/>
      <c r="F859" s="202"/>
      <c r="G859" s="203"/>
      <c r="H859" s="202"/>
      <c r="I859" s="202"/>
      <c r="J859" s="203"/>
      <c r="K859" s="203"/>
      <c r="L859" s="291" t="s">
        <v>102</v>
      </c>
      <c r="M859" s="202"/>
      <c r="N859" s="45" t="str">
        <f t="shared" si="84"/>
        <v>FY2010-11</v>
      </c>
      <c r="O859" s="45"/>
      <c r="P859" s="45"/>
      <c r="Q859" s="45"/>
      <c r="R859" s="203"/>
      <c r="S859" s="203"/>
      <c r="T859" s="203"/>
      <c r="U859" s="203"/>
      <c r="V859" s="204"/>
      <c r="W859" s="204"/>
      <c r="X859" s="204"/>
      <c r="Y859" s="204"/>
      <c r="Z859" s="204"/>
      <c r="AA859" s="204"/>
      <c r="AB859" s="204"/>
      <c r="AC859" s="204"/>
      <c r="AD859" s="204"/>
      <c r="AE859" s="204"/>
      <c r="AF859" s="204"/>
      <c r="AG859" s="204"/>
    </row>
    <row r="860" spans="1:34" ht="15.95" customHeight="1">
      <c r="A860" s="317"/>
      <c r="B860" s="333" t="s">
        <v>407</v>
      </c>
      <c r="C860" s="328"/>
      <c r="D860" s="203"/>
      <c r="E860" s="203"/>
      <c r="F860" s="202"/>
      <c r="G860" s="203"/>
      <c r="H860" s="202"/>
      <c r="I860" s="202"/>
      <c r="J860" s="203"/>
      <c r="K860" s="203"/>
      <c r="L860" s="291" t="s">
        <v>102</v>
      </c>
      <c r="M860" s="202"/>
      <c r="N860" s="45" t="str">
        <f t="shared" si="84"/>
        <v>FY2010-11</v>
      </c>
      <c r="O860" s="45"/>
      <c r="P860" s="45"/>
      <c r="Q860" s="45"/>
      <c r="R860" s="203"/>
      <c r="S860" s="203"/>
      <c r="T860" s="203"/>
      <c r="U860" s="203"/>
      <c r="V860" s="204"/>
      <c r="W860" s="204"/>
      <c r="X860" s="204"/>
      <c r="Y860" s="204"/>
      <c r="Z860" s="204"/>
      <c r="AA860" s="204"/>
      <c r="AB860" s="204"/>
      <c r="AC860" s="204"/>
      <c r="AD860" s="204"/>
      <c r="AE860" s="204"/>
      <c r="AF860" s="204"/>
      <c r="AG860" s="204"/>
    </row>
    <row r="861" spans="1:34" ht="15.95" customHeight="1">
      <c r="A861" s="317"/>
      <c r="B861" s="333"/>
      <c r="C861" s="328"/>
      <c r="D861" s="203"/>
      <c r="E861" s="203"/>
      <c r="F861" s="202"/>
      <c r="G861" s="203"/>
      <c r="H861" s="202"/>
      <c r="I861" s="202"/>
      <c r="J861" s="203"/>
      <c r="K861" s="203"/>
      <c r="L861" s="291" t="s">
        <v>102</v>
      </c>
      <c r="M861" s="202"/>
      <c r="N861" s="45" t="str">
        <f t="shared" si="84"/>
        <v>FY2010-11</v>
      </c>
      <c r="O861" s="45"/>
      <c r="P861" s="45"/>
      <c r="Q861" s="45"/>
      <c r="R861" s="203"/>
      <c r="S861" s="203"/>
      <c r="T861" s="203"/>
      <c r="U861" s="203"/>
      <c r="V861" s="204"/>
      <c r="W861" s="204"/>
      <c r="X861" s="204"/>
      <c r="Y861" s="204"/>
      <c r="Z861" s="204"/>
      <c r="AA861" s="204"/>
      <c r="AB861" s="204"/>
      <c r="AC861" s="204"/>
      <c r="AD861" s="204"/>
      <c r="AE861" s="204"/>
      <c r="AF861" s="204"/>
      <c r="AG861" s="204"/>
    </row>
    <row r="862" spans="1:34" ht="15.95" customHeight="1">
      <c r="A862" s="329"/>
      <c r="B862" s="328"/>
      <c r="C862" s="328"/>
      <c r="D862" s="330"/>
      <c r="E862" s="330"/>
      <c r="F862" s="331"/>
      <c r="G862" s="330"/>
      <c r="H862" s="331"/>
      <c r="I862" s="331"/>
      <c r="J862" s="330"/>
      <c r="K862" s="330"/>
      <c r="L862" s="332"/>
      <c r="M862" s="331"/>
      <c r="N862" s="331"/>
      <c r="O862" s="330"/>
      <c r="P862" s="331"/>
      <c r="Q862" s="331"/>
      <c r="R862" s="330"/>
      <c r="S862" s="330"/>
      <c r="T862" s="330"/>
      <c r="U862" s="330"/>
      <c r="V862" s="329"/>
      <c r="W862" s="329"/>
      <c r="X862" s="329"/>
      <c r="Y862" s="329"/>
      <c r="Z862" s="329"/>
      <c r="AA862" s="329"/>
      <c r="AB862" s="329"/>
      <c r="AC862" s="329"/>
      <c r="AD862" s="329"/>
      <c r="AE862" s="329"/>
      <c r="AF862" s="329"/>
      <c r="AG862" s="329"/>
    </row>
    <row r="863" spans="1:34" ht="15.95" customHeight="1" thickBot="1">
      <c r="A863" s="317"/>
      <c r="B863" s="318" t="s">
        <v>289</v>
      </c>
      <c r="C863" s="317"/>
      <c r="D863" s="322"/>
      <c r="E863" s="322"/>
      <c r="F863" s="323"/>
      <c r="G863" s="322"/>
      <c r="H863" s="323"/>
      <c r="I863" s="323"/>
      <c r="J863" s="322"/>
      <c r="K863" s="322"/>
      <c r="L863" s="324"/>
      <c r="M863" s="323"/>
      <c r="N863" s="323"/>
      <c r="O863" s="322"/>
      <c r="P863" s="323"/>
      <c r="Q863" s="323"/>
      <c r="R863" s="322"/>
      <c r="S863" s="866"/>
      <c r="T863" s="867" t="str">
        <f>'$REV-DB'!$T$34</f>
        <v>UD1</v>
      </c>
      <c r="U863" s="867" t="str">
        <f>'$REV-DB'!$U$34</f>
        <v>UD2</v>
      </c>
      <c r="V863" s="867" t="str">
        <f>'$REV-DB'!$V$34</f>
        <v>UD3</v>
      </c>
      <c r="W863" s="867" t="str">
        <f>'$REV-DB'!$W$34</f>
        <v>UD4</v>
      </c>
      <c r="X863" s="867" t="str">
        <f>'$REV-DB'!$X$34</f>
        <v>UD5</v>
      </c>
      <c r="Y863" s="867" t="str">
        <f>'$REV-DB'!$Y$34</f>
        <v>UD6</v>
      </c>
      <c r="Z863" s="867" t="str">
        <f>'$REV-DB'!$Z$34</f>
        <v>UD7</v>
      </c>
      <c r="AA863" s="867" t="str">
        <f>'$REV-DB'!$AA$34</f>
        <v>UD8</v>
      </c>
      <c r="AB863" s="867" t="str">
        <f>'$REV-DB'!$AB$34</f>
        <v>UD9</v>
      </c>
      <c r="AC863" s="867" t="str">
        <f>'$REV-DB'!$AC$34</f>
        <v>UD10</v>
      </c>
      <c r="AD863" s="867" t="str">
        <f>'$REV-DB'!$AD$34</f>
        <v>UD11</v>
      </c>
      <c r="AE863" s="867" t="str">
        <f>'$REV-DB'!$AE$34</f>
        <v>UD12</v>
      </c>
      <c r="AF863" s="867" t="str">
        <f>'$REV-DB'!$AF$34</f>
        <v>UD13</v>
      </c>
      <c r="AG863" s="867" t="str">
        <f>'$REV-DB'!$AG$34</f>
        <v>UD14</v>
      </c>
    </row>
    <row r="864" spans="1:34" ht="15.95" customHeight="1" thickTop="1" thickBot="1">
      <c r="A864" s="317"/>
      <c r="B864" s="319" t="s">
        <v>412</v>
      </c>
      <c r="C864" s="325"/>
      <c r="D864" s="326" t="s">
        <v>186</v>
      </c>
      <c r="E864" s="326" t="s">
        <v>187</v>
      </c>
      <c r="F864" s="326" t="s">
        <v>188</v>
      </c>
      <c r="G864" s="326" t="s">
        <v>189</v>
      </c>
      <c r="H864" s="326" t="s">
        <v>11</v>
      </c>
      <c r="I864" s="326" t="s">
        <v>190</v>
      </c>
      <c r="J864" s="326" t="s">
        <v>191</v>
      </c>
      <c r="K864" s="326" t="s">
        <v>192</v>
      </c>
      <c r="L864" s="326" t="s">
        <v>203</v>
      </c>
      <c r="M864" s="326" t="s">
        <v>42</v>
      </c>
      <c r="N864" s="326" t="s">
        <v>148</v>
      </c>
      <c r="O864" s="326" t="s">
        <v>193</v>
      </c>
      <c r="P864" s="326" t="s">
        <v>142</v>
      </c>
      <c r="Q864" s="326" t="s">
        <v>194</v>
      </c>
      <c r="R864" s="327" t="s">
        <v>141</v>
      </c>
      <c r="S864" s="112" t="s">
        <v>672</v>
      </c>
      <c r="T864" s="857" t="s">
        <v>541</v>
      </c>
      <c r="U864" s="857" t="s">
        <v>542</v>
      </c>
      <c r="V864" s="857" t="s">
        <v>543</v>
      </c>
      <c r="W864" s="857" t="s">
        <v>544</v>
      </c>
      <c r="X864" s="857" t="s">
        <v>545</v>
      </c>
      <c r="Y864" s="857" t="s">
        <v>546</v>
      </c>
      <c r="Z864" s="857" t="s">
        <v>547</v>
      </c>
      <c r="AA864" s="857" t="s">
        <v>548</v>
      </c>
      <c r="AB864" s="857" t="s">
        <v>549</v>
      </c>
      <c r="AC864" s="857" t="s">
        <v>550</v>
      </c>
      <c r="AD864" s="857" t="s">
        <v>551</v>
      </c>
      <c r="AE864" s="857" t="s">
        <v>552</v>
      </c>
      <c r="AF864" s="857" t="s">
        <v>553</v>
      </c>
      <c r="AG864" s="857" t="s">
        <v>554</v>
      </c>
      <c r="AH864" s="6"/>
    </row>
    <row r="865" spans="1:34" ht="15.95" customHeight="1" thickTop="1">
      <c r="A865" s="317"/>
      <c r="B865" s="318" t="s">
        <v>290</v>
      </c>
      <c r="C865" s="328"/>
      <c r="D865" s="203"/>
      <c r="E865" s="203"/>
      <c r="F865" s="202"/>
      <c r="G865" s="203"/>
      <c r="H865" s="202"/>
      <c r="I865" s="202"/>
      <c r="J865" s="203"/>
      <c r="K865" s="203"/>
      <c r="L865" s="291"/>
      <c r="M865" s="202"/>
      <c r="N865" s="45" t="str">
        <f>J$6</f>
        <v>FY2010-11</v>
      </c>
      <c r="O865" s="45"/>
      <c r="P865" s="45"/>
      <c r="Q865" s="45"/>
      <c r="R865" s="203"/>
      <c r="S865" s="203"/>
      <c r="T865" s="203"/>
      <c r="U865" s="203"/>
      <c r="V865" s="204"/>
      <c r="W865" s="204"/>
      <c r="X865" s="204"/>
      <c r="Y865" s="204"/>
      <c r="Z865" s="204"/>
      <c r="AA865" s="204"/>
      <c r="AB865" s="204"/>
      <c r="AC865" s="204"/>
      <c r="AD865" s="204"/>
      <c r="AE865" s="204"/>
      <c r="AF865" s="204"/>
      <c r="AG865" s="204"/>
      <c r="AH865" s="6"/>
    </row>
    <row r="866" spans="1:34" ht="15.95" customHeight="1">
      <c r="A866" s="317"/>
      <c r="B866" s="320">
        <f>DSUM('$REV-DB'!D35:AG67,"AMOUNT",'$REV-DSUM'!D864:AG871)</f>
        <v>18208778769.749996</v>
      </c>
      <c r="C866" s="328"/>
      <c r="D866" s="203"/>
      <c r="E866" s="203"/>
      <c r="F866" s="202"/>
      <c r="G866" s="203"/>
      <c r="H866" s="202"/>
      <c r="I866" s="202"/>
      <c r="J866" s="203"/>
      <c r="K866" s="203"/>
      <c r="L866" s="291"/>
      <c r="M866" s="202"/>
      <c r="N866" s="45" t="str">
        <f t="shared" ref="N866:N871" si="85">J$6</f>
        <v>FY2010-11</v>
      </c>
      <c r="O866" s="45"/>
      <c r="P866" s="45"/>
      <c r="Q866" s="45"/>
      <c r="R866" s="203"/>
      <c r="S866" s="203"/>
      <c r="T866" s="203"/>
      <c r="U866" s="203"/>
      <c r="V866" s="204"/>
      <c r="W866" s="204"/>
      <c r="X866" s="204"/>
      <c r="Y866" s="204"/>
      <c r="Z866" s="204"/>
      <c r="AA866" s="204"/>
      <c r="AB866" s="204"/>
      <c r="AC866" s="204"/>
      <c r="AD866" s="204"/>
      <c r="AE866" s="204"/>
      <c r="AF866" s="204"/>
      <c r="AG866" s="204"/>
      <c r="AH866" s="6"/>
    </row>
    <row r="867" spans="1:34" ht="15.95" customHeight="1">
      <c r="A867" s="317"/>
      <c r="B867" s="321"/>
      <c r="C867" s="328"/>
      <c r="D867" s="203"/>
      <c r="E867" s="203"/>
      <c r="F867" s="202"/>
      <c r="G867" s="203"/>
      <c r="H867" s="202"/>
      <c r="I867" s="202"/>
      <c r="J867" s="203"/>
      <c r="K867" s="203"/>
      <c r="L867" s="291"/>
      <c r="M867" s="202"/>
      <c r="N867" s="45" t="str">
        <f t="shared" si="85"/>
        <v>FY2010-11</v>
      </c>
      <c r="O867" s="45"/>
      <c r="P867" s="45"/>
      <c r="Q867" s="45"/>
      <c r="R867" s="203"/>
      <c r="S867" s="203"/>
      <c r="T867" s="203"/>
      <c r="U867" s="203"/>
      <c r="V867" s="204"/>
      <c r="W867" s="204"/>
      <c r="X867" s="204"/>
      <c r="Y867" s="204"/>
      <c r="Z867" s="204"/>
      <c r="AA867" s="204"/>
      <c r="AB867" s="204"/>
      <c r="AC867" s="204"/>
      <c r="AD867" s="204"/>
      <c r="AE867" s="204"/>
      <c r="AF867" s="204"/>
      <c r="AG867" s="204"/>
    </row>
    <row r="868" spans="1:34" ht="15.95" customHeight="1">
      <c r="A868" s="317"/>
      <c r="B868" s="333" t="s">
        <v>405</v>
      </c>
      <c r="C868" s="328"/>
      <c r="D868" s="203"/>
      <c r="E868" s="203"/>
      <c r="F868" s="202"/>
      <c r="G868" s="203"/>
      <c r="H868" s="202"/>
      <c r="I868" s="202"/>
      <c r="J868" s="203"/>
      <c r="K868" s="203"/>
      <c r="L868" s="291"/>
      <c r="M868" s="202"/>
      <c r="N868" s="45" t="str">
        <f t="shared" si="85"/>
        <v>FY2010-11</v>
      </c>
      <c r="O868" s="45"/>
      <c r="P868" s="45"/>
      <c r="Q868" s="45"/>
      <c r="R868" s="203"/>
      <c r="S868" s="203"/>
      <c r="T868" s="203"/>
      <c r="U868" s="203"/>
      <c r="V868" s="204"/>
      <c r="W868" s="204"/>
      <c r="X868" s="204"/>
      <c r="Y868" s="204"/>
      <c r="Z868" s="204"/>
      <c r="AA868" s="204"/>
      <c r="AB868" s="204"/>
      <c r="AC868" s="204"/>
      <c r="AD868" s="204"/>
      <c r="AE868" s="204"/>
      <c r="AF868" s="204"/>
      <c r="AG868" s="204"/>
    </row>
    <row r="869" spans="1:34" ht="15.95" customHeight="1">
      <c r="A869" s="317"/>
      <c r="B869" s="333" t="s">
        <v>406</v>
      </c>
      <c r="C869" s="328"/>
      <c r="D869" s="203"/>
      <c r="E869" s="203"/>
      <c r="F869" s="202"/>
      <c r="G869" s="203"/>
      <c r="H869" s="202"/>
      <c r="I869" s="202"/>
      <c r="J869" s="203"/>
      <c r="K869" s="203"/>
      <c r="L869" s="291"/>
      <c r="M869" s="202"/>
      <c r="N869" s="45" t="str">
        <f t="shared" si="85"/>
        <v>FY2010-11</v>
      </c>
      <c r="O869" s="45"/>
      <c r="P869" s="45"/>
      <c r="Q869" s="45"/>
      <c r="R869" s="203"/>
      <c r="S869" s="203"/>
      <c r="T869" s="203"/>
      <c r="U869" s="203"/>
      <c r="V869" s="204"/>
      <c r="W869" s="204"/>
      <c r="X869" s="204"/>
      <c r="Y869" s="204"/>
      <c r="Z869" s="204"/>
      <c r="AA869" s="204"/>
      <c r="AB869" s="204"/>
      <c r="AC869" s="204"/>
      <c r="AD869" s="204"/>
      <c r="AE869" s="204"/>
      <c r="AF869" s="204"/>
      <c r="AG869" s="204"/>
    </row>
    <row r="870" spans="1:34" ht="15.95" customHeight="1">
      <c r="A870" s="317"/>
      <c r="B870" s="333" t="s">
        <v>407</v>
      </c>
      <c r="C870" s="328"/>
      <c r="D870" s="203"/>
      <c r="E870" s="203"/>
      <c r="F870" s="202"/>
      <c r="G870" s="203"/>
      <c r="H870" s="202"/>
      <c r="I870" s="202"/>
      <c r="J870" s="203"/>
      <c r="K870" s="203"/>
      <c r="L870" s="291"/>
      <c r="M870" s="202"/>
      <c r="N870" s="45" t="str">
        <f t="shared" si="85"/>
        <v>FY2010-11</v>
      </c>
      <c r="O870" s="45"/>
      <c r="P870" s="45"/>
      <c r="Q870" s="45"/>
      <c r="R870" s="203"/>
      <c r="S870" s="203"/>
      <c r="T870" s="203"/>
      <c r="U870" s="203"/>
      <c r="V870" s="204"/>
      <c r="W870" s="204"/>
      <c r="X870" s="204"/>
      <c r="Y870" s="204"/>
      <c r="Z870" s="204"/>
      <c r="AA870" s="204"/>
      <c r="AB870" s="204"/>
      <c r="AC870" s="204"/>
      <c r="AD870" s="204"/>
      <c r="AE870" s="204"/>
      <c r="AF870" s="204"/>
      <c r="AG870" s="204"/>
    </row>
    <row r="871" spans="1:34" ht="15.95" customHeight="1">
      <c r="A871" s="317"/>
      <c r="B871" s="333"/>
      <c r="C871" s="328"/>
      <c r="D871" s="203"/>
      <c r="E871" s="203"/>
      <c r="F871" s="202"/>
      <c r="G871" s="203"/>
      <c r="H871" s="202"/>
      <c r="I871" s="202"/>
      <c r="J871" s="203"/>
      <c r="K871" s="203"/>
      <c r="L871" s="291"/>
      <c r="M871" s="202"/>
      <c r="N871" s="45" t="str">
        <f t="shared" si="85"/>
        <v>FY2010-11</v>
      </c>
      <c r="O871" s="45"/>
      <c r="P871" s="45"/>
      <c r="Q871" s="45"/>
      <c r="R871" s="203"/>
      <c r="S871" s="203"/>
      <c r="T871" s="203"/>
      <c r="U871" s="203"/>
      <c r="V871" s="204"/>
      <c r="W871" s="204"/>
      <c r="X871" s="204"/>
      <c r="Y871" s="204"/>
      <c r="Z871" s="204"/>
      <c r="AA871" s="204"/>
      <c r="AB871" s="204"/>
      <c r="AC871" s="204"/>
      <c r="AD871" s="204"/>
      <c r="AE871" s="204"/>
      <c r="AF871" s="204"/>
      <c r="AG871" s="204"/>
    </row>
    <row r="872" spans="1:34" ht="15.95" customHeight="1">
      <c r="A872" s="329"/>
      <c r="B872" s="328"/>
      <c r="C872" s="328"/>
      <c r="D872" s="330"/>
      <c r="E872" s="330"/>
      <c r="F872" s="331"/>
      <c r="G872" s="330"/>
      <c r="H872" s="331"/>
      <c r="I872" s="331"/>
      <c r="J872" s="330"/>
      <c r="K872" s="330"/>
      <c r="L872" s="332"/>
      <c r="M872" s="331"/>
      <c r="N872" s="331"/>
      <c r="O872" s="330"/>
      <c r="P872" s="331"/>
      <c r="Q872" s="331"/>
      <c r="R872" s="330"/>
      <c r="S872" s="330"/>
      <c r="T872" s="330"/>
      <c r="U872" s="330"/>
      <c r="V872" s="329"/>
      <c r="W872" s="329"/>
      <c r="X872" s="329"/>
      <c r="Y872" s="329"/>
      <c r="Z872" s="329"/>
      <c r="AA872" s="329"/>
      <c r="AB872" s="329"/>
      <c r="AC872" s="329"/>
      <c r="AD872" s="329"/>
      <c r="AE872" s="329"/>
      <c r="AF872" s="329"/>
      <c r="AG872" s="329"/>
    </row>
  </sheetData>
  <mergeCells count="6">
    <mergeCell ref="P1:Q1"/>
    <mergeCell ref="B18:B21"/>
    <mergeCell ref="I8:L8"/>
    <mergeCell ref="I9:L9"/>
    <mergeCell ref="I10:L10"/>
    <mergeCell ref="I1:L4"/>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H982"/>
  <sheetViews>
    <sheetView workbookViewId="0"/>
  </sheetViews>
  <sheetFormatPr defaultColWidth="8.83203125" defaultRowHeight="11.25"/>
  <cols>
    <col min="1" max="1" width="4.83203125" customWidth="1"/>
    <col min="2" max="2" width="43" customWidth="1"/>
    <col min="3" max="3" width="1.6640625" customWidth="1"/>
    <col min="4" max="4" width="11.1640625" customWidth="1"/>
    <col min="5" max="5" width="18.1640625" customWidth="1"/>
    <col min="6" max="6" width="19.1640625" customWidth="1"/>
    <col min="7" max="7" width="23" customWidth="1"/>
    <col min="8" max="8" width="9.6640625" customWidth="1"/>
    <col min="9" max="9" width="17.5" customWidth="1"/>
    <col min="10" max="10" width="19" customWidth="1"/>
    <col min="11" max="11" width="10.83203125" customWidth="1"/>
    <col min="12" max="12" width="17.5" customWidth="1"/>
    <col min="13" max="13" width="12.5" customWidth="1"/>
    <col min="14" max="14" width="19.33203125" bestFit="1" customWidth="1"/>
    <col min="15" max="15" width="18.5" customWidth="1"/>
    <col min="16" max="16" width="14.6640625" customWidth="1"/>
    <col min="17" max="17" width="10.83203125" customWidth="1"/>
    <col min="18" max="18" width="21.33203125" customWidth="1"/>
    <col min="19" max="19" width="25.5" style="875" customWidth="1"/>
    <col min="20" max="22" width="10.83203125" customWidth="1"/>
    <col min="23" max="23" width="12.6640625" customWidth="1"/>
    <col min="24" max="33" width="10.83203125" customWidth="1"/>
    <col min="35" max="35" width="14.6640625" customWidth="1"/>
  </cols>
  <sheetData>
    <row r="1" spans="1:34" s="3" customFormat="1" ht="15.95" customHeight="1" thickTop="1">
      <c r="A1" s="977"/>
      <c r="B1" s="978" t="s">
        <v>5</v>
      </c>
      <c r="C1" s="978"/>
      <c r="D1" s="978"/>
      <c r="E1" s="979" t="s">
        <v>247</v>
      </c>
      <c r="F1" s="978"/>
      <c r="G1" s="980"/>
      <c r="H1" s="981" t="s">
        <v>3</v>
      </c>
      <c r="I1" s="1885"/>
      <c r="J1" s="1886"/>
      <c r="K1" s="1886"/>
      <c r="L1" s="1887"/>
      <c r="M1" s="982" t="str">
        <f>B153</f>
        <v>FA1 = Fulton County District</v>
      </c>
      <c r="N1" s="980"/>
      <c r="O1" s="981" t="s">
        <v>3</v>
      </c>
      <c r="P1" s="1891" t="str">
        <f>IF(B293="FA2 = FA2 FA2L2","",B293)</f>
        <v>FA2 = Atlanta Public Schools</v>
      </c>
      <c r="Q1" s="1892"/>
      <c r="R1" s="978"/>
      <c r="S1" s="981" t="s">
        <v>3</v>
      </c>
      <c r="T1" s="982" t="str">
        <f>IF(B433="FA3 = FA3 FA3L2","",B433)</f>
        <v>FA3 = FA3L1 FA3L2</v>
      </c>
      <c r="U1" s="978"/>
      <c r="V1" s="978"/>
      <c r="W1" s="978"/>
      <c r="X1" s="981" t="s">
        <v>3</v>
      </c>
      <c r="Y1" s="982" t="str">
        <f>IF(B573="FA4 = FA4 FA4L2","",B573)</f>
        <v>FA4 = FA4L1 FA4L2</v>
      </c>
      <c r="Z1" s="978"/>
      <c r="AA1" s="978"/>
      <c r="AB1" s="981" t="s">
        <v>3</v>
      </c>
      <c r="AC1" s="982" t="str">
        <f>IF(B713="FA5 = FA5 FA5L2","",B713)</f>
        <v>FA5 = FA5L1 FA5L2</v>
      </c>
      <c r="AD1" s="978"/>
      <c r="AE1" s="978"/>
      <c r="AF1" s="980" t="s">
        <v>3</v>
      </c>
      <c r="AG1" s="983"/>
    </row>
    <row r="2" spans="1:34" s="3" customFormat="1" ht="15.95" customHeight="1">
      <c r="A2" s="984"/>
      <c r="B2" s="889" t="s">
        <v>409</v>
      </c>
      <c r="C2" s="889"/>
      <c r="D2" s="889"/>
      <c r="E2" s="973"/>
      <c r="F2" s="890">
        <f>B866</f>
        <v>18208778769.749996</v>
      </c>
      <c r="G2" s="985"/>
      <c r="H2" s="986"/>
      <c r="I2" s="1888"/>
      <c r="J2" s="1889"/>
      <c r="K2" s="1889"/>
      <c r="L2" s="1890"/>
      <c r="M2" s="987"/>
      <c r="N2" s="985"/>
      <c r="O2" s="986"/>
      <c r="P2" s="988"/>
      <c r="Q2" s="966"/>
      <c r="R2" s="889"/>
      <c r="S2" s="986"/>
      <c r="T2" s="987"/>
      <c r="U2" s="889"/>
      <c r="V2" s="889"/>
      <c r="W2" s="889"/>
      <c r="X2" s="986"/>
      <c r="Y2" s="987"/>
      <c r="Z2" s="889"/>
      <c r="AA2" s="889"/>
      <c r="AB2" s="986"/>
      <c r="AC2" s="987"/>
      <c r="AD2" s="889"/>
      <c r="AE2" s="889"/>
      <c r="AF2" s="985"/>
      <c r="AG2" s="989"/>
    </row>
    <row r="3" spans="1:34" s="3" customFormat="1" ht="15.95" customHeight="1">
      <c r="A3" s="984"/>
      <c r="B3" s="889" t="s">
        <v>410</v>
      </c>
      <c r="C3" s="889"/>
      <c r="D3" s="889"/>
      <c r="E3" s="973"/>
      <c r="F3" s="890">
        <f>B856</f>
        <v>0</v>
      </c>
      <c r="G3" s="985"/>
      <c r="H3" s="986"/>
      <c r="I3" s="1888"/>
      <c r="J3" s="1889"/>
      <c r="K3" s="1889"/>
      <c r="L3" s="1890"/>
      <c r="M3" s="987"/>
      <c r="N3" s="985"/>
      <c r="O3" s="986"/>
      <c r="P3" s="988"/>
      <c r="Q3" s="966"/>
      <c r="R3" s="889"/>
      <c r="S3" s="986"/>
      <c r="T3" s="987"/>
      <c r="U3" s="889"/>
      <c r="V3" s="889"/>
      <c r="W3" s="889"/>
      <c r="X3" s="986"/>
      <c r="Y3" s="987"/>
      <c r="Z3" s="889"/>
      <c r="AA3" s="889"/>
      <c r="AB3" s="986"/>
      <c r="AC3" s="987"/>
      <c r="AD3" s="889"/>
      <c r="AE3" s="889"/>
      <c r="AF3" s="985"/>
      <c r="AG3" s="989"/>
    </row>
    <row r="4" spans="1:34" s="3" customFormat="1" ht="15.95" customHeight="1" thickBot="1">
      <c r="A4" s="984"/>
      <c r="B4" s="889" t="s">
        <v>411</v>
      </c>
      <c r="C4" s="889"/>
      <c r="D4" s="889"/>
      <c r="E4" s="973"/>
      <c r="F4" s="890">
        <f>F2-F3</f>
        <v>18208778769.749996</v>
      </c>
      <c r="G4" s="985"/>
      <c r="H4" s="986"/>
      <c r="I4" s="1888"/>
      <c r="J4" s="1889"/>
      <c r="K4" s="1889"/>
      <c r="L4" s="1890"/>
      <c r="M4" s="987"/>
      <c r="N4" s="985"/>
      <c r="O4" s="986"/>
      <c r="P4" s="988"/>
      <c r="Q4" s="966"/>
      <c r="R4" s="889"/>
      <c r="S4" s="986"/>
      <c r="T4" s="987"/>
      <c r="U4" s="889"/>
      <c r="V4" s="889"/>
      <c r="W4" s="889"/>
      <c r="X4" s="986"/>
      <c r="Y4" s="987"/>
      <c r="Z4" s="889"/>
      <c r="AA4" s="889"/>
      <c r="AB4" s="986"/>
      <c r="AC4" s="987"/>
      <c r="AD4" s="889"/>
      <c r="AE4" s="889"/>
      <c r="AF4" s="985"/>
      <c r="AG4" s="989"/>
    </row>
    <row r="5" spans="1:34" s="3" customFormat="1" ht="15.95" customHeight="1" thickTop="1">
      <c r="A5" s="977"/>
      <c r="B5" s="978" t="s">
        <v>199</v>
      </c>
      <c r="C5" s="978"/>
      <c r="D5" s="978"/>
      <c r="E5" s="990"/>
      <c r="F5" s="991">
        <f>'$REV-DB'!$BE$23</f>
        <v>18014559637.749996</v>
      </c>
      <c r="G5" s="992"/>
      <c r="H5" s="993"/>
      <c r="I5" s="994"/>
      <c r="J5" s="995"/>
      <c r="K5" s="995"/>
      <c r="L5" s="996"/>
      <c r="M5" s="997"/>
      <c r="N5" s="991">
        <f>'$REV-DB'!BE9</f>
        <v>1103446703.78</v>
      </c>
      <c r="O5" s="993"/>
      <c r="P5" s="998"/>
      <c r="Q5" s="999"/>
      <c r="R5" s="991">
        <f>'$REV-DB'!BE11</f>
        <v>849143389.51999998</v>
      </c>
      <c r="S5" s="1000"/>
      <c r="T5" s="998"/>
      <c r="U5" s="999"/>
      <c r="V5" s="1001"/>
      <c r="W5" s="991">
        <f>'$REV-DB'!BE13</f>
        <v>0</v>
      </c>
      <c r="X5" s="1000"/>
      <c r="Y5" s="1002"/>
      <c r="Z5" s="1003"/>
      <c r="AA5" s="991">
        <f>'$REV-DB'!BE15</f>
        <v>0</v>
      </c>
      <c r="AB5" s="1000"/>
      <c r="AC5" s="1002"/>
      <c r="AD5" s="1003"/>
      <c r="AE5" s="991">
        <f>'$REV-DB'!BE17</f>
        <v>0</v>
      </c>
      <c r="AF5" s="1001"/>
      <c r="AG5" s="1004"/>
    </row>
    <row r="6" spans="1:34" s="3" customFormat="1" ht="15.95" customHeight="1">
      <c r="A6" s="984"/>
      <c r="B6" s="889" t="s">
        <v>68</v>
      </c>
      <c r="C6" s="889"/>
      <c r="D6" s="889"/>
      <c r="E6" s="973" t="str">
        <f>IF(AND(H6&gt;-0.005,H6&lt;0.005),"","ERROR!")</f>
        <v/>
      </c>
      <c r="F6" s="890">
        <f>B16</f>
        <v>18014559637.749996</v>
      </c>
      <c r="G6" s="1005"/>
      <c r="H6" s="1006">
        <f>F5-F6</f>
        <v>0</v>
      </c>
      <c r="I6" s="1007" t="s">
        <v>349</v>
      </c>
      <c r="J6" s="1034" t="str">
        <f>'FIG3'!W50</f>
        <v>FY2010-11</v>
      </c>
      <c r="K6" s="1008"/>
      <c r="L6" s="1009"/>
      <c r="M6" s="1010" t="str">
        <f>IF(AND(O6&gt;-0.005,O6&lt;0.005),"","ERROR!")</f>
        <v/>
      </c>
      <c r="N6" s="890">
        <f>B156</f>
        <v>1103446703.78</v>
      </c>
      <c r="O6" s="1006">
        <f>N5-N6</f>
        <v>0</v>
      </c>
      <c r="P6" s="1010" t="str">
        <f>IF(AND(S6&gt;-0.005,S6&lt;0.005),"","ERROR!")</f>
        <v/>
      </c>
      <c r="Q6" s="1011"/>
      <c r="R6" s="890">
        <f>B296</f>
        <v>849143389.51999998</v>
      </c>
      <c r="S6" s="1006">
        <f>R5-R6</f>
        <v>0</v>
      </c>
      <c r="T6" s="1012"/>
      <c r="U6" s="893" t="str">
        <f>IF(AND(X6&gt;-0.005,X6&lt;0.005),"","ERROR!")</f>
        <v/>
      </c>
      <c r="V6" s="1013" t="str">
        <f>IF(X6=0,"","ERROR!")</f>
        <v/>
      </c>
      <c r="W6" s="890">
        <f>B436</f>
        <v>0</v>
      </c>
      <c r="X6" s="1006">
        <f>W5-W6</f>
        <v>0</v>
      </c>
      <c r="Y6" s="1010" t="str">
        <f>IF(AND(AB6&gt;-0.005,AB6&lt;0.005),"","ERROR!")</f>
        <v/>
      </c>
      <c r="Z6" s="1014"/>
      <c r="AA6" s="890">
        <f>B576</f>
        <v>0</v>
      </c>
      <c r="AB6" s="1006">
        <f>AA5-AA6</f>
        <v>0</v>
      </c>
      <c r="AC6" s="1010" t="str">
        <f>IF(AND(AF6&gt;-0.005,AF6&lt;0.005),"","ERROR!")</f>
        <v/>
      </c>
      <c r="AD6" s="1014"/>
      <c r="AE6" s="890">
        <f>B716</f>
        <v>0</v>
      </c>
      <c r="AF6" s="1013">
        <f>AE5-AE6</f>
        <v>0</v>
      </c>
      <c r="AG6" s="1015"/>
    </row>
    <row r="7" spans="1:34" s="3" customFormat="1" ht="15.95" customHeight="1" thickBot="1">
      <c r="A7" s="1016"/>
      <c r="B7" s="1017" t="s">
        <v>365</v>
      </c>
      <c r="C7" s="1017"/>
      <c r="D7" s="1017"/>
      <c r="E7" s="1018" t="str">
        <f>IF(AND(H7&gt;-0.005,H7&lt;0.005),"","ERROR!")</f>
        <v/>
      </c>
      <c r="F7" s="1019">
        <f>B26+B36+B46+B56+B66+B76</f>
        <v>18014559637.749996</v>
      </c>
      <c r="G7" s="1020"/>
      <c r="H7" s="1021">
        <f>F6-F7</f>
        <v>0</v>
      </c>
      <c r="I7" s="1022"/>
      <c r="J7" s="1023"/>
      <c r="K7" s="1023"/>
      <c r="L7" s="1024"/>
      <c r="M7" s="1025" t="str">
        <f>IF(AND(O7&gt;-0.005,O7&lt;0.005),"","ERROR!")</f>
        <v/>
      </c>
      <c r="N7" s="1019">
        <f>B166+B176+B186+B196+B216</f>
        <v>1103446703.78</v>
      </c>
      <c r="O7" s="1021">
        <f>N6-N7</f>
        <v>0</v>
      </c>
      <c r="P7" s="1025" t="str">
        <f>IF(AND(S7&gt;-0.005,S7&lt;0.005),"","ERROR!")</f>
        <v/>
      </c>
      <c r="Q7" s="1026"/>
      <c r="R7" s="1019">
        <f>B306+B316+B326+B336+B356</f>
        <v>849143389.51999998</v>
      </c>
      <c r="S7" s="1021">
        <f>R6-R7</f>
        <v>0</v>
      </c>
      <c r="T7" s="1027"/>
      <c r="U7" s="1028" t="str">
        <f>IF(AND(X7&gt;-0.005,X7&lt;0.005),"","ERROR!")</f>
        <v/>
      </c>
      <c r="V7" s="1029" t="str">
        <f>IF(X7=0,"","ERROR!")</f>
        <v/>
      </c>
      <c r="W7" s="1019">
        <f>B446+B456+B466+B476+B496</f>
        <v>0</v>
      </c>
      <c r="X7" s="1021">
        <f>W6-W7</f>
        <v>0</v>
      </c>
      <c r="Y7" s="1025" t="str">
        <f>IF(AND(AB7&gt;-0.005,AB7&lt;0.005),"","ERROR!")</f>
        <v/>
      </c>
      <c r="Z7" s="1030"/>
      <c r="AA7" s="1019">
        <f>B586+B596+B606+B616+B636</f>
        <v>0</v>
      </c>
      <c r="AB7" s="1021">
        <f>AA6-AA7</f>
        <v>0</v>
      </c>
      <c r="AC7" s="1025" t="str">
        <f>IF(AND(AF7&gt;-0.005,AF7&lt;0.005),"","ERROR!")</f>
        <v/>
      </c>
      <c r="AD7" s="1030"/>
      <c r="AE7" s="1019">
        <f>B726+B736+B746+B756+B776</f>
        <v>0</v>
      </c>
      <c r="AF7" s="1029">
        <f>AE6-AE7</f>
        <v>0</v>
      </c>
      <c r="AG7" s="1031"/>
    </row>
    <row r="8" spans="1:34" s="3" customFormat="1" ht="15.95" customHeight="1" thickTop="1">
      <c r="A8" s="984"/>
      <c r="B8" s="889" t="s">
        <v>198</v>
      </c>
      <c r="C8" s="889"/>
      <c r="D8" s="889"/>
      <c r="E8" s="973"/>
      <c r="F8" s="890">
        <f>'$REV-DB'!$BE$24</f>
        <v>194219132</v>
      </c>
      <c r="G8" s="1005"/>
      <c r="H8" s="1006"/>
      <c r="I8" s="1893" t="s">
        <v>350</v>
      </c>
      <c r="J8" s="1894"/>
      <c r="K8" s="1894"/>
      <c r="L8" s="1895"/>
      <c r="M8" s="1010"/>
      <c r="N8" s="890">
        <f>'$REV-DB'!BE10</f>
        <v>33142729</v>
      </c>
      <c r="O8" s="1006"/>
      <c r="P8" s="1012"/>
      <c r="Q8" s="885"/>
      <c r="R8" s="890">
        <f>'$REV-DB'!BE12</f>
        <v>56530342</v>
      </c>
      <c r="S8" s="1006"/>
      <c r="T8" s="1012"/>
      <c r="U8" s="885"/>
      <c r="V8" s="1013"/>
      <c r="W8" s="890">
        <f>'$REV-DB'!BE14</f>
        <v>0</v>
      </c>
      <c r="X8" s="1006"/>
      <c r="Y8" s="1032"/>
      <c r="Z8" s="1033"/>
      <c r="AA8" s="890">
        <f>'$REV-DB'!BE16</f>
        <v>0</v>
      </c>
      <c r="AB8" s="1006"/>
      <c r="AC8" s="1032"/>
      <c r="AD8" s="1033"/>
      <c r="AE8" s="890">
        <f>'$REV-DB'!BE18</f>
        <v>0</v>
      </c>
      <c r="AF8" s="1013"/>
      <c r="AG8" s="1015"/>
    </row>
    <row r="9" spans="1:34" s="3" customFormat="1" ht="15.95" customHeight="1">
      <c r="A9" s="984"/>
      <c r="B9" s="889" t="s">
        <v>69</v>
      </c>
      <c r="C9" s="889"/>
      <c r="D9" s="889"/>
      <c r="E9" s="973" t="str">
        <f>IF(AND(H9&gt;-0.005,H9&lt;0.005),"","ERROR!")</f>
        <v/>
      </c>
      <c r="F9" s="890">
        <f>B86</f>
        <v>194219132.00000003</v>
      </c>
      <c r="G9" s="1005"/>
      <c r="H9" s="1006">
        <f>F8-F9</f>
        <v>0</v>
      </c>
      <c r="I9" s="1893" t="s">
        <v>372</v>
      </c>
      <c r="J9" s="1894"/>
      <c r="K9" s="1894"/>
      <c r="L9" s="1895"/>
      <c r="M9" s="1010" t="str">
        <f>IF(AND(O9&gt;-0.005,O9&lt;0.005),"","ERROR!")</f>
        <v/>
      </c>
      <c r="N9" s="890">
        <f>B226</f>
        <v>33142729</v>
      </c>
      <c r="O9" s="1006">
        <f>N8-N9</f>
        <v>0</v>
      </c>
      <c r="P9" s="1010" t="str">
        <f>IF(AND(S9&gt;-0.005,S9&lt;0.005),"","ERROR!")</f>
        <v/>
      </c>
      <c r="Q9" s="1011"/>
      <c r="R9" s="890">
        <f>B366</f>
        <v>56530342</v>
      </c>
      <c r="S9" s="1006">
        <f>R8-R9</f>
        <v>0</v>
      </c>
      <c r="T9" s="1012"/>
      <c r="U9" s="893" t="str">
        <f>IF(AND(X9&gt;-0.005,X9&lt;0.005),"","ERROR!")</f>
        <v/>
      </c>
      <c r="V9" s="1013" t="str">
        <f>IF(X9=0,"","ERROR!")</f>
        <v/>
      </c>
      <c r="W9" s="890">
        <f>B506</f>
        <v>0</v>
      </c>
      <c r="X9" s="1006">
        <f>W8-W9</f>
        <v>0</v>
      </c>
      <c r="Y9" s="1010" t="str">
        <f>IF(AND(AB9&gt;-0.005,AB9&lt;0.005),"","ERROR!")</f>
        <v/>
      </c>
      <c r="Z9" s="1014"/>
      <c r="AA9" s="890">
        <f>B646</f>
        <v>0</v>
      </c>
      <c r="AB9" s="1006">
        <f>AA8-AA9</f>
        <v>0</v>
      </c>
      <c r="AC9" s="1010" t="str">
        <f>IF(AND(AF9&gt;-0.005,AF9&lt;0.005),"","ERROR!")</f>
        <v/>
      </c>
      <c r="AD9" s="1014"/>
      <c r="AE9" s="890">
        <f>B786</f>
        <v>0</v>
      </c>
      <c r="AF9" s="1013">
        <f>AE8-AE9</f>
        <v>0</v>
      </c>
      <c r="AG9" s="1015"/>
    </row>
    <row r="10" spans="1:34" s="3" customFormat="1" ht="15.95" customHeight="1" thickBot="1">
      <c r="A10" s="984"/>
      <c r="B10" s="889" t="s">
        <v>195</v>
      </c>
      <c r="C10" s="889"/>
      <c r="D10" s="889"/>
      <c r="E10" s="973" t="str">
        <f>IF(AND(H10&gt;-0.005,H10&lt;0.005),"","ERROR!")</f>
        <v/>
      </c>
      <c r="F10" s="890">
        <f>B96+B106+B116+B126+B136+B146</f>
        <v>194219132</v>
      </c>
      <c r="G10" s="1005"/>
      <c r="H10" s="1006">
        <f>F8-F10</f>
        <v>0</v>
      </c>
      <c r="I10" s="1893" t="s">
        <v>351</v>
      </c>
      <c r="J10" s="1894"/>
      <c r="K10" s="1894"/>
      <c r="L10" s="1895"/>
      <c r="M10" s="1010" t="str">
        <f>IF(AND(O10&gt;-0.005,O10&lt;0.005),"","ERROR!")</f>
        <v>ERROR!</v>
      </c>
      <c r="N10" s="890">
        <f>B236+B246+B256+B266+B286</f>
        <v>32878925</v>
      </c>
      <c r="O10" s="1006">
        <f>N8-N10</f>
        <v>263804</v>
      </c>
      <c r="P10" s="1010" t="str">
        <f>IF(AND(S10&gt;-0.005,S10&lt;0.005),"","ERROR!")</f>
        <v>ERROR!</v>
      </c>
      <c r="Q10" s="1011"/>
      <c r="R10" s="890">
        <f>B376+B386+B396+B406+B426</f>
        <v>55187687</v>
      </c>
      <c r="S10" s="1006">
        <f>R8-R10</f>
        <v>1342655</v>
      </c>
      <c r="T10" s="1012"/>
      <c r="U10" s="893" t="str">
        <f>IF(AND(X10&gt;-0.005,X10&lt;0.005),"","ERROR!")</f>
        <v/>
      </c>
      <c r="V10" s="1013" t="str">
        <f>IF(X10=0,"","ERROR!")</f>
        <v/>
      </c>
      <c r="W10" s="890">
        <f>B516+B526+B536+B546+B566</f>
        <v>0</v>
      </c>
      <c r="X10" s="1006">
        <f>W5-W10</f>
        <v>0</v>
      </c>
      <c r="Y10" s="1010" t="str">
        <f>IF(AND(AB10&gt;-0.005,AB10&lt;0.005),"","ERROR!")</f>
        <v/>
      </c>
      <c r="Z10" s="1014"/>
      <c r="AA10" s="890">
        <f>B656+B666+B676+B686+B706</f>
        <v>0</v>
      </c>
      <c r="AB10" s="1006">
        <f>AA5-AA10</f>
        <v>0</v>
      </c>
      <c r="AC10" s="1010" t="str">
        <f>IF(AND(AF10&gt;-0.005,AF10&lt;0.005),"","ERROR!")</f>
        <v/>
      </c>
      <c r="AD10" s="1014"/>
      <c r="AE10" s="890">
        <f>B796+B806+B816+B826+B846</f>
        <v>0</v>
      </c>
      <c r="AF10" s="1013">
        <f>AE5-AE10</f>
        <v>0</v>
      </c>
      <c r="AG10" s="1015"/>
    </row>
    <row r="11" spans="1:34" s="3" customFormat="1" ht="15.95" customHeight="1" thickTop="1">
      <c r="A11" s="1902" t="s">
        <v>609</v>
      </c>
      <c r="B11" s="1903"/>
      <c r="C11" s="1903"/>
      <c r="D11" s="1903"/>
      <c r="E11" s="1903"/>
      <c r="F11" s="1903"/>
      <c r="G11" s="1903"/>
      <c r="H11" s="1904"/>
      <c r="I11" s="1896" t="s">
        <v>671</v>
      </c>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8"/>
    </row>
    <row r="12" spans="1:34" s="3" customFormat="1" ht="15.95" customHeight="1" thickBot="1">
      <c r="A12" s="1905"/>
      <c r="B12" s="1906"/>
      <c r="C12" s="1906"/>
      <c r="D12" s="1906"/>
      <c r="E12" s="1906"/>
      <c r="F12" s="1906"/>
      <c r="G12" s="1906"/>
      <c r="H12" s="1907"/>
      <c r="I12" s="1899"/>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0"/>
      <c r="AF12" s="1900"/>
      <c r="AG12" s="1901"/>
    </row>
    <row r="13" spans="1:34" s="3" customFormat="1" ht="15.95" customHeight="1" thickTop="1" thickBot="1">
      <c r="A13" s="7"/>
      <c r="B13" s="19" t="s">
        <v>0</v>
      </c>
      <c r="C13" s="7"/>
      <c r="D13" s="17"/>
      <c r="E13" s="17"/>
      <c r="F13" s="18"/>
      <c r="G13" s="17"/>
      <c r="H13" s="18"/>
      <c r="I13" s="18"/>
      <c r="J13" s="17"/>
      <c r="K13" s="17"/>
      <c r="L13" s="17"/>
      <c r="M13" s="18"/>
      <c r="N13" s="9"/>
      <c r="O13" s="17"/>
      <c r="P13" s="18"/>
      <c r="Q13" s="18"/>
      <c r="R13" s="17"/>
      <c r="S13" s="866"/>
      <c r="T13" s="867" t="str">
        <f>'$REV-DB'!$T$34</f>
        <v>UD1</v>
      </c>
      <c r="U13" s="867" t="str">
        <f>'$REV-DB'!$U$34</f>
        <v>UD2</v>
      </c>
      <c r="V13" s="867" t="str">
        <f>'$REV-DB'!$V$34</f>
        <v>UD3</v>
      </c>
      <c r="W13" s="867" t="str">
        <f>'$REV-DB'!$W$34</f>
        <v>UD4</v>
      </c>
      <c r="X13" s="867" t="str">
        <f>'$REV-DB'!$X$34</f>
        <v>UD5</v>
      </c>
      <c r="Y13" s="867" t="str">
        <f>'$REV-DB'!$Y$34</f>
        <v>UD6</v>
      </c>
      <c r="Z13" s="867" t="str">
        <f>'$REV-DB'!$Z$34</f>
        <v>UD7</v>
      </c>
      <c r="AA13" s="867" t="str">
        <f>'$REV-DB'!$AA$34</f>
        <v>UD8</v>
      </c>
      <c r="AB13" s="867" t="str">
        <f>'$REV-DB'!$AB$34</f>
        <v>UD9</v>
      </c>
      <c r="AC13" s="867" t="str">
        <f>'$REV-DB'!$AC$34</f>
        <v>UD10</v>
      </c>
      <c r="AD13" s="867" t="str">
        <f>'$REV-DB'!$AD$34</f>
        <v>UD11</v>
      </c>
      <c r="AE13" s="867" t="str">
        <f>'$REV-DB'!$AE$34</f>
        <v>UD12</v>
      </c>
      <c r="AF13" s="867" t="str">
        <f>'$REV-DB'!$AF$34</f>
        <v>UD13</v>
      </c>
      <c r="AG13" s="867" t="str">
        <f>'$REV-DB'!$AG$34</f>
        <v>UD14</v>
      </c>
    </row>
    <row r="14" spans="1:34" s="3" customFormat="1" ht="15.95" customHeight="1" thickTop="1" thickBot="1">
      <c r="A14" s="7"/>
      <c r="B14" s="20" t="s">
        <v>4</v>
      </c>
      <c r="C14" s="15"/>
      <c r="D14" s="861" t="s">
        <v>186</v>
      </c>
      <c r="E14" s="861" t="s">
        <v>187</v>
      </c>
      <c r="F14" s="861" t="s">
        <v>188</v>
      </c>
      <c r="G14" s="861" t="s">
        <v>189</v>
      </c>
      <c r="H14" s="861" t="s">
        <v>11</v>
      </c>
      <c r="I14" s="861" t="s">
        <v>190</v>
      </c>
      <c r="J14" s="861" t="s">
        <v>191</v>
      </c>
      <c r="K14" s="861" t="s">
        <v>192</v>
      </c>
      <c r="L14" s="861" t="s">
        <v>203</v>
      </c>
      <c r="M14" s="861" t="s">
        <v>42</v>
      </c>
      <c r="N14" s="861" t="s">
        <v>148</v>
      </c>
      <c r="O14" s="861" t="s">
        <v>193</v>
      </c>
      <c r="P14" s="861" t="s">
        <v>142</v>
      </c>
      <c r="Q14" s="861" t="s">
        <v>194</v>
      </c>
      <c r="R14" s="112" t="s">
        <v>141</v>
      </c>
      <c r="S14" s="112" t="s">
        <v>672</v>
      </c>
      <c r="T14" s="861" t="s">
        <v>541</v>
      </c>
      <c r="U14" s="861" t="s">
        <v>542</v>
      </c>
      <c r="V14" s="861" t="s">
        <v>543</v>
      </c>
      <c r="W14" s="861" t="s">
        <v>544</v>
      </c>
      <c r="X14" s="861" t="s">
        <v>545</v>
      </c>
      <c r="Y14" s="861" t="s">
        <v>546</v>
      </c>
      <c r="Z14" s="861" t="s">
        <v>547</v>
      </c>
      <c r="AA14" s="861" t="s">
        <v>548</v>
      </c>
      <c r="AB14" s="861" t="s">
        <v>549</v>
      </c>
      <c r="AC14" s="861" t="s">
        <v>550</v>
      </c>
      <c r="AD14" s="861" t="s">
        <v>551</v>
      </c>
      <c r="AE14" s="861" t="s">
        <v>552</v>
      </c>
      <c r="AF14" s="861" t="s">
        <v>553</v>
      </c>
      <c r="AG14" s="861" t="s">
        <v>554</v>
      </c>
      <c r="AH14" s="6"/>
    </row>
    <row r="15" spans="1:34" s="3" customFormat="1" ht="15.95" customHeight="1" thickTop="1">
      <c r="A15" s="7"/>
      <c r="B15" s="19" t="s">
        <v>146</v>
      </c>
      <c r="C15" s="12"/>
      <c r="D15" s="186"/>
      <c r="E15" s="186"/>
      <c r="F15" s="186"/>
      <c r="G15" s="186"/>
      <c r="H15" s="186"/>
      <c r="I15" s="186"/>
      <c r="J15" s="186"/>
      <c r="K15" s="186"/>
      <c r="L15" s="278" t="s">
        <v>34</v>
      </c>
      <c r="M15" s="186"/>
      <c r="N15" s="37" t="str">
        <f>J$6</f>
        <v>FY2010-11</v>
      </c>
      <c r="O15" s="186"/>
      <c r="P15" s="37" t="s">
        <v>138</v>
      </c>
      <c r="Q15" s="186"/>
      <c r="R15" s="186"/>
      <c r="S15" s="186"/>
      <c r="T15" s="187"/>
      <c r="U15" s="187"/>
      <c r="V15" s="188"/>
      <c r="W15" s="188"/>
      <c r="X15" s="188"/>
      <c r="Y15" s="188"/>
      <c r="Z15" s="188"/>
      <c r="AA15" s="188"/>
      <c r="AB15" s="188"/>
      <c r="AC15" s="188"/>
      <c r="AD15" s="188"/>
      <c r="AE15" s="188"/>
      <c r="AF15" s="188"/>
      <c r="AG15" s="188"/>
      <c r="AH15" s="6"/>
    </row>
    <row r="16" spans="1:34" s="3" customFormat="1" ht="15.95" customHeight="1">
      <c r="A16" s="7"/>
      <c r="B16" s="16">
        <f>DSUM('$REV-DB'!D35:AG67,"AMOUNT",D14:AG16)</f>
        <v>18014559637.749996</v>
      </c>
      <c r="C16" s="12"/>
      <c r="D16" s="186"/>
      <c r="E16" s="186"/>
      <c r="F16" s="186"/>
      <c r="G16" s="186"/>
      <c r="H16" s="186"/>
      <c r="I16" s="186"/>
      <c r="J16" s="186"/>
      <c r="K16" s="186"/>
      <c r="L16" s="278" t="s">
        <v>34</v>
      </c>
      <c r="M16" s="186"/>
      <c r="N16" s="37" t="str">
        <f>J$6</f>
        <v>FY2010-11</v>
      </c>
      <c r="O16" s="186"/>
      <c r="P16" s="37" t="s">
        <v>147</v>
      </c>
      <c r="Q16" s="186"/>
      <c r="R16" s="186"/>
      <c r="S16" s="186" t="s">
        <v>103</v>
      </c>
      <c r="T16" s="187"/>
      <c r="U16" s="187"/>
      <c r="V16" s="188"/>
      <c r="W16" s="188"/>
      <c r="X16" s="188"/>
      <c r="Y16" s="188"/>
      <c r="Z16" s="188"/>
      <c r="AA16" s="188"/>
      <c r="AB16" s="188"/>
      <c r="AC16" s="188"/>
      <c r="AD16" s="188"/>
      <c r="AE16" s="188"/>
      <c r="AF16" s="188"/>
      <c r="AG16" s="188"/>
      <c r="AH16" s="6"/>
    </row>
    <row r="17" spans="1:34" s="3" customFormat="1" ht="15.95" customHeight="1">
      <c r="A17" s="7"/>
      <c r="B17" s="10"/>
      <c r="C17" s="12"/>
      <c r="D17" s="880"/>
      <c r="E17" s="880"/>
      <c r="F17" s="880"/>
      <c r="G17" s="880"/>
      <c r="H17" s="880"/>
      <c r="I17" s="880"/>
      <c r="J17" s="880"/>
      <c r="K17" s="880"/>
      <c r="L17" s="881"/>
      <c r="M17" s="880"/>
      <c r="N17" s="873"/>
      <c r="O17" s="880"/>
      <c r="P17" s="873"/>
      <c r="Q17" s="880"/>
      <c r="R17" s="880"/>
      <c r="S17" s="880"/>
      <c r="T17" s="882"/>
      <c r="U17" s="882"/>
      <c r="V17" s="883"/>
      <c r="W17" s="883"/>
      <c r="X17" s="883"/>
      <c r="Y17" s="883"/>
      <c r="Z17" s="883"/>
      <c r="AA17" s="883"/>
      <c r="AB17" s="883"/>
      <c r="AC17" s="883"/>
      <c r="AD17" s="883"/>
      <c r="AE17" s="883"/>
      <c r="AF17" s="883"/>
      <c r="AG17" s="883"/>
    </row>
    <row r="18" spans="1:34" s="3" customFormat="1" ht="15.95" customHeight="1">
      <c r="A18" s="7"/>
      <c r="B18" s="1872" t="s">
        <v>291</v>
      </c>
      <c r="C18" s="12"/>
      <c r="D18" s="880"/>
      <c r="E18" s="880"/>
      <c r="F18" s="880"/>
      <c r="G18" s="880"/>
      <c r="H18" s="880"/>
      <c r="I18" s="880"/>
      <c r="J18" s="880"/>
      <c r="K18" s="880"/>
      <c r="L18" s="881"/>
      <c r="M18" s="880"/>
      <c r="N18" s="873"/>
      <c r="O18" s="880"/>
      <c r="P18" s="873"/>
      <c r="Q18" s="880"/>
      <c r="R18" s="880"/>
      <c r="S18" s="880"/>
      <c r="T18" s="882"/>
      <c r="U18" s="882"/>
      <c r="V18" s="883"/>
      <c r="W18" s="883"/>
      <c r="X18" s="883"/>
      <c r="Y18" s="883"/>
      <c r="Z18" s="883"/>
      <c r="AA18" s="883"/>
      <c r="AB18" s="883"/>
      <c r="AC18" s="883"/>
      <c r="AD18" s="883"/>
      <c r="AE18" s="883"/>
      <c r="AF18" s="883"/>
      <c r="AG18" s="883"/>
    </row>
    <row r="19" spans="1:34" s="3" customFormat="1" ht="15.95" customHeight="1">
      <c r="A19" s="7"/>
      <c r="B19" s="1872"/>
      <c r="C19" s="12"/>
      <c r="D19" s="880"/>
      <c r="E19" s="880"/>
      <c r="F19" s="880"/>
      <c r="G19" s="880"/>
      <c r="H19" s="880"/>
      <c r="I19" s="880"/>
      <c r="J19" s="880"/>
      <c r="K19" s="880"/>
      <c r="L19" s="881"/>
      <c r="M19" s="880"/>
      <c r="N19" s="873"/>
      <c r="O19" s="880"/>
      <c r="P19" s="873"/>
      <c r="Q19" s="880"/>
      <c r="R19" s="880"/>
      <c r="S19" s="880"/>
      <c r="T19" s="882"/>
      <c r="U19" s="882"/>
      <c r="V19" s="883"/>
      <c r="W19" s="883"/>
      <c r="X19" s="883"/>
      <c r="Y19" s="883"/>
      <c r="Z19" s="883"/>
      <c r="AA19" s="883"/>
      <c r="AB19" s="883"/>
      <c r="AC19" s="883"/>
      <c r="AD19" s="883"/>
      <c r="AE19" s="883"/>
      <c r="AF19" s="883"/>
      <c r="AG19" s="883"/>
    </row>
    <row r="20" spans="1:34" s="3" customFormat="1" ht="15.95" customHeight="1">
      <c r="A20" s="7"/>
      <c r="B20" s="1872"/>
      <c r="C20" s="12"/>
      <c r="D20" s="880"/>
      <c r="E20" s="880"/>
      <c r="F20" s="880"/>
      <c r="G20" s="880"/>
      <c r="H20" s="880"/>
      <c r="I20" s="880"/>
      <c r="J20" s="880"/>
      <c r="K20" s="880"/>
      <c r="L20" s="881"/>
      <c r="M20" s="880"/>
      <c r="N20" s="873"/>
      <c r="O20" s="880"/>
      <c r="P20" s="873"/>
      <c r="Q20" s="880"/>
      <c r="R20" s="880"/>
      <c r="S20" s="880"/>
      <c r="T20" s="882"/>
      <c r="U20" s="882"/>
      <c r="V20" s="883"/>
      <c r="W20" s="883"/>
      <c r="X20" s="883"/>
      <c r="Y20" s="883"/>
      <c r="Z20" s="883"/>
      <c r="AA20" s="883"/>
      <c r="AB20" s="883"/>
      <c r="AC20" s="883"/>
      <c r="AD20" s="883"/>
      <c r="AE20" s="883"/>
      <c r="AF20" s="883"/>
      <c r="AG20" s="883"/>
    </row>
    <row r="21" spans="1:34" s="3" customFormat="1" ht="15.95" customHeight="1">
      <c r="A21" s="7"/>
      <c r="B21" s="1872"/>
      <c r="C21" s="12"/>
      <c r="D21" s="880"/>
      <c r="E21" s="880"/>
      <c r="F21" s="880"/>
      <c r="G21" s="880"/>
      <c r="H21" s="880"/>
      <c r="I21" s="880"/>
      <c r="J21" s="880"/>
      <c r="K21" s="880"/>
      <c r="L21" s="881"/>
      <c r="M21" s="880"/>
      <c r="N21" s="873"/>
      <c r="O21" s="880"/>
      <c r="P21" s="873"/>
      <c r="Q21" s="880"/>
      <c r="R21" s="880"/>
      <c r="S21" s="880"/>
      <c r="T21" s="882"/>
      <c r="U21" s="882"/>
      <c r="V21" s="883"/>
      <c r="W21" s="883"/>
      <c r="X21" s="883"/>
      <c r="Y21" s="883"/>
      <c r="Z21" s="883"/>
      <c r="AA21" s="883"/>
      <c r="AB21" s="883"/>
      <c r="AC21" s="883"/>
      <c r="AD21" s="883"/>
      <c r="AE21" s="883"/>
      <c r="AF21" s="883"/>
      <c r="AG21" s="883"/>
    </row>
    <row r="22" spans="1:34" s="3" customFormat="1" ht="15.95" customHeight="1">
      <c r="A22" s="11"/>
      <c r="B22" s="12"/>
      <c r="C22" s="12"/>
      <c r="D22" s="13"/>
      <c r="E22" s="13"/>
      <c r="F22" s="14"/>
      <c r="G22" s="13"/>
      <c r="H22" s="14"/>
      <c r="I22" s="14"/>
      <c r="J22" s="13"/>
      <c r="K22" s="13"/>
      <c r="L22" s="13"/>
      <c r="M22" s="14"/>
      <c r="N22" s="14"/>
      <c r="O22" s="13"/>
      <c r="P22" s="14"/>
      <c r="Q22" s="14"/>
      <c r="R22" s="13"/>
      <c r="S22" s="14"/>
      <c r="T22" s="13"/>
      <c r="U22" s="13"/>
      <c r="V22" s="11"/>
      <c r="W22" s="11"/>
      <c r="X22" s="11"/>
      <c r="Y22" s="11"/>
      <c r="Z22" s="11"/>
      <c r="AA22" s="11"/>
      <c r="AB22" s="11"/>
      <c r="AC22" s="11"/>
      <c r="AD22" s="11"/>
      <c r="AE22" s="11"/>
      <c r="AF22" s="11"/>
      <c r="AG22" s="11"/>
    </row>
    <row r="23" spans="1:34" s="3" customFormat="1" ht="15.95" customHeight="1" thickBot="1">
      <c r="A23" s="7"/>
      <c r="B23" s="19" t="s">
        <v>0</v>
      </c>
      <c r="C23" s="7"/>
      <c r="D23" s="8"/>
      <c r="E23" s="8"/>
      <c r="F23" s="9"/>
      <c r="G23" s="8"/>
      <c r="H23" s="9"/>
      <c r="I23" s="9"/>
      <c r="J23" s="8"/>
      <c r="K23" s="8"/>
      <c r="L23" s="8"/>
      <c r="M23" s="9"/>
      <c r="N23" s="9"/>
      <c r="O23" s="8"/>
      <c r="P23" s="9"/>
      <c r="Q23" s="9"/>
      <c r="R23" s="8"/>
      <c r="S23" s="866"/>
      <c r="T23" s="867" t="str">
        <f>'$REV-DB'!$T$34</f>
        <v>UD1</v>
      </c>
      <c r="U23" s="867" t="str">
        <f>'$REV-DB'!$U$34</f>
        <v>UD2</v>
      </c>
      <c r="V23" s="867" t="str">
        <f>'$REV-DB'!$V$34</f>
        <v>UD3</v>
      </c>
      <c r="W23" s="867" t="str">
        <f>'$REV-DB'!$W$34</f>
        <v>UD4</v>
      </c>
      <c r="X23" s="867" t="str">
        <f>'$REV-DB'!$X$34</f>
        <v>UD5</v>
      </c>
      <c r="Y23" s="867" t="str">
        <f>'$REV-DB'!$Y$34</f>
        <v>UD6</v>
      </c>
      <c r="Z23" s="867" t="str">
        <f>'$REV-DB'!$Z$34</f>
        <v>UD7</v>
      </c>
      <c r="AA23" s="867" t="str">
        <f>'$REV-DB'!$AA$34</f>
        <v>UD8</v>
      </c>
      <c r="AB23" s="867" t="str">
        <f>'$REV-DB'!$AB$34</f>
        <v>UD9</v>
      </c>
      <c r="AC23" s="867" t="str">
        <f>'$REV-DB'!$AC$34</f>
        <v>UD10</v>
      </c>
      <c r="AD23" s="867" t="str">
        <f>'$REV-DB'!$AD$34</f>
        <v>UD11</v>
      </c>
      <c r="AE23" s="867" t="str">
        <f>'$REV-DB'!$AE$34</f>
        <v>UD12</v>
      </c>
      <c r="AF23" s="867" t="str">
        <f>'$REV-DB'!$AF$34</f>
        <v>UD13</v>
      </c>
      <c r="AG23" s="867" t="str">
        <f>'$REV-DB'!$AG$34</f>
        <v>UD14</v>
      </c>
    </row>
    <row r="24" spans="1:34" s="3" customFormat="1" ht="15.95" customHeight="1" thickTop="1" thickBot="1">
      <c r="A24" s="7"/>
      <c r="B24" s="20" t="s">
        <v>4</v>
      </c>
      <c r="C24" s="15"/>
      <c r="D24" s="861" t="s">
        <v>186</v>
      </c>
      <c r="E24" s="861" t="s">
        <v>187</v>
      </c>
      <c r="F24" s="861" t="s">
        <v>188</v>
      </c>
      <c r="G24" s="861" t="s">
        <v>189</v>
      </c>
      <c r="H24" s="861" t="s">
        <v>11</v>
      </c>
      <c r="I24" s="861" t="s">
        <v>190</v>
      </c>
      <c r="J24" s="861" t="s">
        <v>191</v>
      </c>
      <c r="K24" s="861" t="s">
        <v>192</v>
      </c>
      <c r="L24" s="861" t="s">
        <v>203</v>
      </c>
      <c r="M24" s="861" t="s">
        <v>42</v>
      </c>
      <c r="N24" s="861" t="s">
        <v>148</v>
      </c>
      <c r="O24" s="861" t="s">
        <v>193</v>
      </c>
      <c r="P24" s="861" t="s">
        <v>142</v>
      </c>
      <c r="Q24" s="861" t="s">
        <v>194</v>
      </c>
      <c r="R24" s="112" t="s">
        <v>141</v>
      </c>
      <c r="S24" s="112" t="s">
        <v>672</v>
      </c>
      <c r="T24" s="861" t="s">
        <v>541</v>
      </c>
      <c r="U24" s="861" t="s">
        <v>542</v>
      </c>
      <c r="V24" s="861" t="s">
        <v>543</v>
      </c>
      <c r="W24" s="861" t="s">
        <v>544</v>
      </c>
      <c r="X24" s="861" t="s">
        <v>545</v>
      </c>
      <c r="Y24" s="861" t="s">
        <v>546</v>
      </c>
      <c r="Z24" s="861" t="s">
        <v>547</v>
      </c>
      <c r="AA24" s="861" t="s">
        <v>548</v>
      </c>
      <c r="AB24" s="861" t="s">
        <v>549</v>
      </c>
      <c r="AC24" s="861" t="s">
        <v>550</v>
      </c>
      <c r="AD24" s="861" t="s">
        <v>551</v>
      </c>
      <c r="AE24" s="861" t="s">
        <v>552</v>
      </c>
      <c r="AF24" s="861" t="s">
        <v>553</v>
      </c>
      <c r="AG24" s="861" t="s">
        <v>554</v>
      </c>
      <c r="AH24" s="6"/>
    </row>
    <row r="25" spans="1:34" s="3" customFormat="1" ht="15.95" customHeight="1" thickTop="1">
      <c r="A25" s="7"/>
      <c r="B25" s="19" t="s">
        <v>145</v>
      </c>
      <c r="C25" s="12"/>
      <c r="D25" s="186"/>
      <c r="E25" s="186"/>
      <c r="F25" s="186"/>
      <c r="G25" s="186"/>
      <c r="H25" s="186"/>
      <c r="I25" s="186"/>
      <c r="J25" s="186"/>
      <c r="K25" s="186"/>
      <c r="L25" s="278" t="s">
        <v>34</v>
      </c>
      <c r="M25" s="186"/>
      <c r="N25" s="37" t="str">
        <f>J$6</f>
        <v>FY2010-11</v>
      </c>
      <c r="O25" s="186"/>
      <c r="P25" s="37" t="s">
        <v>138</v>
      </c>
      <c r="Q25" s="189" t="s">
        <v>180</v>
      </c>
      <c r="R25" s="186"/>
      <c r="S25" s="186"/>
      <c r="T25" s="187"/>
      <c r="U25" s="187"/>
      <c r="V25" s="188"/>
      <c r="W25" s="188"/>
      <c r="X25" s="188"/>
      <c r="Y25" s="188"/>
      <c r="Z25" s="188"/>
      <c r="AA25" s="188"/>
      <c r="AB25" s="188"/>
      <c r="AC25" s="188"/>
      <c r="AD25" s="188"/>
      <c r="AE25" s="188"/>
      <c r="AF25" s="188"/>
      <c r="AG25" s="188"/>
      <c r="AH25" s="6"/>
    </row>
    <row r="26" spans="1:34" s="3" customFormat="1" ht="15.95" customHeight="1">
      <c r="A26" s="7"/>
      <c r="B26" s="16">
        <f>DSUM('$REV-DB'!D35:AG67,"AMOUNT",D24:AG26)</f>
        <v>2309847075.6000004</v>
      </c>
      <c r="C26" s="12"/>
      <c r="D26" s="186"/>
      <c r="E26" s="186"/>
      <c r="F26" s="186"/>
      <c r="G26" s="186"/>
      <c r="H26" s="186"/>
      <c r="I26" s="186"/>
      <c r="J26" s="186"/>
      <c r="K26" s="186"/>
      <c r="L26" s="278" t="s">
        <v>34</v>
      </c>
      <c r="M26" s="186"/>
      <c r="N26" s="37" t="str">
        <f>J$6</f>
        <v>FY2010-11</v>
      </c>
      <c r="O26" s="186"/>
      <c r="P26" s="37" t="s">
        <v>147</v>
      </c>
      <c r="Q26" s="189" t="s">
        <v>180</v>
      </c>
      <c r="R26" s="186"/>
      <c r="S26" s="186" t="s">
        <v>103</v>
      </c>
      <c r="T26" s="187"/>
      <c r="U26" s="187"/>
      <c r="V26" s="188"/>
      <c r="W26" s="188"/>
      <c r="X26" s="188"/>
      <c r="Y26" s="188"/>
      <c r="Z26" s="188"/>
      <c r="AA26" s="188"/>
      <c r="AB26" s="188"/>
      <c r="AC26" s="188"/>
      <c r="AD26" s="188"/>
      <c r="AE26" s="188"/>
      <c r="AF26" s="188"/>
      <c r="AG26" s="188"/>
      <c r="AH26" s="6"/>
    </row>
    <row r="27" spans="1:34" s="3" customFormat="1" ht="15.95" customHeight="1">
      <c r="A27" s="7"/>
      <c r="B27" s="10"/>
      <c r="C27" s="12"/>
      <c r="D27" s="880"/>
      <c r="E27" s="880"/>
      <c r="F27" s="880"/>
      <c r="G27" s="880"/>
      <c r="H27" s="880"/>
      <c r="I27" s="880"/>
      <c r="J27" s="880"/>
      <c r="K27" s="880"/>
      <c r="L27" s="881"/>
      <c r="M27" s="880"/>
      <c r="N27" s="873"/>
      <c r="O27" s="880"/>
      <c r="P27" s="873"/>
      <c r="Q27" s="884"/>
      <c r="R27" s="880"/>
      <c r="S27" s="880"/>
      <c r="T27" s="882"/>
      <c r="U27" s="882"/>
      <c r="V27" s="883"/>
      <c r="W27" s="883"/>
      <c r="X27" s="883"/>
      <c r="Y27" s="883"/>
      <c r="Z27" s="883"/>
      <c r="AA27" s="883"/>
      <c r="AB27" s="883"/>
      <c r="AC27" s="883"/>
      <c r="AD27" s="883"/>
      <c r="AE27" s="883"/>
      <c r="AF27" s="883"/>
      <c r="AG27" s="883"/>
    </row>
    <row r="28" spans="1:34" s="3" customFormat="1" ht="15.95" customHeight="1">
      <c r="A28" s="7"/>
      <c r="B28" s="10"/>
      <c r="C28" s="12"/>
      <c r="D28" s="880"/>
      <c r="E28" s="880"/>
      <c r="F28" s="880"/>
      <c r="G28" s="880"/>
      <c r="H28" s="880"/>
      <c r="I28" s="880"/>
      <c r="J28" s="880"/>
      <c r="K28" s="880"/>
      <c r="L28" s="881"/>
      <c r="M28" s="880"/>
      <c r="N28" s="873"/>
      <c r="O28" s="880"/>
      <c r="P28" s="873"/>
      <c r="Q28" s="884"/>
      <c r="R28" s="880"/>
      <c r="S28" s="880"/>
      <c r="T28" s="882"/>
      <c r="U28" s="882"/>
      <c r="V28" s="883"/>
      <c r="W28" s="883"/>
      <c r="X28" s="883"/>
      <c r="Y28" s="883"/>
      <c r="Z28" s="883"/>
      <c r="AA28" s="883"/>
      <c r="AB28" s="883"/>
      <c r="AC28" s="883"/>
      <c r="AD28" s="883"/>
      <c r="AE28" s="883"/>
      <c r="AF28" s="883"/>
      <c r="AG28" s="883"/>
    </row>
    <row r="29" spans="1:34" s="3" customFormat="1" ht="15.95" customHeight="1">
      <c r="A29" s="7"/>
      <c r="B29" s="10"/>
      <c r="C29" s="12"/>
      <c r="D29" s="880"/>
      <c r="E29" s="880"/>
      <c r="F29" s="880"/>
      <c r="G29" s="880"/>
      <c r="H29" s="880"/>
      <c r="I29" s="880"/>
      <c r="J29" s="880"/>
      <c r="K29" s="880"/>
      <c r="L29" s="881"/>
      <c r="M29" s="880"/>
      <c r="N29" s="873"/>
      <c r="O29" s="880"/>
      <c r="P29" s="873"/>
      <c r="Q29" s="884"/>
      <c r="R29" s="880"/>
      <c r="S29" s="880"/>
      <c r="T29" s="882"/>
      <c r="U29" s="882"/>
      <c r="V29" s="883"/>
      <c r="W29" s="883"/>
      <c r="X29" s="883"/>
      <c r="Y29" s="883"/>
      <c r="Z29" s="883"/>
      <c r="AA29" s="883"/>
      <c r="AB29" s="883"/>
      <c r="AC29" s="883"/>
      <c r="AD29" s="883"/>
      <c r="AE29" s="883"/>
      <c r="AF29" s="883"/>
      <c r="AG29" s="883"/>
    </row>
    <row r="30" spans="1:34" s="3" customFormat="1" ht="15.95" customHeight="1">
      <c r="A30" s="7"/>
      <c r="B30" s="10"/>
      <c r="C30" s="12"/>
      <c r="D30" s="880"/>
      <c r="E30" s="880"/>
      <c r="F30" s="880"/>
      <c r="G30" s="880"/>
      <c r="H30" s="880"/>
      <c r="I30" s="880"/>
      <c r="J30" s="880"/>
      <c r="K30" s="880"/>
      <c r="L30" s="881"/>
      <c r="M30" s="880"/>
      <c r="N30" s="873"/>
      <c r="O30" s="880"/>
      <c r="P30" s="873"/>
      <c r="Q30" s="884"/>
      <c r="R30" s="880"/>
      <c r="S30" s="880"/>
      <c r="T30" s="882"/>
      <c r="U30" s="882"/>
      <c r="V30" s="883"/>
      <c r="W30" s="883"/>
      <c r="X30" s="883"/>
      <c r="Y30" s="883"/>
      <c r="Z30" s="883"/>
      <c r="AA30" s="883"/>
      <c r="AB30" s="883"/>
      <c r="AC30" s="883"/>
      <c r="AD30" s="883"/>
      <c r="AE30" s="883"/>
      <c r="AF30" s="883"/>
      <c r="AG30" s="883"/>
    </row>
    <row r="31" spans="1:34" s="3" customFormat="1" ht="15.95" customHeight="1">
      <c r="A31" s="7"/>
      <c r="B31" s="10"/>
      <c r="C31" s="12"/>
      <c r="D31" s="880"/>
      <c r="E31" s="880"/>
      <c r="F31" s="880"/>
      <c r="G31" s="880"/>
      <c r="H31" s="880"/>
      <c r="I31" s="880"/>
      <c r="J31" s="880"/>
      <c r="K31" s="880"/>
      <c r="L31" s="881"/>
      <c r="M31" s="880"/>
      <c r="N31" s="873"/>
      <c r="O31" s="880"/>
      <c r="P31" s="873"/>
      <c r="Q31" s="884"/>
      <c r="R31" s="880"/>
      <c r="S31" s="880"/>
      <c r="T31" s="882"/>
      <c r="U31" s="882"/>
      <c r="V31" s="883"/>
      <c r="W31" s="883"/>
      <c r="X31" s="883"/>
      <c r="Y31" s="883"/>
      <c r="Z31" s="883"/>
      <c r="AA31" s="883"/>
      <c r="AB31" s="883"/>
      <c r="AC31" s="883"/>
      <c r="AD31" s="883"/>
      <c r="AE31" s="883"/>
      <c r="AF31" s="883"/>
      <c r="AG31" s="883"/>
    </row>
    <row r="32" spans="1:34" s="3" customFormat="1" ht="15.95" customHeight="1">
      <c r="A32" s="11"/>
      <c r="B32" s="12"/>
      <c r="C32" s="12"/>
      <c r="D32" s="13"/>
      <c r="E32" s="13"/>
      <c r="F32" s="14"/>
      <c r="G32" s="13"/>
      <c r="H32" s="14"/>
      <c r="I32" s="14"/>
      <c r="J32" s="13"/>
      <c r="K32" s="13"/>
      <c r="L32" s="13"/>
      <c r="M32" s="14"/>
      <c r="N32" s="14"/>
      <c r="O32" s="13"/>
      <c r="P32" s="14"/>
      <c r="Q32" s="14"/>
      <c r="R32" s="13"/>
      <c r="S32" s="14"/>
      <c r="T32" s="13"/>
      <c r="U32" s="13"/>
      <c r="V32" s="11"/>
      <c r="W32" s="11"/>
      <c r="X32" s="11"/>
      <c r="Y32" s="11"/>
      <c r="Z32" s="11"/>
      <c r="AA32" s="11"/>
      <c r="AB32" s="11"/>
      <c r="AC32" s="11"/>
      <c r="AD32" s="11"/>
      <c r="AE32" s="11"/>
      <c r="AF32" s="11"/>
      <c r="AG32" s="11"/>
    </row>
    <row r="33" spans="1:34" s="3" customFormat="1" ht="15.95" customHeight="1" thickBot="1">
      <c r="A33" s="7"/>
      <c r="B33" s="19" t="s">
        <v>0</v>
      </c>
      <c r="C33" s="7"/>
      <c r="D33" s="8"/>
      <c r="E33" s="8"/>
      <c r="F33" s="9"/>
      <c r="G33" s="8"/>
      <c r="H33" s="9"/>
      <c r="I33" s="9"/>
      <c r="J33" s="8"/>
      <c r="K33" s="8"/>
      <c r="L33" s="8"/>
      <c r="M33" s="9"/>
      <c r="N33" s="9"/>
      <c r="O33" s="8"/>
      <c r="P33" s="9"/>
      <c r="Q33" s="9"/>
      <c r="R33" s="8"/>
      <c r="S33" s="866"/>
      <c r="T33" s="867" t="str">
        <f>'$REV-DB'!$T$34</f>
        <v>UD1</v>
      </c>
      <c r="U33" s="867" t="str">
        <f>'$REV-DB'!$U$34</f>
        <v>UD2</v>
      </c>
      <c r="V33" s="867" t="str">
        <f>'$REV-DB'!$V$34</f>
        <v>UD3</v>
      </c>
      <c r="W33" s="867" t="str">
        <f>'$REV-DB'!$W$34</f>
        <v>UD4</v>
      </c>
      <c r="X33" s="867" t="str">
        <f>'$REV-DB'!$X$34</f>
        <v>UD5</v>
      </c>
      <c r="Y33" s="867" t="str">
        <f>'$REV-DB'!$Y$34</f>
        <v>UD6</v>
      </c>
      <c r="Z33" s="867" t="str">
        <f>'$REV-DB'!$Z$34</f>
        <v>UD7</v>
      </c>
      <c r="AA33" s="867" t="str">
        <f>'$REV-DB'!$AA$34</f>
        <v>UD8</v>
      </c>
      <c r="AB33" s="867" t="str">
        <f>'$REV-DB'!$AB$34</f>
        <v>UD9</v>
      </c>
      <c r="AC33" s="867" t="str">
        <f>'$REV-DB'!$AC$34</f>
        <v>UD10</v>
      </c>
      <c r="AD33" s="867" t="str">
        <f>'$REV-DB'!$AD$34</f>
        <v>UD11</v>
      </c>
      <c r="AE33" s="867" t="str">
        <f>'$REV-DB'!$AE$34</f>
        <v>UD12</v>
      </c>
      <c r="AF33" s="867" t="str">
        <f>'$REV-DB'!$AF$34</f>
        <v>UD13</v>
      </c>
      <c r="AG33" s="867" t="str">
        <f>'$REV-DB'!$AG$34</f>
        <v>UD14</v>
      </c>
    </row>
    <row r="34" spans="1:34" s="3" customFormat="1" ht="15.95" customHeight="1" thickTop="1" thickBot="1">
      <c r="A34" s="7"/>
      <c r="B34" s="20" t="s">
        <v>4</v>
      </c>
      <c r="C34" s="15"/>
      <c r="D34" s="861" t="s">
        <v>186</v>
      </c>
      <c r="E34" s="861" t="s">
        <v>187</v>
      </c>
      <c r="F34" s="861" t="s">
        <v>188</v>
      </c>
      <c r="G34" s="861" t="s">
        <v>189</v>
      </c>
      <c r="H34" s="861" t="s">
        <v>11</v>
      </c>
      <c r="I34" s="861" t="s">
        <v>190</v>
      </c>
      <c r="J34" s="861" t="s">
        <v>191</v>
      </c>
      <c r="K34" s="861" t="s">
        <v>192</v>
      </c>
      <c r="L34" s="861" t="s">
        <v>203</v>
      </c>
      <c r="M34" s="861" t="s">
        <v>42</v>
      </c>
      <c r="N34" s="861" t="s">
        <v>148</v>
      </c>
      <c r="O34" s="861" t="s">
        <v>193</v>
      </c>
      <c r="P34" s="861" t="s">
        <v>142</v>
      </c>
      <c r="Q34" s="861" t="s">
        <v>194</v>
      </c>
      <c r="R34" s="112" t="s">
        <v>141</v>
      </c>
      <c r="S34" s="112" t="s">
        <v>672</v>
      </c>
      <c r="T34" s="861" t="s">
        <v>541</v>
      </c>
      <c r="U34" s="861" t="s">
        <v>542</v>
      </c>
      <c r="V34" s="861" t="s">
        <v>543</v>
      </c>
      <c r="W34" s="861" t="s">
        <v>544</v>
      </c>
      <c r="X34" s="861" t="s">
        <v>545</v>
      </c>
      <c r="Y34" s="861" t="s">
        <v>546</v>
      </c>
      <c r="Z34" s="861" t="s">
        <v>547</v>
      </c>
      <c r="AA34" s="861" t="s">
        <v>548</v>
      </c>
      <c r="AB34" s="861" t="s">
        <v>549</v>
      </c>
      <c r="AC34" s="861" t="s">
        <v>550</v>
      </c>
      <c r="AD34" s="861" t="s">
        <v>551</v>
      </c>
      <c r="AE34" s="861" t="s">
        <v>552</v>
      </c>
      <c r="AF34" s="861" t="s">
        <v>553</v>
      </c>
      <c r="AG34" s="861" t="s">
        <v>554</v>
      </c>
      <c r="AH34" s="6"/>
    </row>
    <row r="35" spans="1:34" s="3" customFormat="1" ht="15.95" customHeight="1" thickTop="1">
      <c r="A35" s="7"/>
      <c r="B35" s="19" t="s">
        <v>144</v>
      </c>
      <c r="C35" s="12"/>
      <c r="D35" s="186"/>
      <c r="E35" s="186"/>
      <c r="F35" s="186"/>
      <c r="G35" s="186"/>
      <c r="H35" s="186"/>
      <c r="I35" s="186"/>
      <c r="J35" s="186"/>
      <c r="K35" s="186"/>
      <c r="L35" s="278" t="s">
        <v>34</v>
      </c>
      <c r="M35" s="186"/>
      <c r="N35" s="37" t="str">
        <f>J$6</f>
        <v>FY2010-11</v>
      </c>
      <c r="O35" s="186"/>
      <c r="P35" s="37" t="s">
        <v>138</v>
      </c>
      <c r="Q35" s="189" t="s">
        <v>139</v>
      </c>
      <c r="R35" s="186"/>
      <c r="S35" s="186"/>
      <c r="T35" s="187"/>
      <c r="U35" s="187"/>
      <c r="V35" s="188"/>
      <c r="W35" s="188"/>
      <c r="X35" s="188"/>
      <c r="Y35" s="188"/>
      <c r="Z35" s="188"/>
      <c r="AA35" s="188"/>
      <c r="AB35" s="188"/>
      <c r="AC35" s="188"/>
      <c r="AD35" s="188"/>
      <c r="AE35" s="188"/>
      <c r="AF35" s="188"/>
      <c r="AG35" s="188"/>
      <c r="AH35" s="6"/>
    </row>
    <row r="36" spans="1:34" s="3" customFormat="1" ht="15.95" customHeight="1">
      <c r="A36" s="7"/>
      <c r="B36" s="16">
        <f>DSUM('$REV-DB'!D35:AG67,"AMOUNT",D34:AG36)</f>
        <v>7247915948.8899965</v>
      </c>
      <c r="C36" s="12"/>
      <c r="D36" s="186"/>
      <c r="E36" s="186"/>
      <c r="F36" s="186"/>
      <c r="G36" s="186"/>
      <c r="H36" s="186"/>
      <c r="I36" s="186"/>
      <c r="J36" s="186"/>
      <c r="K36" s="186"/>
      <c r="L36" s="278" t="s">
        <v>34</v>
      </c>
      <c r="M36" s="186"/>
      <c r="N36" s="37" t="str">
        <f>J$6</f>
        <v>FY2010-11</v>
      </c>
      <c r="O36" s="186"/>
      <c r="P36" s="37" t="s">
        <v>147</v>
      </c>
      <c r="Q36" s="189" t="s">
        <v>139</v>
      </c>
      <c r="R36" s="186"/>
      <c r="S36" s="186" t="s">
        <v>103</v>
      </c>
      <c r="T36" s="187"/>
      <c r="U36" s="187"/>
      <c r="V36" s="188"/>
      <c r="W36" s="188"/>
      <c r="X36" s="188"/>
      <c r="Y36" s="188"/>
      <c r="Z36" s="188"/>
      <c r="AA36" s="188"/>
      <c r="AB36" s="188"/>
      <c r="AC36" s="188"/>
      <c r="AD36" s="188"/>
      <c r="AE36" s="188"/>
      <c r="AF36" s="188"/>
      <c r="AG36" s="188"/>
      <c r="AH36" s="6"/>
    </row>
    <row r="37" spans="1:34" s="3" customFormat="1" ht="15.95" customHeight="1">
      <c r="A37" s="7"/>
      <c r="B37" s="10"/>
      <c r="C37" s="12"/>
      <c r="D37" s="880"/>
      <c r="E37" s="880"/>
      <c r="F37" s="880"/>
      <c r="G37" s="880"/>
      <c r="H37" s="880"/>
      <c r="I37" s="880"/>
      <c r="J37" s="880"/>
      <c r="K37" s="880"/>
      <c r="L37" s="881"/>
      <c r="M37" s="880"/>
      <c r="N37" s="873"/>
      <c r="O37" s="880"/>
      <c r="P37" s="873"/>
      <c r="Q37" s="884"/>
      <c r="R37" s="880"/>
      <c r="S37" s="880"/>
      <c r="T37" s="882"/>
      <c r="U37" s="882"/>
      <c r="V37" s="883"/>
      <c r="W37" s="883"/>
      <c r="X37" s="883"/>
      <c r="Y37" s="883"/>
      <c r="Z37" s="883"/>
      <c r="AA37" s="883"/>
      <c r="AB37" s="883"/>
      <c r="AC37" s="883"/>
      <c r="AD37" s="883"/>
      <c r="AE37" s="883"/>
      <c r="AF37" s="883"/>
      <c r="AG37" s="883"/>
    </row>
    <row r="38" spans="1:34" s="3" customFormat="1" ht="15.95" customHeight="1">
      <c r="A38" s="7"/>
      <c r="B38" s="10"/>
      <c r="C38" s="12"/>
      <c r="D38" s="880"/>
      <c r="E38" s="880"/>
      <c r="F38" s="880"/>
      <c r="G38" s="880"/>
      <c r="H38" s="880"/>
      <c r="I38" s="880"/>
      <c r="J38" s="880"/>
      <c r="K38" s="880"/>
      <c r="L38" s="881"/>
      <c r="M38" s="880"/>
      <c r="N38" s="873"/>
      <c r="O38" s="880"/>
      <c r="P38" s="873"/>
      <c r="Q38" s="884"/>
      <c r="R38" s="880"/>
      <c r="S38" s="880"/>
      <c r="T38" s="882"/>
      <c r="U38" s="882"/>
      <c r="V38" s="883"/>
      <c r="W38" s="883"/>
      <c r="X38" s="883"/>
      <c r="Y38" s="883"/>
      <c r="Z38" s="883"/>
      <c r="AA38" s="883"/>
      <c r="AB38" s="883"/>
      <c r="AC38" s="883"/>
      <c r="AD38" s="883"/>
      <c r="AE38" s="883"/>
      <c r="AF38" s="883"/>
      <c r="AG38" s="883"/>
    </row>
    <row r="39" spans="1:34" s="3" customFormat="1" ht="15.95" customHeight="1">
      <c r="A39" s="7"/>
      <c r="B39" s="10"/>
      <c r="C39" s="12"/>
      <c r="D39" s="880"/>
      <c r="E39" s="880"/>
      <c r="F39" s="880"/>
      <c r="G39" s="880"/>
      <c r="H39" s="880"/>
      <c r="I39" s="880"/>
      <c r="J39" s="880"/>
      <c r="K39" s="880"/>
      <c r="L39" s="881"/>
      <c r="M39" s="880"/>
      <c r="N39" s="873"/>
      <c r="O39" s="880"/>
      <c r="P39" s="873"/>
      <c r="Q39" s="884"/>
      <c r="R39" s="880"/>
      <c r="S39" s="880"/>
      <c r="T39" s="882"/>
      <c r="U39" s="882"/>
      <c r="V39" s="883"/>
      <c r="W39" s="883"/>
      <c r="X39" s="883"/>
      <c r="Y39" s="883"/>
      <c r="Z39" s="883"/>
      <c r="AA39" s="883"/>
      <c r="AB39" s="883"/>
      <c r="AC39" s="883"/>
      <c r="AD39" s="883"/>
      <c r="AE39" s="883"/>
      <c r="AF39" s="883"/>
      <c r="AG39" s="883"/>
    </row>
    <row r="40" spans="1:34" s="3" customFormat="1" ht="15.95" customHeight="1">
      <c r="A40" s="7"/>
      <c r="B40" s="10"/>
      <c r="C40" s="12"/>
      <c r="D40" s="880"/>
      <c r="E40" s="880"/>
      <c r="F40" s="880"/>
      <c r="G40" s="880"/>
      <c r="H40" s="880"/>
      <c r="I40" s="880"/>
      <c r="J40" s="880"/>
      <c r="K40" s="880"/>
      <c r="L40" s="881"/>
      <c r="M40" s="880"/>
      <c r="N40" s="873"/>
      <c r="O40" s="880"/>
      <c r="P40" s="873"/>
      <c r="Q40" s="884"/>
      <c r="R40" s="880"/>
      <c r="S40" s="880"/>
      <c r="T40" s="882"/>
      <c r="U40" s="882"/>
      <c r="V40" s="883"/>
      <c r="W40" s="883"/>
      <c r="X40" s="883"/>
      <c r="Y40" s="883"/>
      <c r="Z40" s="883"/>
      <c r="AA40" s="883"/>
      <c r="AB40" s="883"/>
      <c r="AC40" s="883"/>
      <c r="AD40" s="883"/>
      <c r="AE40" s="883"/>
      <c r="AF40" s="883"/>
      <c r="AG40" s="883"/>
    </row>
    <row r="41" spans="1:34" s="3" customFormat="1" ht="15.95" customHeight="1">
      <c r="A41" s="7"/>
      <c r="B41" s="10"/>
      <c r="C41" s="12"/>
      <c r="D41" s="880"/>
      <c r="E41" s="880"/>
      <c r="F41" s="880"/>
      <c r="G41" s="880"/>
      <c r="H41" s="880"/>
      <c r="I41" s="880"/>
      <c r="J41" s="880"/>
      <c r="K41" s="880"/>
      <c r="L41" s="881"/>
      <c r="M41" s="880"/>
      <c r="N41" s="873"/>
      <c r="O41" s="880"/>
      <c r="P41" s="873"/>
      <c r="Q41" s="884"/>
      <c r="R41" s="880"/>
      <c r="S41" s="880"/>
      <c r="T41" s="882"/>
      <c r="U41" s="882"/>
      <c r="V41" s="883"/>
      <c r="W41" s="883"/>
      <c r="X41" s="883"/>
      <c r="Y41" s="883"/>
      <c r="Z41" s="883"/>
      <c r="AA41" s="883"/>
      <c r="AB41" s="883"/>
      <c r="AC41" s="883"/>
      <c r="AD41" s="883"/>
      <c r="AE41" s="883"/>
      <c r="AF41" s="883"/>
      <c r="AG41" s="883"/>
    </row>
    <row r="42" spans="1:34" s="3" customFormat="1" ht="15.95" customHeight="1">
      <c r="A42" s="11"/>
      <c r="B42" s="12"/>
      <c r="C42" s="12"/>
      <c r="D42" s="13"/>
      <c r="E42" s="13"/>
      <c r="F42" s="14"/>
      <c r="G42" s="13"/>
      <c r="H42" s="14"/>
      <c r="I42" s="14"/>
      <c r="J42" s="13"/>
      <c r="K42" s="13"/>
      <c r="L42" s="279"/>
      <c r="M42" s="14"/>
      <c r="N42" s="14"/>
      <c r="O42" s="13"/>
      <c r="P42" s="14"/>
      <c r="Q42" s="14"/>
      <c r="R42" s="13"/>
      <c r="S42" s="14"/>
      <c r="T42" s="13"/>
      <c r="U42" s="13"/>
      <c r="V42" s="11"/>
      <c r="W42" s="11"/>
      <c r="X42" s="11"/>
      <c r="Y42" s="11"/>
      <c r="Z42" s="11"/>
      <c r="AA42" s="11"/>
      <c r="AB42" s="11"/>
      <c r="AC42" s="11"/>
      <c r="AD42" s="11"/>
      <c r="AE42" s="11"/>
      <c r="AF42" s="11"/>
      <c r="AG42" s="11"/>
    </row>
    <row r="43" spans="1:34" s="3" customFormat="1" ht="15.95" customHeight="1" thickBot="1">
      <c r="A43" s="7"/>
      <c r="B43" s="19" t="s">
        <v>0</v>
      </c>
      <c r="C43" s="7"/>
      <c r="D43" s="8"/>
      <c r="E43" s="8"/>
      <c r="F43" s="9"/>
      <c r="G43" s="8"/>
      <c r="H43" s="9"/>
      <c r="I43" s="9"/>
      <c r="J43" s="8"/>
      <c r="K43" s="8"/>
      <c r="L43" s="280"/>
      <c r="M43" s="9"/>
      <c r="N43" s="9"/>
      <c r="O43" s="8"/>
      <c r="P43" s="9"/>
      <c r="Q43" s="9"/>
      <c r="R43" s="8"/>
      <c r="S43" s="866"/>
      <c r="T43" s="867" t="str">
        <f>'$REV-DB'!$T$34</f>
        <v>UD1</v>
      </c>
      <c r="U43" s="867" t="str">
        <f>'$REV-DB'!$U$34</f>
        <v>UD2</v>
      </c>
      <c r="V43" s="867" t="str">
        <f>'$REV-DB'!$V$34</f>
        <v>UD3</v>
      </c>
      <c r="W43" s="867" t="str">
        <f>'$REV-DB'!$W$34</f>
        <v>UD4</v>
      </c>
      <c r="X43" s="867" t="str">
        <f>'$REV-DB'!$X$34</f>
        <v>UD5</v>
      </c>
      <c r="Y43" s="867" t="str">
        <f>'$REV-DB'!$Y$34</f>
        <v>UD6</v>
      </c>
      <c r="Z43" s="867" t="str">
        <f>'$REV-DB'!$Z$34</f>
        <v>UD7</v>
      </c>
      <c r="AA43" s="867" t="str">
        <f>'$REV-DB'!$AA$34</f>
        <v>UD8</v>
      </c>
      <c r="AB43" s="867" t="str">
        <f>'$REV-DB'!$AB$34</f>
        <v>UD9</v>
      </c>
      <c r="AC43" s="867" t="str">
        <f>'$REV-DB'!$AC$34</f>
        <v>UD10</v>
      </c>
      <c r="AD43" s="867" t="str">
        <f>'$REV-DB'!$AD$34</f>
        <v>UD11</v>
      </c>
      <c r="AE43" s="867" t="str">
        <f>'$REV-DB'!$AE$34</f>
        <v>UD12</v>
      </c>
      <c r="AF43" s="867" t="str">
        <f>'$REV-DB'!$AF$34</f>
        <v>UD13</v>
      </c>
      <c r="AG43" s="867" t="str">
        <f>'$REV-DB'!$AG$34</f>
        <v>UD14</v>
      </c>
    </row>
    <row r="44" spans="1:34" s="3" customFormat="1" ht="15.95" customHeight="1" thickTop="1" thickBot="1">
      <c r="A44" s="7"/>
      <c r="B44" s="20" t="s">
        <v>4</v>
      </c>
      <c r="C44" s="15"/>
      <c r="D44" s="861" t="s">
        <v>186</v>
      </c>
      <c r="E44" s="861" t="s">
        <v>187</v>
      </c>
      <c r="F44" s="861" t="s">
        <v>188</v>
      </c>
      <c r="G44" s="861" t="s">
        <v>189</v>
      </c>
      <c r="H44" s="861" t="s">
        <v>11</v>
      </c>
      <c r="I44" s="861" t="s">
        <v>190</v>
      </c>
      <c r="J44" s="861" t="s">
        <v>191</v>
      </c>
      <c r="K44" s="861" t="s">
        <v>192</v>
      </c>
      <c r="L44" s="861" t="s">
        <v>203</v>
      </c>
      <c r="M44" s="861" t="s">
        <v>42</v>
      </c>
      <c r="N44" s="861" t="s">
        <v>148</v>
      </c>
      <c r="O44" s="861" t="s">
        <v>193</v>
      </c>
      <c r="P44" s="861" t="s">
        <v>142</v>
      </c>
      <c r="Q44" s="861" t="s">
        <v>194</v>
      </c>
      <c r="R44" s="112" t="s">
        <v>141</v>
      </c>
      <c r="S44" s="112" t="s">
        <v>672</v>
      </c>
      <c r="T44" s="861" t="s">
        <v>541</v>
      </c>
      <c r="U44" s="861" t="s">
        <v>542</v>
      </c>
      <c r="V44" s="861" t="s">
        <v>543</v>
      </c>
      <c r="W44" s="861" t="s">
        <v>544</v>
      </c>
      <c r="X44" s="861" t="s">
        <v>545</v>
      </c>
      <c r="Y44" s="861" t="s">
        <v>546</v>
      </c>
      <c r="Z44" s="861" t="s">
        <v>547</v>
      </c>
      <c r="AA44" s="861" t="s">
        <v>548</v>
      </c>
      <c r="AB44" s="861" t="s">
        <v>549</v>
      </c>
      <c r="AC44" s="861" t="s">
        <v>550</v>
      </c>
      <c r="AD44" s="861" t="s">
        <v>551</v>
      </c>
      <c r="AE44" s="861" t="s">
        <v>552</v>
      </c>
      <c r="AF44" s="861" t="s">
        <v>553</v>
      </c>
      <c r="AG44" s="861" t="s">
        <v>554</v>
      </c>
      <c r="AH44" s="6"/>
    </row>
    <row r="45" spans="1:34" s="3" customFormat="1" ht="15.95" customHeight="1" thickTop="1">
      <c r="A45" s="7"/>
      <c r="B45" s="19" t="s">
        <v>143</v>
      </c>
      <c r="C45" s="12"/>
      <c r="D45" s="186"/>
      <c r="E45" s="186"/>
      <c r="F45" s="186"/>
      <c r="G45" s="186"/>
      <c r="H45" s="186"/>
      <c r="I45" s="186"/>
      <c r="J45" s="186"/>
      <c r="K45" s="186"/>
      <c r="L45" s="278" t="s">
        <v>34</v>
      </c>
      <c r="M45" s="186"/>
      <c r="N45" s="37" t="str">
        <f>J$6</f>
        <v>FY2010-11</v>
      </c>
      <c r="O45" s="186"/>
      <c r="P45" s="37" t="s">
        <v>138</v>
      </c>
      <c r="Q45" s="189" t="s">
        <v>179</v>
      </c>
      <c r="R45" s="186"/>
      <c r="S45" s="186"/>
      <c r="T45" s="187"/>
      <c r="U45" s="187"/>
      <c r="V45" s="188"/>
      <c r="W45" s="188"/>
      <c r="X45" s="188"/>
      <c r="Y45" s="188"/>
      <c r="Z45" s="188"/>
      <c r="AA45" s="188"/>
      <c r="AB45" s="188"/>
      <c r="AC45" s="188"/>
      <c r="AD45" s="188"/>
      <c r="AE45" s="188"/>
      <c r="AF45" s="188"/>
      <c r="AG45" s="188"/>
      <c r="AH45" s="6"/>
    </row>
    <row r="46" spans="1:34" s="3" customFormat="1" ht="15.95" customHeight="1">
      <c r="A46" s="7"/>
      <c r="B46" s="16">
        <f>DSUM('$REV-DB'!D35:AG67,"AMOUNT",D44:AG46)</f>
        <v>7397378170.6699982</v>
      </c>
      <c r="C46" s="12"/>
      <c r="D46" s="186"/>
      <c r="E46" s="186"/>
      <c r="F46" s="186"/>
      <c r="G46" s="186"/>
      <c r="H46" s="186"/>
      <c r="I46" s="186"/>
      <c r="J46" s="186"/>
      <c r="K46" s="186"/>
      <c r="L46" s="278" t="s">
        <v>34</v>
      </c>
      <c r="M46" s="186"/>
      <c r="N46" s="37" t="str">
        <f>J$6</f>
        <v>FY2010-11</v>
      </c>
      <c r="O46" s="186"/>
      <c r="P46" s="37" t="s">
        <v>147</v>
      </c>
      <c r="Q46" s="189" t="s">
        <v>179</v>
      </c>
      <c r="R46" s="186"/>
      <c r="S46" s="186" t="s">
        <v>103</v>
      </c>
      <c r="T46" s="187"/>
      <c r="U46" s="187"/>
      <c r="V46" s="188"/>
      <c r="W46" s="188"/>
      <c r="X46" s="188"/>
      <c r="Y46" s="188"/>
      <c r="Z46" s="188"/>
      <c r="AA46" s="188"/>
      <c r="AB46" s="188"/>
      <c r="AC46" s="188"/>
      <c r="AD46" s="188"/>
      <c r="AE46" s="188"/>
      <c r="AF46" s="188"/>
      <c r="AG46" s="188"/>
      <c r="AH46" s="6"/>
    </row>
    <row r="47" spans="1:34" s="3" customFormat="1" ht="15.95" customHeight="1">
      <c r="A47" s="7"/>
      <c r="B47" s="10"/>
      <c r="C47" s="12"/>
      <c r="D47" s="880"/>
      <c r="E47" s="880"/>
      <c r="F47" s="880"/>
      <c r="G47" s="880"/>
      <c r="H47" s="880"/>
      <c r="I47" s="880"/>
      <c r="J47" s="880"/>
      <c r="K47" s="880"/>
      <c r="L47" s="881"/>
      <c r="M47" s="880"/>
      <c r="N47" s="873"/>
      <c r="O47" s="880"/>
      <c r="P47" s="873"/>
      <c r="Q47" s="884"/>
      <c r="R47" s="880"/>
      <c r="S47" s="880"/>
      <c r="T47" s="882"/>
      <c r="U47" s="882"/>
      <c r="V47" s="883"/>
      <c r="W47" s="883"/>
      <c r="X47" s="883"/>
      <c r="Y47" s="883"/>
      <c r="Z47" s="883"/>
      <c r="AA47" s="883"/>
      <c r="AB47" s="883"/>
      <c r="AC47" s="883"/>
      <c r="AD47" s="883"/>
      <c r="AE47" s="883"/>
      <c r="AF47" s="883"/>
      <c r="AG47" s="883"/>
    </row>
    <row r="48" spans="1:34" s="3" customFormat="1" ht="15.95" customHeight="1">
      <c r="A48" s="7"/>
      <c r="B48" s="10"/>
      <c r="C48" s="12"/>
      <c r="D48" s="880"/>
      <c r="E48" s="880"/>
      <c r="F48" s="880"/>
      <c r="G48" s="880"/>
      <c r="H48" s="880"/>
      <c r="I48" s="880"/>
      <c r="J48" s="880"/>
      <c r="K48" s="880"/>
      <c r="L48" s="881"/>
      <c r="M48" s="880"/>
      <c r="N48" s="873"/>
      <c r="O48" s="880"/>
      <c r="P48" s="873"/>
      <c r="Q48" s="884"/>
      <c r="R48" s="880"/>
      <c r="S48" s="880"/>
      <c r="T48" s="882"/>
      <c r="U48" s="882"/>
      <c r="V48" s="883"/>
      <c r="W48" s="883"/>
      <c r="X48" s="883"/>
      <c r="Y48" s="883"/>
      <c r="Z48" s="883"/>
      <c r="AA48" s="883"/>
      <c r="AB48" s="883"/>
      <c r="AC48" s="883"/>
      <c r="AD48" s="883"/>
      <c r="AE48" s="883"/>
      <c r="AF48" s="883"/>
      <c r="AG48" s="883"/>
    </row>
    <row r="49" spans="1:34" s="3" customFormat="1" ht="15.95" customHeight="1">
      <c r="A49" s="7"/>
      <c r="B49" s="10"/>
      <c r="C49" s="12"/>
      <c r="D49" s="880"/>
      <c r="E49" s="880"/>
      <c r="F49" s="880"/>
      <c r="G49" s="880"/>
      <c r="H49" s="880"/>
      <c r="I49" s="880"/>
      <c r="J49" s="880"/>
      <c r="K49" s="880"/>
      <c r="L49" s="881"/>
      <c r="M49" s="880"/>
      <c r="N49" s="873"/>
      <c r="O49" s="880"/>
      <c r="P49" s="873"/>
      <c r="Q49" s="884"/>
      <c r="R49" s="880"/>
      <c r="S49" s="880"/>
      <c r="T49" s="882"/>
      <c r="U49" s="882"/>
      <c r="V49" s="883"/>
      <c r="W49" s="883"/>
      <c r="X49" s="883"/>
      <c r="Y49" s="883"/>
      <c r="Z49" s="883"/>
      <c r="AA49" s="883"/>
      <c r="AB49" s="883"/>
      <c r="AC49" s="883"/>
      <c r="AD49" s="883"/>
      <c r="AE49" s="883"/>
      <c r="AF49" s="883"/>
      <c r="AG49" s="883"/>
    </row>
    <row r="50" spans="1:34" s="3" customFormat="1" ht="15.95" customHeight="1">
      <c r="A50" s="7"/>
      <c r="B50" s="10"/>
      <c r="C50" s="12"/>
      <c r="D50" s="880"/>
      <c r="E50" s="880"/>
      <c r="F50" s="880"/>
      <c r="G50" s="880"/>
      <c r="H50" s="880"/>
      <c r="I50" s="880"/>
      <c r="J50" s="880"/>
      <c r="K50" s="880"/>
      <c r="L50" s="881"/>
      <c r="M50" s="880"/>
      <c r="N50" s="873"/>
      <c r="O50" s="880"/>
      <c r="P50" s="873"/>
      <c r="Q50" s="884"/>
      <c r="R50" s="880"/>
      <c r="S50" s="880"/>
      <c r="T50" s="882"/>
      <c r="U50" s="882"/>
      <c r="V50" s="883"/>
      <c r="W50" s="883"/>
      <c r="X50" s="883"/>
      <c r="Y50" s="883"/>
      <c r="Z50" s="883"/>
      <c r="AA50" s="883"/>
      <c r="AB50" s="883"/>
      <c r="AC50" s="883"/>
      <c r="AD50" s="883"/>
      <c r="AE50" s="883"/>
      <c r="AF50" s="883"/>
      <c r="AG50" s="883"/>
    </row>
    <row r="51" spans="1:34" s="3" customFormat="1" ht="15.95" customHeight="1">
      <c r="A51" s="7"/>
      <c r="B51" s="10"/>
      <c r="C51" s="12"/>
      <c r="D51" s="880"/>
      <c r="E51" s="880"/>
      <c r="F51" s="880"/>
      <c r="G51" s="880"/>
      <c r="H51" s="880"/>
      <c r="I51" s="880"/>
      <c r="J51" s="880"/>
      <c r="K51" s="880"/>
      <c r="L51" s="881"/>
      <c r="M51" s="880"/>
      <c r="N51" s="873"/>
      <c r="O51" s="880"/>
      <c r="P51" s="873"/>
      <c r="Q51" s="884"/>
      <c r="R51" s="880"/>
      <c r="S51" s="880"/>
      <c r="T51" s="882"/>
      <c r="U51" s="882"/>
      <c r="V51" s="883"/>
      <c r="W51" s="883"/>
      <c r="X51" s="883"/>
      <c r="Y51" s="883"/>
      <c r="Z51" s="883"/>
      <c r="AA51" s="883"/>
      <c r="AB51" s="883"/>
      <c r="AC51" s="883"/>
      <c r="AD51" s="883"/>
      <c r="AE51" s="883"/>
      <c r="AF51" s="883"/>
      <c r="AG51" s="883"/>
    </row>
    <row r="52" spans="1:34" s="3" customFormat="1" ht="15.95" customHeight="1">
      <c r="A52" s="11"/>
      <c r="B52" s="12"/>
      <c r="C52" s="12"/>
      <c r="D52" s="13"/>
      <c r="E52" s="13"/>
      <c r="F52" s="14"/>
      <c r="G52" s="13"/>
      <c r="H52" s="14"/>
      <c r="I52" s="14"/>
      <c r="J52" s="13"/>
      <c r="K52" s="13"/>
      <c r="L52" s="279"/>
      <c r="M52" s="14"/>
      <c r="N52" s="14"/>
      <c r="O52" s="13"/>
      <c r="P52" s="14"/>
      <c r="Q52" s="14"/>
      <c r="R52" s="13"/>
      <c r="S52" s="14"/>
      <c r="T52" s="13"/>
      <c r="U52" s="13"/>
      <c r="V52" s="11"/>
      <c r="W52" s="11"/>
      <c r="X52" s="11"/>
      <c r="Y52" s="11"/>
      <c r="Z52" s="11"/>
      <c r="AA52" s="11"/>
      <c r="AB52" s="11"/>
      <c r="AC52" s="11"/>
      <c r="AD52" s="11"/>
      <c r="AE52" s="11"/>
      <c r="AF52" s="11"/>
      <c r="AG52" s="11"/>
    </row>
    <row r="53" spans="1:34" s="3" customFormat="1" ht="15.95" customHeight="1" thickBot="1">
      <c r="A53" s="7"/>
      <c r="B53" s="19" t="s">
        <v>0</v>
      </c>
      <c r="C53" s="7"/>
      <c r="D53" s="8"/>
      <c r="E53" s="8"/>
      <c r="F53" s="9"/>
      <c r="G53" s="8"/>
      <c r="H53" s="9"/>
      <c r="I53" s="9"/>
      <c r="J53" s="8"/>
      <c r="K53" s="8"/>
      <c r="L53" s="280"/>
      <c r="M53" s="9"/>
      <c r="N53" s="9"/>
      <c r="O53" s="8"/>
      <c r="P53" s="9"/>
      <c r="Q53" s="9"/>
      <c r="R53" s="8"/>
      <c r="S53" s="866"/>
      <c r="T53" s="867" t="str">
        <f>'$REV-DB'!$T$34</f>
        <v>UD1</v>
      </c>
      <c r="U53" s="867" t="str">
        <f>'$REV-DB'!$U$34</f>
        <v>UD2</v>
      </c>
      <c r="V53" s="867" t="str">
        <f>'$REV-DB'!$V$34</f>
        <v>UD3</v>
      </c>
      <c r="W53" s="867" t="str">
        <f>'$REV-DB'!$W$34</f>
        <v>UD4</v>
      </c>
      <c r="X53" s="867" t="str">
        <f>'$REV-DB'!$X$34</f>
        <v>UD5</v>
      </c>
      <c r="Y53" s="867" t="str">
        <f>'$REV-DB'!$Y$34</f>
        <v>UD6</v>
      </c>
      <c r="Z53" s="867" t="str">
        <f>'$REV-DB'!$Z$34</f>
        <v>UD7</v>
      </c>
      <c r="AA53" s="867" t="str">
        <f>'$REV-DB'!$AA$34</f>
        <v>UD8</v>
      </c>
      <c r="AB53" s="867" t="str">
        <f>'$REV-DB'!$AB$34</f>
        <v>UD9</v>
      </c>
      <c r="AC53" s="867" t="str">
        <f>'$REV-DB'!$AC$34</f>
        <v>UD10</v>
      </c>
      <c r="AD53" s="867" t="str">
        <f>'$REV-DB'!$AD$34</f>
        <v>UD11</v>
      </c>
      <c r="AE53" s="867" t="str">
        <f>'$REV-DB'!$AE$34</f>
        <v>UD12</v>
      </c>
      <c r="AF53" s="867" t="str">
        <f>'$REV-DB'!$AF$34</f>
        <v>UD13</v>
      </c>
      <c r="AG53" s="867" t="str">
        <f>'$REV-DB'!$AG$34</f>
        <v>UD14</v>
      </c>
    </row>
    <row r="54" spans="1:34" s="3" customFormat="1" ht="15.95" customHeight="1" thickTop="1" thickBot="1">
      <c r="A54" s="7"/>
      <c r="B54" s="20" t="s">
        <v>4</v>
      </c>
      <c r="C54" s="15"/>
      <c r="D54" s="861" t="s">
        <v>186</v>
      </c>
      <c r="E54" s="861" t="s">
        <v>187</v>
      </c>
      <c r="F54" s="861" t="s">
        <v>188</v>
      </c>
      <c r="G54" s="861" t="s">
        <v>189</v>
      </c>
      <c r="H54" s="861" t="s">
        <v>11</v>
      </c>
      <c r="I54" s="861" t="s">
        <v>190</v>
      </c>
      <c r="J54" s="861" t="s">
        <v>191</v>
      </c>
      <c r="K54" s="861" t="s">
        <v>192</v>
      </c>
      <c r="L54" s="861" t="s">
        <v>203</v>
      </c>
      <c r="M54" s="861" t="s">
        <v>42</v>
      </c>
      <c r="N54" s="861" t="s">
        <v>148</v>
      </c>
      <c r="O54" s="861" t="s">
        <v>193</v>
      </c>
      <c r="P54" s="861" t="s">
        <v>142</v>
      </c>
      <c r="Q54" s="861" t="s">
        <v>194</v>
      </c>
      <c r="R54" s="112" t="s">
        <v>141</v>
      </c>
      <c r="S54" s="112" t="s">
        <v>672</v>
      </c>
      <c r="T54" s="861" t="s">
        <v>541</v>
      </c>
      <c r="U54" s="861" t="s">
        <v>542</v>
      </c>
      <c r="V54" s="861" t="s">
        <v>543</v>
      </c>
      <c r="W54" s="861" t="s">
        <v>544</v>
      </c>
      <c r="X54" s="861" t="s">
        <v>545</v>
      </c>
      <c r="Y54" s="861" t="s">
        <v>546</v>
      </c>
      <c r="Z54" s="861" t="s">
        <v>547</v>
      </c>
      <c r="AA54" s="861" t="s">
        <v>548</v>
      </c>
      <c r="AB54" s="861" t="s">
        <v>549</v>
      </c>
      <c r="AC54" s="861" t="s">
        <v>550</v>
      </c>
      <c r="AD54" s="861" t="s">
        <v>551</v>
      </c>
      <c r="AE54" s="861" t="s">
        <v>552</v>
      </c>
      <c r="AF54" s="861" t="s">
        <v>553</v>
      </c>
      <c r="AG54" s="861" t="s">
        <v>554</v>
      </c>
      <c r="AH54" s="6"/>
    </row>
    <row r="55" spans="1:34" s="3" customFormat="1" ht="15.95" customHeight="1" thickTop="1">
      <c r="A55" s="7"/>
      <c r="B55" s="19" t="s">
        <v>149</v>
      </c>
      <c r="C55" s="12"/>
      <c r="D55" s="186"/>
      <c r="E55" s="186"/>
      <c r="F55" s="186"/>
      <c r="G55" s="186"/>
      <c r="H55" s="186"/>
      <c r="I55" s="186"/>
      <c r="J55" s="186"/>
      <c r="K55" s="186"/>
      <c r="L55" s="278" t="s">
        <v>34</v>
      </c>
      <c r="M55" s="186"/>
      <c r="N55" s="37" t="str">
        <f>J$6</f>
        <v>FY2010-11</v>
      </c>
      <c r="O55" s="186"/>
      <c r="P55" s="37" t="s">
        <v>138</v>
      </c>
      <c r="Q55" s="189" t="s">
        <v>2</v>
      </c>
      <c r="R55" s="186"/>
      <c r="S55" s="186"/>
      <c r="T55" s="187"/>
      <c r="U55" s="187"/>
      <c r="V55" s="188"/>
      <c r="W55" s="188"/>
      <c r="X55" s="188"/>
      <c r="Y55" s="188"/>
      <c r="Z55" s="188"/>
      <c r="AA55" s="188"/>
      <c r="AB55" s="188"/>
      <c r="AC55" s="188"/>
      <c r="AD55" s="188"/>
      <c r="AE55" s="188"/>
      <c r="AF55" s="188"/>
      <c r="AG55" s="188"/>
      <c r="AH55" s="6"/>
    </row>
    <row r="56" spans="1:34" s="3" customFormat="1" ht="15.95" customHeight="1">
      <c r="A56" s="7"/>
      <c r="B56" s="16">
        <f>DSUM('$REV-DB'!D35:AG67,"AMOUNT",D54:AG56)</f>
        <v>1059418442.5899998</v>
      </c>
      <c r="C56" s="12"/>
      <c r="D56" s="186"/>
      <c r="E56" s="186"/>
      <c r="F56" s="186"/>
      <c r="G56" s="186"/>
      <c r="H56" s="186"/>
      <c r="I56" s="186"/>
      <c r="J56" s="186"/>
      <c r="K56" s="186"/>
      <c r="L56" s="278" t="s">
        <v>34</v>
      </c>
      <c r="M56" s="186"/>
      <c r="N56" s="37" t="str">
        <f>J$6</f>
        <v>FY2010-11</v>
      </c>
      <c r="O56" s="186"/>
      <c r="P56" s="37" t="s">
        <v>147</v>
      </c>
      <c r="Q56" s="189" t="s">
        <v>2</v>
      </c>
      <c r="R56" s="186"/>
      <c r="S56" s="186" t="s">
        <v>103</v>
      </c>
      <c r="T56" s="187"/>
      <c r="U56" s="187"/>
      <c r="V56" s="188"/>
      <c r="W56" s="188"/>
      <c r="X56" s="188"/>
      <c r="Y56" s="188"/>
      <c r="Z56" s="188"/>
      <c r="AA56" s="188"/>
      <c r="AB56" s="188"/>
      <c r="AC56" s="188"/>
      <c r="AD56" s="188"/>
      <c r="AE56" s="188"/>
      <c r="AF56" s="188"/>
      <c r="AG56" s="188"/>
      <c r="AH56" s="6"/>
    </row>
    <row r="57" spans="1:34" s="3" customFormat="1" ht="15.95" customHeight="1">
      <c r="A57" s="7"/>
      <c r="B57" s="10"/>
      <c r="C57" s="12"/>
      <c r="D57" s="880"/>
      <c r="E57" s="880"/>
      <c r="F57" s="880"/>
      <c r="G57" s="880"/>
      <c r="H57" s="880"/>
      <c r="I57" s="880"/>
      <c r="J57" s="880"/>
      <c r="K57" s="880"/>
      <c r="L57" s="881"/>
      <c r="M57" s="880"/>
      <c r="N57" s="873"/>
      <c r="O57" s="880"/>
      <c r="P57" s="873"/>
      <c r="Q57" s="884"/>
      <c r="R57" s="880"/>
      <c r="S57" s="880"/>
      <c r="T57" s="882"/>
      <c r="U57" s="882"/>
      <c r="V57" s="883"/>
      <c r="W57" s="883"/>
      <c r="X57" s="883"/>
      <c r="Y57" s="883"/>
      <c r="Z57" s="883"/>
      <c r="AA57" s="883"/>
      <c r="AB57" s="883"/>
      <c r="AC57" s="883"/>
      <c r="AD57" s="883"/>
      <c r="AE57" s="883"/>
      <c r="AF57" s="883"/>
      <c r="AG57" s="883"/>
    </row>
    <row r="58" spans="1:34" s="3" customFormat="1" ht="15.95" customHeight="1">
      <c r="A58" s="7"/>
      <c r="B58" s="10"/>
      <c r="C58" s="12"/>
      <c r="D58" s="880"/>
      <c r="E58" s="880"/>
      <c r="F58" s="880"/>
      <c r="G58" s="880"/>
      <c r="H58" s="880"/>
      <c r="I58" s="880"/>
      <c r="J58" s="880"/>
      <c r="K58" s="880"/>
      <c r="L58" s="881"/>
      <c r="M58" s="880"/>
      <c r="N58" s="873"/>
      <c r="O58" s="880"/>
      <c r="P58" s="873"/>
      <c r="Q58" s="884"/>
      <c r="R58" s="880"/>
      <c r="S58" s="880"/>
      <c r="T58" s="882"/>
      <c r="U58" s="882"/>
      <c r="V58" s="883"/>
      <c r="W58" s="883"/>
      <c r="X58" s="883"/>
      <c r="Y58" s="883"/>
      <c r="Z58" s="883"/>
      <c r="AA58" s="883"/>
      <c r="AB58" s="883"/>
      <c r="AC58" s="883"/>
      <c r="AD58" s="883"/>
      <c r="AE58" s="883"/>
      <c r="AF58" s="883"/>
      <c r="AG58" s="883"/>
    </row>
    <row r="59" spans="1:34" s="3" customFormat="1" ht="15.95" customHeight="1">
      <c r="A59" s="7"/>
      <c r="B59" s="10"/>
      <c r="C59" s="12"/>
      <c r="D59" s="880"/>
      <c r="E59" s="880"/>
      <c r="F59" s="880"/>
      <c r="G59" s="880"/>
      <c r="H59" s="880"/>
      <c r="I59" s="880"/>
      <c r="J59" s="880"/>
      <c r="K59" s="880"/>
      <c r="L59" s="881"/>
      <c r="M59" s="880"/>
      <c r="N59" s="873"/>
      <c r="O59" s="880"/>
      <c r="P59" s="873"/>
      <c r="Q59" s="884"/>
      <c r="R59" s="880"/>
      <c r="S59" s="880"/>
      <c r="T59" s="882"/>
      <c r="U59" s="882"/>
      <c r="V59" s="883"/>
      <c r="W59" s="883"/>
      <c r="X59" s="883"/>
      <c r="Y59" s="883"/>
      <c r="Z59" s="883"/>
      <c r="AA59" s="883"/>
      <c r="AB59" s="883"/>
      <c r="AC59" s="883"/>
      <c r="AD59" s="883"/>
      <c r="AE59" s="883"/>
      <c r="AF59" s="883"/>
      <c r="AG59" s="883"/>
    </row>
    <row r="60" spans="1:34" s="3" customFormat="1" ht="15.95" customHeight="1">
      <c r="A60" s="7"/>
      <c r="B60" s="10"/>
      <c r="C60" s="12"/>
      <c r="D60" s="880"/>
      <c r="E60" s="880"/>
      <c r="F60" s="880"/>
      <c r="G60" s="880"/>
      <c r="H60" s="880"/>
      <c r="I60" s="880"/>
      <c r="J60" s="880"/>
      <c r="K60" s="880"/>
      <c r="L60" s="881"/>
      <c r="M60" s="880"/>
      <c r="N60" s="873"/>
      <c r="O60" s="880"/>
      <c r="P60" s="873"/>
      <c r="Q60" s="884"/>
      <c r="R60" s="880"/>
      <c r="S60" s="880"/>
      <c r="T60" s="882"/>
      <c r="U60" s="882"/>
      <c r="V60" s="883"/>
      <c r="W60" s="883"/>
      <c r="X60" s="883"/>
      <c r="Y60" s="883"/>
      <c r="Z60" s="883"/>
      <c r="AA60" s="883"/>
      <c r="AB60" s="883"/>
      <c r="AC60" s="883"/>
      <c r="AD60" s="883"/>
      <c r="AE60" s="883"/>
      <c r="AF60" s="883"/>
      <c r="AG60" s="883"/>
    </row>
    <row r="61" spans="1:34" s="3" customFormat="1" ht="15.95" customHeight="1">
      <c r="A61" s="7"/>
      <c r="B61" s="10"/>
      <c r="C61" s="12"/>
      <c r="D61" s="880"/>
      <c r="E61" s="880"/>
      <c r="F61" s="880"/>
      <c r="G61" s="880"/>
      <c r="H61" s="880"/>
      <c r="I61" s="880"/>
      <c r="J61" s="880"/>
      <c r="K61" s="880"/>
      <c r="L61" s="881"/>
      <c r="M61" s="880"/>
      <c r="N61" s="873"/>
      <c r="O61" s="880"/>
      <c r="P61" s="873"/>
      <c r="Q61" s="884"/>
      <c r="R61" s="880"/>
      <c r="S61" s="880"/>
      <c r="T61" s="882"/>
      <c r="U61" s="882"/>
      <c r="V61" s="883"/>
      <c r="W61" s="883"/>
      <c r="X61" s="883"/>
      <c r="Y61" s="883"/>
      <c r="Z61" s="883"/>
      <c r="AA61" s="883"/>
      <c r="AB61" s="883"/>
      <c r="AC61" s="883"/>
      <c r="AD61" s="883"/>
      <c r="AE61" s="883"/>
      <c r="AF61" s="883"/>
      <c r="AG61" s="883"/>
    </row>
    <row r="62" spans="1:34" s="3" customFormat="1" ht="15.95" customHeight="1">
      <c r="A62" s="11"/>
      <c r="B62" s="12"/>
      <c r="C62" s="12"/>
      <c r="D62" s="13"/>
      <c r="E62" s="13"/>
      <c r="F62" s="14"/>
      <c r="G62" s="13"/>
      <c r="H62" s="14"/>
      <c r="I62" s="14"/>
      <c r="J62" s="13"/>
      <c r="K62" s="13"/>
      <c r="L62" s="279"/>
      <c r="M62" s="14"/>
      <c r="N62" s="14"/>
      <c r="O62" s="13"/>
      <c r="P62" s="14"/>
      <c r="Q62" s="14"/>
      <c r="R62" s="13"/>
      <c r="S62" s="14"/>
      <c r="T62" s="13"/>
      <c r="U62" s="13"/>
      <c r="V62" s="11"/>
      <c r="W62" s="11"/>
      <c r="X62" s="11"/>
      <c r="Y62" s="11"/>
      <c r="Z62" s="11"/>
      <c r="AA62" s="11"/>
      <c r="AB62" s="11"/>
      <c r="AC62" s="11"/>
      <c r="AD62" s="11"/>
      <c r="AE62" s="11"/>
      <c r="AF62" s="11"/>
      <c r="AG62" s="11"/>
    </row>
    <row r="63" spans="1:34" s="3" customFormat="1" ht="15.95" customHeight="1" thickBot="1">
      <c r="A63" s="7"/>
      <c r="B63" s="19" t="s">
        <v>0</v>
      </c>
      <c r="C63" s="7"/>
      <c r="D63" s="8"/>
      <c r="E63" s="8"/>
      <c r="F63" s="9"/>
      <c r="G63" s="8"/>
      <c r="H63" s="9"/>
      <c r="I63" s="9"/>
      <c r="J63" s="8"/>
      <c r="K63" s="8"/>
      <c r="L63" s="280"/>
      <c r="M63" s="9"/>
      <c r="N63" s="9"/>
      <c r="O63" s="8"/>
      <c r="P63" s="9"/>
      <c r="Q63" s="9"/>
      <c r="R63" s="8"/>
      <c r="S63" s="866"/>
      <c r="T63" s="867" t="str">
        <f>'$REV-DB'!$T$34</f>
        <v>UD1</v>
      </c>
      <c r="U63" s="867" t="str">
        <f>'$REV-DB'!$U$34</f>
        <v>UD2</v>
      </c>
      <c r="V63" s="867" t="str">
        <f>'$REV-DB'!$V$34</f>
        <v>UD3</v>
      </c>
      <c r="W63" s="867" t="str">
        <f>'$REV-DB'!$W$34</f>
        <v>UD4</v>
      </c>
      <c r="X63" s="867" t="str">
        <f>'$REV-DB'!$X$34</f>
        <v>UD5</v>
      </c>
      <c r="Y63" s="867" t="str">
        <f>'$REV-DB'!$Y$34</f>
        <v>UD6</v>
      </c>
      <c r="Z63" s="867" t="str">
        <f>'$REV-DB'!$Z$34</f>
        <v>UD7</v>
      </c>
      <c r="AA63" s="867" t="str">
        <f>'$REV-DB'!$AA$34</f>
        <v>UD8</v>
      </c>
      <c r="AB63" s="867" t="str">
        <f>'$REV-DB'!$AB$34</f>
        <v>UD9</v>
      </c>
      <c r="AC63" s="867" t="str">
        <f>'$REV-DB'!$AC$34</f>
        <v>UD10</v>
      </c>
      <c r="AD63" s="867" t="str">
        <f>'$REV-DB'!$AD$34</f>
        <v>UD11</v>
      </c>
      <c r="AE63" s="867" t="str">
        <f>'$REV-DB'!$AE$34</f>
        <v>UD12</v>
      </c>
      <c r="AF63" s="867" t="str">
        <f>'$REV-DB'!$AF$34</f>
        <v>UD13</v>
      </c>
      <c r="AG63" s="867" t="str">
        <f>'$REV-DB'!$AG$34</f>
        <v>UD14</v>
      </c>
    </row>
    <row r="64" spans="1:34" s="3" customFormat="1" ht="15.95" customHeight="1" thickTop="1" thickBot="1">
      <c r="A64" s="7"/>
      <c r="B64" s="20" t="s">
        <v>4</v>
      </c>
      <c r="C64" s="15"/>
      <c r="D64" s="861" t="s">
        <v>186</v>
      </c>
      <c r="E64" s="861" t="s">
        <v>187</v>
      </c>
      <c r="F64" s="861" t="s">
        <v>188</v>
      </c>
      <c r="G64" s="861" t="s">
        <v>189</v>
      </c>
      <c r="H64" s="861" t="s">
        <v>11</v>
      </c>
      <c r="I64" s="861" t="s">
        <v>190</v>
      </c>
      <c r="J64" s="861" t="s">
        <v>191</v>
      </c>
      <c r="K64" s="861" t="s">
        <v>192</v>
      </c>
      <c r="L64" s="861" t="s">
        <v>203</v>
      </c>
      <c r="M64" s="861" t="s">
        <v>42</v>
      </c>
      <c r="N64" s="861" t="s">
        <v>148</v>
      </c>
      <c r="O64" s="861" t="s">
        <v>193</v>
      </c>
      <c r="P64" s="861" t="s">
        <v>142</v>
      </c>
      <c r="Q64" s="861" t="s">
        <v>194</v>
      </c>
      <c r="R64" s="112" t="s">
        <v>141</v>
      </c>
      <c r="S64" s="112" t="s">
        <v>672</v>
      </c>
      <c r="T64" s="861" t="s">
        <v>541</v>
      </c>
      <c r="U64" s="861" t="s">
        <v>542</v>
      </c>
      <c r="V64" s="861" t="s">
        <v>543</v>
      </c>
      <c r="W64" s="861" t="s">
        <v>544</v>
      </c>
      <c r="X64" s="861" t="s">
        <v>545</v>
      </c>
      <c r="Y64" s="861" t="s">
        <v>546</v>
      </c>
      <c r="Z64" s="861" t="s">
        <v>547</v>
      </c>
      <c r="AA64" s="861" t="s">
        <v>548</v>
      </c>
      <c r="AB64" s="861" t="s">
        <v>549</v>
      </c>
      <c r="AC64" s="861" t="s">
        <v>550</v>
      </c>
      <c r="AD64" s="861" t="s">
        <v>551</v>
      </c>
      <c r="AE64" s="861" t="s">
        <v>552</v>
      </c>
      <c r="AF64" s="861" t="s">
        <v>553</v>
      </c>
      <c r="AG64" s="861" t="s">
        <v>554</v>
      </c>
      <c r="AH64" s="6"/>
    </row>
    <row r="65" spans="1:34" s="3" customFormat="1" ht="15.95" customHeight="1" thickTop="1">
      <c r="A65" s="7"/>
      <c r="B65" s="19" t="s">
        <v>364</v>
      </c>
      <c r="C65" s="12"/>
      <c r="D65" s="186"/>
      <c r="E65" s="186"/>
      <c r="F65" s="186"/>
      <c r="G65" s="186"/>
      <c r="H65" s="186"/>
      <c r="I65" s="186"/>
      <c r="J65" s="186"/>
      <c r="K65" s="186"/>
      <c r="L65" s="278" t="s">
        <v>34</v>
      </c>
      <c r="M65" s="186"/>
      <c r="N65" s="37" t="str">
        <f>J$6</f>
        <v>FY2010-11</v>
      </c>
      <c r="O65" s="186"/>
      <c r="P65" s="37" t="s">
        <v>138</v>
      </c>
      <c r="Q65" s="189" t="s">
        <v>70</v>
      </c>
      <c r="R65" s="186"/>
      <c r="S65" s="186"/>
      <c r="T65" s="187"/>
      <c r="U65" s="187"/>
      <c r="V65" s="188"/>
      <c r="W65" s="188"/>
      <c r="X65" s="188"/>
      <c r="Y65" s="188"/>
      <c r="Z65" s="188"/>
      <c r="AA65" s="188"/>
      <c r="AB65" s="188"/>
      <c r="AC65" s="188"/>
      <c r="AD65" s="188"/>
      <c r="AE65" s="188"/>
      <c r="AF65" s="188"/>
      <c r="AG65" s="188"/>
      <c r="AH65" s="6"/>
    </row>
    <row r="66" spans="1:34" s="3" customFormat="1" ht="15.95" customHeight="1">
      <c r="A66" s="7"/>
      <c r="B66" s="16">
        <f>DSUM('$REV-DB'!D35:AG67,"AMOUNT",D64:AG66)</f>
        <v>0</v>
      </c>
      <c r="C66" s="12"/>
      <c r="D66" s="186"/>
      <c r="E66" s="186"/>
      <c r="F66" s="186"/>
      <c r="G66" s="186"/>
      <c r="H66" s="186"/>
      <c r="I66" s="186"/>
      <c r="J66" s="186"/>
      <c r="K66" s="186"/>
      <c r="L66" s="278" t="s">
        <v>34</v>
      </c>
      <c r="M66" s="186"/>
      <c r="N66" s="37" t="str">
        <f>J$6</f>
        <v>FY2010-11</v>
      </c>
      <c r="O66" s="186"/>
      <c r="P66" s="37" t="s">
        <v>147</v>
      </c>
      <c r="Q66" s="189" t="s">
        <v>70</v>
      </c>
      <c r="R66" s="186"/>
      <c r="S66" s="186" t="s">
        <v>103</v>
      </c>
      <c r="T66" s="187"/>
      <c r="U66" s="187"/>
      <c r="V66" s="188"/>
      <c r="W66" s="188"/>
      <c r="X66" s="188"/>
      <c r="Y66" s="188"/>
      <c r="Z66" s="188"/>
      <c r="AA66" s="188"/>
      <c r="AB66" s="188"/>
      <c r="AC66" s="188"/>
      <c r="AD66" s="188"/>
      <c r="AE66" s="188"/>
      <c r="AF66" s="188"/>
      <c r="AG66" s="188"/>
      <c r="AH66" s="6"/>
    </row>
    <row r="67" spans="1:34" s="3" customFormat="1" ht="15.95" customHeight="1">
      <c r="A67" s="7"/>
      <c r="B67" s="10"/>
      <c r="C67" s="12"/>
      <c r="D67" s="880"/>
      <c r="E67" s="880"/>
      <c r="F67" s="880"/>
      <c r="G67" s="880"/>
      <c r="H67" s="880"/>
      <c r="I67" s="880"/>
      <c r="J67" s="880"/>
      <c r="K67" s="880"/>
      <c r="L67" s="881"/>
      <c r="M67" s="880"/>
      <c r="N67" s="873"/>
      <c r="O67" s="880"/>
      <c r="P67" s="873"/>
      <c r="Q67" s="884"/>
      <c r="R67" s="880"/>
      <c r="S67" s="880"/>
      <c r="T67" s="882"/>
      <c r="U67" s="882"/>
      <c r="V67" s="883"/>
      <c r="W67" s="883"/>
      <c r="X67" s="883"/>
      <c r="Y67" s="883"/>
      <c r="Z67" s="883"/>
      <c r="AA67" s="883"/>
      <c r="AB67" s="883"/>
      <c r="AC67" s="883"/>
      <c r="AD67" s="883"/>
      <c r="AE67" s="883"/>
      <c r="AF67" s="883"/>
      <c r="AG67" s="883"/>
    </row>
    <row r="68" spans="1:34" s="3" customFormat="1" ht="15.95" customHeight="1">
      <c r="A68" s="7"/>
      <c r="B68" s="10"/>
      <c r="C68" s="12"/>
      <c r="D68" s="880"/>
      <c r="E68" s="880"/>
      <c r="F68" s="880"/>
      <c r="G68" s="880"/>
      <c r="H68" s="880"/>
      <c r="I68" s="880"/>
      <c r="J68" s="880"/>
      <c r="K68" s="880"/>
      <c r="L68" s="881"/>
      <c r="M68" s="880"/>
      <c r="N68" s="873"/>
      <c r="O68" s="880"/>
      <c r="P68" s="873"/>
      <c r="Q68" s="884"/>
      <c r="R68" s="880"/>
      <c r="S68" s="880"/>
      <c r="T68" s="882"/>
      <c r="U68" s="882"/>
      <c r="V68" s="883"/>
      <c r="W68" s="883"/>
      <c r="X68" s="883"/>
      <c r="Y68" s="883"/>
      <c r="Z68" s="883"/>
      <c r="AA68" s="883"/>
      <c r="AB68" s="883"/>
      <c r="AC68" s="883"/>
      <c r="AD68" s="883"/>
      <c r="AE68" s="883"/>
      <c r="AF68" s="883"/>
      <c r="AG68" s="883"/>
    </row>
    <row r="69" spans="1:34" s="3" customFormat="1" ht="15.95" customHeight="1">
      <c r="A69" s="7"/>
      <c r="B69" s="10"/>
      <c r="C69" s="12"/>
      <c r="D69" s="880"/>
      <c r="E69" s="880"/>
      <c r="F69" s="880"/>
      <c r="G69" s="880"/>
      <c r="H69" s="880"/>
      <c r="I69" s="880"/>
      <c r="J69" s="880"/>
      <c r="K69" s="880"/>
      <c r="L69" s="881"/>
      <c r="M69" s="880"/>
      <c r="N69" s="873"/>
      <c r="O69" s="880"/>
      <c r="P69" s="873"/>
      <c r="Q69" s="884"/>
      <c r="R69" s="880"/>
      <c r="S69" s="880"/>
      <c r="T69" s="882"/>
      <c r="U69" s="882"/>
      <c r="V69" s="883"/>
      <c r="W69" s="883"/>
      <c r="X69" s="883"/>
      <c r="Y69" s="883"/>
      <c r="Z69" s="883"/>
      <c r="AA69" s="883"/>
      <c r="AB69" s="883"/>
      <c r="AC69" s="883"/>
      <c r="AD69" s="883"/>
      <c r="AE69" s="883"/>
      <c r="AF69" s="883"/>
      <c r="AG69" s="883"/>
    </row>
    <row r="70" spans="1:34" s="3" customFormat="1" ht="15.95" customHeight="1">
      <c r="A70" s="7"/>
      <c r="B70" s="10"/>
      <c r="C70" s="12"/>
      <c r="D70" s="880"/>
      <c r="E70" s="880"/>
      <c r="F70" s="880"/>
      <c r="G70" s="880"/>
      <c r="H70" s="880"/>
      <c r="I70" s="880"/>
      <c r="J70" s="880"/>
      <c r="K70" s="880"/>
      <c r="L70" s="881"/>
      <c r="M70" s="880"/>
      <c r="N70" s="873"/>
      <c r="O70" s="880"/>
      <c r="P70" s="873"/>
      <c r="Q70" s="884"/>
      <c r="R70" s="880"/>
      <c r="S70" s="880"/>
      <c r="T70" s="882"/>
      <c r="U70" s="882"/>
      <c r="V70" s="883"/>
      <c r="W70" s="883"/>
      <c r="X70" s="883"/>
      <c r="Y70" s="883"/>
      <c r="Z70" s="883"/>
      <c r="AA70" s="883"/>
      <c r="AB70" s="883"/>
      <c r="AC70" s="883"/>
      <c r="AD70" s="883"/>
      <c r="AE70" s="883"/>
      <c r="AF70" s="883"/>
      <c r="AG70" s="883"/>
    </row>
    <row r="71" spans="1:34" s="3" customFormat="1" ht="15.95" customHeight="1">
      <c r="A71" s="7"/>
      <c r="B71" s="10"/>
      <c r="C71" s="12"/>
      <c r="D71" s="880"/>
      <c r="E71" s="880"/>
      <c r="F71" s="880"/>
      <c r="G71" s="880"/>
      <c r="H71" s="880"/>
      <c r="I71" s="880"/>
      <c r="J71" s="880"/>
      <c r="K71" s="880"/>
      <c r="L71" s="881"/>
      <c r="M71" s="880"/>
      <c r="N71" s="873"/>
      <c r="O71" s="880"/>
      <c r="P71" s="873"/>
      <c r="Q71" s="884"/>
      <c r="R71" s="880"/>
      <c r="S71" s="880"/>
      <c r="T71" s="882"/>
      <c r="U71" s="882"/>
      <c r="V71" s="883"/>
      <c r="W71" s="883"/>
      <c r="X71" s="883"/>
      <c r="Y71" s="883"/>
      <c r="Z71" s="883"/>
      <c r="AA71" s="883"/>
      <c r="AB71" s="883"/>
      <c r="AC71" s="883"/>
      <c r="AD71" s="883"/>
      <c r="AE71" s="883"/>
      <c r="AF71" s="883"/>
      <c r="AG71" s="883"/>
    </row>
    <row r="72" spans="1:34" s="3" customFormat="1" ht="15.95" customHeight="1">
      <c r="A72" s="11"/>
      <c r="B72" s="12"/>
      <c r="C72" s="12"/>
      <c r="D72" s="13"/>
      <c r="E72" s="13"/>
      <c r="F72" s="14"/>
      <c r="G72" s="13"/>
      <c r="H72" s="14"/>
      <c r="I72" s="14"/>
      <c r="J72" s="13"/>
      <c r="K72" s="13"/>
      <c r="L72" s="279"/>
      <c r="M72" s="14"/>
      <c r="N72" s="14"/>
      <c r="O72" s="13"/>
      <c r="P72" s="14"/>
      <c r="Q72" s="14"/>
      <c r="R72" s="13"/>
      <c r="S72" s="14"/>
      <c r="T72" s="13"/>
      <c r="U72" s="13"/>
      <c r="V72" s="11"/>
      <c r="W72" s="11"/>
      <c r="X72" s="11"/>
      <c r="Y72" s="11"/>
      <c r="Z72" s="11"/>
      <c r="AA72" s="11"/>
      <c r="AB72" s="11"/>
      <c r="AC72" s="11"/>
      <c r="AD72" s="11"/>
      <c r="AE72" s="11"/>
      <c r="AF72" s="11"/>
      <c r="AG72" s="11"/>
    </row>
    <row r="73" spans="1:34" s="3" customFormat="1" ht="15.95" customHeight="1" thickBot="1">
      <c r="A73" s="7"/>
      <c r="B73" s="19" t="s">
        <v>0</v>
      </c>
      <c r="C73" s="7"/>
      <c r="D73" s="8"/>
      <c r="E73" s="8"/>
      <c r="F73" s="9"/>
      <c r="G73" s="8"/>
      <c r="H73" s="9"/>
      <c r="I73" s="9"/>
      <c r="J73" s="8"/>
      <c r="K73" s="8"/>
      <c r="L73" s="280"/>
      <c r="M73" s="9"/>
      <c r="N73" s="9"/>
      <c r="O73" s="8"/>
      <c r="P73" s="9"/>
      <c r="Q73" s="9"/>
      <c r="R73" s="8"/>
      <c r="S73" s="866"/>
      <c r="T73" s="867" t="str">
        <f>'$REV-DB'!$T$34</f>
        <v>UD1</v>
      </c>
      <c r="U73" s="867" t="str">
        <f>'$REV-DB'!$U$34</f>
        <v>UD2</v>
      </c>
      <c r="V73" s="867" t="str">
        <f>'$REV-DB'!$V$34</f>
        <v>UD3</v>
      </c>
      <c r="W73" s="867" t="str">
        <f>'$REV-DB'!$W$34</f>
        <v>UD4</v>
      </c>
      <c r="X73" s="867" t="str">
        <f>'$REV-DB'!$X$34</f>
        <v>UD5</v>
      </c>
      <c r="Y73" s="867" t="str">
        <f>'$REV-DB'!$Y$34</f>
        <v>UD6</v>
      </c>
      <c r="Z73" s="867" t="str">
        <f>'$REV-DB'!$Z$34</f>
        <v>UD7</v>
      </c>
      <c r="AA73" s="867" t="str">
        <f>'$REV-DB'!$AA$34</f>
        <v>UD8</v>
      </c>
      <c r="AB73" s="867" t="str">
        <f>'$REV-DB'!$AB$34</f>
        <v>UD9</v>
      </c>
      <c r="AC73" s="867" t="str">
        <f>'$REV-DB'!$AC$34</f>
        <v>UD10</v>
      </c>
      <c r="AD73" s="867" t="str">
        <f>'$REV-DB'!$AD$34</f>
        <v>UD11</v>
      </c>
      <c r="AE73" s="867" t="str">
        <f>'$REV-DB'!$AE$34</f>
        <v>UD12</v>
      </c>
      <c r="AF73" s="867" t="str">
        <f>'$REV-DB'!$AF$34</f>
        <v>UD13</v>
      </c>
      <c r="AG73" s="867" t="str">
        <f>'$REV-DB'!$AG$34</f>
        <v>UD14</v>
      </c>
    </row>
    <row r="74" spans="1:34" s="3" customFormat="1" ht="15.95" customHeight="1" thickTop="1" thickBot="1">
      <c r="A74" s="7"/>
      <c r="B74" s="20" t="s">
        <v>4</v>
      </c>
      <c r="C74" s="15"/>
      <c r="D74" s="861" t="s">
        <v>186</v>
      </c>
      <c r="E74" s="861" t="s">
        <v>187</v>
      </c>
      <c r="F74" s="861" t="s">
        <v>188</v>
      </c>
      <c r="G74" s="861" t="s">
        <v>189</v>
      </c>
      <c r="H74" s="861" t="s">
        <v>11</v>
      </c>
      <c r="I74" s="861" t="s">
        <v>190</v>
      </c>
      <c r="J74" s="861" t="s">
        <v>191</v>
      </c>
      <c r="K74" s="861" t="s">
        <v>192</v>
      </c>
      <c r="L74" s="861" t="s">
        <v>203</v>
      </c>
      <c r="M74" s="861" t="s">
        <v>42</v>
      </c>
      <c r="N74" s="861" t="s">
        <v>148</v>
      </c>
      <c r="O74" s="861" t="s">
        <v>193</v>
      </c>
      <c r="P74" s="861" t="s">
        <v>142</v>
      </c>
      <c r="Q74" s="861" t="s">
        <v>194</v>
      </c>
      <c r="R74" s="112" t="s">
        <v>141</v>
      </c>
      <c r="S74" s="112" t="s">
        <v>672</v>
      </c>
      <c r="T74" s="861" t="s">
        <v>541</v>
      </c>
      <c r="U74" s="861" t="s">
        <v>542</v>
      </c>
      <c r="V74" s="861" t="s">
        <v>543</v>
      </c>
      <c r="W74" s="861" t="s">
        <v>544</v>
      </c>
      <c r="X74" s="861" t="s">
        <v>545</v>
      </c>
      <c r="Y74" s="861" t="s">
        <v>546</v>
      </c>
      <c r="Z74" s="861" t="s">
        <v>547</v>
      </c>
      <c r="AA74" s="861" t="s">
        <v>548</v>
      </c>
      <c r="AB74" s="861" t="s">
        <v>549</v>
      </c>
      <c r="AC74" s="861" t="s">
        <v>550</v>
      </c>
      <c r="AD74" s="861" t="s">
        <v>551</v>
      </c>
      <c r="AE74" s="861" t="s">
        <v>552</v>
      </c>
      <c r="AF74" s="861" t="s">
        <v>553</v>
      </c>
      <c r="AG74" s="861" t="s">
        <v>554</v>
      </c>
      <c r="AH74" s="6"/>
    </row>
    <row r="75" spans="1:34" s="3" customFormat="1" ht="15.95" customHeight="1" thickTop="1">
      <c r="A75" s="7"/>
      <c r="B75" s="19" t="s">
        <v>150</v>
      </c>
      <c r="C75" s="12"/>
      <c r="D75" s="186"/>
      <c r="E75" s="186"/>
      <c r="F75" s="186"/>
      <c r="G75" s="186"/>
      <c r="H75" s="186"/>
      <c r="I75" s="186"/>
      <c r="J75" s="186"/>
      <c r="K75" s="186"/>
      <c r="L75" s="278" t="s">
        <v>34</v>
      </c>
      <c r="M75" s="186"/>
      <c r="N75" s="37" t="str">
        <f>J$6</f>
        <v>FY2010-11</v>
      </c>
      <c r="O75" s="186"/>
      <c r="P75" s="37" t="s">
        <v>138</v>
      </c>
      <c r="Q75" s="189" t="s">
        <v>140</v>
      </c>
      <c r="R75" s="186"/>
      <c r="S75" s="186"/>
      <c r="T75" s="187"/>
      <c r="U75" s="187"/>
      <c r="V75" s="188"/>
      <c r="W75" s="188"/>
      <c r="X75" s="188"/>
      <c r="Y75" s="188"/>
      <c r="Z75" s="188"/>
      <c r="AA75" s="188"/>
      <c r="AB75" s="188"/>
      <c r="AC75" s="188"/>
      <c r="AD75" s="188"/>
      <c r="AE75" s="188"/>
      <c r="AF75" s="188"/>
      <c r="AG75" s="188"/>
      <c r="AH75" s="6"/>
    </row>
    <row r="76" spans="1:34" s="3" customFormat="1" ht="15.95" customHeight="1">
      <c r="A76" s="7"/>
      <c r="B76" s="16">
        <f>DSUM('$REV-DB'!D35:AG67,"AMOUNT",D74:AG76)</f>
        <v>0</v>
      </c>
      <c r="C76" s="12"/>
      <c r="D76" s="186"/>
      <c r="E76" s="186"/>
      <c r="F76" s="186"/>
      <c r="G76" s="186"/>
      <c r="H76" s="186"/>
      <c r="I76" s="186"/>
      <c r="J76" s="186"/>
      <c r="K76" s="186"/>
      <c r="L76" s="278" t="s">
        <v>34</v>
      </c>
      <c r="M76" s="186"/>
      <c r="N76" s="37" t="str">
        <f>J$6</f>
        <v>FY2010-11</v>
      </c>
      <c r="O76" s="186"/>
      <c r="P76" s="37" t="s">
        <v>147</v>
      </c>
      <c r="Q76" s="189" t="s">
        <v>140</v>
      </c>
      <c r="R76" s="186"/>
      <c r="S76" s="186" t="s">
        <v>103</v>
      </c>
      <c r="T76" s="187"/>
      <c r="U76" s="187"/>
      <c r="V76" s="188"/>
      <c r="W76" s="188"/>
      <c r="X76" s="188"/>
      <c r="Y76" s="188"/>
      <c r="Z76" s="188"/>
      <c r="AA76" s="188"/>
      <c r="AB76" s="188"/>
      <c r="AC76" s="188"/>
      <c r="AD76" s="188"/>
      <c r="AE76" s="188"/>
      <c r="AF76" s="188"/>
      <c r="AG76" s="188"/>
      <c r="AH76" s="6"/>
    </row>
    <row r="77" spans="1:34" s="3" customFormat="1" ht="15.95" customHeight="1">
      <c r="A77" s="7"/>
      <c r="B77" s="10"/>
      <c r="C77" s="12"/>
      <c r="D77" s="880"/>
      <c r="E77" s="880"/>
      <c r="F77" s="880"/>
      <c r="G77" s="880"/>
      <c r="H77" s="880"/>
      <c r="I77" s="880"/>
      <c r="J77" s="880"/>
      <c r="K77" s="880"/>
      <c r="L77" s="881"/>
      <c r="M77" s="880"/>
      <c r="N77" s="873"/>
      <c r="O77" s="880"/>
      <c r="P77" s="873"/>
      <c r="Q77" s="884"/>
      <c r="R77" s="880"/>
      <c r="S77" s="880"/>
      <c r="T77" s="882"/>
      <c r="U77" s="882"/>
      <c r="V77" s="883"/>
      <c r="W77" s="883"/>
      <c r="X77" s="883"/>
      <c r="Y77" s="883"/>
      <c r="Z77" s="883"/>
      <c r="AA77" s="883"/>
      <c r="AB77" s="883"/>
      <c r="AC77" s="883"/>
      <c r="AD77" s="883"/>
      <c r="AE77" s="883"/>
      <c r="AF77" s="883"/>
      <c r="AG77" s="883"/>
    </row>
    <row r="78" spans="1:34" s="3" customFormat="1" ht="15.95" customHeight="1">
      <c r="A78" s="7"/>
      <c r="B78" s="10"/>
      <c r="C78" s="12"/>
      <c r="D78" s="880"/>
      <c r="E78" s="880"/>
      <c r="F78" s="880"/>
      <c r="G78" s="880"/>
      <c r="H78" s="880"/>
      <c r="I78" s="880"/>
      <c r="J78" s="880"/>
      <c r="K78" s="880"/>
      <c r="L78" s="881"/>
      <c r="M78" s="880"/>
      <c r="N78" s="873"/>
      <c r="O78" s="880"/>
      <c r="P78" s="873"/>
      <c r="Q78" s="884"/>
      <c r="R78" s="880"/>
      <c r="S78" s="880"/>
      <c r="T78" s="882"/>
      <c r="U78" s="882"/>
      <c r="V78" s="883"/>
      <c r="W78" s="883"/>
      <c r="X78" s="883"/>
      <c r="Y78" s="883"/>
      <c r="Z78" s="883"/>
      <c r="AA78" s="883"/>
      <c r="AB78" s="883"/>
      <c r="AC78" s="883"/>
      <c r="AD78" s="883"/>
      <c r="AE78" s="883"/>
      <c r="AF78" s="883"/>
      <c r="AG78" s="883"/>
    </row>
    <row r="79" spans="1:34" s="3" customFormat="1" ht="15.95" customHeight="1">
      <c r="A79" s="7"/>
      <c r="B79" s="10"/>
      <c r="C79" s="12"/>
      <c r="D79" s="880"/>
      <c r="E79" s="880"/>
      <c r="F79" s="880"/>
      <c r="G79" s="880"/>
      <c r="H79" s="880"/>
      <c r="I79" s="880"/>
      <c r="J79" s="880"/>
      <c r="K79" s="880"/>
      <c r="L79" s="881"/>
      <c r="M79" s="880"/>
      <c r="N79" s="873"/>
      <c r="O79" s="880"/>
      <c r="P79" s="873"/>
      <c r="Q79" s="884"/>
      <c r="R79" s="880"/>
      <c r="S79" s="880"/>
      <c r="T79" s="882"/>
      <c r="U79" s="882"/>
      <c r="V79" s="883"/>
      <c r="W79" s="883"/>
      <c r="X79" s="883"/>
      <c r="Y79" s="883"/>
      <c r="Z79" s="883"/>
      <c r="AA79" s="883"/>
      <c r="AB79" s="883"/>
      <c r="AC79" s="883"/>
      <c r="AD79" s="883"/>
      <c r="AE79" s="883"/>
      <c r="AF79" s="883"/>
      <c r="AG79" s="883"/>
    </row>
    <row r="80" spans="1:34" s="3" customFormat="1" ht="15.95" customHeight="1">
      <c r="A80" s="7"/>
      <c r="B80" s="10"/>
      <c r="C80" s="12"/>
      <c r="D80" s="880"/>
      <c r="E80" s="880"/>
      <c r="F80" s="880"/>
      <c r="G80" s="880"/>
      <c r="H80" s="880"/>
      <c r="I80" s="880"/>
      <c r="J80" s="880"/>
      <c r="K80" s="880"/>
      <c r="L80" s="881"/>
      <c r="M80" s="880"/>
      <c r="N80" s="873"/>
      <c r="O80" s="880"/>
      <c r="P80" s="873"/>
      <c r="Q80" s="884"/>
      <c r="R80" s="880"/>
      <c r="S80" s="880"/>
      <c r="T80" s="882"/>
      <c r="U80" s="882"/>
      <c r="V80" s="883"/>
      <c r="W80" s="883"/>
      <c r="X80" s="883"/>
      <c r="Y80" s="883"/>
      <c r="Z80" s="883"/>
      <c r="AA80" s="883"/>
      <c r="AB80" s="883"/>
      <c r="AC80" s="883"/>
      <c r="AD80" s="883"/>
      <c r="AE80" s="883"/>
      <c r="AF80" s="883"/>
      <c r="AG80" s="883"/>
    </row>
    <row r="81" spans="1:34" s="3" customFormat="1" ht="15.95" customHeight="1">
      <c r="A81" s="7"/>
      <c r="B81" s="10"/>
      <c r="C81" s="12"/>
      <c r="D81" s="880"/>
      <c r="E81" s="880"/>
      <c r="F81" s="880"/>
      <c r="G81" s="880"/>
      <c r="H81" s="880"/>
      <c r="I81" s="880"/>
      <c r="J81" s="880"/>
      <c r="K81" s="880"/>
      <c r="L81" s="881"/>
      <c r="M81" s="880"/>
      <c r="N81" s="873"/>
      <c r="O81" s="880"/>
      <c r="P81" s="873"/>
      <c r="Q81" s="884"/>
      <c r="R81" s="880"/>
      <c r="S81" s="880"/>
      <c r="T81" s="882"/>
      <c r="U81" s="882"/>
      <c r="V81" s="883"/>
      <c r="W81" s="883"/>
      <c r="X81" s="883"/>
      <c r="Y81" s="883"/>
      <c r="Z81" s="883"/>
      <c r="AA81" s="883"/>
      <c r="AB81" s="883"/>
      <c r="AC81" s="883"/>
      <c r="AD81" s="883"/>
      <c r="AE81" s="883"/>
      <c r="AF81" s="883"/>
      <c r="AG81" s="883"/>
    </row>
    <row r="82" spans="1:34" s="3" customFormat="1" ht="15.95" customHeight="1">
      <c r="A82" s="11"/>
      <c r="B82" s="12"/>
      <c r="C82" s="12"/>
      <c r="D82" s="13"/>
      <c r="E82" s="13"/>
      <c r="F82" s="14"/>
      <c r="G82" s="13"/>
      <c r="H82" s="14"/>
      <c r="I82" s="14"/>
      <c r="J82" s="13"/>
      <c r="K82" s="13"/>
      <c r="L82" s="279"/>
      <c r="M82" s="14"/>
      <c r="N82" s="14"/>
      <c r="O82" s="13"/>
      <c r="P82" s="14"/>
      <c r="Q82" s="14"/>
      <c r="R82" s="13"/>
      <c r="S82" s="14"/>
      <c r="T82" s="13"/>
      <c r="U82" s="13"/>
      <c r="V82" s="11"/>
      <c r="W82" s="11"/>
      <c r="X82" s="11"/>
      <c r="Y82" s="11"/>
      <c r="Z82" s="11"/>
      <c r="AA82" s="11"/>
      <c r="AB82" s="11"/>
      <c r="AC82" s="11"/>
      <c r="AD82" s="11"/>
      <c r="AE82" s="11"/>
      <c r="AF82" s="11"/>
      <c r="AG82" s="11"/>
    </row>
    <row r="83" spans="1:34" s="3" customFormat="1" ht="15.95" customHeight="1" thickBot="1">
      <c r="A83" s="7"/>
      <c r="B83" s="19" t="s">
        <v>0</v>
      </c>
      <c r="C83" s="7"/>
      <c r="D83" s="17"/>
      <c r="E83" s="17"/>
      <c r="F83" s="18"/>
      <c r="G83" s="17"/>
      <c r="H83" s="18"/>
      <c r="I83" s="18"/>
      <c r="J83" s="17"/>
      <c r="K83" s="17"/>
      <c r="L83" s="281"/>
      <c r="M83" s="18"/>
      <c r="N83" s="9"/>
      <c r="O83" s="17"/>
      <c r="P83" s="18"/>
      <c r="Q83" s="18"/>
      <c r="R83" s="17"/>
      <c r="S83" s="866"/>
      <c r="T83" s="867" t="str">
        <f>'$REV-DB'!$T$34</f>
        <v>UD1</v>
      </c>
      <c r="U83" s="867" t="str">
        <f>'$REV-DB'!$U$34</f>
        <v>UD2</v>
      </c>
      <c r="V83" s="867" t="str">
        <f>'$REV-DB'!$V$34</f>
        <v>UD3</v>
      </c>
      <c r="W83" s="867" t="str">
        <f>'$REV-DB'!$W$34</f>
        <v>UD4</v>
      </c>
      <c r="X83" s="867" t="str">
        <f>'$REV-DB'!$X$34</f>
        <v>UD5</v>
      </c>
      <c r="Y83" s="867" t="str">
        <f>'$REV-DB'!$Y$34</f>
        <v>UD6</v>
      </c>
      <c r="Z83" s="867" t="str">
        <f>'$REV-DB'!$Z$34</f>
        <v>UD7</v>
      </c>
      <c r="AA83" s="867" t="str">
        <f>'$REV-DB'!$AA$34</f>
        <v>UD8</v>
      </c>
      <c r="AB83" s="867" t="str">
        <f>'$REV-DB'!$AB$34</f>
        <v>UD9</v>
      </c>
      <c r="AC83" s="867" t="str">
        <f>'$REV-DB'!$AC$34</f>
        <v>UD10</v>
      </c>
      <c r="AD83" s="867" t="str">
        <f>'$REV-DB'!$AD$34</f>
        <v>UD11</v>
      </c>
      <c r="AE83" s="867" t="str">
        <f>'$REV-DB'!$AE$34</f>
        <v>UD12</v>
      </c>
      <c r="AF83" s="867" t="str">
        <f>'$REV-DB'!$AF$34</f>
        <v>UD13</v>
      </c>
      <c r="AG83" s="867" t="str">
        <f>'$REV-DB'!$AG$34</f>
        <v>UD14</v>
      </c>
    </row>
    <row r="84" spans="1:34" s="3" customFormat="1" ht="15.95" customHeight="1" thickTop="1" thickBot="1">
      <c r="A84" s="7"/>
      <c r="B84" s="20" t="s">
        <v>175</v>
      </c>
      <c r="C84" s="15"/>
      <c r="D84" s="861" t="s">
        <v>186</v>
      </c>
      <c r="E84" s="861" t="s">
        <v>187</v>
      </c>
      <c r="F84" s="861" t="s">
        <v>188</v>
      </c>
      <c r="G84" s="861" t="s">
        <v>189</v>
      </c>
      <c r="H84" s="861" t="s">
        <v>11</v>
      </c>
      <c r="I84" s="861" t="s">
        <v>190</v>
      </c>
      <c r="J84" s="861" t="s">
        <v>191</v>
      </c>
      <c r="K84" s="861" t="s">
        <v>192</v>
      </c>
      <c r="L84" s="861" t="s">
        <v>203</v>
      </c>
      <c r="M84" s="861" t="s">
        <v>42</v>
      </c>
      <c r="N84" s="861" t="s">
        <v>148</v>
      </c>
      <c r="O84" s="861" t="s">
        <v>193</v>
      </c>
      <c r="P84" s="861" t="s">
        <v>142</v>
      </c>
      <c r="Q84" s="861" t="s">
        <v>194</v>
      </c>
      <c r="R84" s="112" t="s">
        <v>141</v>
      </c>
      <c r="S84" s="112" t="s">
        <v>672</v>
      </c>
      <c r="T84" s="861" t="s">
        <v>541</v>
      </c>
      <c r="U84" s="861" t="s">
        <v>542</v>
      </c>
      <c r="V84" s="861" t="s">
        <v>543</v>
      </c>
      <c r="W84" s="861" t="s">
        <v>544</v>
      </c>
      <c r="X84" s="861" t="s">
        <v>545</v>
      </c>
      <c r="Y84" s="861" t="s">
        <v>546</v>
      </c>
      <c r="Z84" s="861" t="s">
        <v>547</v>
      </c>
      <c r="AA84" s="861" t="s">
        <v>548</v>
      </c>
      <c r="AB84" s="861" t="s">
        <v>549</v>
      </c>
      <c r="AC84" s="861" t="s">
        <v>550</v>
      </c>
      <c r="AD84" s="861" t="s">
        <v>551</v>
      </c>
      <c r="AE84" s="861" t="s">
        <v>552</v>
      </c>
      <c r="AF84" s="861" t="s">
        <v>553</v>
      </c>
      <c r="AG84" s="861" t="s">
        <v>554</v>
      </c>
      <c r="AH84" s="6"/>
    </row>
    <row r="85" spans="1:34" s="3" customFormat="1" ht="15.95" customHeight="1" thickTop="1">
      <c r="A85" s="7"/>
      <c r="B85" s="19" t="s">
        <v>146</v>
      </c>
      <c r="C85" s="12"/>
      <c r="D85" s="186"/>
      <c r="E85" s="186"/>
      <c r="F85" s="186"/>
      <c r="G85" s="186"/>
      <c r="H85" s="186"/>
      <c r="I85" s="186"/>
      <c r="J85" s="186"/>
      <c r="K85" s="186"/>
      <c r="L85" s="278" t="s">
        <v>34</v>
      </c>
      <c r="M85" s="186"/>
      <c r="N85" s="37" t="str">
        <f>J$6</f>
        <v>FY2010-11</v>
      </c>
      <c r="O85" s="186"/>
      <c r="P85" s="37" t="s">
        <v>147</v>
      </c>
      <c r="Q85" s="189"/>
      <c r="R85" s="186"/>
      <c r="S85" s="186" t="s">
        <v>611</v>
      </c>
      <c r="T85" s="187"/>
      <c r="U85" s="187"/>
      <c r="V85" s="188"/>
      <c r="W85" s="188"/>
      <c r="X85" s="188"/>
      <c r="Y85" s="188"/>
      <c r="Z85" s="188"/>
      <c r="AA85" s="188"/>
      <c r="AB85" s="188"/>
      <c r="AC85" s="188"/>
      <c r="AD85" s="188"/>
      <c r="AE85" s="188"/>
      <c r="AF85" s="188"/>
      <c r="AG85" s="188"/>
      <c r="AH85" s="6"/>
    </row>
    <row r="86" spans="1:34" s="3" customFormat="1" ht="15.95" customHeight="1">
      <c r="A86" s="7"/>
      <c r="B86" s="16">
        <f>DSUM('$REV-DB'!D35:AG67,"AMOUNT",D84:AG85)</f>
        <v>194219132.00000003</v>
      </c>
      <c r="C86" s="12"/>
      <c r="D86" s="880"/>
      <c r="E86" s="880"/>
      <c r="F86" s="880"/>
      <c r="G86" s="880"/>
      <c r="H86" s="880"/>
      <c r="I86" s="880"/>
      <c r="J86" s="880"/>
      <c r="K86" s="880"/>
      <c r="L86" s="881"/>
      <c r="M86" s="880"/>
      <c r="N86" s="873"/>
      <c r="O86" s="880"/>
      <c r="P86" s="873"/>
      <c r="Q86" s="884"/>
      <c r="R86" s="880"/>
      <c r="S86" s="880"/>
      <c r="T86" s="882"/>
      <c r="U86" s="882"/>
      <c r="V86" s="883"/>
      <c r="W86" s="883"/>
      <c r="X86" s="883"/>
      <c r="Y86" s="883"/>
      <c r="Z86" s="883"/>
      <c r="AA86" s="883"/>
      <c r="AB86" s="883"/>
      <c r="AC86" s="883"/>
      <c r="AD86" s="883"/>
      <c r="AE86" s="883"/>
      <c r="AF86" s="883"/>
      <c r="AG86" s="883"/>
      <c r="AH86" s="6"/>
    </row>
    <row r="87" spans="1:34" s="3" customFormat="1" ht="15.95" customHeight="1">
      <c r="A87" s="7"/>
      <c r="B87" s="10"/>
      <c r="C87" s="12"/>
      <c r="D87" s="880"/>
      <c r="E87" s="880"/>
      <c r="F87" s="880"/>
      <c r="G87" s="880"/>
      <c r="H87" s="880"/>
      <c r="I87" s="880"/>
      <c r="J87" s="880"/>
      <c r="K87" s="880"/>
      <c r="L87" s="881"/>
      <c r="M87" s="880"/>
      <c r="N87" s="873"/>
      <c r="O87" s="880"/>
      <c r="P87" s="873"/>
      <c r="Q87" s="884"/>
      <c r="R87" s="880"/>
      <c r="S87" s="880"/>
      <c r="T87" s="882"/>
      <c r="U87" s="882"/>
      <c r="V87" s="883"/>
      <c r="W87" s="883"/>
      <c r="X87" s="883"/>
      <c r="Y87" s="883"/>
      <c r="Z87" s="883"/>
      <c r="AA87" s="883"/>
      <c r="AB87" s="883"/>
      <c r="AC87" s="883"/>
      <c r="AD87" s="883"/>
      <c r="AE87" s="883"/>
      <c r="AF87" s="883"/>
      <c r="AG87" s="883"/>
    </row>
    <row r="88" spans="1:34" s="3" customFormat="1" ht="15.95" customHeight="1">
      <c r="A88" s="7"/>
      <c r="B88" s="10"/>
      <c r="C88" s="12"/>
      <c r="D88" s="880"/>
      <c r="E88" s="880"/>
      <c r="F88" s="880"/>
      <c r="G88" s="880"/>
      <c r="H88" s="880"/>
      <c r="I88" s="880"/>
      <c r="J88" s="880"/>
      <c r="K88" s="880"/>
      <c r="L88" s="881"/>
      <c r="M88" s="880"/>
      <c r="N88" s="873"/>
      <c r="O88" s="880"/>
      <c r="P88" s="873"/>
      <c r="Q88" s="884"/>
      <c r="R88" s="880"/>
      <c r="S88" s="880"/>
      <c r="T88" s="882"/>
      <c r="U88" s="882"/>
      <c r="V88" s="883"/>
      <c r="W88" s="883"/>
      <c r="X88" s="883"/>
      <c r="Y88" s="883"/>
      <c r="Z88" s="883"/>
      <c r="AA88" s="883"/>
      <c r="AB88" s="883"/>
      <c r="AC88" s="883"/>
      <c r="AD88" s="883"/>
      <c r="AE88" s="883"/>
      <c r="AF88" s="883"/>
      <c r="AG88" s="883"/>
    </row>
    <row r="89" spans="1:34" s="3" customFormat="1" ht="15.95" customHeight="1">
      <c r="A89" s="7"/>
      <c r="B89" s="10"/>
      <c r="C89" s="12"/>
      <c r="D89" s="880"/>
      <c r="E89" s="880"/>
      <c r="F89" s="880"/>
      <c r="G89" s="880"/>
      <c r="H89" s="880"/>
      <c r="I89" s="880"/>
      <c r="J89" s="880"/>
      <c r="K89" s="880"/>
      <c r="L89" s="881"/>
      <c r="M89" s="880"/>
      <c r="N89" s="873"/>
      <c r="O89" s="880"/>
      <c r="P89" s="873"/>
      <c r="Q89" s="884"/>
      <c r="R89" s="880"/>
      <c r="S89" s="880"/>
      <c r="T89" s="882"/>
      <c r="U89" s="882"/>
      <c r="V89" s="883"/>
      <c r="W89" s="883"/>
      <c r="X89" s="883"/>
      <c r="Y89" s="883"/>
      <c r="Z89" s="883"/>
      <c r="AA89" s="883"/>
      <c r="AB89" s="883"/>
      <c r="AC89" s="883"/>
      <c r="AD89" s="883"/>
      <c r="AE89" s="883"/>
      <c r="AF89" s="883"/>
      <c r="AG89" s="883"/>
    </row>
    <row r="90" spans="1:34" s="3" customFormat="1" ht="15.95" customHeight="1">
      <c r="A90" s="7"/>
      <c r="B90" s="10"/>
      <c r="C90" s="12"/>
      <c r="D90" s="880"/>
      <c r="E90" s="880"/>
      <c r="F90" s="880"/>
      <c r="G90" s="880"/>
      <c r="H90" s="880"/>
      <c r="I90" s="880"/>
      <c r="J90" s="880"/>
      <c r="K90" s="880"/>
      <c r="L90" s="881"/>
      <c r="M90" s="880"/>
      <c r="N90" s="873"/>
      <c r="O90" s="880"/>
      <c r="P90" s="873"/>
      <c r="Q90" s="884"/>
      <c r="R90" s="880"/>
      <c r="S90" s="880"/>
      <c r="T90" s="882"/>
      <c r="U90" s="882"/>
      <c r="V90" s="883"/>
      <c r="W90" s="883"/>
      <c r="X90" s="883"/>
      <c r="Y90" s="883"/>
      <c r="Z90" s="883"/>
      <c r="AA90" s="883"/>
      <c r="AB90" s="883"/>
      <c r="AC90" s="883"/>
      <c r="AD90" s="883"/>
      <c r="AE90" s="883"/>
      <c r="AF90" s="883"/>
      <c r="AG90" s="883"/>
    </row>
    <row r="91" spans="1:34" s="3" customFormat="1" ht="15.95" customHeight="1">
      <c r="A91" s="7"/>
      <c r="B91" s="10"/>
      <c r="C91" s="12"/>
      <c r="D91" s="880"/>
      <c r="E91" s="880"/>
      <c r="F91" s="880"/>
      <c r="G91" s="880"/>
      <c r="H91" s="880"/>
      <c r="I91" s="880"/>
      <c r="J91" s="880"/>
      <c r="K91" s="880"/>
      <c r="L91" s="881"/>
      <c r="M91" s="880"/>
      <c r="N91" s="873"/>
      <c r="O91" s="880"/>
      <c r="P91" s="873"/>
      <c r="Q91" s="884"/>
      <c r="R91" s="880"/>
      <c r="S91" s="880"/>
      <c r="T91" s="882"/>
      <c r="U91" s="882"/>
      <c r="V91" s="883"/>
      <c r="W91" s="883"/>
      <c r="X91" s="883"/>
      <c r="Y91" s="883"/>
      <c r="Z91" s="883"/>
      <c r="AA91" s="883"/>
      <c r="AB91" s="883"/>
      <c r="AC91" s="883"/>
      <c r="AD91" s="883"/>
      <c r="AE91" s="883"/>
      <c r="AF91" s="883"/>
      <c r="AG91" s="883"/>
    </row>
    <row r="92" spans="1:34" s="3" customFormat="1" ht="15.95" customHeight="1">
      <c r="A92" s="11"/>
      <c r="B92" s="12"/>
      <c r="C92" s="12"/>
      <c r="D92" s="13"/>
      <c r="E92" s="13"/>
      <c r="F92" s="14"/>
      <c r="G92" s="13"/>
      <c r="H92" s="14"/>
      <c r="I92" s="14"/>
      <c r="J92" s="13"/>
      <c r="K92" s="13"/>
      <c r="L92" s="279"/>
      <c r="M92" s="14"/>
      <c r="N92" s="14"/>
      <c r="O92" s="13"/>
      <c r="P92" s="14"/>
      <c r="Q92" s="14"/>
      <c r="R92" s="13"/>
      <c r="S92" s="14"/>
      <c r="T92" s="13"/>
      <c r="U92" s="13"/>
      <c r="V92" s="11"/>
      <c r="W92" s="11"/>
      <c r="X92" s="11"/>
      <c r="Y92" s="11"/>
      <c r="Z92" s="11"/>
      <c r="AA92" s="11"/>
      <c r="AB92" s="11"/>
      <c r="AC92" s="11"/>
      <c r="AD92" s="11"/>
      <c r="AE92" s="11"/>
      <c r="AF92" s="11"/>
      <c r="AG92" s="11"/>
    </row>
    <row r="93" spans="1:34" s="3" customFormat="1" ht="15.95" customHeight="1" thickBot="1">
      <c r="A93" s="7"/>
      <c r="B93" s="19" t="s">
        <v>0</v>
      </c>
      <c r="C93" s="7"/>
      <c r="D93" s="8"/>
      <c r="E93" s="8"/>
      <c r="F93" s="9"/>
      <c r="G93" s="8"/>
      <c r="H93" s="9"/>
      <c r="I93" s="9"/>
      <c r="J93" s="8"/>
      <c r="K93" s="8"/>
      <c r="L93" s="280"/>
      <c r="M93" s="9"/>
      <c r="N93" s="9"/>
      <c r="O93" s="8"/>
      <c r="P93" s="9"/>
      <c r="Q93" s="9"/>
      <c r="R93" s="8"/>
      <c r="S93" s="866"/>
      <c r="T93" s="867" t="str">
        <f>'$REV-DB'!$T$34</f>
        <v>UD1</v>
      </c>
      <c r="U93" s="867" t="str">
        <f>'$REV-DB'!$U$34</f>
        <v>UD2</v>
      </c>
      <c r="V93" s="867" t="str">
        <f>'$REV-DB'!$V$34</f>
        <v>UD3</v>
      </c>
      <c r="W93" s="867" t="str">
        <f>'$REV-DB'!$W$34</f>
        <v>UD4</v>
      </c>
      <c r="X93" s="867" t="str">
        <f>'$REV-DB'!$X$34</f>
        <v>UD5</v>
      </c>
      <c r="Y93" s="867" t="str">
        <f>'$REV-DB'!$Y$34</f>
        <v>UD6</v>
      </c>
      <c r="Z93" s="867" t="str">
        <f>'$REV-DB'!$Z$34</f>
        <v>UD7</v>
      </c>
      <c r="AA93" s="867" t="str">
        <f>'$REV-DB'!$AA$34</f>
        <v>UD8</v>
      </c>
      <c r="AB93" s="867" t="str">
        <f>'$REV-DB'!$AB$34</f>
        <v>UD9</v>
      </c>
      <c r="AC93" s="867" t="str">
        <f>'$REV-DB'!$AC$34</f>
        <v>UD10</v>
      </c>
      <c r="AD93" s="867" t="str">
        <f>'$REV-DB'!$AD$34</f>
        <v>UD11</v>
      </c>
      <c r="AE93" s="867" t="str">
        <f>'$REV-DB'!$AE$34</f>
        <v>UD12</v>
      </c>
      <c r="AF93" s="867" t="str">
        <f>'$REV-DB'!$AF$34</f>
        <v>UD13</v>
      </c>
      <c r="AG93" s="867" t="str">
        <f>'$REV-DB'!$AG$34</f>
        <v>UD14</v>
      </c>
    </row>
    <row r="94" spans="1:34" s="3" customFormat="1" ht="15.95" customHeight="1" thickTop="1" thickBot="1">
      <c r="A94" s="7"/>
      <c r="B94" s="20" t="s">
        <v>175</v>
      </c>
      <c r="C94" s="15"/>
      <c r="D94" s="861" t="s">
        <v>186</v>
      </c>
      <c r="E94" s="861" t="s">
        <v>187</v>
      </c>
      <c r="F94" s="861" t="s">
        <v>188</v>
      </c>
      <c r="G94" s="861" t="s">
        <v>189</v>
      </c>
      <c r="H94" s="861" t="s">
        <v>11</v>
      </c>
      <c r="I94" s="861" t="s">
        <v>190</v>
      </c>
      <c r="J94" s="861" t="s">
        <v>191</v>
      </c>
      <c r="K94" s="861" t="s">
        <v>192</v>
      </c>
      <c r="L94" s="861" t="s">
        <v>203</v>
      </c>
      <c r="M94" s="861" t="s">
        <v>42</v>
      </c>
      <c r="N94" s="861" t="s">
        <v>148</v>
      </c>
      <c r="O94" s="861" t="s">
        <v>193</v>
      </c>
      <c r="P94" s="861" t="s">
        <v>142</v>
      </c>
      <c r="Q94" s="861" t="s">
        <v>194</v>
      </c>
      <c r="R94" s="112" t="s">
        <v>141</v>
      </c>
      <c r="S94" s="112" t="s">
        <v>672</v>
      </c>
      <c r="T94" s="861" t="s">
        <v>541</v>
      </c>
      <c r="U94" s="861" t="s">
        <v>542</v>
      </c>
      <c r="V94" s="861" t="s">
        <v>543</v>
      </c>
      <c r="W94" s="861" t="s">
        <v>544</v>
      </c>
      <c r="X94" s="861" t="s">
        <v>545</v>
      </c>
      <c r="Y94" s="861" t="s">
        <v>546</v>
      </c>
      <c r="Z94" s="861" t="s">
        <v>547</v>
      </c>
      <c r="AA94" s="861" t="s">
        <v>548</v>
      </c>
      <c r="AB94" s="861" t="s">
        <v>549</v>
      </c>
      <c r="AC94" s="861" t="s">
        <v>550</v>
      </c>
      <c r="AD94" s="861" t="s">
        <v>551</v>
      </c>
      <c r="AE94" s="861" t="s">
        <v>552</v>
      </c>
      <c r="AF94" s="861" t="s">
        <v>553</v>
      </c>
      <c r="AG94" s="861" t="s">
        <v>554</v>
      </c>
      <c r="AH94" s="6"/>
    </row>
    <row r="95" spans="1:34" s="3" customFormat="1" ht="15.95" customHeight="1" thickTop="1">
      <c r="A95" s="7"/>
      <c r="B95" s="19" t="s">
        <v>145</v>
      </c>
      <c r="C95" s="12"/>
      <c r="D95" s="186"/>
      <c r="E95" s="186"/>
      <c r="F95" s="186"/>
      <c r="G95" s="186"/>
      <c r="H95" s="186"/>
      <c r="I95" s="186"/>
      <c r="J95" s="186"/>
      <c r="K95" s="186"/>
      <c r="L95" s="278" t="s">
        <v>34</v>
      </c>
      <c r="M95" s="186"/>
      <c r="N95" s="37" t="str">
        <f>J$6</f>
        <v>FY2010-11</v>
      </c>
      <c r="O95" s="186"/>
      <c r="P95" s="37" t="s">
        <v>147</v>
      </c>
      <c r="Q95" s="189" t="s">
        <v>180</v>
      </c>
      <c r="R95" s="186"/>
      <c r="S95" s="186" t="s">
        <v>611</v>
      </c>
      <c r="T95" s="187"/>
      <c r="U95" s="187"/>
      <c r="V95" s="188"/>
      <c r="W95" s="188"/>
      <c r="X95" s="188"/>
      <c r="Y95" s="188"/>
      <c r="Z95" s="188"/>
      <c r="AA95" s="188"/>
      <c r="AB95" s="188"/>
      <c r="AC95" s="188"/>
      <c r="AD95" s="188"/>
      <c r="AE95" s="188"/>
      <c r="AF95" s="188"/>
      <c r="AG95" s="188"/>
      <c r="AH95" s="6"/>
    </row>
    <row r="96" spans="1:34" s="3" customFormat="1" ht="15.95" customHeight="1">
      <c r="A96" s="7"/>
      <c r="B96" s="16">
        <f>DSUM('$REV-DB'!D35:AG67,"AMOUNT",D94:AG95)</f>
        <v>17198745.100000001</v>
      </c>
      <c r="C96" s="12"/>
      <c r="D96" s="880"/>
      <c r="E96" s="880"/>
      <c r="F96" s="880"/>
      <c r="G96" s="880"/>
      <c r="H96" s="880"/>
      <c r="I96" s="880"/>
      <c r="J96" s="880"/>
      <c r="K96" s="880"/>
      <c r="L96" s="881"/>
      <c r="M96" s="880"/>
      <c r="N96" s="873"/>
      <c r="O96" s="880"/>
      <c r="P96" s="873"/>
      <c r="Q96" s="884"/>
      <c r="R96" s="880"/>
      <c r="S96" s="880"/>
      <c r="T96" s="882"/>
      <c r="U96" s="882"/>
      <c r="V96" s="883"/>
      <c r="W96" s="883"/>
      <c r="X96" s="883"/>
      <c r="Y96" s="883"/>
      <c r="Z96" s="883"/>
      <c r="AA96" s="883"/>
      <c r="AB96" s="883"/>
      <c r="AC96" s="883"/>
      <c r="AD96" s="883"/>
      <c r="AE96" s="883"/>
      <c r="AF96" s="883"/>
      <c r="AG96" s="883"/>
      <c r="AH96" s="6"/>
    </row>
    <row r="97" spans="1:34" s="3" customFormat="1" ht="15.95" customHeight="1">
      <c r="A97" s="7"/>
      <c r="B97" s="10"/>
      <c r="C97" s="12"/>
      <c r="D97" s="880"/>
      <c r="E97" s="880"/>
      <c r="F97" s="880"/>
      <c r="G97" s="880"/>
      <c r="H97" s="880"/>
      <c r="I97" s="880"/>
      <c r="J97" s="880"/>
      <c r="K97" s="880"/>
      <c r="L97" s="881"/>
      <c r="M97" s="880"/>
      <c r="N97" s="873"/>
      <c r="O97" s="880"/>
      <c r="P97" s="873"/>
      <c r="Q97" s="884"/>
      <c r="R97" s="880"/>
      <c r="S97" s="880"/>
      <c r="T97" s="882"/>
      <c r="U97" s="882"/>
      <c r="V97" s="883"/>
      <c r="W97" s="883"/>
      <c r="X97" s="883"/>
      <c r="Y97" s="883"/>
      <c r="Z97" s="883"/>
      <c r="AA97" s="883"/>
      <c r="AB97" s="883"/>
      <c r="AC97" s="883"/>
      <c r="AD97" s="883"/>
      <c r="AE97" s="883"/>
      <c r="AF97" s="883"/>
      <c r="AG97" s="883"/>
    </row>
    <row r="98" spans="1:34" s="3" customFormat="1" ht="15.95" customHeight="1">
      <c r="A98" s="7"/>
      <c r="B98" s="10"/>
      <c r="C98" s="12"/>
      <c r="D98" s="880"/>
      <c r="E98" s="880"/>
      <c r="F98" s="880"/>
      <c r="G98" s="880"/>
      <c r="H98" s="880"/>
      <c r="I98" s="880"/>
      <c r="J98" s="880"/>
      <c r="K98" s="880"/>
      <c r="L98" s="881"/>
      <c r="M98" s="880"/>
      <c r="N98" s="873"/>
      <c r="O98" s="880"/>
      <c r="P98" s="873"/>
      <c r="Q98" s="884"/>
      <c r="R98" s="880"/>
      <c r="S98" s="880"/>
      <c r="T98" s="882"/>
      <c r="U98" s="882"/>
      <c r="V98" s="883"/>
      <c r="W98" s="883"/>
      <c r="X98" s="883"/>
      <c r="Y98" s="883"/>
      <c r="Z98" s="883"/>
      <c r="AA98" s="883"/>
      <c r="AB98" s="883"/>
      <c r="AC98" s="883"/>
      <c r="AD98" s="883"/>
      <c r="AE98" s="883"/>
      <c r="AF98" s="883"/>
      <c r="AG98" s="883"/>
    </row>
    <row r="99" spans="1:34" s="3" customFormat="1" ht="15.95" customHeight="1">
      <c r="A99" s="7"/>
      <c r="B99" s="10"/>
      <c r="C99" s="12"/>
      <c r="D99" s="880"/>
      <c r="E99" s="880"/>
      <c r="F99" s="880"/>
      <c r="G99" s="880"/>
      <c r="H99" s="880"/>
      <c r="I99" s="880"/>
      <c r="J99" s="880"/>
      <c r="K99" s="880"/>
      <c r="L99" s="881"/>
      <c r="M99" s="880"/>
      <c r="N99" s="873"/>
      <c r="O99" s="880"/>
      <c r="P99" s="873"/>
      <c r="Q99" s="884"/>
      <c r="R99" s="880"/>
      <c r="S99" s="880"/>
      <c r="T99" s="882"/>
      <c r="U99" s="882"/>
      <c r="V99" s="883"/>
      <c r="W99" s="883"/>
      <c r="X99" s="883"/>
      <c r="Y99" s="883"/>
      <c r="Z99" s="883"/>
      <c r="AA99" s="883"/>
      <c r="AB99" s="883"/>
      <c r="AC99" s="883"/>
      <c r="AD99" s="883"/>
      <c r="AE99" s="883"/>
      <c r="AF99" s="883"/>
      <c r="AG99" s="883"/>
    </row>
    <row r="100" spans="1:34" s="3" customFormat="1" ht="15.95" customHeight="1">
      <c r="A100" s="7"/>
      <c r="B100" s="10"/>
      <c r="C100" s="12"/>
      <c r="D100" s="880"/>
      <c r="E100" s="880"/>
      <c r="F100" s="880"/>
      <c r="G100" s="880"/>
      <c r="H100" s="880"/>
      <c r="I100" s="880"/>
      <c r="J100" s="880"/>
      <c r="K100" s="880"/>
      <c r="L100" s="881"/>
      <c r="M100" s="880"/>
      <c r="N100" s="873"/>
      <c r="O100" s="880"/>
      <c r="P100" s="873"/>
      <c r="Q100" s="884"/>
      <c r="R100" s="880"/>
      <c r="S100" s="880"/>
      <c r="T100" s="882"/>
      <c r="U100" s="882"/>
      <c r="V100" s="883"/>
      <c r="W100" s="883"/>
      <c r="X100" s="883"/>
      <c r="Y100" s="883"/>
      <c r="Z100" s="883"/>
      <c r="AA100" s="883"/>
      <c r="AB100" s="883"/>
      <c r="AC100" s="883"/>
      <c r="AD100" s="883"/>
      <c r="AE100" s="883"/>
      <c r="AF100" s="883"/>
      <c r="AG100" s="883"/>
    </row>
    <row r="101" spans="1:34" s="3" customFormat="1" ht="15.95" customHeight="1">
      <c r="A101" s="7"/>
      <c r="B101" s="10"/>
      <c r="C101" s="12"/>
      <c r="D101" s="880"/>
      <c r="E101" s="880"/>
      <c r="F101" s="880"/>
      <c r="G101" s="880"/>
      <c r="H101" s="880"/>
      <c r="I101" s="880"/>
      <c r="J101" s="880"/>
      <c r="K101" s="880"/>
      <c r="L101" s="881"/>
      <c r="M101" s="880"/>
      <c r="N101" s="873"/>
      <c r="O101" s="880"/>
      <c r="P101" s="873"/>
      <c r="Q101" s="884"/>
      <c r="R101" s="880"/>
      <c r="S101" s="880"/>
      <c r="T101" s="882"/>
      <c r="U101" s="882"/>
      <c r="V101" s="883"/>
      <c r="W101" s="883"/>
      <c r="X101" s="883"/>
      <c r="Y101" s="883"/>
      <c r="Z101" s="883"/>
      <c r="AA101" s="883"/>
      <c r="AB101" s="883"/>
      <c r="AC101" s="883"/>
      <c r="AD101" s="883"/>
      <c r="AE101" s="883"/>
      <c r="AF101" s="883"/>
      <c r="AG101" s="883"/>
    </row>
    <row r="102" spans="1:34" s="3" customFormat="1" ht="15.95" customHeight="1">
      <c r="A102" s="11"/>
      <c r="B102" s="12"/>
      <c r="C102" s="12"/>
      <c r="D102" s="13"/>
      <c r="E102" s="13"/>
      <c r="F102" s="14"/>
      <c r="G102" s="13"/>
      <c r="H102" s="14"/>
      <c r="I102" s="14"/>
      <c r="J102" s="13"/>
      <c r="K102" s="13"/>
      <c r="L102" s="279"/>
      <c r="M102" s="14"/>
      <c r="N102" s="14"/>
      <c r="O102" s="13"/>
      <c r="P102" s="14"/>
      <c r="Q102" s="14"/>
      <c r="R102" s="13"/>
      <c r="S102" s="14"/>
      <c r="T102" s="13"/>
      <c r="U102" s="13"/>
      <c r="V102" s="11"/>
      <c r="W102" s="11"/>
      <c r="X102" s="11"/>
      <c r="Y102" s="11"/>
      <c r="Z102" s="11"/>
      <c r="AA102" s="11"/>
      <c r="AB102" s="11"/>
      <c r="AC102" s="11"/>
      <c r="AD102" s="11"/>
      <c r="AE102" s="11"/>
      <c r="AF102" s="11"/>
      <c r="AG102" s="11"/>
    </row>
    <row r="103" spans="1:34" s="3" customFormat="1" ht="15.95" customHeight="1" thickBot="1">
      <c r="A103" s="7"/>
      <c r="B103" s="19" t="s">
        <v>0</v>
      </c>
      <c r="C103" s="7"/>
      <c r="D103" s="8"/>
      <c r="E103" s="8"/>
      <c r="F103" s="9"/>
      <c r="G103" s="8"/>
      <c r="H103" s="9"/>
      <c r="I103" s="9"/>
      <c r="J103" s="8"/>
      <c r="K103" s="8"/>
      <c r="L103" s="280"/>
      <c r="M103" s="9"/>
      <c r="N103" s="9"/>
      <c r="O103" s="8"/>
      <c r="P103" s="9"/>
      <c r="Q103" s="9"/>
      <c r="R103" s="8"/>
      <c r="S103" s="866"/>
      <c r="T103" s="867" t="str">
        <f>'$REV-DB'!$T$34</f>
        <v>UD1</v>
      </c>
      <c r="U103" s="867" t="str">
        <f>'$REV-DB'!$U$34</f>
        <v>UD2</v>
      </c>
      <c r="V103" s="867" t="str">
        <f>'$REV-DB'!$V$34</f>
        <v>UD3</v>
      </c>
      <c r="W103" s="867" t="str">
        <f>'$REV-DB'!$W$34</f>
        <v>UD4</v>
      </c>
      <c r="X103" s="867" t="str">
        <f>'$REV-DB'!$X$34</f>
        <v>UD5</v>
      </c>
      <c r="Y103" s="867" t="str">
        <f>'$REV-DB'!$Y$34</f>
        <v>UD6</v>
      </c>
      <c r="Z103" s="867" t="str">
        <f>'$REV-DB'!$Z$34</f>
        <v>UD7</v>
      </c>
      <c r="AA103" s="867" t="str">
        <f>'$REV-DB'!$AA$34</f>
        <v>UD8</v>
      </c>
      <c r="AB103" s="867" t="str">
        <f>'$REV-DB'!$AB$34</f>
        <v>UD9</v>
      </c>
      <c r="AC103" s="867" t="str">
        <f>'$REV-DB'!$AC$34</f>
        <v>UD10</v>
      </c>
      <c r="AD103" s="867" t="str">
        <f>'$REV-DB'!$AD$34</f>
        <v>UD11</v>
      </c>
      <c r="AE103" s="867" t="str">
        <f>'$REV-DB'!$AE$34</f>
        <v>UD12</v>
      </c>
      <c r="AF103" s="867" t="str">
        <f>'$REV-DB'!$AF$34</f>
        <v>UD13</v>
      </c>
      <c r="AG103" s="867" t="str">
        <f>'$REV-DB'!$AG$34</f>
        <v>UD14</v>
      </c>
    </row>
    <row r="104" spans="1:34" s="3" customFormat="1" ht="15.95" customHeight="1" thickTop="1" thickBot="1">
      <c r="A104" s="7"/>
      <c r="B104" s="20" t="s">
        <v>175</v>
      </c>
      <c r="C104" s="15"/>
      <c r="D104" s="861" t="s">
        <v>186</v>
      </c>
      <c r="E104" s="861" t="s">
        <v>187</v>
      </c>
      <c r="F104" s="861" t="s">
        <v>188</v>
      </c>
      <c r="G104" s="861" t="s">
        <v>189</v>
      </c>
      <c r="H104" s="861" t="s">
        <v>11</v>
      </c>
      <c r="I104" s="861" t="s">
        <v>190</v>
      </c>
      <c r="J104" s="861" t="s">
        <v>191</v>
      </c>
      <c r="K104" s="861" t="s">
        <v>192</v>
      </c>
      <c r="L104" s="861" t="s">
        <v>203</v>
      </c>
      <c r="M104" s="861" t="s">
        <v>42</v>
      </c>
      <c r="N104" s="861" t="s">
        <v>148</v>
      </c>
      <c r="O104" s="861" t="s">
        <v>193</v>
      </c>
      <c r="P104" s="861" t="s">
        <v>142</v>
      </c>
      <c r="Q104" s="861" t="s">
        <v>194</v>
      </c>
      <c r="R104" s="112" t="s">
        <v>141</v>
      </c>
      <c r="S104" s="112" t="s">
        <v>672</v>
      </c>
      <c r="T104" s="861" t="s">
        <v>541</v>
      </c>
      <c r="U104" s="861" t="s">
        <v>542</v>
      </c>
      <c r="V104" s="861" t="s">
        <v>543</v>
      </c>
      <c r="W104" s="861" t="s">
        <v>544</v>
      </c>
      <c r="X104" s="861" t="s">
        <v>545</v>
      </c>
      <c r="Y104" s="861" t="s">
        <v>546</v>
      </c>
      <c r="Z104" s="861" t="s">
        <v>547</v>
      </c>
      <c r="AA104" s="861" t="s">
        <v>548</v>
      </c>
      <c r="AB104" s="861" t="s">
        <v>549</v>
      </c>
      <c r="AC104" s="861" t="s">
        <v>550</v>
      </c>
      <c r="AD104" s="861" t="s">
        <v>551</v>
      </c>
      <c r="AE104" s="861" t="s">
        <v>552</v>
      </c>
      <c r="AF104" s="861" t="s">
        <v>553</v>
      </c>
      <c r="AG104" s="861" t="s">
        <v>554</v>
      </c>
      <c r="AH104" s="6"/>
    </row>
    <row r="105" spans="1:34" s="3" customFormat="1" ht="15.95" customHeight="1" thickTop="1">
      <c r="A105" s="7"/>
      <c r="B105" s="19" t="s">
        <v>144</v>
      </c>
      <c r="C105" s="12"/>
      <c r="D105" s="186"/>
      <c r="E105" s="186"/>
      <c r="F105" s="186"/>
      <c r="G105" s="186"/>
      <c r="H105" s="186"/>
      <c r="I105" s="186"/>
      <c r="J105" s="186"/>
      <c r="K105" s="186"/>
      <c r="L105" s="278" t="s">
        <v>34</v>
      </c>
      <c r="M105" s="186"/>
      <c r="N105" s="37" t="str">
        <f>J$6</f>
        <v>FY2010-11</v>
      </c>
      <c r="O105" s="186"/>
      <c r="P105" s="37" t="s">
        <v>147</v>
      </c>
      <c r="Q105" s="189" t="s">
        <v>139</v>
      </c>
      <c r="R105" s="186"/>
      <c r="S105" s="186" t="s">
        <v>611</v>
      </c>
      <c r="T105" s="187"/>
      <c r="U105" s="187"/>
      <c r="V105" s="188"/>
      <c r="W105" s="188"/>
      <c r="X105" s="188"/>
      <c r="Y105" s="188"/>
      <c r="Z105" s="188"/>
      <c r="AA105" s="188"/>
      <c r="AB105" s="188"/>
      <c r="AC105" s="188"/>
      <c r="AD105" s="188"/>
      <c r="AE105" s="188"/>
      <c r="AF105" s="188"/>
      <c r="AG105" s="188"/>
      <c r="AH105" s="6"/>
    </row>
    <row r="106" spans="1:34" s="3" customFormat="1" ht="15.95" customHeight="1">
      <c r="A106" s="7"/>
      <c r="B106" s="16">
        <f>DSUM('$REV-DB'!D35:AG67,"AMOUNT",D104:AG105)</f>
        <v>109110317</v>
      </c>
      <c r="C106" s="12"/>
      <c r="D106" s="880"/>
      <c r="E106" s="880"/>
      <c r="F106" s="880"/>
      <c r="G106" s="880"/>
      <c r="H106" s="880"/>
      <c r="I106" s="880"/>
      <c r="J106" s="880"/>
      <c r="K106" s="880"/>
      <c r="L106" s="881"/>
      <c r="M106" s="880"/>
      <c r="N106" s="873"/>
      <c r="O106" s="880"/>
      <c r="P106" s="873"/>
      <c r="Q106" s="884"/>
      <c r="R106" s="880"/>
      <c r="S106" s="880"/>
      <c r="T106" s="882"/>
      <c r="U106" s="882"/>
      <c r="V106" s="883"/>
      <c r="W106" s="883"/>
      <c r="X106" s="883"/>
      <c r="Y106" s="883"/>
      <c r="Z106" s="883"/>
      <c r="AA106" s="883"/>
      <c r="AB106" s="883"/>
      <c r="AC106" s="883"/>
      <c r="AD106" s="883"/>
      <c r="AE106" s="883"/>
      <c r="AF106" s="883"/>
      <c r="AG106" s="883"/>
      <c r="AH106" s="6"/>
    </row>
    <row r="107" spans="1:34" s="3" customFormat="1" ht="15.95" customHeight="1">
      <c r="A107" s="7"/>
      <c r="B107" s="10"/>
      <c r="C107" s="12"/>
      <c r="D107" s="880"/>
      <c r="E107" s="880"/>
      <c r="F107" s="880"/>
      <c r="G107" s="880"/>
      <c r="H107" s="880"/>
      <c r="I107" s="880"/>
      <c r="J107" s="880"/>
      <c r="K107" s="880"/>
      <c r="L107" s="881"/>
      <c r="M107" s="880"/>
      <c r="N107" s="873"/>
      <c r="O107" s="880"/>
      <c r="P107" s="873"/>
      <c r="Q107" s="884"/>
      <c r="R107" s="880"/>
      <c r="S107" s="880"/>
      <c r="T107" s="882"/>
      <c r="U107" s="882"/>
      <c r="V107" s="883"/>
      <c r="W107" s="883"/>
      <c r="X107" s="883"/>
      <c r="Y107" s="883"/>
      <c r="Z107" s="883"/>
      <c r="AA107" s="883"/>
      <c r="AB107" s="883"/>
      <c r="AC107" s="883"/>
      <c r="AD107" s="883"/>
      <c r="AE107" s="883"/>
      <c r="AF107" s="883"/>
      <c r="AG107" s="883"/>
    </row>
    <row r="108" spans="1:34" s="3" customFormat="1" ht="15.95" customHeight="1">
      <c r="A108" s="7"/>
      <c r="B108" s="10"/>
      <c r="C108" s="12"/>
      <c r="D108" s="880"/>
      <c r="E108" s="880"/>
      <c r="F108" s="880"/>
      <c r="G108" s="880"/>
      <c r="H108" s="880"/>
      <c r="I108" s="880"/>
      <c r="J108" s="880"/>
      <c r="K108" s="880"/>
      <c r="L108" s="881"/>
      <c r="M108" s="880"/>
      <c r="N108" s="873"/>
      <c r="O108" s="880"/>
      <c r="P108" s="873"/>
      <c r="Q108" s="884"/>
      <c r="R108" s="880"/>
      <c r="S108" s="880"/>
      <c r="T108" s="882"/>
      <c r="U108" s="882"/>
      <c r="V108" s="883"/>
      <c r="W108" s="883"/>
      <c r="X108" s="883"/>
      <c r="Y108" s="883"/>
      <c r="Z108" s="883"/>
      <c r="AA108" s="883"/>
      <c r="AB108" s="883"/>
      <c r="AC108" s="883"/>
      <c r="AD108" s="883"/>
      <c r="AE108" s="883"/>
      <c r="AF108" s="883"/>
      <c r="AG108" s="883"/>
    </row>
    <row r="109" spans="1:34" s="3" customFormat="1" ht="15.95" customHeight="1">
      <c r="A109" s="7"/>
      <c r="B109" s="10"/>
      <c r="C109" s="12"/>
      <c r="D109" s="880"/>
      <c r="E109" s="880"/>
      <c r="F109" s="880"/>
      <c r="G109" s="880"/>
      <c r="H109" s="880"/>
      <c r="I109" s="880"/>
      <c r="J109" s="880"/>
      <c r="K109" s="880"/>
      <c r="L109" s="881"/>
      <c r="M109" s="880"/>
      <c r="N109" s="873"/>
      <c r="O109" s="880"/>
      <c r="P109" s="873"/>
      <c r="Q109" s="884"/>
      <c r="R109" s="880"/>
      <c r="S109" s="880"/>
      <c r="T109" s="882"/>
      <c r="U109" s="882"/>
      <c r="V109" s="883"/>
      <c r="W109" s="883"/>
      <c r="X109" s="883"/>
      <c r="Y109" s="883"/>
      <c r="Z109" s="883"/>
      <c r="AA109" s="883"/>
      <c r="AB109" s="883"/>
      <c r="AC109" s="883"/>
      <c r="AD109" s="883"/>
      <c r="AE109" s="883"/>
      <c r="AF109" s="883"/>
      <c r="AG109" s="883"/>
    </row>
    <row r="110" spans="1:34" s="3" customFormat="1" ht="15.95" customHeight="1">
      <c r="A110" s="7"/>
      <c r="B110" s="10"/>
      <c r="C110" s="12"/>
      <c r="D110" s="880"/>
      <c r="E110" s="880"/>
      <c r="F110" s="880"/>
      <c r="G110" s="880"/>
      <c r="H110" s="880"/>
      <c r="I110" s="880"/>
      <c r="J110" s="880"/>
      <c r="K110" s="880"/>
      <c r="L110" s="881"/>
      <c r="M110" s="880"/>
      <c r="N110" s="873"/>
      <c r="O110" s="880"/>
      <c r="P110" s="873"/>
      <c r="Q110" s="884"/>
      <c r="R110" s="880"/>
      <c r="S110" s="880"/>
      <c r="T110" s="882"/>
      <c r="U110" s="882"/>
      <c r="V110" s="883"/>
      <c r="W110" s="883"/>
      <c r="X110" s="883"/>
      <c r="Y110" s="883"/>
      <c r="Z110" s="883"/>
      <c r="AA110" s="883"/>
      <c r="AB110" s="883"/>
      <c r="AC110" s="883"/>
      <c r="AD110" s="883"/>
      <c r="AE110" s="883"/>
      <c r="AF110" s="883"/>
      <c r="AG110" s="883"/>
    </row>
    <row r="111" spans="1:34" s="3" customFormat="1" ht="15.95" customHeight="1">
      <c r="A111" s="7"/>
      <c r="B111" s="10"/>
      <c r="C111" s="12"/>
      <c r="D111" s="880"/>
      <c r="E111" s="880"/>
      <c r="F111" s="880"/>
      <c r="G111" s="880"/>
      <c r="H111" s="880"/>
      <c r="I111" s="880"/>
      <c r="J111" s="880"/>
      <c r="K111" s="880"/>
      <c r="L111" s="881"/>
      <c r="M111" s="880"/>
      <c r="N111" s="873"/>
      <c r="O111" s="880"/>
      <c r="P111" s="873"/>
      <c r="Q111" s="884"/>
      <c r="R111" s="880"/>
      <c r="S111" s="880"/>
      <c r="T111" s="882"/>
      <c r="U111" s="882"/>
      <c r="V111" s="883"/>
      <c r="W111" s="883"/>
      <c r="X111" s="883"/>
      <c r="Y111" s="883"/>
      <c r="Z111" s="883"/>
      <c r="AA111" s="883"/>
      <c r="AB111" s="883"/>
      <c r="AC111" s="883"/>
      <c r="AD111" s="883"/>
      <c r="AE111" s="883"/>
      <c r="AF111" s="883"/>
      <c r="AG111" s="883"/>
    </row>
    <row r="112" spans="1:34" s="3" customFormat="1" ht="15.95" customHeight="1">
      <c r="A112" s="11"/>
      <c r="B112" s="12"/>
      <c r="C112" s="12"/>
      <c r="D112" s="13"/>
      <c r="E112" s="13"/>
      <c r="F112" s="14"/>
      <c r="G112" s="13"/>
      <c r="H112" s="14"/>
      <c r="I112" s="14"/>
      <c r="J112" s="13"/>
      <c r="K112" s="13"/>
      <c r="L112" s="279"/>
      <c r="M112" s="14"/>
      <c r="N112" s="14"/>
      <c r="O112" s="13"/>
      <c r="P112" s="14"/>
      <c r="Q112" s="14"/>
      <c r="R112" s="13"/>
      <c r="S112" s="14"/>
      <c r="T112" s="13"/>
      <c r="U112" s="13"/>
      <c r="V112" s="11"/>
      <c r="W112" s="11"/>
      <c r="X112" s="11"/>
      <c r="Y112" s="11"/>
      <c r="Z112" s="11"/>
      <c r="AA112" s="11"/>
      <c r="AB112" s="11"/>
      <c r="AC112" s="11"/>
      <c r="AD112" s="11"/>
      <c r="AE112" s="11"/>
      <c r="AF112" s="11"/>
      <c r="AG112" s="11"/>
    </row>
    <row r="113" spans="1:34" s="3" customFormat="1" ht="15.95" customHeight="1" thickBot="1">
      <c r="A113" s="7"/>
      <c r="B113" s="19" t="s">
        <v>0</v>
      </c>
      <c r="C113" s="7"/>
      <c r="D113" s="8"/>
      <c r="E113" s="8"/>
      <c r="F113" s="9"/>
      <c r="G113" s="8"/>
      <c r="H113" s="9"/>
      <c r="I113" s="9"/>
      <c r="J113" s="8"/>
      <c r="K113" s="8"/>
      <c r="L113" s="280"/>
      <c r="M113" s="9"/>
      <c r="N113" s="9"/>
      <c r="O113" s="8"/>
      <c r="P113" s="9"/>
      <c r="Q113" s="9"/>
      <c r="R113" s="8"/>
      <c r="S113" s="866"/>
      <c r="T113" s="867" t="str">
        <f>'$REV-DB'!$T$34</f>
        <v>UD1</v>
      </c>
      <c r="U113" s="867" t="str">
        <f>'$REV-DB'!$U$34</f>
        <v>UD2</v>
      </c>
      <c r="V113" s="867" t="str">
        <f>'$REV-DB'!$V$34</f>
        <v>UD3</v>
      </c>
      <c r="W113" s="867" t="str">
        <f>'$REV-DB'!$W$34</f>
        <v>UD4</v>
      </c>
      <c r="X113" s="867" t="str">
        <f>'$REV-DB'!$X$34</f>
        <v>UD5</v>
      </c>
      <c r="Y113" s="867" t="str">
        <f>'$REV-DB'!$Y$34</f>
        <v>UD6</v>
      </c>
      <c r="Z113" s="867" t="str">
        <f>'$REV-DB'!$Z$34</f>
        <v>UD7</v>
      </c>
      <c r="AA113" s="867" t="str">
        <f>'$REV-DB'!$AA$34</f>
        <v>UD8</v>
      </c>
      <c r="AB113" s="867" t="str">
        <f>'$REV-DB'!$AB$34</f>
        <v>UD9</v>
      </c>
      <c r="AC113" s="867" t="str">
        <f>'$REV-DB'!$AC$34</f>
        <v>UD10</v>
      </c>
      <c r="AD113" s="867" t="str">
        <f>'$REV-DB'!$AD$34</f>
        <v>UD11</v>
      </c>
      <c r="AE113" s="867" t="str">
        <f>'$REV-DB'!$AE$34</f>
        <v>UD12</v>
      </c>
      <c r="AF113" s="867" t="str">
        <f>'$REV-DB'!$AF$34</f>
        <v>UD13</v>
      </c>
      <c r="AG113" s="867" t="str">
        <f>'$REV-DB'!$AG$34</f>
        <v>UD14</v>
      </c>
    </row>
    <row r="114" spans="1:34" s="3" customFormat="1" ht="15.95" customHeight="1" thickTop="1" thickBot="1">
      <c r="A114" s="7"/>
      <c r="B114" s="20" t="s">
        <v>175</v>
      </c>
      <c r="C114" s="15"/>
      <c r="D114" s="861" t="s">
        <v>186</v>
      </c>
      <c r="E114" s="861" t="s">
        <v>187</v>
      </c>
      <c r="F114" s="861" t="s">
        <v>188</v>
      </c>
      <c r="G114" s="861" t="s">
        <v>189</v>
      </c>
      <c r="H114" s="861" t="s">
        <v>11</v>
      </c>
      <c r="I114" s="861" t="s">
        <v>190</v>
      </c>
      <c r="J114" s="861" t="s">
        <v>191</v>
      </c>
      <c r="K114" s="861" t="s">
        <v>192</v>
      </c>
      <c r="L114" s="861" t="s">
        <v>203</v>
      </c>
      <c r="M114" s="861" t="s">
        <v>42</v>
      </c>
      <c r="N114" s="861" t="s">
        <v>148</v>
      </c>
      <c r="O114" s="861" t="s">
        <v>193</v>
      </c>
      <c r="P114" s="861" t="s">
        <v>142</v>
      </c>
      <c r="Q114" s="861" t="s">
        <v>194</v>
      </c>
      <c r="R114" s="112" t="s">
        <v>141</v>
      </c>
      <c r="S114" s="112" t="s">
        <v>672</v>
      </c>
      <c r="T114" s="861" t="s">
        <v>541</v>
      </c>
      <c r="U114" s="861" t="s">
        <v>542</v>
      </c>
      <c r="V114" s="861" t="s">
        <v>543</v>
      </c>
      <c r="W114" s="861" t="s">
        <v>544</v>
      </c>
      <c r="X114" s="861" t="s">
        <v>545</v>
      </c>
      <c r="Y114" s="861" t="s">
        <v>546</v>
      </c>
      <c r="Z114" s="861" t="s">
        <v>547</v>
      </c>
      <c r="AA114" s="861" t="s">
        <v>548</v>
      </c>
      <c r="AB114" s="861" t="s">
        <v>549</v>
      </c>
      <c r="AC114" s="861" t="s">
        <v>550</v>
      </c>
      <c r="AD114" s="861" t="s">
        <v>551</v>
      </c>
      <c r="AE114" s="861" t="s">
        <v>552</v>
      </c>
      <c r="AF114" s="861" t="s">
        <v>553</v>
      </c>
      <c r="AG114" s="861" t="s">
        <v>554</v>
      </c>
      <c r="AH114" s="6"/>
    </row>
    <row r="115" spans="1:34" s="3" customFormat="1" ht="15.95" customHeight="1" thickTop="1">
      <c r="A115" s="7"/>
      <c r="B115" s="19" t="s">
        <v>143</v>
      </c>
      <c r="C115" s="12"/>
      <c r="D115" s="186"/>
      <c r="E115" s="186"/>
      <c r="F115" s="186"/>
      <c r="G115" s="186"/>
      <c r="H115" s="186"/>
      <c r="I115" s="186"/>
      <c r="J115" s="186"/>
      <c r="K115" s="186"/>
      <c r="L115" s="278" t="s">
        <v>34</v>
      </c>
      <c r="M115" s="186"/>
      <c r="N115" s="37" t="str">
        <f>J$6</f>
        <v>FY2010-11</v>
      </c>
      <c r="O115" s="186"/>
      <c r="P115" s="37" t="s">
        <v>147</v>
      </c>
      <c r="Q115" s="189" t="s">
        <v>179</v>
      </c>
      <c r="R115" s="186"/>
      <c r="S115" s="186" t="s">
        <v>611</v>
      </c>
      <c r="T115" s="187"/>
      <c r="U115" s="187"/>
      <c r="V115" s="188"/>
      <c r="W115" s="188"/>
      <c r="X115" s="188"/>
      <c r="Y115" s="188"/>
      <c r="Z115" s="188"/>
      <c r="AA115" s="188"/>
      <c r="AB115" s="188"/>
      <c r="AC115" s="188"/>
      <c r="AD115" s="188"/>
      <c r="AE115" s="188"/>
      <c r="AF115" s="188"/>
      <c r="AG115" s="188"/>
      <c r="AH115" s="6"/>
    </row>
    <row r="116" spans="1:34" s="3" customFormat="1" ht="15.95" customHeight="1">
      <c r="A116" s="7"/>
      <c r="B116" s="16">
        <f>DSUM('$REV-DB'!D35:AG67,"AMOUNT",D114:AG115)</f>
        <v>48038874.900000006</v>
      </c>
      <c r="C116" s="12"/>
      <c r="D116" s="880"/>
      <c r="E116" s="880"/>
      <c r="F116" s="880"/>
      <c r="G116" s="880"/>
      <c r="H116" s="880"/>
      <c r="I116" s="880"/>
      <c r="J116" s="880"/>
      <c r="K116" s="880"/>
      <c r="L116" s="881"/>
      <c r="M116" s="880"/>
      <c r="N116" s="873"/>
      <c r="O116" s="880"/>
      <c r="P116" s="873"/>
      <c r="Q116" s="884"/>
      <c r="R116" s="880"/>
      <c r="S116" s="880"/>
      <c r="T116" s="882"/>
      <c r="U116" s="882"/>
      <c r="V116" s="883"/>
      <c r="W116" s="883"/>
      <c r="X116" s="883"/>
      <c r="Y116" s="883"/>
      <c r="Z116" s="883"/>
      <c r="AA116" s="883"/>
      <c r="AB116" s="883"/>
      <c r="AC116" s="883"/>
      <c r="AD116" s="883"/>
      <c r="AE116" s="883"/>
      <c r="AF116" s="883"/>
      <c r="AG116" s="883"/>
      <c r="AH116" s="6"/>
    </row>
    <row r="117" spans="1:34" s="3" customFormat="1" ht="15.95" customHeight="1">
      <c r="A117" s="7"/>
      <c r="B117" s="10"/>
      <c r="C117" s="12"/>
      <c r="D117" s="880"/>
      <c r="E117" s="880"/>
      <c r="F117" s="880"/>
      <c r="G117" s="880"/>
      <c r="H117" s="880"/>
      <c r="I117" s="880"/>
      <c r="J117" s="880"/>
      <c r="K117" s="880"/>
      <c r="L117" s="881"/>
      <c r="M117" s="880"/>
      <c r="N117" s="873"/>
      <c r="O117" s="880"/>
      <c r="P117" s="873"/>
      <c r="Q117" s="884"/>
      <c r="R117" s="880"/>
      <c r="S117" s="880"/>
      <c r="T117" s="882"/>
      <c r="U117" s="882"/>
      <c r="V117" s="883"/>
      <c r="W117" s="883"/>
      <c r="X117" s="883"/>
      <c r="Y117" s="883"/>
      <c r="Z117" s="883"/>
      <c r="AA117" s="883"/>
      <c r="AB117" s="883"/>
      <c r="AC117" s="883"/>
      <c r="AD117" s="883"/>
      <c r="AE117" s="883"/>
      <c r="AF117" s="883"/>
      <c r="AG117" s="883"/>
    </row>
    <row r="118" spans="1:34" s="3" customFormat="1" ht="15.95" customHeight="1">
      <c r="A118" s="7"/>
      <c r="B118" s="10"/>
      <c r="C118" s="12"/>
      <c r="D118" s="880"/>
      <c r="E118" s="880"/>
      <c r="F118" s="880"/>
      <c r="G118" s="880"/>
      <c r="H118" s="880"/>
      <c r="I118" s="880"/>
      <c r="J118" s="880"/>
      <c r="K118" s="880"/>
      <c r="L118" s="881"/>
      <c r="M118" s="880"/>
      <c r="N118" s="873"/>
      <c r="O118" s="880"/>
      <c r="P118" s="873"/>
      <c r="Q118" s="884"/>
      <c r="R118" s="880"/>
      <c r="S118" s="880"/>
      <c r="T118" s="882"/>
      <c r="U118" s="882"/>
      <c r="V118" s="883"/>
      <c r="W118" s="883"/>
      <c r="X118" s="883"/>
      <c r="Y118" s="883"/>
      <c r="Z118" s="883"/>
      <c r="AA118" s="883"/>
      <c r="AB118" s="883"/>
      <c r="AC118" s="883"/>
      <c r="AD118" s="883"/>
      <c r="AE118" s="883"/>
      <c r="AF118" s="883"/>
      <c r="AG118" s="883"/>
    </row>
    <row r="119" spans="1:34" s="3" customFormat="1" ht="15.95" customHeight="1">
      <c r="A119" s="7"/>
      <c r="B119" s="10"/>
      <c r="C119" s="12"/>
      <c r="D119" s="880"/>
      <c r="E119" s="880"/>
      <c r="F119" s="880"/>
      <c r="G119" s="880"/>
      <c r="H119" s="880"/>
      <c r="I119" s="880"/>
      <c r="J119" s="880"/>
      <c r="K119" s="880"/>
      <c r="L119" s="881"/>
      <c r="M119" s="880"/>
      <c r="N119" s="873"/>
      <c r="O119" s="880"/>
      <c r="P119" s="873"/>
      <c r="Q119" s="884"/>
      <c r="R119" s="880"/>
      <c r="S119" s="880"/>
      <c r="T119" s="882"/>
      <c r="U119" s="882"/>
      <c r="V119" s="883"/>
      <c r="W119" s="883"/>
      <c r="X119" s="883"/>
      <c r="Y119" s="883"/>
      <c r="Z119" s="883"/>
      <c r="AA119" s="883"/>
      <c r="AB119" s="883"/>
      <c r="AC119" s="883"/>
      <c r="AD119" s="883"/>
      <c r="AE119" s="883"/>
      <c r="AF119" s="883"/>
      <c r="AG119" s="883"/>
    </row>
    <row r="120" spans="1:34" s="3" customFormat="1" ht="15.95" customHeight="1">
      <c r="A120" s="7"/>
      <c r="B120" s="10"/>
      <c r="C120" s="12"/>
      <c r="D120" s="880"/>
      <c r="E120" s="880"/>
      <c r="F120" s="880"/>
      <c r="G120" s="880"/>
      <c r="H120" s="880"/>
      <c r="I120" s="880"/>
      <c r="J120" s="880"/>
      <c r="K120" s="880"/>
      <c r="L120" s="881"/>
      <c r="M120" s="880"/>
      <c r="N120" s="873"/>
      <c r="O120" s="880"/>
      <c r="P120" s="873"/>
      <c r="Q120" s="884"/>
      <c r="R120" s="880"/>
      <c r="S120" s="880"/>
      <c r="T120" s="882"/>
      <c r="U120" s="882"/>
      <c r="V120" s="883"/>
      <c r="W120" s="883"/>
      <c r="X120" s="883"/>
      <c r="Y120" s="883"/>
      <c r="Z120" s="883"/>
      <c r="AA120" s="883"/>
      <c r="AB120" s="883"/>
      <c r="AC120" s="883"/>
      <c r="AD120" s="883"/>
      <c r="AE120" s="883"/>
      <c r="AF120" s="883"/>
      <c r="AG120" s="883"/>
    </row>
    <row r="121" spans="1:34" s="3" customFormat="1" ht="15.95" customHeight="1">
      <c r="A121" s="7"/>
      <c r="B121" s="10"/>
      <c r="C121" s="12"/>
      <c r="D121" s="880"/>
      <c r="E121" s="880"/>
      <c r="F121" s="880"/>
      <c r="G121" s="880"/>
      <c r="H121" s="880"/>
      <c r="I121" s="880"/>
      <c r="J121" s="880"/>
      <c r="K121" s="880"/>
      <c r="L121" s="881"/>
      <c r="M121" s="880"/>
      <c r="N121" s="873"/>
      <c r="O121" s="880"/>
      <c r="P121" s="873"/>
      <c r="Q121" s="884"/>
      <c r="R121" s="880"/>
      <c r="S121" s="880"/>
      <c r="T121" s="882"/>
      <c r="U121" s="882"/>
      <c r="V121" s="883"/>
      <c r="W121" s="883"/>
      <c r="X121" s="883"/>
      <c r="Y121" s="883"/>
      <c r="Z121" s="883"/>
      <c r="AA121" s="883"/>
      <c r="AB121" s="883"/>
      <c r="AC121" s="883"/>
      <c r="AD121" s="883"/>
      <c r="AE121" s="883"/>
      <c r="AF121" s="883"/>
      <c r="AG121" s="883"/>
    </row>
    <row r="122" spans="1:34" s="3" customFormat="1" ht="15.95" customHeight="1">
      <c r="A122" s="11"/>
      <c r="B122" s="12"/>
      <c r="C122" s="12"/>
      <c r="D122" s="13"/>
      <c r="E122" s="13"/>
      <c r="F122" s="14"/>
      <c r="G122" s="13"/>
      <c r="H122" s="14"/>
      <c r="I122" s="14"/>
      <c r="J122" s="13"/>
      <c r="K122" s="13"/>
      <c r="L122" s="279"/>
      <c r="M122" s="14"/>
      <c r="N122" s="14"/>
      <c r="O122" s="13"/>
      <c r="P122" s="14"/>
      <c r="Q122" s="14"/>
      <c r="R122" s="13"/>
      <c r="S122" s="14"/>
      <c r="T122" s="13"/>
      <c r="U122" s="13"/>
      <c r="V122" s="11"/>
      <c r="W122" s="11"/>
      <c r="X122" s="11"/>
      <c r="Y122" s="11"/>
      <c r="Z122" s="11"/>
      <c r="AA122" s="11"/>
      <c r="AB122" s="11"/>
      <c r="AC122" s="11"/>
      <c r="AD122" s="11"/>
      <c r="AE122" s="11"/>
      <c r="AF122" s="11"/>
      <c r="AG122" s="11"/>
    </row>
    <row r="123" spans="1:34" s="3" customFormat="1" ht="15.95" customHeight="1" thickBot="1">
      <c r="A123" s="7"/>
      <c r="B123" s="19" t="s">
        <v>0</v>
      </c>
      <c r="C123" s="7"/>
      <c r="D123" s="8"/>
      <c r="E123" s="8"/>
      <c r="F123" s="9"/>
      <c r="G123" s="8"/>
      <c r="H123" s="9"/>
      <c r="I123" s="9"/>
      <c r="J123" s="8"/>
      <c r="K123" s="8"/>
      <c r="L123" s="280"/>
      <c r="M123" s="9"/>
      <c r="N123" s="9"/>
      <c r="O123" s="8"/>
      <c r="P123" s="9"/>
      <c r="Q123" s="9"/>
      <c r="R123" s="8"/>
      <c r="S123" s="866"/>
      <c r="T123" s="867" t="str">
        <f>'$REV-DB'!$T$34</f>
        <v>UD1</v>
      </c>
      <c r="U123" s="867" t="str">
        <f>'$REV-DB'!$U$34</f>
        <v>UD2</v>
      </c>
      <c r="V123" s="867" t="str">
        <f>'$REV-DB'!$V$34</f>
        <v>UD3</v>
      </c>
      <c r="W123" s="867" t="str">
        <f>'$REV-DB'!$W$34</f>
        <v>UD4</v>
      </c>
      <c r="X123" s="867" t="str">
        <f>'$REV-DB'!$X$34</f>
        <v>UD5</v>
      </c>
      <c r="Y123" s="867" t="str">
        <f>'$REV-DB'!$Y$34</f>
        <v>UD6</v>
      </c>
      <c r="Z123" s="867" t="str">
        <f>'$REV-DB'!$Z$34</f>
        <v>UD7</v>
      </c>
      <c r="AA123" s="867" t="str">
        <f>'$REV-DB'!$AA$34</f>
        <v>UD8</v>
      </c>
      <c r="AB123" s="867" t="str">
        <f>'$REV-DB'!$AB$34</f>
        <v>UD9</v>
      </c>
      <c r="AC123" s="867" t="str">
        <f>'$REV-DB'!$AC$34</f>
        <v>UD10</v>
      </c>
      <c r="AD123" s="867" t="str">
        <f>'$REV-DB'!$AD$34</f>
        <v>UD11</v>
      </c>
      <c r="AE123" s="867" t="str">
        <f>'$REV-DB'!$AE$34</f>
        <v>UD12</v>
      </c>
      <c r="AF123" s="867" t="str">
        <f>'$REV-DB'!$AF$34</f>
        <v>UD13</v>
      </c>
      <c r="AG123" s="867" t="str">
        <f>'$REV-DB'!$AG$34</f>
        <v>UD14</v>
      </c>
    </row>
    <row r="124" spans="1:34" s="3" customFormat="1" ht="15.95" customHeight="1" thickTop="1" thickBot="1">
      <c r="A124" s="7"/>
      <c r="B124" s="20" t="s">
        <v>175</v>
      </c>
      <c r="C124" s="15"/>
      <c r="D124" s="861" t="s">
        <v>186</v>
      </c>
      <c r="E124" s="861" t="s">
        <v>187</v>
      </c>
      <c r="F124" s="861" t="s">
        <v>188</v>
      </c>
      <c r="G124" s="861" t="s">
        <v>189</v>
      </c>
      <c r="H124" s="861" t="s">
        <v>11</v>
      </c>
      <c r="I124" s="861" t="s">
        <v>190</v>
      </c>
      <c r="J124" s="861" t="s">
        <v>191</v>
      </c>
      <c r="K124" s="861" t="s">
        <v>192</v>
      </c>
      <c r="L124" s="861" t="s">
        <v>203</v>
      </c>
      <c r="M124" s="861" t="s">
        <v>42</v>
      </c>
      <c r="N124" s="861" t="s">
        <v>148</v>
      </c>
      <c r="O124" s="861" t="s">
        <v>193</v>
      </c>
      <c r="P124" s="861" t="s">
        <v>142</v>
      </c>
      <c r="Q124" s="861" t="s">
        <v>194</v>
      </c>
      <c r="R124" s="112" t="s">
        <v>141</v>
      </c>
      <c r="S124" s="112" t="s">
        <v>672</v>
      </c>
      <c r="T124" s="861" t="s">
        <v>541</v>
      </c>
      <c r="U124" s="861" t="s">
        <v>542</v>
      </c>
      <c r="V124" s="861" t="s">
        <v>543</v>
      </c>
      <c r="W124" s="861" t="s">
        <v>544</v>
      </c>
      <c r="X124" s="861" t="s">
        <v>545</v>
      </c>
      <c r="Y124" s="861" t="s">
        <v>546</v>
      </c>
      <c r="Z124" s="861" t="s">
        <v>547</v>
      </c>
      <c r="AA124" s="861" t="s">
        <v>548</v>
      </c>
      <c r="AB124" s="861" t="s">
        <v>549</v>
      </c>
      <c r="AC124" s="861" t="s">
        <v>550</v>
      </c>
      <c r="AD124" s="861" t="s">
        <v>551</v>
      </c>
      <c r="AE124" s="861" t="s">
        <v>552</v>
      </c>
      <c r="AF124" s="861" t="s">
        <v>553</v>
      </c>
      <c r="AG124" s="861" t="s">
        <v>554</v>
      </c>
      <c r="AH124" s="6"/>
    </row>
    <row r="125" spans="1:34" s="3" customFormat="1" ht="15.95" customHeight="1" thickTop="1">
      <c r="A125" s="7"/>
      <c r="B125" s="19" t="s">
        <v>149</v>
      </c>
      <c r="C125" s="12"/>
      <c r="D125" s="186"/>
      <c r="E125" s="186"/>
      <c r="F125" s="186"/>
      <c r="G125" s="186"/>
      <c r="H125" s="186"/>
      <c r="I125" s="186"/>
      <c r="J125" s="186"/>
      <c r="K125" s="186"/>
      <c r="L125" s="278" t="s">
        <v>34</v>
      </c>
      <c r="M125" s="186"/>
      <c r="N125" s="37" t="str">
        <f>J$6</f>
        <v>FY2010-11</v>
      </c>
      <c r="O125" s="186"/>
      <c r="P125" s="37" t="s">
        <v>147</v>
      </c>
      <c r="Q125" s="189" t="s">
        <v>2</v>
      </c>
      <c r="R125" s="186"/>
      <c r="S125" s="186" t="s">
        <v>611</v>
      </c>
      <c r="T125" s="187"/>
      <c r="U125" s="187"/>
      <c r="V125" s="188"/>
      <c r="W125" s="188"/>
      <c r="X125" s="188"/>
      <c r="Y125" s="188"/>
      <c r="Z125" s="188"/>
      <c r="AA125" s="188"/>
      <c r="AB125" s="188"/>
      <c r="AC125" s="188"/>
      <c r="AD125" s="188"/>
      <c r="AE125" s="188"/>
      <c r="AF125" s="188"/>
      <c r="AG125" s="188"/>
      <c r="AH125" s="6"/>
    </row>
    <row r="126" spans="1:34" s="3" customFormat="1" ht="15.95" customHeight="1">
      <c r="A126" s="7"/>
      <c r="B126" s="16">
        <f>DSUM('$REV-DB'!D35:AG67,"AMOUNT",D124:AG125)</f>
        <v>17398996</v>
      </c>
      <c r="C126" s="12"/>
      <c r="D126" s="880"/>
      <c r="E126" s="880"/>
      <c r="F126" s="880"/>
      <c r="G126" s="880"/>
      <c r="H126" s="880"/>
      <c r="I126" s="880"/>
      <c r="J126" s="880"/>
      <c r="K126" s="880"/>
      <c r="L126" s="881"/>
      <c r="M126" s="880"/>
      <c r="N126" s="873"/>
      <c r="O126" s="880"/>
      <c r="P126" s="873"/>
      <c r="Q126" s="884"/>
      <c r="R126" s="880"/>
      <c r="S126" s="880"/>
      <c r="T126" s="882"/>
      <c r="U126" s="882"/>
      <c r="V126" s="883"/>
      <c r="W126" s="883"/>
      <c r="X126" s="883"/>
      <c r="Y126" s="883"/>
      <c r="Z126" s="883"/>
      <c r="AA126" s="883"/>
      <c r="AB126" s="883"/>
      <c r="AC126" s="883"/>
      <c r="AD126" s="883"/>
      <c r="AE126" s="883"/>
      <c r="AF126" s="883"/>
      <c r="AG126" s="883"/>
      <c r="AH126" s="6"/>
    </row>
    <row r="127" spans="1:34" s="3" customFormat="1" ht="15.95" customHeight="1">
      <c r="A127" s="7"/>
      <c r="B127" s="10"/>
      <c r="C127" s="12"/>
      <c r="D127" s="880"/>
      <c r="E127" s="880"/>
      <c r="F127" s="880"/>
      <c r="G127" s="880"/>
      <c r="H127" s="880"/>
      <c r="I127" s="880"/>
      <c r="J127" s="880"/>
      <c r="K127" s="880"/>
      <c r="L127" s="881"/>
      <c r="M127" s="880"/>
      <c r="N127" s="873"/>
      <c r="O127" s="880"/>
      <c r="P127" s="873"/>
      <c r="Q127" s="884"/>
      <c r="R127" s="880"/>
      <c r="S127" s="880"/>
      <c r="T127" s="882"/>
      <c r="U127" s="882"/>
      <c r="V127" s="883"/>
      <c r="W127" s="883"/>
      <c r="X127" s="883"/>
      <c r="Y127" s="883"/>
      <c r="Z127" s="883"/>
      <c r="AA127" s="883"/>
      <c r="AB127" s="883"/>
      <c r="AC127" s="883"/>
      <c r="AD127" s="883"/>
      <c r="AE127" s="883"/>
      <c r="AF127" s="883"/>
      <c r="AG127" s="883"/>
    </row>
    <row r="128" spans="1:34" s="3" customFormat="1" ht="15.95" customHeight="1">
      <c r="A128" s="7"/>
      <c r="B128" s="10"/>
      <c r="C128" s="12"/>
      <c r="D128" s="880"/>
      <c r="E128" s="880"/>
      <c r="F128" s="880"/>
      <c r="G128" s="880"/>
      <c r="H128" s="880"/>
      <c r="I128" s="880"/>
      <c r="J128" s="880"/>
      <c r="K128" s="880"/>
      <c r="L128" s="881"/>
      <c r="M128" s="880"/>
      <c r="N128" s="873"/>
      <c r="O128" s="880"/>
      <c r="P128" s="873"/>
      <c r="Q128" s="884"/>
      <c r="R128" s="880"/>
      <c r="S128" s="880"/>
      <c r="T128" s="882"/>
      <c r="U128" s="882"/>
      <c r="V128" s="883"/>
      <c r="W128" s="883"/>
      <c r="X128" s="883"/>
      <c r="Y128" s="883"/>
      <c r="Z128" s="883"/>
      <c r="AA128" s="883"/>
      <c r="AB128" s="883"/>
      <c r="AC128" s="883"/>
      <c r="AD128" s="883"/>
      <c r="AE128" s="883"/>
      <c r="AF128" s="883"/>
      <c r="AG128" s="883"/>
    </row>
    <row r="129" spans="1:34" s="3" customFormat="1" ht="15.95" customHeight="1">
      <c r="A129" s="7"/>
      <c r="B129" s="10"/>
      <c r="C129" s="12"/>
      <c r="D129" s="880"/>
      <c r="E129" s="880"/>
      <c r="F129" s="880"/>
      <c r="G129" s="880"/>
      <c r="H129" s="880"/>
      <c r="I129" s="880"/>
      <c r="J129" s="880"/>
      <c r="K129" s="880"/>
      <c r="L129" s="881"/>
      <c r="M129" s="880"/>
      <c r="N129" s="873"/>
      <c r="O129" s="880"/>
      <c r="P129" s="873"/>
      <c r="Q129" s="884"/>
      <c r="R129" s="880"/>
      <c r="S129" s="880"/>
      <c r="T129" s="882"/>
      <c r="U129" s="882"/>
      <c r="V129" s="883"/>
      <c r="W129" s="883"/>
      <c r="X129" s="883"/>
      <c r="Y129" s="883"/>
      <c r="Z129" s="883"/>
      <c r="AA129" s="883"/>
      <c r="AB129" s="883"/>
      <c r="AC129" s="883"/>
      <c r="AD129" s="883"/>
      <c r="AE129" s="883"/>
      <c r="AF129" s="883"/>
      <c r="AG129" s="883"/>
    </row>
    <row r="130" spans="1:34" s="3" customFormat="1" ht="15.95" customHeight="1">
      <c r="A130" s="7"/>
      <c r="B130" s="10"/>
      <c r="C130" s="12"/>
      <c r="D130" s="880"/>
      <c r="E130" s="880"/>
      <c r="F130" s="880"/>
      <c r="G130" s="880"/>
      <c r="H130" s="880"/>
      <c r="I130" s="880"/>
      <c r="J130" s="880"/>
      <c r="K130" s="880"/>
      <c r="L130" s="881"/>
      <c r="M130" s="880"/>
      <c r="N130" s="873"/>
      <c r="O130" s="880"/>
      <c r="P130" s="873"/>
      <c r="Q130" s="884"/>
      <c r="R130" s="880"/>
      <c r="S130" s="880"/>
      <c r="T130" s="882"/>
      <c r="U130" s="882"/>
      <c r="V130" s="883"/>
      <c r="W130" s="883"/>
      <c r="X130" s="883"/>
      <c r="Y130" s="883"/>
      <c r="Z130" s="883"/>
      <c r="AA130" s="883"/>
      <c r="AB130" s="883"/>
      <c r="AC130" s="883"/>
      <c r="AD130" s="883"/>
      <c r="AE130" s="883"/>
      <c r="AF130" s="883"/>
      <c r="AG130" s="883"/>
    </row>
    <row r="131" spans="1:34" s="3" customFormat="1" ht="15.95" customHeight="1">
      <c r="A131" s="7"/>
      <c r="B131" s="10"/>
      <c r="C131" s="12"/>
      <c r="D131" s="880"/>
      <c r="E131" s="880"/>
      <c r="F131" s="880"/>
      <c r="G131" s="880"/>
      <c r="H131" s="880"/>
      <c r="I131" s="880"/>
      <c r="J131" s="880"/>
      <c r="K131" s="880"/>
      <c r="L131" s="881"/>
      <c r="M131" s="880"/>
      <c r="N131" s="873"/>
      <c r="O131" s="880"/>
      <c r="P131" s="873"/>
      <c r="Q131" s="884"/>
      <c r="R131" s="880"/>
      <c r="S131" s="880"/>
      <c r="T131" s="882"/>
      <c r="U131" s="882"/>
      <c r="V131" s="883"/>
      <c r="W131" s="883"/>
      <c r="X131" s="883"/>
      <c r="Y131" s="883"/>
      <c r="Z131" s="883"/>
      <c r="AA131" s="883"/>
      <c r="AB131" s="883"/>
      <c r="AC131" s="883"/>
      <c r="AD131" s="883"/>
      <c r="AE131" s="883"/>
      <c r="AF131" s="883"/>
      <c r="AG131" s="883"/>
    </row>
    <row r="132" spans="1:34" s="3" customFormat="1" ht="15.95" customHeight="1">
      <c r="A132" s="11"/>
      <c r="B132" s="12"/>
      <c r="C132" s="12"/>
      <c r="D132" s="13"/>
      <c r="E132" s="13"/>
      <c r="F132" s="14"/>
      <c r="G132" s="13"/>
      <c r="H132" s="14"/>
      <c r="I132" s="14"/>
      <c r="J132" s="13"/>
      <c r="K132" s="13"/>
      <c r="L132" s="279"/>
      <c r="M132" s="14"/>
      <c r="N132" s="14"/>
      <c r="O132" s="13"/>
      <c r="P132" s="14"/>
      <c r="Q132" s="14"/>
      <c r="R132" s="13"/>
      <c r="S132" s="14"/>
      <c r="T132" s="13"/>
      <c r="U132" s="13"/>
      <c r="V132" s="11"/>
      <c r="W132" s="11"/>
      <c r="X132" s="11"/>
      <c r="Y132" s="11"/>
      <c r="Z132" s="11"/>
      <c r="AA132" s="11"/>
      <c r="AB132" s="11"/>
      <c r="AC132" s="11"/>
      <c r="AD132" s="11"/>
      <c r="AE132" s="11"/>
      <c r="AF132" s="11"/>
      <c r="AG132" s="11"/>
    </row>
    <row r="133" spans="1:34" s="3" customFormat="1" ht="15.95" customHeight="1" thickBot="1">
      <c r="A133" s="7"/>
      <c r="B133" s="19" t="s">
        <v>0</v>
      </c>
      <c r="C133" s="7"/>
      <c r="D133" s="8"/>
      <c r="E133" s="8"/>
      <c r="F133" s="9"/>
      <c r="G133" s="8"/>
      <c r="H133" s="9"/>
      <c r="I133" s="9"/>
      <c r="J133" s="8"/>
      <c r="K133" s="8"/>
      <c r="L133" s="280"/>
      <c r="M133" s="9"/>
      <c r="N133" s="9"/>
      <c r="O133" s="8"/>
      <c r="P133" s="9"/>
      <c r="Q133" s="9"/>
      <c r="R133" s="8"/>
      <c r="S133" s="866"/>
      <c r="T133" s="867" t="str">
        <f>'$REV-DB'!$T$34</f>
        <v>UD1</v>
      </c>
      <c r="U133" s="867" t="str">
        <f>'$REV-DB'!$U$34</f>
        <v>UD2</v>
      </c>
      <c r="V133" s="867" t="str">
        <f>'$REV-DB'!$V$34</f>
        <v>UD3</v>
      </c>
      <c r="W133" s="867" t="str">
        <f>'$REV-DB'!$W$34</f>
        <v>UD4</v>
      </c>
      <c r="X133" s="867" t="str">
        <f>'$REV-DB'!$X$34</f>
        <v>UD5</v>
      </c>
      <c r="Y133" s="867" t="str">
        <f>'$REV-DB'!$Y$34</f>
        <v>UD6</v>
      </c>
      <c r="Z133" s="867" t="str">
        <f>'$REV-DB'!$Z$34</f>
        <v>UD7</v>
      </c>
      <c r="AA133" s="867" t="str">
        <f>'$REV-DB'!$AA$34</f>
        <v>UD8</v>
      </c>
      <c r="AB133" s="867" t="str">
        <f>'$REV-DB'!$AB$34</f>
        <v>UD9</v>
      </c>
      <c r="AC133" s="867" t="str">
        <f>'$REV-DB'!$AC$34</f>
        <v>UD10</v>
      </c>
      <c r="AD133" s="867" t="str">
        <f>'$REV-DB'!$AD$34</f>
        <v>UD11</v>
      </c>
      <c r="AE133" s="867" t="str">
        <f>'$REV-DB'!$AE$34</f>
        <v>UD12</v>
      </c>
      <c r="AF133" s="867" t="str">
        <f>'$REV-DB'!$AF$34</f>
        <v>UD13</v>
      </c>
      <c r="AG133" s="867" t="str">
        <f>'$REV-DB'!$AG$34</f>
        <v>UD14</v>
      </c>
    </row>
    <row r="134" spans="1:34" s="3" customFormat="1" ht="15.95" customHeight="1" thickTop="1" thickBot="1">
      <c r="A134" s="7"/>
      <c r="B134" s="20" t="s">
        <v>175</v>
      </c>
      <c r="C134" s="15"/>
      <c r="D134" s="861" t="s">
        <v>186</v>
      </c>
      <c r="E134" s="861" t="s">
        <v>187</v>
      </c>
      <c r="F134" s="861" t="s">
        <v>188</v>
      </c>
      <c r="G134" s="861" t="s">
        <v>189</v>
      </c>
      <c r="H134" s="861" t="s">
        <v>11</v>
      </c>
      <c r="I134" s="861" t="s">
        <v>190</v>
      </c>
      <c r="J134" s="861" t="s">
        <v>191</v>
      </c>
      <c r="K134" s="861" t="s">
        <v>192</v>
      </c>
      <c r="L134" s="861" t="s">
        <v>203</v>
      </c>
      <c r="M134" s="861" t="s">
        <v>42</v>
      </c>
      <c r="N134" s="861" t="s">
        <v>148</v>
      </c>
      <c r="O134" s="861" t="s">
        <v>193</v>
      </c>
      <c r="P134" s="861" t="s">
        <v>142</v>
      </c>
      <c r="Q134" s="861" t="s">
        <v>194</v>
      </c>
      <c r="R134" s="112" t="s">
        <v>141</v>
      </c>
      <c r="S134" s="112" t="s">
        <v>672</v>
      </c>
      <c r="T134" s="861" t="s">
        <v>541</v>
      </c>
      <c r="U134" s="861" t="s">
        <v>542</v>
      </c>
      <c r="V134" s="861" t="s">
        <v>543</v>
      </c>
      <c r="W134" s="861" t="s">
        <v>544</v>
      </c>
      <c r="X134" s="861" t="s">
        <v>545</v>
      </c>
      <c r="Y134" s="861" t="s">
        <v>546</v>
      </c>
      <c r="Z134" s="861" t="s">
        <v>547</v>
      </c>
      <c r="AA134" s="861" t="s">
        <v>548</v>
      </c>
      <c r="AB134" s="861" t="s">
        <v>549</v>
      </c>
      <c r="AC134" s="861" t="s">
        <v>550</v>
      </c>
      <c r="AD134" s="861" t="s">
        <v>551</v>
      </c>
      <c r="AE134" s="861" t="s">
        <v>552</v>
      </c>
      <c r="AF134" s="861" t="s">
        <v>553</v>
      </c>
      <c r="AG134" s="861" t="s">
        <v>554</v>
      </c>
      <c r="AH134" s="6"/>
    </row>
    <row r="135" spans="1:34" s="3" customFormat="1" ht="15.95" customHeight="1" thickTop="1">
      <c r="A135" s="7"/>
      <c r="B135" s="19" t="s">
        <v>364</v>
      </c>
      <c r="C135" s="12"/>
      <c r="D135" s="186"/>
      <c r="E135" s="186"/>
      <c r="F135" s="186"/>
      <c r="G135" s="186"/>
      <c r="H135" s="186"/>
      <c r="I135" s="186"/>
      <c r="J135" s="186"/>
      <c r="K135" s="186"/>
      <c r="L135" s="278" t="s">
        <v>34</v>
      </c>
      <c r="M135" s="186"/>
      <c r="N135" s="37" t="str">
        <f>J$6</f>
        <v>FY2010-11</v>
      </c>
      <c r="O135" s="186"/>
      <c r="P135" s="37" t="s">
        <v>147</v>
      </c>
      <c r="Q135" s="189" t="s">
        <v>70</v>
      </c>
      <c r="R135" s="186"/>
      <c r="S135" s="186" t="s">
        <v>611</v>
      </c>
      <c r="T135" s="187"/>
      <c r="U135" s="187"/>
      <c r="V135" s="188"/>
      <c r="W135" s="188"/>
      <c r="X135" s="188"/>
      <c r="Y135" s="188"/>
      <c r="Z135" s="188"/>
      <c r="AA135" s="188"/>
      <c r="AB135" s="188"/>
      <c r="AC135" s="188"/>
      <c r="AD135" s="188"/>
      <c r="AE135" s="188"/>
      <c r="AF135" s="188"/>
      <c r="AG135" s="188"/>
      <c r="AH135" s="6"/>
    </row>
    <row r="136" spans="1:34" s="3" customFormat="1" ht="15.95" customHeight="1">
      <c r="A136" s="7"/>
      <c r="B136" s="16">
        <f>DSUM('$REV-DB'!D35:AG67,"AMOUNT",D134:AG135)</f>
        <v>2472199</v>
      </c>
      <c r="C136" s="12"/>
      <c r="D136" s="880"/>
      <c r="E136" s="880"/>
      <c r="F136" s="880"/>
      <c r="G136" s="880"/>
      <c r="H136" s="880"/>
      <c r="I136" s="880"/>
      <c r="J136" s="880"/>
      <c r="K136" s="880"/>
      <c r="L136" s="881"/>
      <c r="M136" s="880"/>
      <c r="N136" s="873"/>
      <c r="O136" s="880"/>
      <c r="P136" s="873"/>
      <c r="Q136" s="884"/>
      <c r="R136" s="880"/>
      <c r="S136" s="880"/>
      <c r="T136" s="882"/>
      <c r="U136" s="882"/>
      <c r="V136" s="883"/>
      <c r="W136" s="883"/>
      <c r="X136" s="883"/>
      <c r="Y136" s="883"/>
      <c r="Z136" s="883"/>
      <c r="AA136" s="883"/>
      <c r="AB136" s="883"/>
      <c r="AC136" s="883"/>
      <c r="AD136" s="883"/>
      <c r="AE136" s="883"/>
      <c r="AF136" s="883"/>
      <c r="AG136" s="883"/>
      <c r="AH136" s="6"/>
    </row>
    <row r="137" spans="1:34" s="3" customFormat="1" ht="15.95" customHeight="1">
      <c r="A137" s="7"/>
      <c r="B137" s="10"/>
      <c r="C137" s="12"/>
      <c r="D137" s="880"/>
      <c r="E137" s="880"/>
      <c r="F137" s="880"/>
      <c r="G137" s="880"/>
      <c r="H137" s="880"/>
      <c r="I137" s="880"/>
      <c r="J137" s="880"/>
      <c r="K137" s="880"/>
      <c r="L137" s="881"/>
      <c r="M137" s="880"/>
      <c r="N137" s="873"/>
      <c r="O137" s="880"/>
      <c r="P137" s="873"/>
      <c r="Q137" s="884"/>
      <c r="R137" s="880"/>
      <c r="S137" s="880"/>
      <c r="T137" s="882"/>
      <c r="U137" s="882"/>
      <c r="V137" s="883"/>
      <c r="W137" s="883"/>
      <c r="X137" s="883"/>
      <c r="Y137" s="883"/>
      <c r="Z137" s="883"/>
      <c r="AA137" s="883"/>
      <c r="AB137" s="883"/>
      <c r="AC137" s="883"/>
      <c r="AD137" s="883"/>
      <c r="AE137" s="883"/>
      <c r="AF137" s="883"/>
      <c r="AG137" s="883"/>
    </row>
    <row r="138" spans="1:34" s="3" customFormat="1" ht="15.95" customHeight="1">
      <c r="A138" s="7"/>
      <c r="B138" s="10"/>
      <c r="C138" s="12"/>
      <c r="D138" s="880"/>
      <c r="E138" s="880"/>
      <c r="F138" s="880"/>
      <c r="G138" s="880"/>
      <c r="H138" s="880"/>
      <c r="I138" s="880"/>
      <c r="J138" s="880"/>
      <c r="K138" s="880"/>
      <c r="L138" s="881"/>
      <c r="M138" s="880"/>
      <c r="N138" s="873"/>
      <c r="O138" s="880"/>
      <c r="P138" s="873"/>
      <c r="Q138" s="884"/>
      <c r="R138" s="880"/>
      <c r="S138" s="880"/>
      <c r="T138" s="882"/>
      <c r="U138" s="882"/>
      <c r="V138" s="883"/>
      <c r="W138" s="883"/>
      <c r="X138" s="883"/>
      <c r="Y138" s="883"/>
      <c r="Z138" s="883"/>
      <c r="AA138" s="883"/>
      <c r="AB138" s="883"/>
      <c r="AC138" s="883"/>
      <c r="AD138" s="883"/>
      <c r="AE138" s="883"/>
      <c r="AF138" s="883"/>
      <c r="AG138" s="883"/>
    </row>
    <row r="139" spans="1:34" s="3" customFormat="1" ht="15.95" customHeight="1">
      <c r="A139" s="7"/>
      <c r="B139" s="10"/>
      <c r="C139" s="12"/>
      <c r="D139" s="880"/>
      <c r="E139" s="880"/>
      <c r="F139" s="880"/>
      <c r="G139" s="880"/>
      <c r="H139" s="880"/>
      <c r="I139" s="880"/>
      <c r="J139" s="880"/>
      <c r="K139" s="880"/>
      <c r="L139" s="881"/>
      <c r="M139" s="880"/>
      <c r="N139" s="873"/>
      <c r="O139" s="880"/>
      <c r="P139" s="873"/>
      <c r="Q139" s="884"/>
      <c r="R139" s="880"/>
      <c r="S139" s="880"/>
      <c r="T139" s="882"/>
      <c r="U139" s="882"/>
      <c r="V139" s="883"/>
      <c r="W139" s="883"/>
      <c r="X139" s="883"/>
      <c r="Y139" s="883"/>
      <c r="Z139" s="883"/>
      <c r="AA139" s="883"/>
      <c r="AB139" s="883"/>
      <c r="AC139" s="883"/>
      <c r="AD139" s="883"/>
      <c r="AE139" s="883"/>
      <c r="AF139" s="883"/>
      <c r="AG139" s="883"/>
    </row>
    <row r="140" spans="1:34" s="3" customFormat="1" ht="15.95" customHeight="1">
      <c r="A140" s="7"/>
      <c r="B140" s="10"/>
      <c r="C140" s="12"/>
      <c r="D140" s="880"/>
      <c r="E140" s="880"/>
      <c r="F140" s="880"/>
      <c r="G140" s="880"/>
      <c r="H140" s="880"/>
      <c r="I140" s="880"/>
      <c r="J140" s="880"/>
      <c r="K140" s="880"/>
      <c r="L140" s="881"/>
      <c r="M140" s="880"/>
      <c r="N140" s="873"/>
      <c r="O140" s="880"/>
      <c r="P140" s="873"/>
      <c r="Q140" s="884"/>
      <c r="R140" s="880"/>
      <c r="S140" s="880"/>
      <c r="T140" s="882"/>
      <c r="U140" s="882"/>
      <c r="V140" s="883"/>
      <c r="W140" s="883"/>
      <c r="X140" s="883"/>
      <c r="Y140" s="883"/>
      <c r="Z140" s="883"/>
      <c r="AA140" s="883"/>
      <c r="AB140" s="883"/>
      <c r="AC140" s="883"/>
      <c r="AD140" s="883"/>
      <c r="AE140" s="883"/>
      <c r="AF140" s="883"/>
      <c r="AG140" s="883"/>
    </row>
    <row r="141" spans="1:34" s="3" customFormat="1" ht="15.95" customHeight="1">
      <c r="A141" s="7"/>
      <c r="B141" s="10"/>
      <c r="C141" s="12"/>
      <c r="D141" s="880"/>
      <c r="E141" s="880"/>
      <c r="F141" s="880"/>
      <c r="G141" s="880"/>
      <c r="H141" s="880"/>
      <c r="I141" s="880"/>
      <c r="J141" s="880"/>
      <c r="K141" s="880"/>
      <c r="L141" s="881"/>
      <c r="M141" s="880"/>
      <c r="N141" s="873"/>
      <c r="O141" s="880"/>
      <c r="P141" s="873"/>
      <c r="Q141" s="884"/>
      <c r="R141" s="880"/>
      <c r="S141" s="880"/>
      <c r="T141" s="882"/>
      <c r="U141" s="882"/>
      <c r="V141" s="883"/>
      <c r="W141" s="883"/>
      <c r="X141" s="883"/>
      <c r="Y141" s="883"/>
      <c r="Z141" s="883"/>
      <c r="AA141" s="883"/>
      <c r="AB141" s="883"/>
      <c r="AC141" s="883"/>
      <c r="AD141" s="883"/>
      <c r="AE141" s="883"/>
      <c r="AF141" s="883"/>
      <c r="AG141" s="883"/>
    </row>
    <row r="142" spans="1:34" s="3" customFormat="1" ht="15.95" customHeight="1">
      <c r="A142" s="11"/>
      <c r="B142" s="12"/>
      <c r="C142" s="12"/>
      <c r="D142" s="13"/>
      <c r="E142" s="13"/>
      <c r="F142" s="14"/>
      <c r="G142" s="13"/>
      <c r="H142" s="14"/>
      <c r="I142" s="14"/>
      <c r="J142" s="13"/>
      <c r="K142" s="13"/>
      <c r="L142" s="279"/>
      <c r="M142" s="14"/>
      <c r="N142" s="14"/>
      <c r="O142" s="13"/>
      <c r="P142" s="14"/>
      <c r="Q142" s="14"/>
      <c r="R142" s="13"/>
      <c r="S142" s="14"/>
      <c r="T142" s="13"/>
      <c r="U142" s="13"/>
      <c r="V142" s="11"/>
      <c r="W142" s="11"/>
      <c r="X142" s="11"/>
      <c r="Y142" s="11"/>
      <c r="Z142" s="11"/>
      <c r="AA142" s="11"/>
      <c r="AB142" s="11"/>
      <c r="AC142" s="11"/>
      <c r="AD142" s="11"/>
      <c r="AE142" s="11"/>
      <c r="AF142" s="11"/>
      <c r="AG142" s="11"/>
    </row>
    <row r="143" spans="1:34" s="3" customFormat="1" ht="15.95" customHeight="1" thickBot="1">
      <c r="A143" s="7"/>
      <c r="B143" s="19" t="s">
        <v>0</v>
      </c>
      <c r="C143" s="7"/>
      <c r="D143" s="8"/>
      <c r="E143" s="8"/>
      <c r="F143" s="9"/>
      <c r="G143" s="8"/>
      <c r="H143" s="9"/>
      <c r="I143" s="9"/>
      <c r="J143" s="8"/>
      <c r="K143" s="8"/>
      <c r="L143" s="280"/>
      <c r="M143" s="9"/>
      <c r="N143" s="9"/>
      <c r="O143" s="8"/>
      <c r="P143" s="9"/>
      <c r="Q143" s="9"/>
      <c r="R143" s="8"/>
      <c r="S143" s="866"/>
      <c r="T143" s="867" t="str">
        <f>'$REV-DB'!$T$34</f>
        <v>UD1</v>
      </c>
      <c r="U143" s="867" t="str">
        <f>'$REV-DB'!$U$34</f>
        <v>UD2</v>
      </c>
      <c r="V143" s="867" t="str">
        <f>'$REV-DB'!$V$34</f>
        <v>UD3</v>
      </c>
      <c r="W143" s="867" t="str">
        <f>'$REV-DB'!$W$34</f>
        <v>UD4</v>
      </c>
      <c r="X143" s="867" t="str">
        <f>'$REV-DB'!$X$34</f>
        <v>UD5</v>
      </c>
      <c r="Y143" s="867" t="str">
        <f>'$REV-DB'!$Y$34</f>
        <v>UD6</v>
      </c>
      <c r="Z143" s="867" t="str">
        <f>'$REV-DB'!$Z$34</f>
        <v>UD7</v>
      </c>
      <c r="AA143" s="867" t="str">
        <f>'$REV-DB'!$AA$34</f>
        <v>UD8</v>
      </c>
      <c r="AB143" s="867" t="str">
        <f>'$REV-DB'!$AB$34</f>
        <v>UD9</v>
      </c>
      <c r="AC143" s="867" t="str">
        <f>'$REV-DB'!$AC$34</f>
        <v>UD10</v>
      </c>
      <c r="AD143" s="867" t="str">
        <f>'$REV-DB'!$AD$34</f>
        <v>UD11</v>
      </c>
      <c r="AE143" s="867" t="str">
        <f>'$REV-DB'!$AE$34</f>
        <v>UD12</v>
      </c>
      <c r="AF143" s="867" t="str">
        <f>'$REV-DB'!$AF$34</f>
        <v>UD13</v>
      </c>
      <c r="AG143" s="867" t="str">
        <f>'$REV-DB'!$AG$34</f>
        <v>UD14</v>
      </c>
    </row>
    <row r="144" spans="1:34" s="3" customFormat="1" ht="15.95" customHeight="1" thickTop="1" thickBot="1">
      <c r="A144" s="7"/>
      <c r="B144" s="20" t="s">
        <v>175</v>
      </c>
      <c r="C144" s="15"/>
      <c r="D144" s="861" t="s">
        <v>186</v>
      </c>
      <c r="E144" s="861" t="s">
        <v>187</v>
      </c>
      <c r="F144" s="861" t="s">
        <v>188</v>
      </c>
      <c r="G144" s="861" t="s">
        <v>189</v>
      </c>
      <c r="H144" s="861" t="s">
        <v>11</v>
      </c>
      <c r="I144" s="861" t="s">
        <v>190</v>
      </c>
      <c r="J144" s="861" t="s">
        <v>191</v>
      </c>
      <c r="K144" s="861" t="s">
        <v>192</v>
      </c>
      <c r="L144" s="861" t="s">
        <v>203</v>
      </c>
      <c r="M144" s="861" t="s">
        <v>42</v>
      </c>
      <c r="N144" s="861" t="s">
        <v>148</v>
      </c>
      <c r="O144" s="861" t="s">
        <v>193</v>
      </c>
      <c r="P144" s="861" t="s">
        <v>142</v>
      </c>
      <c r="Q144" s="861" t="s">
        <v>194</v>
      </c>
      <c r="R144" s="112" t="s">
        <v>141</v>
      </c>
      <c r="S144" s="112" t="s">
        <v>672</v>
      </c>
      <c r="T144" s="861" t="s">
        <v>541</v>
      </c>
      <c r="U144" s="861" t="s">
        <v>542</v>
      </c>
      <c r="V144" s="861" t="s">
        <v>543</v>
      </c>
      <c r="W144" s="861" t="s">
        <v>544</v>
      </c>
      <c r="X144" s="861" t="s">
        <v>545</v>
      </c>
      <c r="Y144" s="861" t="s">
        <v>546</v>
      </c>
      <c r="Z144" s="861" t="s">
        <v>547</v>
      </c>
      <c r="AA144" s="861" t="s">
        <v>548</v>
      </c>
      <c r="AB144" s="861" t="s">
        <v>549</v>
      </c>
      <c r="AC144" s="861" t="s">
        <v>550</v>
      </c>
      <c r="AD144" s="861" t="s">
        <v>551</v>
      </c>
      <c r="AE144" s="861" t="s">
        <v>552</v>
      </c>
      <c r="AF144" s="861" t="s">
        <v>553</v>
      </c>
      <c r="AG144" s="861" t="s">
        <v>554</v>
      </c>
      <c r="AH144" s="6"/>
    </row>
    <row r="145" spans="1:34" s="3" customFormat="1" ht="15.95" customHeight="1" thickTop="1">
      <c r="A145" s="7"/>
      <c r="B145" s="19" t="s">
        <v>150</v>
      </c>
      <c r="C145" s="12"/>
      <c r="D145" s="186"/>
      <c r="E145" s="186"/>
      <c r="F145" s="186"/>
      <c r="G145" s="186"/>
      <c r="H145" s="186"/>
      <c r="I145" s="186"/>
      <c r="J145" s="186"/>
      <c r="K145" s="186"/>
      <c r="L145" s="278" t="s">
        <v>34</v>
      </c>
      <c r="M145" s="186"/>
      <c r="N145" s="37" t="str">
        <f>J$6</f>
        <v>FY2010-11</v>
      </c>
      <c r="O145" s="186"/>
      <c r="P145" s="37" t="s">
        <v>147</v>
      </c>
      <c r="Q145" s="189" t="s">
        <v>140</v>
      </c>
      <c r="R145" s="186"/>
      <c r="S145" s="186" t="s">
        <v>611</v>
      </c>
      <c r="T145" s="187"/>
      <c r="U145" s="187"/>
      <c r="V145" s="188"/>
      <c r="W145" s="188"/>
      <c r="X145" s="188"/>
      <c r="Y145" s="188"/>
      <c r="Z145" s="188"/>
      <c r="AA145" s="188"/>
      <c r="AB145" s="188"/>
      <c r="AC145" s="188"/>
      <c r="AD145" s="188"/>
      <c r="AE145" s="188"/>
      <c r="AF145" s="188"/>
      <c r="AG145" s="188"/>
      <c r="AH145" s="6"/>
    </row>
    <row r="146" spans="1:34" s="3" customFormat="1" ht="15.95" customHeight="1">
      <c r="A146" s="7"/>
      <c r="B146" s="16">
        <f>DSUM('$REV-DB'!D35:AG67,"AMOUNT",D144:AG145)</f>
        <v>0</v>
      </c>
      <c r="C146" s="12"/>
      <c r="D146" s="880"/>
      <c r="E146" s="880"/>
      <c r="F146" s="880"/>
      <c r="G146" s="880"/>
      <c r="H146" s="880"/>
      <c r="I146" s="880"/>
      <c r="J146" s="880"/>
      <c r="K146" s="880"/>
      <c r="L146" s="881"/>
      <c r="M146" s="880"/>
      <c r="N146" s="873"/>
      <c r="O146" s="880"/>
      <c r="P146" s="873"/>
      <c r="Q146" s="884"/>
      <c r="R146" s="880"/>
      <c r="S146" s="880"/>
      <c r="T146" s="882"/>
      <c r="U146" s="882"/>
      <c r="V146" s="883"/>
      <c r="W146" s="883"/>
      <c r="X146" s="883"/>
      <c r="Y146" s="883"/>
      <c r="Z146" s="883"/>
      <c r="AA146" s="883"/>
      <c r="AB146" s="883"/>
      <c r="AC146" s="883"/>
      <c r="AD146" s="883"/>
      <c r="AE146" s="883"/>
      <c r="AF146" s="883"/>
      <c r="AG146" s="883"/>
      <c r="AH146" s="6"/>
    </row>
    <row r="147" spans="1:34" s="3" customFormat="1" ht="15.95" customHeight="1">
      <c r="A147" s="7"/>
      <c r="B147" s="10"/>
      <c r="C147" s="12"/>
      <c r="D147" s="880"/>
      <c r="E147" s="880"/>
      <c r="F147" s="880"/>
      <c r="G147" s="880"/>
      <c r="H147" s="880"/>
      <c r="I147" s="880"/>
      <c r="J147" s="880"/>
      <c r="K147" s="880"/>
      <c r="L147" s="881"/>
      <c r="M147" s="880"/>
      <c r="N147" s="873"/>
      <c r="O147" s="880"/>
      <c r="P147" s="873"/>
      <c r="Q147" s="884"/>
      <c r="R147" s="880"/>
      <c r="S147" s="880"/>
      <c r="T147" s="882"/>
      <c r="U147" s="882"/>
      <c r="V147" s="883"/>
      <c r="W147" s="883"/>
      <c r="X147" s="883"/>
      <c r="Y147" s="883"/>
      <c r="Z147" s="883"/>
      <c r="AA147" s="883"/>
      <c r="AB147" s="883"/>
      <c r="AC147" s="883"/>
      <c r="AD147" s="883"/>
      <c r="AE147" s="883"/>
      <c r="AF147" s="883"/>
      <c r="AG147" s="883"/>
    </row>
    <row r="148" spans="1:34" s="3" customFormat="1" ht="15.95" customHeight="1">
      <c r="A148" s="7"/>
      <c r="B148" s="10"/>
      <c r="C148" s="12"/>
      <c r="D148" s="880"/>
      <c r="E148" s="880"/>
      <c r="F148" s="880"/>
      <c r="G148" s="880"/>
      <c r="H148" s="880"/>
      <c r="I148" s="880"/>
      <c r="J148" s="880"/>
      <c r="K148" s="880"/>
      <c r="L148" s="881"/>
      <c r="M148" s="880"/>
      <c r="N148" s="873"/>
      <c r="O148" s="880"/>
      <c r="P148" s="873"/>
      <c r="Q148" s="884"/>
      <c r="R148" s="880"/>
      <c r="S148" s="880"/>
      <c r="T148" s="882"/>
      <c r="U148" s="882"/>
      <c r="V148" s="883"/>
      <c r="W148" s="883"/>
      <c r="X148" s="883"/>
      <c r="Y148" s="883"/>
      <c r="Z148" s="883"/>
      <c r="AA148" s="883"/>
      <c r="AB148" s="883"/>
      <c r="AC148" s="883"/>
      <c r="AD148" s="883"/>
      <c r="AE148" s="883"/>
      <c r="AF148" s="883"/>
      <c r="AG148" s="883"/>
    </row>
    <row r="149" spans="1:34" s="3" customFormat="1" ht="15.95" customHeight="1">
      <c r="A149" s="7"/>
      <c r="B149" s="10"/>
      <c r="C149" s="12"/>
      <c r="D149" s="880"/>
      <c r="E149" s="880"/>
      <c r="F149" s="880"/>
      <c r="G149" s="880"/>
      <c r="H149" s="880"/>
      <c r="I149" s="880"/>
      <c r="J149" s="880"/>
      <c r="K149" s="880"/>
      <c r="L149" s="881"/>
      <c r="M149" s="880"/>
      <c r="N149" s="873"/>
      <c r="O149" s="880"/>
      <c r="P149" s="873"/>
      <c r="Q149" s="884"/>
      <c r="R149" s="880"/>
      <c r="S149" s="880"/>
      <c r="T149" s="882"/>
      <c r="U149" s="882"/>
      <c r="V149" s="883"/>
      <c r="W149" s="883"/>
      <c r="X149" s="883"/>
      <c r="Y149" s="883"/>
      <c r="Z149" s="883"/>
      <c r="AA149" s="883"/>
      <c r="AB149" s="883"/>
      <c r="AC149" s="883"/>
      <c r="AD149" s="883"/>
      <c r="AE149" s="883"/>
      <c r="AF149" s="883"/>
      <c r="AG149" s="883"/>
    </row>
    <row r="150" spans="1:34" s="3" customFormat="1" ht="15.95" customHeight="1">
      <c r="A150" s="7"/>
      <c r="B150" s="10"/>
      <c r="C150" s="12"/>
      <c r="D150" s="880"/>
      <c r="E150" s="880"/>
      <c r="F150" s="880"/>
      <c r="G150" s="880"/>
      <c r="H150" s="880"/>
      <c r="I150" s="880"/>
      <c r="J150" s="880"/>
      <c r="K150" s="880"/>
      <c r="L150" s="881"/>
      <c r="M150" s="880"/>
      <c r="N150" s="873"/>
      <c r="O150" s="880"/>
      <c r="P150" s="873"/>
      <c r="Q150" s="884"/>
      <c r="R150" s="880"/>
      <c r="S150" s="880"/>
      <c r="T150" s="882"/>
      <c r="U150" s="882"/>
      <c r="V150" s="883"/>
      <c r="W150" s="883"/>
      <c r="X150" s="883"/>
      <c r="Y150" s="883"/>
      <c r="Z150" s="883"/>
      <c r="AA150" s="883"/>
      <c r="AB150" s="883"/>
      <c r="AC150" s="883"/>
      <c r="AD150" s="883"/>
      <c r="AE150" s="883"/>
      <c r="AF150" s="883"/>
      <c r="AG150" s="883"/>
    </row>
    <row r="151" spans="1:34" s="3" customFormat="1" ht="15.95" customHeight="1">
      <c r="A151" s="7"/>
      <c r="B151" s="10"/>
      <c r="C151" s="12"/>
      <c r="D151" s="880"/>
      <c r="E151" s="880"/>
      <c r="F151" s="880"/>
      <c r="G151" s="880"/>
      <c r="H151" s="880"/>
      <c r="I151" s="880"/>
      <c r="J151" s="880"/>
      <c r="K151" s="880"/>
      <c r="L151" s="881"/>
      <c r="M151" s="880"/>
      <c r="N151" s="873"/>
      <c r="O151" s="880"/>
      <c r="P151" s="873"/>
      <c r="Q151" s="884"/>
      <c r="R151" s="880"/>
      <c r="S151" s="880"/>
      <c r="T151" s="882"/>
      <c r="U151" s="882"/>
      <c r="V151" s="883"/>
      <c r="W151" s="883"/>
      <c r="X151" s="883"/>
      <c r="Y151" s="883"/>
      <c r="Z151" s="883"/>
      <c r="AA151" s="883"/>
      <c r="AB151" s="883"/>
      <c r="AC151" s="883"/>
      <c r="AD151" s="883"/>
      <c r="AE151" s="883"/>
      <c r="AF151" s="883"/>
      <c r="AG151" s="883"/>
    </row>
    <row r="152" spans="1:34" s="3" customFormat="1" ht="15.95" customHeight="1">
      <c r="A152" s="25"/>
      <c r="B152" s="26"/>
      <c r="C152" s="26"/>
      <c r="D152" s="27"/>
      <c r="E152" s="27"/>
      <c r="F152" s="28"/>
      <c r="G152" s="27"/>
      <c r="H152" s="28"/>
      <c r="I152" s="28"/>
      <c r="J152" s="27"/>
      <c r="K152" s="27"/>
      <c r="L152" s="282"/>
      <c r="M152" s="28"/>
      <c r="N152" s="28"/>
      <c r="O152" s="27"/>
      <c r="P152" s="28"/>
      <c r="Q152" s="28"/>
      <c r="R152" s="27"/>
      <c r="S152" s="28"/>
      <c r="T152" s="27"/>
      <c r="U152" s="27"/>
      <c r="V152" s="25"/>
      <c r="W152" s="25"/>
      <c r="X152" s="25"/>
      <c r="Y152" s="25"/>
      <c r="Z152" s="25"/>
      <c r="AA152" s="25"/>
      <c r="AB152" s="25"/>
      <c r="AC152" s="25"/>
      <c r="AD152" s="25"/>
      <c r="AE152" s="25"/>
      <c r="AF152" s="25"/>
      <c r="AG152" s="25"/>
    </row>
    <row r="153" spans="1:34" s="3" customFormat="1" ht="15.95" customHeight="1" thickBot="1">
      <c r="A153" s="7"/>
      <c r="B153" s="19" t="str">
        <f>"FA1 = "&amp;'FIG3'!$W$52&amp;" "&amp;'FIG3'!$X$52</f>
        <v>FA1 = Fulton County District</v>
      </c>
      <c r="C153" s="7"/>
      <c r="D153" s="17"/>
      <c r="E153" s="17"/>
      <c r="F153" s="18"/>
      <c r="G153" s="17"/>
      <c r="H153" s="18"/>
      <c r="I153" s="18"/>
      <c r="J153" s="17"/>
      <c r="K153" s="17"/>
      <c r="L153" s="281"/>
      <c r="M153" s="18"/>
      <c r="N153" s="9"/>
      <c r="O153" s="17"/>
      <c r="P153" s="18"/>
      <c r="Q153" s="18"/>
      <c r="R153" s="17"/>
      <c r="S153" s="866"/>
      <c r="T153" s="867" t="str">
        <f>'$REV-DB'!$T$34</f>
        <v>UD1</v>
      </c>
      <c r="U153" s="867" t="str">
        <f>'$REV-DB'!$U$34</f>
        <v>UD2</v>
      </c>
      <c r="V153" s="867" t="str">
        <f>'$REV-DB'!$V$34</f>
        <v>UD3</v>
      </c>
      <c r="W153" s="867" t="str">
        <f>'$REV-DB'!$W$34</f>
        <v>UD4</v>
      </c>
      <c r="X153" s="867" t="str">
        <f>'$REV-DB'!$X$34</f>
        <v>UD5</v>
      </c>
      <c r="Y153" s="867" t="str">
        <f>'$REV-DB'!$Y$34</f>
        <v>UD6</v>
      </c>
      <c r="Z153" s="867" t="str">
        <f>'$REV-DB'!$Z$34</f>
        <v>UD7</v>
      </c>
      <c r="AA153" s="867" t="str">
        <f>'$REV-DB'!$AA$34</f>
        <v>UD8</v>
      </c>
      <c r="AB153" s="867" t="str">
        <f>'$REV-DB'!$AB$34</f>
        <v>UD9</v>
      </c>
      <c r="AC153" s="867" t="str">
        <f>'$REV-DB'!$AC$34</f>
        <v>UD10</v>
      </c>
      <c r="AD153" s="867" t="str">
        <f>'$REV-DB'!$AD$34</f>
        <v>UD11</v>
      </c>
      <c r="AE153" s="867" t="str">
        <f>'$REV-DB'!$AE$34</f>
        <v>UD12</v>
      </c>
      <c r="AF153" s="867" t="str">
        <f>'$REV-DB'!$AF$34</f>
        <v>UD13</v>
      </c>
      <c r="AG153" s="867" t="str">
        <f>'$REV-DB'!$AG$34</f>
        <v>UD14</v>
      </c>
    </row>
    <row r="154" spans="1:34" s="3" customFormat="1" ht="15.95" customHeight="1" thickTop="1" thickBot="1">
      <c r="A154" s="7"/>
      <c r="B154" s="20" t="s">
        <v>4</v>
      </c>
      <c r="C154" s="15"/>
      <c r="D154" s="861" t="s">
        <v>186</v>
      </c>
      <c r="E154" s="861" t="s">
        <v>187</v>
      </c>
      <c r="F154" s="861" t="s">
        <v>188</v>
      </c>
      <c r="G154" s="861" t="s">
        <v>189</v>
      </c>
      <c r="H154" s="861" t="s">
        <v>11</v>
      </c>
      <c r="I154" s="861" t="s">
        <v>190</v>
      </c>
      <c r="J154" s="861" t="s">
        <v>191</v>
      </c>
      <c r="K154" s="861" t="s">
        <v>192</v>
      </c>
      <c r="L154" s="861" t="s">
        <v>203</v>
      </c>
      <c r="M154" s="861" t="s">
        <v>42</v>
      </c>
      <c r="N154" s="861" t="s">
        <v>148</v>
      </c>
      <c r="O154" s="861" t="s">
        <v>193</v>
      </c>
      <c r="P154" s="861" t="s">
        <v>142</v>
      </c>
      <c r="Q154" s="861" t="s">
        <v>194</v>
      </c>
      <c r="R154" s="112" t="s">
        <v>141</v>
      </c>
      <c r="S154" s="112" t="s">
        <v>672</v>
      </c>
      <c r="T154" s="861" t="s">
        <v>541</v>
      </c>
      <c r="U154" s="861" t="s">
        <v>542</v>
      </c>
      <c r="V154" s="861" t="s">
        <v>543</v>
      </c>
      <c r="W154" s="861" t="s">
        <v>544</v>
      </c>
      <c r="X154" s="861" t="s">
        <v>545</v>
      </c>
      <c r="Y154" s="861" t="s">
        <v>546</v>
      </c>
      <c r="Z154" s="861" t="s">
        <v>547</v>
      </c>
      <c r="AA154" s="861" t="s">
        <v>548</v>
      </c>
      <c r="AB154" s="861" t="s">
        <v>549</v>
      </c>
      <c r="AC154" s="861" t="s">
        <v>550</v>
      </c>
      <c r="AD154" s="861" t="s">
        <v>551</v>
      </c>
      <c r="AE154" s="861" t="s">
        <v>552</v>
      </c>
      <c r="AF154" s="861" t="s">
        <v>553</v>
      </c>
      <c r="AG154" s="861" t="s">
        <v>554</v>
      </c>
      <c r="AH154" s="6"/>
    </row>
    <row r="155" spans="1:34" s="3" customFormat="1" ht="15.95" customHeight="1" thickTop="1">
      <c r="A155" s="7"/>
      <c r="B155" s="19" t="s">
        <v>146</v>
      </c>
      <c r="C155" s="12"/>
      <c r="D155" s="190"/>
      <c r="E155" s="190"/>
      <c r="F155" s="190"/>
      <c r="G155" s="190"/>
      <c r="H155" s="190"/>
      <c r="I155" s="190"/>
      <c r="J155" s="190"/>
      <c r="K155" s="190"/>
      <c r="L155" s="283" t="s">
        <v>34</v>
      </c>
      <c r="M155" s="190"/>
      <c r="N155" s="38" t="str">
        <f>J$6</f>
        <v>FY2010-11</v>
      </c>
      <c r="O155" s="38" t="s">
        <v>152</v>
      </c>
      <c r="P155" s="38" t="s">
        <v>138</v>
      </c>
      <c r="Q155" s="190"/>
      <c r="R155" s="190"/>
      <c r="S155" s="190"/>
      <c r="T155" s="191"/>
      <c r="U155" s="191"/>
      <c r="V155" s="192"/>
      <c r="W155" s="192"/>
      <c r="X155" s="192"/>
      <c r="Y155" s="192"/>
      <c r="Z155" s="192"/>
      <c r="AA155" s="192"/>
      <c r="AB155" s="192"/>
      <c r="AC155" s="192"/>
      <c r="AD155" s="192"/>
      <c r="AE155" s="192"/>
      <c r="AF155" s="192"/>
      <c r="AG155" s="192"/>
      <c r="AH155" s="6"/>
    </row>
    <row r="156" spans="1:34" s="3" customFormat="1" ht="15.95" customHeight="1">
      <c r="A156" s="7"/>
      <c r="B156" s="16">
        <f>DSUM('$REV-DB'!D35:AG67,"AMOUNT",D154:AG156)</f>
        <v>1103446703.78</v>
      </c>
      <c r="C156" s="12"/>
      <c r="D156" s="190"/>
      <c r="E156" s="190"/>
      <c r="F156" s="190"/>
      <c r="G156" s="190"/>
      <c r="H156" s="190"/>
      <c r="I156" s="190"/>
      <c r="J156" s="190"/>
      <c r="K156" s="190"/>
      <c r="L156" s="283" t="s">
        <v>34</v>
      </c>
      <c r="M156" s="190"/>
      <c r="N156" s="38" t="str">
        <f>J$6</f>
        <v>FY2010-11</v>
      </c>
      <c r="O156" s="38" t="s">
        <v>152</v>
      </c>
      <c r="P156" s="38" t="s">
        <v>147</v>
      </c>
      <c r="Q156" s="190"/>
      <c r="R156" s="190"/>
      <c r="S156" s="190" t="s">
        <v>103</v>
      </c>
      <c r="T156" s="191"/>
      <c r="U156" s="191"/>
      <c r="V156" s="192"/>
      <c r="W156" s="192"/>
      <c r="X156" s="192"/>
      <c r="Y156" s="192"/>
      <c r="Z156" s="192"/>
      <c r="AA156" s="192"/>
      <c r="AB156" s="192"/>
      <c r="AC156" s="192"/>
      <c r="AD156" s="192"/>
      <c r="AE156" s="192"/>
      <c r="AF156" s="192"/>
      <c r="AG156" s="192"/>
      <c r="AH156" s="6"/>
    </row>
    <row r="157" spans="1:34" s="3" customFormat="1" ht="15.95" customHeight="1">
      <c r="A157" s="7"/>
      <c r="B157" s="10"/>
      <c r="C157" s="12"/>
      <c r="D157" s="880"/>
      <c r="E157" s="880"/>
      <c r="F157" s="880"/>
      <c r="G157" s="880"/>
      <c r="H157" s="880"/>
      <c r="I157" s="880"/>
      <c r="J157" s="880"/>
      <c r="K157" s="880"/>
      <c r="L157" s="881"/>
      <c r="M157" s="880"/>
      <c r="N157" s="873"/>
      <c r="O157" s="873"/>
      <c r="P157" s="873"/>
      <c r="Q157" s="880"/>
      <c r="R157" s="880"/>
      <c r="S157" s="880"/>
      <c r="T157" s="882"/>
      <c r="U157" s="882"/>
      <c r="V157" s="883"/>
      <c r="W157" s="883"/>
      <c r="X157" s="883"/>
      <c r="Y157" s="883"/>
      <c r="Z157" s="883"/>
      <c r="AA157" s="883"/>
      <c r="AB157" s="883"/>
      <c r="AC157" s="883"/>
      <c r="AD157" s="883"/>
      <c r="AE157" s="883"/>
      <c r="AF157" s="883"/>
      <c r="AG157" s="883"/>
    </row>
    <row r="158" spans="1:34" s="3" customFormat="1" ht="15.95" customHeight="1">
      <c r="A158" s="7"/>
      <c r="B158" s="10"/>
      <c r="C158" s="12"/>
      <c r="D158" s="880"/>
      <c r="E158" s="880"/>
      <c r="F158" s="880"/>
      <c r="G158" s="880"/>
      <c r="H158" s="880"/>
      <c r="I158" s="880"/>
      <c r="J158" s="880"/>
      <c r="K158" s="880"/>
      <c r="L158" s="881"/>
      <c r="M158" s="880"/>
      <c r="N158" s="873"/>
      <c r="O158" s="873"/>
      <c r="P158" s="873"/>
      <c r="Q158" s="880"/>
      <c r="R158" s="880"/>
      <c r="S158" s="880"/>
      <c r="T158" s="882"/>
      <c r="U158" s="882"/>
      <c r="V158" s="883"/>
      <c r="W158" s="883"/>
      <c r="X158" s="883"/>
      <c r="Y158" s="883"/>
      <c r="Z158" s="883"/>
      <c r="AA158" s="883"/>
      <c r="AB158" s="883"/>
      <c r="AC158" s="883"/>
      <c r="AD158" s="883"/>
      <c r="AE158" s="883"/>
      <c r="AF158" s="883"/>
      <c r="AG158" s="883"/>
    </row>
    <row r="159" spans="1:34" s="3" customFormat="1" ht="15.95" customHeight="1">
      <c r="A159" s="7"/>
      <c r="B159" s="10"/>
      <c r="C159" s="12"/>
      <c r="D159" s="880"/>
      <c r="E159" s="880"/>
      <c r="F159" s="880"/>
      <c r="G159" s="880"/>
      <c r="H159" s="880"/>
      <c r="I159" s="880"/>
      <c r="J159" s="880"/>
      <c r="K159" s="880"/>
      <c r="L159" s="881"/>
      <c r="M159" s="880"/>
      <c r="N159" s="873"/>
      <c r="O159" s="873"/>
      <c r="P159" s="873"/>
      <c r="Q159" s="880"/>
      <c r="R159" s="880"/>
      <c r="S159" s="880"/>
      <c r="T159" s="882"/>
      <c r="U159" s="882"/>
      <c r="V159" s="883"/>
      <c r="W159" s="883"/>
      <c r="X159" s="883"/>
      <c r="Y159" s="883"/>
      <c r="Z159" s="883"/>
      <c r="AA159" s="883"/>
      <c r="AB159" s="883"/>
      <c r="AC159" s="883"/>
      <c r="AD159" s="883"/>
      <c r="AE159" s="883"/>
      <c r="AF159" s="883"/>
      <c r="AG159" s="883"/>
    </row>
    <row r="160" spans="1:34" s="3" customFormat="1" ht="15.95" customHeight="1">
      <c r="A160" s="7"/>
      <c r="B160" s="10"/>
      <c r="C160" s="12"/>
      <c r="D160" s="880"/>
      <c r="E160" s="880"/>
      <c r="F160" s="880"/>
      <c r="G160" s="880"/>
      <c r="H160" s="880"/>
      <c r="I160" s="880"/>
      <c r="J160" s="880"/>
      <c r="K160" s="880"/>
      <c r="L160" s="881"/>
      <c r="M160" s="880"/>
      <c r="N160" s="873"/>
      <c r="O160" s="873"/>
      <c r="P160" s="873"/>
      <c r="Q160" s="880"/>
      <c r="R160" s="880"/>
      <c r="S160" s="880"/>
      <c r="T160" s="882"/>
      <c r="U160" s="882"/>
      <c r="V160" s="883"/>
      <c r="W160" s="883"/>
      <c r="X160" s="883"/>
      <c r="Y160" s="883"/>
      <c r="Z160" s="883"/>
      <c r="AA160" s="883"/>
      <c r="AB160" s="883"/>
      <c r="AC160" s="883"/>
      <c r="AD160" s="883"/>
      <c r="AE160" s="883"/>
      <c r="AF160" s="883"/>
      <c r="AG160" s="883"/>
    </row>
    <row r="161" spans="1:34" s="3" customFormat="1" ht="15.95" customHeight="1">
      <c r="A161" s="7"/>
      <c r="B161" s="10"/>
      <c r="C161" s="12"/>
      <c r="D161" s="880"/>
      <c r="E161" s="880"/>
      <c r="F161" s="880"/>
      <c r="G161" s="880"/>
      <c r="H161" s="880"/>
      <c r="I161" s="880"/>
      <c r="J161" s="880"/>
      <c r="K161" s="880"/>
      <c r="L161" s="881"/>
      <c r="M161" s="880"/>
      <c r="N161" s="873"/>
      <c r="O161" s="873"/>
      <c r="P161" s="873"/>
      <c r="Q161" s="880"/>
      <c r="R161" s="880"/>
      <c r="S161" s="880"/>
      <c r="T161" s="882"/>
      <c r="U161" s="882"/>
      <c r="V161" s="883"/>
      <c r="W161" s="883"/>
      <c r="X161" s="883"/>
      <c r="Y161" s="883"/>
      <c r="Z161" s="883"/>
      <c r="AA161" s="883"/>
      <c r="AB161" s="883"/>
      <c r="AC161" s="883"/>
      <c r="AD161" s="883"/>
      <c r="AE161" s="883"/>
      <c r="AF161" s="883"/>
      <c r="AG161" s="883"/>
    </row>
    <row r="162" spans="1:34" s="3" customFormat="1" ht="15.95" customHeight="1">
      <c r="A162" s="25"/>
      <c r="B162" s="26"/>
      <c r="C162" s="26"/>
      <c r="D162" s="27"/>
      <c r="E162" s="27"/>
      <c r="F162" s="28"/>
      <c r="G162" s="27"/>
      <c r="H162" s="28"/>
      <c r="I162" s="28"/>
      <c r="J162" s="27"/>
      <c r="K162" s="27"/>
      <c r="L162" s="282"/>
      <c r="M162" s="28"/>
      <c r="N162" s="28"/>
      <c r="O162" s="27"/>
      <c r="P162" s="28"/>
      <c r="Q162" s="28"/>
      <c r="R162" s="27"/>
      <c r="S162" s="28"/>
      <c r="T162" s="27"/>
      <c r="U162" s="27"/>
      <c r="V162" s="25"/>
      <c r="W162" s="25"/>
      <c r="X162" s="25"/>
      <c r="Y162" s="25"/>
      <c r="Z162" s="25"/>
      <c r="AA162" s="25"/>
      <c r="AB162" s="25"/>
      <c r="AC162" s="25"/>
      <c r="AD162" s="25"/>
      <c r="AE162" s="25"/>
      <c r="AF162" s="25"/>
      <c r="AG162" s="25"/>
    </row>
    <row r="163" spans="1:34" s="3" customFormat="1" ht="15.95" customHeight="1" thickBot="1">
      <c r="A163" s="7"/>
      <c r="B163" s="19" t="str">
        <f>"FA1 = "&amp;'FIG3'!$W$52&amp;" "&amp;'FIG3'!$X$52</f>
        <v>FA1 = Fulton County District</v>
      </c>
      <c r="C163" s="7"/>
      <c r="D163" s="8"/>
      <c r="E163" s="8"/>
      <c r="F163" s="9"/>
      <c r="G163" s="8"/>
      <c r="H163" s="9"/>
      <c r="I163" s="9"/>
      <c r="J163" s="8"/>
      <c r="K163" s="8"/>
      <c r="L163" s="280"/>
      <c r="M163" s="9"/>
      <c r="N163" s="9"/>
      <c r="O163" s="8"/>
      <c r="P163" s="9"/>
      <c r="Q163" s="9"/>
      <c r="R163" s="8"/>
      <c r="S163" s="866"/>
      <c r="T163" s="867" t="str">
        <f>'$REV-DB'!$T$34</f>
        <v>UD1</v>
      </c>
      <c r="U163" s="867" t="str">
        <f>'$REV-DB'!$U$34</f>
        <v>UD2</v>
      </c>
      <c r="V163" s="867" t="str">
        <f>'$REV-DB'!$V$34</f>
        <v>UD3</v>
      </c>
      <c r="W163" s="867" t="str">
        <f>'$REV-DB'!$W$34</f>
        <v>UD4</v>
      </c>
      <c r="X163" s="867" t="str">
        <f>'$REV-DB'!$X$34</f>
        <v>UD5</v>
      </c>
      <c r="Y163" s="867" t="str">
        <f>'$REV-DB'!$Y$34</f>
        <v>UD6</v>
      </c>
      <c r="Z163" s="867" t="str">
        <f>'$REV-DB'!$Z$34</f>
        <v>UD7</v>
      </c>
      <c r="AA163" s="867" t="str">
        <f>'$REV-DB'!$AA$34</f>
        <v>UD8</v>
      </c>
      <c r="AB163" s="867" t="str">
        <f>'$REV-DB'!$AB$34</f>
        <v>UD9</v>
      </c>
      <c r="AC163" s="867" t="str">
        <f>'$REV-DB'!$AC$34</f>
        <v>UD10</v>
      </c>
      <c r="AD163" s="867" t="str">
        <f>'$REV-DB'!$AD$34</f>
        <v>UD11</v>
      </c>
      <c r="AE163" s="867" t="str">
        <f>'$REV-DB'!$AE$34</f>
        <v>UD12</v>
      </c>
      <c r="AF163" s="867" t="str">
        <f>'$REV-DB'!$AF$34</f>
        <v>UD13</v>
      </c>
      <c r="AG163" s="867" t="str">
        <f>'$REV-DB'!$AG$34</f>
        <v>UD14</v>
      </c>
    </row>
    <row r="164" spans="1:34" s="3" customFormat="1" ht="15.95" customHeight="1" thickTop="1" thickBot="1">
      <c r="A164" s="7"/>
      <c r="B164" s="20" t="s">
        <v>4</v>
      </c>
      <c r="C164" s="15"/>
      <c r="D164" s="861" t="s">
        <v>186</v>
      </c>
      <c r="E164" s="861" t="s">
        <v>187</v>
      </c>
      <c r="F164" s="861" t="s">
        <v>188</v>
      </c>
      <c r="G164" s="861" t="s">
        <v>189</v>
      </c>
      <c r="H164" s="861" t="s">
        <v>11</v>
      </c>
      <c r="I164" s="861" t="s">
        <v>190</v>
      </c>
      <c r="J164" s="861" t="s">
        <v>191</v>
      </c>
      <c r="K164" s="861" t="s">
        <v>192</v>
      </c>
      <c r="L164" s="861" t="s">
        <v>203</v>
      </c>
      <c r="M164" s="861" t="s">
        <v>42</v>
      </c>
      <c r="N164" s="861" t="s">
        <v>148</v>
      </c>
      <c r="O164" s="861" t="s">
        <v>193</v>
      </c>
      <c r="P164" s="861" t="s">
        <v>142</v>
      </c>
      <c r="Q164" s="861" t="s">
        <v>194</v>
      </c>
      <c r="R164" s="112" t="s">
        <v>141</v>
      </c>
      <c r="S164" s="112" t="s">
        <v>672</v>
      </c>
      <c r="T164" s="861" t="s">
        <v>541</v>
      </c>
      <c r="U164" s="861" t="s">
        <v>542</v>
      </c>
      <c r="V164" s="861" t="s">
        <v>543</v>
      </c>
      <c r="W164" s="861" t="s">
        <v>544</v>
      </c>
      <c r="X164" s="861" t="s">
        <v>545</v>
      </c>
      <c r="Y164" s="861" t="s">
        <v>546</v>
      </c>
      <c r="Z164" s="861" t="s">
        <v>547</v>
      </c>
      <c r="AA164" s="861" t="s">
        <v>548</v>
      </c>
      <c r="AB164" s="861" t="s">
        <v>549</v>
      </c>
      <c r="AC164" s="861" t="s">
        <v>550</v>
      </c>
      <c r="AD164" s="861" t="s">
        <v>551</v>
      </c>
      <c r="AE164" s="861" t="s">
        <v>552</v>
      </c>
      <c r="AF164" s="861" t="s">
        <v>553</v>
      </c>
      <c r="AG164" s="861" t="s">
        <v>554</v>
      </c>
      <c r="AH164" s="6"/>
    </row>
    <row r="165" spans="1:34" s="3" customFormat="1" ht="15.95" customHeight="1" thickTop="1">
      <c r="A165" s="7"/>
      <c r="B165" s="19" t="s">
        <v>145</v>
      </c>
      <c r="C165" s="12"/>
      <c r="D165" s="191"/>
      <c r="E165" s="191"/>
      <c r="F165" s="190"/>
      <c r="G165" s="191"/>
      <c r="H165" s="190"/>
      <c r="I165" s="190"/>
      <c r="J165" s="191"/>
      <c r="K165" s="191"/>
      <c r="L165" s="283" t="s">
        <v>34</v>
      </c>
      <c r="M165" s="190"/>
      <c r="N165" s="38" t="str">
        <f>J$6</f>
        <v>FY2010-11</v>
      </c>
      <c r="O165" s="38" t="s">
        <v>152</v>
      </c>
      <c r="P165" s="38" t="s">
        <v>138</v>
      </c>
      <c r="Q165" s="38" t="s">
        <v>180</v>
      </c>
      <c r="R165" s="191"/>
      <c r="S165" s="190"/>
      <c r="T165" s="191"/>
      <c r="U165" s="191"/>
      <c r="V165" s="192"/>
      <c r="W165" s="192"/>
      <c r="X165" s="192"/>
      <c r="Y165" s="192"/>
      <c r="Z165" s="192"/>
      <c r="AA165" s="192"/>
      <c r="AB165" s="192"/>
      <c r="AC165" s="192"/>
      <c r="AD165" s="192"/>
      <c r="AE165" s="192"/>
      <c r="AF165" s="192"/>
      <c r="AG165" s="192"/>
      <c r="AH165" s="6"/>
    </row>
    <row r="166" spans="1:34" s="3" customFormat="1" ht="15.95" customHeight="1">
      <c r="A166" s="7"/>
      <c r="B166" s="16">
        <f>DSUM('$REV-DB'!D35:AG67,"AMOUNT",D164:AG166)</f>
        <v>95153963.870000005</v>
      </c>
      <c r="C166" s="12"/>
      <c r="D166" s="191"/>
      <c r="E166" s="191"/>
      <c r="F166" s="190"/>
      <c r="G166" s="191"/>
      <c r="H166" s="190"/>
      <c r="I166" s="190"/>
      <c r="J166" s="191"/>
      <c r="K166" s="191"/>
      <c r="L166" s="283" t="s">
        <v>34</v>
      </c>
      <c r="M166" s="190"/>
      <c r="N166" s="38" t="str">
        <f>J$6</f>
        <v>FY2010-11</v>
      </c>
      <c r="O166" s="38" t="s">
        <v>152</v>
      </c>
      <c r="P166" s="38" t="s">
        <v>147</v>
      </c>
      <c r="Q166" s="38" t="s">
        <v>180</v>
      </c>
      <c r="R166" s="191"/>
      <c r="S166" s="190" t="s">
        <v>103</v>
      </c>
      <c r="T166" s="191"/>
      <c r="U166" s="191"/>
      <c r="V166" s="192"/>
      <c r="W166" s="192"/>
      <c r="X166" s="192"/>
      <c r="Y166" s="192"/>
      <c r="Z166" s="192"/>
      <c r="AA166" s="192"/>
      <c r="AB166" s="192"/>
      <c r="AC166" s="192"/>
      <c r="AD166" s="192"/>
      <c r="AE166" s="192"/>
      <c r="AF166" s="192"/>
      <c r="AG166" s="192"/>
      <c r="AH166" s="6"/>
    </row>
    <row r="167" spans="1:34" s="3" customFormat="1" ht="15.95" customHeight="1">
      <c r="A167" s="7"/>
      <c r="B167" s="10"/>
      <c r="C167" s="12"/>
      <c r="D167" s="880"/>
      <c r="E167" s="880"/>
      <c r="F167" s="880"/>
      <c r="G167" s="880"/>
      <c r="H167" s="880"/>
      <c r="I167" s="880"/>
      <c r="J167" s="880"/>
      <c r="K167" s="880"/>
      <c r="L167" s="881"/>
      <c r="M167" s="880"/>
      <c r="N167" s="873"/>
      <c r="O167" s="873"/>
      <c r="P167" s="873"/>
      <c r="Q167" s="880"/>
      <c r="R167" s="880"/>
      <c r="S167" s="880"/>
      <c r="T167" s="882"/>
      <c r="U167" s="882"/>
      <c r="V167" s="883"/>
      <c r="W167" s="883"/>
      <c r="X167" s="883"/>
      <c r="Y167" s="883"/>
      <c r="Z167" s="883"/>
      <c r="AA167" s="883"/>
      <c r="AB167" s="883"/>
      <c r="AC167" s="883"/>
      <c r="AD167" s="883"/>
      <c r="AE167" s="883"/>
      <c r="AF167" s="883"/>
      <c r="AG167" s="883"/>
    </row>
    <row r="168" spans="1:34" s="3" customFormat="1" ht="15.95" customHeight="1">
      <c r="A168" s="7"/>
      <c r="B168" s="10"/>
      <c r="C168" s="12"/>
      <c r="D168" s="880"/>
      <c r="E168" s="880"/>
      <c r="F168" s="880"/>
      <c r="G168" s="880"/>
      <c r="H168" s="880"/>
      <c r="I168" s="880"/>
      <c r="J168" s="880"/>
      <c r="K168" s="880"/>
      <c r="L168" s="881"/>
      <c r="M168" s="880"/>
      <c r="N168" s="873"/>
      <c r="O168" s="873"/>
      <c r="P168" s="873"/>
      <c r="Q168" s="880"/>
      <c r="R168" s="880"/>
      <c r="S168" s="880"/>
      <c r="T168" s="882"/>
      <c r="U168" s="882"/>
      <c r="V168" s="883"/>
      <c r="W168" s="883"/>
      <c r="X168" s="883"/>
      <c r="Y168" s="883"/>
      <c r="Z168" s="883"/>
      <c r="AA168" s="883"/>
      <c r="AB168" s="883"/>
      <c r="AC168" s="883"/>
      <c r="AD168" s="883"/>
      <c r="AE168" s="883"/>
      <c r="AF168" s="883"/>
      <c r="AG168" s="883"/>
    </row>
    <row r="169" spans="1:34" s="3" customFormat="1" ht="15.95" customHeight="1">
      <c r="A169" s="7"/>
      <c r="B169" s="10"/>
      <c r="C169" s="12"/>
      <c r="D169" s="880"/>
      <c r="E169" s="880"/>
      <c r="F169" s="880"/>
      <c r="G169" s="880"/>
      <c r="H169" s="880"/>
      <c r="I169" s="880"/>
      <c r="J169" s="880"/>
      <c r="K169" s="880"/>
      <c r="L169" s="881"/>
      <c r="M169" s="880"/>
      <c r="N169" s="873"/>
      <c r="O169" s="873"/>
      <c r="P169" s="873"/>
      <c r="Q169" s="880"/>
      <c r="R169" s="880"/>
      <c r="S169" s="880"/>
      <c r="T169" s="882"/>
      <c r="U169" s="882"/>
      <c r="V169" s="883"/>
      <c r="W169" s="883"/>
      <c r="X169" s="883"/>
      <c r="Y169" s="883"/>
      <c r="Z169" s="883"/>
      <c r="AA169" s="883"/>
      <c r="AB169" s="883"/>
      <c r="AC169" s="883"/>
      <c r="AD169" s="883"/>
      <c r="AE169" s="883"/>
      <c r="AF169" s="883"/>
      <c r="AG169" s="883"/>
    </row>
    <row r="170" spans="1:34" s="3" customFormat="1" ht="15.95" customHeight="1">
      <c r="A170" s="7"/>
      <c r="B170" s="10"/>
      <c r="C170" s="12"/>
      <c r="D170" s="880"/>
      <c r="E170" s="880"/>
      <c r="F170" s="880"/>
      <c r="G170" s="880"/>
      <c r="H170" s="880"/>
      <c r="I170" s="880"/>
      <c r="J170" s="880"/>
      <c r="K170" s="880"/>
      <c r="L170" s="881"/>
      <c r="M170" s="880"/>
      <c r="N170" s="873"/>
      <c r="O170" s="873"/>
      <c r="P170" s="873"/>
      <c r="Q170" s="880"/>
      <c r="R170" s="880"/>
      <c r="S170" s="880"/>
      <c r="T170" s="882"/>
      <c r="U170" s="882"/>
      <c r="V170" s="883"/>
      <c r="W170" s="883"/>
      <c r="X170" s="883"/>
      <c r="Y170" s="883"/>
      <c r="Z170" s="883"/>
      <c r="AA170" s="883"/>
      <c r="AB170" s="883"/>
      <c r="AC170" s="883"/>
      <c r="AD170" s="883"/>
      <c r="AE170" s="883"/>
      <c r="AF170" s="883"/>
      <c r="AG170" s="883"/>
    </row>
    <row r="171" spans="1:34" s="3" customFormat="1" ht="15.95" customHeight="1">
      <c r="A171" s="7"/>
      <c r="B171" s="10"/>
      <c r="C171" s="12"/>
      <c r="D171" s="880"/>
      <c r="E171" s="880"/>
      <c r="F171" s="880"/>
      <c r="G171" s="880"/>
      <c r="H171" s="880"/>
      <c r="I171" s="880"/>
      <c r="J171" s="880"/>
      <c r="K171" s="880"/>
      <c r="L171" s="881"/>
      <c r="M171" s="880"/>
      <c r="N171" s="873"/>
      <c r="O171" s="873"/>
      <c r="P171" s="873"/>
      <c r="Q171" s="880"/>
      <c r="R171" s="880"/>
      <c r="S171" s="880"/>
      <c r="T171" s="882"/>
      <c r="U171" s="882"/>
      <c r="V171" s="883"/>
      <c r="W171" s="883"/>
      <c r="X171" s="883"/>
      <c r="Y171" s="883"/>
      <c r="Z171" s="883"/>
      <c r="AA171" s="883"/>
      <c r="AB171" s="883"/>
      <c r="AC171" s="883"/>
      <c r="AD171" s="883"/>
      <c r="AE171" s="883"/>
      <c r="AF171" s="883"/>
      <c r="AG171" s="883"/>
    </row>
    <row r="172" spans="1:34" s="3" customFormat="1" ht="15.95" customHeight="1">
      <c r="A172" s="25"/>
      <c r="B172" s="26"/>
      <c r="C172" s="26"/>
      <c r="D172" s="27"/>
      <c r="E172" s="27"/>
      <c r="F172" s="28"/>
      <c r="G172" s="27"/>
      <c r="H172" s="28"/>
      <c r="I172" s="28"/>
      <c r="J172" s="27"/>
      <c r="K172" s="27"/>
      <c r="L172" s="282"/>
      <c r="M172" s="28"/>
      <c r="N172" s="28"/>
      <c r="O172" s="27"/>
      <c r="P172" s="28"/>
      <c r="Q172" s="28"/>
      <c r="R172" s="27"/>
      <c r="S172" s="28"/>
      <c r="T172" s="27"/>
      <c r="U172" s="27"/>
      <c r="V172" s="25"/>
      <c r="W172" s="25"/>
      <c r="X172" s="25"/>
      <c r="Y172" s="25"/>
      <c r="Z172" s="25"/>
      <c r="AA172" s="25"/>
      <c r="AB172" s="25"/>
      <c r="AC172" s="25"/>
      <c r="AD172" s="25"/>
      <c r="AE172" s="25"/>
      <c r="AF172" s="25"/>
      <c r="AG172" s="25"/>
    </row>
    <row r="173" spans="1:34" s="3" customFormat="1" ht="15.95" customHeight="1" thickBot="1">
      <c r="A173" s="7"/>
      <c r="B173" s="19" t="str">
        <f>"FA1 = "&amp;'FIG3'!$W$52&amp;" "&amp;'FIG3'!$X$52</f>
        <v>FA1 = Fulton County District</v>
      </c>
      <c r="C173" s="7"/>
      <c r="D173" s="8"/>
      <c r="E173" s="8"/>
      <c r="F173" s="9"/>
      <c r="G173" s="8"/>
      <c r="H173" s="9"/>
      <c r="I173" s="9"/>
      <c r="J173" s="8"/>
      <c r="K173" s="8"/>
      <c r="L173" s="280"/>
      <c r="M173" s="9"/>
      <c r="N173" s="9"/>
      <c r="O173" s="8"/>
      <c r="P173" s="9"/>
      <c r="Q173" s="9"/>
      <c r="R173" s="8"/>
      <c r="S173" s="866"/>
      <c r="T173" s="867" t="str">
        <f>'$REV-DB'!$T$34</f>
        <v>UD1</v>
      </c>
      <c r="U173" s="867" t="str">
        <f>'$REV-DB'!$U$34</f>
        <v>UD2</v>
      </c>
      <c r="V173" s="867" t="str">
        <f>'$REV-DB'!$V$34</f>
        <v>UD3</v>
      </c>
      <c r="W173" s="867" t="str">
        <f>'$REV-DB'!$W$34</f>
        <v>UD4</v>
      </c>
      <c r="X173" s="867" t="str">
        <f>'$REV-DB'!$X$34</f>
        <v>UD5</v>
      </c>
      <c r="Y173" s="867" t="str">
        <f>'$REV-DB'!$Y$34</f>
        <v>UD6</v>
      </c>
      <c r="Z173" s="867" t="str">
        <f>'$REV-DB'!$Z$34</f>
        <v>UD7</v>
      </c>
      <c r="AA173" s="867" t="str">
        <f>'$REV-DB'!$AA$34</f>
        <v>UD8</v>
      </c>
      <c r="AB173" s="867" t="str">
        <f>'$REV-DB'!$AB$34</f>
        <v>UD9</v>
      </c>
      <c r="AC173" s="867" t="str">
        <f>'$REV-DB'!$AC$34</f>
        <v>UD10</v>
      </c>
      <c r="AD173" s="867" t="str">
        <f>'$REV-DB'!$AD$34</f>
        <v>UD11</v>
      </c>
      <c r="AE173" s="867" t="str">
        <f>'$REV-DB'!$AE$34</f>
        <v>UD12</v>
      </c>
      <c r="AF173" s="867" t="str">
        <f>'$REV-DB'!$AF$34</f>
        <v>UD13</v>
      </c>
      <c r="AG173" s="867" t="str">
        <f>'$REV-DB'!$AG$34</f>
        <v>UD14</v>
      </c>
    </row>
    <row r="174" spans="1:34" s="3" customFormat="1" ht="15.95" customHeight="1" thickTop="1" thickBot="1">
      <c r="A174" s="7"/>
      <c r="B174" s="20" t="s">
        <v>4</v>
      </c>
      <c r="C174" s="15"/>
      <c r="D174" s="861" t="s">
        <v>186</v>
      </c>
      <c r="E174" s="861" t="s">
        <v>187</v>
      </c>
      <c r="F174" s="861" t="s">
        <v>188</v>
      </c>
      <c r="G174" s="861" t="s">
        <v>189</v>
      </c>
      <c r="H174" s="861" t="s">
        <v>11</v>
      </c>
      <c r="I174" s="861" t="s">
        <v>190</v>
      </c>
      <c r="J174" s="861" t="s">
        <v>191</v>
      </c>
      <c r="K174" s="861" t="s">
        <v>192</v>
      </c>
      <c r="L174" s="861" t="s">
        <v>203</v>
      </c>
      <c r="M174" s="861" t="s">
        <v>42</v>
      </c>
      <c r="N174" s="861" t="s">
        <v>148</v>
      </c>
      <c r="O174" s="861" t="s">
        <v>193</v>
      </c>
      <c r="P174" s="861" t="s">
        <v>142</v>
      </c>
      <c r="Q174" s="861" t="s">
        <v>194</v>
      </c>
      <c r="R174" s="112" t="s">
        <v>141</v>
      </c>
      <c r="S174" s="112" t="s">
        <v>672</v>
      </c>
      <c r="T174" s="861" t="s">
        <v>541</v>
      </c>
      <c r="U174" s="861" t="s">
        <v>542</v>
      </c>
      <c r="V174" s="861" t="s">
        <v>543</v>
      </c>
      <c r="W174" s="861" t="s">
        <v>544</v>
      </c>
      <c r="X174" s="861" t="s">
        <v>545</v>
      </c>
      <c r="Y174" s="861" t="s">
        <v>546</v>
      </c>
      <c r="Z174" s="861" t="s">
        <v>547</v>
      </c>
      <c r="AA174" s="861" t="s">
        <v>548</v>
      </c>
      <c r="AB174" s="861" t="s">
        <v>549</v>
      </c>
      <c r="AC174" s="861" t="s">
        <v>550</v>
      </c>
      <c r="AD174" s="861" t="s">
        <v>551</v>
      </c>
      <c r="AE174" s="861" t="s">
        <v>552</v>
      </c>
      <c r="AF174" s="861" t="s">
        <v>553</v>
      </c>
      <c r="AG174" s="861" t="s">
        <v>554</v>
      </c>
      <c r="AH174" s="6"/>
    </row>
    <row r="175" spans="1:34" s="3" customFormat="1" ht="15.95" customHeight="1" thickTop="1">
      <c r="A175" s="7"/>
      <c r="B175" s="19" t="s">
        <v>144</v>
      </c>
      <c r="C175" s="12"/>
      <c r="D175" s="191"/>
      <c r="E175" s="191"/>
      <c r="F175" s="190"/>
      <c r="G175" s="191"/>
      <c r="H175" s="190"/>
      <c r="I175" s="190"/>
      <c r="J175" s="191"/>
      <c r="K175" s="191"/>
      <c r="L175" s="283" t="s">
        <v>34</v>
      </c>
      <c r="M175" s="190"/>
      <c r="N175" s="38" t="str">
        <f>J$6</f>
        <v>FY2010-11</v>
      </c>
      <c r="O175" s="38" t="s">
        <v>152</v>
      </c>
      <c r="P175" s="38" t="s">
        <v>138</v>
      </c>
      <c r="Q175" s="38" t="s">
        <v>139</v>
      </c>
      <c r="R175" s="191"/>
      <c r="S175" s="190"/>
      <c r="T175" s="191"/>
      <c r="U175" s="191"/>
      <c r="V175" s="192"/>
      <c r="W175" s="192"/>
      <c r="X175" s="192"/>
      <c r="Y175" s="192"/>
      <c r="Z175" s="192"/>
      <c r="AA175" s="192"/>
      <c r="AB175" s="192"/>
      <c r="AC175" s="192"/>
      <c r="AD175" s="192"/>
      <c r="AE175" s="192"/>
      <c r="AF175" s="192"/>
      <c r="AG175" s="192"/>
      <c r="AH175" s="6"/>
    </row>
    <row r="176" spans="1:34" s="3" customFormat="1" ht="15.95" customHeight="1">
      <c r="A176" s="7"/>
      <c r="B176" s="16">
        <f>DSUM('$REV-DB'!D35:AG67,"AMOUNT",D174:AG176)</f>
        <v>291439281.51000005</v>
      </c>
      <c r="C176" s="12"/>
      <c r="D176" s="191"/>
      <c r="E176" s="191"/>
      <c r="F176" s="190"/>
      <c r="G176" s="191"/>
      <c r="H176" s="190"/>
      <c r="I176" s="190"/>
      <c r="J176" s="191"/>
      <c r="K176" s="191"/>
      <c r="L176" s="283" t="s">
        <v>34</v>
      </c>
      <c r="M176" s="190"/>
      <c r="N176" s="38" t="str">
        <f>J$6</f>
        <v>FY2010-11</v>
      </c>
      <c r="O176" s="38" t="s">
        <v>152</v>
      </c>
      <c r="P176" s="38" t="s">
        <v>147</v>
      </c>
      <c r="Q176" s="38" t="s">
        <v>139</v>
      </c>
      <c r="R176" s="191"/>
      <c r="S176" s="190" t="s">
        <v>103</v>
      </c>
      <c r="T176" s="191"/>
      <c r="U176" s="191"/>
      <c r="V176" s="192"/>
      <c r="W176" s="192"/>
      <c r="X176" s="192"/>
      <c r="Y176" s="192"/>
      <c r="Z176" s="192"/>
      <c r="AA176" s="192"/>
      <c r="AB176" s="192"/>
      <c r="AC176" s="192"/>
      <c r="AD176" s="192"/>
      <c r="AE176" s="192"/>
      <c r="AF176" s="192"/>
      <c r="AG176" s="192"/>
      <c r="AH176" s="6"/>
    </row>
    <row r="177" spans="1:34" s="3" customFormat="1" ht="15.95" customHeight="1">
      <c r="A177" s="7"/>
      <c r="B177" s="10"/>
      <c r="C177" s="12"/>
      <c r="D177" s="880"/>
      <c r="E177" s="880"/>
      <c r="F177" s="880"/>
      <c r="G177" s="880"/>
      <c r="H177" s="880"/>
      <c r="I177" s="880"/>
      <c r="J177" s="880"/>
      <c r="K177" s="880"/>
      <c r="L177" s="881"/>
      <c r="M177" s="880"/>
      <c r="N177" s="873"/>
      <c r="O177" s="873"/>
      <c r="P177" s="873"/>
      <c r="Q177" s="880"/>
      <c r="R177" s="880"/>
      <c r="S177" s="880"/>
      <c r="T177" s="882"/>
      <c r="U177" s="882"/>
      <c r="V177" s="883"/>
      <c r="W177" s="883"/>
      <c r="X177" s="883"/>
      <c r="Y177" s="883"/>
      <c r="Z177" s="883"/>
      <c r="AA177" s="883"/>
      <c r="AB177" s="883"/>
      <c r="AC177" s="883"/>
      <c r="AD177" s="883"/>
      <c r="AE177" s="883"/>
      <c r="AF177" s="883"/>
      <c r="AG177" s="883"/>
    </row>
    <row r="178" spans="1:34" s="3" customFormat="1" ht="15.95" customHeight="1">
      <c r="A178" s="7"/>
      <c r="B178" s="10"/>
      <c r="C178" s="12"/>
      <c r="D178" s="880"/>
      <c r="E178" s="880"/>
      <c r="F178" s="880"/>
      <c r="G178" s="880"/>
      <c r="H178" s="880"/>
      <c r="I178" s="880"/>
      <c r="J178" s="880"/>
      <c r="K178" s="880"/>
      <c r="L178" s="881"/>
      <c r="M178" s="880"/>
      <c r="N178" s="873"/>
      <c r="O178" s="873"/>
      <c r="P178" s="873"/>
      <c r="Q178" s="880"/>
      <c r="R178" s="880"/>
      <c r="S178" s="880"/>
      <c r="T178" s="882"/>
      <c r="U178" s="882"/>
      <c r="V178" s="883"/>
      <c r="W178" s="883"/>
      <c r="X178" s="883"/>
      <c r="Y178" s="883"/>
      <c r="Z178" s="883"/>
      <c r="AA178" s="883"/>
      <c r="AB178" s="883"/>
      <c r="AC178" s="883"/>
      <c r="AD178" s="883"/>
      <c r="AE178" s="883"/>
      <c r="AF178" s="883"/>
      <c r="AG178" s="883"/>
    </row>
    <row r="179" spans="1:34" s="3" customFormat="1" ht="15.95" customHeight="1">
      <c r="A179" s="7"/>
      <c r="B179" s="10"/>
      <c r="C179" s="12"/>
      <c r="D179" s="880"/>
      <c r="E179" s="880"/>
      <c r="F179" s="880"/>
      <c r="G179" s="880"/>
      <c r="H179" s="880"/>
      <c r="I179" s="880"/>
      <c r="J179" s="880"/>
      <c r="K179" s="880"/>
      <c r="L179" s="881"/>
      <c r="M179" s="880"/>
      <c r="N179" s="873"/>
      <c r="O179" s="873"/>
      <c r="P179" s="873"/>
      <c r="Q179" s="880"/>
      <c r="R179" s="880"/>
      <c r="S179" s="880"/>
      <c r="T179" s="882"/>
      <c r="U179" s="882"/>
      <c r="V179" s="883"/>
      <c r="W179" s="883"/>
      <c r="X179" s="883"/>
      <c r="Y179" s="883"/>
      <c r="Z179" s="883"/>
      <c r="AA179" s="883"/>
      <c r="AB179" s="883"/>
      <c r="AC179" s="883"/>
      <c r="AD179" s="883"/>
      <c r="AE179" s="883"/>
      <c r="AF179" s="883"/>
      <c r="AG179" s="883"/>
    </row>
    <row r="180" spans="1:34" s="3" customFormat="1" ht="15.95" customHeight="1">
      <c r="A180" s="7"/>
      <c r="B180" s="10"/>
      <c r="C180" s="12"/>
      <c r="D180" s="880"/>
      <c r="E180" s="880"/>
      <c r="F180" s="880"/>
      <c r="G180" s="880"/>
      <c r="H180" s="880"/>
      <c r="I180" s="880"/>
      <c r="J180" s="880"/>
      <c r="K180" s="880"/>
      <c r="L180" s="881"/>
      <c r="M180" s="880"/>
      <c r="N180" s="873"/>
      <c r="O180" s="873"/>
      <c r="P180" s="873"/>
      <c r="Q180" s="880"/>
      <c r="R180" s="880"/>
      <c r="S180" s="880"/>
      <c r="T180" s="882"/>
      <c r="U180" s="882"/>
      <c r="V180" s="883"/>
      <c r="W180" s="883"/>
      <c r="X180" s="883"/>
      <c r="Y180" s="883"/>
      <c r="Z180" s="883"/>
      <c r="AA180" s="883"/>
      <c r="AB180" s="883"/>
      <c r="AC180" s="883"/>
      <c r="AD180" s="883"/>
      <c r="AE180" s="883"/>
      <c r="AF180" s="883"/>
      <c r="AG180" s="883"/>
    </row>
    <row r="181" spans="1:34" s="3" customFormat="1" ht="15.95" customHeight="1">
      <c r="A181" s="7"/>
      <c r="B181" s="10"/>
      <c r="C181" s="12"/>
      <c r="D181" s="880"/>
      <c r="E181" s="880"/>
      <c r="F181" s="880"/>
      <c r="G181" s="880"/>
      <c r="H181" s="880"/>
      <c r="I181" s="880"/>
      <c r="J181" s="880"/>
      <c r="K181" s="880"/>
      <c r="L181" s="881"/>
      <c r="M181" s="880"/>
      <c r="N181" s="873"/>
      <c r="O181" s="873"/>
      <c r="P181" s="873"/>
      <c r="Q181" s="880"/>
      <c r="R181" s="880"/>
      <c r="S181" s="880"/>
      <c r="T181" s="882"/>
      <c r="U181" s="882"/>
      <c r="V181" s="883"/>
      <c r="W181" s="883"/>
      <c r="X181" s="883"/>
      <c r="Y181" s="883"/>
      <c r="Z181" s="883"/>
      <c r="AA181" s="883"/>
      <c r="AB181" s="883"/>
      <c r="AC181" s="883"/>
      <c r="AD181" s="883"/>
      <c r="AE181" s="883"/>
      <c r="AF181" s="883"/>
      <c r="AG181" s="883"/>
    </row>
    <row r="182" spans="1:34" s="3" customFormat="1" ht="15.95" customHeight="1">
      <c r="A182" s="25"/>
      <c r="B182" s="26"/>
      <c r="C182" s="26"/>
      <c r="D182" s="27"/>
      <c r="E182" s="27"/>
      <c r="F182" s="28"/>
      <c r="G182" s="27"/>
      <c r="H182" s="28"/>
      <c r="I182" s="28"/>
      <c r="J182" s="27"/>
      <c r="K182" s="27"/>
      <c r="L182" s="282"/>
      <c r="M182" s="28"/>
      <c r="N182" s="28"/>
      <c r="O182" s="27"/>
      <c r="P182" s="28"/>
      <c r="Q182" s="28"/>
      <c r="R182" s="27"/>
      <c r="S182" s="28"/>
      <c r="T182" s="27"/>
      <c r="U182" s="27"/>
      <c r="V182" s="25"/>
      <c r="W182" s="25"/>
      <c r="X182" s="25"/>
      <c r="Y182" s="25"/>
      <c r="Z182" s="25"/>
      <c r="AA182" s="25"/>
      <c r="AB182" s="25"/>
      <c r="AC182" s="25"/>
      <c r="AD182" s="25"/>
      <c r="AE182" s="25"/>
      <c r="AF182" s="25"/>
      <c r="AG182" s="25"/>
    </row>
    <row r="183" spans="1:34" s="3" customFormat="1" ht="15.95" customHeight="1" thickBot="1">
      <c r="A183" s="7"/>
      <c r="B183" s="19" t="str">
        <f>"FA1 = "&amp;'FIG3'!$W$52&amp;" "&amp;'FIG3'!$X$52</f>
        <v>FA1 = Fulton County District</v>
      </c>
      <c r="C183" s="7"/>
      <c r="D183" s="8"/>
      <c r="E183" s="8"/>
      <c r="F183" s="9"/>
      <c r="G183" s="8"/>
      <c r="H183" s="9"/>
      <c r="I183" s="9"/>
      <c r="J183" s="8"/>
      <c r="K183" s="8"/>
      <c r="L183" s="280"/>
      <c r="M183" s="9"/>
      <c r="N183" s="9"/>
      <c r="O183" s="8"/>
      <c r="P183" s="9"/>
      <c r="Q183" s="9"/>
      <c r="R183" s="8"/>
      <c r="S183" s="866"/>
      <c r="T183" s="867" t="str">
        <f>'$REV-DB'!$T$34</f>
        <v>UD1</v>
      </c>
      <c r="U183" s="867" t="str">
        <f>'$REV-DB'!$U$34</f>
        <v>UD2</v>
      </c>
      <c r="V183" s="867" t="str">
        <f>'$REV-DB'!$V$34</f>
        <v>UD3</v>
      </c>
      <c r="W183" s="867" t="str">
        <f>'$REV-DB'!$W$34</f>
        <v>UD4</v>
      </c>
      <c r="X183" s="867" t="str">
        <f>'$REV-DB'!$X$34</f>
        <v>UD5</v>
      </c>
      <c r="Y183" s="867" t="str">
        <f>'$REV-DB'!$Y$34</f>
        <v>UD6</v>
      </c>
      <c r="Z183" s="867" t="str">
        <f>'$REV-DB'!$Z$34</f>
        <v>UD7</v>
      </c>
      <c r="AA183" s="867" t="str">
        <f>'$REV-DB'!$AA$34</f>
        <v>UD8</v>
      </c>
      <c r="AB183" s="867" t="str">
        <f>'$REV-DB'!$AB$34</f>
        <v>UD9</v>
      </c>
      <c r="AC183" s="867" t="str">
        <f>'$REV-DB'!$AC$34</f>
        <v>UD10</v>
      </c>
      <c r="AD183" s="867" t="str">
        <f>'$REV-DB'!$AD$34</f>
        <v>UD11</v>
      </c>
      <c r="AE183" s="867" t="str">
        <f>'$REV-DB'!$AE$34</f>
        <v>UD12</v>
      </c>
      <c r="AF183" s="867" t="str">
        <f>'$REV-DB'!$AF$34</f>
        <v>UD13</v>
      </c>
      <c r="AG183" s="867" t="str">
        <f>'$REV-DB'!$AG$34</f>
        <v>UD14</v>
      </c>
    </row>
    <row r="184" spans="1:34" s="3" customFormat="1" ht="15.95" customHeight="1" thickTop="1" thickBot="1">
      <c r="A184" s="7"/>
      <c r="B184" s="20" t="s">
        <v>4</v>
      </c>
      <c r="C184" s="15"/>
      <c r="D184" s="861" t="s">
        <v>186</v>
      </c>
      <c r="E184" s="861" t="s">
        <v>187</v>
      </c>
      <c r="F184" s="861" t="s">
        <v>188</v>
      </c>
      <c r="G184" s="861" t="s">
        <v>189</v>
      </c>
      <c r="H184" s="861" t="s">
        <v>11</v>
      </c>
      <c r="I184" s="861" t="s">
        <v>190</v>
      </c>
      <c r="J184" s="861" t="s">
        <v>191</v>
      </c>
      <c r="K184" s="861" t="s">
        <v>192</v>
      </c>
      <c r="L184" s="861" t="s">
        <v>203</v>
      </c>
      <c r="M184" s="861" t="s">
        <v>42</v>
      </c>
      <c r="N184" s="861" t="s">
        <v>148</v>
      </c>
      <c r="O184" s="861" t="s">
        <v>193</v>
      </c>
      <c r="P184" s="861" t="s">
        <v>142</v>
      </c>
      <c r="Q184" s="861" t="s">
        <v>194</v>
      </c>
      <c r="R184" s="112" t="s">
        <v>141</v>
      </c>
      <c r="S184" s="112" t="s">
        <v>672</v>
      </c>
      <c r="T184" s="861" t="s">
        <v>541</v>
      </c>
      <c r="U184" s="861" t="s">
        <v>542</v>
      </c>
      <c r="V184" s="861" t="s">
        <v>543</v>
      </c>
      <c r="W184" s="861" t="s">
        <v>544</v>
      </c>
      <c r="X184" s="861" t="s">
        <v>545</v>
      </c>
      <c r="Y184" s="861" t="s">
        <v>546</v>
      </c>
      <c r="Z184" s="861" t="s">
        <v>547</v>
      </c>
      <c r="AA184" s="861" t="s">
        <v>548</v>
      </c>
      <c r="AB184" s="861" t="s">
        <v>549</v>
      </c>
      <c r="AC184" s="861" t="s">
        <v>550</v>
      </c>
      <c r="AD184" s="861" t="s">
        <v>551</v>
      </c>
      <c r="AE184" s="861" t="s">
        <v>552</v>
      </c>
      <c r="AF184" s="861" t="s">
        <v>553</v>
      </c>
      <c r="AG184" s="861" t="s">
        <v>554</v>
      </c>
      <c r="AH184" s="6"/>
    </row>
    <row r="185" spans="1:34" s="3" customFormat="1" ht="15.95" customHeight="1" thickTop="1">
      <c r="A185" s="7"/>
      <c r="B185" s="19" t="s">
        <v>143</v>
      </c>
      <c r="C185" s="12"/>
      <c r="D185" s="191"/>
      <c r="E185" s="191"/>
      <c r="F185" s="190"/>
      <c r="G185" s="191"/>
      <c r="H185" s="190"/>
      <c r="I185" s="190"/>
      <c r="J185" s="191"/>
      <c r="K185" s="191"/>
      <c r="L185" s="283" t="s">
        <v>34</v>
      </c>
      <c r="M185" s="190"/>
      <c r="N185" s="38" t="str">
        <f>J$6</f>
        <v>FY2010-11</v>
      </c>
      <c r="O185" s="38" t="s">
        <v>152</v>
      </c>
      <c r="P185" s="38" t="s">
        <v>138</v>
      </c>
      <c r="Q185" s="38" t="s">
        <v>179</v>
      </c>
      <c r="R185" s="191"/>
      <c r="S185" s="190"/>
      <c r="T185" s="191"/>
      <c r="U185" s="191"/>
      <c r="V185" s="192"/>
      <c r="W185" s="192"/>
      <c r="X185" s="192"/>
      <c r="Y185" s="192"/>
      <c r="Z185" s="192"/>
      <c r="AA185" s="192"/>
      <c r="AB185" s="192"/>
      <c r="AC185" s="192"/>
      <c r="AD185" s="192"/>
      <c r="AE185" s="192"/>
      <c r="AF185" s="192"/>
      <c r="AG185" s="192"/>
      <c r="AH185" s="6"/>
    </row>
    <row r="186" spans="1:34" s="3" customFormat="1" ht="15.95" customHeight="1">
      <c r="A186" s="7"/>
      <c r="B186" s="16">
        <f>DSUM('$REV-DB'!D35:AG67,"AMOUNT",D184:AG186)</f>
        <v>654059954.54000008</v>
      </c>
      <c r="C186" s="12"/>
      <c r="D186" s="191"/>
      <c r="E186" s="191"/>
      <c r="F186" s="190"/>
      <c r="G186" s="191"/>
      <c r="H186" s="190"/>
      <c r="I186" s="190"/>
      <c r="J186" s="191"/>
      <c r="K186" s="191"/>
      <c r="L186" s="283" t="s">
        <v>34</v>
      </c>
      <c r="M186" s="190"/>
      <c r="N186" s="38" t="str">
        <f>J$6</f>
        <v>FY2010-11</v>
      </c>
      <c r="O186" s="38" t="s">
        <v>152</v>
      </c>
      <c r="P186" s="38" t="s">
        <v>147</v>
      </c>
      <c r="Q186" s="38" t="s">
        <v>179</v>
      </c>
      <c r="R186" s="191"/>
      <c r="S186" s="190" t="s">
        <v>103</v>
      </c>
      <c r="T186" s="191"/>
      <c r="U186" s="191"/>
      <c r="V186" s="192"/>
      <c r="W186" s="192"/>
      <c r="X186" s="192"/>
      <c r="Y186" s="192"/>
      <c r="Z186" s="192"/>
      <c r="AA186" s="192"/>
      <c r="AB186" s="192"/>
      <c r="AC186" s="192"/>
      <c r="AD186" s="192"/>
      <c r="AE186" s="192"/>
      <c r="AF186" s="192"/>
      <c r="AG186" s="192"/>
      <c r="AH186" s="6"/>
    </row>
    <row r="187" spans="1:34" s="3" customFormat="1" ht="15.95" customHeight="1">
      <c r="A187" s="7"/>
      <c r="B187" s="10"/>
      <c r="C187" s="12"/>
      <c r="D187" s="880"/>
      <c r="E187" s="880"/>
      <c r="F187" s="880"/>
      <c r="G187" s="880"/>
      <c r="H187" s="880"/>
      <c r="I187" s="880"/>
      <c r="J187" s="880"/>
      <c r="K187" s="880"/>
      <c r="L187" s="881"/>
      <c r="M187" s="880"/>
      <c r="N187" s="873"/>
      <c r="O187" s="873"/>
      <c r="P187" s="873"/>
      <c r="Q187" s="880"/>
      <c r="R187" s="880"/>
      <c r="S187" s="880"/>
      <c r="T187" s="882"/>
      <c r="U187" s="882"/>
      <c r="V187" s="883"/>
      <c r="W187" s="883"/>
      <c r="X187" s="883"/>
      <c r="Y187" s="883"/>
      <c r="Z187" s="883"/>
      <c r="AA187" s="883"/>
      <c r="AB187" s="883"/>
      <c r="AC187" s="883"/>
      <c r="AD187" s="883"/>
      <c r="AE187" s="883"/>
      <c r="AF187" s="883"/>
      <c r="AG187" s="883"/>
    </row>
    <row r="188" spans="1:34" s="3" customFormat="1" ht="15.95" customHeight="1">
      <c r="A188" s="7"/>
      <c r="B188" s="10"/>
      <c r="C188" s="12"/>
      <c r="D188" s="880"/>
      <c r="E188" s="880"/>
      <c r="F188" s="880"/>
      <c r="G188" s="880"/>
      <c r="H188" s="880"/>
      <c r="I188" s="880"/>
      <c r="J188" s="880"/>
      <c r="K188" s="880"/>
      <c r="L188" s="881"/>
      <c r="M188" s="880"/>
      <c r="N188" s="873"/>
      <c r="O188" s="873"/>
      <c r="P188" s="873"/>
      <c r="Q188" s="880"/>
      <c r="R188" s="880"/>
      <c r="S188" s="880"/>
      <c r="T188" s="882"/>
      <c r="U188" s="882"/>
      <c r="V188" s="883"/>
      <c r="W188" s="883"/>
      <c r="X188" s="883"/>
      <c r="Y188" s="883"/>
      <c r="Z188" s="883"/>
      <c r="AA188" s="883"/>
      <c r="AB188" s="883"/>
      <c r="AC188" s="883"/>
      <c r="AD188" s="883"/>
      <c r="AE188" s="883"/>
      <c r="AF188" s="883"/>
      <c r="AG188" s="883"/>
    </row>
    <row r="189" spans="1:34" s="3" customFormat="1" ht="15.95" customHeight="1">
      <c r="A189" s="7"/>
      <c r="B189" s="10"/>
      <c r="C189" s="12"/>
      <c r="D189" s="880"/>
      <c r="E189" s="880"/>
      <c r="F189" s="880"/>
      <c r="G189" s="880"/>
      <c r="H189" s="880"/>
      <c r="I189" s="880"/>
      <c r="J189" s="880"/>
      <c r="K189" s="880"/>
      <c r="L189" s="881"/>
      <c r="M189" s="880"/>
      <c r="N189" s="873"/>
      <c r="O189" s="873"/>
      <c r="P189" s="873"/>
      <c r="Q189" s="880"/>
      <c r="R189" s="880"/>
      <c r="S189" s="880"/>
      <c r="T189" s="882"/>
      <c r="U189" s="882"/>
      <c r="V189" s="883"/>
      <c r="W189" s="883"/>
      <c r="X189" s="883"/>
      <c r="Y189" s="883"/>
      <c r="Z189" s="883"/>
      <c r="AA189" s="883"/>
      <c r="AB189" s="883"/>
      <c r="AC189" s="883"/>
      <c r="AD189" s="883"/>
      <c r="AE189" s="883"/>
      <c r="AF189" s="883"/>
      <c r="AG189" s="883"/>
    </row>
    <row r="190" spans="1:34" s="3" customFormat="1" ht="15.95" customHeight="1">
      <c r="A190" s="7"/>
      <c r="B190" s="10"/>
      <c r="C190" s="12"/>
      <c r="D190" s="880"/>
      <c r="E190" s="880"/>
      <c r="F190" s="880"/>
      <c r="G190" s="880"/>
      <c r="H190" s="880"/>
      <c r="I190" s="880"/>
      <c r="J190" s="880"/>
      <c r="K190" s="880"/>
      <c r="L190" s="881"/>
      <c r="M190" s="880"/>
      <c r="N190" s="873"/>
      <c r="O190" s="873"/>
      <c r="P190" s="873"/>
      <c r="Q190" s="880"/>
      <c r="R190" s="880"/>
      <c r="S190" s="880"/>
      <c r="T190" s="882"/>
      <c r="U190" s="882"/>
      <c r="V190" s="883"/>
      <c r="W190" s="883"/>
      <c r="X190" s="883"/>
      <c r="Y190" s="883"/>
      <c r="Z190" s="883"/>
      <c r="AA190" s="883"/>
      <c r="AB190" s="883"/>
      <c r="AC190" s="883"/>
      <c r="AD190" s="883"/>
      <c r="AE190" s="883"/>
      <c r="AF190" s="883"/>
      <c r="AG190" s="883"/>
    </row>
    <row r="191" spans="1:34" s="3" customFormat="1" ht="15.95" customHeight="1">
      <c r="A191" s="7"/>
      <c r="B191" s="10"/>
      <c r="C191" s="12"/>
      <c r="D191" s="880"/>
      <c r="E191" s="880"/>
      <c r="F191" s="880"/>
      <c r="G191" s="880"/>
      <c r="H191" s="880"/>
      <c r="I191" s="880"/>
      <c r="J191" s="880"/>
      <c r="K191" s="880"/>
      <c r="L191" s="881"/>
      <c r="M191" s="880"/>
      <c r="N191" s="873"/>
      <c r="O191" s="873"/>
      <c r="P191" s="873"/>
      <c r="Q191" s="880"/>
      <c r="R191" s="880"/>
      <c r="S191" s="880"/>
      <c r="T191" s="882"/>
      <c r="U191" s="882"/>
      <c r="V191" s="883"/>
      <c r="W191" s="883"/>
      <c r="X191" s="883"/>
      <c r="Y191" s="883"/>
      <c r="Z191" s="883"/>
      <c r="AA191" s="883"/>
      <c r="AB191" s="883"/>
      <c r="AC191" s="883"/>
      <c r="AD191" s="883"/>
      <c r="AE191" s="883"/>
      <c r="AF191" s="883"/>
      <c r="AG191" s="883"/>
    </row>
    <row r="192" spans="1:34" s="3" customFormat="1" ht="15.95" customHeight="1">
      <c r="A192" s="25"/>
      <c r="B192" s="26"/>
      <c r="C192" s="26"/>
      <c r="D192" s="27"/>
      <c r="E192" s="27"/>
      <c r="F192" s="28"/>
      <c r="G192" s="27"/>
      <c r="H192" s="28"/>
      <c r="I192" s="28"/>
      <c r="J192" s="27"/>
      <c r="K192" s="27"/>
      <c r="L192" s="282"/>
      <c r="M192" s="28"/>
      <c r="N192" s="28"/>
      <c r="O192" s="27"/>
      <c r="P192" s="28"/>
      <c r="Q192" s="28"/>
      <c r="R192" s="27"/>
      <c r="S192" s="28"/>
      <c r="T192" s="27"/>
      <c r="U192" s="27"/>
      <c r="V192" s="25"/>
      <c r="W192" s="25"/>
      <c r="X192" s="25"/>
      <c r="Y192" s="25"/>
      <c r="Z192" s="25"/>
      <c r="AA192" s="25"/>
      <c r="AB192" s="25"/>
      <c r="AC192" s="25"/>
      <c r="AD192" s="25"/>
      <c r="AE192" s="25"/>
      <c r="AF192" s="25"/>
      <c r="AG192" s="25"/>
    </row>
    <row r="193" spans="1:34" s="3" customFormat="1" ht="15.95" customHeight="1" thickBot="1">
      <c r="A193" s="7"/>
      <c r="B193" s="19" t="str">
        <f>"FA1 = "&amp;'FIG3'!$W$52&amp;" "&amp;'FIG3'!$X$52</f>
        <v>FA1 = Fulton County District</v>
      </c>
      <c r="C193" s="7"/>
      <c r="D193" s="8"/>
      <c r="E193" s="8"/>
      <c r="F193" s="9"/>
      <c r="G193" s="8"/>
      <c r="H193" s="9"/>
      <c r="I193" s="9"/>
      <c r="J193" s="8"/>
      <c r="K193" s="8"/>
      <c r="L193" s="280"/>
      <c r="M193" s="9"/>
      <c r="N193" s="9"/>
      <c r="O193" s="8"/>
      <c r="P193" s="9"/>
      <c r="Q193" s="9"/>
      <c r="R193" s="8"/>
      <c r="S193" s="866"/>
      <c r="T193" s="867" t="str">
        <f>'$REV-DB'!$T$34</f>
        <v>UD1</v>
      </c>
      <c r="U193" s="867" t="str">
        <f>'$REV-DB'!$U$34</f>
        <v>UD2</v>
      </c>
      <c r="V193" s="867" t="str">
        <f>'$REV-DB'!$V$34</f>
        <v>UD3</v>
      </c>
      <c r="W193" s="867" t="str">
        <f>'$REV-DB'!$W$34</f>
        <v>UD4</v>
      </c>
      <c r="X193" s="867" t="str">
        <f>'$REV-DB'!$X$34</f>
        <v>UD5</v>
      </c>
      <c r="Y193" s="867" t="str">
        <f>'$REV-DB'!$Y$34</f>
        <v>UD6</v>
      </c>
      <c r="Z193" s="867" t="str">
        <f>'$REV-DB'!$Z$34</f>
        <v>UD7</v>
      </c>
      <c r="AA193" s="867" t="str">
        <f>'$REV-DB'!$AA$34</f>
        <v>UD8</v>
      </c>
      <c r="AB193" s="867" t="str">
        <f>'$REV-DB'!$AB$34</f>
        <v>UD9</v>
      </c>
      <c r="AC193" s="867" t="str">
        <f>'$REV-DB'!$AC$34</f>
        <v>UD10</v>
      </c>
      <c r="AD193" s="867" t="str">
        <f>'$REV-DB'!$AD$34</f>
        <v>UD11</v>
      </c>
      <c r="AE193" s="867" t="str">
        <f>'$REV-DB'!$AE$34</f>
        <v>UD12</v>
      </c>
      <c r="AF193" s="867" t="str">
        <f>'$REV-DB'!$AF$34</f>
        <v>UD13</v>
      </c>
      <c r="AG193" s="867" t="str">
        <f>'$REV-DB'!$AG$34</f>
        <v>UD14</v>
      </c>
    </row>
    <row r="194" spans="1:34" s="3" customFormat="1" ht="15.95" customHeight="1" thickTop="1" thickBot="1">
      <c r="A194" s="7"/>
      <c r="B194" s="20" t="s">
        <v>4</v>
      </c>
      <c r="C194" s="15"/>
      <c r="D194" s="861" t="s">
        <v>186</v>
      </c>
      <c r="E194" s="861" t="s">
        <v>187</v>
      </c>
      <c r="F194" s="861" t="s">
        <v>188</v>
      </c>
      <c r="G194" s="861" t="s">
        <v>189</v>
      </c>
      <c r="H194" s="861" t="s">
        <v>11</v>
      </c>
      <c r="I194" s="861" t="s">
        <v>190</v>
      </c>
      <c r="J194" s="861" t="s">
        <v>191</v>
      </c>
      <c r="K194" s="861" t="s">
        <v>192</v>
      </c>
      <c r="L194" s="861" t="s">
        <v>203</v>
      </c>
      <c r="M194" s="861" t="s">
        <v>42</v>
      </c>
      <c r="N194" s="861" t="s">
        <v>148</v>
      </c>
      <c r="O194" s="861" t="s">
        <v>193</v>
      </c>
      <c r="P194" s="861" t="s">
        <v>142</v>
      </c>
      <c r="Q194" s="861" t="s">
        <v>194</v>
      </c>
      <c r="R194" s="112" t="s">
        <v>141</v>
      </c>
      <c r="S194" s="112" t="s">
        <v>672</v>
      </c>
      <c r="T194" s="861" t="s">
        <v>541</v>
      </c>
      <c r="U194" s="861" t="s">
        <v>542</v>
      </c>
      <c r="V194" s="861" t="s">
        <v>543</v>
      </c>
      <c r="W194" s="861" t="s">
        <v>544</v>
      </c>
      <c r="X194" s="861" t="s">
        <v>545</v>
      </c>
      <c r="Y194" s="861" t="s">
        <v>546</v>
      </c>
      <c r="Z194" s="861" t="s">
        <v>547</v>
      </c>
      <c r="AA194" s="861" t="s">
        <v>548</v>
      </c>
      <c r="AB194" s="861" t="s">
        <v>549</v>
      </c>
      <c r="AC194" s="861" t="s">
        <v>550</v>
      </c>
      <c r="AD194" s="861" t="s">
        <v>551</v>
      </c>
      <c r="AE194" s="861" t="s">
        <v>552</v>
      </c>
      <c r="AF194" s="861" t="s">
        <v>553</v>
      </c>
      <c r="AG194" s="861" t="s">
        <v>554</v>
      </c>
      <c r="AH194" s="6"/>
    </row>
    <row r="195" spans="1:34" s="3" customFormat="1" ht="15.95" customHeight="1" thickTop="1">
      <c r="A195" s="7"/>
      <c r="B195" s="19" t="s">
        <v>149</v>
      </c>
      <c r="C195" s="12"/>
      <c r="D195" s="191"/>
      <c r="E195" s="191"/>
      <c r="F195" s="190"/>
      <c r="G195" s="191"/>
      <c r="H195" s="190"/>
      <c r="I195" s="190"/>
      <c r="J195" s="191"/>
      <c r="K195" s="191"/>
      <c r="L195" s="283" t="s">
        <v>34</v>
      </c>
      <c r="M195" s="190"/>
      <c r="N195" s="38" t="str">
        <f>J$6</f>
        <v>FY2010-11</v>
      </c>
      <c r="O195" s="38" t="s">
        <v>152</v>
      </c>
      <c r="P195" s="38" t="s">
        <v>138</v>
      </c>
      <c r="Q195" s="38" t="s">
        <v>2</v>
      </c>
      <c r="R195" s="191"/>
      <c r="S195" s="190"/>
      <c r="T195" s="191"/>
      <c r="U195" s="191"/>
      <c r="V195" s="192"/>
      <c r="W195" s="192"/>
      <c r="X195" s="192"/>
      <c r="Y195" s="192"/>
      <c r="Z195" s="192"/>
      <c r="AA195" s="192"/>
      <c r="AB195" s="192"/>
      <c r="AC195" s="192"/>
      <c r="AD195" s="192"/>
      <c r="AE195" s="192"/>
      <c r="AF195" s="192"/>
      <c r="AG195" s="192"/>
      <c r="AH195" s="6"/>
    </row>
    <row r="196" spans="1:34" s="3" customFormat="1" ht="15.95" customHeight="1">
      <c r="A196" s="7"/>
      <c r="B196" s="16">
        <f>DSUM('$REV-DB'!D35:AG67,"AMOUNT",D194:AG196)</f>
        <v>62793503.859999999</v>
      </c>
      <c r="C196" s="12"/>
      <c r="D196" s="191"/>
      <c r="E196" s="191"/>
      <c r="F196" s="190"/>
      <c r="G196" s="191"/>
      <c r="H196" s="190"/>
      <c r="I196" s="190"/>
      <c r="J196" s="191"/>
      <c r="K196" s="191"/>
      <c r="L196" s="283" t="s">
        <v>34</v>
      </c>
      <c r="M196" s="190"/>
      <c r="N196" s="38" t="str">
        <f>J$6</f>
        <v>FY2010-11</v>
      </c>
      <c r="O196" s="38" t="s">
        <v>152</v>
      </c>
      <c r="P196" s="38" t="s">
        <v>147</v>
      </c>
      <c r="Q196" s="38" t="s">
        <v>2</v>
      </c>
      <c r="R196" s="191"/>
      <c r="S196" s="190" t="s">
        <v>103</v>
      </c>
      <c r="T196" s="191"/>
      <c r="U196" s="191"/>
      <c r="V196" s="192"/>
      <c r="W196" s="192"/>
      <c r="X196" s="192"/>
      <c r="Y196" s="192"/>
      <c r="Z196" s="192"/>
      <c r="AA196" s="192"/>
      <c r="AB196" s="192"/>
      <c r="AC196" s="192"/>
      <c r="AD196" s="192"/>
      <c r="AE196" s="192"/>
      <c r="AF196" s="192"/>
      <c r="AG196" s="192"/>
      <c r="AH196" s="6"/>
    </row>
    <row r="197" spans="1:34" s="3" customFormat="1" ht="15.95" customHeight="1">
      <c r="A197" s="7"/>
      <c r="B197" s="10"/>
      <c r="C197" s="12"/>
      <c r="D197" s="880"/>
      <c r="E197" s="880"/>
      <c r="F197" s="880"/>
      <c r="G197" s="880"/>
      <c r="H197" s="880"/>
      <c r="I197" s="880"/>
      <c r="J197" s="880"/>
      <c r="K197" s="880"/>
      <c r="L197" s="881"/>
      <c r="M197" s="880"/>
      <c r="N197" s="873"/>
      <c r="O197" s="873"/>
      <c r="P197" s="873"/>
      <c r="Q197" s="880"/>
      <c r="R197" s="880"/>
      <c r="S197" s="880"/>
      <c r="T197" s="882"/>
      <c r="U197" s="882"/>
      <c r="V197" s="883"/>
      <c r="W197" s="883"/>
      <c r="X197" s="883"/>
      <c r="Y197" s="883"/>
      <c r="Z197" s="883"/>
      <c r="AA197" s="883"/>
      <c r="AB197" s="883"/>
      <c r="AC197" s="883"/>
      <c r="AD197" s="883"/>
      <c r="AE197" s="883"/>
      <c r="AF197" s="883"/>
      <c r="AG197" s="883"/>
    </row>
    <row r="198" spans="1:34" s="3" customFormat="1" ht="15.95" customHeight="1">
      <c r="A198" s="7"/>
      <c r="B198" s="10"/>
      <c r="C198" s="12"/>
      <c r="D198" s="880"/>
      <c r="E198" s="880"/>
      <c r="F198" s="880"/>
      <c r="G198" s="880"/>
      <c r="H198" s="880"/>
      <c r="I198" s="880"/>
      <c r="J198" s="880"/>
      <c r="K198" s="880"/>
      <c r="L198" s="881"/>
      <c r="M198" s="880"/>
      <c r="N198" s="873"/>
      <c r="O198" s="873"/>
      <c r="P198" s="873"/>
      <c r="Q198" s="880"/>
      <c r="R198" s="880"/>
      <c r="S198" s="880"/>
      <c r="T198" s="882"/>
      <c r="U198" s="882"/>
      <c r="V198" s="883"/>
      <c r="W198" s="883"/>
      <c r="X198" s="883"/>
      <c r="Y198" s="883"/>
      <c r="Z198" s="883"/>
      <c r="AA198" s="883"/>
      <c r="AB198" s="883"/>
      <c r="AC198" s="883"/>
      <c r="AD198" s="883"/>
      <c r="AE198" s="883"/>
      <c r="AF198" s="883"/>
      <c r="AG198" s="883"/>
    </row>
    <row r="199" spans="1:34" s="3" customFormat="1" ht="15.95" customHeight="1">
      <c r="A199" s="7"/>
      <c r="B199" s="10"/>
      <c r="C199" s="12"/>
      <c r="D199" s="880"/>
      <c r="E199" s="880"/>
      <c r="F199" s="880"/>
      <c r="G199" s="880"/>
      <c r="H199" s="880"/>
      <c r="I199" s="880"/>
      <c r="J199" s="880"/>
      <c r="K199" s="880"/>
      <c r="L199" s="881"/>
      <c r="M199" s="880"/>
      <c r="N199" s="873"/>
      <c r="O199" s="873"/>
      <c r="P199" s="873"/>
      <c r="Q199" s="880"/>
      <c r="R199" s="880"/>
      <c r="S199" s="880"/>
      <c r="T199" s="882"/>
      <c r="U199" s="882"/>
      <c r="V199" s="883"/>
      <c r="W199" s="883"/>
      <c r="X199" s="883"/>
      <c r="Y199" s="883"/>
      <c r="Z199" s="883"/>
      <c r="AA199" s="883"/>
      <c r="AB199" s="883"/>
      <c r="AC199" s="883"/>
      <c r="AD199" s="883"/>
      <c r="AE199" s="883"/>
      <c r="AF199" s="883"/>
      <c r="AG199" s="883"/>
    </row>
    <row r="200" spans="1:34" s="3" customFormat="1" ht="15.95" customHeight="1">
      <c r="A200" s="7"/>
      <c r="B200" s="10"/>
      <c r="C200" s="12"/>
      <c r="D200" s="880"/>
      <c r="E200" s="880"/>
      <c r="F200" s="880"/>
      <c r="G200" s="880"/>
      <c r="H200" s="880"/>
      <c r="I200" s="880"/>
      <c r="J200" s="880"/>
      <c r="K200" s="880"/>
      <c r="L200" s="881"/>
      <c r="M200" s="880"/>
      <c r="N200" s="873"/>
      <c r="O200" s="873"/>
      <c r="P200" s="873"/>
      <c r="Q200" s="880"/>
      <c r="R200" s="880"/>
      <c r="S200" s="880"/>
      <c r="T200" s="882"/>
      <c r="U200" s="882"/>
      <c r="V200" s="883"/>
      <c r="W200" s="883"/>
      <c r="X200" s="883"/>
      <c r="Y200" s="883"/>
      <c r="Z200" s="883"/>
      <c r="AA200" s="883"/>
      <c r="AB200" s="883"/>
      <c r="AC200" s="883"/>
      <c r="AD200" s="883"/>
      <c r="AE200" s="883"/>
      <c r="AF200" s="883"/>
      <c r="AG200" s="883"/>
    </row>
    <row r="201" spans="1:34" s="3" customFormat="1" ht="15.95" customHeight="1">
      <c r="A201" s="7"/>
      <c r="B201" s="10"/>
      <c r="C201" s="12"/>
      <c r="D201" s="880"/>
      <c r="E201" s="880"/>
      <c r="F201" s="880"/>
      <c r="G201" s="880"/>
      <c r="H201" s="880"/>
      <c r="I201" s="880"/>
      <c r="J201" s="880"/>
      <c r="K201" s="880"/>
      <c r="L201" s="881"/>
      <c r="M201" s="880"/>
      <c r="N201" s="873"/>
      <c r="O201" s="873"/>
      <c r="P201" s="873"/>
      <c r="Q201" s="880"/>
      <c r="R201" s="880"/>
      <c r="S201" s="880"/>
      <c r="T201" s="882"/>
      <c r="U201" s="882"/>
      <c r="V201" s="883"/>
      <c r="W201" s="883"/>
      <c r="X201" s="883"/>
      <c r="Y201" s="883"/>
      <c r="Z201" s="883"/>
      <c r="AA201" s="883"/>
      <c r="AB201" s="883"/>
      <c r="AC201" s="883"/>
      <c r="AD201" s="883"/>
      <c r="AE201" s="883"/>
      <c r="AF201" s="883"/>
      <c r="AG201" s="883"/>
    </row>
    <row r="202" spans="1:34" s="3" customFormat="1" ht="15.95" customHeight="1">
      <c r="A202" s="25"/>
      <c r="B202" s="26"/>
      <c r="C202" s="26"/>
      <c r="D202" s="27"/>
      <c r="E202" s="27"/>
      <c r="F202" s="28"/>
      <c r="G202" s="27"/>
      <c r="H202" s="28"/>
      <c r="I202" s="28"/>
      <c r="J202" s="27"/>
      <c r="K202" s="27"/>
      <c r="L202" s="282"/>
      <c r="M202" s="28"/>
      <c r="N202" s="28"/>
      <c r="O202" s="27"/>
      <c r="P202" s="28"/>
      <c r="Q202" s="28"/>
      <c r="R202" s="27"/>
      <c r="S202" s="28"/>
      <c r="T202" s="27"/>
      <c r="U202" s="27"/>
      <c r="V202" s="25"/>
      <c r="W202" s="25"/>
      <c r="X202" s="25"/>
      <c r="Y202" s="25"/>
      <c r="Z202" s="25"/>
      <c r="AA202" s="25"/>
      <c r="AB202" s="25"/>
      <c r="AC202" s="25"/>
      <c r="AD202" s="25"/>
      <c r="AE202" s="25"/>
      <c r="AF202" s="25"/>
      <c r="AG202" s="25"/>
    </row>
    <row r="203" spans="1:34" s="3" customFormat="1" ht="15.95" customHeight="1" thickBot="1">
      <c r="A203" s="7"/>
      <c r="B203" s="19" t="str">
        <f>"FA1 = "&amp;'FIG3'!$W$52&amp;" "&amp;'FIG3'!$X$52</f>
        <v>FA1 = Fulton County District</v>
      </c>
      <c r="C203" s="7"/>
      <c r="D203" s="8"/>
      <c r="E203" s="8"/>
      <c r="F203" s="9"/>
      <c r="G203" s="8"/>
      <c r="H203" s="9"/>
      <c r="I203" s="9"/>
      <c r="J203" s="8"/>
      <c r="K203" s="8"/>
      <c r="L203" s="280"/>
      <c r="M203" s="9"/>
      <c r="N203" s="9"/>
      <c r="O203" s="8"/>
      <c r="P203" s="9"/>
      <c r="Q203" s="9"/>
      <c r="R203" s="8"/>
      <c r="S203" s="866"/>
      <c r="T203" s="867" t="str">
        <f>'$REV-DB'!$T$34</f>
        <v>UD1</v>
      </c>
      <c r="U203" s="867" t="str">
        <f>'$REV-DB'!$U$34</f>
        <v>UD2</v>
      </c>
      <c r="V203" s="867" t="str">
        <f>'$REV-DB'!$V$34</f>
        <v>UD3</v>
      </c>
      <c r="W203" s="867" t="str">
        <f>'$REV-DB'!$W$34</f>
        <v>UD4</v>
      </c>
      <c r="X203" s="867" t="str">
        <f>'$REV-DB'!$X$34</f>
        <v>UD5</v>
      </c>
      <c r="Y203" s="867" t="str">
        <f>'$REV-DB'!$Y$34</f>
        <v>UD6</v>
      </c>
      <c r="Z203" s="867" t="str">
        <f>'$REV-DB'!$Z$34</f>
        <v>UD7</v>
      </c>
      <c r="AA203" s="867" t="str">
        <f>'$REV-DB'!$AA$34</f>
        <v>UD8</v>
      </c>
      <c r="AB203" s="867" t="str">
        <f>'$REV-DB'!$AB$34</f>
        <v>UD9</v>
      </c>
      <c r="AC203" s="867" t="str">
        <f>'$REV-DB'!$AC$34</f>
        <v>UD10</v>
      </c>
      <c r="AD203" s="867" t="str">
        <f>'$REV-DB'!$AD$34</f>
        <v>UD11</v>
      </c>
      <c r="AE203" s="867" t="str">
        <f>'$REV-DB'!$AE$34</f>
        <v>UD12</v>
      </c>
      <c r="AF203" s="867" t="str">
        <f>'$REV-DB'!$AF$34</f>
        <v>UD13</v>
      </c>
      <c r="AG203" s="867" t="str">
        <f>'$REV-DB'!$AG$34</f>
        <v>UD14</v>
      </c>
    </row>
    <row r="204" spans="1:34" s="3" customFormat="1" ht="15.95" customHeight="1" thickTop="1" thickBot="1">
      <c r="A204" s="7"/>
      <c r="B204" s="20" t="s">
        <v>4</v>
      </c>
      <c r="C204" s="15"/>
      <c r="D204" s="861" t="s">
        <v>186</v>
      </c>
      <c r="E204" s="861" t="s">
        <v>187</v>
      </c>
      <c r="F204" s="861" t="s">
        <v>188</v>
      </c>
      <c r="G204" s="861" t="s">
        <v>189</v>
      </c>
      <c r="H204" s="861" t="s">
        <v>11</v>
      </c>
      <c r="I204" s="861" t="s">
        <v>190</v>
      </c>
      <c r="J204" s="861" t="s">
        <v>191</v>
      </c>
      <c r="K204" s="861" t="s">
        <v>192</v>
      </c>
      <c r="L204" s="861" t="s">
        <v>203</v>
      </c>
      <c r="M204" s="861" t="s">
        <v>42</v>
      </c>
      <c r="N204" s="861" t="s">
        <v>148</v>
      </c>
      <c r="O204" s="861" t="s">
        <v>193</v>
      </c>
      <c r="P204" s="861" t="s">
        <v>142</v>
      </c>
      <c r="Q204" s="861" t="s">
        <v>194</v>
      </c>
      <c r="R204" s="112" t="s">
        <v>141</v>
      </c>
      <c r="S204" s="112" t="s">
        <v>672</v>
      </c>
      <c r="T204" s="861" t="s">
        <v>541</v>
      </c>
      <c r="U204" s="861" t="s">
        <v>542</v>
      </c>
      <c r="V204" s="861" t="s">
        <v>543</v>
      </c>
      <c r="W204" s="861" t="s">
        <v>544</v>
      </c>
      <c r="X204" s="861" t="s">
        <v>545</v>
      </c>
      <c r="Y204" s="861" t="s">
        <v>546</v>
      </c>
      <c r="Z204" s="861" t="s">
        <v>547</v>
      </c>
      <c r="AA204" s="861" t="s">
        <v>548</v>
      </c>
      <c r="AB204" s="861" t="s">
        <v>549</v>
      </c>
      <c r="AC204" s="861" t="s">
        <v>550</v>
      </c>
      <c r="AD204" s="861" t="s">
        <v>551</v>
      </c>
      <c r="AE204" s="861" t="s">
        <v>552</v>
      </c>
      <c r="AF204" s="861" t="s">
        <v>553</v>
      </c>
      <c r="AG204" s="861" t="s">
        <v>554</v>
      </c>
      <c r="AH204" s="6"/>
    </row>
    <row r="205" spans="1:34" s="3" customFormat="1" ht="15.95" customHeight="1" thickTop="1">
      <c r="A205" s="7"/>
      <c r="B205" s="19" t="s">
        <v>364</v>
      </c>
      <c r="C205" s="12"/>
      <c r="D205" s="191"/>
      <c r="E205" s="191"/>
      <c r="F205" s="190"/>
      <c r="G205" s="191"/>
      <c r="H205" s="190"/>
      <c r="I205" s="190"/>
      <c r="J205" s="191"/>
      <c r="K205" s="191"/>
      <c r="L205" s="283" t="s">
        <v>34</v>
      </c>
      <c r="M205" s="190"/>
      <c r="N205" s="38" t="str">
        <f>J$6</f>
        <v>FY2010-11</v>
      </c>
      <c r="O205" s="38" t="s">
        <v>152</v>
      </c>
      <c r="P205" s="38" t="s">
        <v>138</v>
      </c>
      <c r="Q205" s="38" t="s">
        <v>70</v>
      </c>
      <c r="R205" s="191"/>
      <c r="S205" s="190"/>
      <c r="T205" s="191"/>
      <c r="U205" s="191"/>
      <c r="V205" s="192"/>
      <c r="W205" s="192"/>
      <c r="X205" s="192"/>
      <c r="Y205" s="192"/>
      <c r="Z205" s="192"/>
      <c r="AA205" s="192"/>
      <c r="AB205" s="192"/>
      <c r="AC205" s="192"/>
      <c r="AD205" s="192"/>
      <c r="AE205" s="192"/>
      <c r="AF205" s="192"/>
      <c r="AG205" s="192"/>
      <c r="AH205" s="6"/>
    </row>
    <row r="206" spans="1:34" s="3" customFormat="1" ht="15.95" customHeight="1">
      <c r="A206" s="7"/>
      <c r="B206" s="16">
        <f>DSUM('$REV-DB'!D35:AG67,"AMOUNT",D204:AG206)</f>
        <v>0</v>
      </c>
      <c r="C206" s="12"/>
      <c r="D206" s="191"/>
      <c r="E206" s="191"/>
      <c r="F206" s="190"/>
      <c r="G206" s="191"/>
      <c r="H206" s="190"/>
      <c r="I206" s="190"/>
      <c r="J206" s="191"/>
      <c r="K206" s="191"/>
      <c r="L206" s="283" t="s">
        <v>34</v>
      </c>
      <c r="M206" s="190"/>
      <c r="N206" s="38" t="str">
        <f>J$6</f>
        <v>FY2010-11</v>
      </c>
      <c r="O206" s="38" t="s">
        <v>152</v>
      </c>
      <c r="P206" s="38" t="s">
        <v>147</v>
      </c>
      <c r="Q206" s="38" t="s">
        <v>70</v>
      </c>
      <c r="R206" s="191"/>
      <c r="S206" s="190" t="s">
        <v>103</v>
      </c>
      <c r="T206" s="191"/>
      <c r="U206" s="191"/>
      <c r="V206" s="192"/>
      <c r="W206" s="192"/>
      <c r="X206" s="192"/>
      <c r="Y206" s="192"/>
      <c r="Z206" s="192"/>
      <c r="AA206" s="192"/>
      <c r="AB206" s="192"/>
      <c r="AC206" s="192"/>
      <c r="AD206" s="192"/>
      <c r="AE206" s="192"/>
      <c r="AF206" s="192"/>
      <c r="AG206" s="192"/>
      <c r="AH206" s="6"/>
    </row>
    <row r="207" spans="1:34" s="3" customFormat="1" ht="15.95" customHeight="1">
      <c r="A207" s="7"/>
      <c r="B207" s="10"/>
      <c r="C207" s="12"/>
      <c r="D207" s="880"/>
      <c r="E207" s="880"/>
      <c r="F207" s="880"/>
      <c r="G207" s="880"/>
      <c r="H207" s="880"/>
      <c r="I207" s="880"/>
      <c r="J207" s="880"/>
      <c r="K207" s="880"/>
      <c r="L207" s="881"/>
      <c r="M207" s="880"/>
      <c r="N207" s="873"/>
      <c r="O207" s="873"/>
      <c r="P207" s="873"/>
      <c r="Q207" s="880"/>
      <c r="R207" s="880"/>
      <c r="S207" s="880"/>
      <c r="T207" s="882"/>
      <c r="U207" s="882"/>
      <c r="V207" s="883"/>
      <c r="W207" s="883"/>
      <c r="X207" s="883"/>
      <c r="Y207" s="883"/>
      <c r="Z207" s="883"/>
      <c r="AA207" s="883"/>
      <c r="AB207" s="883"/>
      <c r="AC207" s="883"/>
      <c r="AD207" s="883"/>
      <c r="AE207" s="883"/>
      <c r="AF207" s="883"/>
      <c r="AG207" s="883"/>
    </row>
    <row r="208" spans="1:34" s="3" customFormat="1" ht="15.95" customHeight="1">
      <c r="A208" s="7"/>
      <c r="B208" s="10"/>
      <c r="C208" s="12"/>
      <c r="D208" s="880"/>
      <c r="E208" s="880"/>
      <c r="F208" s="880"/>
      <c r="G208" s="880"/>
      <c r="H208" s="880"/>
      <c r="I208" s="880"/>
      <c r="J208" s="880"/>
      <c r="K208" s="880"/>
      <c r="L208" s="881"/>
      <c r="M208" s="880"/>
      <c r="N208" s="873"/>
      <c r="O208" s="873"/>
      <c r="P208" s="873"/>
      <c r="Q208" s="880"/>
      <c r="R208" s="880"/>
      <c r="S208" s="880"/>
      <c r="T208" s="882"/>
      <c r="U208" s="882"/>
      <c r="V208" s="883"/>
      <c r="W208" s="883"/>
      <c r="X208" s="883"/>
      <c r="Y208" s="883"/>
      <c r="Z208" s="883"/>
      <c r="AA208" s="883"/>
      <c r="AB208" s="883"/>
      <c r="AC208" s="883"/>
      <c r="AD208" s="883"/>
      <c r="AE208" s="883"/>
      <c r="AF208" s="883"/>
      <c r="AG208" s="883"/>
    </row>
    <row r="209" spans="1:34" s="3" customFormat="1" ht="15.95" customHeight="1">
      <c r="A209" s="7"/>
      <c r="B209" s="10"/>
      <c r="C209" s="12"/>
      <c r="D209" s="880"/>
      <c r="E209" s="880"/>
      <c r="F209" s="880"/>
      <c r="G209" s="880"/>
      <c r="H209" s="880"/>
      <c r="I209" s="880"/>
      <c r="J209" s="880"/>
      <c r="K209" s="880"/>
      <c r="L209" s="881"/>
      <c r="M209" s="880"/>
      <c r="N209" s="873"/>
      <c r="O209" s="873"/>
      <c r="P209" s="873"/>
      <c r="Q209" s="880"/>
      <c r="R209" s="880"/>
      <c r="S209" s="880"/>
      <c r="T209" s="882"/>
      <c r="U209" s="882"/>
      <c r="V209" s="883"/>
      <c r="W209" s="883"/>
      <c r="X209" s="883"/>
      <c r="Y209" s="883"/>
      <c r="Z209" s="883"/>
      <c r="AA209" s="883"/>
      <c r="AB209" s="883"/>
      <c r="AC209" s="883"/>
      <c r="AD209" s="883"/>
      <c r="AE209" s="883"/>
      <c r="AF209" s="883"/>
      <c r="AG209" s="883"/>
    </row>
    <row r="210" spans="1:34" s="3" customFormat="1" ht="15.95" customHeight="1">
      <c r="A210" s="7"/>
      <c r="B210" s="10"/>
      <c r="C210" s="12"/>
      <c r="D210" s="880"/>
      <c r="E210" s="880"/>
      <c r="F210" s="880"/>
      <c r="G210" s="880"/>
      <c r="H210" s="880"/>
      <c r="I210" s="880"/>
      <c r="J210" s="880"/>
      <c r="K210" s="880"/>
      <c r="L210" s="881"/>
      <c r="M210" s="880"/>
      <c r="N210" s="873"/>
      <c r="O210" s="873"/>
      <c r="P210" s="873"/>
      <c r="Q210" s="880"/>
      <c r="R210" s="880"/>
      <c r="S210" s="880"/>
      <c r="T210" s="882"/>
      <c r="U210" s="882"/>
      <c r="V210" s="883"/>
      <c r="W210" s="883"/>
      <c r="X210" s="883"/>
      <c r="Y210" s="883"/>
      <c r="Z210" s="883"/>
      <c r="AA210" s="883"/>
      <c r="AB210" s="883"/>
      <c r="AC210" s="883"/>
      <c r="AD210" s="883"/>
      <c r="AE210" s="883"/>
      <c r="AF210" s="883"/>
      <c r="AG210" s="883"/>
    </row>
    <row r="211" spans="1:34" s="3" customFormat="1" ht="15.95" customHeight="1">
      <c r="A211" s="7"/>
      <c r="B211" s="10"/>
      <c r="C211" s="12"/>
      <c r="D211" s="880"/>
      <c r="E211" s="880"/>
      <c r="F211" s="880"/>
      <c r="G211" s="880"/>
      <c r="H211" s="880"/>
      <c r="I211" s="880"/>
      <c r="J211" s="880"/>
      <c r="K211" s="880"/>
      <c r="L211" s="881"/>
      <c r="M211" s="880"/>
      <c r="N211" s="873"/>
      <c r="O211" s="873"/>
      <c r="P211" s="873"/>
      <c r="Q211" s="880"/>
      <c r="R211" s="880"/>
      <c r="S211" s="880"/>
      <c r="T211" s="882"/>
      <c r="U211" s="882"/>
      <c r="V211" s="883"/>
      <c r="W211" s="883"/>
      <c r="X211" s="883"/>
      <c r="Y211" s="883"/>
      <c r="Z211" s="883"/>
      <c r="AA211" s="883"/>
      <c r="AB211" s="883"/>
      <c r="AC211" s="883"/>
      <c r="AD211" s="883"/>
      <c r="AE211" s="883"/>
      <c r="AF211" s="883"/>
      <c r="AG211" s="883"/>
    </row>
    <row r="212" spans="1:34" s="3" customFormat="1" ht="15.95" customHeight="1">
      <c r="A212" s="25"/>
      <c r="B212" s="26"/>
      <c r="C212" s="26"/>
      <c r="D212" s="27"/>
      <c r="E212" s="27"/>
      <c r="F212" s="28"/>
      <c r="G212" s="27"/>
      <c r="H212" s="28"/>
      <c r="I212" s="28"/>
      <c r="J212" s="27"/>
      <c r="K212" s="27"/>
      <c r="L212" s="282"/>
      <c r="M212" s="28"/>
      <c r="N212" s="28"/>
      <c r="O212" s="27"/>
      <c r="P212" s="28"/>
      <c r="Q212" s="28"/>
      <c r="R212" s="27"/>
      <c r="S212" s="28"/>
      <c r="T212" s="27"/>
      <c r="U212" s="27"/>
      <c r="V212" s="25"/>
      <c r="W212" s="25"/>
      <c r="X212" s="25"/>
      <c r="Y212" s="25"/>
      <c r="Z212" s="25"/>
      <c r="AA212" s="25"/>
      <c r="AB212" s="25"/>
      <c r="AC212" s="25"/>
      <c r="AD212" s="25"/>
      <c r="AE212" s="25"/>
      <c r="AF212" s="25"/>
      <c r="AG212" s="25"/>
    </row>
    <row r="213" spans="1:34" s="3" customFormat="1" ht="15.95" customHeight="1" thickBot="1">
      <c r="A213" s="7"/>
      <c r="B213" s="19" t="str">
        <f>"FA1 = "&amp;'FIG3'!$W$52&amp;" "&amp;'FIG3'!$X$52</f>
        <v>FA1 = Fulton County District</v>
      </c>
      <c r="C213" s="7"/>
      <c r="D213" s="8"/>
      <c r="E213" s="8"/>
      <c r="F213" s="9"/>
      <c r="G213" s="8"/>
      <c r="H213" s="9"/>
      <c r="I213" s="9"/>
      <c r="J213" s="8"/>
      <c r="K213" s="8"/>
      <c r="L213" s="280"/>
      <c r="M213" s="9"/>
      <c r="N213" s="9"/>
      <c r="O213" s="8"/>
      <c r="P213" s="9"/>
      <c r="Q213" s="9"/>
      <c r="R213" s="8"/>
      <c r="S213" s="866"/>
      <c r="T213" s="867" t="str">
        <f>'$REV-DB'!$T$34</f>
        <v>UD1</v>
      </c>
      <c r="U213" s="867" t="str">
        <f>'$REV-DB'!$U$34</f>
        <v>UD2</v>
      </c>
      <c r="V213" s="867" t="str">
        <f>'$REV-DB'!$V$34</f>
        <v>UD3</v>
      </c>
      <c r="W213" s="867" t="str">
        <f>'$REV-DB'!$W$34</f>
        <v>UD4</v>
      </c>
      <c r="X213" s="867" t="str">
        <f>'$REV-DB'!$X$34</f>
        <v>UD5</v>
      </c>
      <c r="Y213" s="867" t="str">
        <f>'$REV-DB'!$Y$34</f>
        <v>UD6</v>
      </c>
      <c r="Z213" s="867" t="str">
        <f>'$REV-DB'!$Z$34</f>
        <v>UD7</v>
      </c>
      <c r="AA213" s="867" t="str">
        <f>'$REV-DB'!$AA$34</f>
        <v>UD8</v>
      </c>
      <c r="AB213" s="867" t="str">
        <f>'$REV-DB'!$AB$34</f>
        <v>UD9</v>
      </c>
      <c r="AC213" s="867" t="str">
        <f>'$REV-DB'!$AC$34</f>
        <v>UD10</v>
      </c>
      <c r="AD213" s="867" t="str">
        <f>'$REV-DB'!$AD$34</f>
        <v>UD11</v>
      </c>
      <c r="AE213" s="867" t="str">
        <f>'$REV-DB'!$AE$34</f>
        <v>UD12</v>
      </c>
      <c r="AF213" s="867" t="str">
        <f>'$REV-DB'!$AF$34</f>
        <v>UD13</v>
      </c>
      <c r="AG213" s="867" t="str">
        <f>'$REV-DB'!$AG$34</f>
        <v>UD14</v>
      </c>
    </row>
    <row r="214" spans="1:34" s="3" customFormat="1" ht="15.95" customHeight="1" thickTop="1" thickBot="1">
      <c r="A214" s="7"/>
      <c r="B214" s="20" t="s">
        <v>4</v>
      </c>
      <c r="C214" s="15"/>
      <c r="D214" s="861" t="s">
        <v>186</v>
      </c>
      <c r="E214" s="861" t="s">
        <v>187</v>
      </c>
      <c r="F214" s="861" t="s">
        <v>188</v>
      </c>
      <c r="G214" s="861" t="s">
        <v>189</v>
      </c>
      <c r="H214" s="861" t="s">
        <v>11</v>
      </c>
      <c r="I214" s="861" t="s">
        <v>190</v>
      </c>
      <c r="J214" s="861" t="s">
        <v>191</v>
      </c>
      <c r="K214" s="861" t="s">
        <v>192</v>
      </c>
      <c r="L214" s="861" t="s">
        <v>203</v>
      </c>
      <c r="M214" s="861" t="s">
        <v>42</v>
      </c>
      <c r="N214" s="861" t="s">
        <v>148</v>
      </c>
      <c r="O214" s="861" t="s">
        <v>193</v>
      </c>
      <c r="P214" s="861" t="s">
        <v>142</v>
      </c>
      <c r="Q214" s="861" t="s">
        <v>194</v>
      </c>
      <c r="R214" s="112" t="s">
        <v>141</v>
      </c>
      <c r="S214" s="112" t="s">
        <v>672</v>
      </c>
      <c r="T214" s="861" t="s">
        <v>541</v>
      </c>
      <c r="U214" s="861" t="s">
        <v>542</v>
      </c>
      <c r="V214" s="861" t="s">
        <v>543</v>
      </c>
      <c r="W214" s="861" t="s">
        <v>544</v>
      </c>
      <c r="X214" s="861" t="s">
        <v>545</v>
      </c>
      <c r="Y214" s="861" t="s">
        <v>546</v>
      </c>
      <c r="Z214" s="861" t="s">
        <v>547</v>
      </c>
      <c r="AA214" s="861" t="s">
        <v>548</v>
      </c>
      <c r="AB214" s="861" t="s">
        <v>549</v>
      </c>
      <c r="AC214" s="861" t="s">
        <v>550</v>
      </c>
      <c r="AD214" s="861" t="s">
        <v>551</v>
      </c>
      <c r="AE214" s="861" t="s">
        <v>552</v>
      </c>
      <c r="AF214" s="861" t="s">
        <v>553</v>
      </c>
      <c r="AG214" s="861" t="s">
        <v>554</v>
      </c>
      <c r="AH214" s="6"/>
    </row>
    <row r="215" spans="1:34" s="3" customFormat="1" ht="15.95" customHeight="1" thickTop="1">
      <c r="A215" s="7"/>
      <c r="B215" s="19" t="s">
        <v>150</v>
      </c>
      <c r="C215" s="12"/>
      <c r="D215" s="191"/>
      <c r="E215" s="191"/>
      <c r="F215" s="190"/>
      <c r="G215" s="191"/>
      <c r="H215" s="190"/>
      <c r="I215" s="190"/>
      <c r="J215" s="191"/>
      <c r="K215" s="191"/>
      <c r="L215" s="283" t="s">
        <v>34</v>
      </c>
      <c r="M215" s="190"/>
      <c r="N215" s="38" t="str">
        <f>J$6</f>
        <v>FY2010-11</v>
      </c>
      <c r="O215" s="38" t="s">
        <v>152</v>
      </c>
      <c r="P215" s="38" t="s">
        <v>138</v>
      </c>
      <c r="Q215" s="38" t="s">
        <v>140</v>
      </c>
      <c r="R215" s="191"/>
      <c r="S215" s="190"/>
      <c r="T215" s="191"/>
      <c r="U215" s="191"/>
      <c r="V215" s="192"/>
      <c r="W215" s="192"/>
      <c r="X215" s="192"/>
      <c r="Y215" s="192"/>
      <c r="Z215" s="192"/>
      <c r="AA215" s="192"/>
      <c r="AB215" s="192"/>
      <c r="AC215" s="192"/>
      <c r="AD215" s="192"/>
      <c r="AE215" s="192"/>
      <c r="AF215" s="192"/>
      <c r="AG215" s="192"/>
      <c r="AH215" s="6"/>
    </row>
    <row r="216" spans="1:34" s="3" customFormat="1" ht="15.95" customHeight="1">
      <c r="A216" s="7"/>
      <c r="B216" s="16">
        <f>DSUM('$REV-DB'!D35:AG67,"AMOUNT",D214:AG216)</f>
        <v>0</v>
      </c>
      <c r="C216" s="12"/>
      <c r="D216" s="191"/>
      <c r="E216" s="191"/>
      <c r="F216" s="190"/>
      <c r="G216" s="191"/>
      <c r="H216" s="190"/>
      <c r="I216" s="190"/>
      <c r="J216" s="191"/>
      <c r="K216" s="191"/>
      <c r="L216" s="283" t="s">
        <v>34</v>
      </c>
      <c r="M216" s="190"/>
      <c r="N216" s="38" t="str">
        <f>J$6</f>
        <v>FY2010-11</v>
      </c>
      <c r="O216" s="38" t="s">
        <v>152</v>
      </c>
      <c r="P216" s="38" t="s">
        <v>147</v>
      </c>
      <c r="Q216" s="38" t="s">
        <v>140</v>
      </c>
      <c r="R216" s="191"/>
      <c r="S216" s="190" t="s">
        <v>103</v>
      </c>
      <c r="T216" s="191"/>
      <c r="U216" s="191"/>
      <c r="V216" s="192"/>
      <c r="W216" s="192"/>
      <c r="X216" s="192"/>
      <c r="Y216" s="192"/>
      <c r="Z216" s="192"/>
      <c r="AA216" s="192"/>
      <c r="AB216" s="192"/>
      <c r="AC216" s="192"/>
      <c r="AD216" s="192"/>
      <c r="AE216" s="192"/>
      <c r="AF216" s="192"/>
      <c r="AG216" s="192"/>
      <c r="AH216" s="6"/>
    </row>
    <row r="217" spans="1:34" s="3" customFormat="1" ht="15.95" customHeight="1">
      <c r="A217" s="7"/>
      <c r="B217" s="10"/>
      <c r="C217" s="12"/>
      <c r="D217" s="880"/>
      <c r="E217" s="880"/>
      <c r="F217" s="880"/>
      <c r="G217" s="880"/>
      <c r="H217" s="880"/>
      <c r="I217" s="880"/>
      <c r="J217" s="880"/>
      <c r="K217" s="880"/>
      <c r="L217" s="881"/>
      <c r="M217" s="880"/>
      <c r="N217" s="873"/>
      <c r="O217" s="873"/>
      <c r="P217" s="873"/>
      <c r="Q217" s="880"/>
      <c r="R217" s="880"/>
      <c r="S217" s="880"/>
      <c r="T217" s="882"/>
      <c r="U217" s="882"/>
      <c r="V217" s="883"/>
      <c r="W217" s="883"/>
      <c r="X217" s="883"/>
      <c r="Y217" s="883"/>
      <c r="Z217" s="883"/>
      <c r="AA217" s="883"/>
      <c r="AB217" s="883"/>
      <c r="AC217" s="883"/>
      <c r="AD217" s="883"/>
      <c r="AE217" s="883"/>
      <c r="AF217" s="883"/>
      <c r="AG217" s="883"/>
    </row>
    <row r="218" spans="1:34" s="3" customFormat="1" ht="15.95" customHeight="1">
      <c r="A218" s="7"/>
      <c r="B218" s="10"/>
      <c r="C218" s="12"/>
      <c r="D218" s="880"/>
      <c r="E218" s="880"/>
      <c r="F218" s="880"/>
      <c r="G218" s="880"/>
      <c r="H218" s="880"/>
      <c r="I218" s="880"/>
      <c r="J218" s="880"/>
      <c r="K218" s="880"/>
      <c r="L218" s="881"/>
      <c r="M218" s="880"/>
      <c r="N218" s="873"/>
      <c r="O218" s="873"/>
      <c r="P218" s="873"/>
      <c r="Q218" s="880"/>
      <c r="R218" s="880"/>
      <c r="S218" s="880"/>
      <c r="T218" s="882"/>
      <c r="U218" s="882"/>
      <c r="V218" s="883"/>
      <c r="W218" s="883"/>
      <c r="X218" s="883"/>
      <c r="Y218" s="883"/>
      <c r="Z218" s="883"/>
      <c r="AA218" s="883"/>
      <c r="AB218" s="883"/>
      <c r="AC218" s="883"/>
      <c r="AD218" s="883"/>
      <c r="AE218" s="883"/>
      <c r="AF218" s="883"/>
      <c r="AG218" s="883"/>
    </row>
    <row r="219" spans="1:34" s="3" customFormat="1" ht="15.95" customHeight="1">
      <c r="A219" s="7"/>
      <c r="B219" s="10"/>
      <c r="C219" s="12"/>
      <c r="D219" s="880"/>
      <c r="E219" s="880"/>
      <c r="F219" s="880"/>
      <c r="G219" s="880"/>
      <c r="H219" s="880"/>
      <c r="I219" s="880"/>
      <c r="J219" s="880"/>
      <c r="K219" s="880"/>
      <c r="L219" s="881"/>
      <c r="M219" s="880"/>
      <c r="N219" s="873"/>
      <c r="O219" s="873"/>
      <c r="P219" s="873"/>
      <c r="Q219" s="880"/>
      <c r="R219" s="880"/>
      <c r="S219" s="880"/>
      <c r="T219" s="882"/>
      <c r="U219" s="882"/>
      <c r="V219" s="883"/>
      <c r="W219" s="883"/>
      <c r="X219" s="883"/>
      <c r="Y219" s="883"/>
      <c r="Z219" s="883"/>
      <c r="AA219" s="883"/>
      <c r="AB219" s="883"/>
      <c r="AC219" s="883"/>
      <c r="AD219" s="883"/>
      <c r="AE219" s="883"/>
      <c r="AF219" s="883"/>
      <c r="AG219" s="883"/>
    </row>
    <row r="220" spans="1:34" s="3" customFormat="1" ht="15.95" customHeight="1">
      <c r="A220" s="7"/>
      <c r="B220" s="10"/>
      <c r="C220" s="12"/>
      <c r="D220" s="880"/>
      <c r="E220" s="880"/>
      <c r="F220" s="880"/>
      <c r="G220" s="880"/>
      <c r="H220" s="880"/>
      <c r="I220" s="880"/>
      <c r="J220" s="880"/>
      <c r="K220" s="880"/>
      <c r="L220" s="881"/>
      <c r="M220" s="880"/>
      <c r="N220" s="873"/>
      <c r="O220" s="873"/>
      <c r="P220" s="873"/>
      <c r="Q220" s="880"/>
      <c r="R220" s="880"/>
      <c r="S220" s="880"/>
      <c r="T220" s="882"/>
      <c r="U220" s="882"/>
      <c r="V220" s="883"/>
      <c r="W220" s="883"/>
      <c r="X220" s="883"/>
      <c r="Y220" s="883"/>
      <c r="Z220" s="883"/>
      <c r="AA220" s="883"/>
      <c r="AB220" s="883"/>
      <c r="AC220" s="883"/>
      <c r="AD220" s="883"/>
      <c r="AE220" s="883"/>
      <c r="AF220" s="883"/>
      <c r="AG220" s="883"/>
    </row>
    <row r="221" spans="1:34" s="3" customFormat="1" ht="15.95" customHeight="1">
      <c r="A221" s="7"/>
      <c r="B221" s="10"/>
      <c r="C221" s="12"/>
      <c r="D221" s="880"/>
      <c r="E221" s="880"/>
      <c r="F221" s="880"/>
      <c r="G221" s="880"/>
      <c r="H221" s="880"/>
      <c r="I221" s="880"/>
      <c r="J221" s="880"/>
      <c r="K221" s="880"/>
      <c r="L221" s="881"/>
      <c r="M221" s="880"/>
      <c r="N221" s="873"/>
      <c r="O221" s="873"/>
      <c r="P221" s="873"/>
      <c r="Q221" s="880"/>
      <c r="R221" s="880"/>
      <c r="S221" s="880"/>
      <c r="T221" s="882"/>
      <c r="U221" s="882"/>
      <c r="V221" s="883"/>
      <c r="W221" s="883"/>
      <c r="X221" s="883"/>
      <c r="Y221" s="883"/>
      <c r="Z221" s="883"/>
      <c r="AA221" s="883"/>
      <c r="AB221" s="883"/>
      <c r="AC221" s="883"/>
      <c r="AD221" s="883"/>
      <c r="AE221" s="883"/>
      <c r="AF221" s="883"/>
      <c r="AG221" s="883"/>
    </row>
    <row r="222" spans="1:34" s="3" customFormat="1" ht="15.95" customHeight="1">
      <c r="A222" s="25"/>
      <c r="B222" s="26"/>
      <c r="C222" s="26"/>
      <c r="D222" s="27"/>
      <c r="E222" s="27"/>
      <c r="F222" s="28"/>
      <c r="G222" s="27"/>
      <c r="H222" s="28"/>
      <c r="I222" s="28"/>
      <c r="J222" s="27"/>
      <c r="K222" s="27"/>
      <c r="L222" s="282"/>
      <c r="M222" s="28"/>
      <c r="N222" s="28"/>
      <c r="O222" s="27"/>
      <c r="P222" s="28"/>
      <c r="Q222" s="28"/>
      <c r="R222" s="27"/>
      <c r="S222" s="28"/>
      <c r="T222" s="27"/>
      <c r="U222" s="27"/>
      <c r="V222" s="25"/>
      <c r="W222" s="25"/>
      <c r="X222" s="25"/>
      <c r="Y222" s="25"/>
      <c r="Z222" s="25"/>
      <c r="AA222" s="25"/>
      <c r="AB222" s="25"/>
      <c r="AC222" s="25"/>
      <c r="AD222" s="25"/>
      <c r="AE222" s="25"/>
      <c r="AF222" s="25"/>
      <c r="AG222" s="25"/>
    </row>
    <row r="223" spans="1:34" s="3" customFormat="1" ht="15.95" customHeight="1" thickBot="1">
      <c r="A223" s="7"/>
      <c r="B223" s="19" t="str">
        <f>"FA1 = "&amp;'FIG3'!$W$52&amp;" "&amp;'FIG3'!$X$52</f>
        <v>FA1 = Fulton County District</v>
      </c>
      <c r="C223" s="7"/>
      <c r="D223" s="17"/>
      <c r="E223" s="17"/>
      <c r="F223" s="18"/>
      <c r="G223" s="17"/>
      <c r="H223" s="18"/>
      <c r="I223" s="18"/>
      <c r="J223" s="17"/>
      <c r="K223" s="17"/>
      <c r="L223" s="281"/>
      <c r="M223" s="18"/>
      <c r="N223" s="9"/>
      <c r="O223" s="17"/>
      <c r="P223" s="18"/>
      <c r="Q223" s="18"/>
      <c r="R223" s="17"/>
      <c r="S223" s="866"/>
      <c r="T223" s="867" t="str">
        <f>'$REV-DB'!$T$34</f>
        <v>UD1</v>
      </c>
      <c r="U223" s="867" t="str">
        <f>'$REV-DB'!$U$34</f>
        <v>UD2</v>
      </c>
      <c r="V223" s="867" t="str">
        <f>'$REV-DB'!$V$34</f>
        <v>UD3</v>
      </c>
      <c r="W223" s="867" t="str">
        <f>'$REV-DB'!$W$34</f>
        <v>UD4</v>
      </c>
      <c r="X223" s="867" t="str">
        <f>'$REV-DB'!$X$34</f>
        <v>UD5</v>
      </c>
      <c r="Y223" s="867" t="str">
        <f>'$REV-DB'!$Y$34</f>
        <v>UD6</v>
      </c>
      <c r="Z223" s="867" t="str">
        <f>'$REV-DB'!$Z$34</f>
        <v>UD7</v>
      </c>
      <c r="AA223" s="867" t="str">
        <f>'$REV-DB'!$AA$34</f>
        <v>UD8</v>
      </c>
      <c r="AB223" s="867" t="str">
        <f>'$REV-DB'!$AB$34</f>
        <v>UD9</v>
      </c>
      <c r="AC223" s="867" t="str">
        <f>'$REV-DB'!$AC$34</f>
        <v>UD10</v>
      </c>
      <c r="AD223" s="867" t="str">
        <f>'$REV-DB'!$AD$34</f>
        <v>UD11</v>
      </c>
      <c r="AE223" s="867" t="str">
        <f>'$REV-DB'!$AE$34</f>
        <v>UD12</v>
      </c>
      <c r="AF223" s="867" t="str">
        <f>'$REV-DB'!$AF$34</f>
        <v>UD13</v>
      </c>
      <c r="AG223" s="867" t="str">
        <f>'$REV-DB'!$AG$34</f>
        <v>UD14</v>
      </c>
    </row>
    <row r="224" spans="1:34" s="3" customFormat="1" ht="15.95" customHeight="1" thickTop="1" thickBot="1">
      <c r="A224" s="7"/>
      <c r="B224" s="20" t="s">
        <v>175</v>
      </c>
      <c r="C224" s="15"/>
      <c r="D224" s="861" t="s">
        <v>186</v>
      </c>
      <c r="E224" s="861" t="s">
        <v>187</v>
      </c>
      <c r="F224" s="861" t="s">
        <v>188</v>
      </c>
      <c r="G224" s="861" t="s">
        <v>189</v>
      </c>
      <c r="H224" s="861" t="s">
        <v>11</v>
      </c>
      <c r="I224" s="861" t="s">
        <v>190</v>
      </c>
      <c r="J224" s="861" t="s">
        <v>191</v>
      </c>
      <c r="K224" s="861" t="s">
        <v>192</v>
      </c>
      <c r="L224" s="861" t="s">
        <v>203</v>
      </c>
      <c r="M224" s="861" t="s">
        <v>42</v>
      </c>
      <c r="N224" s="861" t="s">
        <v>148</v>
      </c>
      <c r="O224" s="861" t="s">
        <v>193</v>
      </c>
      <c r="P224" s="861" t="s">
        <v>142</v>
      </c>
      <c r="Q224" s="861" t="s">
        <v>194</v>
      </c>
      <c r="R224" s="112" t="s">
        <v>141</v>
      </c>
      <c r="S224" s="112" t="s">
        <v>672</v>
      </c>
      <c r="T224" s="861" t="s">
        <v>541</v>
      </c>
      <c r="U224" s="861" t="s">
        <v>542</v>
      </c>
      <c r="V224" s="861" t="s">
        <v>543</v>
      </c>
      <c r="W224" s="861" t="s">
        <v>544</v>
      </c>
      <c r="X224" s="861" t="s">
        <v>545</v>
      </c>
      <c r="Y224" s="861" t="s">
        <v>546</v>
      </c>
      <c r="Z224" s="861" t="s">
        <v>547</v>
      </c>
      <c r="AA224" s="861" t="s">
        <v>548</v>
      </c>
      <c r="AB224" s="861" t="s">
        <v>549</v>
      </c>
      <c r="AC224" s="861" t="s">
        <v>550</v>
      </c>
      <c r="AD224" s="861" t="s">
        <v>551</v>
      </c>
      <c r="AE224" s="861" t="s">
        <v>552</v>
      </c>
      <c r="AF224" s="861" t="s">
        <v>553</v>
      </c>
      <c r="AG224" s="861" t="s">
        <v>554</v>
      </c>
      <c r="AH224" s="6"/>
    </row>
    <row r="225" spans="1:34" s="3" customFormat="1" ht="15.95" customHeight="1" thickTop="1">
      <c r="A225" s="7"/>
      <c r="B225" s="19" t="s">
        <v>146</v>
      </c>
      <c r="C225" s="12"/>
      <c r="D225" s="191"/>
      <c r="E225" s="191"/>
      <c r="F225" s="190"/>
      <c r="G225" s="191"/>
      <c r="H225" s="190"/>
      <c r="I225" s="190"/>
      <c r="J225" s="191"/>
      <c r="K225" s="191"/>
      <c r="L225" s="283" t="s">
        <v>34</v>
      </c>
      <c r="M225" s="190"/>
      <c r="N225" s="38" t="str">
        <f>J$6</f>
        <v>FY2010-11</v>
      </c>
      <c r="O225" s="38" t="s">
        <v>152</v>
      </c>
      <c r="P225" s="38" t="s">
        <v>147</v>
      </c>
      <c r="Q225" s="38"/>
      <c r="R225" s="191"/>
      <c r="S225" s="190" t="s">
        <v>611</v>
      </c>
      <c r="T225" s="191"/>
      <c r="U225" s="191"/>
      <c r="V225" s="192"/>
      <c r="W225" s="192"/>
      <c r="X225" s="192"/>
      <c r="Y225" s="192"/>
      <c r="Z225" s="192"/>
      <c r="AA225" s="192"/>
      <c r="AB225" s="192"/>
      <c r="AC225" s="192"/>
      <c r="AD225" s="192"/>
      <c r="AE225" s="192"/>
      <c r="AF225" s="192"/>
      <c r="AG225" s="192"/>
      <c r="AH225" s="6"/>
    </row>
    <row r="226" spans="1:34" s="3" customFormat="1" ht="15.95" customHeight="1">
      <c r="A226" s="7"/>
      <c r="B226" s="16">
        <f>DSUM('$REV-DB'!D35:AG67,"AMOUNT",D224:AG225)</f>
        <v>33142729</v>
      </c>
      <c r="C226" s="12"/>
      <c r="D226" s="880"/>
      <c r="E226" s="880"/>
      <c r="F226" s="880"/>
      <c r="G226" s="880"/>
      <c r="H226" s="880"/>
      <c r="I226" s="880"/>
      <c r="J226" s="880"/>
      <c r="K226" s="880"/>
      <c r="L226" s="881"/>
      <c r="M226" s="880"/>
      <c r="N226" s="873"/>
      <c r="O226" s="880"/>
      <c r="P226" s="873"/>
      <c r="Q226" s="884"/>
      <c r="R226" s="880"/>
      <c r="S226" s="880"/>
      <c r="T226" s="882"/>
      <c r="U226" s="882"/>
      <c r="V226" s="883"/>
      <c r="W226" s="883"/>
      <c r="X226" s="883"/>
      <c r="Y226" s="883"/>
      <c r="Z226" s="883"/>
      <c r="AA226" s="883"/>
      <c r="AB226" s="883"/>
      <c r="AC226" s="883"/>
      <c r="AD226" s="883"/>
      <c r="AE226" s="883"/>
      <c r="AF226" s="883"/>
      <c r="AG226" s="883"/>
      <c r="AH226" s="6"/>
    </row>
    <row r="227" spans="1:34" s="3" customFormat="1" ht="15.95" customHeight="1">
      <c r="A227" s="7"/>
      <c r="B227" s="10"/>
      <c r="C227" s="12"/>
      <c r="D227" s="880"/>
      <c r="E227" s="880"/>
      <c r="F227" s="880"/>
      <c r="G227" s="880"/>
      <c r="H227" s="880"/>
      <c r="I227" s="880"/>
      <c r="J227" s="880"/>
      <c r="K227" s="880"/>
      <c r="L227" s="881"/>
      <c r="M227" s="880"/>
      <c r="N227" s="873"/>
      <c r="O227" s="880"/>
      <c r="P227" s="873"/>
      <c r="Q227" s="884"/>
      <c r="R227" s="880"/>
      <c r="S227" s="880"/>
      <c r="T227" s="882"/>
      <c r="U227" s="882"/>
      <c r="V227" s="883"/>
      <c r="W227" s="883"/>
      <c r="X227" s="883"/>
      <c r="Y227" s="883"/>
      <c r="Z227" s="883"/>
      <c r="AA227" s="883"/>
      <c r="AB227" s="883"/>
      <c r="AC227" s="883"/>
      <c r="AD227" s="883"/>
      <c r="AE227" s="883"/>
      <c r="AF227" s="883"/>
      <c r="AG227" s="883"/>
    </row>
    <row r="228" spans="1:34" s="3" customFormat="1" ht="15.95" customHeight="1">
      <c r="A228" s="7"/>
      <c r="B228" s="10"/>
      <c r="C228" s="12"/>
      <c r="D228" s="880"/>
      <c r="E228" s="880"/>
      <c r="F228" s="880"/>
      <c r="G228" s="880"/>
      <c r="H228" s="880"/>
      <c r="I228" s="880"/>
      <c r="J228" s="880"/>
      <c r="K228" s="880"/>
      <c r="L228" s="881"/>
      <c r="M228" s="880"/>
      <c r="N228" s="873"/>
      <c r="O228" s="880"/>
      <c r="P228" s="873"/>
      <c r="Q228" s="884"/>
      <c r="R228" s="880"/>
      <c r="S228" s="880"/>
      <c r="T228" s="882"/>
      <c r="U228" s="882"/>
      <c r="V228" s="883"/>
      <c r="W228" s="883"/>
      <c r="X228" s="883"/>
      <c r="Y228" s="883"/>
      <c r="Z228" s="883"/>
      <c r="AA228" s="883"/>
      <c r="AB228" s="883"/>
      <c r="AC228" s="883"/>
      <c r="AD228" s="883"/>
      <c r="AE228" s="883"/>
      <c r="AF228" s="883"/>
      <c r="AG228" s="883"/>
    </row>
    <row r="229" spans="1:34" s="3" customFormat="1" ht="15.95" customHeight="1">
      <c r="A229" s="7"/>
      <c r="B229" s="10"/>
      <c r="C229" s="12"/>
      <c r="D229" s="880"/>
      <c r="E229" s="880"/>
      <c r="F229" s="880"/>
      <c r="G229" s="880"/>
      <c r="H229" s="880"/>
      <c r="I229" s="880"/>
      <c r="J229" s="880"/>
      <c r="K229" s="880"/>
      <c r="L229" s="881"/>
      <c r="M229" s="880"/>
      <c r="N229" s="873"/>
      <c r="O229" s="880"/>
      <c r="P229" s="873"/>
      <c r="Q229" s="884"/>
      <c r="R229" s="880"/>
      <c r="S229" s="880"/>
      <c r="T229" s="882"/>
      <c r="U229" s="882"/>
      <c r="V229" s="883"/>
      <c r="W229" s="883"/>
      <c r="X229" s="883"/>
      <c r="Y229" s="883"/>
      <c r="Z229" s="883"/>
      <c r="AA229" s="883"/>
      <c r="AB229" s="883"/>
      <c r="AC229" s="883"/>
      <c r="AD229" s="883"/>
      <c r="AE229" s="883"/>
      <c r="AF229" s="883"/>
      <c r="AG229" s="883"/>
    </row>
    <row r="230" spans="1:34" s="3" customFormat="1" ht="15.95" customHeight="1">
      <c r="A230" s="7"/>
      <c r="B230" s="10"/>
      <c r="C230" s="12"/>
      <c r="D230" s="880"/>
      <c r="E230" s="880"/>
      <c r="F230" s="880"/>
      <c r="G230" s="880"/>
      <c r="H230" s="880"/>
      <c r="I230" s="880"/>
      <c r="J230" s="880"/>
      <c r="K230" s="880"/>
      <c r="L230" s="881"/>
      <c r="M230" s="880"/>
      <c r="N230" s="873"/>
      <c r="O230" s="880"/>
      <c r="P230" s="873"/>
      <c r="Q230" s="884"/>
      <c r="R230" s="880"/>
      <c r="S230" s="880"/>
      <c r="T230" s="882"/>
      <c r="U230" s="882"/>
      <c r="V230" s="883"/>
      <c r="W230" s="883"/>
      <c r="X230" s="883"/>
      <c r="Y230" s="883"/>
      <c r="Z230" s="883"/>
      <c r="AA230" s="883"/>
      <c r="AB230" s="883"/>
      <c r="AC230" s="883"/>
      <c r="AD230" s="883"/>
      <c r="AE230" s="883"/>
      <c r="AF230" s="883"/>
      <c r="AG230" s="883"/>
    </row>
    <row r="231" spans="1:34" s="3" customFormat="1" ht="15.95" customHeight="1">
      <c r="A231" s="7"/>
      <c r="B231" s="10"/>
      <c r="C231" s="12"/>
      <c r="D231" s="880"/>
      <c r="E231" s="880"/>
      <c r="F231" s="880"/>
      <c r="G231" s="880"/>
      <c r="H231" s="880"/>
      <c r="I231" s="880"/>
      <c r="J231" s="880"/>
      <c r="K231" s="880"/>
      <c r="L231" s="881"/>
      <c r="M231" s="880"/>
      <c r="N231" s="873"/>
      <c r="O231" s="880"/>
      <c r="P231" s="873"/>
      <c r="Q231" s="884"/>
      <c r="R231" s="880"/>
      <c r="S231" s="880"/>
      <c r="T231" s="882"/>
      <c r="U231" s="882"/>
      <c r="V231" s="883"/>
      <c r="W231" s="883"/>
      <c r="X231" s="883"/>
      <c r="Y231" s="883"/>
      <c r="Z231" s="883"/>
      <c r="AA231" s="883"/>
      <c r="AB231" s="883"/>
      <c r="AC231" s="883"/>
      <c r="AD231" s="883"/>
      <c r="AE231" s="883"/>
      <c r="AF231" s="883"/>
      <c r="AG231" s="883"/>
    </row>
    <row r="232" spans="1:34" s="3" customFormat="1" ht="15.95" customHeight="1">
      <c r="A232" s="25"/>
      <c r="B232" s="26"/>
      <c r="C232" s="26"/>
      <c r="D232" s="27"/>
      <c r="E232" s="27"/>
      <c r="F232" s="28"/>
      <c r="G232" s="27"/>
      <c r="H232" s="28"/>
      <c r="I232" s="28"/>
      <c r="J232" s="27"/>
      <c r="K232" s="27"/>
      <c r="L232" s="282"/>
      <c r="M232" s="28"/>
      <c r="N232" s="28"/>
      <c r="O232" s="27"/>
      <c r="P232" s="28"/>
      <c r="Q232" s="28"/>
      <c r="R232" s="27"/>
      <c r="S232" s="28"/>
      <c r="T232" s="27"/>
      <c r="U232" s="27"/>
      <c r="V232" s="25"/>
      <c r="W232" s="25"/>
      <c r="X232" s="25"/>
      <c r="Y232" s="25"/>
      <c r="Z232" s="25"/>
      <c r="AA232" s="25"/>
      <c r="AB232" s="25"/>
      <c r="AC232" s="25"/>
      <c r="AD232" s="25"/>
      <c r="AE232" s="25"/>
      <c r="AF232" s="25"/>
      <c r="AG232" s="25"/>
    </row>
    <row r="233" spans="1:34" s="3" customFormat="1" ht="15.95" customHeight="1" thickBot="1">
      <c r="A233" s="7"/>
      <c r="B233" s="19" t="str">
        <f>"FA1 = "&amp;'FIG3'!$W$52&amp;" "&amp;'FIG3'!$X$52</f>
        <v>FA1 = Fulton County District</v>
      </c>
      <c r="C233" s="7"/>
      <c r="D233" s="8"/>
      <c r="E233" s="8"/>
      <c r="F233" s="9"/>
      <c r="G233" s="8"/>
      <c r="H233" s="9"/>
      <c r="I233" s="9"/>
      <c r="J233" s="8"/>
      <c r="K233" s="8"/>
      <c r="L233" s="280"/>
      <c r="M233" s="9"/>
      <c r="N233" s="9"/>
      <c r="O233" s="8"/>
      <c r="P233" s="9"/>
      <c r="Q233" s="9"/>
      <c r="R233" s="8"/>
      <c r="S233" s="866"/>
      <c r="T233" s="867" t="str">
        <f>'$REV-DB'!$T$34</f>
        <v>UD1</v>
      </c>
      <c r="U233" s="867" t="str">
        <f>'$REV-DB'!$U$34</f>
        <v>UD2</v>
      </c>
      <c r="V233" s="867" t="str">
        <f>'$REV-DB'!$V$34</f>
        <v>UD3</v>
      </c>
      <c r="W233" s="867" t="str">
        <f>'$REV-DB'!$W$34</f>
        <v>UD4</v>
      </c>
      <c r="X233" s="867" t="str">
        <f>'$REV-DB'!$X$34</f>
        <v>UD5</v>
      </c>
      <c r="Y233" s="867" t="str">
        <f>'$REV-DB'!$Y$34</f>
        <v>UD6</v>
      </c>
      <c r="Z233" s="867" t="str">
        <f>'$REV-DB'!$Z$34</f>
        <v>UD7</v>
      </c>
      <c r="AA233" s="867" t="str">
        <f>'$REV-DB'!$AA$34</f>
        <v>UD8</v>
      </c>
      <c r="AB233" s="867" t="str">
        <f>'$REV-DB'!$AB$34</f>
        <v>UD9</v>
      </c>
      <c r="AC233" s="867" t="str">
        <f>'$REV-DB'!$AC$34</f>
        <v>UD10</v>
      </c>
      <c r="AD233" s="867" t="str">
        <f>'$REV-DB'!$AD$34</f>
        <v>UD11</v>
      </c>
      <c r="AE233" s="867" t="str">
        <f>'$REV-DB'!$AE$34</f>
        <v>UD12</v>
      </c>
      <c r="AF233" s="867" t="str">
        <f>'$REV-DB'!$AF$34</f>
        <v>UD13</v>
      </c>
      <c r="AG233" s="867" t="str">
        <f>'$REV-DB'!$AG$34</f>
        <v>UD14</v>
      </c>
    </row>
    <row r="234" spans="1:34" s="3" customFormat="1" ht="15.95" customHeight="1" thickTop="1" thickBot="1">
      <c r="A234" s="7"/>
      <c r="B234" s="20" t="s">
        <v>175</v>
      </c>
      <c r="C234" s="15"/>
      <c r="D234" s="861" t="s">
        <v>186</v>
      </c>
      <c r="E234" s="861" t="s">
        <v>187</v>
      </c>
      <c r="F234" s="861" t="s">
        <v>188</v>
      </c>
      <c r="G234" s="861" t="s">
        <v>189</v>
      </c>
      <c r="H234" s="861" t="s">
        <v>11</v>
      </c>
      <c r="I234" s="861" t="s">
        <v>190</v>
      </c>
      <c r="J234" s="861" t="s">
        <v>191</v>
      </c>
      <c r="K234" s="861" t="s">
        <v>192</v>
      </c>
      <c r="L234" s="861" t="s">
        <v>203</v>
      </c>
      <c r="M234" s="861" t="s">
        <v>42</v>
      </c>
      <c r="N234" s="861" t="s">
        <v>148</v>
      </c>
      <c r="O234" s="861" t="s">
        <v>193</v>
      </c>
      <c r="P234" s="861" t="s">
        <v>142</v>
      </c>
      <c r="Q234" s="861" t="s">
        <v>194</v>
      </c>
      <c r="R234" s="112" t="s">
        <v>141</v>
      </c>
      <c r="S234" s="112" t="s">
        <v>672</v>
      </c>
      <c r="T234" s="861" t="s">
        <v>541</v>
      </c>
      <c r="U234" s="861" t="s">
        <v>542</v>
      </c>
      <c r="V234" s="861" t="s">
        <v>543</v>
      </c>
      <c r="W234" s="861" t="s">
        <v>544</v>
      </c>
      <c r="X234" s="861" t="s">
        <v>545</v>
      </c>
      <c r="Y234" s="861" t="s">
        <v>546</v>
      </c>
      <c r="Z234" s="861" t="s">
        <v>547</v>
      </c>
      <c r="AA234" s="861" t="s">
        <v>548</v>
      </c>
      <c r="AB234" s="861" t="s">
        <v>549</v>
      </c>
      <c r="AC234" s="861" t="s">
        <v>550</v>
      </c>
      <c r="AD234" s="861" t="s">
        <v>551</v>
      </c>
      <c r="AE234" s="861" t="s">
        <v>552</v>
      </c>
      <c r="AF234" s="861" t="s">
        <v>553</v>
      </c>
      <c r="AG234" s="861" t="s">
        <v>554</v>
      </c>
      <c r="AH234" s="6"/>
    </row>
    <row r="235" spans="1:34" s="3" customFormat="1" ht="15.95" customHeight="1" thickTop="1">
      <c r="A235" s="7"/>
      <c r="B235" s="19" t="s">
        <v>145</v>
      </c>
      <c r="C235" s="12"/>
      <c r="D235" s="191"/>
      <c r="E235" s="191"/>
      <c r="F235" s="190"/>
      <c r="G235" s="191"/>
      <c r="H235" s="190"/>
      <c r="I235" s="190"/>
      <c r="J235" s="191"/>
      <c r="K235" s="191"/>
      <c r="L235" s="283" t="s">
        <v>34</v>
      </c>
      <c r="M235" s="190"/>
      <c r="N235" s="38" t="str">
        <f>J$6</f>
        <v>FY2010-11</v>
      </c>
      <c r="O235" s="38" t="s">
        <v>152</v>
      </c>
      <c r="P235" s="38" t="s">
        <v>147</v>
      </c>
      <c r="Q235" s="38" t="s">
        <v>180</v>
      </c>
      <c r="R235" s="191"/>
      <c r="S235" s="190" t="s">
        <v>611</v>
      </c>
      <c r="T235" s="191"/>
      <c r="U235" s="191"/>
      <c r="V235" s="192"/>
      <c r="W235" s="192"/>
      <c r="X235" s="192"/>
      <c r="Y235" s="192"/>
      <c r="Z235" s="192"/>
      <c r="AA235" s="192"/>
      <c r="AB235" s="192"/>
      <c r="AC235" s="192"/>
      <c r="AD235" s="192"/>
      <c r="AE235" s="192"/>
      <c r="AF235" s="192"/>
      <c r="AG235" s="192"/>
      <c r="AH235" s="6"/>
    </row>
    <row r="236" spans="1:34" s="3" customFormat="1" ht="15.95" customHeight="1">
      <c r="A236" s="7"/>
      <c r="B236" s="16">
        <f>DSUM('$REV-DB'!D35:AG67,"AMOUNT",D234:AG235)</f>
        <v>3396216.2</v>
      </c>
      <c r="C236" s="12"/>
      <c r="D236" s="880"/>
      <c r="E236" s="880"/>
      <c r="F236" s="880"/>
      <c r="G236" s="880"/>
      <c r="H236" s="880"/>
      <c r="I236" s="880"/>
      <c r="J236" s="880"/>
      <c r="K236" s="880"/>
      <c r="L236" s="881"/>
      <c r="M236" s="880"/>
      <c r="N236" s="873"/>
      <c r="O236" s="880"/>
      <c r="P236" s="873"/>
      <c r="Q236" s="884"/>
      <c r="R236" s="880"/>
      <c r="S236" s="880"/>
      <c r="T236" s="882"/>
      <c r="U236" s="882"/>
      <c r="V236" s="883"/>
      <c r="W236" s="883"/>
      <c r="X236" s="883"/>
      <c r="Y236" s="883"/>
      <c r="Z236" s="883"/>
      <c r="AA236" s="883"/>
      <c r="AB236" s="883"/>
      <c r="AC236" s="883"/>
      <c r="AD236" s="883"/>
      <c r="AE236" s="883"/>
      <c r="AF236" s="883"/>
      <c r="AG236" s="883"/>
      <c r="AH236" s="6"/>
    </row>
    <row r="237" spans="1:34" s="3" customFormat="1" ht="15.95" customHeight="1">
      <c r="A237" s="7"/>
      <c r="B237" s="10"/>
      <c r="C237" s="12"/>
      <c r="D237" s="880"/>
      <c r="E237" s="880"/>
      <c r="F237" s="880"/>
      <c r="G237" s="880"/>
      <c r="H237" s="880"/>
      <c r="I237" s="880"/>
      <c r="J237" s="880"/>
      <c r="K237" s="880"/>
      <c r="L237" s="881"/>
      <c r="M237" s="880"/>
      <c r="N237" s="873"/>
      <c r="O237" s="880"/>
      <c r="P237" s="873"/>
      <c r="Q237" s="884"/>
      <c r="R237" s="880"/>
      <c r="S237" s="880"/>
      <c r="T237" s="882"/>
      <c r="U237" s="882"/>
      <c r="V237" s="883"/>
      <c r="W237" s="883"/>
      <c r="X237" s="883"/>
      <c r="Y237" s="883"/>
      <c r="Z237" s="883"/>
      <c r="AA237" s="883"/>
      <c r="AB237" s="883"/>
      <c r="AC237" s="883"/>
      <c r="AD237" s="883"/>
      <c r="AE237" s="883"/>
      <c r="AF237" s="883"/>
      <c r="AG237" s="883"/>
    </row>
    <row r="238" spans="1:34" s="3" customFormat="1" ht="15.95" customHeight="1">
      <c r="A238" s="7"/>
      <c r="B238" s="10"/>
      <c r="C238" s="12"/>
      <c r="D238" s="880"/>
      <c r="E238" s="880"/>
      <c r="F238" s="880"/>
      <c r="G238" s="880"/>
      <c r="H238" s="880"/>
      <c r="I238" s="880"/>
      <c r="J238" s="880"/>
      <c r="K238" s="880"/>
      <c r="L238" s="881"/>
      <c r="M238" s="880"/>
      <c r="N238" s="873"/>
      <c r="O238" s="880"/>
      <c r="P238" s="873"/>
      <c r="Q238" s="884"/>
      <c r="R238" s="880"/>
      <c r="S238" s="880"/>
      <c r="T238" s="882"/>
      <c r="U238" s="882"/>
      <c r="V238" s="883"/>
      <c r="W238" s="883"/>
      <c r="X238" s="883"/>
      <c r="Y238" s="883"/>
      <c r="Z238" s="883"/>
      <c r="AA238" s="883"/>
      <c r="AB238" s="883"/>
      <c r="AC238" s="883"/>
      <c r="AD238" s="883"/>
      <c r="AE238" s="883"/>
      <c r="AF238" s="883"/>
      <c r="AG238" s="883"/>
    </row>
    <row r="239" spans="1:34" s="3" customFormat="1" ht="15.95" customHeight="1">
      <c r="A239" s="7"/>
      <c r="B239" s="10"/>
      <c r="C239" s="12"/>
      <c r="D239" s="880"/>
      <c r="E239" s="880"/>
      <c r="F239" s="880"/>
      <c r="G239" s="880"/>
      <c r="H239" s="880"/>
      <c r="I239" s="880"/>
      <c r="J239" s="880"/>
      <c r="K239" s="880"/>
      <c r="L239" s="881"/>
      <c r="M239" s="880"/>
      <c r="N239" s="873"/>
      <c r="O239" s="880"/>
      <c r="P239" s="873"/>
      <c r="Q239" s="884"/>
      <c r="R239" s="880"/>
      <c r="S239" s="880"/>
      <c r="T239" s="882"/>
      <c r="U239" s="882"/>
      <c r="V239" s="883"/>
      <c r="W239" s="883"/>
      <c r="X239" s="883"/>
      <c r="Y239" s="883"/>
      <c r="Z239" s="883"/>
      <c r="AA239" s="883"/>
      <c r="AB239" s="883"/>
      <c r="AC239" s="883"/>
      <c r="AD239" s="883"/>
      <c r="AE239" s="883"/>
      <c r="AF239" s="883"/>
      <c r="AG239" s="883"/>
    </row>
    <row r="240" spans="1:34" s="3" customFormat="1" ht="15.95" customHeight="1">
      <c r="A240" s="7"/>
      <c r="B240" s="10"/>
      <c r="C240" s="12"/>
      <c r="D240" s="880"/>
      <c r="E240" s="880"/>
      <c r="F240" s="880"/>
      <c r="G240" s="880"/>
      <c r="H240" s="880"/>
      <c r="I240" s="880"/>
      <c r="J240" s="880"/>
      <c r="K240" s="880"/>
      <c r="L240" s="881"/>
      <c r="M240" s="880"/>
      <c r="N240" s="873"/>
      <c r="O240" s="880"/>
      <c r="P240" s="873"/>
      <c r="Q240" s="884"/>
      <c r="R240" s="880"/>
      <c r="S240" s="880"/>
      <c r="T240" s="882"/>
      <c r="U240" s="882"/>
      <c r="V240" s="883"/>
      <c r="W240" s="883"/>
      <c r="X240" s="883"/>
      <c r="Y240" s="883"/>
      <c r="Z240" s="883"/>
      <c r="AA240" s="883"/>
      <c r="AB240" s="883"/>
      <c r="AC240" s="883"/>
      <c r="AD240" s="883"/>
      <c r="AE240" s="883"/>
      <c r="AF240" s="883"/>
      <c r="AG240" s="883"/>
    </row>
    <row r="241" spans="1:34" s="3" customFormat="1" ht="15.95" customHeight="1">
      <c r="A241" s="7"/>
      <c r="B241" s="10"/>
      <c r="C241" s="12"/>
      <c r="D241" s="880"/>
      <c r="E241" s="880"/>
      <c r="F241" s="880"/>
      <c r="G241" s="880"/>
      <c r="H241" s="880"/>
      <c r="I241" s="880"/>
      <c r="J241" s="880"/>
      <c r="K241" s="880"/>
      <c r="L241" s="881"/>
      <c r="M241" s="880"/>
      <c r="N241" s="873"/>
      <c r="O241" s="880"/>
      <c r="P241" s="873"/>
      <c r="Q241" s="884"/>
      <c r="R241" s="880"/>
      <c r="S241" s="880"/>
      <c r="T241" s="882"/>
      <c r="U241" s="882"/>
      <c r="V241" s="883"/>
      <c r="W241" s="883"/>
      <c r="X241" s="883"/>
      <c r="Y241" s="883"/>
      <c r="Z241" s="883"/>
      <c r="AA241" s="883"/>
      <c r="AB241" s="883"/>
      <c r="AC241" s="883"/>
      <c r="AD241" s="883"/>
      <c r="AE241" s="883"/>
      <c r="AF241" s="883"/>
      <c r="AG241" s="883"/>
    </row>
    <row r="242" spans="1:34" s="3" customFormat="1" ht="15.95" customHeight="1">
      <c r="A242" s="25"/>
      <c r="B242" s="26"/>
      <c r="C242" s="26"/>
      <c r="D242" s="27"/>
      <c r="E242" s="27"/>
      <c r="F242" s="28"/>
      <c r="G242" s="27"/>
      <c r="H242" s="28"/>
      <c r="I242" s="28"/>
      <c r="J242" s="27"/>
      <c r="K242" s="27"/>
      <c r="L242" s="282"/>
      <c r="M242" s="28"/>
      <c r="N242" s="28"/>
      <c r="O242" s="27"/>
      <c r="P242" s="28"/>
      <c r="Q242" s="28"/>
      <c r="R242" s="27"/>
      <c r="S242" s="28"/>
      <c r="T242" s="27"/>
      <c r="U242" s="27"/>
      <c r="V242" s="25"/>
      <c r="W242" s="25"/>
      <c r="X242" s="25"/>
      <c r="Y242" s="25"/>
      <c r="Z242" s="25"/>
      <c r="AA242" s="25"/>
      <c r="AB242" s="25"/>
      <c r="AC242" s="25"/>
      <c r="AD242" s="25"/>
      <c r="AE242" s="25"/>
      <c r="AF242" s="25"/>
      <c r="AG242" s="25"/>
    </row>
    <row r="243" spans="1:34" s="3" customFormat="1" ht="15.95" customHeight="1" thickBot="1">
      <c r="A243" s="7"/>
      <c r="B243" s="19" t="str">
        <f>"FA1 = "&amp;'FIG3'!$W$52&amp;" "&amp;'FIG3'!$X$52</f>
        <v>FA1 = Fulton County District</v>
      </c>
      <c r="C243" s="7"/>
      <c r="D243" s="8"/>
      <c r="E243" s="8"/>
      <c r="F243" s="9"/>
      <c r="G243" s="8"/>
      <c r="H243" s="9"/>
      <c r="I243" s="9"/>
      <c r="J243" s="8"/>
      <c r="K243" s="8"/>
      <c r="L243" s="280"/>
      <c r="M243" s="9"/>
      <c r="N243" s="9"/>
      <c r="O243" s="8"/>
      <c r="P243" s="9"/>
      <c r="Q243" s="9"/>
      <c r="R243" s="8"/>
      <c r="S243" s="866"/>
      <c r="T243" s="867" t="str">
        <f>'$REV-DB'!$T$34</f>
        <v>UD1</v>
      </c>
      <c r="U243" s="867" t="str">
        <f>'$REV-DB'!$U$34</f>
        <v>UD2</v>
      </c>
      <c r="V243" s="867" t="str">
        <f>'$REV-DB'!$V$34</f>
        <v>UD3</v>
      </c>
      <c r="W243" s="867" t="str">
        <f>'$REV-DB'!$W$34</f>
        <v>UD4</v>
      </c>
      <c r="X243" s="867" t="str">
        <f>'$REV-DB'!$X$34</f>
        <v>UD5</v>
      </c>
      <c r="Y243" s="867" t="str">
        <f>'$REV-DB'!$Y$34</f>
        <v>UD6</v>
      </c>
      <c r="Z243" s="867" t="str">
        <f>'$REV-DB'!$Z$34</f>
        <v>UD7</v>
      </c>
      <c r="AA243" s="867" t="str">
        <f>'$REV-DB'!$AA$34</f>
        <v>UD8</v>
      </c>
      <c r="AB243" s="867" t="str">
        <f>'$REV-DB'!$AB$34</f>
        <v>UD9</v>
      </c>
      <c r="AC243" s="867" t="str">
        <f>'$REV-DB'!$AC$34</f>
        <v>UD10</v>
      </c>
      <c r="AD243" s="867" t="str">
        <f>'$REV-DB'!$AD$34</f>
        <v>UD11</v>
      </c>
      <c r="AE243" s="867" t="str">
        <f>'$REV-DB'!$AE$34</f>
        <v>UD12</v>
      </c>
      <c r="AF243" s="867" t="str">
        <f>'$REV-DB'!$AF$34</f>
        <v>UD13</v>
      </c>
      <c r="AG243" s="867" t="str">
        <f>'$REV-DB'!$AG$34</f>
        <v>UD14</v>
      </c>
    </row>
    <row r="244" spans="1:34" s="3" customFormat="1" ht="15.95" customHeight="1" thickTop="1" thickBot="1">
      <c r="A244" s="7"/>
      <c r="B244" s="20" t="s">
        <v>175</v>
      </c>
      <c r="C244" s="15"/>
      <c r="D244" s="861" t="s">
        <v>186</v>
      </c>
      <c r="E244" s="861" t="s">
        <v>187</v>
      </c>
      <c r="F244" s="861" t="s">
        <v>188</v>
      </c>
      <c r="G244" s="861" t="s">
        <v>189</v>
      </c>
      <c r="H244" s="861" t="s">
        <v>11</v>
      </c>
      <c r="I244" s="861" t="s">
        <v>190</v>
      </c>
      <c r="J244" s="861" t="s">
        <v>191</v>
      </c>
      <c r="K244" s="861" t="s">
        <v>192</v>
      </c>
      <c r="L244" s="861" t="s">
        <v>203</v>
      </c>
      <c r="M244" s="861" t="s">
        <v>42</v>
      </c>
      <c r="N244" s="861" t="s">
        <v>148</v>
      </c>
      <c r="O244" s="861" t="s">
        <v>193</v>
      </c>
      <c r="P244" s="861" t="s">
        <v>142</v>
      </c>
      <c r="Q244" s="861" t="s">
        <v>194</v>
      </c>
      <c r="R244" s="112" t="s">
        <v>141</v>
      </c>
      <c r="S244" s="112" t="s">
        <v>672</v>
      </c>
      <c r="T244" s="861" t="s">
        <v>541</v>
      </c>
      <c r="U244" s="861" t="s">
        <v>542</v>
      </c>
      <c r="V244" s="861" t="s">
        <v>543</v>
      </c>
      <c r="W244" s="861" t="s">
        <v>544</v>
      </c>
      <c r="X244" s="861" t="s">
        <v>545</v>
      </c>
      <c r="Y244" s="861" t="s">
        <v>546</v>
      </c>
      <c r="Z244" s="861" t="s">
        <v>547</v>
      </c>
      <c r="AA244" s="861" t="s">
        <v>548</v>
      </c>
      <c r="AB244" s="861" t="s">
        <v>549</v>
      </c>
      <c r="AC244" s="861" t="s">
        <v>550</v>
      </c>
      <c r="AD244" s="861" t="s">
        <v>551</v>
      </c>
      <c r="AE244" s="861" t="s">
        <v>552</v>
      </c>
      <c r="AF244" s="861" t="s">
        <v>553</v>
      </c>
      <c r="AG244" s="861" t="s">
        <v>554</v>
      </c>
      <c r="AH244" s="6"/>
    </row>
    <row r="245" spans="1:34" s="3" customFormat="1" ht="15.95" customHeight="1" thickTop="1">
      <c r="A245" s="7"/>
      <c r="B245" s="19" t="s">
        <v>144</v>
      </c>
      <c r="C245" s="12"/>
      <c r="D245" s="191"/>
      <c r="E245" s="191"/>
      <c r="F245" s="190"/>
      <c r="G245" s="191"/>
      <c r="H245" s="190"/>
      <c r="I245" s="190"/>
      <c r="J245" s="191"/>
      <c r="K245" s="191"/>
      <c r="L245" s="283" t="s">
        <v>34</v>
      </c>
      <c r="M245" s="190"/>
      <c r="N245" s="38" t="str">
        <f>J$6</f>
        <v>FY2010-11</v>
      </c>
      <c r="O245" s="38" t="s">
        <v>152</v>
      </c>
      <c r="P245" s="38" t="s">
        <v>147</v>
      </c>
      <c r="Q245" s="38" t="s">
        <v>139</v>
      </c>
      <c r="R245" s="191"/>
      <c r="S245" s="190" t="s">
        <v>611</v>
      </c>
      <c r="T245" s="191"/>
      <c r="U245" s="191"/>
      <c r="V245" s="192"/>
      <c r="W245" s="192"/>
      <c r="X245" s="192"/>
      <c r="Y245" s="192"/>
      <c r="Z245" s="192"/>
      <c r="AA245" s="192"/>
      <c r="AB245" s="192"/>
      <c r="AC245" s="192"/>
      <c r="AD245" s="192"/>
      <c r="AE245" s="192"/>
      <c r="AF245" s="192"/>
      <c r="AG245" s="192"/>
      <c r="AH245" s="6"/>
    </row>
    <row r="246" spans="1:34" s="3" customFormat="1" ht="15.95" customHeight="1">
      <c r="A246" s="7"/>
      <c r="B246" s="16">
        <f>DSUM('$REV-DB'!D35:AG67,"AMOUNT",D244:AG245)</f>
        <v>14853407</v>
      </c>
      <c r="C246" s="12"/>
      <c r="D246" s="880"/>
      <c r="E246" s="880"/>
      <c r="F246" s="880"/>
      <c r="G246" s="880"/>
      <c r="H246" s="880"/>
      <c r="I246" s="880"/>
      <c r="J246" s="880"/>
      <c r="K246" s="880"/>
      <c r="L246" s="881"/>
      <c r="M246" s="880"/>
      <c r="N246" s="873"/>
      <c r="O246" s="880"/>
      <c r="P246" s="873"/>
      <c r="Q246" s="884"/>
      <c r="R246" s="880"/>
      <c r="S246" s="880"/>
      <c r="T246" s="882"/>
      <c r="U246" s="882"/>
      <c r="V246" s="883"/>
      <c r="W246" s="883"/>
      <c r="X246" s="883"/>
      <c r="Y246" s="883"/>
      <c r="Z246" s="883"/>
      <c r="AA246" s="883"/>
      <c r="AB246" s="883"/>
      <c r="AC246" s="883"/>
      <c r="AD246" s="883"/>
      <c r="AE246" s="883"/>
      <c r="AF246" s="883"/>
      <c r="AG246" s="883"/>
      <c r="AH246" s="6"/>
    </row>
    <row r="247" spans="1:34" s="3" customFormat="1" ht="15.95" customHeight="1">
      <c r="A247" s="7"/>
      <c r="B247" s="10"/>
      <c r="C247" s="12"/>
      <c r="D247" s="880"/>
      <c r="E247" s="880"/>
      <c r="F247" s="880"/>
      <c r="G247" s="880"/>
      <c r="H247" s="880"/>
      <c r="I247" s="880"/>
      <c r="J247" s="880"/>
      <c r="K247" s="880"/>
      <c r="L247" s="881"/>
      <c r="M247" s="880"/>
      <c r="N247" s="873"/>
      <c r="O247" s="880"/>
      <c r="P247" s="873"/>
      <c r="Q247" s="884"/>
      <c r="R247" s="880"/>
      <c r="S247" s="880"/>
      <c r="T247" s="882"/>
      <c r="U247" s="882"/>
      <c r="V247" s="883"/>
      <c r="W247" s="883"/>
      <c r="X247" s="883"/>
      <c r="Y247" s="883"/>
      <c r="Z247" s="883"/>
      <c r="AA247" s="883"/>
      <c r="AB247" s="883"/>
      <c r="AC247" s="883"/>
      <c r="AD247" s="883"/>
      <c r="AE247" s="883"/>
      <c r="AF247" s="883"/>
      <c r="AG247" s="883"/>
    </row>
    <row r="248" spans="1:34" s="3" customFormat="1" ht="15.95" customHeight="1">
      <c r="A248" s="7"/>
      <c r="B248" s="10"/>
      <c r="C248" s="12"/>
      <c r="D248" s="880"/>
      <c r="E248" s="880"/>
      <c r="F248" s="880"/>
      <c r="G248" s="880"/>
      <c r="H248" s="880"/>
      <c r="I248" s="880"/>
      <c r="J248" s="880"/>
      <c r="K248" s="880"/>
      <c r="L248" s="881"/>
      <c r="M248" s="880"/>
      <c r="N248" s="873"/>
      <c r="O248" s="880"/>
      <c r="P248" s="873"/>
      <c r="Q248" s="884"/>
      <c r="R248" s="880"/>
      <c r="S248" s="880"/>
      <c r="T248" s="882"/>
      <c r="U248" s="882"/>
      <c r="V248" s="883"/>
      <c r="W248" s="883"/>
      <c r="X248" s="883"/>
      <c r="Y248" s="883"/>
      <c r="Z248" s="883"/>
      <c r="AA248" s="883"/>
      <c r="AB248" s="883"/>
      <c r="AC248" s="883"/>
      <c r="AD248" s="883"/>
      <c r="AE248" s="883"/>
      <c r="AF248" s="883"/>
      <c r="AG248" s="883"/>
    </row>
    <row r="249" spans="1:34" s="3" customFormat="1" ht="15.95" customHeight="1">
      <c r="A249" s="7"/>
      <c r="B249" s="10"/>
      <c r="C249" s="12"/>
      <c r="D249" s="880"/>
      <c r="E249" s="880"/>
      <c r="F249" s="880"/>
      <c r="G249" s="880"/>
      <c r="H249" s="880"/>
      <c r="I249" s="880"/>
      <c r="J249" s="880"/>
      <c r="K249" s="880"/>
      <c r="L249" s="881"/>
      <c r="M249" s="880"/>
      <c r="N249" s="873"/>
      <c r="O249" s="880"/>
      <c r="P249" s="873"/>
      <c r="Q249" s="884"/>
      <c r="R249" s="880"/>
      <c r="S249" s="880"/>
      <c r="T249" s="882"/>
      <c r="U249" s="882"/>
      <c r="V249" s="883"/>
      <c r="W249" s="883"/>
      <c r="X249" s="883"/>
      <c r="Y249" s="883"/>
      <c r="Z249" s="883"/>
      <c r="AA249" s="883"/>
      <c r="AB249" s="883"/>
      <c r="AC249" s="883"/>
      <c r="AD249" s="883"/>
      <c r="AE249" s="883"/>
      <c r="AF249" s="883"/>
      <c r="AG249" s="883"/>
    </row>
    <row r="250" spans="1:34" s="3" customFormat="1" ht="15.95" customHeight="1">
      <c r="A250" s="7"/>
      <c r="B250" s="10"/>
      <c r="C250" s="12"/>
      <c r="D250" s="880"/>
      <c r="E250" s="880"/>
      <c r="F250" s="880"/>
      <c r="G250" s="880"/>
      <c r="H250" s="880"/>
      <c r="I250" s="880"/>
      <c r="J250" s="880"/>
      <c r="K250" s="880"/>
      <c r="L250" s="881"/>
      <c r="M250" s="880"/>
      <c r="N250" s="873"/>
      <c r="O250" s="880"/>
      <c r="P250" s="873"/>
      <c r="Q250" s="884"/>
      <c r="R250" s="880"/>
      <c r="S250" s="880"/>
      <c r="T250" s="882"/>
      <c r="U250" s="882"/>
      <c r="V250" s="883"/>
      <c r="W250" s="883"/>
      <c r="X250" s="883"/>
      <c r="Y250" s="883"/>
      <c r="Z250" s="883"/>
      <c r="AA250" s="883"/>
      <c r="AB250" s="883"/>
      <c r="AC250" s="883"/>
      <c r="AD250" s="883"/>
      <c r="AE250" s="883"/>
      <c r="AF250" s="883"/>
      <c r="AG250" s="883"/>
    </row>
    <row r="251" spans="1:34" s="3" customFormat="1" ht="15.95" customHeight="1">
      <c r="A251" s="7"/>
      <c r="B251" s="10"/>
      <c r="C251" s="12"/>
      <c r="D251" s="880"/>
      <c r="E251" s="880"/>
      <c r="F251" s="880"/>
      <c r="G251" s="880"/>
      <c r="H251" s="880"/>
      <c r="I251" s="880"/>
      <c r="J251" s="880"/>
      <c r="K251" s="880"/>
      <c r="L251" s="881"/>
      <c r="M251" s="880"/>
      <c r="N251" s="873"/>
      <c r="O251" s="880"/>
      <c r="P251" s="873"/>
      <c r="Q251" s="884"/>
      <c r="R251" s="880"/>
      <c r="S251" s="880"/>
      <c r="T251" s="882"/>
      <c r="U251" s="882"/>
      <c r="V251" s="883"/>
      <c r="W251" s="883"/>
      <c r="X251" s="883"/>
      <c r="Y251" s="883"/>
      <c r="Z251" s="883"/>
      <c r="AA251" s="883"/>
      <c r="AB251" s="883"/>
      <c r="AC251" s="883"/>
      <c r="AD251" s="883"/>
      <c r="AE251" s="883"/>
      <c r="AF251" s="883"/>
      <c r="AG251" s="883"/>
    </row>
    <row r="252" spans="1:34" s="3" customFormat="1" ht="15.95" customHeight="1">
      <c r="A252" s="25"/>
      <c r="B252" s="26"/>
      <c r="C252" s="26"/>
      <c r="D252" s="27"/>
      <c r="E252" s="27"/>
      <c r="F252" s="28"/>
      <c r="G252" s="27"/>
      <c r="H252" s="28"/>
      <c r="I252" s="28"/>
      <c r="J252" s="27"/>
      <c r="K252" s="27"/>
      <c r="L252" s="282"/>
      <c r="M252" s="28"/>
      <c r="N252" s="28"/>
      <c r="O252" s="27"/>
      <c r="P252" s="28"/>
      <c r="Q252" s="28"/>
      <c r="R252" s="27"/>
      <c r="S252" s="28"/>
      <c r="T252" s="27"/>
      <c r="U252" s="27"/>
      <c r="V252" s="25"/>
      <c r="W252" s="25"/>
      <c r="X252" s="25"/>
      <c r="Y252" s="25"/>
      <c r="Z252" s="25"/>
      <c r="AA252" s="25"/>
      <c r="AB252" s="25"/>
      <c r="AC252" s="25"/>
      <c r="AD252" s="25"/>
      <c r="AE252" s="25"/>
      <c r="AF252" s="25"/>
      <c r="AG252" s="25"/>
    </row>
    <row r="253" spans="1:34" s="3" customFormat="1" ht="15.95" customHeight="1" thickBot="1">
      <c r="A253" s="7"/>
      <c r="B253" s="19" t="str">
        <f>"FA1 = "&amp;'FIG3'!$W$52&amp;" "&amp;'FIG3'!$X$52</f>
        <v>FA1 = Fulton County District</v>
      </c>
      <c r="C253" s="7"/>
      <c r="D253" s="8"/>
      <c r="E253" s="8"/>
      <c r="F253" s="9"/>
      <c r="G253" s="8"/>
      <c r="H253" s="9"/>
      <c r="I253" s="9"/>
      <c r="J253" s="8"/>
      <c r="K253" s="8"/>
      <c r="L253" s="280"/>
      <c r="M253" s="9"/>
      <c r="N253" s="9"/>
      <c r="O253" s="8"/>
      <c r="P253" s="9"/>
      <c r="Q253" s="9"/>
      <c r="R253" s="8"/>
      <c r="S253" s="866"/>
      <c r="T253" s="867" t="str">
        <f>'$REV-DB'!$T$34</f>
        <v>UD1</v>
      </c>
      <c r="U253" s="867" t="str">
        <f>'$REV-DB'!$U$34</f>
        <v>UD2</v>
      </c>
      <c r="V253" s="867" t="str">
        <f>'$REV-DB'!$V$34</f>
        <v>UD3</v>
      </c>
      <c r="W253" s="867" t="str">
        <f>'$REV-DB'!$W$34</f>
        <v>UD4</v>
      </c>
      <c r="X253" s="867" t="str">
        <f>'$REV-DB'!$X$34</f>
        <v>UD5</v>
      </c>
      <c r="Y253" s="867" t="str">
        <f>'$REV-DB'!$Y$34</f>
        <v>UD6</v>
      </c>
      <c r="Z253" s="867" t="str">
        <f>'$REV-DB'!$Z$34</f>
        <v>UD7</v>
      </c>
      <c r="AA253" s="867" t="str">
        <f>'$REV-DB'!$AA$34</f>
        <v>UD8</v>
      </c>
      <c r="AB253" s="867" t="str">
        <f>'$REV-DB'!$AB$34</f>
        <v>UD9</v>
      </c>
      <c r="AC253" s="867" t="str">
        <f>'$REV-DB'!$AC$34</f>
        <v>UD10</v>
      </c>
      <c r="AD253" s="867" t="str">
        <f>'$REV-DB'!$AD$34</f>
        <v>UD11</v>
      </c>
      <c r="AE253" s="867" t="str">
        <f>'$REV-DB'!$AE$34</f>
        <v>UD12</v>
      </c>
      <c r="AF253" s="867" t="str">
        <f>'$REV-DB'!$AF$34</f>
        <v>UD13</v>
      </c>
      <c r="AG253" s="867" t="str">
        <f>'$REV-DB'!$AG$34</f>
        <v>UD14</v>
      </c>
    </row>
    <row r="254" spans="1:34" s="3" customFormat="1" ht="15.95" customHeight="1" thickTop="1" thickBot="1">
      <c r="A254" s="7"/>
      <c r="B254" s="20" t="s">
        <v>175</v>
      </c>
      <c r="C254" s="15"/>
      <c r="D254" s="861" t="s">
        <v>186</v>
      </c>
      <c r="E254" s="861" t="s">
        <v>187</v>
      </c>
      <c r="F254" s="861" t="s">
        <v>188</v>
      </c>
      <c r="G254" s="861" t="s">
        <v>189</v>
      </c>
      <c r="H254" s="861" t="s">
        <v>11</v>
      </c>
      <c r="I254" s="861" t="s">
        <v>190</v>
      </c>
      <c r="J254" s="861" t="s">
        <v>191</v>
      </c>
      <c r="K254" s="861" t="s">
        <v>192</v>
      </c>
      <c r="L254" s="861" t="s">
        <v>203</v>
      </c>
      <c r="M254" s="861" t="s">
        <v>42</v>
      </c>
      <c r="N254" s="861" t="s">
        <v>148</v>
      </c>
      <c r="O254" s="861" t="s">
        <v>193</v>
      </c>
      <c r="P254" s="861" t="s">
        <v>142</v>
      </c>
      <c r="Q254" s="861" t="s">
        <v>194</v>
      </c>
      <c r="R254" s="112" t="s">
        <v>141</v>
      </c>
      <c r="S254" s="112" t="s">
        <v>672</v>
      </c>
      <c r="T254" s="861" t="s">
        <v>541</v>
      </c>
      <c r="U254" s="861" t="s">
        <v>542</v>
      </c>
      <c r="V254" s="861" t="s">
        <v>543</v>
      </c>
      <c r="W254" s="861" t="s">
        <v>544</v>
      </c>
      <c r="X254" s="861" t="s">
        <v>545</v>
      </c>
      <c r="Y254" s="861" t="s">
        <v>546</v>
      </c>
      <c r="Z254" s="861" t="s">
        <v>547</v>
      </c>
      <c r="AA254" s="861" t="s">
        <v>548</v>
      </c>
      <c r="AB254" s="861" t="s">
        <v>549</v>
      </c>
      <c r="AC254" s="861" t="s">
        <v>550</v>
      </c>
      <c r="AD254" s="861" t="s">
        <v>551</v>
      </c>
      <c r="AE254" s="861" t="s">
        <v>552</v>
      </c>
      <c r="AF254" s="861" t="s">
        <v>553</v>
      </c>
      <c r="AG254" s="861" t="s">
        <v>554</v>
      </c>
      <c r="AH254" s="6"/>
    </row>
    <row r="255" spans="1:34" s="3" customFormat="1" ht="15.95" customHeight="1" thickTop="1">
      <c r="A255" s="7"/>
      <c r="B255" s="19" t="s">
        <v>143</v>
      </c>
      <c r="C255" s="12"/>
      <c r="D255" s="191"/>
      <c r="E255" s="191"/>
      <c r="F255" s="190"/>
      <c r="G255" s="191"/>
      <c r="H255" s="190"/>
      <c r="I255" s="190"/>
      <c r="J255" s="191"/>
      <c r="K255" s="191"/>
      <c r="L255" s="283" t="s">
        <v>34</v>
      </c>
      <c r="M255" s="190"/>
      <c r="N255" s="38" t="str">
        <f>J$6</f>
        <v>FY2010-11</v>
      </c>
      <c r="O255" s="38" t="s">
        <v>152</v>
      </c>
      <c r="P255" s="38" t="s">
        <v>147</v>
      </c>
      <c r="Q255" s="38" t="s">
        <v>179</v>
      </c>
      <c r="R255" s="191"/>
      <c r="S255" s="190" t="s">
        <v>611</v>
      </c>
      <c r="T255" s="191"/>
      <c r="U255" s="191"/>
      <c r="V255" s="192"/>
      <c r="W255" s="192"/>
      <c r="X255" s="192"/>
      <c r="Y255" s="192"/>
      <c r="Z255" s="192"/>
      <c r="AA255" s="192"/>
      <c r="AB255" s="192"/>
      <c r="AC255" s="192"/>
      <c r="AD255" s="192"/>
      <c r="AE255" s="192"/>
      <c r="AF255" s="192"/>
      <c r="AG255" s="192"/>
      <c r="AH255" s="6"/>
    </row>
    <row r="256" spans="1:34" s="3" customFormat="1" ht="15.95" customHeight="1">
      <c r="A256" s="7"/>
      <c r="B256" s="16">
        <f>DSUM('$REV-DB'!D35:AG67,"AMOUNT",D254:AG255)</f>
        <v>11277156.800000001</v>
      </c>
      <c r="C256" s="12"/>
      <c r="D256" s="880"/>
      <c r="E256" s="880"/>
      <c r="F256" s="880"/>
      <c r="G256" s="880"/>
      <c r="H256" s="880"/>
      <c r="I256" s="880"/>
      <c r="J256" s="880"/>
      <c r="K256" s="880"/>
      <c r="L256" s="881"/>
      <c r="M256" s="880"/>
      <c r="N256" s="873"/>
      <c r="O256" s="880"/>
      <c r="P256" s="873"/>
      <c r="Q256" s="884"/>
      <c r="R256" s="880"/>
      <c r="S256" s="880"/>
      <c r="T256" s="882"/>
      <c r="U256" s="882"/>
      <c r="V256" s="883"/>
      <c r="W256" s="883"/>
      <c r="X256" s="883"/>
      <c r="Y256" s="883"/>
      <c r="Z256" s="883"/>
      <c r="AA256" s="883"/>
      <c r="AB256" s="883"/>
      <c r="AC256" s="883"/>
      <c r="AD256" s="883"/>
      <c r="AE256" s="883"/>
      <c r="AF256" s="883"/>
      <c r="AG256" s="883"/>
      <c r="AH256" s="6"/>
    </row>
    <row r="257" spans="1:34" s="3" customFormat="1" ht="15.95" customHeight="1">
      <c r="A257" s="7"/>
      <c r="B257" s="10"/>
      <c r="C257" s="12"/>
      <c r="D257" s="880"/>
      <c r="E257" s="880"/>
      <c r="F257" s="880"/>
      <c r="G257" s="880"/>
      <c r="H257" s="880"/>
      <c r="I257" s="880"/>
      <c r="J257" s="880"/>
      <c r="K257" s="880"/>
      <c r="L257" s="881"/>
      <c r="M257" s="880"/>
      <c r="N257" s="873"/>
      <c r="O257" s="880"/>
      <c r="P257" s="873"/>
      <c r="Q257" s="884"/>
      <c r="R257" s="880"/>
      <c r="S257" s="880"/>
      <c r="T257" s="882"/>
      <c r="U257" s="882"/>
      <c r="V257" s="883"/>
      <c r="W257" s="883"/>
      <c r="X257" s="883"/>
      <c r="Y257" s="883"/>
      <c r="Z257" s="883"/>
      <c r="AA257" s="883"/>
      <c r="AB257" s="883"/>
      <c r="AC257" s="883"/>
      <c r="AD257" s="883"/>
      <c r="AE257" s="883"/>
      <c r="AF257" s="883"/>
      <c r="AG257" s="883"/>
    </row>
    <row r="258" spans="1:34" s="3" customFormat="1" ht="15.95" customHeight="1">
      <c r="A258" s="7"/>
      <c r="B258" s="10"/>
      <c r="C258" s="12"/>
      <c r="D258" s="880"/>
      <c r="E258" s="880"/>
      <c r="F258" s="880"/>
      <c r="G258" s="880"/>
      <c r="H258" s="880"/>
      <c r="I258" s="880"/>
      <c r="J258" s="880"/>
      <c r="K258" s="880"/>
      <c r="L258" s="881"/>
      <c r="M258" s="880"/>
      <c r="N258" s="873"/>
      <c r="O258" s="880"/>
      <c r="P258" s="873"/>
      <c r="Q258" s="884"/>
      <c r="R258" s="880"/>
      <c r="S258" s="880"/>
      <c r="T258" s="882"/>
      <c r="U258" s="882"/>
      <c r="V258" s="883"/>
      <c r="W258" s="883"/>
      <c r="X258" s="883"/>
      <c r="Y258" s="883"/>
      <c r="Z258" s="883"/>
      <c r="AA258" s="883"/>
      <c r="AB258" s="883"/>
      <c r="AC258" s="883"/>
      <c r="AD258" s="883"/>
      <c r="AE258" s="883"/>
      <c r="AF258" s="883"/>
      <c r="AG258" s="883"/>
    </row>
    <row r="259" spans="1:34" s="3" customFormat="1" ht="15.95" customHeight="1">
      <c r="A259" s="7"/>
      <c r="B259" s="10"/>
      <c r="C259" s="12"/>
      <c r="D259" s="880"/>
      <c r="E259" s="880"/>
      <c r="F259" s="880"/>
      <c r="G259" s="880"/>
      <c r="H259" s="880"/>
      <c r="I259" s="880"/>
      <c r="J259" s="880"/>
      <c r="K259" s="880"/>
      <c r="L259" s="881"/>
      <c r="M259" s="880"/>
      <c r="N259" s="873"/>
      <c r="O259" s="880"/>
      <c r="P259" s="873"/>
      <c r="Q259" s="884"/>
      <c r="R259" s="880"/>
      <c r="S259" s="880"/>
      <c r="T259" s="882"/>
      <c r="U259" s="882"/>
      <c r="V259" s="883"/>
      <c r="W259" s="883"/>
      <c r="X259" s="883"/>
      <c r="Y259" s="883"/>
      <c r="Z259" s="883"/>
      <c r="AA259" s="883"/>
      <c r="AB259" s="883"/>
      <c r="AC259" s="883"/>
      <c r="AD259" s="883"/>
      <c r="AE259" s="883"/>
      <c r="AF259" s="883"/>
      <c r="AG259" s="883"/>
    </row>
    <row r="260" spans="1:34" s="3" customFormat="1" ht="15.95" customHeight="1">
      <c r="A260" s="7"/>
      <c r="B260" s="10"/>
      <c r="C260" s="12"/>
      <c r="D260" s="880"/>
      <c r="E260" s="880"/>
      <c r="F260" s="880"/>
      <c r="G260" s="880"/>
      <c r="H260" s="880"/>
      <c r="I260" s="880"/>
      <c r="J260" s="880"/>
      <c r="K260" s="880"/>
      <c r="L260" s="881"/>
      <c r="M260" s="880"/>
      <c r="N260" s="873"/>
      <c r="O260" s="880"/>
      <c r="P260" s="873"/>
      <c r="Q260" s="884"/>
      <c r="R260" s="880"/>
      <c r="S260" s="880"/>
      <c r="T260" s="882"/>
      <c r="U260" s="882"/>
      <c r="V260" s="883"/>
      <c r="W260" s="883"/>
      <c r="X260" s="883"/>
      <c r="Y260" s="883"/>
      <c r="Z260" s="883"/>
      <c r="AA260" s="883"/>
      <c r="AB260" s="883"/>
      <c r="AC260" s="883"/>
      <c r="AD260" s="883"/>
      <c r="AE260" s="883"/>
      <c r="AF260" s="883"/>
      <c r="AG260" s="883"/>
    </row>
    <row r="261" spans="1:34" s="3" customFormat="1" ht="15.95" customHeight="1">
      <c r="A261" s="7"/>
      <c r="B261" s="10"/>
      <c r="C261" s="12"/>
      <c r="D261" s="880"/>
      <c r="E261" s="880"/>
      <c r="F261" s="880"/>
      <c r="G261" s="880"/>
      <c r="H261" s="880"/>
      <c r="I261" s="880"/>
      <c r="J261" s="880"/>
      <c r="K261" s="880"/>
      <c r="L261" s="881"/>
      <c r="M261" s="880"/>
      <c r="N261" s="873"/>
      <c r="O261" s="880"/>
      <c r="P261" s="873"/>
      <c r="Q261" s="884"/>
      <c r="R261" s="880"/>
      <c r="S261" s="880"/>
      <c r="T261" s="882"/>
      <c r="U261" s="882"/>
      <c r="V261" s="883"/>
      <c r="W261" s="883"/>
      <c r="X261" s="883"/>
      <c r="Y261" s="883"/>
      <c r="Z261" s="883"/>
      <c r="AA261" s="883"/>
      <c r="AB261" s="883"/>
      <c r="AC261" s="883"/>
      <c r="AD261" s="883"/>
      <c r="AE261" s="883"/>
      <c r="AF261" s="883"/>
      <c r="AG261" s="883"/>
    </row>
    <row r="262" spans="1:34" s="3" customFormat="1" ht="15.95" customHeight="1">
      <c r="A262" s="25"/>
      <c r="B262" s="26"/>
      <c r="C262" s="26"/>
      <c r="D262" s="27"/>
      <c r="E262" s="27"/>
      <c r="F262" s="28"/>
      <c r="G262" s="27"/>
      <c r="H262" s="28"/>
      <c r="I262" s="28"/>
      <c r="J262" s="27"/>
      <c r="K262" s="27"/>
      <c r="L262" s="282"/>
      <c r="M262" s="28"/>
      <c r="N262" s="28"/>
      <c r="O262" s="27"/>
      <c r="P262" s="28"/>
      <c r="Q262" s="28"/>
      <c r="R262" s="27"/>
      <c r="S262" s="28"/>
      <c r="T262" s="27"/>
      <c r="U262" s="27"/>
      <c r="V262" s="25"/>
      <c r="W262" s="25"/>
      <c r="X262" s="25"/>
      <c r="Y262" s="25"/>
      <c r="Z262" s="25"/>
      <c r="AA262" s="25"/>
      <c r="AB262" s="25"/>
      <c r="AC262" s="25"/>
      <c r="AD262" s="25"/>
      <c r="AE262" s="25"/>
      <c r="AF262" s="25"/>
      <c r="AG262" s="25"/>
    </row>
    <row r="263" spans="1:34" s="3" customFormat="1" ht="15.95" customHeight="1" thickBot="1">
      <c r="A263" s="7"/>
      <c r="B263" s="19" t="str">
        <f>"FA1 = "&amp;'FIG3'!$W$52&amp;" "&amp;'FIG3'!$X$52</f>
        <v>FA1 = Fulton County District</v>
      </c>
      <c r="C263" s="7"/>
      <c r="D263" s="8"/>
      <c r="E263" s="8"/>
      <c r="F263" s="9"/>
      <c r="G263" s="8"/>
      <c r="H263" s="9"/>
      <c r="I263" s="9"/>
      <c r="J263" s="8"/>
      <c r="K263" s="8"/>
      <c r="L263" s="280"/>
      <c r="M263" s="9"/>
      <c r="N263" s="9"/>
      <c r="O263" s="8"/>
      <c r="P263" s="9"/>
      <c r="Q263" s="9"/>
      <c r="R263" s="8"/>
      <c r="S263" s="866"/>
      <c r="T263" s="867" t="str">
        <f>'$REV-DB'!$T$34</f>
        <v>UD1</v>
      </c>
      <c r="U263" s="867" t="str">
        <f>'$REV-DB'!$U$34</f>
        <v>UD2</v>
      </c>
      <c r="V263" s="867" t="str">
        <f>'$REV-DB'!$V$34</f>
        <v>UD3</v>
      </c>
      <c r="W263" s="867" t="str">
        <f>'$REV-DB'!$W$34</f>
        <v>UD4</v>
      </c>
      <c r="X263" s="867" t="str">
        <f>'$REV-DB'!$X$34</f>
        <v>UD5</v>
      </c>
      <c r="Y263" s="867" t="str">
        <f>'$REV-DB'!$Y$34</f>
        <v>UD6</v>
      </c>
      <c r="Z263" s="867" t="str">
        <f>'$REV-DB'!$Z$34</f>
        <v>UD7</v>
      </c>
      <c r="AA263" s="867" t="str">
        <f>'$REV-DB'!$AA$34</f>
        <v>UD8</v>
      </c>
      <c r="AB263" s="867" t="str">
        <f>'$REV-DB'!$AB$34</f>
        <v>UD9</v>
      </c>
      <c r="AC263" s="867" t="str">
        <f>'$REV-DB'!$AC$34</f>
        <v>UD10</v>
      </c>
      <c r="AD263" s="867" t="str">
        <f>'$REV-DB'!$AD$34</f>
        <v>UD11</v>
      </c>
      <c r="AE263" s="867" t="str">
        <f>'$REV-DB'!$AE$34</f>
        <v>UD12</v>
      </c>
      <c r="AF263" s="867" t="str">
        <f>'$REV-DB'!$AF$34</f>
        <v>UD13</v>
      </c>
      <c r="AG263" s="867" t="str">
        <f>'$REV-DB'!$AG$34</f>
        <v>UD14</v>
      </c>
    </row>
    <row r="264" spans="1:34" s="3" customFormat="1" ht="15.95" customHeight="1" thickTop="1" thickBot="1">
      <c r="A264" s="7"/>
      <c r="B264" s="20" t="s">
        <v>175</v>
      </c>
      <c r="C264" s="15"/>
      <c r="D264" s="861" t="s">
        <v>186</v>
      </c>
      <c r="E264" s="861" t="s">
        <v>187</v>
      </c>
      <c r="F264" s="861" t="s">
        <v>188</v>
      </c>
      <c r="G264" s="861" t="s">
        <v>189</v>
      </c>
      <c r="H264" s="861" t="s">
        <v>11</v>
      </c>
      <c r="I264" s="861" t="s">
        <v>190</v>
      </c>
      <c r="J264" s="861" t="s">
        <v>191</v>
      </c>
      <c r="K264" s="861" t="s">
        <v>192</v>
      </c>
      <c r="L264" s="861" t="s">
        <v>203</v>
      </c>
      <c r="M264" s="861" t="s">
        <v>42</v>
      </c>
      <c r="N264" s="861" t="s">
        <v>148</v>
      </c>
      <c r="O264" s="861" t="s">
        <v>193</v>
      </c>
      <c r="P264" s="861" t="s">
        <v>142</v>
      </c>
      <c r="Q264" s="861" t="s">
        <v>194</v>
      </c>
      <c r="R264" s="112" t="s">
        <v>141</v>
      </c>
      <c r="S264" s="112" t="s">
        <v>672</v>
      </c>
      <c r="T264" s="861" t="s">
        <v>541</v>
      </c>
      <c r="U264" s="861" t="s">
        <v>542</v>
      </c>
      <c r="V264" s="861" t="s">
        <v>543</v>
      </c>
      <c r="W264" s="861" t="s">
        <v>544</v>
      </c>
      <c r="X264" s="861" t="s">
        <v>545</v>
      </c>
      <c r="Y264" s="861" t="s">
        <v>546</v>
      </c>
      <c r="Z264" s="861" t="s">
        <v>547</v>
      </c>
      <c r="AA264" s="861" t="s">
        <v>548</v>
      </c>
      <c r="AB264" s="861" t="s">
        <v>549</v>
      </c>
      <c r="AC264" s="861" t="s">
        <v>550</v>
      </c>
      <c r="AD264" s="861" t="s">
        <v>551</v>
      </c>
      <c r="AE264" s="861" t="s">
        <v>552</v>
      </c>
      <c r="AF264" s="861" t="s">
        <v>553</v>
      </c>
      <c r="AG264" s="861" t="s">
        <v>554</v>
      </c>
      <c r="AH264" s="6"/>
    </row>
    <row r="265" spans="1:34" s="3" customFormat="1" ht="15.95" customHeight="1" thickTop="1">
      <c r="A265" s="7"/>
      <c r="B265" s="19" t="s">
        <v>149</v>
      </c>
      <c r="C265" s="12"/>
      <c r="D265" s="191"/>
      <c r="E265" s="191"/>
      <c r="F265" s="190"/>
      <c r="G265" s="191"/>
      <c r="H265" s="190"/>
      <c r="I265" s="190"/>
      <c r="J265" s="191"/>
      <c r="K265" s="191"/>
      <c r="L265" s="283" t="s">
        <v>34</v>
      </c>
      <c r="M265" s="190"/>
      <c r="N265" s="38" t="str">
        <f>J$6</f>
        <v>FY2010-11</v>
      </c>
      <c r="O265" s="38" t="s">
        <v>152</v>
      </c>
      <c r="P265" s="38" t="s">
        <v>147</v>
      </c>
      <c r="Q265" s="38" t="s">
        <v>2</v>
      </c>
      <c r="R265" s="191"/>
      <c r="S265" s="190" t="s">
        <v>611</v>
      </c>
      <c r="T265" s="191"/>
      <c r="U265" s="191"/>
      <c r="V265" s="192"/>
      <c r="W265" s="192"/>
      <c r="X265" s="192"/>
      <c r="Y265" s="192"/>
      <c r="Z265" s="192"/>
      <c r="AA265" s="192"/>
      <c r="AB265" s="192"/>
      <c r="AC265" s="192"/>
      <c r="AD265" s="192"/>
      <c r="AE265" s="192"/>
      <c r="AF265" s="192"/>
      <c r="AG265" s="192"/>
      <c r="AH265" s="6"/>
    </row>
    <row r="266" spans="1:34" s="3" customFormat="1" ht="15.95" customHeight="1">
      <c r="A266" s="7"/>
      <c r="B266" s="16">
        <f>DSUM('$REV-DB'!D35:AG67,"AMOUNT",D264:AG265)</f>
        <v>3352145</v>
      </c>
      <c r="C266" s="12"/>
      <c r="D266" s="880"/>
      <c r="E266" s="880"/>
      <c r="F266" s="880"/>
      <c r="G266" s="880"/>
      <c r="H266" s="880"/>
      <c r="I266" s="880"/>
      <c r="J266" s="880"/>
      <c r="K266" s="880"/>
      <c r="L266" s="881"/>
      <c r="M266" s="880"/>
      <c r="N266" s="873"/>
      <c r="O266" s="880"/>
      <c r="P266" s="873"/>
      <c r="Q266" s="884"/>
      <c r="R266" s="880"/>
      <c r="S266" s="880"/>
      <c r="T266" s="882"/>
      <c r="U266" s="882"/>
      <c r="V266" s="883"/>
      <c r="W266" s="883"/>
      <c r="X266" s="883"/>
      <c r="Y266" s="883"/>
      <c r="Z266" s="883"/>
      <c r="AA266" s="883"/>
      <c r="AB266" s="883"/>
      <c r="AC266" s="883"/>
      <c r="AD266" s="883"/>
      <c r="AE266" s="883"/>
      <c r="AF266" s="883"/>
      <c r="AG266" s="883"/>
      <c r="AH266" s="6"/>
    </row>
    <row r="267" spans="1:34" s="3" customFormat="1" ht="15.95" customHeight="1">
      <c r="A267" s="7"/>
      <c r="B267" s="10"/>
      <c r="C267" s="12"/>
      <c r="D267" s="880"/>
      <c r="E267" s="880"/>
      <c r="F267" s="880"/>
      <c r="G267" s="880"/>
      <c r="H267" s="880"/>
      <c r="I267" s="880"/>
      <c r="J267" s="880"/>
      <c r="K267" s="880"/>
      <c r="L267" s="881"/>
      <c r="M267" s="880"/>
      <c r="N267" s="873"/>
      <c r="O267" s="880"/>
      <c r="P267" s="873"/>
      <c r="Q267" s="884"/>
      <c r="R267" s="880"/>
      <c r="S267" s="880"/>
      <c r="T267" s="882"/>
      <c r="U267" s="882"/>
      <c r="V267" s="883"/>
      <c r="W267" s="883"/>
      <c r="X267" s="883"/>
      <c r="Y267" s="883"/>
      <c r="Z267" s="883"/>
      <c r="AA267" s="883"/>
      <c r="AB267" s="883"/>
      <c r="AC267" s="883"/>
      <c r="AD267" s="883"/>
      <c r="AE267" s="883"/>
      <c r="AF267" s="883"/>
      <c r="AG267" s="883"/>
    </row>
    <row r="268" spans="1:34" s="3" customFormat="1" ht="15.95" customHeight="1">
      <c r="A268" s="7"/>
      <c r="B268" s="10"/>
      <c r="C268" s="12"/>
      <c r="D268" s="880"/>
      <c r="E268" s="880"/>
      <c r="F268" s="880"/>
      <c r="G268" s="880"/>
      <c r="H268" s="880"/>
      <c r="I268" s="880"/>
      <c r="J268" s="880"/>
      <c r="K268" s="880"/>
      <c r="L268" s="881"/>
      <c r="M268" s="880"/>
      <c r="N268" s="873"/>
      <c r="O268" s="880"/>
      <c r="P268" s="873"/>
      <c r="Q268" s="884"/>
      <c r="R268" s="880"/>
      <c r="S268" s="880"/>
      <c r="T268" s="882"/>
      <c r="U268" s="882"/>
      <c r="V268" s="883"/>
      <c r="W268" s="883"/>
      <c r="X268" s="883"/>
      <c r="Y268" s="883"/>
      <c r="Z268" s="883"/>
      <c r="AA268" s="883"/>
      <c r="AB268" s="883"/>
      <c r="AC268" s="883"/>
      <c r="AD268" s="883"/>
      <c r="AE268" s="883"/>
      <c r="AF268" s="883"/>
      <c r="AG268" s="883"/>
    </row>
    <row r="269" spans="1:34" s="3" customFormat="1" ht="15.95" customHeight="1">
      <c r="A269" s="7"/>
      <c r="B269" s="10"/>
      <c r="C269" s="12"/>
      <c r="D269" s="880"/>
      <c r="E269" s="880"/>
      <c r="F269" s="880"/>
      <c r="G269" s="880"/>
      <c r="H269" s="880"/>
      <c r="I269" s="880"/>
      <c r="J269" s="880"/>
      <c r="K269" s="880"/>
      <c r="L269" s="881"/>
      <c r="M269" s="880"/>
      <c r="N269" s="873"/>
      <c r="O269" s="880"/>
      <c r="P269" s="873"/>
      <c r="Q269" s="884"/>
      <c r="R269" s="880"/>
      <c r="S269" s="880"/>
      <c r="T269" s="882"/>
      <c r="U269" s="882"/>
      <c r="V269" s="883"/>
      <c r="W269" s="883"/>
      <c r="X269" s="883"/>
      <c r="Y269" s="883"/>
      <c r="Z269" s="883"/>
      <c r="AA269" s="883"/>
      <c r="AB269" s="883"/>
      <c r="AC269" s="883"/>
      <c r="AD269" s="883"/>
      <c r="AE269" s="883"/>
      <c r="AF269" s="883"/>
      <c r="AG269" s="883"/>
    </row>
    <row r="270" spans="1:34" s="3" customFormat="1" ht="15.95" customHeight="1">
      <c r="A270" s="7"/>
      <c r="B270" s="10"/>
      <c r="C270" s="12"/>
      <c r="D270" s="880"/>
      <c r="E270" s="880"/>
      <c r="F270" s="880"/>
      <c r="G270" s="880"/>
      <c r="H270" s="880"/>
      <c r="I270" s="880"/>
      <c r="J270" s="880"/>
      <c r="K270" s="880"/>
      <c r="L270" s="881"/>
      <c r="M270" s="880"/>
      <c r="N270" s="873"/>
      <c r="O270" s="880"/>
      <c r="P270" s="873"/>
      <c r="Q270" s="884"/>
      <c r="R270" s="880"/>
      <c r="S270" s="880"/>
      <c r="T270" s="882"/>
      <c r="U270" s="882"/>
      <c r="V270" s="883"/>
      <c r="W270" s="883"/>
      <c r="X270" s="883"/>
      <c r="Y270" s="883"/>
      <c r="Z270" s="883"/>
      <c r="AA270" s="883"/>
      <c r="AB270" s="883"/>
      <c r="AC270" s="883"/>
      <c r="AD270" s="883"/>
      <c r="AE270" s="883"/>
      <c r="AF270" s="883"/>
      <c r="AG270" s="883"/>
    </row>
    <row r="271" spans="1:34" s="3" customFormat="1" ht="15.95" customHeight="1">
      <c r="A271" s="7"/>
      <c r="B271" s="10"/>
      <c r="C271" s="12"/>
      <c r="D271" s="880"/>
      <c r="E271" s="880"/>
      <c r="F271" s="880"/>
      <c r="G271" s="880"/>
      <c r="H271" s="880"/>
      <c r="I271" s="880"/>
      <c r="J271" s="880"/>
      <c r="K271" s="880"/>
      <c r="L271" s="881"/>
      <c r="M271" s="880"/>
      <c r="N271" s="873"/>
      <c r="O271" s="880"/>
      <c r="P271" s="873"/>
      <c r="Q271" s="884"/>
      <c r="R271" s="880"/>
      <c r="S271" s="880"/>
      <c r="T271" s="882"/>
      <c r="U271" s="882"/>
      <c r="V271" s="883"/>
      <c r="W271" s="883"/>
      <c r="X271" s="883"/>
      <c r="Y271" s="883"/>
      <c r="Z271" s="883"/>
      <c r="AA271" s="883"/>
      <c r="AB271" s="883"/>
      <c r="AC271" s="883"/>
      <c r="AD271" s="883"/>
      <c r="AE271" s="883"/>
      <c r="AF271" s="883"/>
      <c r="AG271" s="883"/>
    </row>
    <row r="272" spans="1:34" s="3" customFormat="1" ht="15.95" customHeight="1">
      <c r="A272" s="25"/>
      <c r="B272" s="26"/>
      <c r="C272" s="26"/>
      <c r="D272" s="27"/>
      <c r="E272" s="27"/>
      <c r="F272" s="28"/>
      <c r="G272" s="27"/>
      <c r="H272" s="28"/>
      <c r="I272" s="28"/>
      <c r="J272" s="27"/>
      <c r="K272" s="27"/>
      <c r="L272" s="282"/>
      <c r="M272" s="28"/>
      <c r="N272" s="28"/>
      <c r="O272" s="27"/>
      <c r="P272" s="28"/>
      <c r="Q272" s="28"/>
      <c r="R272" s="27"/>
      <c r="S272" s="28"/>
      <c r="T272" s="27"/>
      <c r="U272" s="27"/>
      <c r="V272" s="25"/>
      <c r="W272" s="25"/>
      <c r="X272" s="25"/>
      <c r="Y272" s="25"/>
      <c r="Z272" s="25"/>
      <c r="AA272" s="25"/>
      <c r="AB272" s="25"/>
      <c r="AC272" s="25"/>
      <c r="AD272" s="25"/>
      <c r="AE272" s="25"/>
      <c r="AF272" s="25"/>
      <c r="AG272" s="25"/>
    </row>
    <row r="273" spans="1:34" s="3" customFormat="1" ht="15.95" customHeight="1" thickBot="1">
      <c r="A273" s="7"/>
      <c r="B273" s="19" t="str">
        <f>"FA1 = "&amp;'FIG3'!$W$52&amp;" "&amp;'FIG3'!$X$52</f>
        <v>FA1 = Fulton County District</v>
      </c>
      <c r="C273" s="7"/>
      <c r="D273" s="8"/>
      <c r="E273" s="8"/>
      <c r="F273" s="9"/>
      <c r="G273" s="8"/>
      <c r="H273" s="9"/>
      <c r="I273" s="9"/>
      <c r="J273" s="8"/>
      <c r="K273" s="8"/>
      <c r="L273" s="280"/>
      <c r="M273" s="9"/>
      <c r="N273" s="9"/>
      <c r="O273" s="8"/>
      <c r="P273" s="9"/>
      <c r="Q273" s="9"/>
      <c r="R273" s="8"/>
      <c r="S273" s="866"/>
      <c r="T273" s="867" t="str">
        <f>'$REV-DB'!$T$34</f>
        <v>UD1</v>
      </c>
      <c r="U273" s="867" t="str">
        <f>'$REV-DB'!$U$34</f>
        <v>UD2</v>
      </c>
      <c r="V273" s="867" t="str">
        <f>'$REV-DB'!$V$34</f>
        <v>UD3</v>
      </c>
      <c r="W273" s="867" t="str">
        <f>'$REV-DB'!$W$34</f>
        <v>UD4</v>
      </c>
      <c r="X273" s="867" t="str">
        <f>'$REV-DB'!$X$34</f>
        <v>UD5</v>
      </c>
      <c r="Y273" s="867" t="str">
        <f>'$REV-DB'!$Y$34</f>
        <v>UD6</v>
      </c>
      <c r="Z273" s="867" t="str">
        <f>'$REV-DB'!$Z$34</f>
        <v>UD7</v>
      </c>
      <c r="AA273" s="867" t="str">
        <f>'$REV-DB'!$AA$34</f>
        <v>UD8</v>
      </c>
      <c r="AB273" s="867" t="str">
        <f>'$REV-DB'!$AB$34</f>
        <v>UD9</v>
      </c>
      <c r="AC273" s="867" t="str">
        <f>'$REV-DB'!$AC$34</f>
        <v>UD10</v>
      </c>
      <c r="AD273" s="867" t="str">
        <f>'$REV-DB'!$AD$34</f>
        <v>UD11</v>
      </c>
      <c r="AE273" s="867" t="str">
        <f>'$REV-DB'!$AE$34</f>
        <v>UD12</v>
      </c>
      <c r="AF273" s="867" t="str">
        <f>'$REV-DB'!$AF$34</f>
        <v>UD13</v>
      </c>
      <c r="AG273" s="867" t="str">
        <f>'$REV-DB'!$AG$34</f>
        <v>UD14</v>
      </c>
    </row>
    <row r="274" spans="1:34" s="3" customFormat="1" ht="15.95" customHeight="1" thickTop="1" thickBot="1">
      <c r="A274" s="7"/>
      <c r="B274" s="20" t="s">
        <v>175</v>
      </c>
      <c r="C274" s="15"/>
      <c r="D274" s="861" t="s">
        <v>186</v>
      </c>
      <c r="E274" s="861" t="s">
        <v>187</v>
      </c>
      <c r="F274" s="861" t="s">
        <v>188</v>
      </c>
      <c r="G274" s="861" t="s">
        <v>189</v>
      </c>
      <c r="H274" s="861" t="s">
        <v>11</v>
      </c>
      <c r="I274" s="861" t="s">
        <v>190</v>
      </c>
      <c r="J274" s="861" t="s">
        <v>191</v>
      </c>
      <c r="K274" s="861" t="s">
        <v>192</v>
      </c>
      <c r="L274" s="861" t="s">
        <v>203</v>
      </c>
      <c r="M274" s="861" t="s">
        <v>42</v>
      </c>
      <c r="N274" s="861" t="s">
        <v>148</v>
      </c>
      <c r="O274" s="861" t="s">
        <v>193</v>
      </c>
      <c r="P274" s="861" t="s">
        <v>142</v>
      </c>
      <c r="Q274" s="861" t="s">
        <v>194</v>
      </c>
      <c r="R274" s="112" t="s">
        <v>141</v>
      </c>
      <c r="S274" s="112" t="s">
        <v>672</v>
      </c>
      <c r="T274" s="861" t="s">
        <v>541</v>
      </c>
      <c r="U274" s="861" t="s">
        <v>542</v>
      </c>
      <c r="V274" s="861" t="s">
        <v>543</v>
      </c>
      <c r="W274" s="861" t="s">
        <v>544</v>
      </c>
      <c r="X274" s="861" t="s">
        <v>545</v>
      </c>
      <c r="Y274" s="861" t="s">
        <v>546</v>
      </c>
      <c r="Z274" s="861" t="s">
        <v>547</v>
      </c>
      <c r="AA274" s="861" t="s">
        <v>548</v>
      </c>
      <c r="AB274" s="861" t="s">
        <v>549</v>
      </c>
      <c r="AC274" s="861" t="s">
        <v>550</v>
      </c>
      <c r="AD274" s="861" t="s">
        <v>551</v>
      </c>
      <c r="AE274" s="861" t="s">
        <v>552</v>
      </c>
      <c r="AF274" s="861" t="s">
        <v>553</v>
      </c>
      <c r="AG274" s="861" t="s">
        <v>554</v>
      </c>
      <c r="AH274" s="6"/>
    </row>
    <row r="275" spans="1:34" s="3" customFormat="1" ht="15.95" customHeight="1" thickTop="1">
      <c r="A275" s="7"/>
      <c r="B275" s="19" t="s">
        <v>364</v>
      </c>
      <c r="C275" s="12"/>
      <c r="D275" s="191"/>
      <c r="E275" s="191"/>
      <c r="F275" s="190"/>
      <c r="G275" s="191"/>
      <c r="H275" s="190"/>
      <c r="I275" s="190"/>
      <c r="J275" s="191"/>
      <c r="K275" s="191"/>
      <c r="L275" s="283" t="s">
        <v>34</v>
      </c>
      <c r="M275" s="190"/>
      <c r="N275" s="38" t="str">
        <f>J$6</f>
        <v>FY2010-11</v>
      </c>
      <c r="O275" s="38" t="s">
        <v>152</v>
      </c>
      <c r="P275" s="38" t="s">
        <v>147</v>
      </c>
      <c r="Q275" s="38" t="s">
        <v>70</v>
      </c>
      <c r="R275" s="191"/>
      <c r="S275" s="190" t="s">
        <v>611</v>
      </c>
      <c r="T275" s="191"/>
      <c r="U275" s="191"/>
      <c r="V275" s="192"/>
      <c r="W275" s="192"/>
      <c r="X275" s="192"/>
      <c r="Y275" s="192"/>
      <c r="Z275" s="192"/>
      <c r="AA275" s="192"/>
      <c r="AB275" s="192"/>
      <c r="AC275" s="192"/>
      <c r="AD275" s="192"/>
      <c r="AE275" s="192"/>
      <c r="AF275" s="192"/>
      <c r="AG275" s="192"/>
      <c r="AH275" s="6"/>
    </row>
    <row r="276" spans="1:34" s="3" customFormat="1" ht="15.95" customHeight="1">
      <c r="A276" s="7"/>
      <c r="B276" s="16">
        <f>DSUM('$REV-DB'!D35:AG67,"AMOUNT",D274:AG275)</f>
        <v>263804</v>
      </c>
      <c r="C276" s="12"/>
      <c r="D276" s="880"/>
      <c r="E276" s="880"/>
      <c r="F276" s="880"/>
      <c r="G276" s="880"/>
      <c r="H276" s="880"/>
      <c r="I276" s="880"/>
      <c r="J276" s="880"/>
      <c r="K276" s="880"/>
      <c r="L276" s="881"/>
      <c r="M276" s="880"/>
      <c r="N276" s="873"/>
      <c r="O276" s="880"/>
      <c r="P276" s="873"/>
      <c r="Q276" s="884"/>
      <c r="R276" s="880"/>
      <c r="S276" s="880"/>
      <c r="T276" s="882"/>
      <c r="U276" s="882"/>
      <c r="V276" s="883"/>
      <c r="W276" s="883"/>
      <c r="X276" s="883"/>
      <c r="Y276" s="883"/>
      <c r="Z276" s="883"/>
      <c r="AA276" s="883"/>
      <c r="AB276" s="883"/>
      <c r="AC276" s="883"/>
      <c r="AD276" s="883"/>
      <c r="AE276" s="883"/>
      <c r="AF276" s="883"/>
      <c r="AG276" s="883"/>
      <c r="AH276" s="6"/>
    </row>
    <row r="277" spans="1:34" s="3" customFormat="1" ht="15.95" customHeight="1">
      <c r="A277" s="7"/>
      <c r="B277" s="10"/>
      <c r="C277" s="12"/>
      <c r="D277" s="880"/>
      <c r="E277" s="880"/>
      <c r="F277" s="880"/>
      <c r="G277" s="880"/>
      <c r="H277" s="880"/>
      <c r="I277" s="880"/>
      <c r="J277" s="880"/>
      <c r="K277" s="880"/>
      <c r="L277" s="881"/>
      <c r="M277" s="880"/>
      <c r="N277" s="873"/>
      <c r="O277" s="880"/>
      <c r="P277" s="873"/>
      <c r="Q277" s="884"/>
      <c r="R277" s="880"/>
      <c r="S277" s="880"/>
      <c r="T277" s="882"/>
      <c r="U277" s="882"/>
      <c r="V277" s="883"/>
      <c r="W277" s="883"/>
      <c r="X277" s="883"/>
      <c r="Y277" s="883"/>
      <c r="Z277" s="883"/>
      <c r="AA277" s="883"/>
      <c r="AB277" s="883"/>
      <c r="AC277" s="883"/>
      <c r="AD277" s="883"/>
      <c r="AE277" s="883"/>
      <c r="AF277" s="883"/>
      <c r="AG277" s="883"/>
    </row>
    <row r="278" spans="1:34" s="3" customFormat="1" ht="15.95" customHeight="1">
      <c r="A278" s="7"/>
      <c r="B278" s="10"/>
      <c r="C278" s="12"/>
      <c r="D278" s="880"/>
      <c r="E278" s="880"/>
      <c r="F278" s="880"/>
      <c r="G278" s="880"/>
      <c r="H278" s="880"/>
      <c r="I278" s="880"/>
      <c r="J278" s="880"/>
      <c r="K278" s="880"/>
      <c r="L278" s="881"/>
      <c r="M278" s="880"/>
      <c r="N278" s="873"/>
      <c r="O278" s="880"/>
      <c r="P278" s="873"/>
      <c r="Q278" s="884"/>
      <c r="R278" s="880"/>
      <c r="S278" s="880"/>
      <c r="T278" s="882"/>
      <c r="U278" s="882"/>
      <c r="V278" s="883"/>
      <c r="W278" s="883"/>
      <c r="X278" s="883"/>
      <c r="Y278" s="883"/>
      <c r="Z278" s="883"/>
      <c r="AA278" s="883"/>
      <c r="AB278" s="883"/>
      <c r="AC278" s="883"/>
      <c r="AD278" s="883"/>
      <c r="AE278" s="883"/>
      <c r="AF278" s="883"/>
      <c r="AG278" s="883"/>
    </row>
    <row r="279" spans="1:34" s="3" customFormat="1" ht="15.95" customHeight="1">
      <c r="A279" s="7"/>
      <c r="B279" s="10"/>
      <c r="C279" s="12"/>
      <c r="D279" s="880"/>
      <c r="E279" s="880"/>
      <c r="F279" s="880"/>
      <c r="G279" s="880"/>
      <c r="H279" s="880"/>
      <c r="I279" s="880"/>
      <c r="J279" s="880"/>
      <c r="K279" s="880"/>
      <c r="L279" s="881"/>
      <c r="M279" s="880"/>
      <c r="N279" s="873"/>
      <c r="O279" s="880"/>
      <c r="P279" s="873"/>
      <c r="Q279" s="884"/>
      <c r="R279" s="880"/>
      <c r="S279" s="880"/>
      <c r="T279" s="882"/>
      <c r="U279" s="882"/>
      <c r="V279" s="883"/>
      <c r="W279" s="883"/>
      <c r="X279" s="883"/>
      <c r="Y279" s="883"/>
      <c r="Z279" s="883"/>
      <c r="AA279" s="883"/>
      <c r="AB279" s="883"/>
      <c r="AC279" s="883"/>
      <c r="AD279" s="883"/>
      <c r="AE279" s="883"/>
      <c r="AF279" s="883"/>
      <c r="AG279" s="883"/>
    </row>
    <row r="280" spans="1:34" s="3" customFormat="1" ht="15.95" customHeight="1">
      <c r="A280" s="7"/>
      <c r="B280" s="10"/>
      <c r="C280" s="12"/>
      <c r="D280" s="880"/>
      <c r="E280" s="880"/>
      <c r="F280" s="880"/>
      <c r="G280" s="880"/>
      <c r="H280" s="880"/>
      <c r="I280" s="880"/>
      <c r="J280" s="880"/>
      <c r="K280" s="880"/>
      <c r="L280" s="881"/>
      <c r="M280" s="880"/>
      <c r="N280" s="873"/>
      <c r="O280" s="880"/>
      <c r="P280" s="873"/>
      <c r="Q280" s="884"/>
      <c r="R280" s="880"/>
      <c r="S280" s="880"/>
      <c r="T280" s="882"/>
      <c r="U280" s="882"/>
      <c r="V280" s="883"/>
      <c r="W280" s="883"/>
      <c r="X280" s="883"/>
      <c r="Y280" s="883"/>
      <c r="Z280" s="883"/>
      <c r="AA280" s="883"/>
      <c r="AB280" s="883"/>
      <c r="AC280" s="883"/>
      <c r="AD280" s="883"/>
      <c r="AE280" s="883"/>
      <c r="AF280" s="883"/>
      <c r="AG280" s="883"/>
    </row>
    <row r="281" spans="1:34" s="3" customFormat="1" ht="15.95" customHeight="1">
      <c r="A281" s="7"/>
      <c r="B281" s="10"/>
      <c r="C281" s="12"/>
      <c r="D281" s="880"/>
      <c r="E281" s="880"/>
      <c r="F281" s="880"/>
      <c r="G281" s="880"/>
      <c r="H281" s="880"/>
      <c r="I281" s="880"/>
      <c r="J281" s="880"/>
      <c r="K281" s="880"/>
      <c r="L281" s="881"/>
      <c r="M281" s="880"/>
      <c r="N281" s="873"/>
      <c r="O281" s="880"/>
      <c r="P281" s="873"/>
      <c r="Q281" s="884"/>
      <c r="R281" s="880"/>
      <c r="S281" s="880"/>
      <c r="T281" s="882"/>
      <c r="U281" s="882"/>
      <c r="V281" s="883"/>
      <c r="W281" s="883"/>
      <c r="X281" s="883"/>
      <c r="Y281" s="883"/>
      <c r="Z281" s="883"/>
      <c r="AA281" s="883"/>
      <c r="AB281" s="883"/>
      <c r="AC281" s="883"/>
      <c r="AD281" s="883"/>
      <c r="AE281" s="883"/>
      <c r="AF281" s="883"/>
      <c r="AG281" s="883"/>
    </row>
    <row r="282" spans="1:34" s="3" customFormat="1" ht="15.95" customHeight="1">
      <c r="A282" s="25"/>
      <c r="B282" s="26"/>
      <c r="C282" s="26"/>
      <c r="D282" s="27"/>
      <c r="E282" s="27"/>
      <c r="F282" s="28"/>
      <c r="G282" s="27"/>
      <c r="H282" s="28"/>
      <c r="I282" s="28"/>
      <c r="J282" s="27"/>
      <c r="K282" s="27"/>
      <c r="L282" s="282"/>
      <c r="M282" s="28"/>
      <c r="N282" s="28"/>
      <c r="O282" s="27"/>
      <c r="P282" s="28"/>
      <c r="Q282" s="28"/>
      <c r="R282" s="27"/>
      <c r="S282" s="28"/>
      <c r="T282" s="27"/>
      <c r="U282" s="27"/>
      <c r="V282" s="25"/>
      <c r="W282" s="25"/>
      <c r="X282" s="25"/>
      <c r="Y282" s="25"/>
      <c r="Z282" s="25"/>
      <c r="AA282" s="25"/>
      <c r="AB282" s="25"/>
      <c r="AC282" s="25"/>
      <c r="AD282" s="25"/>
      <c r="AE282" s="25"/>
      <c r="AF282" s="25"/>
      <c r="AG282" s="25"/>
    </row>
    <row r="283" spans="1:34" s="3" customFormat="1" ht="15.95" customHeight="1" thickBot="1">
      <c r="A283" s="7"/>
      <c r="B283" s="19" t="str">
        <f>"FA1 = "&amp;'FIG3'!$W$52&amp;" "&amp;'FIG3'!$X$52</f>
        <v>FA1 = Fulton County District</v>
      </c>
      <c r="C283" s="7"/>
      <c r="D283" s="8"/>
      <c r="E283" s="8"/>
      <c r="F283" s="9"/>
      <c r="G283" s="8"/>
      <c r="H283" s="9"/>
      <c r="I283" s="9"/>
      <c r="J283" s="8"/>
      <c r="K283" s="8"/>
      <c r="L283" s="280"/>
      <c r="M283" s="9"/>
      <c r="N283" s="9"/>
      <c r="O283" s="8"/>
      <c r="P283" s="9"/>
      <c r="Q283" s="9"/>
      <c r="R283" s="8"/>
      <c r="S283" s="866"/>
      <c r="T283" s="867" t="str">
        <f>'$REV-DB'!$T$34</f>
        <v>UD1</v>
      </c>
      <c r="U283" s="867" t="str">
        <f>'$REV-DB'!$U$34</f>
        <v>UD2</v>
      </c>
      <c r="V283" s="867" t="str">
        <f>'$REV-DB'!$V$34</f>
        <v>UD3</v>
      </c>
      <c r="W283" s="867" t="str">
        <f>'$REV-DB'!$W$34</f>
        <v>UD4</v>
      </c>
      <c r="X283" s="867" t="str">
        <f>'$REV-DB'!$X$34</f>
        <v>UD5</v>
      </c>
      <c r="Y283" s="867" t="str">
        <f>'$REV-DB'!$Y$34</f>
        <v>UD6</v>
      </c>
      <c r="Z283" s="867" t="str">
        <f>'$REV-DB'!$Z$34</f>
        <v>UD7</v>
      </c>
      <c r="AA283" s="867" t="str">
        <f>'$REV-DB'!$AA$34</f>
        <v>UD8</v>
      </c>
      <c r="AB283" s="867" t="str">
        <f>'$REV-DB'!$AB$34</f>
        <v>UD9</v>
      </c>
      <c r="AC283" s="867" t="str">
        <f>'$REV-DB'!$AC$34</f>
        <v>UD10</v>
      </c>
      <c r="AD283" s="867" t="str">
        <f>'$REV-DB'!$AD$34</f>
        <v>UD11</v>
      </c>
      <c r="AE283" s="867" t="str">
        <f>'$REV-DB'!$AE$34</f>
        <v>UD12</v>
      </c>
      <c r="AF283" s="867" t="str">
        <f>'$REV-DB'!$AF$34</f>
        <v>UD13</v>
      </c>
      <c r="AG283" s="867" t="str">
        <f>'$REV-DB'!$AG$34</f>
        <v>UD14</v>
      </c>
    </row>
    <row r="284" spans="1:34" s="3" customFormat="1" ht="15.95" customHeight="1" thickTop="1" thickBot="1">
      <c r="A284" s="7"/>
      <c r="B284" s="20" t="s">
        <v>175</v>
      </c>
      <c r="C284" s="15"/>
      <c r="D284" s="861" t="s">
        <v>186</v>
      </c>
      <c r="E284" s="861" t="s">
        <v>187</v>
      </c>
      <c r="F284" s="861" t="s">
        <v>188</v>
      </c>
      <c r="G284" s="861" t="s">
        <v>189</v>
      </c>
      <c r="H284" s="861" t="s">
        <v>11</v>
      </c>
      <c r="I284" s="861" t="s">
        <v>190</v>
      </c>
      <c r="J284" s="861" t="s">
        <v>191</v>
      </c>
      <c r="K284" s="861" t="s">
        <v>192</v>
      </c>
      <c r="L284" s="861" t="s">
        <v>203</v>
      </c>
      <c r="M284" s="861" t="s">
        <v>42</v>
      </c>
      <c r="N284" s="861" t="s">
        <v>148</v>
      </c>
      <c r="O284" s="861" t="s">
        <v>193</v>
      </c>
      <c r="P284" s="861" t="s">
        <v>142</v>
      </c>
      <c r="Q284" s="861" t="s">
        <v>194</v>
      </c>
      <c r="R284" s="112" t="s">
        <v>141</v>
      </c>
      <c r="S284" s="112" t="s">
        <v>672</v>
      </c>
      <c r="T284" s="861" t="s">
        <v>541</v>
      </c>
      <c r="U284" s="861" t="s">
        <v>542</v>
      </c>
      <c r="V284" s="861" t="s">
        <v>543</v>
      </c>
      <c r="W284" s="861" t="s">
        <v>544</v>
      </c>
      <c r="X284" s="861" t="s">
        <v>545</v>
      </c>
      <c r="Y284" s="861" t="s">
        <v>546</v>
      </c>
      <c r="Z284" s="861" t="s">
        <v>547</v>
      </c>
      <c r="AA284" s="861" t="s">
        <v>548</v>
      </c>
      <c r="AB284" s="861" t="s">
        <v>549</v>
      </c>
      <c r="AC284" s="861" t="s">
        <v>550</v>
      </c>
      <c r="AD284" s="861" t="s">
        <v>551</v>
      </c>
      <c r="AE284" s="861" t="s">
        <v>552</v>
      </c>
      <c r="AF284" s="861" t="s">
        <v>553</v>
      </c>
      <c r="AG284" s="861" t="s">
        <v>554</v>
      </c>
      <c r="AH284" s="6"/>
    </row>
    <row r="285" spans="1:34" s="3" customFormat="1" ht="15.95" customHeight="1" thickTop="1">
      <c r="A285" s="7"/>
      <c r="B285" s="19" t="s">
        <v>150</v>
      </c>
      <c r="C285" s="12"/>
      <c r="D285" s="191"/>
      <c r="E285" s="191"/>
      <c r="F285" s="190"/>
      <c r="G285" s="191"/>
      <c r="H285" s="190"/>
      <c r="I285" s="190"/>
      <c r="J285" s="191"/>
      <c r="K285" s="191"/>
      <c r="L285" s="283" t="s">
        <v>34</v>
      </c>
      <c r="M285" s="190"/>
      <c r="N285" s="38" t="str">
        <f>J$6</f>
        <v>FY2010-11</v>
      </c>
      <c r="O285" s="38" t="s">
        <v>152</v>
      </c>
      <c r="P285" s="38" t="s">
        <v>147</v>
      </c>
      <c r="Q285" s="38" t="s">
        <v>140</v>
      </c>
      <c r="R285" s="191"/>
      <c r="S285" s="190" t="s">
        <v>611</v>
      </c>
      <c r="T285" s="191"/>
      <c r="U285" s="191"/>
      <c r="V285" s="192"/>
      <c r="W285" s="192"/>
      <c r="X285" s="192"/>
      <c r="Y285" s="192"/>
      <c r="Z285" s="192"/>
      <c r="AA285" s="192"/>
      <c r="AB285" s="192"/>
      <c r="AC285" s="192"/>
      <c r="AD285" s="192"/>
      <c r="AE285" s="192"/>
      <c r="AF285" s="192"/>
      <c r="AG285" s="192"/>
      <c r="AH285" s="6"/>
    </row>
    <row r="286" spans="1:34" s="3" customFormat="1" ht="15.95" customHeight="1">
      <c r="A286" s="7"/>
      <c r="B286" s="16">
        <f>DSUM('$REV-DB'!D35:AG67,"AMOUNT",D284:AG285)</f>
        <v>0</v>
      </c>
      <c r="C286" s="12"/>
      <c r="D286" s="880"/>
      <c r="E286" s="880"/>
      <c r="F286" s="880"/>
      <c r="G286" s="880"/>
      <c r="H286" s="880"/>
      <c r="I286" s="880"/>
      <c r="J286" s="880"/>
      <c r="K286" s="880"/>
      <c r="L286" s="881"/>
      <c r="M286" s="880"/>
      <c r="N286" s="873"/>
      <c r="O286" s="880"/>
      <c r="P286" s="873"/>
      <c r="Q286" s="884"/>
      <c r="R286" s="880"/>
      <c r="S286" s="880"/>
      <c r="T286" s="882"/>
      <c r="U286" s="882"/>
      <c r="V286" s="883"/>
      <c r="W286" s="883"/>
      <c r="X286" s="883"/>
      <c r="Y286" s="883"/>
      <c r="Z286" s="883"/>
      <c r="AA286" s="883"/>
      <c r="AB286" s="883"/>
      <c r="AC286" s="883"/>
      <c r="AD286" s="883"/>
      <c r="AE286" s="883"/>
      <c r="AF286" s="883"/>
      <c r="AG286" s="883"/>
      <c r="AH286" s="6"/>
    </row>
    <row r="287" spans="1:34" s="3" customFormat="1" ht="15.95" customHeight="1">
      <c r="A287" s="7"/>
      <c r="B287" s="10"/>
      <c r="C287" s="12"/>
      <c r="D287" s="880"/>
      <c r="E287" s="880"/>
      <c r="F287" s="880"/>
      <c r="G287" s="880"/>
      <c r="H287" s="880"/>
      <c r="I287" s="880"/>
      <c r="J287" s="880"/>
      <c r="K287" s="880"/>
      <c r="L287" s="881"/>
      <c r="M287" s="880"/>
      <c r="N287" s="873"/>
      <c r="O287" s="880"/>
      <c r="P287" s="873"/>
      <c r="Q287" s="884"/>
      <c r="R287" s="880"/>
      <c r="S287" s="880"/>
      <c r="T287" s="882"/>
      <c r="U287" s="882"/>
      <c r="V287" s="883"/>
      <c r="W287" s="883"/>
      <c r="X287" s="883"/>
      <c r="Y287" s="883"/>
      <c r="Z287" s="883"/>
      <c r="AA287" s="883"/>
      <c r="AB287" s="883"/>
      <c r="AC287" s="883"/>
      <c r="AD287" s="883"/>
      <c r="AE287" s="883"/>
      <c r="AF287" s="883"/>
      <c r="AG287" s="883"/>
    </row>
    <row r="288" spans="1:34" s="3" customFormat="1" ht="15.95" customHeight="1">
      <c r="A288" s="7"/>
      <c r="B288" s="10"/>
      <c r="C288" s="12"/>
      <c r="D288" s="880"/>
      <c r="E288" s="880"/>
      <c r="F288" s="880"/>
      <c r="G288" s="880"/>
      <c r="H288" s="880"/>
      <c r="I288" s="880"/>
      <c r="J288" s="880"/>
      <c r="K288" s="880"/>
      <c r="L288" s="881"/>
      <c r="M288" s="880"/>
      <c r="N288" s="873"/>
      <c r="O288" s="880"/>
      <c r="P288" s="873"/>
      <c r="Q288" s="884"/>
      <c r="R288" s="880"/>
      <c r="S288" s="880"/>
      <c r="T288" s="882"/>
      <c r="U288" s="882"/>
      <c r="V288" s="883"/>
      <c r="W288" s="883"/>
      <c r="X288" s="883"/>
      <c r="Y288" s="883"/>
      <c r="Z288" s="883"/>
      <c r="AA288" s="883"/>
      <c r="AB288" s="883"/>
      <c r="AC288" s="883"/>
      <c r="AD288" s="883"/>
      <c r="AE288" s="883"/>
      <c r="AF288" s="883"/>
      <c r="AG288" s="883"/>
    </row>
    <row r="289" spans="1:34" s="3" customFormat="1" ht="15.95" customHeight="1">
      <c r="A289" s="7"/>
      <c r="B289" s="10"/>
      <c r="C289" s="12"/>
      <c r="D289" s="880"/>
      <c r="E289" s="880"/>
      <c r="F289" s="880"/>
      <c r="G289" s="880"/>
      <c r="H289" s="880"/>
      <c r="I289" s="880"/>
      <c r="J289" s="880"/>
      <c r="K289" s="880"/>
      <c r="L289" s="881"/>
      <c r="M289" s="880"/>
      <c r="N289" s="873"/>
      <c r="O289" s="880"/>
      <c r="P289" s="873"/>
      <c r="Q289" s="884"/>
      <c r="R289" s="880"/>
      <c r="S289" s="880"/>
      <c r="T289" s="882"/>
      <c r="U289" s="882"/>
      <c r="V289" s="883"/>
      <c r="W289" s="883"/>
      <c r="X289" s="883"/>
      <c r="Y289" s="883"/>
      <c r="Z289" s="883"/>
      <c r="AA289" s="883"/>
      <c r="AB289" s="883"/>
      <c r="AC289" s="883"/>
      <c r="AD289" s="883"/>
      <c r="AE289" s="883"/>
      <c r="AF289" s="883"/>
      <c r="AG289" s="883"/>
    </row>
    <row r="290" spans="1:34" s="3" customFormat="1" ht="15.95" customHeight="1">
      <c r="A290" s="7"/>
      <c r="B290" s="10"/>
      <c r="C290" s="12"/>
      <c r="D290" s="880"/>
      <c r="E290" s="880"/>
      <c r="F290" s="880"/>
      <c r="G290" s="880"/>
      <c r="H290" s="880"/>
      <c r="I290" s="880"/>
      <c r="J290" s="880"/>
      <c r="K290" s="880"/>
      <c r="L290" s="881"/>
      <c r="M290" s="880"/>
      <c r="N290" s="873"/>
      <c r="O290" s="880"/>
      <c r="P290" s="873"/>
      <c r="Q290" s="884"/>
      <c r="R290" s="880"/>
      <c r="S290" s="880"/>
      <c r="T290" s="882"/>
      <c r="U290" s="882"/>
      <c r="V290" s="883"/>
      <c r="W290" s="883"/>
      <c r="X290" s="883"/>
      <c r="Y290" s="883"/>
      <c r="Z290" s="883"/>
      <c r="AA290" s="883"/>
      <c r="AB290" s="883"/>
      <c r="AC290" s="883"/>
      <c r="AD290" s="883"/>
      <c r="AE290" s="883"/>
      <c r="AF290" s="883"/>
      <c r="AG290" s="883"/>
    </row>
    <row r="291" spans="1:34" s="3" customFormat="1" ht="15.95" customHeight="1">
      <c r="A291" s="7"/>
      <c r="B291" s="10"/>
      <c r="C291" s="12"/>
      <c r="D291" s="880"/>
      <c r="E291" s="880"/>
      <c r="F291" s="880"/>
      <c r="G291" s="880"/>
      <c r="H291" s="880"/>
      <c r="I291" s="880"/>
      <c r="J291" s="880"/>
      <c r="K291" s="880"/>
      <c r="L291" s="881"/>
      <c r="M291" s="880"/>
      <c r="N291" s="873"/>
      <c r="O291" s="880"/>
      <c r="P291" s="873"/>
      <c r="Q291" s="884"/>
      <c r="R291" s="880"/>
      <c r="S291" s="880"/>
      <c r="T291" s="882"/>
      <c r="U291" s="882"/>
      <c r="V291" s="883"/>
      <c r="W291" s="883"/>
      <c r="X291" s="883"/>
      <c r="Y291" s="883"/>
      <c r="Z291" s="883"/>
      <c r="AA291" s="883"/>
      <c r="AB291" s="883"/>
      <c r="AC291" s="883"/>
      <c r="AD291" s="883"/>
      <c r="AE291" s="883"/>
      <c r="AF291" s="883"/>
      <c r="AG291" s="883"/>
    </row>
    <row r="292" spans="1:34" s="3" customFormat="1" ht="15.95" customHeight="1">
      <c r="A292" s="29"/>
      <c r="B292" s="30"/>
      <c r="C292" s="30"/>
      <c r="D292" s="31"/>
      <c r="E292" s="31"/>
      <c r="F292" s="32"/>
      <c r="G292" s="31"/>
      <c r="H292" s="32"/>
      <c r="I292" s="32"/>
      <c r="J292" s="31"/>
      <c r="K292" s="31"/>
      <c r="L292" s="284"/>
      <c r="M292" s="32"/>
      <c r="N292" s="32"/>
      <c r="O292" s="31"/>
      <c r="P292" s="32"/>
      <c r="Q292" s="32"/>
      <c r="R292" s="31"/>
      <c r="S292" s="32"/>
      <c r="T292" s="31"/>
      <c r="U292" s="31"/>
      <c r="V292" s="29"/>
      <c r="W292" s="29"/>
      <c r="X292" s="29"/>
      <c r="Y292" s="29"/>
      <c r="Z292" s="29"/>
      <c r="AA292" s="29"/>
      <c r="AB292" s="29"/>
      <c r="AC292" s="29"/>
      <c r="AD292" s="29"/>
      <c r="AE292" s="29"/>
      <c r="AF292" s="29"/>
      <c r="AG292" s="29"/>
    </row>
    <row r="293" spans="1:34" s="3" customFormat="1" ht="15.95" customHeight="1" thickBot="1">
      <c r="A293" s="7"/>
      <c r="B293" s="19" t="str">
        <f>"FA2 = "&amp;'FIG3'!$W$53&amp;" "&amp;'FIG3'!$X$53</f>
        <v>FA2 = Atlanta Public Schools</v>
      </c>
      <c r="C293" s="7"/>
      <c r="D293" s="17"/>
      <c r="E293" s="17"/>
      <c r="F293" s="18"/>
      <c r="G293" s="17"/>
      <c r="H293" s="18"/>
      <c r="I293" s="18"/>
      <c r="J293" s="17"/>
      <c r="K293" s="17"/>
      <c r="L293" s="281"/>
      <c r="M293" s="18"/>
      <c r="N293" s="9"/>
      <c r="O293" s="17"/>
      <c r="P293" s="18"/>
      <c r="Q293" s="18"/>
      <c r="R293" s="17"/>
      <c r="S293" s="866"/>
      <c r="T293" s="867" t="str">
        <f>'$REV-DB'!$T$34</f>
        <v>UD1</v>
      </c>
      <c r="U293" s="867" t="str">
        <f>'$REV-DB'!$U$34</f>
        <v>UD2</v>
      </c>
      <c r="V293" s="867" t="str">
        <f>'$REV-DB'!$V$34</f>
        <v>UD3</v>
      </c>
      <c r="W293" s="867" t="str">
        <f>'$REV-DB'!$W$34</f>
        <v>UD4</v>
      </c>
      <c r="X293" s="867" t="str">
        <f>'$REV-DB'!$X$34</f>
        <v>UD5</v>
      </c>
      <c r="Y293" s="867" t="str">
        <f>'$REV-DB'!$Y$34</f>
        <v>UD6</v>
      </c>
      <c r="Z293" s="867" t="str">
        <f>'$REV-DB'!$Z$34</f>
        <v>UD7</v>
      </c>
      <c r="AA293" s="867" t="str">
        <f>'$REV-DB'!$AA$34</f>
        <v>UD8</v>
      </c>
      <c r="AB293" s="867" t="str">
        <f>'$REV-DB'!$AB$34</f>
        <v>UD9</v>
      </c>
      <c r="AC293" s="867" t="str">
        <f>'$REV-DB'!$AC$34</f>
        <v>UD10</v>
      </c>
      <c r="AD293" s="867" t="str">
        <f>'$REV-DB'!$AD$34</f>
        <v>UD11</v>
      </c>
      <c r="AE293" s="867" t="str">
        <f>'$REV-DB'!$AE$34</f>
        <v>UD12</v>
      </c>
      <c r="AF293" s="867" t="str">
        <f>'$REV-DB'!$AF$34</f>
        <v>UD13</v>
      </c>
      <c r="AG293" s="867" t="str">
        <f>'$REV-DB'!$AG$34</f>
        <v>UD14</v>
      </c>
    </row>
    <row r="294" spans="1:34" s="3" customFormat="1" ht="15.95" customHeight="1" thickTop="1" thickBot="1">
      <c r="A294" s="7"/>
      <c r="B294" s="20" t="s">
        <v>4</v>
      </c>
      <c r="C294" s="15"/>
      <c r="D294" s="861" t="s">
        <v>186</v>
      </c>
      <c r="E294" s="861" t="s">
        <v>187</v>
      </c>
      <c r="F294" s="861" t="s">
        <v>188</v>
      </c>
      <c r="G294" s="861" t="s">
        <v>189</v>
      </c>
      <c r="H294" s="861" t="s">
        <v>11</v>
      </c>
      <c r="I294" s="861" t="s">
        <v>190</v>
      </c>
      <c r="J294" s="861" t="s">
        <v>191</v>
      </c>
      <c r="K294" s="861" t="s">
        <v>192</v>
      </c>
      <c r="L294" s="861" t="s">
        <v>203</v>
      </c>
      <c r="M294" s="861" t="s">
        <v>42</v>
      </c>
      <c r="N294" s="861" t="s">
        <v>148</v>
      </c>
      <c r="O294" s="861" t="s">
        <v>193</v>
      </c>
      <c r="P294" s="861" t="s">
        <v>142</v>
      </c>
      <c r="Q294" s="861" t="s">
        <v>194</v>
      </c>
      <c r="R294" s="112" t="s">
        <v>141</v>
      </c>
      <c r="S294" s="112" t="s">
        <v>672</v>
      </c>
      <c r="T294" s="861" t="s">
        <v>541</v>
      </c>
      <c r="U294" s="861" t="s">
        <v>542</v>
      </c>
      <c r="V294" s="861" t="s">
        <v>543</v>
      </c>
      <c r="W294" s="861" t="s">
        <v>544</v>
      </c>
      <c r="X294" s="861" t="s">
        <v>545</v>
      </c>
      <c r="Y294" s="861" t="s">
        <v>546</v>
      </c>
      <c r="Z294" s="861" t="s">
        <v>547</v>
      </c>
      <c r="AA294" s="861" t="s">
        <v>548</v>
      </c>
      <c r="AB294" s="861" t="s">
        <v>549</v>
      </c>
      <c r="AC294" s="861" t="s">
        <v>550</v>
      </c>
      <c r="AD294" s="861" t="s">
        <v>551</v>
      </c>
      <c r="AE294" s="861" t="s">
        <v>552</v>
      </c>
      <c r="AF294" s="861" t="s">
        <v>553</v>
      </c>
      <c r="AG294" s="861" t="s">
        <v>554</v>
      </c>
      <c r="AH294" s="6"/>
    </row>
    <row r="295" spans="1:34" s="3" customFormat="1" ht="15.95" customHeight="1" thickTop="1">
      <c r="A295" s="7"/>
      <c r="B295" s="19" t="s">
        <v>146</v>
      </c>
      <c r="C295" s="12"/>
      <c r="D295" s="193"/>
      <c r="E295" s="193"/>
      <c r="F295" s="193"/>
      <c r="G295" s="193"/>
      <c r="H295" s="193"/>
      <c r="I295" s="193"/>
      <c r="J295" s="193"/>
      <c r="K295" s="193"/>
      <c r="L295" s="285" t="s">
        <v>34</v>
      </c>
      <c r="M295" s="193"/>
      <c r="N295" s="47" t="str">
        <f>J$6</f>
        <v>FY2010-11</v>
      </c>
      <c r="O295" s="47" t="s">
        <v>153</v>
      </c>
      <c r="P295" s="47" t="s">
        <v>138</v>
      </c>
      <c r="Q295" s="193"/>
      <c r="R295" s="193"/>
      <c r="S295" s="193"/>
      <c r="T295" s="194"/>
      <c r="U295" s="194"/>
      <c r="V295" s="195"/>
      <c r="W295" s="195"/>
      <c r="X295" s="195"/>
      <c r="Y295" s="195"/>
      <c r="Z295" s="195"/>
      <c r="AA295" s="195"/>
      <c r="AB295" s="195"/>
      <c r="AC295" s="195"/>
      <c r="AD295" s="195"/>
      <c r="AE295" s="195"/>
      <c r="AF295" s="195"/>
      <c r="AG295" s="195"/>
      <c r="AH295" s="6"/>
    </row>
    <row r="296" spans="1:34" s="3" customFormat="1" ht="15.95" customHeight="1">
      <c r="A296" s="7"/>
      <c r="B296" s="16">
        <f>DSUM('$REV-DB'!D35:AG67,"AMOUNT",D294:AG296)</f>
        <v>849143389.51999998</v>
      </c>
      <c r="C296" s="12"/>
      <c r="D296" s="193"/>
      <c r="E296" s="193"/>
      <c r="F296" s="193"/>
      <c r="G296" s="193"/>
      <c r="H296" s="193"/>
      <c r="I296" s="193"/>
      <c r="J296" s="193"/>
      <c r="K296" s="193"/>
      <c r="L296" s="285" t="s">
        <v>34</v>
      </c>
      <c r="M296" s="193"/>
      <c r="N296" s="47" t="str">
        <f>J$6</f>
        <v>FY2010-11</v>
      </c>
      <c r="O296" s="47" t="s">
        <v>153</v>
      </c>
      <c r="P296" s="47" t="s">
        <v>147</v>
      </c>
      <c r="Q296" s="193"/>
      <c r="R296" s="193"/>
      <c r="S296" s="193" t="s">
        <v>103</v>
      </c>
      <c r="T296" s="194"/>
      <c r="U296" s="194"/>
      <c r="V296" s="195"/>
      <c r="W296" s="195"/>
      <c r="X296" s="195"/>
      <c r="Y296" s="195"/>
      <c r="Z296" s="195"/>
      <c r="AA296" s="195"/>
      <c r="AB296" s="195"/>
      <c r="AC296" s="195"/>
      <c r="AD296" s="195"/>
      <c r="AE296" s="195"/>
      <c r="AF296" s="195"/>
      <c r="AG296" s="195"/>
      <c r="AH296" s="6"/>
    </row>
    <row r="297" spans="1:34" s="3" customFormat="1" ht="15.95" customHeight="1">
      <c r="A297" s="7"/>
      <c r="B297" s="10"/>
      <c r="C297" s="12"/>
      <c r="D297" s="880"/>
      <c r="E297" s="880"/>
      <c r="F297" s="880"/>
      <c r="G297" s="880"/>
      <c r="H297" s="880"/>
      <c r="I297" s="880"/>
      <c r="J297" s="880"/>
      <c r="K297" s="880"/>
      <c r="L297" s="881"/>
      <c r="M297" s="880"/>
      <c r="N297" s="873"/>
      <c r="O297" s="873"/>
      <c r="P297" s="873"/>
      <c r="Q297" s="880"/>
      <c r="R297" s="880"/>
      <c r="S297" s="880"/>
      <c r="T297" s="882"/>
      <c r="U297" s="882"/>
      <c r="V297" s="883"/>
      <c r="W297" s="883"/>
      <c r="X297" s="883"/>
      <c r="Y297" s="883"/>
      <c r="Z297" s="883"/>
      <c r="AA297" s="883"/>
      <c r="AB297" s="883"/>
      <c r="AC297" s="883"/>
      <c r="AD297" s="883"/>
      <c r="AE297" s="883"/>
      <c r="AF297" s="883"/>
      <c r="AG297" s="883"/>
    </row>
    <row r="298" spans="1:34" s="3" customFormat="1" ht="15.95" customHeight="1">
      <c r="A298" s="7"/>
      <c r="B298" s="10"/>
      <c r="C298" s="12"/>
      <c r="D298" s="880"/>
      <c r="E298" s="880"/>
      <c r="F298" s="880"/>
      <c r="G298" s="880"/>
      <c r="H298" s="880"/>
      <c r="I298" s="880"/>
      <c r="J298" s="880"/>
      <c r="K298" s="880"/>
      <c r="L298" s="881"/>
      <c r="M298" s="880"/>
      <c r="N298" s="873"/>
      <c r="O298" s="873"/>
      <c r="P298" s="873"/>
      <c r="Q298" s="880"/>
      <c r="R298" s="880"/>
      <c r="S298" s="880"/>
      <c r="T298" s="882"/>
      <c r="U298" s="882"/>
      <c r="V298" s="883"/>
      <c r="W298" s="883"/>
      <c r="X298" s="883"/>
      <c r="Y298" s="883"/>
      <c r="Z298" s="883"/>
      <c r="AA298" s="883"/>
      <c r="AB298" s="883"/>
      <c r="AC298" s="883"/>
      <c r="AD298" s="883"/>
      <c r="AE298" s="883"/>
      <c r="AF298" s="883"/>
      <c r="AG298" s="883"/>
    </row>
    <row r="299" spans="1:34" s="3" customFormat="1" ht="15.95" customHeight="1">
      <c r="A299" s="7"/>
      <c r="B299" s="10"/>
      <c r="C299" s="12"/>
      <c r="D299" s="880"/>
      <c r="E299" s="880"/>
      <c r="F299" s="880"/>
      <c r="G299" s="880"/>
      <c r="H299" s="880"/>
      <c r="I299" s="880"/>
      <c r="J299" s="880"/>
      <c r="K299" s="880"/>
      <c r="L299" s="881"/>
      <c r="M299" s="880"/>
      <c r="N299" s="873"/>
      <c r="O299" s="873"/>
      <c r="P299" s="873"/>
      <c r="Q299" s="880"/>
      <c r="R299" s="880"/>
      <c r="S299" s="880"/>
      <c r="T299" s="882"/>
      <c r="U299" s="882"/>
      <c r="V299" s="883"/>
      <c r="W299" s="883"/>
      <c r="X299" s="883"/>
      <c r="Y299" s="883"/>
      <c r="Z299" s="883"/>
      <c r="AA299" s="883"/>
      <c r="AB299" s="883"/>
      <c r="AC299" s="883"/>
      <c r="AD299" s="883"/>
      <c r="AE299" s="883"/>
      <c r="AF299" s="883"/>
      <c r="AG299" s="883"/>
    </row>
    <row r="300" spans="1:34" s="3" customFormat="1" ht="15.95" customHeight="1">
      <c r="A300" s="7"/>
      <c r="B300" s="10"/>
      <c r="C300" s="12"/>
      <c r="D300" s="880"/>
      <c r="E300" s="880"/>
      <c r="F300" s="880"/>
      <c r="G300" s="880"/>
      <c r="H300" s="880"/>
      <c r="I300" s="880"/>
      <c r="J300" s="880"/>
      <c r="K300" s="880"/>
      <c r="L300" s="881"/>
      <c r="M300" s="880"/>
      <c r="N300" s="873"/>
      <c r="O300" s="873"/>
      <c r="P300" s="873"/>
      <c r="Q300" s="880"/>
      <c r="R300" s="880"/>
      <c r="S300" s="880"/>
      <c r="T300" s="882"/>
      <c r="U300" s="882"/>
      <c r="V300" s="883"/>
      <c r="W300" s="883"/>
      <c r="X300" s="883"/>
      <c r="Y300" s="883"/>
      <c r="Z300" s="883"/>
      <c r="AA300" s="883"/>
      <c r="AB300" s="883"/>
      <c r="AC300" s="883"/>
      <c r="AD300" s="883"/>
      <c r="AE300" s="883"/>
      <c r="AF300" s="883"/>
      <c r="AG300" s="883"/>
    </row>
    <row r="301" spans="1:34" s="3" customFormat="1" ht="15.95" customHeight="1">
      <c r="A301" s="7"/>
      <c r="B301" s="10"/>
      <c r="C301" s="12"/>
      <c r="D301" s="880"/>
      <c r="E301" s="880"/>
      <c r="F301" s="880"/>
      <c r="G301" s="880"/>
      <c r="H301" s="880"/>
      <c r="I301" s="880"/>
      <c r="J301" s="880"/>
      <c r="K301" s="880"/>
      <c r="L301" s="881"/>
      <c r="M301" s="880"/>
      <c r="N301" s="873"/>
      <c r="O301" s="873"/>
      <c r="P301" s="873"/>
      <c r="Q301" s="880"/>
      <c r="R301" s="880"/>
      <c r="S301" s="880"/>
      <c r="T301" s="882"/>
      <c r="U301" s="882"/>
      <c r="V301" s="883"/>
      <c r="W301" s="883"/>
      <c r="X301" s="883"/>
      <c r="Y301" s="883"/>
      <c r="Z301" s="883"/>
      <c r="AA301" s="883"/>
      <c r="AB301" s="883"/>
      <c r="AC301" s="883"/>
      <c r="AD301" s="883"/>
      <c r="AE301" s="883"/>
      <c r="AF301" s="883"/>
      <c r="AG301" s="883"/>
    </row>
    <row r="302" spans="1:34" s="3" customFormat="1" ht="15.95" customHeight="1">
      <c r="A302" s="29"/>
      <c r="B302" s="30"/>
      <c r="C302" s="30"/>
      <c r="D302" s="31"/>
      <c r="E302" s="31"/>
      <c r="F302" s="32"/>
      <c r="G302" s="31"/>
      <c r="H302" s="32"/>
      <c r="I302" s="32"/>
      <c r="J302" s="31"/>
      <c r="K302" s="31"/>
      <c r="L302" s="284"/>
      <c r="M302" s="32"/>
      <c r="N302" s="32"/>
      <c r="O302" s="31"/>
      <c r="P302" s="32"/>
      <c r="Q302" s="32"/>
      <c r="R302" s="31"/>
      <c r="S302" s="32"/>
      <c r="T302" s="31"/>
      <c r="U302" s="31"/>
      <c r="V302" s="29"/>
      <c r="W302" s="29"/>
      <c r="X302" s="29"/>
      <c r="Y302" s="29"/>
      <c r="Z302" s="29"/>
      <c r="AA302" s="29"/>
      <c r="AB302" s="29"/>
      <c r="AC302" s="29"/>
      <c r="AD302" s="29"/>
      <c r="AE302" s="29"/>
      <c r="AF302" s="29"/>
      <c r="AG302" s="29"/>
    </row>
    <row r="303" spans="1:34" s="3" customFormat="1" ht="15.95" customHeight="1" thickBot="1">
      <c r="A303" s="7"/>
      <c r="B303" s="19" t="str">
        <f>"FA2 = "&amp;'FIG3'!$W$53&amp;" "&amp;'FIG3'!$X$53</f>
        <v>FA2 = Atlanta Public Schools</v>
      </c>
      <c r="C303" s="7"/>
      <c r="D303" s="8"/>
      <c r="E303" s="8"/>
      <c r="F303" s="9"/>
      <c r="G303" s="8"/>
      <c r="H303" s="9"/>
      <c r="I303" s="9"/>
      <c r="J303" s="8"/>
      <c r="K303" s="8"/>
      <c r="L303" s="280"/>
      <c r="M303" s="9"/>
      <c r="N303" s="9"/>
      <c r="O303" s="8"/>
      <c r="P303" s="9"/>
      <c r="Q303" s="9"/>
      <c r="R303" s="8"/>
      <c r="S303" s="866"/>
      <c r="T303" s="867" t="str">
        <f>'$REV-DB'!$T$34</f>
        <v>UD1</v>
      </c>
      <c r="U303" s="867" t="str">
        <f>'$REV-DB'!$U$34</f>
        <v>UD2</v>
      </c>
      <c r="V303" s="867" t="str">
        <f>'$REV-DB'!$V$34</f>
        <v>UD3</v>
      </c>
      <c r="W303" s="867" t="str">
        <f>'$REV-DB'!$W$34</f>
        <v>UD4</v>
      </c>
      <c r="X303" s="867" t="str">
        <f>'$REV-DB'!$X$34</f>
        <v>UD5</v>
      </c>
      <c r="Y303" s="867" t="str">
        <f>'$REV-DB'!$Y$34</f>
        <v>UD6</v>
      </c>
      <c r="Z303" s="867" t="str">
        <f>'$REV-DB'!$Z$34</f>
        <v>UD7</v>
      </c>
      <c r="AA303" s="867" t="str">
        <f>'$REV-DB'!$AA$34</f>
        <v>UD8</v>
      </c>
      <c r="AB303" s="867" t="str">
        <f>'$REV-DB'!$AB$34</f>
        <v>UD9</v>
      </c>
      <c r="AC303" s="867" t="str">
        <f>'$REV-DB'!$AC$34</f>
        <v>UD10</v>
      </c>
      <c r="AD303" s="867" t="str">
        <f>'$REV-DB'!$AD$34</f>
        <v>UD11</v>
      </c>
      <c r="AE303" s="867" t="str">
        <f>'$REV-DB'!$AE$34</f>
        <v>UD12</v>
      </c>
      <c r="AF303" s="867" t="str">
        <f>'$REV-DB'!$AF$34</f>
        <v>UD13</v>
      </c>
      <c r="AG303" s="867" t="str">
        <f>'$REV-DB'!$AG$34</f>
        <v>UD14</v>
      </c>
    </row>
    <row r="304" spans="1:34" s="3" customFormat="1" ht="15.95" customHeight="1" thickTop="1" thickBot="1">
      <c r="A304" s="7"/>
      <c r="B304" s="20" t="s">
        <v>4</v>
      </c>
      <c r="C304" s="15"/>
      <c r="D304" s="861" t="s">
        <v>186</v>
      </c>
      <c r="E304" s="861" t="s">
        <v>187</v>
      </c>
      <c r="F304" s="861" t="s">
        <v>188</v>
      </c>
      <c r="G304" s="861" t="s">
        <v>189</v>
      </c>
      <c r="H304" s="861" t="s">
        <v>11</v>
      </c>
      <c r="I304" s="861" t="s">
        <v>190</v>
      </c>
      <c r="J304" s="861" t="s">
        <v>191</v>
      </c>
      <c r="K304" s="861" t="s">
        <v>192</v>
      </c>
      <c r="L304" s="861" t="s">
        <v>203</v>
      </c>
      <c r="M304" s="861" t="s">
        <v>42</v>
      </c>
      <c r="N304" s="861" t="s">
        <v>148</v>
      </c>
      <c r="O304" s="861" t="s">
        <v>193</v>
      </c>
      <c r="P304" s="861" t="s">
        <v>142</v>
      </c>
      <c r="Q304" s="861" t="s">
        <v>194</v>
      </c>
      <c r="R304" s="112" t="s">
        <v>141</v>
      </c>
      <c r="S304" s="112" t="s">
        <v>672</v>
      </c>
      <c r="T304" s="861" t="s">
        <v>541</v>
      </c>
      <c r="U304" s="861" t="s">
        <v>542</v>
      </c>
      <c r="V304" s="861" t="s">
        <v>543</v>
      </c>
      <c r="W304" s="861" t="s">
        <v>544</v>
      </c>
      <c r="X304" s="861" t="s">
        <v>545</v>
      </c>
      <c r="Y304" s="861" t="s">
        <v>546</v>
      </c>
      <c r="Z304" s="861" t="s">
        <v>547</v>
      </c>
      <c r="AA304" s="861" t="s">
        <v>548</v>
      </c>
      <c r="AB304" s="861" t="s">
        <v>549</v>
      </c>
      <c r="AC304" s="861" t="s">
        <v>550</v>
      </c>
      <c r="AD304" s="861" t="s">
        <v>551</v>
      </c>
      <c r="AE304" s="861" t="s">
        <v>552</v>
      </c>
      <c r="AF304" s="861" t="s">
        <v>553</v>
      </c>
      <c r="AG304" s="861" t="s">
        <v>554</v>
      </c>
      <c r="AH304" s="6"/>
    </row>
    <row r="305" spans="1:34" s="3" customFormat="1" ht="15.95" customHeight="1" thickTop="1">
      <c r="A305" s="7"/>
      <c r="B305" s="19" t="s">
        <v>145</v>
      </c>
      <c r="C305" s="12"/>
      <c r="D305" s="194"/>
      <c r="E305" s="194"/>
      <c r="F305" s="193"/>
      <c r="G305" s="194"/>
      <c r="H305" s="193"/>
      <c r="I305" s="193"/>
      <c r="J305" s="194"/>
      <c r="K305" s="194"/>
      <c r="L305" s="285" t="s">
        <v>34</v>
      </c>
      <c r="M305" s="193"/>
      <c r="N305" s="47" t="str">
        <f>J$6</f>
        <v>FY2010-11</v>
      </c>
      <c r="O305" s="47" t="s">
        <v>153</v>
      </c>
      <c r="P305" s="47" t="s">
        <v>138</v>
      </c>
      <c r="Q305" s="47" t="s">
        <v>180</v>
      </c>
      <c r="R305" s="194"/>
      <c r="S305" s="193"/>
      <c r="T305" s="194"/>
      <c r="U305" s="194"/>
      <c r="V305" s="195"/>
      <c r="W305" s="195"/>
      <c r="X305" s="195"/>
      <c r="Y305" s="195"/>
      <c r="Z305" s="195"/>
      <c r="AA305" s="195"/>
      <c r="AB305" s="195"/>
      <c r="AC305" s="195"/>
      <c r="AD305" s="195"/>
      <c r="AE305" s="195"/>
      <c r="AF305" s="195"/>
      <c r="AG305" s="195"/>
      <c r="AH305" s="6"/>
    </row>
    <row r="306" spans="1:34" s="3" customFormat="1" ht="15.95" customHeight="1">
      <c r="A306" s="7"/>
      <c r="B306" s="16">
        <f>DSUM('$REV-DB'!D35:AG67,"AMOUNT",D304:AG306)</f>
        <v>102172098.02000001</v>
      </c>
      <c r="C306" s="12"/>
      <c r="D306" s="194"/>
      <c r="E306" s="194"/>
      <c r="F306" s="193"/>
      <c r="G306" s="194"/>
      <c r="H306" s="193"/>
      <c r="I306" s="193"/>
      <c r="J306" s="194"/>
      <c r="K306" s="194"/>
      <c r="L306" s="285" t="s">
        <v>34</v>
      </c>
      <c r="M306" s="193"/>
      <c r="N306" s="47" t="str">
        <f>J$6</f>
        <v>FY2010-11</v>
      </c>
      <c r="O306" s="47" t="s">
        <v>153</v>
      </c>
      <c r="P306" s="47" t="s">
        <v>147</v>
      </c>
      <c r="Q306" s="47" t="s">
        <v>180</v>
      </c>
      <c r="R306" s="194"/>
      <c r="S306" s="193" t="s">
        <v>103</v>
      </c>
      <c r="T306" s="194"/>
      <c r="U306" s="194"/>
      <c r="V306" s="195"/>
      <c r="W306" s="195"/>
      <c r="X306" s="195"/>
      <c r="Y306" s="195"/>
      <c r="Z306" s="195"/>
      <c r="AA306" s="195"/>
      <c r="AB306" s="195"/>
      <c r="AC306" s="195"/>
      <c r="AD306" s="195"/>
      <c r="AE306" s="195"/>
      <c r="AF306" s="195"/>
      <c r="AG306" s="195"/>
      <c r="AH306" s="6"/>
    </row>
    <row r="307" spans="1:34" s="3" customFormat="1" ht="15.95" customHeight="1">
      <c r="A307" s="7"/>
      <c r="B307" s="10"/>
      <c r="C307" s="12"/>
      <c r="D307" s="880"/>
      <c r="E307" s="880"/>
      <c r="F307" s="880"/>
      <c r="G307" s="880"/>
      <c r="H307" s="880"/>
      <c r="I307" s="880"/>
      <c r="J307" s="880"/>
      <c r="K307" s="880"/>
      <c r="L307" s="881"/>
      <c r="M307" s="880"/>
      <c r="N307" s="873"/>
      <c r="O307" s="873"/>
      <c r="P307" s="873"/>
      <c r="Q307" s="880"/>
      <c r="R307" s="880"/>
      <c r="S307" s="880"/>
      <c r="T307" s="882"/>
      <c r="U307" s="882"/>
      <c r="V307" s="883"/>
      <c r="W307" s="883"/>
      <c r="X307" s="883"/>
      <c r="Y307" s="883"/>
      <c r="Z307" s="883"/>
      <c r="AA307" s="883"/>
      <c r="AB307" s="883"/>
      <c r="AC307" s="883"/>
      <c r="AD307" s="883"/>
      <c r="AE307" s="883"/>
      <c r="AF307" s="883"/>
      <c r="AG307" s="883"/>
    </row>
    <row r="308" spans="1:34" s="3" customFormat="1" ht="15.95" customHeight="1">
      <c r="A308" s="7"/>
      <c r="B308" s="10"/>
      <c r="C308" s="12"/>
      <c r="D308" s="880"/>
      <c r="E308" s="880"/>
      <c r="F308" s="880"/>
      <c r="G308" s="880"/>
      <c r="H308" s="880"/>
      <c r="I308" s="880"/>
      <c r="J308" s="880"/>
      <c r="K308" s="880"/>
      <c r="L308" s="881"/>
      <c r="M308" s="880"/>
      <c r="N308" s="873"/>
      <c r="O308" s="873"/>
      <c r="P308" s="873"/>
      <c r="Q308" s="880"/>
      <c r="R308" s="880"/>
      <c r="S308" s="880"/>
      <c r="T308" s="882"/>
      <c r="U308" s="882"/>
      <c r="V308" s="883"/>
      <c r="W308" s="883"/>
      <c r="X308" s="883"/>
      <c r="Y308" s="883"/>
      <c r="Z308" s="883"/>
      <c r="AA308" s="883"/>
      <c r="AB308" s="883"/>
      <c r="AC308" s="883"/>
      <c r="AD308" s="883"/>
      <c r="AE308" s="883"/>
      <c r="AF308" s="883"/>
      <c r="AG308" s="883"/>
    </row>
    <row r="309" spans="1:34" s="3" customFormat="1" ht="15.95" customHeight="1">
      <c r="A309" s="7"/>
      <c r="B309" s="10"/>
      <c r="C309" s="12"/>
      <c r="D309" s="880"/>
      <c r="E309" s="880"/>
      <c r="F309" s="880"/>
      <c r="G309" s="880"/>
      <c r="H309" s="880"/>
      <c r="I309" s="880"/>
      <c r="J309" s="880"/>
      <c r="K309" s="880"/>
      <c r="L309" s="881"/>
      <c r="M309" s="880"/>
      <c r="N309" s="873"/>
      <c r="O309" s="873"/>
      <c r="P309" s="873"/>
      <c r="Q309" s="880"/>
      <c r="R309" s="880"/>
      <c r="S309" s="880"/>
      <c r="T309" s="882"/>
      <c r="U309" s="882"/>
      <c r="V309" s="883"/>
      <c r="W309" s="883"/>
      <c r="X309" s="883"/>
      <c r="Y309" s="883"/>
      <c r="Z309" s="883"/>
      <c r="AA309" s="883"/>
      <c r="AB309" s="883"/>
      <c r="AC309" s="883"/>
      <c r="AD309" s="883"/>
      <c r="AE309" s="883"/>
      <c r="AF309" s="883"/>
      <c r="AG309" s="883"/>
    </row>
    <row r="310" spans="1:34" s="3" customFormat="1" ht="15.95" customHeight="1">
      <c r="A310" s="7"/>
      <c r="B310" s="10"/>
      <c r="C310" s="12"/>
      <c r="D310" s="880"/>
      <c r="E310" s="880"/>
      <c r="F310" s="880"/>
      <c r="G310" s="880"/>
      <c r="H310" s="880"/>
      <c r="I310" s="880"/>
      <c r="J310" s="880"/>
      <c r="K310" s="880"/>
      <c r="L310" s="881"/>
      <c r="M310" s="880"/>
      <c r="N310" s="873"/>
      <c r="O310" s="873"/>
      <c r="P310" s="873"/>
      <c r="Q310" s="880"/>
      <c r="R310" s="880"/>
      <c r="S310" s="880"/>
      <c r="T310" s="882"/>
      <c r="U310" s="882"/>
      <c r="V310" s="883"/>
      <c r="W310" s="883"/>
      <c r="X310" s="883"/>
      <c r="Y310" s="883"/>
      <c r="Z310" s="883"/>
      <c r="AA310" s="883"/>
      <c r="AB310" s="883"/>
      <c r="AC310" s="883"/>
      <c r="AD310" s="883"/>
      <c r="AE310" s="883"/>
      <c r="AF310" s="883"/>
      <c r="AG310" s="883"/>
    </row>
    <row r="311" spans="1:34" s="3" customFormat="1" ht="15.95" customHeight="1">
      <c r="A311" s="7"/>
      <c r="B311" s="10"/>
      <c r="C311" s="12"/>
      <c r="D311" s="880"/>
      <c r="E311" s="880"/>
      <c r="F311" s="880"/>
      <c r="G311" s="880"/>
      <c r="H311" s="880"/>
      <c r="I311" s="880"/>
      <c r="J311" s="880"/>
      <c r="K311" s="880"/>
      <c r="L311" s="881"/>
      <c r="M311" s="880"/>
      <c r="N311" s="873"/>
      <c r="O311" s="873"/>
      <c r="P311" s="873"/>
      <c r="Q311" s="880"/>
      <c r="R311" s="880"/>
      <c r="S311" s="880"/>
      <c r="T311" s="882"/>
      <c r="U311" s="882"/>
      <c r="V311" s="883"/>
      <c r="W311" s="883"/>
      <c r="X311" s="883"/>
      <c r="Y311" s="883"/>
      <c r="Z311" s="883"/>
      <c r="AA311" s="883"/>
      <c r="AB311" s="883"/>
      <c r="AC311" s="883"/>
      <c r="AD311" s="883"/>
      <c r="AE311" s="883"/>
      <c r="AF311" s="883"/>
      <c r="AG311" s="883"/>
    </row>
    <row r="312" spans="1:34" s="3" customFormat="1" ht="15.95" customHeight="1">
      <c r="A312" s="29"/>
      <c r="B312" s="30"/>
      <c r="C312" s="30"/>
      <c r="D312" s="31"/>
      <c r="E312" s="31"/>
      <c r="F312" s="32"/>
      <c r="G312" s="31"/>
      <c r="H312" s="32"/>
      <c r="I312" s="32"/>
      <c r="J312" s="31"/>
      <c r="K312" s="31"/>
      <c r="L312" s="284"/>
      <c r="M312" s="32"/>
      <c r="N312" s="32"/>
      <c r="O312" s="31"/>
      <c r="P312" s="32"/>
      <c r="Q312" s="32"/>
      <c r="R312" s="31"/>
      <c r="S312" s="32"/>
      <c r="T312" s="31"/>
      <c r="U312" s="31"/>
      <c r="V312" s="29"/>
      <c r="W312" s="29"/>
      <c r="X312" s="29"/>
      <c r="Y312" s="29"/>
      <c r="Z312" s="29"/>
      <c r="AA312" s="29"/>
      <c r="AB312" s="29"/>
      <c r="AC312" s="29"/>
      <c r="AD312" s="29"/>
      <c r="AE312" s="29"/>
      <c r="AF312" s="29"/>
      <c r="AG312" s="29"/>
    </row>
    <row r="313" spans="1:34" s="3" customFormat="1" ht="15.95" customHeight="1" thickBot="1">
      <c r="A313" s="7"/>
      <c r="B313" s="19" t="str">
        <f>"FA2 = "&amp;'FIG3'!$W$53&amp;" "&amp;'FIG3'!$X$53</f>
        <v>FA2 = Atlanta Public Schools</v>
      </c>
      <c r="C313" s="7"/>
      <c r="D313" s="8"/>
      <c r="E313" s="8"/>
      <c r="F313" s="9"/>
      <c r="G313" s="8"/>
      <c r="H313" s="9"/>
      <c r="I313" s="9"/>
      <c r="J313" s="8"/>
      <c r="K313" s="8"/>
      <c r="L313" s="280"/>
      <c r="M313" s="9"/>
      <c r="N313" s="9"/>
      <c r="O313" s="8"/>
      <c r="P313" s="9"/>
      <c r="Q313" s="9"/>
      <c r="R313" s="8"/>
      <c r="S313" s="866"/>
      <c r="T313" s="867" t="str">
        <f>'$REV-DB'!$T$34</f>
        <v>UD1</v>
      </c>
      <c r="U313" s="867" t="str">
        <f>'$REV-DB'!$U$34</f>
        <v>UD2</v>
      </c>
      <c r="V313" s="867" t="str">
        <f>'$REV-DB'!$V$34</f>
        <v>UD3</v>
      </c>
      <c r="W313" s="867" t="str">
        <f>'$REV-DB'!$W$34</f>
        <v>UD4</v>
      </c>
      <c r="X313" s="867" t="str">
        <f>'$REV-DB'!$X$34</f>
        <v>UD5</v>
      </c>
      <c r="Y313" s="867" t="str">
        <f>'$REV-DB'!$Y$34</f>
        <v>UD6</v>
      </c>
      <c r="Z313" s="867" t="str">
        <f>'$REV-DB'!$Z$34</f>
        <v>UD7</v>
      </c>
      <c r="AA313" s="867" t="str">
        <f>'$REV-DB'!$AA$34</f>
        <v>UD8</v>
      </c>
      <c r="AB313" s="867" t="str">
        <f>'$REV-DB'!$AB$34</f>
        <v>UD9</v>
      </c>
      <c r="AC313" s="867" t="str">
        <f>'$REV-DB'!$AC$34</f>
        <v>UD10</v>
      </c>
      <c r="AD313" s="867" t="str">
        <f>'$REV-DB'!$AD$34</f>
        <v>UD11</v>
      </c>
      <c r="AE313" s="867" t="str">
        <f>'$REV-DB'!$AE$34</f>
        <v>UD12</v>
      </c>
      <c r="AF313" s="867" t="str">
        <f>'$REV-DB'!$AF$34</f>
        <v>UD13</v>
      </c>
      <c r="AG313" s="867" t="str">
        <f>'$REV-DB'!$AG$34</f>
        <v>UD14</v>
      </c>
    </row>
    <row r="314" spans="1:34" s="3" customFormat="1" ht="15.95" customHeight="1" thickTop="1" thickBot="1">
      <c r="A314" s="7"/>
      <c r="B314" s="20" t="s">
        <v>4</v>
      </c>
      <c r="C314" s="15"/>
      <c r="D314" s="861" t="s">
        <v>186</v>
      </c>
      <c r="E314" s="861" t="s">
        <v>187</v>
      </c>
      <c r="F314" s="861" t="s">
        <v>188</v>
      </c>
      <c r="G314" s="861" t="s">
        <v>189</v>
      </c>
      <c r="H314" s="861" t="s">
        <v>11</v>
      </c>
      <c r="I314" s="861" t="s">
        <v>190</v>
      </c>
      <c r="J314" s="861" t="s">
        <v>191</v>
      </c>
      <c r="K314" s="861" t="s">
        <v>192</v>
      </c>
      <c r="L314" s="861" t="s">
        <v>203</v>
      </c>
      <c r="M314" s="861" t="s">
        <v>42</v>
      </c>
      <c r="N314" s="861" t="s">
        <v>148</v>
      </c>
      <c r="O314" s="861" t="s">
        <v>193</v>
      </c>
      <c r="P314" s="861" t="s">
        <v>142</v>
      </c>
      <c r="Q314" s="861" t="s">
        <v>194</v>
      </c>
      <c r="R314" s="112" t="s">
        <v>141</v>
      </c>
      <c r="S314" s="112" t="s">
        <v>672</v>
      </c>
      <c r="T314" s="861" t="s">
        <v>541</v>
      </c>
      <c r="U314" s="861" t="s">
        <v>542</v>
      </c>
      <c r="V314" s="861" t="s">
        <v>543</v>
      </c>
      <c r="W314" s="861" t="s">
        <v>544</v>
      </c>
      <c r="X314" s="861" t="s">
        <v>545</v>
      </c>
      <c r="Y314" s="861" t="s">
        <v>546</v>
      </c>
      <c r="Z314" s="861" t="s">
        <v>547</v>
      </c>
      <c r="AA314" s="861" t="s">
        <v>548</v>
      </c>
      <c r="AB314" s="861" t="s">
        <v>549</v>
      </c>
      <c r="AC314" s="861" t="s">
        <v>550</v>
      </c>
      <c r="AD314" s="861" t="s">
        <v>551</v>
      </c>
      <c r="AE314" s="861" t="s">
        <v>552</v>
      </c>
      <c r="AF314" s="861" t="s">
        <v>553</v>
      </c>
      <c r="AG314" s="861" t="s">
        <v>554</v>
      </c>
      <c r="AH314" s="6"/>
    </row>
    <row r="315" spans="1:34" s="3" customFormat="1" ht="15.95" customHeight="1" thickTop="1">
      <c r="A315" s="7"/>
      <c r="B315" s="19" t="s">
        <v>144</v>
      </c>
      <c r="C315" s="12"/>
      <c r="D315" s="194"/>
      <c r="E315" s="194"/>
      <c r="F315" s="193"/>
      <c r="G315" s="194"/>
      <c r="H315" s="193"/>
      <c r="I315" s="193"/>
      <c r="J315" s="194"/>
      <c r="K315" s="194"/>
      <c r="L315" s="285" t="s">
        <v>34</v>
      </c>
      <c r="M315" s="193"/>
      <c r="N315" s="47" t="str">
        <f>J$6</f>
        <v>FY2010-11</v>
      </c>
      <c r="O315" s="47" t="s">
        <v>153</v>
      </c>
      <c r="P315" s="47" t="s">
        <v>138</v>
      </c>
      <c r="Q315" s="47" t="s">
        <v>139</v>
      </c>
      <c r="R315" s="194"/>
      <c r="S315" s="193"/>
      <c r="T315" s="194"/>
      <c r="U315" s="194"/>
      <c r="V315" s="195"/>
      <c r="W315" s="195"/>
      <c r="X315" s="195"/>
      <c r="Y315" s="195"/>
      <c r="Z315" s="195"/>
      <c r="AA315" s="195"/>
      <c r="AB315" s="195"/>
      <c r="AC315" s="195"/>
      <c r="AD315" s="195"/>
      <c r="AE315" s="195"/>
      <c r="AF315" s="195"/>
      <c r="AG315" s="195"/>
      <c r="AH315" s="6"/>
    </row>
    <row r="316" spans="1:34" s="3" customFormat="1" ht="15.95" customHeight="1">
      <c r="A316" s="7"/>
      <c r="B316" s="16">
        <f>DSUM('$REV-DB'!D35:AG67,"AMOUNT",D314:AG316)</f>
        <v>113767349.19000001</v>
      </c>
      <c r="C316" s="12"/>
      <c r="D316" s="194"/>
      <c r="E316" s="194"/>
      <c r="F316" s="193"/>
      <c r="G316" s="194"/>
      <c r="H316" s="193"/>
      <c r="I316" s="193"/>
      <c r="J316" s="194"/>
      <c r="K316" s="194"/>
      <c r="L316" s="285" t="s">
        <v>34</v>
      </c>
      <c r="M316" s="193"/>
      <c r="N316" s="47" t="str">
        <f>J$6</f>
        <v>FY2010-11</v>
      </c>
      <c r="O316" s="47" t="s">
        <v>153</v>
      </c>
      <c r="P316" s="47" t="s">
        <v>147</v>
      </c>
      <c r="Q316" s="47" t="s">
        <v>139</v>
      </c>
      <c r="R316" s="194"/>
      <c r="S316" s="193" t="s">
        <v>103</v>
      </c>
      <c r="T316" s="194"/>
      <c r="U316" s="194"/>
      <c r="V316" s="195"/>
      <c r="W316" s="195"/>
      <c r="X316" s="195"/>
      <c r="Y316" s="195"/>
      <c r="Z316" s="195"/>
      <c r="AA316" s="195"/>
      <c r="AB316" s="195"/>
      <c r="AC316" s="195"/>
      <c r="AD316" s="195"/>
      <c r="AE316" s="195"/>
      <c r="AF316" s="195"/>
      <c r="AG316" s="195"/>
      <c r="AH316" s="6"/>
    </row>
    <row r="317" spans="1:34" s="3" customFormat="1" ht="15.95" customHeight="1">
      <c r="A317" s="7"/>
      <c r="B317" s="10"/>
      <c r="C317" s="12"/>
      <c r="D317" s="880"/>
      <c r="E317" s="880"/>
      <c r="F317" s="880"/>
      <c r="G317" s="880"/>
      <c r="H317" s="880"/>
      <c r="I317" s="880"/>
      <c r="J317" s="880"/>
      <c r="K317" s="880"/>
      <c r="L317" s="881"/>
      <c r="M317" s="880"/>
      <c r="N317" s="873"/>
      <c r="O317" s="873"/>
      <c r="P317" s="873"/>
      <c r="Q317" s="880"/>
      <c r="R317" s="880"/>
      <c r="S317" s="880"/>
      <c r="T317" s="882"/>
      <c r="U317" s="882"/>
      <c r="V317" s="883"/>
      <c r="W317" s="883"/>
      <c r="X317" s="883"/>
      <c r="Y317" s="883"/>
      <c r="Z317" s="883"/>
      <c r="AA317" s="883"/>
      <c r="AB317" s="883"/>
      <c r="AC317" s="883"/>
      <c r="AD317" s="883"/>
      <c r="AE317" s="883"/>
      <c r="AF317" s="883"/>
      <c r="AG317" s="883"/>
    </row>
    <row r="318" spans="1:34" s="3" customFormat="1" ht="15.95" customHeight="1">
      <c r="A318" s="7"/>
      <c r="B318" s="10"/>
      <c r="C318" s="12"/>
      <c r="D318" s="880"/>
      <c r="E318" s="880"/>
      <c r="F318" s="880"/>
      <c r="G318" s="880"/>
      <c r="H318" s="880"/>
      <c r="I318" s="880"/>
      <c r="J318" s="880"/>
      <c r="K318" s="880"/>
      <c r="L318" s="881"/>
      <c r="M318" s="880"/>
      <c r="N318" s="873"/>
      <c r="O318" s="873"/>
      <c r="P318" s="873"/>
      <c r="Q318" s="880"/>
      <c r="R318" s="880"/>
      <c r="S318" s="880"/>
      <c r="T318" s="882"/>
      <c r="U318" s="882"/>
      <c r="V318" s="883"/>
      <c r="W318" s="883"/>
      <c r="X318" s="883"/>
      <c r="Y318" s="883"/>
      <c r="Z318" s="883"/>
      <c r="AA318" s="883"/>
      <c r="AB318" s="883"/>
      <c r="AC318" s="883"/>
      <c r="AD318" s="883"/>
      <c r="AE318" s="883"/>
      <c r="AF318" s="883"/>
      <c r="AG318" s="883"/>
    </row>
    <row r="319" spans="1:34" s="3" customFormat="1" ht="15.95" customHeight="1">
      <c r="A319" s="7"/>
      <c r="B319" s="10"/>
      <c r="C319" s="12"/>
      <c r="D319" s="880"/>
      <c r="E319" s="880"/>
      <c r="F319" s="880"/>
      <c r="G319" s="880"/>
      <c r="H319" s="880"/>
      <c r="I319" s="880"/>
      <c r="J319" s="880"/>
      <c r="K319" s="880"/>
      <c r="L319" s="881"/>
      <c r="M319" s="880"/>
      <c r="N319" s="873"/>
      <c r="O319" s="873"/>
      <c r="P319" s="873"/>
      <c r="Q319" s="880"/>
      <c r="R319" s="880"/>
      <c r="S319" s="880"/>
      <c r="T319" s="882"/>
      <c r="U319" s="882"/>
      <c r="V319" s="883"/>
      <c r="W319" s="883"/>
      <c r="X319" s="883"/>
      <c r="Y319" s="883"/>
      <c r="Z319" s="883"/>
      <c r="AA319" s="883"/>
      <c r="AB319" s="883"/>
      <c r="AC319" s="883"/>
      <c r="AD319" s="883"/>
      <c r="AE319" s="883"/>
      <c r="AF319" s="883"/>
      <c r="AG319" s="883"/>
    </row>
    <row r="320" spans="1:34" s="3" customFormat="1" ht="15.95" customHeight="1">
      <c r="A320" s="7"/>
      <c r="B320" s="10"/>
      <c r="C320" s="12"/>
      <c r="D320" s="880"/>
      <c r="E320" s="880"/>
      <c r="F320" s="880"/>
      <c r="G320" s="880"/>
      <c r="H320" s="880"/>
      <c r="I320" s="880"/>
      <c r="J320" s="880"/>
      <c r="K320" s="880"/>
      <c r="L320" s="881"/>
      <c r="M320" s="880"/>
      <c r="N320" s="873"/>
      <c r="O320" s="873"/>
      <c r="P320" s="873"/>
      <c r="Q320" s="880"/>
      <c r="R320" s="880"/>
      <c r="S320" s="880"/>
      <c r="T320" s="882"/>
      <c r="U320" s="882"/>
      <c r="V320" s="883"/>
      <c r="W320" s="883"/>
      <c r="X320" s="883"/>
      <c r="Y320" s="883"/>
      <c r="Z320" s="883"/>
      <c r="AA320" s="883"/>
      <c r="AB320" s="883"/>
      <c r="AC320" s="883"/>
      <c r="AD320" s="883"/>
      <c r="AE320" s="883"/>
      <c r="AF320" s="883"/>
      <c r="AG320" s="883"/>
    </row>
    <row r="321" spans="1:34" s="3" customFormat="1" ht="15.95" customHeight="1">
      <c r="A321" s="7"/>
      <c r="B321" s="10"/>
      <c r="C321" s="12"/>
      <c r="D321" s="880"/>
      <c r="E321" s="880"/>
      <c r="F321" s="880"/>
      <c r="G321" s="880"/>
      <c r="H321" s="880"/>
      <c r="I321" s="880"/>
      <c r="J321" s="880"/>
      <c r="K321" s="880"/>
      <c r="L321" s="881"/>
      <c r="M321" s="880"/>
      <c r="N321" s="873"/>
      <c r="O321" s="873"/>
      <c r="P321" s="873"/>
      <c r="Q321" s="880"/>
      <c r="R321" s="880"/>
      <c r="S321" s="880"/>
      <c r="T321" s="882"/>
      <c r="U321" s="882"/>
      <c r="V321" s="883"/>
      <c r="W321" s="883"/>
      <c r="X321" s="883"/>
      <c r="Y321" s="883"/>
      <c r="Z321" s="883"/>
      <c r="AA321" s="883"/>
      <c r="AB321" s="883"/>
      <c r="AC321" s="883"/>
      <c r="AD321" s="883"/>
      <c r="AE321" s="883"/>
      <c r="AF321" s="883"/>
      <c r="AG321" s="883"/>
    </row>
    <row r="322" spans="1:34" s="3" customFormat="1" ht="15.95" customHeight="1">
      <c r="A322" s="29"/>
      <c r="B322" s="30"/>
      <c r="C322" s="30"/>
      <c r="D322" s="31"/>
      <c r="E322" s="31"/>
      <c r="F322" s="32"/>
      <c r="G322" s="31"/>
      <c r="H322" s="32"/>
      <c r="I322" s="32"/>
      <c r="J322" s="31"/>
      <c r="K322" s="31"/>
      <c r="L322" s="284"/>
      <c r="M322" s="32"/>
      <c r="N322" s="32"/>
      <c r="O322" s="31"/>
      <c r="P322" s="32"/>
      <c r="Q322" s="32"/>
      <c r="R322" s="31"/>
      <c r="S322" s="32"/>
      <c r="T322" s="31"/>
      <c r="U322" s="31"/>
      <c r="V322" s="29"/>
      <c r="W322" s="29"/>
      <c r="X322" s="29"/>
      <c r="Y322" s="29"/>
      <c r="Z322" s="29"/>
      <c r="AA322" s="29"/>
      <c r="AB322" s="29"/>
      <c r="AC322" s="29"/>
      <c r="AD322" s="29"/>
      <c r="AE322" s="29"/>
      <c r="AF322" s="29"/>
      <c r="AG322" s="29"/>
    </row>
    <row r="323" spans="1:34" s="3" customFormat="1" ht="15.95" customHeight="1" thickBot="1">
      <c r="A323" s="7"/>
      <c r="B323" s="19" t="str">
        <f>"FA2 = "&amp;'FIG3'!$W$53&amp;" "&amp;'FIG3'!$X$53</f>
        <v>FA2 = Atlanta Public Schools</v>
      </c>
      <c r="C323" s="7"/>
      <c r="D323" s="8"/>
      <c r="E323" s="8"/>
      <c r="F323" s="9"/>
      <c r="G323" s="8"/>
      <c r="H323" s="9"/>
      <c r="I323" s="9"/>
      <c r="J323" s="8"/>
      <c r="K323" s="8"/>
      <c r="L323" s="280"/>
      <c r="M323" s="9"/>
      <c r="N323" s="9"/>
      <c r="O323" s="8"/>
      <c r="P323" s="9"/>
      <c r="Q323" s="9"/>
      <c r="R323" s="8"/>
      <c r="S323" s="866"/>
      <c r="T323" s="867" t="str">
        <f>'$REV-DB'!$T$34</f>
        <v>UD1</v>
      </c>
      <c r="U323" s="867" t="str">
        <f>'$REV-DB'!$U$34</f>
        <v>UD2</v>
      </c>
      <c r="V323" s="867" t="str">
        <f>'$REV-DB'!$V$34</f>
        <v>UD3</v>
      </c>
      <c r="W323" s="867" t="str">
        <f>'$REV-DB'!$W$34</f>
        <v>UD4</v>
      </c>
      <c r="X323" s="867" t="str">
        <f>'$REV-DB'!$X$34</f>
        <v>UD5</v>
      </c>
      <c r="Y323" s="867" t="str">
        <f>'$REV-DB'!$Y$34</f>
        <v>UD6</v>
      </c>
      <c r="Z323" s="867" t="str">
        <f>'$REV-DB'!$Z$34</f>
        <v>UD7</v>
      </c>
      <c r="AA323" s="867" t="str">
        <f>'$REV-DB'!$AA$34</f>
        <v>UD8</v>
      </c>
      <c r="AB323" s="867" t="str">
        <f>'$REV-DB'!$AB$34</f>
        <v>UD9</v>
      </c>
      <c r="AC323" s="867" t="str">
        <f>'$REV-DB'!$AC$34</f>
        <v>UD10</v>
      </c>
      <c r="AD323" s="867" t="str">
        <f>'$REV-DB'!$AD$34</f>
        <v>UD11</v>
      </c>
      <c r="AE323" s="867" t="str">
        <f>'$REV-DB'!$AE$34</f>
        <v>UD12</v>
      </c>
      <c r="AF323" s="867" t="str">
        <f>'$REV-DB'!$AF$34</f>
        <v>UD13</v>
      </c>
      <c r="AG323" s="867" t="str">
        <f>'$REV-DB'!$AG$34</f>
        <v>UD14</v>
      </c>
    </row>
    <row r="324" spans="1:34" s="3" customFormat="1" ht="15.95" customHeight="1" thickTop="1" thickBot="1">
      <c r="A324" s="7"/>
      <c r="B324" s="20" t="s">
        <v>4</v>
      </c>
      <c r="C324" s="15"/>
      <c r="D324" s="861" t="s">
        <v>186</v>
      </c>
      <c r="E324" s="861" t="s">
        <v>187</v>
      </c>
      <c r="F324" s="861" t="s">
        <v>188</v>
      </c>
      <c r="G324" s="861" t="s">
        <v>189</v>
      </c>
      <c r="H324" s="861" t="s">
        <v>11</v>
      </c>
      <c r="I324" s="861" t="s">
        <v>190</v>
      </c>
      <c r="J324" s="861" t="s">
        <v>191</v>
      </c>
      <c r="K324" s="861" t="s">
        <v>192</v>
      </c>
      <c r="L324" s="861" t="s">
        <v>203</v>
      </c>
      <c r="M324" s="861" t="s">
        <v>42</v>
      </c>
      <c r="N324" s="861" t="s">
        <v>148</v>
      </c>
      <c r="O324" s="861" t="s">
        <v>193</v>
      </c>
      <c r="P324" s="861" t="s">
        <v>142</v>
      </c>
      <c r="Q324" s="861" t="s">
        <v>194</v>
      </c>
      <c r="R324" s="112" t="s">
        <v>141</v>
      </c>
      <c r="S324" s="112" t="s">
        <v>672</v>
      </c>
      <c r="T324" s="861" t="s">
        <v>541</v>
      </c>
      <c r="U324" s="861" t="s">
        <v>542</v>
      </c>
      <c r="V324" s="861" t="s">
        <v>543</v>
      </c>
      <c r="W324" s="861" t="s">
        <v>544</v>
      </c>
      <c r="X324" s="861" t="s">
        <v>545</v>
      </c>
      <c r="Y324" s="861" t="s">
        <v>546</v>
      </c>
      <c r="Z324" s="861" t="s">
        <v>547</v>
      </c>
      <c r="AA324" s="861" t="s">
        <v>548</v>
      </c>
      <c r="AB324" s="861" t="s">
        <v>549</v>
      </c>
      <c r="AC324" s="861" t="s">
        <v>550</v>
      </c>
      <c r="AD324" s="861" t="s">
        <v>551</v>
      </c>
      <c r="AE324" s="861" t="s">
        <v>552</v>
      </c>
      <c r="AF324" s="861" t="s">
        <v>553</v>
      </c>
      <c r="AG324" s="861" t="s">
        <v>554</v>
      </c>
      <c r="AH324" s="6"/>
    </row>
    <row r="325" spans="1:34" s="3" customFormat="1" ht="15.95" customHeight="1" thickTop="1">
      <c r="A325" s="7"/>
      <c r="B325" s="19" t="s">
        <v>143</v>
      </c>
      <c r="C325" s="12"/>
      <c r="D325" s="194"/>
      <c r="E325" s="194"/>
      <c r="F325" s="193"/>
      <c r="G325" s="194"/>
      <c r="H325" s="193"/>
      <c r="I325" s="193"/>
      <c r="J325" s="194"/>
      <c r="K325" s="194"/>
      <c r="L325" s="285" t="s">
        <v>34</v>
      </c>
      <c r="M325" s="193"/>
      <c r="N325" s="47" t="str">
        <f>J$6</f>
        <v>FY2010-11</v>
      </c>
      <c r="O325" s="47" t="s">
        <v>153</v>
      </c>
      <c r="P325" s="47" t="s">
        <v>138</v>
      </c>
      <c r="Q325" s="47" t="s">
        <v>179</v>
      </c>
      <c r="R325" s="194"/>
      <c r="S325" s="193"/>
      <c r="T325" s="194"/>
      <c r="U325" s="194"/>
      <c r="V325" s="195"/>
      <c r="W325" s="195"/>
      <c r="X325" s="195"/>
      <c r="Y325" s="195"/>
      <c r="Z325" s="195"/>
      <c r="AA325" s="195"/>
      <c r="AB325" s="195"/>
      <c r="AC325" s="195"/>
      <c r="AD325" s="195"/>
      <c r="AE325" s="195"/>
      <c r="AF325" s="195"/>
      <c r="AG325" s="195"/>
      <c r="AH325" s="6"/>
    </row>
    <row r="326" spans="1:34" s="3" customFormat="1" ht="15.95" customHeight="1">
      <c r="A326" s="7"/>
      <c r="B326" s="16">
        <f>DSUM('$REV-DB'!D35:AG67,"AMOUNT",D324:AG326)</f>
        <v>481458463.28000003</v>
      </c>
      <c r="C326" s="12"/>
      <c r="D326" s="194"/>
      <c r="E326" s="194"/>
      <c r="F326" s="193"/>
      <c r="G326" s="194"/>
      <c r="H326" s="193"/>
      <c r="I326" s="193"/>
      <c r="J326" s="194"/>
      <c r="K326" s="194"/>
      <c r="L326" s="285" t="s">
        <v>34</v>
      </c>
      <c r="M326" s="193"/>
      <c r="N326" s="47" t="str">
        <f>J$6</f>
        <v>FY2010-11</v>
      </c>
      <c r="O326" s="47" t="s">
        <v>153</v>
      </c>
      <c r="P326" s="47" t="s">
        <v>147</v>
      </c>
      <c r="Q326" s="47" t="s">
        <v>179</v>
      </c>
      <c r="R326" s="194"/>
      <c r="S326" s="193" t="s">
        <v>103</v>
      </c>
      <c r="T326" s="194"/>
      <c r="U326" s="194"/>
      <c r="V326" s="195"/>
      <c r="W326" s="195"/>
      <c r="X326" s="195"/>
      <c r="Y326" s="195"/>
      <c r="Z326" s="195"/>
      <c r="AA326" s="195"/>
      <c r="AB326" s="195"/>
      <c r="AC326" s="195"/>
      <c r="AD326" s="195"/>
      <c r="AE326" s="195"/>
      <c r="AF326" s="195"/>
      <c r="AG326" s="195"/>
      <c r="AH326" s="6"/>
    </row>
    <row r="327" spans="1:34" s="3" customFormat="1" ht="15.95" customHeight="1">
      <c r="A327" s="7"/>
      <c r="B327" s="10"/>
      <c r="C327" s="12"/>
      <c r="D327" s="880"/>
      <c r="E327" s="880"/>
      <c r="F327" s="880"/>
      <c r="G327" s="880"/>
      <c r="H327" s="880"/>
      <c r="I327" s="880"/>
      <c r="J327" s="880"/>
      <c r="K327" s="880"/>
      <c r="L327" s="881"/>
      <c r="M327" s="880"/>
      <c r="N327" s="873"/>
      <c r="O327" s="873"/>
      <c r="P327" s="873"/>
      <c r="Q327" s="880"/>
      <c r="R327" s="880"/>
      <c r="S327" s="880"/>
      <c r="T327" s="882"/>
      <c r="U327" s="882"/>
      <c r="V327" s="883"/>
      <c r="W327" s="883"/>
      <c r="X327" s="883"/>
      <c r="Y327" s="883"/>
      <c r="Z327" s="883"/>
      <c r="AA327" s="883"/>
      <c r="AB327" s="883"/>
      <c r="AC327" s="883"/>
      <c r="AD327" s="883"/>
      <c r="AE327" s="883"/>
      <c r="AF327" s="883"/>
      <c r="AG327" s="883"/>
    </row>
    <row r="328" spans="1:34" s="3" customFormat="1" ht="15.95" customHeight="1">
      <c r="A328" s="7"/>
      <c r="B328" s="10"/>
      <c r="C328" s="12"/>
      <c r="D328" s="880"/>
      <c r="E328" s="880"/>
      <c r="F328" s="880"/>
      <c r="G328" s="880"/>
      <c r="H328" s="880"/>
      <c r="I328" s="880"/>
      <c r="J328" s="880"/>
      <c r="K328" s="880"/>
      <c r="L328" s="881"/>
      <c r="M328" s="880"/>
      <c r="N328" s="873"/>
      <c r="O328" s="873"/>
      <c r="P328" s="873"/>
      <c r="Q328" s="880"/>
      <c r="R328" s="880"/>
      <c r="S328" s="880"/>
      <c r="T328" s="882"/>
      <c r="U328" s="882"/>
      <c r="V328" s="883"/>
      <c r="W328" s="883"/>
      <c r="X328" s="883"/>
      <c r="Y328" s="883"/>
      <c r="Z328" s="883"/>
      <c r="AA328" s="883"/>
      <c r="AB328" s="883"/>
      <c r="AC328" s="883"/>
      <c r="AD328" s="883"/>
      <c r="AE328" s="883"/>
      <c r="AF328" s="883"/>
      <c r="AG328" s="883"/>
    </row>
    <row r="329" spans="1:34" s="3" customFormat="1" ht="15.95" customHeight="1">
      <c r="A329" s="7"/>
      <c r="B329" s="10"/>
      <c r="C329" s="12"/>
      <c r="D329" s="880"/>
      <c r="E329" s="880"/>
      <c r="F329" s="880"/>
      <c r="G329" s="880"/>
      <c r="H329" s="880"/>
      <c r="I329" s="880"/>
      <c r="J329" s="880"/>
      <c r="K329" s="880"/>
      <c r="L329" s="881"/>
      <c r="M329" s="880"/>
      <c r="N329" s="873"/>
      <c r="O329" s="873"/>
      <c r="P329" s="873"/>
      <c r="Q329" s="880"/>
      <c r="R329" s="880"/>
      <c r="S329" s="880"/>
      <c r="T329" s="882"/>
      <c r="U329" s="882"/>
      <c r="V329" s="883"/>
      <c r="W329" s="883"/>
      <c r="X329" s="883"/>
      <c r="Y329" s="883"/>
      <c r="Z329" s="883"/>
      <c r="AA329" s="883"/>
      <c r="AB329" s="883"/>
      <c r="AC329" s="883"/>
      <c r="AD329" s="883"/>
      <c r="AE329" s="883"/>
      <c r="AF329" s="883"/>
      <c r="AG329" s="883"/>
    </row>
    <row r="330" spans="1:34" s="3" customFormat="1" ht="15.95" customHeight="1">
      <c r="A330" s="7"/>
      <c r="B330" s="10"/>
      <c r="C330" s="12"/>
      <c r="D330" s="880"/>
      <c r="E330" s="880"/>
      <c r="F330" s="880"/>
      <c r="G330" s="880"/>
      <c r="H330" s="880"/>
      <c r="I330" s="880"/>
      <c r="J330" s="880"/>
      <c r="K330" s="880"/>
      <c r="L330" s="881"/>
      <c r="M330" s="880"/>
      <c r="N330" s="873"/>
      <c r="O330" s="873"/>
      <c r="P330" s="873"/>
      <c r="Q330" s="880"/>
      <c r="R330" s="880"/>
      <c r="S330" s="880"/>
      <c r="T330" s="882"/>
      <c r="U330" s="882"/>
      <c r="V330" s="883"/>
      <c r="W330" s="883"/>
      <c r="X330" s="883"/>
      <c r="Y330" s="883"/>
      <c r="Z330" s="883"/>
      <c r="AA330" s="883"/>
      <c r="AB330" s="883"/>
      <c r="AC330" s="883"/>
      <c r="AD330" s="883"/>
      <c r="AE330" s="883"/>
      <c r="AF330" s="883"/>
      <c r="AG330" s="883"/>
    </row>
    <row r="331" spans="1:34" s="3" customFormat="1" ht="15.95" customHeight="1">
      <c r="A331" s="7"/>
      <c r="B331" s="10"/>
      <c r="C331" s="12"/>
      <c r="D331" s="880"/>
      <c r="E331" s="880"/>
      <c r="F331" s="880"/>
      <c r="G331" s="880"/>
      <c r="H331" s="880"/>
      <c r="I331" s="880"/>
      <c r="J331" s="880"/>
      <c r="K331" s="880"/>
      <c r="L331" s="881"/>
      <c r="M331" s="880"/>
      <c r="N331" s="873"/>
      <c r="O331" s="873"/>
      <c r="P331" s="873"/>
      <c r="Q331" s="880"/>
      <c r="R331" s="880"/>
      <c r="S331" s="880"/>
      <c r="T331" s="882"/>
      <c r="U331" s="882"/>
      <c r="V331" s="883"/>
      <c r="W331" s="883"/>
      <c r="X331" s="883"/>
      <c r="Y331" s="883"/>
      <c r="Z331" s="883"/>
      <c r="AA331" s="883"/>
      <c r="AB331" s="883"/>
      <c r="AC331" s="883"/>
      <c r="AD331" s="883"/>
      <c r="AE331" s="883"/>
      <c r="AF331" s="883"/>
      <c r="AG331" s="883"/>
    </row>
    <row r="332" spans="1:34" s="3" customFormat="1" ht="15.95" customHeight="1">
      <c r="A332" s="29"/>
      <c r="B332" s="30"/>
      <c r="C332" s="30"/>
      <c r="D332" s="31"/>
      <c r="E332" s="31"/>
      <c r="F332" s="32"/>
      <c r="G332" s="31"/>
      <c r="H332" s="32"/>
      <c r="I332" s="32"/>
      <c r="J332" s="31"/>
      <c r="K332" s="31"/>
      <c r="L332" s="284"/>
      <c r="M332" s="32"/>
      <c r="N332" s="32"/>
      <c r="O332" s="31"/>
      <c r="P332" s="32"/>
      <c r="Q332" s="32"/>
      <c r="R332" s="31"/>
      <c r="S332" s="32"/>
      <c r="T332" s="31"/>
      <c r="U332" s="31"/>
      <c r="V332" s="29"/>
      <c r="W332" s="29"/>
      <c r="X332" s="29"/>
      <c r="Y332" s="29"/>
      <c r="Z332" s="29"/>
      <c r="AA332" s="29"/>
      <c r="AB332" s="29"/>
      <c r="AC332" s="29"/>
      <c r="AD332" s="29"/>
      <c r="AE332" s="29"/>
      <c r="AF332" s="29"/>
      <c r="AG332" s="29"/>
    </row>
    <row r="333" spans="1:34" s="3" customFormat="1" ht="15.95" customHeight="1" thickBot="1">
      <c r="A333" s="7"/>
      <c r="B333" s="19" t="str">
        <f>"FA2 = "&amp;'FIG3'!$W$53&amp;" "&amp;'FIG3'!$X$53</f>
        <v>FA2 = Atlanta Public Schools</v>
      </c>
      <c r="C333" s="7"/>
      <c r="D333" s="8"/>
      <c r="E333" s="8"/>
      <c r="F333" s="9"/>
      <c r="G333" s="8"/>
      <c r="H333" s="9"/>
      <c r="I333" s="9"/>
      <c r="J333" s="8"/>
      <c r="K333" s="8"/>
      <c r="L333" s="280"/>
      <c r="M333" s="9"/>
      <c r="N333" s="9"/>
      <c r="O333" s="8"/>
      <c r="P333" s="9"/>
      <c r="Q333" s="9"/>
      <c r="R333" s="8"/>
      <c r="S333" s="866"/>
      <c r="T333" s="867" t="str">
        <f>'$REV-DB'!$T$34</f>
        <v>UD1</v>
      </c>
      <c r="U333" s="867" t="str">
        <f>'$REV-DB'!$U$34</f>
        <v>UD2</v>
      </c>
      <c r="V333" s="867" t="str">
        <f>'$REV-DB'!$V$34</f>
        <v>UD3</v>
      </c>
      <c r="W333" s="867" t="str">
        <f>'$REV-DB'!$W$34</f>
        <v>UD4</v>
      </c>
      <c r="X333" s="867" t="str">
        <f>'$REV-DB'!$X$34</f>
        <v>UD5</v>
      </c>
      <c r="Y333" s="867" t="str">
        <f>'$REV-DB'!$Y$34</f>
        <v>UD6</v>
      </c>
      <c r="Z333" s="867" t="str">
        <f>'$REV-DB'!$Z$34</f>
        <v>UD7</v>
      </c>
      <c r="AA333" s="867" t="str">
        <f>'$REV-DB'!$AA$34</f>
        <v>UD8</v>
      </c>
      <c r="AB333" s="867" t="str">
        <f>'$REV-DB'!$AB$34</f>
        <v>UD9</v>
      </c>
      <c r="AC333" s="867" t="str">
        <f>'$REV-DB'!$AC$34</f>
        <v>UD10</v>
      </c>
      <c r="AD333" s="867" t="str">
        <f>'$REV-DB'!$AD$34</f>
        <v>UD11</v>
      </c>
      <c r="AE333" s="867" t="str">
        <f>'$REV-DB'!$AE$34</f>
        <v>UD12</v>
      </c>
      <c r="AF333" s="867" t="str">
        <f>'$REV-DB'!$AF$34</f>
        <v>UD13</v>
      </c>
      <c r="AG333" s="867" t="str">
        <f>'$REV-DB'!$AG$34</f>
        <v>UD14</v>
      </c>
    </row>
    <row r="334" spans="1:34" s="3" customFormat="1" ht="15.95" customHeight="1" thickTop="1" thickBot="1">
      <c r="A334" s="7"/>
      <c r="B334" s="20" t="s">
        <v>4</v>
      </c>
      <c r="C334" s="15"/>
      <c r="D334" s="861" t="s">
        <v>186</v>
      </c>
      <c r="E334" s="861" t="s">
        <v>187</v>
      </c>
      <c r="F334" s="861" t="s">
        <v>188</v>
      </c>
      <c r="G334" s="861" t="s">
        <v>189</v>
      </c>
      <c r="H334" s="861" t="s">
        <v>11</v>
      </c>
      <c r="I334" s="861" t="s">
        <v>190</v>
      </c>
      <c r="J334" s="861" t="s">
        <v>191</v>
      </c>
      <c r="K334" s="861" t="s">
        <v>192</v>
      </c>
      <c r="L334" s="861" t="s">
        <v>203</v>
      </c>
      <c r="M334" s="861" t="s">
        <v>42</v>
      </c>
      <c r="N334" s="861" t="s">
        <v>148</v>
      </c>
      <c r="O334" s="861" t="s">
        <v>193</v>
      </c>
      <c r="P334" s="861" t="s">
        <v>142</v>
      </c>
      <c r="Q334" s="861" t="s">
        <v>194</v>
      </c>
      <c r="R334" s="112" t="s">
        <v>141</v>
      </c>
      <c r="S334" s="112" t="s">
        <v>672</v>
      </c>
      <c r="T334" s="861" t="s">
        <v>541</v>
      </c>
      <c r="U334" s="861" t="s">
        <v>542</v>
      </c>
      <c r="V334" s="861" t="s">
        <v>543</v>
      </c>
      <c r="W334" s="861" t="s">
        <v>544</v>
      </c>
      <c r="X334" s="861" t="s">
        <v>545</v>
      </c>
      <c r="Y334" s="861" t="s">
        <v>546</v>
      </c>
      <c r="Z334" s="861" t="s">
        <v>547</v>
      </c>
      <c r="AA334" s="861" t="s">
        <v>548</v>
      </c>
      <c r="AB334" s="861" t="s">
        <v>549</v>
      </c>
      <c r="AC334" s="861" t="s">
        <v>550</v>
      </c>
      <c r="AD334" s="861" t="s">
        <v>551</v>
      </c>
      <c r="AE334" s="861" t="s">
        <v>552</v>
      </c>
      <c r="AF334" s="861" t="s">
        <v>553</v>
      </c>
      <c r="AG334" s="861" t="s">
        <v>554</v>
      </c>
      <c r="AH334" s="6"/>
    </row>
    <row r="335" spans="1:34" s="3" customFormat="1" ht="15.95" customHeight="1" thickTop="1">
      <c r="A335" s="7"/>
      <c r="B335" s="19" t="s">
        <v>149</v>
      </c>
      <c r="C335" s="12"/>
      <c r="D335" s="194"/>
      <c r="E335" s="194"/>
      <c r="F335" s="193"/>
      <c r="G335" s="194"/>
      <c r="H335" s="193"/>
      <c r="I335" s="193"/>
      <c r="J335" s="194"/>
      <c r="K335" s="194"/>
      <c r="L335" s="285" t="s">
        <v>34</v>
      </c>
      <c r="M335" s="193"/>
      <c r="N335" s="47" t="str">
        <f>J$6</f>
        <v>FY2010-11</v>
      </c>
      <c r="O335" s="47" t="s">
        <v>153</v>
      </c>
      <c r="P335" s="47" t="s">
        <v>138</v>
      </c>
      <c r="Q335" s="47" t="s">
        <v>2</v>
      </c>
      <c r="R335" s="194"/>
      <c r="S335" s="193"/>
      <c r="T335" s="194"/>
      <c r="U335" s="194"/>
      <c r="V335" s="195"/>
      <c r="W335" s="195"/>
      <c r="X335" s="195"/>
      <c r="Y335" s="195"/>
      <c r="Z335" s="195"/>
      <c r="AA335" s="195"/>
      <c r="AB335" s="195"/>
      <c r="AC335" s="195"/>
      <c r="AD335" s="195"/>
      <c r="AE335" s="195"/>
      <c r="AF335" s="195"/>
      <c r="AG335" s="195"/>
      <c r="AH335" s="6"/>
    </row>
    <row r="336" spans="1:34" s="3" customFormat="1" ht="15.95" customHeight="1">
      <c r="A336" s="7"/>
      <c r="B336" s="16">
        <f>DSUM('$REV-DB'!D35:AG67,"AMOUNT",D334:AG336)</f>
        <v>151745479.02999997</v>
      </c>
      <c r="C336" s="12"/>
      <c r="D336" s="194"/>
      <c r="E336" s="194"/>
      <c r="F336" s="193"/>
      <c r="G336" s="194"/>
      <c r="H336" s="193"/>
      <c r="I336" s="193"/>
      <c r="J336" s="194"/>
      <c r="K336" s="194"/>
      <c r="L336" s="285" t="s">
        <v>34</v>
      </c>
      <c r="M336" s="193"/>
      <c r="N336" s="47" t="str">
        <f>J$6</f>
        <v>FY2010-11</v>
      </c>
      <c r="O336" s="47" t="s">
        <v>153</v>
      </c>
      <c r="P336" s="47" t="s">
        <v>147</v>
      </c>
      <c r="Q336" s="47" t="s">
        <v>2</v>
      </c>
      <c r="R336" s="194"/>
      <c r="S336" s="193" t="s">
        <v>103</v>
      </c>
      <c r="T336" s="194"/>
      <c r="U336" s="194"/>
      <c r="V336" s="195"/>
      <c r="W336" s="195"/>
      <c r="X336" s="195"/>
      <c r="Y336" s="195"/>
      <c r="Z336" s="195"/>
      <c r="AA336" s="195"/>
      <c r="AB336" s="195"/>
      <c r="AC336" s="195"/>
      <c r="AD336" s="195"/>
      <c r="AE336" s="195"/>
      <c r="AF336" s="195"/>
      <c r="AG336" s="195"/>
      <c r="AH336" s="6"/>
    </row>
    <row r="337" spans="1:34" s="3" customFormat="1" ht="15.95" customHeight="1">
      <c r="A337" s="7"/>
      <c r="B337" s="10"/>
      <c r="C337" s="12"/>
      <c r="D337" s="880"/>
      <c r="E337" s="880"/>
      <c r="F337" s="880"/>
      <c r="G337" s="880"/>
      <c r="H337" s="880"/>
      <c r="I337" s="880"/>
      <c r="J337" s="880"/>
      <c r="K337" s="880"/>
      <c r="L337" s="881"/>
      <c r="M337" s="880"/>
      <c r="N337" s="873"/>
      <c r="O337" s="873"/>
      <c r="P337" s="873"/>
      <c r="Q337" s="880"/>
      <c r="R337" s="880"/>
      <c r="S337" s="880"/>
      <c r="T337" s="882"/>
      <c r="U337" s="882"/>
      <c r="V337" s="883"/>
      <c r="W337" s="883"/>
      <c r="X337" s="883"/>
      <c r="Y337" s="883"/>
      <c r="Z337" s="883"/>
      <c r="AA337" s="883"/>
      <c r="AB337" s="883"/>
      <c r="AC337" s="883"/>
      <c r="AD337" s="883"/>
      <c r="AE337" s="883"/>
      <c r="AF337" s="883"/>
      <c r="AG337" s="883"/>
    </row>
    <row r="338" spans="1:34" s="3" customFormat="1" ht="15.95" customHeight="1">
      <c r="A338" s="7"/>
      <c r="B338" s="10"/>
      <c r="C338" s="12"/>
      <c r="D338" s="880"/>
      <c r="E338" s="880"/>
      <c r="F338" s="880"/>
      <c r="G338" s="880"/>
      <c r="H338" s="880"/>
      <c r="I338" s="880"/>
      <c r="J338" s="880"/>
      <c r="K338" s="880"/>
      <c r="L338" s="881"/>
      <c r="M338" s="880"/>
      <c r="N338" s="873"/>
      <c r="O338" s="873"/>
      <c r="P338" s="873"/>
      <c r="Q338" s="880"/>
      <c r="R338" s="880"/>
      <c r="S338" s="880"/>
      <c r="T338" s="882"/>
      <c r="U338" s="882"/>
      <c r="V338" s="883"/>
      <c r="W338" s="883"/>
      <c r="X338" s="883"/>
      <c r="Y338" s="883"/>
      <c r="Z338" s="883"/>
      <c r="AA338" s="883"/>
      <c r="AB338" s="883"/>
      <c r="AC338" s="883"/>
      <c r="AD338" s="883"/>
      <c r="AE338" s="883"/>
      <c r="AF338" s="883"/>
      <c r="AG338" s="883"/>
    </row>
    <row r="339" spans="1:34" s="3" customFormat="1" ht="15.95" customHeight="1">
      <c r="A339" s="7"/>
      <c r="B339" s="10"/>
      <c r="C339" s="12"/>
      <c r="D339" s="880"/>
      <c r="E339" s="880"/>
      <c r="F339" s="880"/>
      <c r="G339" s="880"/>
      <c r="H339" s="880"/>
      <c r="I339" s="880"/>
      <c r="J339" s="880"/>
      <c r="K339" s="880"/>
      <c r="L339" s="881"/>
      <c r="M339" s="880"/>
      <c r="N339" s="873"/>
      <c r="O339" s="873"/>
      <c r="P339" s="873"/>
      <c r="Q339" s="880"/>
      <c r="R339" s="880"/>
      <c r="S339" s="880"/>
      <c r="T339" s="882"/>
      <c r="U339" s="882"/>
      <c r="V339" s="883"/>
      <c r="W339" s="883"/>
      <c r="X339" s="883"/>
      <c r="Y339" s="883"/>
      <c r="Z339" s="883"/>
      <c r="AA339" s="883"/>
      <c r="AB339" s="883"/>
      <c r="AC339" s="883"/>
      <c r="AD339" s="883"/>
      <c r="AE339" s="883"/>
      <c r="AF339" s="883"/>
      <c r="AG339" s="883"/>
    </row>
    <row r="340" spans="1:34" s="3" customFormat="1" ht="15.95" customHeight="1">
      <c r="A340" s="7"/>
      <c r="B340" s="10"/>
      <c r="C340" s="12"/>
      <c r="D340" s="880"/>
      <c r="E340" s="880"/>
      <c r="F340" s="880"/>
      <c r="G340" s="880"/>
      <c r="H340" s="880"/>
      <c r="I340" s="880"/>
      <c r="J340" s="880"/>
      <c r="K340" s="880"/>
      <c r="L340" s="881"/>
      <c r="M340" s="880"/>
      <c r="N340" s="873"/>
      <c r="O340" s="873"/>
      <c r="P340" s="873"/>
      <c r="Q340" s="880"/>
      <c r="R340" s="880"/>
      <c r="S340" s="880"/>
      <c r="T340" s="882"/>
      <c r="U340" s="882"/>
      <c r="V340" s="883"/>
      <c r="W340" s="883"/>
      <c r="X340" s="883"/>
      <c r="Y340" s="883"/>
      <c r="Z340" s="883"/>
      <c r="AA340" s="883"/>
      <c r="AB340" s="883"/>
      <c r="AC340" s="883"/>
      <c r="AD340" s="883"/>
      <c r="AE340" s="883"/>
      <c r="AF340" s="883"/>
      <c r="AG340" s="883"/>
    </row>
    <row r="341" spans="1:34" s="3" customFormat="1" ht="15.95" customHeight="1">
      <c r="A341" s="7"/>
      <c r="B341" s="10"/>
      <c r="C341" s="12"/>
      <c r="D341" s="880"/>
      <c r="E341" s="880"/>
      <c r="F341" s="880"/>
      <c r="G341" s="880"/>
      <c r="H341" s="880"/>
      <c r="I341" s="880"/>
      <c r="J341" s="880"/>
      <c r="K341" s="880"/>
      <c r="L341" s="881"/>
      <c r="M341" s="880"/>
      <c r="N341" s="873"/>
      <c r="O341" s="873"/>
      <c r="P341" s="873"/>
      <c r="Q341" s="880"/>
      <c r="R341" s="880"/>
      <c r="S341" s="880"/>
      <c r="T341" s="882"/>
      <c r="U341" s="882"/>
      <c r="V341" s="883"/>
      <c r="W341" s="883"/>
      <c r="X341" s="883"/>
      <c r="Y341" s="883"/>
      <c r="Z341" s="883"/>
      <c r="AA341" s="883"/>
      <c r="AB341" s="883"/>
      <c r="AC341" s="883"/>
      <c r="AD341" s="883"/>
      <c r="AE341" s="883"/>
      <c r="AF341" s="883"/>
      <c r="AG341" s="883"/>
    </row>
    <row r="342" spans="1:34" s="3" customFormat="1" ht="15.95" customHeight="1">
      <c r="A342" s="29"/>
      <c r="B342" s="30"/>
      <c r="C342" s="30"/>
      <c r="D342" s="31"/>
      <c r="E342" s="31"/>
      <c r="F342" s="32"/>
      <c r="G342" s="31"/>
      <c r="H342" s="32"/>
      <c r="I342" s="32"/>
      <c r="J342" s="31"/>
      <c r="K342" s="31"/>
      <c r="L342" s="284"/>
      <c r="M342" s="32"/>
      <c r="N342" s="32"/>
      <c r="O342" s="31"/>
      <c r="P342" s="32"/>
      <c r="Q342" s="32"/>
      <c r="R342" s="31"/>
      <c r="S342" s="32"/>
      <c r="T342" s="31"/>
      <c r="U342" s="31"/>
      <c r="V342" s="29"/>
      <c r="W342" s="29"/>
      <c r="X342" s="29"/>
      <c r="Y342" s="29"/>
      <c r="Z342" s="29"/>
      <c r="AA342" s="29"/>
      <c r="AB342" s="29"/>
      <c r="AC342" s="29"/>
      <c r="AD342" s="29"/>
      <c r="AE342" s="29"/>
      <c r="AF342" s="29"/>
      <c r="AG342" s="29"/>
    </row>
    <row r="343" spans="1:34" s="3" customFormat="1" ht="15.95" customHeight="1" thickBot="1">
      <c r="A343" s="7"/>
      <c r="B343" s="19" t="str">
        <f>"FA2 = "&amp;'FIG3'!$W$53&amp;" "&amp;'FIG3'!$X$53</f>
        <v>FA2 = Atlanta Public Schools</v>
      </c>
      <c r="C343" s="7"/>
      <c r="D343" s="8"/>
      <c r="E343" s="8"/>
      <c r="F343" s="9"/>
      <c r="G343" s="8"/>
      <c r="H343" s="9"/>
      <c r="I343" s="9"/>
      <c r="J343" s="8"/>
      <c r="K343" s="8"/>
      <c r="L343" s="280"/>
      <c r="M343" s="9"/>
      <c r="N343" s="9"/>
      <c r="O343" s="8"/>
      <c r="P343" s="9"/>
      <c r="Q343" s="9"/>
      <c r="R343" s="8"/>
      <c r="S343" s="866"/>
      <c r="T343" s="867" t="str">
        <f>'$REV-DB'!$T$34</f>
        <v>UD1</v>
      </c>
      <c r="U343" s="867" t="str">
        <f>'$REV-DB'!$U$34</f>
        <v>UD2</v>
      </c>
      <c r="V343" s="867" t="str">
        <f>'$REV-DB'!$V$34</f>
        <v>UD3</v>
      </c>
      <c r="W343" s="867" t="str">
        <f>'$REV-DB'!$W$34</f>
        <v>UD4</v>
      </c>
      <c r="X343" s="867" t="str">
        <f>'$REV-DB'!$X$34</f>
        <v>UD5</v>
      </c>
      <c r="Y343" s="867" t="str">
        <f>'$REV-DB'!$Y$34</f>
        <v>UD6</v>
      </c>
      <c r="Z343" s="867" t="str">
        <f>'$REV-DB'!$Z$34</f>
        <v>UD7</v>
      </c>
      <c r="AA343" s="867" t="str">
        <f>'$REV-DB'!$AA$34</f>
        <v>UD8</v>
      </c>
      <c r="AB343" s="867" t="str">
        <f>'$REV-DB'!$AB$34</f>
        <v>UD9</v>
      </c>
      <c r="AC343" s="867" t="str">
        <f>'$REV-DB'!$AC$34</f>
        <v>UD10</v>
      </c>
      <c r="AD343" s="867" t="str">
        <f>'$REV-DB'!$AD$34</f>
        <v>UD11</v>
      </c>
      <c r="AE343" s="867" t="str">
        <f>'$REV-DB'!$AE$34</f>
        <v>UD12</v>
      </c>
      <c r="AF343" s="867" t="str">
        <f>'$REV-DB'!$AF$34</f>
        <v>UD13</v>
      </c>
      <c r="AG343" s="867" t="str">
        <f>'$REV-DB'!$AG$34</f>
        <v>UD14</v>
      </c>
    </row>
    <row r="344" spans="1:34" s="3" customFormat="1" ht="15.95" customHeight="1" thickTop="1" thickBot="1">
      <c r="A344" s="7"/>
      <c r="B344" s="20" t="s">
        <v>4</v>
      </c>
      <c r="C344" s="15"/>
      <c r="D344" s="861" t="s">
        <v>186</v>
      </c>
      <c r="E344" s="861" t="s">
        <v>187</v>
      </c>
      <c r="F344" s="861" t="s">
        <v>188</v>
      </c>
      <c r="G344" s="861" t="s">
        <v>189</v>
      </c>
      <c r="H344" s="861" t="s">
        <v>11</v>
      </c>
      <c r="I344" s="861" t="s">
        <v>190</v>
      </c>
      <c r="J344" s="861" t="s">
        <v>191</v>
      </c>
      <c r="K344" s="861" t="s">
        <v>192</v>
      </c>
      <c r="L344" s="861" t="s">
        <v>203</v>
      </c>
      <c r="M344" s="861" t="s">
        <v>42</v>
      </c>
      <c r="N344" s="861" t="s">
        <v>148</v>
      </c>
      <c r="O344" s="861" t="s">
        <v>193</v>
      </c>
      <c r="P344" s="861" t="s">
        <v>142</v>
      </c>
      <c r="Q344" s="861" t="s">
        <v>194</v>
      </c>
      <c r="R344" s="112" t="s">
        <v>141</v>
      </c>
      <c r="S344" s="112" t="s">
        <v>672</v>
      </c>
      <c r="T344" s="861" t="s">
        <v>541</v>
      </c>
      <c r="U344" s="861" t="s">
        <v>542</v>
      </c>
      <c r="V344" s="861" t="s">
        <v>543</v>
      </c>
      <c r="W344" s="861" t="s">
        <v>544</v>
      </c>
      <c r="X344" s="861" t="s">
        <v>545</v>
      </c>
      <c r="Y344" s="861" t="s">
        <v>546</v>
      </c>
      <c r="Z344" s="861" t="s">
        <v>547</v>
      </c>
      <c r="AA344" s="861" t="s">
        <v>548</v>
      </c>
      <c r="AB344" s="861" t="s">
        <v>549</v>
      </c>
      <c r="AC344" s="861" t="s">
        <v>550</v>
      </c>
      <c r="AD344" s="861" t="s">
        <v>551</v>
      </c>
      <c r="AE344" s="861" t="s">
        <v>552</v>
      </c>
      <c r="AF344" s="861" t="s">
        <v>553</v>
      </c>
      <c r="AG344" s="861" t="s">
        <v>554</v>
      </c>
      <c r="AH344" s="6"/>
    </row>
    <row r="345" spans="1:34" s="3" customFormat="1" ht="15.95" customHeight="1" thickTop="1">
      <c r="A345" s="7"/>
      <c r="B345" s="19" t="s">
        <v>364</v>
      </c>
      <c r="C345" s="12"/>
      <c r="D345" s="194"/>
      <c r="E345" s="194"/>
      <c r="F345" s="193"/>
      <c r="G345" s="194"/>
      <c r="H345" s="193"/>
      <c r="I345" s="193"/>
      <c r="J345" s="194"/>
      <c r="K345" s="194"/>
      <c r="L345" s="285" t="s">
        <v>34</v>
      </c>
      <c r="M345" s="193"/>
      <c r="N345" s="47" t="str">
        <f>J$6</f>
        <v>FY2010-11</v>
      </c>
      <c r="O345" s="47" t="s">
        <v>153</v>
      </c>
      <c r="P345" s="47" t="s">
        <v>138</v>
      </c>
      <c r="Q345" s="47" t="s">
        <v>70</v>
      </c>
      <c r="R345" s="194"/>
      <c r="S345" s="193"/>
      <c r="T345" s="194"/>
      <c r="U345" s="194"/>
      <c r="V345" s="195"/>
      <c r="W345" s="195"/>
      <c r="X345" s="195"/>
      <c r="Y345" s="195"/>
      <c r="Z345" s="195"/>
      <c r="AA345" s="195"/>
      <c r="AB345" s="195"/>
      <c r="AC345" s="195"/>
      <c r="AD345" s="195"/>
      <c r="AE345" s="195"/>
      <c r="AF345" s="195"/>
      <c r="AG345" s="195"/>
      <c r="AH345" s="6"/>
    </row>
    <row r="346" spans="1:34" s="3" customFormat="1" ht="15.95" customHeight="1">
      <c r="A346" s="7"/>
      <c r="B346" s="16">
        <f>DSUM('$REV-DB'!D35:AG67,"AMOUNT",D344:AG346)</f>
        <v>0</v>
      </c>
      <c r="C346" s="12"/>
      <c r="D346" s="194"/>
      <c r="E346" s="194"/>
      <c r="F346" s="193"/>
      <c r="G346" s="194"/>
      <c r="H346" s="193"/>
      <c r="I346" s="193"/>
      <c r="J346" s="194"/>
      <c r="K346" s="194"/>
      <c r="L346" s="285" t="s">
        <v>34</v>
      </c>
      <c r="M346" s="193"/>
      <c r="N346" s="47" t="str">
        <f>J$6</f>
        <v>FY2010-11</v>
      </c>
      <c r="O346" s="47" t="s">
        <v>153</v>
      </c>
      <c r="P346" s="47" t="s">
        <v>147</v>
      </c>
      <c r="Q346" s="47" t="s">
        <v>70</v>
      </c>
      <c r="R346" s="194"/>
      <c r="S346" s="193" t="s">
        <v>103</v>
      </c>
      <c r="T346" s="194"/>
      <c r="U346" s="194"/>
      <c r="V346" s="195"/>
      <c r="W346" s="195"/>
      <c r="X346" s="195"/>
      <c r="Y346" s="195"/>
      <c r="Z346" s="195"/>
      <c r="AA346" s="195"/>
      <c r="AB346" s="195"/>
      <c r="AC346" s="195"/>
      <c r="AD346" s="195"/>
      <c r="AE346" s="195"/>
      <c r="AF346" s="195"/>
      <c r="AG346" s="195"/>
      <c r="AH346" s="6"/>
    </row>
    <row r="347" spans="1:34" s="3" customFormat="1" ht="15.95" customHeight="1">
      <c r="A347" s="7"/>
      <c r="B347" s="10"/>
      <c r="C347" s="12"/>
      <c r="D347" s="880"/>
      <c r="E347" s="880"/>
      <c r="F347" s="880"/>
      <c r="G347" s="880"/>
      <c r="H347" s="880"/>
      <c r="I347" s="880"/>
      <c r="J347" s="880"/>
      <c r="K347" s="880"/>
      <c r="L347" s="881"/>
      <c r="M347" s="880"/>
      <c r="N347" s="873"/>
      <c r="O347" s="873"/>
      <c r="P347" s="873"/>
      <c r="Q347" s="880"/>
      <c r="R347" s="880"/>
      <c r="S347" s="880"/>
      <c r="T347" s="882"/>
      <c r="U347" s="882"/>
      <c r="V347" s="883"/>
      <c r="W347" s="883"/>
      <c r="X347" s="883"/>
      <c r="Y347" s="883"/>
      <c r="Z347" s="883"/>
      <c r="AA347" s="883"/>
      <c r="AB347" s="883"/>
      <c r="AC347" s="883"/>
      <c r="AD347" s="883"/>
      <c r="AE347" s="883"/>
      <c r="AF347" s="883"/>
      <c r="AG347" s="883"/>
    </row>
    <row r="348" spans="1:34" s="3" customFormat="1" ht="15.95" customHeight="1">
      <c r="A348" s="7"/>
      <c r="B348" s="10"/>
      <c r="C348" s="12"/>
      <c r="D348" s="880"/>
      <c r="E348" s="880"/>
      <c r="F348" s="880"/>
      <c r="G348" s="880"/>
      <c r="H348" s="880"/>
      <c r="I348" s="880"/>
      <c r="J348" s="880"/>
      <c r="K348" s="880"/>
      <c r="L348" s="881"/>
      <c r="M348" s="880"/>
      <c r="N348" s="873"/>
      <c r="O348" s="873"/>
      <c r="P348" s="873"/>
      <c r="Q348" s="880"/>
      <c r="R348" s="880"/>
      <c r="S348" s="880"/>
      <c r="T348" s="882"/>
      <c r="U348" s="882"/>
      <c r="V348" s="883"/>
      <c r="W348" s="883"/>
      <c r="X348" s="883"/>
      <c r="Y348" s="883"/>
      <c r="Z348" s="883"/>
      <c r="AA348" s="883"/>
      <c r="AB348" s="883"/>
      <c r="AC348" s="883"/>
      <c r="AD348" s="883"/>
      <c r="AE348" s="883"/>
      <c r="AF348" s="883"/>
      <c r="AG348" s="883"/>
    </row>
    <row r="349" spans="1:34" s="3" customFormat="1" ht="15.95" customHeight="1">
      <c r="A349" s="7"/>
      <c r="B349" s="10"/>
      <c r="C349" s="12"/>
      <c r="D349" s="880"/>
      <c r="E349" s="880"/>
      <c r="F349" s="880"/>
      <c r="G349" s="880"/>
      <c r="H349" s="880"/>
      <c r="I349" s="880"/>
      <c r="J349" s="880"/>
      <c r="K349" s="880"/>
      <c r="L349" s="881"/>
      <c r="M349" s="880"/>
      <c r="N349" s="873"/>
      <c r="O349" s="873"/>
      <c r="P349" s="873"/>
      <c r="Q349" s="880"/>
      <c r="R349" s="880"/>
      <c r="S349" s="880"/>
      <c r="T349" s="882"/>
      <c r="U349" s="882"/>
      <c r="V349" s="883"/>
      <c r="W349" s="883"/>
      <c r="X349" s="883"/>
      <c r="Y349" s="883"/>
      <c r="Z349" s="883"/>
      <c r="AA349" s="883"/>
      <c r="AB349" s="883"/>
      <c r="AC349" s="883"/>
      <c r="AD349" s="883"/>
      <c r="AE349" s="883"/>
      <c r="AF349" s="883"/>
      <c r="AG349" s="883"/>
    </row>
    <row r="350" spans="1:34" s="3" customFormat="1" ht="15.95" customHeight="1">
      <c r="A350" s="7"/>
      <c r="B350" s="10"/>
      <c r="C350" s="12"/>
      <c r="D350" s="880"/>
      <c r="E350" s="880"/>
      <c r="F350" s="880"/>
      <c r="G350" s="880"/>
      <c r="H350" s="880"/>
      <c r="I350" s="880"/>
      <c r="J350" s="880"/>
      <c r="K350" s="880"/>
      <c r="L350" s="881"/>
      <c r="M350" s="880"/>
      <c r="N350" s="873"/>
      <c r="O350" s="873"/>
      <c r="P350" s="873"/>
      <c r="Q350" s="880"/>
      <c r="R350" s="880"/>
      <c r="S350" s="880"/>
      <c r="T350" s="882"/>
      <c r="U350" s="882"/>
      <c r="V350" s="883"/>
      <c r="W350" s="883"/>
      <c r="X350" s="883"/>
      <c r="Y350" s="883"/>
      <c r="Z350" s="883"/>
      <c r="AA350" s="883"/>
      <c r="AB350" s="883"/>
      <c r="AC350" s="883"/>
      <c r="AD350" s="883"/>
      <c r="AE350" s="883"/>
      <c r="AF350" s="883"/>
      <c r="AG350" s="883"/>
    </row>
    <row r="351" spans="1:34" s="3" customFormat="1" ht="15.95" customHeight="1">
      <c r="A351" s="7"/>
      <c r="B351" s="10"/>
      <c r="C351" s="12"/>
      <c r="D351" s="880"/>
      <c r="E351" s="880"/>
      <c r="F351" s="880"/>
      <c r="G351" s="880"/>
      <c r="H351" s="880"/>
      <c r="I351" s="880"/>
      <c r="J351" s="880"/>
      <c r="K351" s="880"/>
      <c r="L351" s="881"/>
      <c r="M351" s="880"/>
      <c r="N351" s="873"/>
      <c r="O351" s="873"/>
      <c r="P351" s="873"/>
      <c r="Q351" s="880"/>
      <c r="R351" s="880"/>
      <c r="S351" s="880"/>
      <c r="T351" s="882"/>
      <c r="U351" s="882"/>
      <c r="V351" s="883"/>
      <c r="W351" s="883"/>
      <c r="X351" s="883"/>
      <c r="Y351" s="883"/>
      <c r="Z351" s="883"/>
      <c r="AA351" s="883"/>
      <c r="AB351" s="883"/>
      <c r="AC351" s="883"/>
      <c r="AD351" s="883"/>
      <c r="AE351" s="883"/>
      <c r="AF351" s="883"/>
      <c r="AG351" s="883"/>
    </row>
    <row r="352" spans="1:34" s="3" customFormat="1" ht="15.95" customHeight="1">
      <c r="A352" s="29"/>
      <c r="B352" s="30"/>
      <c r="C352" s="30"/>
      <c r="D352" s="31"/>
      <c r="E352" s="31"/>
      <c r="F352" s="32"/>
      <c r="G352" s="31"/>
      <c r="H352" s="32"/>
      <c r="I352" s="32"/>
      <c r="J352" s="31"/>
      <c r="K352" s="31"/>
      <c r="L352" s="284"/>
      <c r="M352" s="32"/>
      <c r="N352" s="32"/>
      <c r="O352" s="31"/>
      <c r="P352" s="32"/>
      <c r="Q352" s="32"/>
      <c r="R352" s="31"/>
      <c r="S352" s="32"/>
      <c r="T352" s="31"/>
      <c r="U352" s="31"/>
      <c r="V352" s="29"/>
      <c r="W352" s="29"/>
      <c r="X352" s="29"/>
      <c r="Y352" s="29"/>
      <c r="Z352" s="29"/>
      <c r="AA352" s="29"/>
      <c r="AB352" s="29"/>
      <c r="AC352" s="29"/>
      <c r="AD352" s="29"/>
      <c r="AE352" s="29"/>
      <c r="AF352" s="29"/>
      <c r="AG352" s="29"/>
    </row>
    <row r="353" spans="1:34" s="3" customFormat="1" ht="15.95" customHeight="1" thickBot="1">
      <c r="A353" s="7"/>
      <c r="B353" s="19" t="str">
        <f>"FA2 = "&amp;'FIG3'!$W$53&amp;" "&amp;'FIG3'!$X$53</f>
        <v>FA2 = Atlanta Public Schools</v>
      </c>
      <c r="C353" s="7"/>
      <c r="D353" s="8"/>
      <c r="E353" s="8"/>
      <c r="F353" s="9"/>
      <c r="G353" s="8"/>
      <c r="H353" s="9"/>
      <c r="I353" s="9"/>
      <c r="J353" s="8"/>
      <c r="K353" s="8"/>
      <c r="L353" s="280"/>
      <c r="M353" s="9"/>
      <c r="N353" s="9"/>
      <c r="O353" s="8"/>
      <c r="P353" s="9"/>
      <c r="Q353" s="9"/>
      <c r="R353" s="8"/>
      <c r="S353" s="866"/>
      <c r="T353" s="867" t="str">
        <f>'$REV-DB'!$T$34</f>
        <v>UD1</v>
      </c>
      <c r="U353" s="867" t="str">
        <f>'$REV-DB'!$U$34</f>
        <v>UD2</v>
      </c>
      <c r="V353" s="867" t="str">
        <f>'$REV-DB'!$V$34</f>
        <v>UD3</v>
      </c>
      <c r="W353" s="867" t="str">
        <f>'$REV-DB'!$W$34</f>
        <v>UD4</v>
      </c>
      <c r="X353" s="867" t="str">
        <f>'$REV-DB'!$X$34</f>
        <v>UD5</v>
      </c>
      <c r="Y353" s="867" t="str">
        <f>'$REV-DB'!$Y$34</f>
        <v>UD6</v>
      </c>
      <c r="Z353" s="867" t="str">
        <f>'$REV-DB'!$Z$34</f>
        <v>UD7</v>
      </c>
      <c r="AA353" s="867" t="str">
        <f>'$REV-DB'!$AA$34</f>
        <v>UD8</v>
      </c>
      <c r="AB353" s="867" t="str">
        <f>'$REV-DB'!$AB$34</f>
        <v>UD9</v>
      </c>
      <c r="AC353" s="867" t="str">
        <f>'$REV-DB'!$AC$34</f>
        <v>UD10</v>
      </c>
      <c r="AD353" s="867" t="str">
        <f>'$REV-DB'!$AD$34</f>
        <v>UD11</v>
      </c>
      <c r="AE353" s="867" t="str">
        <f>'$REV-DB'!$AE$34</f>
        <v>UD12</v>
      </c>
      <c r="AF353" s="867" t="str">
        <f>'$REV-DB'!$AF$34</f>
        <v>UD13</v>
      </c>
      <c r="AG353" s="867" t="str">
        <f>'$REV-DB'!$AG$34</f>
        <v>UD14</v>
      </c>
    </row>
    <row r="354" spans="1:34" s="3" customFormat="1" ht="15.95" customHeight="1" thickTop="1" thickBot="1">
      <c r="A354" s="7"/>
      <c r="B354" s="20" t="s">
        <v>4</v>
      </c>
      <c r="C354" s="15"/>
      <c r="D354" s="861" t="s">
        <v>186</v>
      </c>
      <c r="E354" s="861" t="s">
        <v>187</v>
      </c>
      <c r="F354" s="861" t="s">
        <v>188</v>
      </c>
      <c r="G354" s="861" t="s">
        <v>189</v>
      </c>
      <c r="H354" s="861" t="s">
        <v>11</v>
      </c>
      <c r="I354" s="861" t="s">
        <v>190</v>
      </c>
      <c r="J354" s="861" t="s">
        <v>191</v>
      </c>
      <c r="K354" s="861" t="s">
        <v>192</v>
      </c>
      <c r="L354" s="861" t="s">
        <v>203</v>
      </c>
      <c r="M354" s="861" t="s">
        <v>42</v>
      </c>
      <c r="N354" s="861" t="s">
        <v>148</v>
      </c>
      <c r="O354" s="861" t="s">
        <v>193</v>
      </c>
      <c r="P354" s="861" t="s">
        <v>142</v>
      </c>
      <c r="Q354" s="861" t="s">
        <v>194</v>
      </c>
      <c r="R354" s="112" t="s">
        <v>141</v>
      </c>
      <c r="S354" s="112" t="s">
        <v>672</v>
      </c>
      <c r="T354" s="861" t="s">
        <v>541</v>
      </c>
      <c r="U354" s="861" t="s">
        <v>542</v>
      </c>
      <c r="V354" s="861" t="s">
        <v>543</v>
      </c>
      <c r="W354" s="861" t="s">
        <v>544</v>
      </c>
      <c r="X354" s="861" t="s">
        <v>545</v>
      </c>
      <c r="Y354" s="861" t="s">
        <v>546</v>
      </c>
      <c r="Z354" s="861" t="s">
        <v>547</v>
      </c>
      <c r="AA354" s="861" t="s">
        <v>548</v>
      </c>
      <c r="AB354" s="861" t="s">
        <v>549</v>
      </c>
      <c r="AC354" s="861" t="s">
        <v>550</v>
      </c>
      <c r="AD354" s="861" t="s">
        <v>551</v>
      </c>
      <c r="AE354" s="861" t="s">
        <v>552</v>
      </c>
      <c r="AF354" s="861" t="s">
        <v>553</v>
      </c>
      <c r="AG354" s="861" t="s">
        <v>554</v>
      </c>
      <c r="AH354" s="6"/>
    </row>
    <row r="355" spans="1:34" s="3" customFormat="1" ht="15.95" customHeight="1" thickTop="1">
      <c r="A355" s="7"/>
      <c r="B355" s="19" t="s">
        <v>150</v>
      </c>
      <c r="C355" s="12"/>
      <c r="D355" s="194"/>
      <c r="E355" s="194"/>
      <c r="F355" s="193"/>
      <c r="G355" s="194"/>
      <c r="H355" s="193"/>
      <c r="I355" s="193"/>
      <c r="J355" s="194"/>
      <c r="K355" s="194"/>
      <c r="L355" s="285" t="s">
        <v>34</v>
      </c>
      <c r="M355" s="193"/>
      <c r="N355" s="47" t="str">
        <f>J$6</f>
        <v>FY2010-11</v>
      </c>
      <c r="O355" s="47" t="s">
        <v>153</v>
      </c>
      <c r="P355" s="47" t="s">
        <v>138</v>
      </c>
      <c r="Q355" s="47" t="s">
        <v>140</v>
      </c>
      <c r="R355" s="194"/>
      <c r="S355" s="193"/>
      <c r="T355" s="194"/>
      <c r="U355" s="194"/>
      <c r="V355" s="195"/>
      <c r="W355" s="195"/>
      <c r="X355" s="195"/>
      <c r="Y355" s="195"/>
      <c r="Z355" s="195"/>
      <c r="AA355" s="195"/>
      <c r="AB355" s="195"/>
      <c r="AC355" s="195"/>
      <c r="AD355" s="195"/>
      <c r="AE355" s="195"/>
      <c r="AF355" s="195"/>
      <c r="AG355" s="195"/>
      <c r="AH355" s="6"/>
    </row>
    <row r="356" spans="1:34" s="3" customFormat="1" ht="15.95" customHeight="1">
      <c r="A356" s="7"/>
      <c r="B356" s="16">
        <f>DSUM('$REV-DB'!D35:AG67,"AMOUNT",D354:AG356)</f>
        <v>0</v>
      </c>
      <c r="C356" s="12"/>
      <c r="D356" s="194"/>
      <c r="E356" s="194"/>
      <c r="F356" s="193"/>
      <c r="G356" s="194"/>
      <c r="H356" s="193"/>
      <c r="I356" s="193"/>
      <c r="J356" s="194"/>
      <c r="K356" s="194"/>
      <c r="L356" s="285" t="s">
        <v>34</v>
      </c>
      <c r="M356" s="193"/>
      <c r="N356" s="47" t="str">
        <f>J$6</f>
        <v>FY2010-11</v>
      </c>
      <c r="O356" s="47" t="s">
        <v>153</v>
      </c>
      <c r="P356" s="47" t="s">
        <v>147</v>
      </c>
      <c r="Q356" s="47" t="s">
        <v>140</v>
      </c>
      <c r="R356" s="194"/>
      <c r="S356" s="193" t="s">
        <v>103</v>
      </c>
      <c r="T356" s="194"/>
      <c r="U356" s="194"/>
      <c r="V356" s="195"/>
      <c r="W356" s="195"/>
      <c r="X356" s="195"/>
      <c r="Y356" s="195"/>
      <c r="Z356" s="195"/>
      <c r="AA356" s="195"/>
      <c r="AB356" s="195"/>
      <c r="AC356" s="195"/>
      <c r="AD356" s="195"/>
      <c r="AE356" s="195"/>
      <c r="AF356" s="195"/>
      <c r="AG356" s="195"/>
      <c r="AH356" s="6"/>
    </row>
    <row r="357" spans="1:34" s="3" customFormat="1" ht="15.95" customHeight="1">
      <c r="A357" s="7"/>
      <c r="B357" s="10"/>
      <c r="C357" s="12"/>
      <c r="D357" s="880"/>
      <c r="E357" s="880"/>
      <c r="F357" s="880"/>
      <c r="G357" s="880"/>
      <c r="H357" s="880"/>
      <c r="I357" s="880"/>
      <c r="J357" s="880"/>
      <c r="K357" s="880"/>
      <c r="L357" s="881"/>
      <c r="M357" s="880"/>
      <c r="N357" s="873"/>
      <c r="O357" s="873"/>
      <c r="P357" s="873"/>
      <c r="Q357" s="880"/>
      <c r="R357" s="880"/>
      <c r="S357" s="880"/>
      <c r="T357" s="882"/>
      <c r="U357" s="882"/>
      <c r="V357" s="883"/>
      <c r="W357" s="883"/>
      <c r="X357" s="883"/>
      <c r="Y357" s="883"/>
      <c r="Z357" s="883"/>
      <c r="AA357" s="883"/>
      <c r="AB357" s="883"/>
      <c r="AC357" s="883"/>
      <c r="AD357" s="883"/>
      <c r="AE357" s="883"/>
      <c r="AF357" s="883"/>
      <c r="AG357" s="883"/>
    </row>
    <row r="358" spans="1:34" s="3" customFormat="1" ht="15.95" customHeight="1">
      <c r="A358" s="7"/>
      <c r="B358" s="10"/>
      <c r="C358" s="12"/>
      <c r="D358" s="880"/>
      <c r="E358" s="880"/>
      <c r="F358" s="880"/>
      <c r="G358" s="880"/>
      <c r="H358" s="880"/>
      <c r="I358" s="880"/>
      <c r="J358" s="880"/>
      <c r="K358" s="880"/>
      <c r="L358" s="881"/>
      <c r="M358" s="880"/>
      <c r="N358" s="873"/>
      <c r="O358" s="873"/>
      <c r="P358" s="873"/>
      <c r="Q358" s="880"/>
      <c r="R358" s="880"/>
      <c r="S358" s="880"/>
      <c r="T358" s="882"/>
      <c r="U358" s="882"/>
      <c r="V358" s="883"/>
      <c r="W358" s="883"/>
      <c r="X358" s="883"/>
      <c r="Y358" s="883"/>
      <c r="Z358" s="883"/>
      <c r="AA358" s="883"/>
      <c r="AB358" s="883"/>
      <c r="AC358" s="883"/>
      <c r="AD358" s="883"/>
      <c r="AE358" s="883"/>
      <c r="AF358" s="883"/>
      <c r="AG358" s="883"/>
    </row>
    <row r="359" spans="1:34" s="3" customFormat="1" ht="15.95" customHeight="1">
      <c r="A359" s="7"/>
      <c r="B359" s="10"/>
      <c r="C359" s="12"/>
      <c r="D359" s="880"/>
      <c r="E359" s="880"/>
      <c r="F359" s="880"/>
      <c r="G359" s="880"/>
      <c r="H359" s="880"/>
      <c r="I359" s="880"/>
      <c r="J359" s="880"/>
      <c r="K359" s="880"/>
      <c r="L359" s="881"/>
      <c r="M359" s="880"/>
      <c r="N359" s="873"/>
      <c r="O359" s="873"/>
      <c r="P359" s="873"/>
      <c r="Q359" s="880"/>
      <c r="R359" s="880"/>
      <c r="S359" s="880"/>
      <c r="T359" s="882"/>
      <c r="U359" s="882"/>
      <c r="V359" s="883"/>
      <c r="W359" s="883"/>
      <c r="X359" s="883"/>
      <c r="Y359" s="883"/>
      <c r="Z359" s="883"/>
      <c r="AA359" s="883"/>
      <c r="AB359" s="883"/>
      <c r="AC359" s="883"/>
      <c r="AD359" s="883"/>
      <c r="AE359" s="883"/>
      <c r="AF359" s="883"/>
      <c r="AG359" s="883"/>
    </row>
    <row r="360" spans="1:34" s="3" customFormat="1" ht="15.95" customHeight="1">
      <c r="A360" s="7"/>
      <c r="B360" s="10"/>
      <c r="C360" s="12"/>
      <c r="D360" s="880"/>
      <c r="E360" s="880"/>
      <c r="F360" s="880"/>
      <c r="G360" s="880"/>
      <c r="H360" s="880"/>
      <c r="I360" s="880"/>
      <c r="J360" s="880"/>
      <c r="K360" s="880"/>
      <c r="L360" s="881"/>
      <c r="M360" s="880"/>
      <c r="N360" s="873"/>
      <c r="O360" s="873"/>
      <c r="P360" s="873"/>
      <c r="Q360" s="880"/>
      <c r="R360" s="880"/>
      <c r="S360" s="880"/>
      <c r="T360" s="882"/>
      <c r="U360" s="882"/>
      <c r="V360" s="883"/>
      <c r="W360" s="883"/>
      <c r="X360" s="883"/>
      <c r="Y360" s="883"/>
      <c r="Z360" s="883"/>
      <c r="AA360" s="883"/>
      <c r="AB360" s="883"/>
      <c r="AC360" s="883"/>
      <c r="AD360" s="883"/>
      <c r="AE360" s="883"/>
      <c r="AF360" s="883"/>
      <c r="AG360" s="883"/>
    </row>
    <row r="361" spans="1:34" s="3" customFormat="1" ht="15.95" customHeight="1">
      <c r="A361" s="7"/>
      <c r="B361" s="10"/>
      <c r="C361" s="12"/>
      <c r="D361" s="880"/>
      <c r="E361" s="880"/>
      <c r="F361" s="880"/>
      <c r="G361" s="880"/>
      <c r="H361" s="880"/>
      <c r="I361" s="880"/>
      <c r="J361" s="880"/>
      <c r="K361" s="880"/>
      <c r="L361" s="881"/>
      <c r="M361" s="880"/>
      <c r="N361" s="873"/>
      <c r="O361" s="873"/>
      <c r="P361" s="873"/>
      <c r="Q361" s="880"/>
      <c r="R361" s="880"/>
      <c r="S361" s="880"/>
      <c r="T361" s="882"/>
      <c r="U361" s="882"/>
      <c r="V361" s="883"/>
      <c r="W361" s="883"/>
      <c r="X361" s="883"/>
      <c r="Y361" s="883"/>
      <c r="Z361" s="883"/>
      <c r="AA361" s="883"/>
      <c r="AB361" s="883"/>
      <c r="AC361" s="883"/>
      <c r="AD361" s="883"/>
      <c r="AE361" s="883"/>
      <c r="AF361" s="883"/>
      <c r="AG361" s="883"/>
    </row>
    <row r="362" spans="1:34" s="3" customFormat="1" ht="15.95" customHeight="1">
      <c r="A362" s="29"/>
      <c r="B362" s="30"/>
      <c r="C362" s="30"/>
      <c r="D362" s="31"/>
      <c r="E362" s="31"/>
      <c r="F362" s="32"/>
      <c r="G362" s="31"/>
      <c r="H362" s="32"/>
      <c r="I362" s="32"/>
      <c r="J362" s="31"/>
      <c r="K362" s="31"/>
      <c r="L362" s="284"/>
      <c r="M362" s="32"/>
      <c r="N362" s="32"/>
      <c r="O362" s="31"/>
      <c r="P362" s="32"/>
      <c r="Q362" s="32"/>
      <c r="R362" s="31"/>
      <c r="S362" s="32"/>
      <c r="T362" s="31"/>
      <c r="U362" s="31"/>
      <c r="V362" s="29"/>
      <c r="W362" s="29"/>
      <c r="X362" s="29"/>
      <c r="Y362" s="29"/>
      <c r="Z362" s="29"/>
      <c r="AA362" s="29"/>
      <c r="AB362" s="29"/>
      <c r="AC362" s="29"/>
      <c r="AD362" s="29"/>
      <c r="AE362" s="29"/>
      <c r="AF362" s="29"/>
      <c r="AG362" s="29"/>
    </row>
    <row r="363" spans="1:34" s="3" customFormat="1" ht="15.95" customHeight="1" thickBot="1">
      <c r="A363" s="7"/>
      <c r="B363" s="19" t="str">
        <f>"FA2 = "&amp;'FIG3'!$W$53&amp;" "&amp;'FIG3'!$X$53</f>
        <v>FA2 = Atlanta Public Schools</v>
      </c>
      <c r="C363" s="7"/>
      <c r="D363" s="17"/>
      <c r="E363" s="17"/>
      <c r="F363" s="18"/>
      <c r="G363" s="17"/>
      <c r="H363" s="18"/>
      <c r="I363" s="18"/>
      <c r="J363" s="17"/>
      <c r="K363" s="17"/>
      <c r="L363" s="281"/>
      <c r="M363" s="18"/>
      <c r="N363" s="9"/>
      <c r="O363" s="17"/>
      <c r="P363" s="18"/>
      <c r="Q363" s="18"/>
      <c r="R363" s="17"/>
      <c r="S363" s="866"/>
      <c r="T363" s="867" t="str">
        <f>'$REV-DB'!$T$34</f>
        <v>UD1</v>
      </c>
      <c r="U363" s="867" t="str">
        <f>'$REV-DB'!$U$34</f>
        <v>UD2</v>
      </c>
      <c r="V363" s="867" t="str">
        <f>'$REV-DB'!$V$34</f>
        <v>UD3</v>
      </c>
      <c r="W363" s="867" t="str">
        <f>'$REV-DB'!$W$34</f>
        <v>UD4</v>
      </c>
      <c r="X363" s="867" t="str">
        <f>'$REV-DB'!$X$34</f>
        <v>UD5</v>
      </c>
      <c r="Y363" s="867" t="str">
        <f>'$REV-DB'!$Y$34</f>
        <v>UD6</v>
      </c>
      <c r="Z363" s="867" t="str">
        <f>'$REV-DB'!$Z$34</f>
        <v>UD7</v>
      </c>
      <c r="AA363" s="867" t="str">
        <f>'$REV-DB'!$AA$34</f>
        <v>UD8</v>
      </c>
      <c r="AB363" s="867" t="str">
        <f>'$REV-DB'!$AB$34</f>
        <v>UD9</v>
      </c>
      <c r="AC363" s="867" t="str">
        <f>'$REV-DB'!$AC$34</f>
        <v>UD10</v>
      </c>
      <c r="AD363" s="867" t="str">
        <f>'$REV-DB'!$AD$34</f>
        <v>UD11</v>
      </c>
      <c r="AE363" s="867" t="str">
        <f>'$REV-DB'!$AE$34</f>
        <v>UD12</v>
      </c>
      <c r="AF363" s="867" t="str">
        <f>'$REV-DB'!$AF$34</f>
        <v>UD13</v>
      </c>
      <c r="AG363" s="867" t="str">
        <f>'$REV-DB'!$AG$34</f>
        <v>UD14</v>
      </c>
    </row>
    <row r="364" spans="1:34" s="3" customFormat="1" ht="15.95" customHeight="1" thickTop="1" thickBot="1">
      <c r="A364" s="7"/>
      <c r="B364" s="20" t="s">
        <v>175</v>
      </c>
      <c r="C364" s="15"/>
      <c r="D364" s="861" t="s">
        <v>186</v>
      </c>
      <c r="E364" s="861" t="s">
        <v>187</v>
      </c>
      <c r="F364" s="861" t="s">
        <v>188</v>
      </c>
      <c r="G364" s="861" t="s">
        <v>189</v>
      </c>
      <c r="H364" s="861" t="s">
        <v>11</v>
      </c>
      <c r="I364" s="861" t="s">
        <v>190</v>
      </c>
      <c r="J364" s="861" t="s">
        <v>191</v>
      </c>
      <c r="K364" s="861" t="s">
        <v>192</v>
      </c>
      <c r="L364" s="861" t="s">
        <v>203</v>
      </c>
      <c r="M364" s="861" t="s">
        <v>42</v>
      </c>
      <c r="N364" s="861" t="s">
        <v>148</v>
      </c>
      <c r="O364" s="861" t="s">
        <v>193</v>
      </c>
      <c r="P364" s="861" t="s">
        <v>142</v>
      </c>
      <c r="Q364" s="861" t="s">
        <v>194</v>
      </c>
      <c r="R364" s="112" t="s">
        <v>141</v>
      </c>
      <c r="S364" s="112" t="s">
        <v>672</v>
      </c>
      <c r="T364" s="861" t="s">
        <v>541</v>
      </c>
      <c r="U364" s="861" t="s">
        <v>542</v>
      </c>
      <c r="V364" s="861" t="s">
        <v>543</v>
      </c>
      <c r="W364" s="861" t="s">
        <v>544</v>
      </c>
      <c r="X364" s="861" t="s">
        <v>545</v>
      </c>
      <c r="Y364" s="861" t="s">
        <v>546</v>
      </c>
      <c r="Z364" s="861" t="s">
        <v>547</v>
      </c>
      <c r="AA364" s="861" t="s">
        <v>548</v>
      </c>
      <c r="AB364" s="861" t="s">
        <v>549</v>
      </c>
      <c r="AC364" s="861" t="s">
        <v>550</v>
      </c>
      <c r="AD364" s="861" t="s">
        <v>551</v>
      </c>
      <c r="AE364" s="861" t="s">
        <v>552</v>
      </c>
      <c r="AF364" s="861" t="s">
        <v>553</v>
      </c>
      <c r="AG364" s="861" t="s">
        <v>554</v>
      </c>
      <c r="AH364" s="6"/>
    </row>
    <row r="365" spans="1:34" s="3" customFormat="1" ht="15.95" customHeight="1" thickTop="1">
      <c r="A365" s="7"/>
      <c r="B365" s="19" t="s">
        <v>146</v>
      </c>
      <c r="C365" s="12"/>
      <c r="D365" s="194"/>
      <c r="E365" s="194"/>
      <c r="F365" s="193"/>
      <c r="G365" s="194"/>
      <c r="H365" s="193"/>
      <c r="I365" s="193"/>
      <c r="J365" s="194"/>
      <c r="K365" s="194"/>
      <c r="L365" s="285" t="s">
        <v>34</v>
      </c>
      <c r="M365" s="193"/>
      <c r="N365" s="47" t="str">
        <f>J$6</f>
        <v>FY2010-11</v>
      </c>
      <c r="O365" s="47" t="s">
        <v>153</v>
      </c>
      <c r="P365" s="47" t="s">
        <v>147</v>
      </c>
      <c r="Q365" s="47"/>
      <c r="R365" s="194"/>
      <c r="S365" s="193" t="s">
        <v>611</v>
      </c>
      <c r="T365" s="194"/>
      <c r="U365" s="194"/>
      <c r="V365" s="195"/>
      <c r="W365" s="195"/>
      <c r="X365" s="195"/>
      <c r="Y365" s="195"/>
      <c r="Z365" s="195"/>
      <c r="AA365" s="195"/>
      <c r="AB365" s="195"/>
      <c r="AC365" s="195"/>
      <c r="AD365" s="195"/>
      <c r="AE365" s="195"/>
      <c r="AF365" s="195"/>
      <c r="AG365" s="195"/>
      <c r="AH365" s="6"/>
    </row>
    <row r="366" spans="1:34" s="3" customFormat="1" ht="15.95" customHeight="1">
      <c r="A366" s="7"/>
      <c r="B366" s="16">
        <f>DSUM('$REV-DB'!D35:AG67,"AMOUNT",D364:AG365)</f>
        <v>56530342</v>
      </c>
      <c r="C366" s="12"/>
      <c r="D366" s="880"/>
      <c r="E366" s="880"/>
      <c r="F366" s="880"/>
      <c r="G366" s="880"/>
      <c r="H366" s="880"/>
      <c r="I366" s="880"/>
      <c r="J366" s="880"/>
      <c r="K366" s="880"/>
      <c r="L366" s="881"/>
      <c r="M366" s="880"/>
      <c r="N366" s="873"/>
      <c r="O366" s="880"/>
      <c r="P366" s="873"/>
      <c r="Q366" s="884"/>
      <c r="R366" s="880"/>
      <c r="S366" s="880"/>
      <c r="T366" s="882"/>
      <c r="U366" s="882"/>
      <c r="V366" s="883"/>
      <c r="W366" s="883"/>
      <c r="X366" s="883"/>
      <c r="Y366" s="883"/>
      <c r="Z366" s="883"/>
      <c r="AA366" s="883"/>
      <c r="AB366" s="883"/>
      <c r="AC366" s="883"/>
      <c r="AD366" s="883"/>
      <c r="AE366" s="883"/>
      <c r="AF366" s="883"/>
      <c r="AG366" s="883"/>
      <c r="AH366" s="6"/>
    </row>
    <row r="367" spans="1:34" s="3" customFormat="1" ht="15.95" customHeight="1">
      <c r="A367" s="7"/>
      <c r="B367" s="10"/>
      <c r="C367" s="12"/>
      <c r="D367" s="880"/>
      <c r="E367" s="880"/>
      <c r="F367" s="880"/>
      <c r="G367" s="880"/>
      <c r="H367" s="880"/>
      <c r="I367" s="880"/>
      <c r="J367" s="880"/>
      <c r="K367" s="880"/>
      <c r="L367" s="881"/>
      <c r="M367" s="880"/>
      <c r="N367" s="873"/>
      <c r="O367" s="880"/>
      <c r="P367" s="873"/>
      <c r="Q367" s="884"/>
      <c r="R367" s="880"/>
      <c r="S367" s="880"/>
      <c r="T367" s="882"/>
      <c r="U367" s="882"/>
      <c r="V367" s="883"/>
      <c r="W367" s="883"/>
      <c r="X367" s="883"/>
      <c r="Y367" s="883"/>
      <c r="Z367" s="883"/>
      <c r="AA367" s="883"/>
      <c r="AB367" s="883"/>
      <c r="AC367" s="883"/>
      <c r="AD367" s="883"/>
      <c r="AE367" s="883"/>
      <c r="AF367" s="883"/>
      <c r="AG367" s="883"/>
    </row>
    <row r="368" spans="1:34" s="3" customFormat="1" ht="15.95" customHeight="1">
      <c r="A368" s="7"/>
      <c r="B368" s="10"/>
      <c r="C368" s="12"/>
      <c r="D368" s="880"/>
      <c r="E368" s="880"/>
      <c r="F368" s="880"/>
      <c r="G368" s="880"/>
      <c r="H368" s="880"/>
      <c r="I368" s="880"/>
      <c r="J368" s="880"/>
      <c r="K368" s="880"/>
      <c r="L368" s="881"/>
      <c r="M368" s="880"/>
      <c r="N368" s="873"/>
      <c r="O368" s="880"/>
      <c r="P368" s="873"/>
      <c r="Q368" s="884"/>
      <c r="R368" s="880"/>
      <c r="S368" s="880"/>
      <c r="T368" s="882"/>
      <c r="U368" s="882"/>
      <c r="V368" s="883"/>
      <c r="W368" s="883"/>
      <c r="X368" s="883"/>
      <c r="Y368" s="883"/>
      <c r="Z368" s="883"/>
      <c r="AA368" s="883"/>
      <c r="AB368" s="883"/>
      <c r="AC368" s="883"/>
      <c r="AD368" s="883"/>
      <c r="AE368" s="883"/>
      <c r="AF368" s="883"/>
      <c r="AG368" s="883"/>
    </row>
    <row r="369" spans="1:34" s="3" customFormat="1" ht="15.95" customHeight="1">
      <c r="A369" s="7"/>
      <c r="B369" s="10"/>
      <c r="C369" s="12"/>
      <c r="D369" s="880"/>
      <c r="E369" s="880"/>
      <c r="F369" s="880"/>
      <c r="G369" s="880"/>
      <c r="H369" s="880"/>
      <c r="I369" s="880"/>
      <c r="J369" s="880"/>
      <c r="K369" s="880"/>
      <c r="L369" s="881"/>
      <c r="M369" s="880"/>
      <c r="N369" s="873"/>
      <c r="O369" s="880"/>
      <c r="P369" s="873"/>
      <c r="Q369" s="884"/>
      <c r="R369" s="880"/>
      <c r="S369" s="880"/>
      <c r="T369" s="882"/>
      <c r="U369" s="882"/>
      <c r="V369" s="883"/>
      <c r="W369" s="883"/>
      <c r="X369" s="883"/>
      <c r="Y369" s="883"/>
      <c r="Z369" s="883"/>
      <c r="AA369" s="883"/>
      <c r="AB369" s="883"/>
      <c r="AC369" s="883"/>
      <c r="AD369" s="883"/>
      <c r="AE369" s="883"/>
      <c r="AF369" s="883"/>
      <c r="AG369" s="883"/>
    </row>
    <row r="370" spans="1:34" s="3" customFormat="1" ht="15.95" customHeight="1">
      <c r="A370" s="7"/>
      <c r="B370" s="10"/>
      <c r="C370" s="12"/>
      <c r="D370" s="880"/>
      <c r="E370" s="880"/>
      <c r="F370" s="880"/>
      <c r="G370" s="880"/>
      <c r="H370" s="880"/>
      <c r="I370" s="880"/>
      <c r="J370" s="880"/>
      <c r="K370" s="880"/>
      <c r="L370" s="881"/>
      <c r="M370" s="880"/>
      <c r="N370" s="873"/>
      <c r="O370" s="880"/>
      <c r="P370" s="873"/>
      <c r="Q370" s="884"/>
      <c r="R370" s="880"/>
      <c r="S370" s="880"/>
      <c r="T370" s="882"/>
      <c r="U370" s="882"/>
      <c r="V370" s="883"/>
      <c r="W370" s="883"/>
      <c r="X370" s="883"/>
      <c r="Y370" s="883"/>
      <c r="Z370" s="883"/>
      <c r="AA370" s="883"/>
      <c r="AB370" s="883"/>
      <c r="AC370" s="883"/>
      <c r="AD370" s="883"/>
      <c r="AE370" s="883"/>
      <c r="AF370" s="883"/>
      <c r="AG370" s="883"/>
    </row>
    <row r="371" spans="1:34" s="3" customFormat="1" ht="15.95" customHeight="1">
      <c r="A371" s="7"/>
      <c r="B371" s="10"/>
      <c r="C371" s="12"/>
      <c r="D371" s="880"/>
      <c r="E371" s="880"/>
      <c r="F371" s="880"/>
      <c r="G371" s="880"/>
      <c r="H371" s="880"/>
      <c r="I371" s="880"/>
      <c r="J371" s="880"/>
      <c r="K371" s="880"/>
      <c r="L371" s="881"/>
      <c r="M371" s="880"/>
      <c r="N371" s="873"/>
      <c r="O371" s="880"/>
      <c r="P371" s="873"/>
      <c r="Q371" s="884"/>
      <c r="R371" s="880"/>
      <c r="S371" s="880"/>
      <c r="T371" s="882"/>
      <c r="U371" s="882"/>
      <c r="V371" s="883"/>
      <c r="W371" s="883"/>
      <c r="X371" s="883"/>
      <c r="Y371" s="883"/>
      <c r="Z371" s="883"/>
      <c r="AA371" s="883"/>
      <c r="AB371" s="883"/>
      <c r="AC371" s="883"/>
      <c r="AD371" s="883"/>
      <c r="AE371" s="883"/>
      <c r="AF371" s="883"/>
      <c r="AG371" s="883"/>
    </row>
    <row r="372" spans="1:34" s="3" customFormat="1" ht="15.95" customHeight="1">
      <c r="A372" s="29"/>
      <c r="B372" s="30"/>
      <c r="C372" s="30"/>
      <c r="D372" s="31"/>
      <c r="E372" s="31"/>
      <c r="F372" s="32"/>
      <c r="G372" s="31"/>
      <c r="H372" s="32"/>
      <c r="I372" s="32"/>
      <c r="J372" s="31"/>
      <c r="K372" s="31"/>
      <c r="L372" s="284"/>
      <c r="M372" s="32"/>
      <c r="N372" s="32"/>
      <c r="O372" s="31"/>
      <c r="P372" s="32"/>
      <c r="Q372" s="32"/>
      <c r="R372" s="31"/>
      <c r="S372" s="32"/>
      <c r="T372" s="31"/>
      <c r="U372" s="31"/>
      <c r="V372" s="29"/>
      <c r="W372" s="29"/>
      <c r="X372" s="29"/>
      <c r="Y372" s="29"/>
      <c r="Z372" s="29"/>
      <c r="AA372" s="29"/>
      <c r="AB372" s="29"/>
      <c r="AC372" s="29"/>
      <c r="AD372" s="29"/>
      <c r="AE372" s="29"/>
      <c r="AF372" s="29"/>
      <c r="AG372" s="29"/>
    </row>
    <row r="373" spans="1:34" s="3" customFormat="1" ht="15.95" customHeight="1" thickBot="1">
      <c r="A373" s="7"/>
      <c r="B373" s="19" t="str">
        <f>"FA2 = "&amp;'FIG3'!$W$53&amp;" "&amp;'FIG3'!$X$53</f>
        <v>FA2 = Atlanta Public Schools</v>
      </c>
      <c r="C373" s="7"/>
      <c r="D373" s="8"/>
      <c r="E373" s="8"/>
      <c r="F373" s="9"/>
      <c r="G373" s="8"/>
      <c r="H373" s="9"/>
      <c r="I373" s="9"/>
      <c r="J373" s="8"/>
      <c r="K373" s="8"/>
      <c r="L373" s="280"/>
      <c r="M373" s="9"/>
      <c r="N373" s="9"/>
      <c r="O373" s="8"/>
      <c r="P373" s="9"/>
      <c r="Q373" s="9"/>
      <c r="R373" s="8"/>
      <c r="S373" s="866"/>
      <c r="T373" s="867" t="str">
        <f>'$REV-DB'!$T$34</f>
        <v>UD1</v>
      </c>
      <c r="U373" s="867" t="str">
        <f>'$REV-DB'!$U$34</f>
        <v>UD2</v>
      </c>
      <c r="V373" s="867" t="str">
        <f>'$REV-DB'!$V$34</f>
        <v>UD3</v>
      </c>
      <c r="W373" s="867" t="str">
        <f>'$REV-DB'!$W$34</f>
        <v>UD4</v>
      </c>
      <c r="X373" s="867" t="str">
        <f>'$REV-DB'!$X$34</f>
        <v>UD5</v>
      </c>
      <c r="Y373" s="867" t="str">
        <f>'$REV-DB'!$Y$34</f>
        <v>UD6</v>
      </c>
      <c r="Z373" s="867" t="str">
        <f>'$REV-DB'!$Z$34</f>
        <v>UD7</v>
      </c>
      <c r="AA373" s="867" t="str">
        <f>'$REV-DB'!$AA$34</f>
        <v>UD8</v>
      </c>
      <c r="AB373" s="867" t="str">
        <f>'$REV-DB'!$AB$34</f>
        <v>UD9</v>
      </c>
      <c r="AC373" s="867" t="str">
        <f>'$REV-DB'!$AC$34</f>
        <v>UD10</v>
      </c>
      <c r="AD373" s="867" t="str">
        <f>'$REV-DB'!$AD$34</f>
        <v>UD11</v>
      </c>
      <c r="AE373" s="867" t="str">
        <f>'$REV-DB'!$AE$34</f>
        <v>UD12</v>
      </c>
      <c r="AF373" s="867" t="str">
        <f>'$REV-DB'!$AF$34</f>
        <v>UD13</v>
      </c>
      <c r="AG373" s="867" t="str">
        <f>'$REV-DB'!$AG$34</f>
        <v>UD14</v>
      </c>
    </row>
    <row r="374" spans="1:34" s="3" customFormat="1" ht="15.95" customHeight="1" thickTop="1" thickBot="1">
      <c r="A374" s="7"/>
      <c r="B374" s="20" t="s">
        <v>175</v>
      </c>
      <c r="C374" s="15"/>
      <c r="D374" s="861" t="s">
        <v>186</v>
      </c>
      <c r="E374" s="861" t="s">
        <v>187</v>
      </c>
      <c r="F374" s="861" t="s">
        <v>188</v>
      </c>
      <c r="G374" s="861" t="s">
        <v>189</v>
      </c>
      <c r="H374" s="861" t="s">
        <v>11</v>
      </c>
      <c r="I374" s="861" t="s">
        <v>190</v>
      </c>
      <c r="J374" s="861" t="s">
        <v>191</v>
      </c>
      <c r="K374" s="861" t="s">
        <v>192</v>
      </c>
      <c r="L374" s="861" t="s">
        <v>203</v>
      </c>
      <c r="M374" s="861" t="s">
        <v>42</v>
      </c>
      <c r="N374" s="861" t="s">
        <v>148</v>
      </c>
      <c r="O374" s="861" t="s">
        <v>193</v>
      </c>
      <c r="P374" s="861" t="s">
        <v>142</v>
      </c>
      <c r="Q374" s="861" t="s">
        <v>194</v>
      </c>
      <c r="R374" s="112" t="s">
        <v>141</v>
      </c>
      <c r="S374" s="112" t="s">
        <v>672</v>
      </c>
      <c r="T374" s="861" t="s">
        <v>541</v>
      </c>
      <c r="U374" s="861" t="s">
        <v>542</v>
      </c>
      <c r="V374" s="861" t="s">
        <v>543</v>
      </c>
      <c r="W374" s="861" t="s">
        <v>544</v>
      </c>
      <c r="X374" s="861" t="s">
        <v>545</v>
      </c>
      <c r="Y374" s="861" t="s">
        <v>546</v>
      </c>
      <c r="Z374" s="861" t="s">
        <v>547</v>
      </c>
      <c r="AA374" s="861" t="s">
        <v>548</v>
      </c>
      <c r="AB374" s="861" t="s">
        <v>549</v>
      </c>
      <c r="AC374" s="861" t="s">
        <v>550</v>
      </c>
      <c r="AD374" s="861" t="s">
        <v>551</v>
      </c>
      <c r="AE374" s="861" t="s">
        <v>552</v>
      </c>
      <c r="AF374" s="861" t="s">
        <v>553</v>
      </c>
      <c r="AG374" s="861" t="s">
        <v>554</v>
      </c>
      <c r="AH374" s="6"/>
    </row>
    <row r="375" spans="1:34" s="3" customFormat="1" ht="15.95" customHeight="1" thickTop="1">
      <c r="A375" s="7"/>
      <c r="B375" s="19" t="s">
        <v>145</v>
      </c>
      <c r="C375" s="12"/>
      <c r="D375" s="194"/>
      <c r="E375" s="194"/>
      <c r="F375" s="193"/>
      <c r="G375" s="194"/>
      <c r="H375" s="193"/>
      <c r="I375" s="193"/>
      <c r="J375" s="194"/>
      <c r="K375" s="194"/>
      <c r="L375" s="285" t="s">
        <v>34</v>
      </c>
      <c r="M375" s="193"/>
      <c r="N375" s="47" t="str">
        <f>J$6</f>
        <v>FY2010-11</v>
      </c>
      <c r="O375" s="47" t="s">
        <v>153</v>
      </c>
      <c r="P375" s="47" t="s">
        <v>147</v>
      </c>
      <c r="Q375" s="47" t="s">
        <v>180</v>
      </c>
      <c r="R375" s="194"/>
      <c r="S375" s="193" t="s">
        <v>611</v>
      </c>
      <c r="T375" s="194"/>
      <c r="U375" s="194"/>
      <c r="V375" s="195"/>
      <c r="W375" s="195"/>
      <c r="X375" s="195"/>
      <c r="Y375" s="195"/>
      <c r="Z375" s="195"/>
      <c r="AA375" s="195"/>
      <c r="AB375" s="195"/>
      <c r="AC375" s="195"/>
      <c r="AD375" s="195"/>
      <c r="AE375" s="195"/>
      <c r="AF375" s="195"/>
      <c r="AG375" s="195"/>
      <c r="AH375" s="6"/>
    </row>
    <row r="376" spans="1:34" s="3" customFormat="1" ht="15.95" customHeight="1">
      <c r="A376" s="7"/>
      <c r="B376" s="16">
        <f>DSUM('$REV-DB'!D35:AG67,"AMOUNT",D374:AG375)</f>
        <v>4412328.3599999994</v>
      </c>
      <c r="C376" s="12"/>
      <c r="D376" s="880"/>
      <c r="E376" s="880"/>
      <c r="F376" s="880"/>
      <c r="G376" s="880"/>
      <c r="H376" s="880"/>
      <c r="I376" s="880"/>
      <c r="J376" s="880"/>
      <c r="K376" s="880"/>
      <c r="L376" s="881"/>
      <c r="M376" s="880"/>
      <c r="N376" s="873"/>
      <c r="O376" s="880"/>
      <c r="P376" s="873"/>
      <c r="Q376" s="884"/>
      <c r="R376" s="880"/>
      <c r="S376" s="880"/>
      <c r="T376" s="882"/>
      <c r="U376" s="882"/>
      <c r="V376" s="883"/>
      <c r="W376" s="883"/>
      <c r="X376" s="883"/>
      <c r="Y376" s="883"/>
      <c r="Z376" s="883"/>
      <c r="AA376" s="883"/>
      <c r="AB376" s="883"/>
      <c r="AC376" s="883"/>
      <c r="AD376" s="883"/>
      <c r="AE376" s="883"/>
      <c r="AF376" s="883"/>
      <c r="AG376" s="883"/>
      <c r="AH376" s="6"/>
    </row>
    <row r="377" spans="1:34" s="3" customFormat="1" ht="15.95" customHeight="1">
      <c r="A377" s="7"/>
      <c r="B377" s="10"/>
      <c r="C377" s="12"/>
      <c r="D377" s="880"/>
      <c r="E377" s="880"/>
      <c r="F377" s="880"/>
      <c r="G377" s="880"/>
      <c r="H377" s="880"/>
      <c r="I377" s="880"/>
      <c r="J377" s="880"/>
      <c r="K377" s="880"/>
      <c r="L377" s="881"/>
      <c r="M377" s="880"/>
      <c r="N377" s="873"/>
      <c r="O377" s="880"/>
      <c r="P377" s="873"/>
      <c r="Q377" s="884"/>
      <c r="R377" s="880"/>
      <c r="S377" s="880"/>
      <c r="T377" s="882"/>
      <c r="U377" s="882"/>
      <c r="V377" s="883"/>
      <c r="W377" s="883"/>
      <c r="X377" s="883"/>
      <c r="Y377" s="883"/>
      <c r="Z377" s="883"/>
      <c r="AA377" s="883"/>
      <c r="AB377" s="883"/>
      <c r="AC377" s="883"/>
      <c r="AD377" s="883"/>
      <c r="AE377" s="883"/>
      <c r="AF377" s="883"/>
      <c r="AG377" s="883"/>
    </row>
    <row r="378" spans="1:34" s="3" customFormat="1" ht="15.95" customHeight="1">
      <c r="A378" s="7"/>
      <c r="B378" s="10"/>
      <c r="C378" s="12"/>
      <c r="D378" s="880"/>
      <c r="E378" s="880"/>
      <c r="F378" s="880"/>
      <c r="G378" s="880"/>
      <c r="H378" s="880"/>
      <c r="I378" s="880"/>
      <c r="J378" s="880"/>
      <c r="K378" s="880"/>
      <c r="L378" s="881"/>
      <c r="M378" s="880"/>
      <c r="N378" s="873"/>
      <c r="O378" s="880"/>
      <c r="P378" s="873"/>
      <c r="Q378" s="884"/>
      <c r="R378" s="880"/>
      <c r="S378" s="880"/>
      <c r="T378" s="882"/>
      <c r="U378" s="882"/>
      <c r="V378" s="883"/>
      <c r="W378" s="883"/>
      <c r="X378" s="883"/>
      <c r="Y378" s="883"/>
      <c r="Z378" s="883"/>
      <c r="AA378" s="883"/>
      <c r="AB378" s="883"/>
      <c r="AC378" s="883"/>
      <c r="AD378" s="883"/>
      <c r="AE378" s="883"/>
      <c r="AF378" s="883"/>
      <c r="AG378" s="883"/>
    </row>
    <row r="379" spans="1:34" s="3" customFormat="1" ht="15.95" customHeight="1">
      <c r="A379" s="7"/>
      <c r="B379" s="10"/>
      <c r="C379" s="12"/>
      <c r="D379" s="880"/>
      <c r="E379" s="880"/>
      <c r="F379" s="880"/>
      <c r="G379" s="880"/>
      <c r="H379" s="880"/>
      <c r="I379" s="880"/>
      <c r="J379" s="880"/>
      <c r="K379" s="880"/>
      <c r="L379" s="881"/>
      <c r="M379" s="880"/>
      <c r="N379" s="873"/>
      <c r="O379" s="880"/>
      <c r="P379" s="873"/>
      <c r="Q379" s="884"/>
      <c r="R379" s="880"/>
      <c r="S379" s="880"/>
      <c r="T379" s="882"/>
      <c r="U379" s="882"/>
      <c r="V379" s="883"/>
      <c r="W379" s="883"/>
      <c r="X379" s="883"/>
      <c r="Y379" s="883"/>
      <c r="Z379" s="883"/>
      <c r="AA379" s="883"/>
      <c r="AB379" s="883"/>
      <c r="AC379" s="883"/>
      <c r="AD379" s="883"/>
      <c r="AE379" s="883"/>
      <c r="AF379" s="883"/>
      <c r="AG379" s="883"/>
    </row>
    <row r="380" spans="1:34" s="3" customFormat="1" ht="15.95" customHeight="1">
      <c r="A380" s="7"/>
      <c r="B380" s="10"/>
      <c r="C380" s="12"/>
      <c r="D380" s="880"/>
      <c r="E380" s="880"/>
      <c r="F380" s="880"/>
      <c r="G380" s="880"/>
      <c r="H380" s="880"/>
      <c r="I380" s="880"/>
      <c r="J380" s="880"/>
      <c r="K380" s="880"/>
      <c r="L380" s="881"/>
      <c r="M380" s="880"/>
      <c r="N380" s="873"/>
      <c r="O380" s="880"/>
      <c r="P380" s="873"/>
      <c r="Q380" s="884"/>
      <c r="R380" s="880"/>
      <c r="S380" s="880"/>
      <c r="T380" s="882"/>
      <c r="U380" s="882"/>
      <c r="V380" s="883"/>
      <c r="W380" s="883"/>
      <c r="X380" s="883"/>
      <c r="Y380" s="883"/>
      <c r="Z380" s="883"/>
      <c r="AA380" s="883"/>
      <c r="AB380" s="883"/>
      <c r="AC380" s="883"/>
      <c r="AD380" s="883"/>
      <c r="AE380" s="883"/>
      <c r="AF380" s="883"/>
      <c r="AG380" s="883"/>
    </row>
    <row r="381" spans="1:34" s="3" customFormat="1" ht="15.95" customHeight="1">
      <c r="A381" s="7"/>
      <c r="B381" s="10"/>
      <c r="C381" s="12"/>
      <c r="D381" s="880"/>
      <c r="E381" s="880"/>
      <c r="F381" s="880"/>
      <c r="G381" s="880"/>
      <c r="H381" s="880"/>
      <c r="I381" s="880"/>
      <c r="J381" s="880"/>
      <c r="K381" s="880"/>
      <c r="L381" s="881"/>
      <c r="M381" s="880"/>
      <c r="N381" s="873"/>
      <c r="O381" s="880"/>
      <c r="P381" s="873"/>
      <c r="Q381" s="884"/>
      <c r="R381" s="880"/>
      <c r="S381" s="880"/>
      <c r="T381" s="882"/>
      <c r="U381" s="882"/>
      <c r="V381" s="883"/>
      <c r="W381" s="883"/>
      <c r="X381" s="883"/>
      <c r="Y381" s="883"/>
      <c r="Z381" s="883"/>
      <c r="AA381" s="883"/>
      <c r="AB381" s="883"/>
      <c r="AC381" s="883"/>
      <c r="AD381" s="883"/>
      <c r="AE381" s="883"/>
      <c r="AF381" s="883"/>
      <c r="AG381" s="883"/>
    </row>
    <row r="382" spans="1:34" s="3" customFormat="1" ht="15.95" customHeight="1">
      <c r="A382" s="29"/>
      <c r="B382" s="30"/>
      <c r="C382" s="30"/>
      <c r="D382" s="31"/>
      <c r="E382" s="31"/>
      <c r="F382" s="32"/>
      <c r="G382" s="31"/>
      <c r="H382" s="32"/>
      <c r="I382" s="32"/>
      <c r="J382" s="31"/>
      <c r="K382" s="31"/>
      <c r="L382" s="284"/>
      <c r="M382" s="32"/>
      <c r="N382" s="32"/>
      <c r="O382" s="31"/>
      <c r="P382" s="32"/>
      <c r="Q382" s="32"/>
      <c r="R382" s="31"/>
      <c r="S382" s="32"/>
      <c r="T382" s="31"/>
      <c r="U382" s="31"/>
      <c r="V382" s="29"/>
      <c r="W382" s="29"/>
      <c r="X382" s="29"/>
      <c r="Y382" s="29"/>
      <c r="Z382" s="29"/>
      <c r="AA382" s="29"/>
      <c r="AB382" s="29"/>
      <c r="AC382" s="29"/>
      <c r="AD382" s="29"/>
      <c r="AE382" s="29"/>
      <c r="AF382" s="29"/>
      <c r="AG382" s="29"/>
    </row>
    <row r="383" spans="1:34" s="3" customFormat="1" ht="15.95" customHeight="1" thickBot="1">
      <c r="A383" s="7"/>
      <c r="B383" s="19" t="str">
        <f>"FA2 = "&amp;'FIG3'!$W$53&amp;" "&amp;'FIG3'!$X$53</f>
        <v>FA2 = Atlanta Public Schools</v>
      </c>
      <c r="C383" s="7"/>
      <c r="D383" s="8"/>
      <c r="E383" s="8"/>
      <c r="F383" s="9"/>
      <c r="G383" s="8"/>
      <c r="H383" s="9"/>
      <c r="I383" s="9"/>
      <c r="J383" s="8"/>
      <c r="K383" s="8"/>
      <c r="L383" s="280"/>
      <c r="M383" s="9"/>
      <c r="N383" s="9"/>
      <c r="O383" s="8"/>
      <c r="P383" s="9"/>
      <c r="Q383" s="9"/>
      <c r="R383" s="8"/>
      <c r="S383" s="866"/>
      <c r="T383" s="867" t="str">
        <f>'$REV-DB'!$T$34</f>
        <v>UD1</v>
      </c>
      <c r="U383" s="867" t="str">
        <f>'$REV-DB'!$U$34</f>
        <v>UD2</v>
      </c>
      <c r="V383" s="867" t="str">
        <f>'$REV-DB'!$V$34</f>
        <v>UD3</v>
      </c>
      <c r="W383" s="867" t="str">
        <f>'$REV-DB'!$W$34</f>
        <v>UD4</v>
      </c>
      <c r="X383" s="867" t="str">
        <f>'$REV-DB'!$X$34</f>
        <v>UD5</v>
      </c>
      <c r="Y383" s="867" t="str">
        <f>'$REV-DB'!$Y$34</f>
        <v>UD6</v>
      </c>
      <c r="Z383" s="867" t="str">
        <f>'$REV-DB'!$Z$34</f>
        <v>UD7</v>
      </c>
      <c r="AA383" s="867" t="str">
        <f>'$REV-DB'!$AA$34</f>
        <v>UD8</v>
      </c>
      <c r="AB383" s="867" t="str">
        <f>'$REV-DB'!$AB$34</f>
        <v>UD9</v>
      </c>
      <c r="AC383" s="867" t="str">
        <f>'$REV-DB'!$AC$34</f>
        <v>UD10</v>
      </c>
      <c r="AD383" s="867" t="str">
        <f>'$REV-DB'!$AD$34</f>
        <v>UD11</v>
      </c>
      <c r="AE383" s="867" t="str">
        <f>'$REV-DB'!$AE$34</f>
        <v>UD12</v>
      </c>
      <c r="AF383" s="867" t="str">
        <f>'$REV-DB'!$AF$34</f>
        <v>UD13</v>
      </c>
      <c r="AG383" s="867" t="str">
        <f>'$REV-DB'!$AG$34</f>
        <v>UD14</v>
      </c>
    </row>
    <row r="384" spans="1:34" s="3" customFormat="1" ht="15.95" customHeight="1" thickTop="1" thickBot="1">
      <c r="A384" s="7"/>
      <c r="B384" s="20" t="s">
        <v>175</v>
      </c>
      <c r="C384" s="15"/>
      <c r="D384" s="861" t="s">
        <v>186</v>
      </c>
      <c r="E384" s="861" t="s">
        <v>187</v>
      </c>
      <c r="F384" s="861" t="s">
        <v>188</v>
      </c>
      <c r="G384" s="861" t="s">
        <v>189</v>
      </c>
      <c r="H384" s="861" t="s">
        <v>11</v>
      </c>
      <c r="I384" s="861" t="s">
        <v>190</v>
      </c>
      <c r="J384" s="861" t="s">
        <v>191</v>
      </c>
      <c r="K384" s="861" t="s">
        <v>192</v>
      </c>
      <c r="L384" s="861" t="s">
        <v>203</v>
      </c>
      <c r="M384" s="861" t="s">
        <v>42</v>
      </c>
      <c r="N384" s="861" t="s">
        <v>148</v>
      </c>
      <c r="O384" s="861" t="s">
        <v>193</v>
      </c>
      <c r="P384" s="861" t="s">
        <v>142</v>
      </c>
      <c r="Q384" s="861" t="s">
        <v>194</v>
      </c>
      <c r="R384" s="112" t="s">
        <v>141</v>
      </c>
      <c r="S384" s="112" t="s">
        <v>672</v>
      </c>
      <c r="T384" s="861" t="s">
        <v>541</v>
      </c>
      <c r="U384" s="861" t="s">
        <v>542</v>
      </c>
      <c r="V384" s="861" t="s">
        <v>543</v>
      </c>
      <c r="W384" s="861" t="s">
        <v>544</v>
      </c>
      <c r="X384" s="861" t="s">
        <v>545</v>
      </c>
      <c r="Y384" s="861" t="s">
        <v>546</v>
      </c>
      <c r="Z384" s="861" t="s">
        <v>547</v>
      </c>
      <c r="AA384" s="861" t="s">
        <v>548</v>
      </c>
      <c r="AB384" s="861" t="s">
        <v>549</v>
      </c>
      <c r="AC384" s="861" t="s">
        <v>550</v>
      </c>
      <c r="AD384" s="861" t="s">
        <v>551</v>
      </c>
      <c r="AE384" s="861" t="s">
        <v>552</v>
      </c>
      <c r="AF384" s="861" t="s">
        <v>553</v>
      </c>
      <c r="AG384" s="861" t="s">
        <v>554</v>
      </c>
      <c r="AH384" s="6"/>
    </row>
    <row r="385" spans="1:34" s="3" customFormat="1" ht="15.95" customHeight="1" thickTop="1">
      <c r="A385" s="7"/>
      <c r="B385" s="19" t="s">
        <v>144</v>
      </c>
      <c r="C385" s="12"/>
      <c r="D385" s="194"/>
      <c r="E385" s="194"/>
      <c r="F385" s="193"/>
      <c r="G385" s="194"/>
      <c r="H385" s="193"/>
      <c r="I385" s="193"/>
      <c r="J385" s="194"/>
      <c r="K385" s="194"/>
      <c r="L385" s="285" t="s">
        <v>34</v>
      </c>
      <c r="M385" s="193"/>
      <c r="N385" s="47" t="str">
        <f>J$6</f>
        <v>FY2010-11</v>
      </c>
      <c r="O385" s="47" t="s">
        <v>153</v>
      </c>
      <c r="P385" s="47" t="s">
        <v>147</v>
      </c>
      <c r="Q385" s="47" t="s">
        <v>139</v>
      </c>
      <c r="R385" s="194"/>
      <c r="S385" s="193" t="s">
        <v>611</v>
      </c>
      <c r="T385" s="194"/>
      <c r="U385" s="194"/>
      <c r="V385" s="195"/>
      <c r="W385" s="195"/>
      <c r="X385" s="195"/>
      <c r="Y385" s="195"/>
      <c r="Z385" s="195"/>
      <c r="AA385" s="195"/>
      <c r="AB385" s="195"/>
      <c r="AC385" s="195"/>
      <c r="AD385" s="195"/>
      <c r="AE385" s="195"/>
      <c r="AF385" s="195"/>
      <c r="AG385" s="195"/>
      <c r="AH385" s="6"/>
    </row>
    <row r="386" spans="1:34" s="3" customFormat="1" ht="15.95" customHeight="1">
      <c r="A386" s="7"/>
      <c r="B386" s="16">
        <f>DSUM('$REV-DB'!D35:AG67,"AMOUNT",D384:AG385)</f>
        <v>23160878</v>
      </c>
      <c r="C386" s="12"/>
      <c r="D386" s="880"/>
      <c r="E386" s="880"/>
      <c r="F386" s="880"/>
      <c r="G386" s="880"/>
      <c r="H386" s="880"/>
      <c r="I386" s="880"/>
      <c r="J386" s="880"/>
      <c r="K386" s="880"/>
      <c r="L386" s="881"/>
      <c r="M386" s="880"/>
      <c r="N386" s="873"/>
      <c r="O386" s="880"/>
      <c r="P386" s="873"/>
      <c r="Q386" s="884"/>
      <c r="R386" s="880"/>
      <c r="S386" s="880"/>
      <c r="T386" s="882"/>
      <c r="U386" s="882"/>
      <c r="V386" s="883"/>
      <c r="W386" s="883"/>
      <c r="X386" s="883"/>
      <c r="Y386" s="883"/>
      <c r="Z386" s="883"/>
      <c r="AA386" s="883"/>
      <c r="AB386" s="883"/>
      <c r="AC386" s="883"/>
      <c r="AD386" s="883"/>
      <c r="AE386" s="883"/>
      <c r="AF386" s="883"/>
      <c r="AG386" s="883"/>
      <c r="AH386" s="6"/>
    </row>
    <row r="387" spans="1:34" s="3" customFormat="1" ht="15.95" customHeight="1">
      <c r="A387" s="7"/>
      <c r="B387" s="10"/>
      <c r="C387" s="12"/>
      <c r="D387" s="880"/>
      <c r="E387" s="880"/>
      <c r="F387" s="880"/>
      <c r="G387" s="880"/>
      <c r="H387" s="880"/>
      <c r="I387" s="880"/>
      <c r="J387" s="880"/>
      <c r="K387" s="880"/>
      <c r="L387" s="881"/>
      <c r="M387" s="880"/>
      <c r="N387" s="873"/>
      <c r="O387" s="880"/>
      <c r="P387" s="873"/>
      <c r="Q387" s="884"/>
      <c r="R387" s="880"/>
      <c r="S387" s="880"/>
      <c r="T387" s="882"/>
      <c r="U387" s="882"/>
      <c r="V387" s="883"/>
      <c r="W387" s="883"/>
      <c r="X387" s="883"/>
      <c r="Y387" s="883"/>
      <c r="Z387" s="883"/>
      <c r="AA387" s="883"/>
      <c r="AB387" s="883"/>
      <c r="AC387" s="883"/>
      <c r="AD387" s="883"/>
      <c r="AE387" s="883"/>
      <c r="AF387" s="883"/>
      <c r="AG387" s="883"/>
    </row>
    <row r="388" spans="1:34" s="3" customFormat="1" ht="15.95" customHeight="1">
      <c r="A388" s="7"/>
      <c r="B388" s="10"/>
      <c r="C388" s="12"/>
      <c r="D388" s="880"/>
      <c r="E388" s="880"/>
      <c r="F388" s="880"/>
      <c r="G388" s="880"/>
      <c r="H388" s="880"/>
      <c r="I388" s="880"/>
      <c r="J388" s="880"/>
      <c r="K388" s="880"/>
      <c r="L388" s="881"/>
      <c r="M388" s="880"/>
      <c r="N388" s="873"/>
      <c r="O388" s="880"/>
      <c r="P388" s="873"/>
      <c r="Q388" s="884"/>
      <c r="R388" s="880"/>
      <c r="S388" s="880"/>
      <c r="T388" s="882"/>
      <c r="U388" s="882"/>
      <c r="V388" s="883"/>
      <c r="W388" s="883"/>
      <c r="X388" s="883"/>
      <c r="Y388" s="883"/>
      <c r="Z388" s="883"/>
      <c r="AA388" s="883"/>
      <c r="AB388" s="883"/>
      <c r="AC388" s="883"/>
      <c r="AD388" s="883"/>
      <c r="AE388" s="883"/>
      <c r="AF388" s="883"/>
      <c r="AG388" s="883"/>
    </row>
    <row r="389" spans="1:34" s="3" customFormat="1" ht="15.95" customHeight="1">
      <c r="A389" s="7"/>
      <c r="B389" s="10"/>
      <c r="C389" s="12"/>
      <c r="D389" s="880"/>
      <c r="E389" s="880"/>
      <c r="F389" s="880"/>
      <c r="G389" s="880"/>
      <c r="H389" s="880"/>
      <c r="I389" s="880"/>
      <c r="J389" s="880"/>
      <c r="K389" s="880"/>
      <c r="L389" s="881"/>
      <c r="M389" s="880"/>
      <c r="N389" s="873"/>
      <c r="O389" s="880"/>
      <c r="P389" s="873"/>
      <c r="Q389" s="884"/>
      <c r="R389" s="880"/>
      <c r="S389" s="880"/>
      <c r="T389" s="882"/>
      <c r="U389" s="882"/>
      <c r="V389" s="883"/>
      <c r="W389" s="883"/>
      <c r="X389" s="883"/>
      <c r="Y389" s="883"/>
      <c r="Z389" s="883"/>
      <c r="AA389" s="883"/>
      <c r="AB389" s="883"/>
      <c r="AC389" s="883"/>
      <c r="AD389" s="883"/>
      <c r="AE389" s="883"/>
      <c r="AF389" s="883"/>
      <c r="AG389" s="883"/>
    </row>
    <row r="390" spans="1:34" s="3" customFormat="1" ht="15.95" customHeight="1">
      <c r="A390" s="7"/>
      <c r="B390" s="10"/>
      <c r="C390" s="12"/>
      <c r="D390" s="880"/>
      <c r="E390" s="880"/>
      <c r="F390" s="880"/>
      <c r="G390" s="880"/>
      <c r="H390" s="880"/>
      <c r="I390" s="880"/>
      <c r="J390" s="880"/>
      <c r="K390" s="880"/>
      <c r="L390" s="881"/>
      <c r="M390" s="880"/>
      <c r="N390" s="873"/>
      <c r="O390" s="880"/>
      <c r="P390" s="873"/>
      <c r="Q390" s="884"/>
      <c r="R390" s="880"/>
      <c r="S390" s="880"/>
      <c r="T390" s="882"/>
      <c r="U390" s="882"/>
      <c r="V390" s="883"/>
      <c r="W390" s="883"/>
      <c r="X390" s="883"/>
      <c r="Y390" s="883"/>
      <c r="Z390" s="883"/>
      <c r="AA390" s="883"/>
      <c r="AB390" s="883"/>
      <c r="AC390" s="883"/>
      <c r="AD390" s="883"/>
      <c r="AE390" s="883"/>
      <c r="AF390" s="883"/>
      <c r="AG390" s="883"/>
    </row>
    <row r="391" spans="1:34" s="3" customFormat="1" ht="15.95" customHeight="1">
      <c r="A391" s="7"/>
      <c r="B391" s="10"/>
      <c r="C391" s="12"/>
      <c r="D391" s="880"/>
      <c r="E391" s="880"/>
      <c r="F391" s="880"/>
      <c r="G391" s="880"/>
      <c r="H391" s="880"/>
      <c r="I391" s="880"/>
      <c r="J391" s="880"/>
      <c r="K391" s="880"/>
      <c r="L391" s="881"/>
      <c r="M391" s="880"/>
      <c r="N391" s="873"/>
      <c r="O391" s="880"/>
      <c r="P391" s="873"/>
      <c r="Q391" s="884"/>
      <c r="R391" s="880"/>
      <c r="S391" s="880"/>
      <c r="T391" s="882"/>
      <c r="U391" s="882"/>
      <c r="V391" s="883"/>
      <c r="W391" s="883"/>
      <c r="X391" s="883"/>
      <c r="Y391" s="883"/>
      <c r="Z391" s="883"/>
      <c r="AA391" s="883"/>
      <c r="AB391" s="883"/>
      <c r="AC391" s="883"/>
      <c r="AD391" s="883"/>
      <c r="AE391" s="883"/>
      <c r="AF391" s="883"/>
      <c r="AG391" s="883"/>
    </row>
    <row r="392" spans="1:34" s="3" customFormat="1" ht="15.95" customHeight="1">
      <c r="A392" s="29"/>
      <c r="B392" s="30"/>
      <c r="C392" s="30"/>
      <c r="D392" s="31"/>
      <c r="E392" s="31"/>
      <c r="F392" s="32"/>
      <c r="G392" s="31"/>
      <c r="H392" s="32"/>
      <c r="I392" s="32"/>
      <c r="J392" s="31"/>
      <c r="K392" s="31"/>
      <c r="L392" s="284"/>
      <c r="M392" s="32"/>
      <c r="N392" s="32"/>
      <c r="O392" s="31"/>
      <c r="P392" s="32"/>
      <c r="Q392" s="32"/>
      <c r="R392" s="31"/>
      <c r="S392" s="32"/>
      <c r="T392" s="31"/>
      <c r="U392" s="31"/>
      <c r="V392" s="29"/>
      <c r="W392" s="29"/>
      <c r="X392" s="29"/>
      <c r="Y392" s="29"/>
      <c r="Z392" s="29"/>
      <c r="AA392" s="29"/>
      <c r="AB392" s="29"/>
      <c r="AC392" s="29"/>
      <c r="AD392" s="29"/>
      <c r="AE392" s="29"/>
      <c r="AF392" s="29"/>
      <c r="AG392" s="29"/>
    </row>
    <row r="393" spans="1:34" s="3" customFormat="1" ht="15.95" customHeight="1" thickBot="1">
      <c r="A393" s="7"/>
      <c r="B393" s="19" t="str">
        <f>"FA2 = "&amp;'FIG3'!$W$53&amp;" "&amp;'FIG3'!$X$53</f>
        <v>FA2 = Atlanta Public Schools</v>
      </c>
      <c r="C393" s="7"/>
      <c r="D393" s="8"/>
      <c r="E393" s="8"/>
      <c r="F393" s="9"/>
      <c r="G393" s="8"/>
      <c r="H393" s="9"/>
      <c r="I393" s="9"/>
      <c r="J393" s="8"/>
      <c r="K393" s="8"/>
      <c r="L393" s="280"/>
      <c r="M393" s="9"/>
      <c r="N393" s="9"/>
      <c r="O393" s="8"/>
      <c r="P393" s="9"/>
      <c r="Q393" s="9"/>
      <c r="R393" s="8"/>
      <c r="S393" s="866"/>
      <c r="T393" s="867" t="str">
        <f>'$REV-DB'!$T$34</f>
        <v>UD1</v>
      </c>
      <c r="U393" s="867" t="str">
        <f>'$REV-DB'!$U$34</f>
        <v>UD2</v>
      </c>
      <c r="V393" s="867" t="str">
        <f>'$REV-DB'!$V$34</f>
        <v>UD3</v>
      </c>
      <c r="W393" s="867" t="str">
        <f>'$REV-DB'!$W$34</f>
        <v>UD4</v>
      </c>
      <c r="X393" s="867" t="str">
        <f>'$REV-DB'!$X$34</f>
        <v>UD5</v>
      </c>
      <c r="Y393" s="867" t="str">
        <f>'$REV-DB'!$Y$34</f>
        <v>UD6</v>
      </c>
      <c r="Z393" s="867" t="str">
        <f>'$REV-DB'!$Z$34</f>
        <v>UD7</v>
      </c>
      <c r="AA393" s="867" t="str">
        <f>'$REV-DB'!$AA$34</f>
        <v>UD8</v>
      </c>
      <c r="AB393" s="867" t="str">
        <f>'$REV-DB'!$AB$34</f>
        <v>UD9</v>
      </c>
      <c r="AC393" s="867" t="str">
        <f>'$REV-DB'!$AC$34</f>
        <v>UD10</v>
      </c>
      <c r="AD393" s="867" t="str">
        <f>'$REV-DB'!$AD$34</f>
        <v>UD11</v>
      </c>
      <c r="AE393" s="867" t="str">
        <f>'$REV-DB'!$AE$34</f>
        <v>UD12</v>
      </c>
      <c r="AF393" s="867" t="str">
        <f>'$REV-DB'!$AF$34</f>
        <v>UD13</v>
      </c>
      <c r="AG393" s="867" t="str">
        <f>'$REV-DB'!$AG$34</f>
        <v>UD14</v>
      </c>
    </row>
    <row r="394" spans="1:34" s="3" customFormat="1" ht="15.95" customHeight="1" thickTop="1" thickBot="1">
      <c r="A394" s="7"/>
      <c r="B394" s="20" t="s">
        <v>175</v>
      </c>
      <c r="C394" s="15"/>
      <c r="D394" s="861" t="s">
        <v>186</v>
      </c>
      <c r="E394" s="861" t="s">
        <v>187</v>
      </c>
      <c r="F394" s="861" t="s">
        <v>188</v>
      </c>
      <c r="G394" s="861" t="s">
        <v>189</v>
      </c>
      <c r="H394" s="861" t="s">
        <v>11</v>
      </c>
      <c r="I394" s="861" t="s">
        <v>190</v>
      </c>
      <c r="J394" s="861" t="s">
        <v>191</v>
      </c>
      <c r="K394" s="861" t="s">
        <v>192</v>
      </c>
      <c r="L394" s="861" t="s">
        <v>203</v>
      </c>
      <c r="M394" s="861" t="s">
        <v>42</v>
      </c>
      <c r="N394" s="861" t="s">
        <v>148</v>
      </c>
      <c r="O394" s="861" t="s">
        <v>193</v>
      </c>
      <c r="P394" s="861" t="s">
        <v>142</v>
      </c>
      <c r="Q394" s="861" t="s">
        <v>194</v>
      </c>
      <c r="R394" s="112" t="s">
        <v>141</v>
      </c>
      <c r="S394" s="112" t="s">
        <v>672</v>
      </c>
      <c r="T394" s="861" t="s">
        <v>541</v>
      </c>
      <c r="U394" s="861" t="s">
        <v>542</v>
      </c>
      <c r="V394" s="861" t="s">
        <v>543</v>
      </c>
      <c r="W394" s="861" t="s">
        <v>544</v>
      </c>
      <c r="X394" s="861" t="s">
        <v>545</v>
      </c>
      <c r="Y394" s="861" t="s">
        <v>546</v>
      </c>
      <c r="Z394" s="861" t="s">
        <v>547</v>
      </c>
      <c r="AA394" s="861" t="s">
        <v>548</v>
      </c>
      <c r="AB394" s="861" t="s">
        <v>549</v>
      </c>
      <c r="AC394" s="861" t="s">
        <v>550</v>
      </c>
      <c r="AD394" s="861" t="s">
        <v>551</v>
      </c>
      <c r="AE394" s="861" t="s">
        <v>552</v>
      </c>
      <c r="AF394" s="861" t="s">
        <v>553</v>
      </c>
      <c r="AG394" s="861" t="s">
        <v>554</v>
      </c>
      <c r="AH394" s="6"/>
    </row>
    <row r="395" spans="1:34" s="3" customFormat="1" ht="15.95" customHeight="1" thickTop="1">
      <c r="A395" s="7"/>
      <c r="B395" s="19" t="s">
        <v>143</v>
      </c>
      <c r="C395" s="12"/>
      <c r="D395" s="194"/>
      <c r="E395" s="194"/>
      <c r="F395" s="193"/>
      <c r="G395" s="194"/>
      <c r="H395" s="193"/>
      <c r="I395" s="193"/>
      <c r="J395" s="194"/>
      <c r="K395" s="194"/>
      <c r="L395" s="285" t="s">
        <v>34</v>
      </c>
      <c r="M395" s="193"/>
      <c r="N395" s="47" t="str">
        <f>J$6</f>
        <v>FY2010-11</v>
      </c>
      <c r="O395" s="47" t="s">
        <v>153</v>
      </c>
      <c r="P395" s="47" t="s">
        <v>147</v>
      </c>
      <c r="Q395" s="47" t="s">
        <v>179</v>
      </c>
      <c r="R395" s="194"/>
      <c r="S395" s="193" t="s">
        <v>611</v>
      </c>
      <c r="T395" s="194"/>
      <c r="U395" s="194"/>
      <c r="V395" s="195"/>
      <c r="W395" s="195"/>
      <c r="X395" s="195"/>
      <c r="Y395" s="195"/>
      <c r="Z395" s="195"/>
      <c r="AA395" s="195"/>
      <c r="AB395" s="195"/>
      <c r="AC395" s="195"/>
      <c r="AD395" s="195"/>
      <c r="AE395" s="195"/>
      <c r="AF395" s="195"/>
      <c r="AG395" s="195"/>
      <c r="AH395" s="6"/>
    </row>
    <row r="396" spans="1:34" s="3" customFormat="1" ht="15.95" customHeight="1">
      <c r="A396" s="7"/>
      <c r="B396" s="16">
        <f>DSUM('$REV-DB'!D35:AG67,"AMOUNT",D394:AG395)</f>
        <v>21032144.640000001</v>
      </c>
      <c r="C396" s="12"/>
      <c r="D396" s="880"/>
      <c r="E396" s="880"/>
      <c r="F396" s="880"/>
      <c r="G396" s="880"/>
      <c r="H396" s="880"/>
      <c r="I396" s="880"/>
      <c r="J396" s="880"/>
      <c r="K396" s="880"/>
      <c r="L396" s="881"/>
      <c r="M396" s="880"/>
      <c r="N396" s="873"/>
      <c r="O396" s="880"/>
      <c r="P396" s="873"/>
      <c r="Q396" s="884"/>
      <c r="R396" s="880"/>
      <c r="S396" s="880"/>
      <c r="T396" s="882"/>
      <c r="U396" s="882"/>
      <c r="V396" s="883"/>
      <c r="W396" s="883"/>
      <c r="X396" s="883"/>
      <c r="Y396" s="883"/>
      <c r="Z396" s="883"/>
      <c r="AA396" s="883"/>
      <c r="AB396" s="883"/>
      <c r="AC396" s="883"/>
      <c r="AD396" s="883"/>
      <c r="AE396" s="883"/>
      <c r="AF396" s="883"/>
      <c r="AG396" s="883"/>
      <c r="AH396" s="6"/>
    </row>
    <row r="397" spans="1:34" s="3" customFormat="1" ht="15.95" customHeight="1">
      <c r="A397" s="7"/>
      <c r="B397" s="10"/>
      <c r="C397" s="12"/>
      <c r="D397" s="880"/>
      <c r="E397" s="880"/>
      <c r="F397" s="880"/>
      <c r="G397" s="880"/>
      <c r="H397" s="880"/>
      <c r="I397" s="880"/>
      <c r="J397" s="880"/>
      <c r="K397" s="880"/>
      <c r="L397" s="881"/>
      <c r="M397" s="880"/>
      <c r="N397" s="873"/>
      <c r="O397" s="880"/>
      <c r="P397" s="873"/>
      <c r="Q397" s="884"/>
      <c r="R397" s="880"/>
      <c r="S397" s="880"/>
      <c r="T397" s="882"/>
      <c r="U397" s="882"/>
      <c r="V397" s="883"/>
      <c r="W397" s="883"/>
      <c r="X397" s="883"/>
      <c r="Y397" s="883"/>
      <c r="Z397" s="883"/>
      <c r="AA397" s="883"/>
      <c r="AB397" s="883"/>
      <c r="AC397" s="883"/>
      <c r="AD397" s="883"/>
      <c r="AE397" s="883"/>
      <c r="AF397" s="883"/>
      <c r="AG397" s="883"/>
    </row>
    <row r="398" spans="1:34" s="3" customFormat="1" ht="15.95" customHeight="1">
      <c r="A398" s="7"/>
      <c r="B398" s="10"/>
      <c r="C398" s="12"/>
      <c r="D398" s="880"/>
      <c r="E398" s="880"/>
      <c r="F398" s="880"/>
      <c r="G398" s="880"/>
      <c r="H398" s="880"/>
      <c r="I398" s="880"/>
      <c r="J398" s="880"/>
      <c r="K398" s="880"/>
      <c r="L398" s="881"/>
      <c r="M398" s="880"/>
      <c r="N398" s="873"/>
      <c r="O398" s="880"/>
      <c r="P398" s="873"/>
      <c r="Q398" s="884"/>
      <c r="R398" s="880"/>
      <c r="S398" s="880"/>
      <c r="T398" s="882"/>
      <c r="U398" s="882"/>
      <c r="V398" s="883"/>
      <c r="W398" s="883"/>
      <c r="X398" s="883"/>
      <c r="Y398" s="883"/>
      <c r="Z398" s="883"/>
      <c r="AA398" s="883"/>
      <c r="AB398" s="883"/>
      <c r="AC398" s="883"/>
      <c r="AD398" s="883"/>
      <c r="AE398" s="883"/>
      <c r="AF398" s="883"/>
      <c r="AG398" s="883"/>
    </row>
    <row r="399" spans="1:34" s="3" customFormat="1" ht="15.95" customHeight="1">
      <c r="A399" s="7"/>
      <c r="B399" s="10"/>
      <c r="C399" s="12"/>
      <c r="D399" s="880"/>
      <c r="E399" s="880"/>
      <c r="F399" s="880"/>
      <c r="G399" s="880"/>
      <c r="H399" s="880"/>
      <c r="I399" s="880"/>
      <c r="J399" s="880"/>
      <c r="K399" s="880"/>
      <c r="L399" s="881"/>
      <c r="M399" s="880"/>
      <c r="N399" s="873"/>
      <c r="O399" s="880"/>
      <c r="P399" s="873"/>
      <c r="Q399" s="884"/>
      <c r="R399" s="880"/>
      <c r="S399" s="880"/>
      <c r="T399" s="882"/>
      <c r="U399" s="882"/>
      <c r="V399" s="883"/>
      <c r="W399" s="883"/>
      <c r="X399" s="883"/>
      <c r="Y399" s="883"/>
      <c r="Z399" s="883"/>
      <c r="AA399" s="883"/>
      <c r="AB399" s="883"/>
      <c r="AC399" s="883"/>
      <c r="AD399" s="883"/>
      <c r="AE399" s="883"/>
      <c r="AF399" s="883"/>
      <c r="AG399" s="883"/>
    </row>
    <row r="400" spans="1:34" s="3" customFormat="1" ht="15.95" customHeight="1">
      <c r="A400" s="7"/>
      <c r="B400" s="10"/>
      <c r="C400" s="12"/>
      <c r="D400" s="880"/>
      <c r="E400" s="880"/>
      <c r="F400" s="880"/>
      <c r="G400" s="880"/>
      <c r="H400" s="880"/>
      <c r="I400" s="880"/>
      <c r="J400" s="880"/>
      <c r="K400" s="880"/>
      <c r="L400" s="881"/>
      <c r="M400" s="880"/>
      <c r="N400" s="873"/>
      <c r="O400" s="880"/>
      <c r="P400" s="873"/>
      <c r="Q400" s="884"/>
      <c r="R400" s="880"/>
      <c r="S400" s="880"/>
      <c r="T400" s="882"/>
      <c r="U400" s="882"/>
      <c r="V400" s="883"/>
      <c r="W400" s="883"/>
      <c r="X400" s="883"/>
      <c r="Y400" s="883"/>
      <c r="Z400" s="883"/>
      <c r="AA400" s="883"/>
      <c r="AB400" s="883"/>
      <c r="AC400" s="883"/>
      <c r="AD400" s="883"/>
      <c r="AE400" s="883"/>
      <c r="AF400" s="883"/>
      <c r="AG400" s="883"/>
    </row>
    <row r="401" spans="1:34" s="3" customFormat="1" ht="15.95" customHeight="1">
      <c r="A401" s="7"/>
      <c r="B401" s="10"/>
      <c r="C401" s="12"/>
      <c r="D401" s="880"/>
      <c r="E401" s="880"/>
      <c r="F401" s="880"/>
      <c r="G401" s="880"/>
      <c r="H401" s="880"/>
      <c r="I401" s="880"/>
      <c r="J401" s="880"/>
      <c r="K401" s="880"/>
      <c r="L401" s="881"/>
      <c r="M401" s="880"/>
      <c r="N401" s="873"/>
      <c r="O401" s="880"/>
      <c r="P401" s="873"/>
      <c r="Q401" s="884"/>
      <c r="R401" s="880"/>
      <c r="S401" s="880"/>
      <c r="T401" s="882"/>
      <c r="U401" s="882"/>
      <c r="V401" s="883"/>
      <c r="W401" s="883"/>
      <c r="X401" s="883"/>
      <c r="Y401" s="883"/>
      <c r="Z401" s="883"/>
      <c r="AA401" s="883"/>
      <c r="AB401" s="883"/>
      <c r="AC401" s="883"/>
      <c r="AD401" s="883"/>
      <c r="AE401" s="883"/>
      <c r="AF401" s="883"/>
      <c r="AG401" s="883"/>
    </row>
    <row r="402" spans="1:34" s="3" customFormat="1" ht="15.95" customHeight="1">
      <c r="A402" s="29"/>
      <c r="B402" s="30"/>
      <c r="C402" s="30"/>
      <c r="D402" s="31"/>
      <c r="E402" s="31"/>
      <c r="F402" s="32"/>
      <c r="G402" s="31"/>
      <c r="H402" s="32"/>
      <c r="I402" s="32"/>
      <c r="J402" s="31"/>
      <c r="K402" s="31"/>
      <c r="L402" s="284"/>
      <c r="M402" s="32"/>
      <c r="N402" s="32"/>
      <c r="O402" s="31"/>
      <c r="P402" s="32"/>
      <c r="Q402" s="32"/>
      <c r="R402" s="31"/>
      <c r="S402" s="32"/>
      <c r="T402" s="31"/>
      <c r="U402" s="31"/>
      <c r="V402" s="29"/>
      <c r="W402" s="29"/>
      <c r="X402" s="29"/>
      <c r="Y402" s="29"/>
      <c r="Z402" s="29"/>
      <c r="AA402" s="29"/>
      <c r="AB402" s="29"/>
      <c r="AC402" s="29"/>
      <c r="AD402" s="29"/>
      <c r="AE402" s="29"/>
      <c r="AF402" s="29"/>
      <c r="AG402" s="29"/>
    </row>
    <row r="403" spans="1:34" s="3" customFormat="1" ht="15.95" customHeight="1" thickBot="1">
      <c r="A403" s="7"/>
      <c r="B403" s="19" t="str">
        <f>"FA2 = "&amp;'FIG3'!$W$53&amp;" "&amp;'FIG3'!$X$53</f>
        <v>FA2 = Atlanta Public Schools</v>
      </c>
      <c r="C403" s="7"/>
      <c r="D403" s="8"/>
      <c r="E403" s="8"/>
      <c r="F403" s="9"/>
      <c r="G403" s="8"/>
      <c r="H403" s="9"/>
      <c r="I403" s="9"/>
      <c r="J403" s="8"/>
      <c r="K403" s="8"/>
      <c r="L403" s="280"/>
      <c r="M403" s="9"/>
      <c r="N403" s="9"/>
      <c r="O403" s="8"/>
      <c r="P403" s="9"/>
      <c r="Q403" s="9"/>
      <c r="R403" s="8"/>
      <c r="S403" s="866"/>
      <c r="T403" s="867" t="str">
        <f>'$REV-DB'!$T$34</f>
        <v>UD1</v>
      </c>
      <c r="U403" s="867" t="str">
        <f>'$REV-DB'!$U$34</f>
        <v>UD2</v>
      </c>
      <c r="V403" s="867" t="str">
        <f>'$REV-DB'!$V$34</f>
        <v>UD3</v>
      </c>
      <c r="W403" s="867" t="str">
        <f>'$REV-DB'!$W$34</f>
        <v>UD4</v>
      </c>
      <c r="X403" s="867" t="str">
        <f>'$REV-DB'!$X$34</f>
        <v>UD5</v>
      </c>
      <c r="Y403" s="867" t="str">
        <f>'$REV-DB'!$Y$34</f>
        <v>UD6</v>
      </c>
      <c r="Z403" s="867" t="str">
        <f>'$REV-DB'!$Z$34</f>
        <v>UD7</v>
      </c>
      <c r="AA403" s="867" t="str">
        <f>'$REV-DB'!$AA$34</f>
        <v>UD8</v>
      </c>
      <c r="AB403" s="867" t="str">
        <f>'$REV-DB'!$AB$34</f>
        <v>UD9</v>
      </c>
      <c r="AC403" s="867" t="str">
        <f>'$REV-DB'!$AC$34</f>
        <v>UD10</v>
      </c>
      <c r="AD403" s="867" t="str">
        <f>'$REV-DB'!$AD$34</f>
        <v>UD11</v>
      </c>
      <c r="AE403" s="867" t="str">
        <f>'$REV-DB'!$AE$34</f>
        <v>UD12</v>
      </c>
      <c r="AF403" s="867" t="str">
        <f>'$REV-DB'!$AF$34</f>
        <v>UD13</v>
      </c>
      <c r="AG403" s="867" t="str">
        <f>'$REV-DB'!$AG$34</f>
        <v>UD14</v>
      </c>
    </row>
    <row r="404" spans="1:34" s="3" customFormat="1" ht="15.95" customHeight="1" thickTop="1" thickBot="1">
      <c r="A404" s="7"/>
      <c r="B404" s="20" t="s">
        <v>175</v>
      </c>
      <c r="C404" s="15"/>
      <c r="D404" s="861" t="s">
        <v>186</v>
      </c>
      <c r="E404" s="861" t="s">
        <v>187</v>
      </c>
      <c r="F404" s="861" t="s">
        <v>188</v>
      </c>
      <c r="G404" s="861" t="s">
        <v>189</v>
      </c>
      <c r="H404" s="861" t="s">
        <v>11</v>
      </c>
      <c r="I404" s="861" t="s">
        <v>190</v>
      </c>
      <c r="J404" s="861" t="s">
        <v>191</v>
      </c>
      <c r="K404" s="861" t="s">
        <v>192</v>
      </c>
      <c r="L404" s="861" t="s">
        <v>203</v>
      </c>
      <c r="M404" s="861" t="s">
        <v>42</v>
      </c>
      <c r="N404" s="861" t="s">
        <v>148</v>
      </c>
      <c r="O404" s="861" t="s">
        <v>193</v>
      </c>
      <c r="P404" s="861" t="s">
        <v>142</v>
      </c>
      <c r="Q404" s="861" t="s">
        <v>194</v>
      </c>
      <c r="R404" s="112" t="s">
        <v>141</v>
      </c>
      <c r="S404" s="112" t="s">
        <v>672</v>
      </c>
      <c r="T404" s="861" t="s">
        <v>541</v>
      </c>
      <c r="U404" s="861" t="s">
        <v>542</v>
      </c>
      <c r="V404" s="861" t="s">
        <v>543</v>
      </c>
      <c r="W404" s="861" t="s">
        <v>544</v>
      </c>
      <c r="X404" s="861" t="s">
        <v>545</v>
      </c>
      <c r="Y404" s="861" t="s">
        <v>546</v>
      </c>
      <c r="Z404" s="861" t="s">
        <v>547</v>
      </c>
      <c r="AA404" s="861" t="s">
        <v>548</v>
      </c>
      <c r="AB404" s="861" t="s">
        <v>549</v>
      </c>
      <c r="AC404" s="861" t="s">
        <v>550</v>
      </c>
      <c r="AD404" s="861" t="s">
        <v>551</v>
      </c>
      <c r="AE404" s="861" t="s">
        <v>552</v>
      </c>
      <c r="AF404" s="861" t="s">
        <v>553</v>
      </c>
      <c r="AG404" s="861" t="s">
        <v>554</v>
      </c>
      <c r="AH404" s="6"/>
    </row>
    <row r="405" spans="1:34" s="3" customFormat="1" ht="15.95" customHeight="1" thickTop="1">
      <c r="A405" s="7"/>
      <c r="B405" s="19" t="s">
        <v>149</v>
      </c>
      <c r="C405" s="12"/>
      <c r="D405" s="194"/>
      <c r="E405" s="194"/>
      <c r="F405" s="193"/>
      <c r="G405" s="194"/>
      <c r="H405" s="193"/>
      <c r="I405" s="193"/>
      <c r="J405" s="194"/>
      <c r="K405" s="194"/>
      <c r="L405" s="285" t="s">
        <v>34</v>
      </c>
      <c r="M405" s="193"/>
      <c r="N405" s="47" t="str">
        <f>J$6</f>
        <v>FY2010-11</v>
      </c>
      <c r="O405" s="47" t="s">
        <v>153</v>
      </c>
      <c r="P405" s="47" t="s">
        <v>147</v>
      </c>
      <c r="Q405" s="47" t="s">
        <v>2</v>
      </c>
      <c r="R405" s="194"/>
      <c r="S405" s="193" t="s">
        <v>611</v>
      </c>
      <c r="T405" s="194"/>
      <c r="U405" s="194"/>
      <c r="V405" s="195"/>
      <c r="W405" s="195"/>
      <c r="X405" s="195"/>
      <c r="Y405" s="195"/>
      <c r="Z405" s="195"/>
      <c r="AA405" s="195"/>
      <c r="AB405" s="195"/>
      <c r="AC405" s="195"/>
      <c r="AD405" s="195"/>
      <c r="AE405" s="195"/>
      <c r="AF405" s="195"/>
      <c r="AG405" s="195"/>
      <c r="AH405" s="6"/>
    </row>
    <row r="406" spans="1:34" s="3" customFormat="1" ht="15.95" customHeight="1">
      <c r="A406" s="7"/>
      <c r="B406" s="16">
        <f>DSUM('$REV-DB'!D35:AG67,"AMOUNT",D404:AG405)</f>
        <v>6582336</v>
      </c>
      <c r="C406" s="12"/>
      <c r="D406" s="880"/>
      <c r="E406" s="880"/>
      <c r="F406" s="880"/>
      <c r="G406" s="880"/>
      <c r="H406" s="880"/>
      <c r="I406" s="880"/>
      <c r="J406" s="880"/>
      <c r="K406" s="880"/>
      <c r="L406" s="881"/>
      <c r="M406" s="880"/>
      <c r="N406" s="873"/>
      <c r="O406" s="880"/>
      <c r="P406" s="873"/>
      <c r="Q406" s="884"/>
      <c r="R406" s="880"/>
      <c r="S406" s="880"/>
      <c r="T406" s="882"/>
      <c r="U406" s="882"/>
      <c r="V406" s="883"/>
      <c r="W406" s="883"/>
      <c r="X406" s="883"/>
      <c r="Y406" s="883"/>
      <c r="Z406" s="883"/>
      <c r="AA406" s="883"/>
      <c r="AB406" s="883"/>
      <c r="AC406" s="883"/>
      <c r="AD406" s="883"/>
      <c r="AE406" s="883"/>
      <c r="AF406" s="883"/>
      <c r="AG406" s="883"/>
      <c r="AH406" s="6"/>
    </row>
    <row r="407" spans="1:34" s="3" customFormat="1" ht="15.95" customHeight="1">
      <c r="A407" s="7"/>
      <c r="B407" s="10"/>
      <c r="C407" s="12"/>
      <c r="D407" s="880"/>
      <c r="E407" s="880"/>
      <c r="F407" s="880"/>
      <c r="G407" s="880"/>
      <c r="H407" s="880"/>
      <c r="I407" s="880"/>
      <c r="J407" s="880"/>
      <c r="K407" s="880"/>
      <c r="L407" s="881"/>
      <c r="M407" s="880"/>
      <c r="N407" s="873"/>
      <c r="O407" s="880"/>
      <c r="P407" s="873"/>
      <c r="Q407" s="884"/>
      <c r="R407" s="880"/>
      <c r="S407" s="880"/>
      <c r="T407" s="882"/>
      <c r="U407" s="882"/>
      <c r="V407" s="883"/>
      <c r="W407" s="883"/>
      <c r="X407" s="883"/>
      <c r="Y407" s="883"/>
      <c r="Z407" s="883"/>
      <c r="AA407" s="883"/>
      <c r="AB407" s="883"/>
      <c r="AC407" s="883"/>
      <c r="AD407" s="883"/>
      <c r="AE407" s="883"/>
      <c r="AF407" s="883"/>
      <c r="AG407" s="883"/>
    </row>
    <row r="408" spans="1:34" s="3" customFormat="1" ht="15.95" customHeight="1">
      <c r="A408" s="7"/>
      <c r="B408" s="10"/>
      <c r="C408" s="12"/>
      <c r="D408" s="880"/>
      <c r="E408" s="880"/>
      <c r="F408" s="880"/>
      <c r="G408" s="880"/>
      <c r="H408" s="880"/>
      <c r="I408" s="880"/>
      <c r="J408" s="880"/>
      <c r="K408" s="880"/>
      <c r="L408" s="881"/>
      <c r="M408" s="880"/>
      <c r="N408" s="873"/>
      <c r="O408" s="880"/>
      <c r="P408" s="873"/>
      <c r="Q408" s="884"/>
      <c r="R408" s="880"/>
      <c r="S408" s="880"/>
      <c r="T408" s="882"/>
      <c r="U408" s="882"/>
      <c r="V408" s="883"/>
      <c r="W408" s="883"/>
      <c r="X408" s="883"/>
      <c r="Y408" s="883"/>
      <c r="Z408" s="883"/>
      <c r="AA408" s="883"/>
      <c r="AB408" s="883"/>
      <c r="AC408" s="883"/>
      <c r="AD408" s="883"/>
      <c r="AE408" s="883"/>
      <c r="AF408" s="883"/>
      <c r="AG408" s="883"/>
    </row>
    <row r="409" spans="1:34" s="3" customFormat="1" ht="15.95" customHeight="1">
      <c r="A409" s="7"/>
      <c r="B409" s="10"/>
      <c r="C409" s="12"/>
      <c r="D409" s="880"/>
      <c r="E409" s="880"/>
      <c r="F409" s="880"/>
      <c r="G409" s="880"/>
      <c r="H409" s="880"/>
      <c r="I409" s="880"/>
      <c r="J409" s="880"/>
      <c r="K409" s="880"/>
      <c r="L409" s="881"/>
      <c r="M409" s="880"/>
      <c r="N409" s="873"/>
      <c r="O409" s="880"/>
      <c r="P409" s="873"/>
      <c r="Q409" s="884"/>
      <c r="R409" s="880"/>
      <c r="S409" s="880"/>
      <c r="T409" s="882"/>
      <c r="U409" s="882"/>
      <c r="V409" s="883"/>
      <c r="W409" s="883"/>
      <c r="X409" s="883"/>
      <c r="Y409" s="883"/>
      <c r="Z409" s="883"/>
      <c r="AA409" s="883"/>
      <c r="AB409" s="883"/>
      <c r="AC409" s="883"/>
      <c r="AD409" s="883"/>
      <c r="AE409" s="883"/>
      <c r="AF409" s="883"/>
      <c r="AG409" s="883"/>
    </row>
    <row r="410" spans="1:34" s="3" customFormat="1" ht="15.95" customHeight="1">
      <c r="A410" s="7"/>
      <c r="B410" s="10"/>
      <c r="C410" s="12"/>
      <c r="D410" s="880"/>
      <c r="E410" s="880"/>
      <c r="F410" s="880"/>
      <c r="G410" s="880"/>
      <c r="H410" s="880"/>
      <c r="I410" s="880"/>
      <c r="J410" s="880"/>
      <c r="K410" s="880"/>
      <c r="L410" s="881"/>
      <c r="M410" s="880"/>
      <c r="N410" s="873"/>
      <c r="O410" s="880"/>
      <c r="P410" s="873"/>
      <c r="Q410" s="884"/>
      <c r="R410" s="880"/>
      <c r="S410" s="880"/>
      <c r="T410" s="882"/>
      <c r="U410" s="882"/>
      <c r="V410" s="883"/>
      <c r="W410" s="883"/>
      <c r="X410" s="883"/>
      <c r="Y410" s="883"/>
      <c r="Z410" s="883"/>
      <c r="AA410" s="883"/>
      <c r="AB410" s="883"/>
      <c r="AC410" s="883"/>
      <c r="AD410" s="883"/>
      <c r="AE410" s="883"/>
      <c r="AF410" s="883"/>
      <c r="AG410" s="883"/>
    </row>
    <row r="411" spans="1:34" s="3" customFormat="1" ht="15.95" customHeight="1">
      <c r="A411" s="7"/>
      <c r="B411" s="10"/>
      <c r="C411" s="12"/>
      <c r="D411" s="880"/>
      <c r="E411" s="880"/>
      <c r="F411" s="880"/>
      <c r="G411" s="880"/>
      <c r="H411" s="880"/>
      <c r="I411" s="880"/>
      <c r="J411" s="880"/>
      <c r="K411" s="880"/>
      <c r="L411" s="881"/>
      <c r="M411" s="880"/>
      <c r="N411" s="873"/>
      <c r="O411" s="880"/>
      <c r="P411" s="873"/>
      <c r="Q411" s="884"/>
      <c r="R411" s="880"/>
      <c r="S411" s="880"/>
      <c r="T411" s="882"/>
      <c r="U411" s="882"/>
      <c r="V411" s="883"/>
      <c r="W411" s="883"/>
      <c r="X411" s="883"/>
      <c r="Y411" s="883"/>
      <c r="Z411" s="883"/>
      <c r="AA411" s="883"/>
      <c r="AB411" s="883"/>
      <c r="AC411" s="883"/>
      <c r="AD411" s="883"/>
      <c r="AE411" s="883"/>
      <c r="AF411" s="883"/>
      <c r="AG411" s="883"/>
    </row>
    <row r="412" spans="1:34" s="3" customFormat="1" ht="15.95" customHeight="1">
      <c r="A412" s="29"/>
      <c r="B412" s="30"/>
      <c r="C412" s="30"/>
      <c r="D412" s="31"/>
      <c r="E412" s="31"/>
      <c r="F412" s="32"/>
      <c r="G412" s="31"/>
      <c r="H412" s="32"/>
      <c r="I412" s="32"/>
      <c r="J412" s="31"/>
      <c r="K412" s="31"/>
      <c r="L412" s="284"/>
      <c r="M412" s="32"/>
      <c r="N412" s="32"/>
      <c r="O412" s="31"/>
      <c r="P412" s="32"/>
      <c r="Q412" s="32"/>
      <c r="R412" s="31"/>
      <c r="S412" s="32"/>
      <c r="T412" s="31"/>
      <c r="U412" s="31"/>
      <c r="V412" s="29"/>
      <c r="W412" s="29"/>
      <c r="X412" s="29"/>
      <c r="Y412" s="29"/>
      <c r="Z412" s="29"/>
      <c r="AA412" s="29"/>
      <c r="AB412" s="29"/>
      <c r="AC412" s="29"/>
      <c r="AD412" s="29"/>
      <c r="AE412" s="29"/>
      <c r="AF412" s="29"/>
      <c r="AG412" s="29"/>
    </row>
    <row r="413" spans="1:34" s="3" customFormat="1" ht="15.95" customHeight="1" thickBot="1">
      <c r="A413" s="7"/>
      <c r="B413" s="19" t="str">
        <f>"FA2 = "&amp;'FIG3'!$W$53&amp;" "&amp;'FIG3'!$X$53</f>
        <v>FA2 = Atlanta Public Schools</v>
      </c>
      <c r="C413" s="7"/>
      <c r="D413" s="8"/>
      <c r="E413" s="8"/>
      <c r="F413" s="9"/>
      <c r="G413" s="8"/>
      <c r="H413" s="9"/>
      <c r="I413" s="9"/>
      <c r="J413" s="8"/>
      <c r="K413" s="8"/>
      <c r="L413" s="280"/>
      <c r="M413" s="9"/>
      <c r="N413" s="9"/>
      <c r="O413" s="8"/>
      <c r="P413" s="9"/>
      <c r="Q413" s="9"/>
      <c r="R413" s="8"/>
      <c r="S413" s="866"/>
      <c r="T413" s="867" t="str">
        <f>'$REV-DB'!$T$34</f>
        <v>UD1</v>
      </c>
      <c r="U413" s="867" t="str">
        <f>'$REV-DB'!$U$34</f>
        <v>UD2</v>
      </c>
      <c r="V413" s="867" t="str">
        <f>'$REV-DB'!$V$34</f>
        <v>UD3</v>
      </c>
      <c r="W413" s="867" t="str">
        <f>'$REV-DB'!$W$34</f>
        <v>UD4</v>
      </c>
      <c r="X413" s="867" t="str">
        <f>'$REV-DB'!$X$34</f>
        <v>UD5</v>
      </c>
      <c r="Y413" s="867" t="str">
        <f>'$REV-DB'!$Y$34</f>
        <v>UD6</v>
      </c>
      <c r="Z413" s="867" t="str">
        <f>'$REV-DB'!$Z$34</f>
        <v>UD7</v>
      </c>
      <c r="AA413" s="867" t="str">
        <f>'$REV-DB'!$AA$34</f>
        <v>UD8</v>
      </c>
      <c r="AB413" s="867" t="str">
        <f>'$REV-DB'!$AB$34</f>
        <v>UD9</v>
      </c>
      <c r="AC413" s="867" t="str">
        <f>'$REV-DB'!$AC$34</f>
        <v>UD10</v>
      </c>
      <c r="AD413" s="867" t="str">
        <f>'$REV-DB'!$AD$34</f>
        <v>UD11</v>
      </c>
      <c r="AE413" s="867" t="str">
        <f>'$REV-DB'!$AE$34</f>
        <v>UD12</v>
      </c>
      <c r="AF413" s="867" t="str">
        <f>'$REV-DB'!$AF$34</f>
        <v>UD13</v>
      </c>
      <c r="AG413" s="867" t="str">
        <f>'$REV-DB'!$AG$34</f>
        <v>UD14</v>
      </c>
    </row>
    <row r="414" spans="1:34" s="3" customFormat="1" ht="15.95" customHeight="1" thickTop="1" thickBot="1">
      <c r="A414" s="7"/>
      <c r="B414" s="20" t="s">
        <v>175</v>
      </c>
      <c r="C414" s="15"/>
      <c r="D414" s="861" t="s">
        <v>186</v>
      </c>
      <c r="E414" s="861" t="s">
        <v>187</v>
      </c>
      <c r="F414" s="861" t="s">
        <v>188</v>
      </c>
      <c r="G414" s="861" t="s">
        <v>189</v>
      </c>
      <c r="H414" s="861" t="s">
        <v>11</v>
      </c>
      <c r="I414" s="861" t="s">
        <v>190</v>
      </c>
      <c r="J414" s="861" t="s">
        <v>191</v>
      </c>
      <c r="K414" s="861" t="s">
        <v>192</v>
      </c>
      <c r="L414" s="861" t="s">
        <v>203</v>
      </c>
      <c r="M414" s="861" t="s">
        <v>42</v>
      </c>
      <c r="N414" s="861" t="s">
        <v>148</v>
      </c>
      <c r="O414" s="861" t="s">
        <v>193</v>
      </c>
      <c r="P414" s="861" t="s">
        <v>142</v>
      </c>
      <c r="Q414" s="861" t="s">
        <v>194</v>
      </c>
      <c r="R414" s="112" t="s">
        <v>141</v>
      </c>
      <c r="S414" s="112" t="s">
        <v>672</v>
      </c>
      <c r="T414" s="861" t="s">
        <v>541</v>
      </c>
      <c r="U414" s="861" t="s">
        <v>542</v>
      </c>
      <c r="V414" s="861" t="s">
        <v>543</v>
      </c>
      <c r="W414" s="861" t="s">
        <v>544</v>
      </c>
      <c r="X414" s="861" t="s">
        <v>545</v>
      </c>
      <c r="Y414" s="861" t="s">
        <v>546</v>
      </c>
      <c r="Z414" s="861" t="s">
        <v>547</v>
      </c>
      <c r="AA414" s="861" t="s">
        <v>548</v>
      </c>
      <c r="AB414" s="861" t="s">
        <v>549</v>
      </c>
      <c r="AC414" s="861" t="s">
        <v>550</v>
      </c>
      <c r="AD414" s="861" t="s">
        <v>551</v>
      </c>
      <c r="AE414" s="861" t="s">
        <v>552</v>
      </c>
      <c r="AF414" s="861" t="s">
        <v>553</v>
      </c>
      <c r="AG414" s="861" t="s">
        <v>554</v>
      </c>
      <c r="AH414" s="6"/>
    </row>
    <row r="415" spans="1:34" s="3" customFormat="1" ht="15.95" customHeight="1" thickTop="1">
      <c r="A415" s="7"/>
      <c r="B415" s="19" t="s">
        <v>364</v>
      </c>
      <c r="C415" s="12"/>
      <c r="D415" s="194"/>
      <c r="E415" s="194"/>
      <c r="F415" s="193"/>
      <c r="G415" s="194"/>
      <c r="H415" s="193"/>
      <c r="I415" s="193"/>
      <c r="J415" s="194"/>
      <c r="K415" s="194"/>
      <c r="L415" s="285" t="s">
        <v>34</v>
      </c>
      <c r="M415" s="193"/>
      <c r="N415" s="47" t="str">
        <f>J$6</f>
        <v>FY2010-11</v>
      </c>
      <c r="O415" s="47" t="s">
        <v>153</v>
      </c>
      <c r="P415" s="47" t="s">
        <v>147</v>
      </c>
      <c r="Q415" s="47" t="s">
        <v>70</v>
      </c>
      <c r="R415" s="194"/>
      <c r="S415" s="193" t="s">
        <v>611</v>
      </c>
      <c r="T415" s="194"/>
      <c r="U415" s="194"/>
      <c r="V415" s="195"/>
      <c r="W415" s="195"/>
      <c r="X415" s="195"/>
      <c r="Y415" s="195"/>
      <c r="Z415" s="195"/>
      <c r="AA415" s="195"/>
      <c r="AB415" s="195"/>
      <c r="AC415" s="195"/>
      <c r="AD415" s="195"/>
      <c r="AE415" s="195"/>
      <c r="AF415" s="195"/>
      <c r="AG415" s="195"/>
      <c r="AH415" s="6"/>
    </row>
    <row r="416" spans="1:34" s="3" customFormat="1" ht="15.95" customHeight="1">
      <c r="A416" s="7"/>
      <c r="B416" s="16">
        <f>DSUM('$REV-DB'!D35:AG67,"AMOUNT",D414:AG415)</f>
        <v>1342655</v>
      </c>
      <c r="C416" s="12"/>
      <c r="D416" s="880"/>
      <c r="E416" s="880"/>
      <c r="F416" s="880"/>
      <c r="G416" s="880"/>
      <c r="H416" s="880"/>
      <c r="I416" s="880"/>
      <c r="J416" s="880"/>
      <c r="K416" s="880"/>
      <c r="L416" s="881"/>
      <c r="M416" s="880"/>
      <c r="N416" s="873"/>
      <c r="O416" s="880"/>
      <c r="P416" s="873"/>
      <c r="Q416" s="884"/>
      <c r="R416" s="880"/>
      <c r="S416" s="880"/>
      <c r="T416" s="882"/>
      <c r="U416" s="882"/>
      <c r="V416" s="883"/>
      <c r="W416" s="883"/>
      <c r="X416" s="883"/>
      <c r="Y416" s="883"/>
      <c r="Z416" s="883"/>
      <c r="AA416" s="883"/>
      <c r="AB416" s="883"/>
      <c r="AC416" s="883"/>
      <c r="AD416" s="883"/>
      <c r="AE416" s="883"/>
      <c r="AF416" s="883"/>
      <c r="AG416" s="883"/>
      <c r="AH416" s="6"/>
    </row>
    <row r="417" spans="1:34" s="3" customFormat="1" ht="15.95" customHeight="1">
      <c r="A417" s="7"/>
      <c r="B417" s="10"/>
      <c r="C417" s="12"/>
      <c r="D417" s="880"/>
      <c r="E417" s="880"/>
      <c r="F417" s="880"/>
      <c r="G417" s="880"/>
      <c r="H417" s="880"/>
      <c r="I417" s="880"/>
      <c r="J417" s="880"/>
      <c r="K417" s="880"/>
      <c r="L417" s="881"/>
      <c r="M417" s="880"/>
      <c r="N417" s="873"/>
      <c r="O417" s="880"/>
      <c r="P417" s="873"/>
      <c r="Q417" s="884"/>
      <c r="R417" s="880"/>
      <c r="S417" s="880"/>
      <c r="T417" s="882"/>
      <c r="U417" s="882"/>
      <c r="V417" s="883"/>
      <c r="W417" s="883"/>
      <c r="X417" s="883"/>
      <c r="Y417" s="883"/>
      <c r="Z417" s="883"/>
      <c r="AA417" s="883"/>
      <c r="AB417" s="883"/>
      <c r="AC417" s="883"/>
      <c r="AD417" s="883"/>
      <c r="AE417" s="883"/>
      <c r="AF417" s="883"/>
      <c r="AG417" s="883"/>
    </row>
    <row r="418" spans="1:34" s="3" customFormat="1" ht="15.95" customHeight="1">
      <c r="A418" s="7"/>
      <c r="B418" s="10"/>
      <c r="C418" s="12"/>
      <c r="D418" s="880"/>
      <c r="E418" s="880"/>
      <c r="F418" s="880"/>
      <c r="G418" s="880"/>
      <c r="H418" s="880"/>
      <c r="I418" s="880"/>
      <c r="J418" s="880"/>
      <c r="K418" s="880"/>
      <c r="L418" s="881"/>
      <c r="M418" s="880"/>
      <c r="N418" s="873"/>
      <c r="O418" s="880"/>
      <c r="P418" s="873"/>
      <c r="Q418" s="884"/>
      <c r="R418" s="880"/>
      <c r="S418" s="880"/>
      <c r="T418" s="882"/>
      <c r="U418" s="882"/>
      <c r="V418" s="883"/>
      <c r="W418" s="883"/>
      <c r="X418" s="883"/>
      <c r="Y418" s="883"/>
      <c r="Z418" s="883"/>
      <c r="AA418" s="883"/>
      <c r="AB418" s="883"/>
      <c r="AC418" s="883"/>
      <c r="AD418" s="883"/>
      <c r="AE418" s="883"/>
      <c r="AF418" s="883"/>
      <c r="AG418" s="883"/>
    </row>
    <row r="419" spans="1:34" s="3" customFormat="1" ht="15.95" customHeight="1">
      <c r="A419" s="7"/>
      <c r="B419" s="10"/>
      <c r="C419" s="12"/>
      <c r="D419" s="880"/>
      <c r="E419" s="880"/>
      <c r="F419" s="880"/>
      <c r="G419" s="880"/>
      <c r="H419" s="880"/>
      <c r="I419" s="880"/>
      <c r="J419" s="880"/>
      <c r="K419" s="880"/>
      <c r="L419" s="881"/>
      <c r="M419" s="880"/>
      <c r="N419" s="873"/>
      <c r="O419" s="880"/>
      <c r="P419" s="873"/>
      <c r="Q419" s="884"/>
      <c r="R419" s="880"/>
      <c r="S419" s="880"/>
      <c r="T419" s="882"/>
      <c r="U419" s="882"/>
      <c r="V419" s="883"/>
      <c r="W419" s="883"/>
      <c r="X419" s="883"/>
      <c r="Y419" s="883"/>
      <c r="Z419" s="883"/>
      <c r="AA419" s="883"/>
      <c r="AB419" s="883"/>
      <c r="AC419" s="883"/>
      <c r="AD419" s="883"/>
      <c r="AE419" s="883"/>
      <c r="AF419" s="883"/>
      <c r="AG419" s="883"/>
    </row>
    <row r="420" spans="1:34" s="3" customFormat="1" ht="15.95" customHeight="1">
      <c r="A420" s="7"/>
      <c r="B420" s="10"/>
      <c r="C420" s="12"/>
      <c r="D420" s="880"/>
      <c r="E420" s="880"/>
      <c r="F420" s="880"/>
      <c r="G420" s="880"/>
      <c r="H420" s="880"/>
      <c r="I420" s="880"/>
      <c r="J420" s="880"/>
      <c r="K420" s="880"/>
      <c r="L420" s="881"/>
      <c r="M420" s="880"/>
      <c r="N420" s="873"/>
      <c r="O420" s="880"/>
      <c r="P420" s="873"/>
      <c r="Q420" s="884"/>
      <c r="R420" s="880"/>
      <c r="S420" s="880"/>
      <c r="T420" s="882"/>
      <c r="U420" s="882"/>
      <c r="V420" s="883"/>
      <c r="W420" s="883"/>
      <c r="X420" s="883"/>
      <c r="Y420" s="883"/>
      <c r="Z420" s="883"/>
      <c r="AA420" s="883"/>
      <c r="AB420" s="883"/>
      <c r="AC420" s="883"/>
      <c r="AD420" s="883"/>
      <c r="AE420" s="883"/>
      <c r="AF420" s="883"/>
      <c r="AG420" s="883"/>
    </row>
    <row r="421" spans="1:34" s="3" customFormat="1" ht="15.95" customHeight="1">
      <c r="A421" s="7"/>
      <c r="B421" s="10"/>
      <c r="C421" s="12"/>
      <c r="D421" s="880"/>
      <c r="E421" s="880"/>
      <c r="F421" s="880"/>
      <c r="G421" s="880"/>
      <c r="H421" s="880"/>
      <c r="I421" s="880"/>
      <c r="J421" s="880"/>
      <c r="K421" s="880"/>
      <c r="L421" s="881"/>
      <c r="M421" s="880"/>
      <c r="N421" s="873"/>
      <c r="O421" s="880"/>
      <c r="P421" s="873"/>
      <c r="Q421" s="884"/>
      <c r="R421" s="880"/>
      <c r="S421" s="880"/>
      <c r="T421" s="882"/>
      <c r="U421" s="882"/>
      <c r="V421" s="883"/>
      <c r="W421" s="883"/>
      <c r="X421" s="883"/>
      <c r="Y421" s="883"/>
      <c r="Z421" s="883"/>
      <c r="AA421" s="883"/>
      <c r="AB421" s="883"/>
      <c r="AC421" s="883"/>
      <c r="AD421" s="883"/>
      <c r="AE421" s="883"/>
      <c r="AF421" s="883"/>
      <c r="AG421" s="883"/>
    </row>
    <row r="422" spans="1:34" s="3" customFormat="1" ht="15.95" customHeight="1">
      <c r="A422" s="29"/>
      <c r="B422" s="30"/>
      <c r="C422" s="30"/>
      <c r="D422" s="31"/>
      <c r="E422" s="31"/>
      <c r="F422" s="32"/>
      <c r="G422" s="31"/>
      <c r="H422" s="32"/>
      <c r="I422" s="32"/>
      <c r="J422" s="31"/>
      <c r="K422" s="31"/>
      <c r="L422" s="284"/>
      <c r="M422" s="32"/>
      <c r="N422" s="32"/>
      <c r="O422" s="31"/>
      <c r="P422" s="32"/>
      <c r="Q422" s="32"/>
      <c r="R422" s="31"/>
      <c r="S422" s="32"/>
      <c r="T422" s="31"/>
      <c r="U422" s="31"/>
      <c r="V422" s="29"/>
      <c r="W422" s="29"/>
      <c r="X422" s="29"/>
      <c r="Y422" s="29"/>
      <c r="Z422" s="29"/>
      <c r="AA422" s="29"/>
      <c r="AB422" s="29"/>
      <c r="AC422" s="29"/>
      <c r="AD422" s="29"/>
      <c r="AE422" s="29"/>
      <c r="AF422" s="29"/>
      <c r="AG422" s="29"/>
    </row>
    <row r="423" spans="1:34" s="3" customFormat="1" ht="15.95" customHeight="1" thickBot="1">
      <c r="A423" s="7"/>
      <c r="B423" s="19" t="str">
        <f>"FA2 = "&amp;'FIG3'!$W$53&amp;" "&amp;'FIG3'!$X$53</f>
        <v>FA2 = Atlanta Public Schools</v>
      </c>
      <c r="C423" s="7"/>
      <c r="D423" s="8"/>
      <c r="E423" s="8"/>
      <c r="F423" s="9"/>
      <c r="G423" s="8"/>
      <c r="H423" s="9"/>
      <c r="I423" s="9"/>
      <c r="J423" s="8"/>
      <c r="K423" s="8"/>
      <c r="L423" s="280"/>
      <c r="M423" s="9"/>
      <c r="N423" s="9"/>
      <c r="O423" s="8"/>
      <c r="P423" s="9"/>
      <c r="Q423" s="9"/>
      <c r="R423" s="8"/>
      <c r="S423" s="866"/>
      <c r="T423" s="867" t="str">
        <f>'$REV-DB'!$T$34</f>
        <v>UD1</v>
      </c>
      <c r="U423" s="867" t="str">
        <f>'$REV-DB'!$U$34</f>
        <v>UD2</v>
      </c>
      <c r="V423" s="867" t="str">
        <f>'$REV-DB'!$V$34</f>
        <v>UD3</v>
      </c>
      <c r="W423" s="867" t="str">
        <f>'$REV-DB'!$W$34</f>
        <v>UD4</v>
      </c>
      <c r="X423" s="867" t="str">
        <f>'$REV-DB'!$X$34</f>
        <v>UD5</v>
      </c>
      <c r="Y423" s="867" t="str">
        <f>'$REV-DB'!$Y$34</f>
        <v>UD6</v>
      </c>
      <c r="Z423" s="867" t="str">
        <f>'$REV-DB'!$Z$34</f>
        <v>UD7</v>
      </c>
      <c r="AA423" s="867" t="str">
        <f>'$REV-DB'!$AA$34</f>
        <v>UD8</v>
      </c>
      <c r="AB423" s="867" t="str">
        <f>'$REV-DB'!$AB$34</f>
        <v>UD9</v>
      </c>
      <c r="AC423" s="867" t="str">
        <f>'$REV-DB'!$AC$34</f>
        <v>UD10</v>
      </c>
      <c r="AD423" s="867" t="str">
        <f>'$REV-DB'!$AD$34</f>
        <v>UD11</v>
      </c>
      <c r="AE423" s="867" t="str">
        <f>'$REV-DB'!$AE$34</f>
        <v>UD12</v>
      </c>
      <c r="AF423" s="867" t="str">
        <f>'$REV-DB'!$AF$34</f>
        <v>UD13</v>
      </c>
      <c r="AG423" s="867" t="str">
        <f>'$REV-DB'!$AG$34</f>
        <v>UD14</v>
      </c>
    </row>
    <row r="424" spans="1:34" s="3" customFormat="1" ht="15.95" customHeight="1" thickTop="1" thickBot="1">
      <c r="A424" s="7"/>
      <c r="B424" s="20" t="s">
        <v>175</v>
      </c>
      <c r="C424" s="15"/>
      <c r="D424" s="861" t="s">
        <v>186</v>
      </c>
      <c r="E424" s="861" t="s">
        <v>187</v>
      </c>
      <c r="F424" s="861" t="s">
        <v>188</v>
      </c>
      <c r="G424" s="861" t="s">
        <v>189</v>
      </c>
      <c r="H424" s="861" t="s">
        <v>11</v>
      </c>
      <c r="I424" s="861" t="s">
        <v>190</v>
      </c>
      <c r="J424" s="861" t="s">
        <v>191</v>
      </c>
      <c r="K424" s="861" t="s">
        <v>192</v>
      </c>
      <c r="L424" s="861" t="s">
        <v>203</v>
      </c>
      <c r="M424" s="861" t="s">
        <v>42</v>
      </c>
      <c r="N424" s="861" t="s">
        <v>148</v>
      </c>
      <c r="O424" s="861" t="s">
        <v>193</v>
      </c>
      <c r="P424" s="861" t="s">
        <v>142</v>
      </c>
      <c r="Q424" s="861" t="s">
        <v>194</v>
      </c>
      <c r="R424" s="112" t="s">
        <v>141</v>
      </c>
      <c r="S424" s="112" t="s">
        <v>672</v>
      </c>
      <c r="T424" s="861" t="s">
        <v>541</v>
      </c>
      <c r="U424" s="861" t="s">
        <v>542</v>
      </c>
      <c r="V424" s="861" t="s">
        <v>543</v>
      </c>
      <c r="W424" s="861" t="s">
        <v>544</v>
      </c>
      <c r="X424" s="861" t="s">
        <v>545</v>
      </c>
      <c r="Y424" s="861" t="s">
        <v>546</v>
      </c>
      <c r="Z424" s="861" t="s">
        <v>547</v>
      </c>
      <c r="AA424" s="861" t="s">
        <v>548</v>
      </c>
      <c r="AB424" s="861" t="s">
        <v>549</v>
      </c>
      <c r="AC424" s="861" t="s">
        <v>550</v>
      </c>
      <c r="AD424" s="861" t="s">
        <v>551</v>
      </c>
      <c r="AE424" s="861" t="s">
        <v>552</v>
      </c>
      <c r="AF424" s="861" t="s">
        <v>553</v>
      </c>
      <c r="AG424" s="861" t="s">
        <v>554</v>
      </c>
      <c r="AH424" s="6"/>
    </row>
    <row r="425" spans="1:34" s="3" customFormat="1" ht="15.95" customHeight="1" thickTop="1">
      <c r="A425" s="7"/>
      <c r="B425" s="19" t="s">
        <v>150</v>
      </c>
      <c r="C425" s="12"/>
      <c r="D425" s="194"/>
      <c r="E425" s="194"/>
      <c r="F425" s="193"/>
      <c r="G425" s="194"/>
      <c r="H425" s="193"/>
      <c r="I425" s="193"/>
      <c r="J425" s="194"/>
      <c r="K425" s="194"/>
      <c r="L425" s="285" t="s">
        <v>34</v>
      </c>
      <c r="M425" s="193"/>
      <c r="N425" s="47" t="str">
        <f>J$6</f>
        <v>FY2010-11</v>
      </c>
      <c r="O425" s="47" t="s">
        <v>153</v>
      </c>
      <c r="P425" s="47" t="s">
        <v>147</v>
      </c>
      <c r="Q425" s="47" t="s">
        <v>140</v>
      </c>
      <c r="R425" s="194"/>
      <c r="S425" s="193" t="s">
        <v>611</v>
      </c>
      <c r="T425" s="194"/>
      <c r="U425" s="194"/>
      <c r="V425" s="195"/>
      <c r="W425" s="195"/>
      <c r="X425" s="195"/>
      <c r="Y425" s="195"/>
      <c r="Z425" s="195"/>
      <c r="AA425" s="195"/>
      <c r="AB425" s="195"/>
      <c r="AC425" s="195"/>
      <c r="AD425" s="195"/>
      <c r="AE425" s="195"/>
      <c r="AF425" s="195"/>
      <c r="AG425" s="195"/>
      <c r="AH425" s="6"/>
    </row>
    <row r="426" spans="1:34" s="3" customFormat="1" ht="15.95" customHeight="1">
      <c r="A426" s="7"/>
      <c r="B426" s="16">
        <f>DSUM('$REV-DB'!D35:AG67,"AMOUNT",D424:AG425)</f>
        <v>0</v>
      </c>
      <c r="C426" s="12"/>
      <c r="D426" s="880"/>
      <c r="E426" s="880"/>
      <c r="F426" s="880"/>
      <c r="G426" s="880"/>
      <c r="H426" s="880"/>
      <c r="I426" s="880"/>
      <c r="J426" s="880"/>
      <c r="K426" s="880"/>
      <c r="L426" s="881"/>
      <c r="M426" s="880"/>
      <c r="N426" s="873"/>
      <c r="O426" s="880"/>
      <c r="P426" s="873"/>
      <c r="Q426" s="884"/>
      <c r="R426" s="880"/>
      <c r="S426" s="880"/>
      <c r="T426" s="882"/>
      <c r="U426" s="882"/>
      <c r="V426" s="883"/>
      <c r="W426" s="883"/>
      <c r="X426" s="883"/>
      <c r="Y426" s="883"/>
      <c r="Z426" s="883"/>
      <c r="AA426" s="883"/>
      <c r="AB426" s="883"/>
      <c r="AC426" s="883"/>
      <c r="AD426" s="883"/>
      <c r="AE426" s="883"/>
      <c r="AF426" s="883"/>
      <c r="AG426" s="883"/>
      <c r="AH426" s="6"/>
    </row>
    <row r="427" spans="1:34" s="3" customFormat="1" ht="15.95" customHeight="1">
      <c r="A427" s="7"/>
      <c r="B427" s="10"/>
      <c r="C427" s="12"/>
      <c r="D427" s="880"/>
      <c r="E427" s="880"/>
      <c r="F427" s="880"/>
      <c r="G427" s="880"/>
      <c r="H427" s="880"/>
      <c r="I427" s="880"/>
      <c r="J427" s="880"/>
      <c r="K427" s="880"/>
      <c r="L427" s="881"/>
      <c r="M427" s="880"/>
      <c r="N427" s="873"/>
      <c r="O427" s="880"/>
      <c r="P427" s="873"/>
      <c r="Q427" s="884"/>
      <c r="R427" s="880"/>
      <c r="S427" s="880"/>
      <c r="T427" s="882"/>
      <c r="U427" s="882"/>
      <c r="V427" s="883"/>
      <c r="W427" s="883"/>
      <c r="X427" s="883"/>
      <c r="Y427" s="883"/>
      <c r="Z427" s="883"/>
      <c r="AA427" s="883"/>
      <c r="AB427" s="883"/>
      <c r="AC427" s="883"/>
      <c r="AD427" s="883"/>
      <c r="AE427" s="883"/>
      <c r="AF427" s="883"/>
      <c r="AG427" s="883"/>
    </row>
    <row r="428" spans="1:34" s="3" customFormat="1" ht="15.95" customHeight="1">
      <c r="A428" s="7"/>
      <c r="B428" s="10"/>
      <c r="C428" s="12"/>
      <c r="D428" s="880"/>
      <c r="E428" s="880"/>
      <c r="F428" s="880"/>
      <c r="G428" s="880"/>
      <c r="H428" s="880"/>
      <c r="I428" s="880"/>
      <c r="J428" s="880"/>
      <c r="K428" s="880"/>
      <c r="L428" s="881"/>
      <c r="M428" s="880"/>
      <c r="N428" s="873"/>
      <c r="O428" s="880"/>
      <c r="P428" s="873"/>
      <c r="Q428" s="884"/>
      <c r="R428" s="880"/>
      <c r="S428" s="880"/>
      <c r="T428" s="882"/>
      <c r="U428" s="882"/>
      <c r="V428" s="883"/>
      <c r="W428" s="883"/>
      <c r="X428" s="883"/>
      <c r="Y428" s="883"/>
      <c r="Z428" s="883"/>
      <c r="AA428" s="883"/>
      <c r="AB428" s="883"/>
      <c r="AC428" s="883"/>
      <c r="AD428" s="883"/>
      <c r="AE428" s="883"/>
      <c r="AF428" s="883"/>
      <c r="AG428" s="883"/>
    </row>
    <row r="429" spans="1:34" s="3" customFormat="1" ht="15.95" customHeight="1">
      <c r="A429" s="7"/>
      <c r="B429" s="10"/>
      <c r="C429" s="12"/>
      <c r="D429" s="880"/>
      <c r="E429" s="880"/>
      <c r="F429" s="880"/>
      <c r="G429" s="880"/>
      <c r="H429" s="880"/>
      <c r="I429" s="880"/>
      <c r="J429" s="880"/>
      <c r="K429" s="880"/>
      <c r="L429" s="881"/>
      <c r="M429" s="880"/>
      <c r="N429" s="873"/>
      <c r="O429" s="880"/>
      <c r="P429" s="873"/>
      <c r="Q429" s="884"/>
      <c r="R429" s="880"/>
      <c r="S429" s="880"/>
      <c r="T429" s="882"/>
      <c r="U429" s="882"/>
      <c r="V429" s="883"/>
      <c r="W429" s="883"/>
      <c r="X429" s="883"/>
      <c r="Y429" s="883"/>
      <c r="Z429" s="883"/>
      <c r="AA429" s="883"/>
      <c r="AB429" s="883"/>
      <c r="AC429" s="883"/>
      <c r="AD429" s="883"/>
      <c r="AE429" s="883"/>
      <c r="AF429" s="883"/>
      <c r="AG429" s="883"/>
    </row>
    <row r="430" spans="1:34" s="3" customFormat="1" ht="15.95" customHeight="1">
      <c r="A430" s="7"/>
      <c r="B430" s="10"/>
      <c r="C430" s="12"/>
      <c r="D430" s="880"/>
      <c r="E430" s="880"/>
      <c r="F430" s="880"/>
      <c r="G430" s="880"/>
      <c r="H430" s="880"/>
      <c r="I430" s="880"/>
      <c r="J430" s="880"/>
      <c r="K430" s="880"/>
      <c r="L430" s="881"/>
      <c r="M430" s="880"/>
      <c r="N430" s="873"/>
      <c r="O430" s="880"/>
      <c r="P430" s="873"/>
      <c r="Q430" s="884"/>
      <c r="R430" s="880"/>
      <c r="S430" s="880"/>
      <c r="T430" s="882"/>
      <c r="U430" s="882"/>
      <c r="V430" s="883"/>
      <c r="W430" s="883"/>
      <c r="X430" s="883"/>
      <c r="Y430" s="883"/>
      <c r="Z430" s="883"/>
      <c r="AA430" s="883"/>
      <c r="AB430" s="883"/>
      <c r="AC430" s="883"/>
      <c r="AD430" s="883"/>
      <c r="AE430" s="883"/>
      <c r="AF430" s="883"/>
      <c r="AG430" s="883"/>
    </row>
    <row r="431" spans="1:34" s="3" customFormat="1" ht="15.95" customHeight="1">
      <c r="A431" s="7"/>
      <c r="B431" s="10"/>
      <c r="C431" s="12"/>
      <c r="D431" s="880"/>
      <c r="E431" s="880"/>
      <c r="F431" s="880"/>
      <c r="G431" s="880"/>
      <c r="H431" s="880"/>
      <c r="I431" s="880"/>
      <c r="J431" s="880"/>
      <c r="K431" s="880"/>
      <c r="L431" s="881"/>
      <c r="M431" s="880"/>
      <c r="N431" s="873"/>
      <c r="O431" s="880"/>
      <c r="P431" s="873"/>
      <c r="Q431" s="884"/>
      <c r="R431" s="880"/>
      <c r="S431" s="880"/>
      <c r="T431" s="882"/>
      <c r="U431" s="882"/>
      <c r="V431" s="883"/>
      <c r="W431" s="883"/>
      <c r="X431" s="883"/>
      <c r="Y431" s="883"/>
      <c r="Z431" s="883"/>
      <c r="AA431" s="883"/>
      <c r="AB431" s="883"/>
      <c r="AC431" s="883"/>
      <c r="AD431" s="883"/>
      <c r="AE431" s="883"/>
      <c r="AF431" s="883"/>
      <c r="AG431" s="883"/>
    </row>
    <row r="432" spans="1:34" s="3" customFormat="1" ht="15.95" customHeight="1">
      <c r="A432" s="21"/>
      <c r="B432" s="22"/>
      <c r="C432" s="22"/>
      <c r="D432" s="23"/>
      <c r="E432" s="23"/>
      <c r="F432" s="24"/>
      <c r="G432" s="23"/>
      <c r="H432" s="24"/>
      <c r="I432" s="24"/>
      <c r="J432" s="23"/>
      <c r="K432" s="23"/>
      <c r="L432" s="286"/>
      <c r="M432" s="24"/>
      <c r="N432" s="24"/>
      <c r="O432" s="23"/>
      <c r="P432" s="24"/>
      <c r="Q432" s="24"/>
      <c r="R432" s="23"/>
      <c r="S432" s="24"/>
      <c r="T432" s="23"/>
      <c r="U432" s="23"/>
      <c r="V432" s="21"/>
      <c r="W432" s="21"/>
      <c r="X432" s="21"/>
      <c r="Y432" s="21"/>
      <c r="Z432" s="21"/>
      <c r="AA432" s="21"/>
      <c r="AB432" s="21"/>
      <c r="AC432" s="21"/>
      <c r="AD432" s="21"/>
      <c r="AE432" s="21"/>
      <c r="AF432" s="21"/>
      <c r="AG432" s="21"/>
    </row>
    <row r="433" spans="1:34" s="3" customFormat="1"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66"/>
      <c r="T433" s="867" t="str">
        <f>'$REV-DB'!$T$34</f>
        <v>UD1</v>
      </c>
      <c r="U433" s="867" t="str">
        <f>'$REV-DB'!$U$34</f>
        <v>UD2</v>
      </c>
      <c r="V433" s="867" t="str">
        <f>'$REV-DB'!$V$34</f>
        <v>UD3</v>
      </c>
      <c r="W433" s="867" t="str">
        <f>'$REV-DB'!$W$34</f>
        <v>UD4</v>
      </c>
      <c r="X433" s="867" t="str">
        <f>'$REV-DB'!$X$34</f>
        <v>UD5</v>
      </c>
      <c r="Y433" s="867" t="str">
        <f>'$REV-DB'!$Y$34</f>
        <v>UD6</v>
      </c>
      <c r="Z433" s="867" t="str">
        <f>'$REV-DB'!$Z$34</f>
        <v>UD7</v>
      </c>
      <c r="AA433" s="867" t="str">
        <f>'$REV-DB'!$AA$34</f>
        <v>UD8</v>
      </c>
      <c r="AB433" s="867" t="str">
        <f>'$REV-DB'!$AB$34</f>
        <v>UD9</v>
      </c>
      <c r="AC433" s="867" t="str">
        <f>'$REV-DB'!$AC$34</f>
        <v>UD10</v>
      </c>
      <c r="AD433" s="867" t="str">
        <f>'$REV-DB'!$AD$34</f>
        <v>UD11</v>
      </c>
      <c r="AE433" s="867" t="str">
        <f>'$REV-DB'!$AE$34</f>
        <v>UD12</v>
      </c>
      <c r="AF433" s="867" t="str">
        <f>'$REV-DB'!$AF$34</f>
        <v>UD13</v>
      </c>
      <c r="AG433" s="867" t="str">
        <f>'$REV-DB'!$AG$34</f>
        <v>UD14</v>
      </c>
    </row>
    <row r="434" spans="1:34" s="3" customFormat="1" ht="15.95" customHeight="1" thickTop="1" thickBot="1">
      <c r="A434" s="7"/>
      <c r="B434" s="20" t="s">
        <v>4</v>
      </c>
      <c r="C434" s="15"/>
      <c r="D434" s="861" t="s">
        <v>186</v>
      </c>
      <c r="E434" s="861" t="s">
        <v>187</v>
      </c>
      <c r="F434" s="861" t="s">
        <v>188</v>
      </c>
      <c r="G434" s="861" t="s">
        <v>189</v>
      </c>
      <c r="H434" s="861" t="s">
        <v>11</v>
      </c>
      <c r="I434" s="861" t="s">
        <v>190</v>
      </c>
      <c r="J434" s="861" t="s">
        <v>191</v>
      </c>
      <c r="K434" s="861" t="s">
        <v>192</v>
      </c>
      <c r="L434" s="861" t="s">
        <v>203</v>
      </c>
      <c r="M434" s="861" t="s">
        <v>42</v>
      </c>
      <c r="N434" s="861" t="s">
        <v>148</v>
      </c>
      <c r="O434" s="861" t="s">
        <v>193</v>
      </c>
      <c r="P434" s="861" t="s">
        <v>142</v>
      </c>
      <c r="Q434" s="861" t="s">
        <v>194</v>
      </c>
      <c r="R434" s="112" t="s">
        <v>141</v>
      </c>
      <c r="S434" s="112" t="s">
        <v>672</v>
      </c>
      <c r="T434" s="861" t="s">
        <v>541</v>
      </c>
      <c r="U434" s="861" t="s">
        <v>542</v>
      </c>
      <c r="V434" s="861" t="s">
        <v>543</v>
      </c>
      <c r="W434" s="861" t="s">
        <v>544</v>
      </c>
      <c r="X434" s="861" t="s">
        <v>545</v>
      </c>
      <c r="Y434" s="861" t="s">
        <v>546</v>
      </c>
      <c r="Z434" s="861" t="s">
        <v>547</v>
      </c>
      <c r="AA434" s="861" t="s">
        <v>548</v>
      </c>
      <c r="AB434" s="861" t="s">
        <v>549</v>
      </c>
      <c r="AC434" s="861" t="s">
        <v>550</v>
      </c>
      <c r="AD434" s="861" t="s">
        <v>551</v>
      </c>
      <c r="AE434" s="861" t="s">
        <v>552</v>
      </c>
      <c r="AF434" s="861" t="s">
        <v>553</v>
      </c>
      <c r="AG434" s="861" t="s">
        <v>554</v>
      </c>
      <c r="AH434" s="6"/>
    </row>
    <row r="435" spans="1:34" s="3" customFormat="1" ht="15.95" customHeight="1" thickTop="1">
      <c r="A435" s="7"/>
      <c r="B435" s="19" t="s">
        <v>146</v>
      </c>
      <c r="C435" s="12"/>
      <c r="D435" s="196"/>
      <c r="E435" s="196"/>
      <c r="F435" s="196"/>
      <c r="G435" s="196"/>
      <c r="H435" s="196"/>
      <c r="I435" s="196"/>
      <c r="J435" s="196"/>
      <c r="K435" s="196"/>
      <c r="L435" s="287" t="s">
        <v>34</v>
      </c>
      <c r="M435" s="196"/>
      <c r="N435" s="39" t="str">
        <f>J$6</f>
        <v>FY2010-11</v>
      </c>
      <c r="O435" s="39" t="s">
        <v>154</v>
      </c>
      <c r="P435" s="39" t="s">
        <v>138</v>
      </c>
      <c r="Q435" s="196"/>
      <c r="R435" s="196"/>
      <c r="S435" s="196"/>
      <c r="T435" s="197"/>
      <c r="U435" s="197"/>
      <c r="V435" s="198"/>
      <c r="W435" s="198"/>
      <c r="X435" s="198"/>
      <c r="Y435" s="198"/>
      <c r="Z435" s="198"/>
      <c r="AA435" s="198"/>
      <c r="AB435" s="198"/>
      <c r="AC435" s="198"/>
      <c r="AD435" s="198"/>
      <c r="AE435" s="198"/>
      <c r="AF435" s="198"/>
      <c r="AG435" s="198"/>
      <c r="AH435" s="6"/>
    </row>
    <row r="436" spans="1:34" s="3" customFormat="1" ht="15.95" customHeight="1">
      <c r="A436" s="7"/>
      <c r="B436" s="16">
        <f>DSUM('$REV-DB'!D35:AG67,"AMOUNT",D434:AG436)</f>
        <v>0</v>
      </c>
      <c r="C436" s="12"/>
      <c r="D436" s="196"/>
      <c r="E436" s="196"/>
      <c r="F436" s="196"/>
      <c r="G436" s="196"/>
      <c r="H436" s="196"/>
      <c r="I436" s="196"/>
      <c r="J436" s="196"/>
      <c r="K436" s="196"/>
      <c r="L436" s="287" t="s">
        <v>34</v>
      </c>
      <c r="M436" s="196"/>
      <c r="N436" s="39" t="str">
        <f>J$6</f>
        <v>FY2010-11</v>
      </c>
      <c r="O436" s="39" t="s">
        <v>154</v>
      </c>
      <c r="P436" s="39" t="s">
        <v>147</v>
      </c>
      <c r="Q436" s="196"/>
      <c r="R436" s="196"/>
      <c r="S436" s="196" t="s">
        <v>103</v>
      </c>
      <c r="T436" s="197"/>
      <c r="U436" s="197"/>
      <c r="V436" s="198"/>
      <c r="W436" s="198"/>
      <c r="X436" s="198"/>
      <c r="Y436" s="198"/>
      <c r="Z436" s="198"/>
      <c r="AA436" s="198"/>
      <c r="AB436" s="198"/>
      <c r="AC436" s="198"/>
      <c r="AD436" s="198"/>
      <c r="AE436" s="198"/>
      <c r="AF436" s="198"/>
      <c r="AG436" s="198"/>
      <c r="AH436" s="6"/>
    </row>
    <row r="437" spans="1:34" s="3" customFormat="1" ht="15.95" customHeight="1">
      <c r="A437" s="7"/>
      <c r="B437" s="10"/>
      <c r="C437" s="12"/>
      <c r="D437" s="880"/>
      <c r="E437" s="880"/>
      <c r="F437" s="880"/>
      <c r="G437" s="880"/>
      <c r="H437" s="880"/>
      <c r="I437" s="880"/>
      <c r="J437" s="880"/>
      <c r="K437" s="880"/>
      <c r="L437" s="881"/>
      <c r="M437" s="880"/>
      <c r="N437" s="873"/>
      <c r="O437" s="873"/>
      <c r="P437" s="873"/>
      <c r="Q437" s="880"/>
      <c r="R437" s="880"/>
      <c r="S437" s="880"/>
      <c r="T437" s="882"/>
      <c r="U437" s="882"/>
      <c r="V437" s="883"/>
      <c r="W437" s="883"/>
      <c r="X437" s="883"/>
      <c r="Y437" s="883"/>
      <c r="Z437" s="883"/>
      <c r="AA437" s="883"/>
      <c r="AB437" s="883"/>
      <c r="AC437" s="883"/>
      <c r="AD437" s="883"/>
      <c r="AE437" s="883"/>
      <c r="AF437" s="883"/>
      <c r="AG437" s="883"/>
    </row>
    <row r="438" spans="1:34" s="3" customFormat="1" ht="15.95" customHeight="1">
      <c r="A438" s="7"/>
      <c r="B438" s="10"/>
      <c r="C438" s="12"/>
      <c r="D438" s="880"/>
      <c r="E438" s="880"/>
      <c r="F438" s="880"/>
      <c r="G438" s="880"/>
      <c r="H438" s="880"/>
      <c r="I438" s="880"/>
      <c r="J438" s="880"/>
      <c r="K438" s="880"/>
      <c r="L438" s="881"/>
      <c r="M438" s="880"/>
      <c r="N438" s="873"/>
      <c r="O438" s="873"/>
      <c r="P438" s="873"/>
      <c r="Q438" s="880"/>
      <c r="R438" s="880"/>
      <c r="S438" s="880"/>
      <c r="T438" s="882"/>
      <c r="U438" s="882"/>
      <c r="V438" s="883"/>
      <c r="W438" s="883"/>
      <c r="X438" s="883"/>
      <c r="Y438" s="883"/>
      <c r="Z438" s="883"/>
      <c r="AA438" s="883"/>
      <c r="AB438" s="883"/>
      <c r="AC438" s="883"/>
      <c r="AD438" s="883"/>
      <c r="AE438" s="883"/>
      <c r="AF438" s="883"/>
      <c r="AG438" s="883"/>
    </row>
    <row r="439" spans="1:34" s="3" customFormat="1" ht="15.95" customHeight="1">
      <c r="A439" s="7"/>
      <c r="B439" s="10"/>
      <c r="C439" s="12"/>
      <c r="D439" s="880"/>
      <c r="E439" s="880"/>
      <c r="F439" s="880"/>
      <c r="G439" s="880"/>
      <c r="H439" s="880"/>
      <c r="I439" s="880"/>
      <c r="J439" s="880"/>
      <c r="K439" s="880"/>
      <c r="L439" s="881"/>
      <c r="M439" s="880"/>
      <c r="N439" s="873"/>
      <c r="O439" s="873"/>
      <c r="P439" s="873"/>
      <c r="Q439" s="880"/>
      <c r="R439" s="880"/>
      <c r="S439" s="880"/>
      <c r="T439" s="882"/>
      <c r="U439" s="882"/>
      <c r="V439" s="883"/>
      <c r="W439" s="883"/>
      <c r="X439" s="883"/>
      <c r="Y439" s="883"/>
      <c r="Z439" s="883"/>
      <c r="AA439" s="883"/>
      <c r="AB439" s="883"/>
      <c r="AC439" s="883"/>
      <c r="AD439" s="883"/>
      <c r="AE439" s="883"/>
      <c r="AF439" s="883"/>
      <c r="AG439" s="883"/>
    </row>
    <row r="440" spans="1:34" s="3" customFormat="1" ht="15.95" customHeight="1">
      <c r="A440" s="7"/>
      <c r="B440" s="10"/>
      <c r="C440" s="12"/>
      <c r="D440" s="880"/>
      <c r="E440" s="880"/>
      <c r="F440" s="880"/>
      <c r="G440" s="880"/>
      <c r="H440" s="880"/>
      <c r="I440" s="880"/>
      <c r="J440" s="880"/>
      <c r="K440" s="880"/>
      <c r="L440" s="881"/>
      <c r="M440" s="880"/>
      <c r="N440" s="873"/>
      <c r="O440" s="873"/>
      <c r="P440" s="873"/>
      <c r="Q440" s="880"/>
      <c r="R440" s="880"/>
      <c r="S440" s="880"/>
      <c r="T440" s="882"/>
      <c r="U440" s="882"/>
      <c r="V440" s="883"/>
      <c r="W440" s="883"/>
      <c r="X440" s="883"/>
      <c r="Y440" s="883"/>
      <c r="Z440" s="883"/>
      <c r="AA440" s="883"/>
      <c r="AB440" s="883"/>
      <c r="AC440" s="883"/>
      <c r="AD440" s="883"/>
      <c r="AE440" s="883"/>
      <c r="AF440" s="883"/>
      <c r="AG440" s="883"/>
    </row>
    <row r="441" spans="1:34" s="3" customFormat="1" ht="15.95" customHeight="1">
      <c r="A441" s="7"/>
      <c r="B441" s="10"/>
      <c r="C441" s="12"/>
      <c r="D441" s="880"/>
      <c r="E441" s="880"/>
      <c r="F441" s="880"/>
      <c r="G441" s="880"/>
      <c r="H441" s="880"/>
      <c r="I441" s="880"/>
      <c r="J441" s="880"/>
      <c r="K441" s="880"/>
      <c r="L441" s="881"/>
      <c r="M441" s="880"/>
      <c r="N441" s="873"/>
      <c r="O441" s="873"/>
      <c r="P441" s="873"/>
      <c r="Q441" s="880"/>
      <c r="R441" s="880"/>
      <c r="S441" s="880"/>
      <c r="T441" s="882"/>
      <c r="U441" s="882"/>
      <c r="V441" s="883"/>
      <c r="W441" s="883"/>
      <c r="X441" s="883"/>
      <c r="Y441" s="883"/>
      <c r="Z441" s="883"/>
      <c r="AA441" s="883"/>
      <c r="AB441" s="883"/>
      <c r="AC441" s="883"/>
      <c r="AD441" s="883"/>
      <c r="AE441" s="883"/>
      <c r="AF441" s="883"/>
      <c r="AG441" s="883"/>
    </row>
    <row r="442" spans="1:34" s="3" customFormat="1" ht="15.95" customHeight="1">
      <c r="A442" s="21"/>
      <c r="B442" s="22"/>
      <c r="C442" s="22"/>
      <c r="D442" s="23"/>
      <c r="E442" s="23"/>
      <c r="F442" s="24"/>
      <c r="G442" s="23"/>
      <c r="H442" s="24"/>
      <c r="I442" s="24"/>
      <c r="J442" s="23"/>
      <c r="K442" s="23"/>
      <c r="L442" s="286"/>
      <c r="M442" s="24"/>
      <c r="N442" s="24"/>
      <c r="O442" s="23"/>
      <c r="P442" s="24"/>
      <c r="Q442" s="24"/>
      <c r="R442" s="23"/>
      <c r="S442" s="24"/>
      <c r="T442" s="23"/>
      <c r="U442" s="23"/>
      <c r="V442" s="21"/>
      <c r="W442" s="21"/>
      <c r="X442" s="21"/>
      <c r="Y442" s="21"/>
      <c r="Z442" s="21"/>
      <c r="AA442" s="21"/>
      <c r="AB442" s="21"/>
      <c r="AC442" s="21"/>
      <c r="AD442" s="21"/>
      <c r="AE442" s="21"/>
      <c r="AF442" s="21"/>
      <c r="AG442" s="21"/>
    </row>
    <row r="443" spans="1:34" s="3" customFormat="1"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66"/>
      <c r="T443" s="867" t="str">
        <f>'$REV-DB'!$T$34</f>
        <v>UD1</v>
      </c>
      <c r="U443" s="867" t="str">
        <f>'$REV-DB'!$U$34</f>
        <v>UD2</v>
      </c>
      <c r="V443" s="867" t="str">
        <f>'$REV-DB'!$V$34</f>
        <v>UD3</v>
      </c>
      <c r="W443" s="867" t="str">
        <f>'$REV-DB'!$W$34</f>
        <v>UD4</v>
      </c>
      <c r="X443" s="867" t="str">
        <f>'$REV-DB'!$X$34</f>
        <v>UD5</v>
      </c>
      <c r="Y443" s="867" t="str">
        <f>'$REV-DB'!$Y$34</f>
        <v>UD6</v>
      </c>
      <c r="Z443" s="867" t="str">
        <f>'$REV-DB'!$Z$34</f>
        <v>UD7</v>
      </c>
      <c r="AA443" s="867" t="str">
        <f>'$REV-DB'!$AA$34</f>
        <v>UD8</v>
      </c>
      <c r="AB443" s="867" t="str">
        <f>'$REV-DB'!$AB$34</f>
        <v>UD9</v>
      </c>
      <c r="AC443" s="867" t="str">
        <f>'$REV-DB'!$AC$34</f>
        <v>UD10</v>
      </c>
      <c r="AD443" s="867" t="str">
        <f>'$REV-DB'!$AD$34</f>
        <v>UD11</v>
      </c>
      <c r="AE443" s="867" t="str">
        <f>'$REV-DB'!$AE$34</f>
        <v>UD12</v>
      </c>
      <c r="AF443" s="867" t="str">
        <f>'$REV-DB'!$AF$34</f>
        <v>UD13</v>
      </c>
      <c r="AG443" s="867" t="str">
        <f>'$REV-DB'!$AG$34</f>
        <v>UD14</v>
      </c>
    </row>
    <row r="444" spans="1:34" s="3" customFormat="1" ht="15.95" customHeight="1" thickTop="1" thickBot="1">
      <c r="A444" s="7"/>
      <c r="B444" s="20" t="s">
        <v>4</v>
      </c>
      <c r="C444" s="15"/>
      <c r="D444" s="861" t="s">
        <v>186</v>
      </c>
      <c r="E444" s="861" t="s">
        <v>187</v>
      </c>
      <c r="F444" s="861" t="s">
        <v>188</v>
      </c>
      <c r="G444" s="861" t="s">
        <v>189</v>
      </c>
      <c r="H444" s="861" t="s">
        <v>11</v>
      </c>
      <c r="I444" s="861" t="s">
        <v>190</v>
      </c>
      <c r="J444" s="861" t="s">
        <v>191</v>
      </c>
      <c r="K444" s="861" t="s">
        <v>192</v>
      </c>
      <c r="L444" s="861" t="s">
        <v>203</v>
      </c>
      <c r="M444" s="861" t="s">
        <v>42</v>
      </c>
      <c r="N444" s="861" t="s">
        <v>148</v>
      </c>
      <c r="O444" s="861" t="s">
        <v>193</v>
      </c>
      <c r="P444" s="861" t="s">
        <v>142</v>
      </c>
      <c r="Q444" s="861" t="s">
        <v>194</v>
      </c>
      <c r="R444" s="112" t="s">
        <v>141</v>
      </c>
      <c r="S444" s="112" t="s">
        <v>672</v>
      </c>
      <c r="T444" s="861" t="s">
        <v>541</v>
      </c>
      <c r="U444" s="861" t="s">
        <v>542</v>
      </c>
      <c r="V444" s="861" t="s">
        <v>543</v>
      </c>
      <c r="W444" s="861" t="s">
        <v>544</v>
      </c>
      <c r="X444" s="861" t="s">
        <v>545</v>
      </c>
      <c r="Y444" s="861" t="s">
        <v>546</v>
      </c>
      <c r="Z444" s="861" t="s">
        <v>547</v>
      </c>
      <c r="AA444" s="861" t="s">
        <v>548</v>
      </c>
      <c r="AB444" s="861" t="s">
        <v>549</v>
      </c>
      <c r="AC444" s="861" t="s">
        <v>550</v>
      </c>
      <c r="AD444" s="861" t="s">
        <v>551</v>
      </c>
      <c r="AE444" s="861" t="s">
        <v>552</v>
      </c>
      <c r="AF444" s="861" t="s">
        <v>553</v>
      </c>
      <c r="AG444" s="861" t="s">
        <v>554</v>
      </c>
      <c r="AH444" s="6"/>
    </row>
    <row r="445" spans="1:34" s="3" customFormat="1" ht="15.95" customHeight="1" thickTop="1">
      <c r="A445" s="7"/>
      <c r="B445" s="19" t="s">
        <v>145</v>
      </c>
      <c r="C445" s="12"/>
      <c r="D445" s="197"/>
      <c r="E445" s="197"/>
      <c r="F445" s="196"/>
      <c r="G445" s="197"/>
      <c r="H445" s="196"/>
      <c r="I445" s="196"/>
      <c r="J445" s="197"/>
      <c r="K445" s="197"/>
      <c r="L445" s="287" t="s">
        <v>34</v>
      </c>
      <c r="M445" s="196"/>
      <c r="N445" s="39" t="str">
        <f>J$6</f>
        <v>FY2010-11</v>
      </c>
      <c r="O445" s="39" t="s">
        <v>154</v>
      </c>
      <c r="P445" s="39" t="s">
        <v>138</v>
      </c>
      <c r="Q445" s="39" t="s">
        <v>180</v>
      </c>
      <c r="R445" s="197"/>
      <c r="S445" s="196"/>
      <c r="T445" s="197"/>
      <c r="U445" s="197"/>
      <c r="V445" s="198"/>
      <c r="W445" s="198"/>
      <c r="X445" s="198"/>
      <c r="Y445" s="198"/>
      <c r="Z445" s="198"/>
      <c r="AA445" s="198"/>
      <c r="AB445" s="198"/>
      <c r="AC445" s="198"/>
      <c r="AD445" s="198"/>
      <c r="AE445" s="198"/>
      <c r="AF445" s="198"/>
      <c r="AG445" s="198"/>
      <c r="AH445" s="6"/>
    </row>
    <row r="446" spans="1:34" s="3" customFormat="1" ht="15.95" customHeight="1">
      <c r="A446" s="7"/>
      <c r="B446" s="16">
        <f>DSUM('$REV-DB'!D35:AG67,"AMOUNT",D444:AG446)</f>
        <v>0</v>
      </c>
      <c r="C446" s="12"/>
      <c r="D446" s="197"/>
      <c r="E446" s="197"/>
      <c r="F446" s="196"/>
      <c r="G446" s="197"/>
      <c r="H446" s="196"/>
      <c r="I446" s="196"/>
      <c r="J446" s="197"/>
      <c r="K446" s="197"/>
      <c r="L446" s="287" t="s">
        <v>34</v>
      </c>
      <c r="M446" s="196"/>
      <c r="N446" s="39" t="str">
        <f>J$6</f>
        <v>FY2010-11</v>
      </c>
      <c r="O446" s="39" t="s">
        <v>154</v>
      </c>
      <c r="P446" s="39" t="s">
        <v>147</v>
      </c>
      <c r="Q446" s="39" t="s">
        <v>180</v>
      </c>
      <c r="R446" s="197"/>
      <c r="S446" s="196" t="s">
        <v>103</v>
      </c>
      <c r="T446" s="197"/>
      <c r="U446" s="197"/>
      <c r="V446" s="198"/>
      <c r="W446" s="198"/>
      <c r="X446" s="198"/>
      <c r="Y446" s="198"/>
      <c r="Z446" s="198"/>
      <c r="AA446" s="198"/>
      <c r="AB446" s="198"/>
      <c r="AC446" s="198"/>
      <c r="AD446" s="198"/>
      <c r="AE446" s="198"/>
      <c r="AF446" s="198"/>
      <c r="AG446" s="198"/>
      <c r="AH446" s="6"/>
    </row>
    <row r="447" spans="1:34" s="3" customFormat="1" ht="15.95" customHeight="1">
      <c r="A447" s="7"/>
      <c r="B447" s="10"/>
      <c r="C447" s="12"/>
      <c r="D447" s="880"/>
      <c r="E447" s="880"/>
      <c r="F447" s="880"/>
      <c r="G447" s="880"/>
      <c r="H447" s="880"/>
      <c r="I447" s="880"/>
      <c r="J447" s="880"/>
      <c r="K447" s="880"/>
      <c r="L447" s="881"/>
      <c r="M447" s="880"/>
      <c r="N447" s="873"/>
      <c r="O447" s="873"/>
      <c r="P447" s="873"/>
      <c r="Q447" s="880"/>
      <c r="R447" s="880"/>
      <c r="S447" s="880"/>
      <c r="T447" s="882"/>
      <c r="U447" s="882"/>
      <c r="V447" s="883"/>
      <c r="W447" s="883"/>
      <c r="X447" s="883"/>
      <c r="Y447" s="883"/>
      <c r="Z447" s="883"/>
      <c r="AA447" s="883"/>
      <c r="AB447" s="883"/>
      <c r="AC447" s="883"/>
      <c r="AD447" s="883"/>
      <c r="AE447" s="883"/>
      <c r="AF447" s="883"/>
      <c r="AG447" s="883"/>
    </row>
    <row r="448" spans="1:34" s="3" customFormat="1" ht="15.95" customHeight="1">
      <c r="A448" s="7"/>
      <c r="B448" s="10"/>
      <c r="C448" s="12"/>
      <c r="D448" s="880"/>
      <c r="E448" s="880"/>
      <c r="F448" s="880"/>
      <c r="G448" s="880"/>
      <c r="H448" s="880"/>
      <c r="I448" s="880"/>
      <c r="J448" s="880"/>
      <c r="K448" s="880"/>
      <c r="L448" s="881"/>
      <c r="M448" s="880"/>
      <c r="N448" s="873"/>
      <c r="O448" s="873"/>
      <c r="P448" s="873"/>
      <c r="Q448" s="880"/>
      <c r="R448" s="880"/>
      <c r="S448" s="880"/>
      <c r="T448" s="882"/>
      <c r="U448" s="882"/>
      <c r="V448" s="883"/>
      <c r="W448" s="883"/>
      <c r="X448" s="883"/>
      <c r="Y448" s="883"/>
      <c r="Z448" s="883"/>
      <c r="AA448" s="883"/>
      <c r="AB448" s="883"/>
      <c r="AC448" s="883"/>
      <c r="AD448" s="883"/>
      <c r="AE448" s="883"/>
      <c r="AF448" s="883"/>
      <c r="AG448" s="883"/>
    </row>
    <row r="449" spans="1:34" s="3" customFormat="1" ht="15.95" customHeight="1">
      <c r="A449" s="7"/>
      <c r="B449" s="10"/>
      <c r="C449" s="12"/>
      <c r="D449" s="880"/>
      <c r="E449" s="880"/>
      <c r="F449" s="880"/>
      <c r="G449" s="880"/>
      <c r="H449" s="880"/>
      <c r="I449" s="880"/>
      <c r="J449" s="880"/>
      <c r="K449" s="880"/>
      <c r="L449" s="881"/>
      <c r="M449" s="880"/>
      <c r="N449" s="873"/>
      <c r="O449" s="873"/>
      <c r="P449" s="873"/>
      <c r="Q449" s="880"/>
      <c r="R449" s="880"/>
      <c r="S449" s="880"/>
      <c r="T449" s="882"/>
      <c r="U449" s="882"/>
      <c r="V449" s="883"/>
      <c r="W449" s="883"/>
      <c r="X449" s="883"/>
      <c r="Y449" s="883"/>
      <c r="Z449" s="883"/>
      <c r="AA449" s="883"/>
      <c r="AB449" s="883"/>
      <c r="AC449" s="883"/>
      <c r="AD449" s="883"/>
      <c r="AE449" s="883"/>
      <c r="AF449" s="883"/>
      <c r="AG449" s="883"/>
    </row>
    <row r="450" spans="1:34" s="3" customFormat="1" ht="15.95" customHeight="1">
      <c r="A450" s="7"/>
      <c r="B450" s="10"/>
      <c r="C450" s="12"/>
      <c r="D450" s="880"/>
      <c r="E450" s="880"/>
      <c r="F450" s="880"/>
      <c r="G450" s="880"/>
      <c r="H450" s="880"/>
      <c r="I450" s="880"/>
      <c r="J450" s="880"/>
      <c r="K450" s="880"/>
      <c r="L450" s="881"/>
      <c r="M450" s="880"/>
      <c r="N450" s="873"/>
      <c r="O450" s="873"/>
      <c r="P450" s="873"/>
      <c r="Q450" s="880"/>
      <c r="R450" s="880"/>
      <c r="S450" s="880"/>
      <c r="T450" s="882"/>
      <c r="U450" s="882"/>
      <c r="V450" s="883"/>
      <c r="W450" s="883"/>
      <c r="X450" s="883"/>
      <c r="Y450" s="883"/>
      <c r="Z450" s="883"/>
      <c r="AA450" s="883"/>
      <c r="AB450" s="883"/>
      <c r="AC450" s="883"/>
      <c r="AD450" s="883"/>
      <c r="AE450" s="883"/>
      <c r="AF450" s="883"/>
      <c r="AG450" s="883"/>
    </row>
    <row r="451" spans="1:34" s="3" customFormat="1" ht="15.95" customHeight="1">
      <c r="A451" s="7"/>
      <c r="B451" s="10"/>
      <c r="C451" s="12"/>
      <c r="D451" s="880"/>
      <c r="E451" s="880"/>
      <c r="F451" s="880"/>
      <c r="G451" s="880"/>
      <c r="H451" s="880"/>
      <c r="I451" s="880"/>
      <c r="J451" s="880"/>
      <c r="K451" s="880"/>
      <c r="L451" s="881"/>
      <c r="M451" s="880"/>
      <c r="N451" s="873"/>
      <c r="O451" s="873"/>
      <c r="P451" s="873"/>
      <c r="Q451" s="880"/>
      <c r="R451" s="880"/>
      <c r="S451" s="880"/>
      <c r="T451" s="882"/>
      <c r="U451" s="882"/>
      <c r="V451" s="883"/>
      <c r="W451" s="883"/>
      <c r="X451" s="883"/>
      <c r="Y451" s="883"/>
      <c r="Z451" s="883"/>
      <c r="AA451" s="883"/>
      <c r="AB451" s="883"/>
      <c r="AC451" s="883"/>
      <c r="AD451" s="883"/>
      <c r="AE451" s="883"/>
      <c r="AF451" s="883"/>
      <c r="AG451" s="883"/>
    </row>
    <row r="452" spans="1:34" s="3" customFormat="1" ht="15.95" customHeight="1">
      <c r="A452" s="21"/>
      <c r="B452" s="22"/>
      <c r="C452" s="22"/>
      <c r="D452" s="23"/>
      <c r="E452" s="23"/>
      <c r="F452" s="24"/>
      <c r="G452" s="23"/>
      <c r="H452" s="24"/>
      <c r="I452" s="24"/>
      <c r="J452" s="23"/>
      <c r="K452" s="23"/>
      <c r="L452" s="286"/>
      <c r="M452" s="24"/>
      <c r="N452" s="24"/>
      <c r="O452" s="23"/>
      <c r="P452" s="24"/>
      <c r="Q452" s="24"/>
      <c r="R452" s="23"/>
      <c r="S452" s="24"/>
      <c r="T452" s="23"/>
      <c r="U452" s="23"/>
      <c r="V452" s="21"/>
      <c r="W452" s="21"/>
      <c r="X452" s="21"/>
      <c r="Y452" s="21"/>
      <c r="Z452" s="21"/>
      <c r="AA452" s="21"/>
      <c r="AB452" s="21"/>
      <c r="AC452" s="21"/>
      <c r="AD452" s="21"/>
      <c r="AE452" s="21"/>
      <c r="AF452" s="21"/>
      <c r="AG452" s="21"/>
    </row>
    <row r="453" spans="1:34" s="3" customFormat="1"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66"/>
      <c r="T453" s="867" t="str">
        <f>'$REV-DB'!$T$34</f>
        <v>UD1</v>
      </c>
      <c r="U453" s="867" t="str">
        <f>'$REV-DB'!$U$34</f>
        <v>UD2</v>
      </c>
      <c r="V453" s="867" t="str">
        <f>'$REV-DB'!$V$34</f>
        <v>UD3</v>
      </c>
      <c r="W453" s="867" t="str">
        <f>'$REV-DB'!$W$34</f>
        <v>UD4</v>
      </c>
      <c r="X453" s="867" t="str">
        <f>'$REV-DB'!$X$34</f>
        <v>UD5</v>
      </c>
      <c r="Y453" s="867" t="str">
        <f>'$REV-DB'!$Y$34</f>
        <v>UD6</v>
      </c>
      <c r="Z453" s="867" t="str">
        <f>'$REV-DB'!$Z$34</f>
        <v>UD7</v>
      </c>
      <c r="AA453" s="867" t="str">
        <f>'$REV-DB'!$AA$34</f>
        <v>UD8</v>
      </c>
      <c r="AB453" s="867" t="str">
        <f>'$REV-DB'!$AB$34</f>
        <v>UD9</v>
      </c>
      <c r="AC453" s="867" t="str">
        <f>'$REV-DB'!$AC$34</f>
        <v>UD10</v>
      </c>
      <c r="AD453" s="867" t="str">
        <f>'$REV-DB'!$AD$34</f>
        <v>UD11</v>
      </c>
      <c r="AE453" s="867" t="str">
        <f>'$REV-DB'!$AE$34</f>
        <v>UD12</v>
      </c>
      <c r="AF453" s="867" t="str">
        <f>'$REV-DB'!$AF$34</f>
        <v>UD13</v>
      </c>
      <c r="AG453" s="867" t="str">
        <f>'$REV-DB'!$AG$34</f>
        <v>UD14</v>
      </c>
    </row>
    <row r="454" spans="1:34" s="3" customFormat="1" ht="15.95" customHeight="1" thickTop="1" thickBot="1">
      <c r="A454" s="7"/>
      <c r="B454" s="20" t="s">
        <v>4</v>
      </c>
      <c r="C454" s="15"/>
      <c r="D454" s="861" t="s">
        <v>186</v>
      </c>
      <c r="E454" s="861" t="s">
        <v>187</v>
      </c>
      <c r="F454" s="861" t="s">
        <v>188</v>
      </c>
      <c r="G454" s="861" t="s">
        <v>189</v>
      </c>
      <c r="H454" s="861" t="s">
        <v>11</v>
      </c>
      <c r="I454" s="861" t="s">
        <v>190</v>
      </c>
      <c r="J454" s="861" t="s">
        <v>191</v>
      </c>
      <c r="K454" s="861" t="s">
        <v>192</v>
      </c>
      <c r="L454" s="861" t="s">
        <v>203</v>
      </c>
      <c r="M454" s="861" t="s">
        <v>42</v>
      </c>
      <c r="N454" s="861" t="s">
        <v>148</v>
      </c>
      <c r="O454" s="861" t="s">
        <v>193</v>
      </c>
      <c r="P454" s="861" t="s">
        <v>142</v>
      </c>
      <c r="Q454" s="861" t="s">
        <v>194</v>
      </c>
      <c r="R454" s="112" t="s">
        <v>141</v>
      </c>
      <c r="S454" s="112" t="s">
        <v>672</v>
      </c>
      <c r="T454" s="861" t="s">
        <v>541</v>
      </c>
      <c r="U454" s="861" t="s">
        <v>542</v>
      </c>
      <c r="V454" s="861" t="s">
        <v>543</v>
      </c>
      <c r="W454" s="861" t="s">
        <v>544</v>
      </c>
      <c r="X454" s="861" t="s">
        <v>545</v>
      </c>
      <c r="Y454" s="861" t="s">
        <v>546</v>
      </c>
      <c r="Z454" s="861" t="s">
        <v>547</v>
      </c>
      <c r="AA454" s="861" t="s">
        <v>548</v>
      </c>
      <c r="AB454" s="861" t="s">
        <v>549</v>
      </c>
      <c r="AC454" s="861" t="s">
        <v>550</v>
      </c>
      <c r="AD454" s="861" t="s">
        <v>551</v>
      </c>
      <c r="AE454" s="861" t="s">
        <v>552</v>
      </c>
      <c r="AF454" s="861" t="s">
        <v>553</v>
      </c>
      <c r="AG454" s="861" t="s">
        <v>554</v>
      </c>
      <c r="AH454" s="6"/>
    </row>
    <row r="455" spans="1:34" s="3" customFormat="1" ht="15.95" customHeight="1" thickTop="1">
      <c r="A455" s="7"/>
      <c r="B455" s="19" t="s">
        <v>144</v>
      </c>
      <c r="C455" s="12"/>
      <c r="D455" s="197"/>
      <c r="E455" s="197"/>
      <c r="F455" s="196"/>
      <c r="G455" s="197"/>
      <c r="H455" s="196"/>
      <c r="I455" s="196"/>
      <c r="J455" s="197"/>
      <c r="K455" s="197"/>
      <c r="L455" s="287" t="s">
        <v>34</v>
      </c>
      <c r="M455" s="196"/>
      <c r="N455" s="39" t="str">
        <f>J$6</f>
        <v>FY2010-11</v>
      </c>
      <c r="O455" s="39" t="s">
        <v>154</v>
      </c>
      <c r="P455" s="39" t="s">
        <v>138</v>
      </c>
      <c r="Q455" s="39" t="s">
        <v>139</v>
      </c>
      <c r="R455" s="197"/>
      <c r="S455" s="196"/>
      <c r="T455" s="197"/>
      <c r="U455" s="197"/>
      <c r="V455" s="198"/>
      <c r="W455" s="198"/>
      <c r="X455" s="198"/>
      <c r="Y455" s="198"/>
      <c r="Z455" s="198"/>
      <c r="AA455" s="198"/>
      <c r="AB455" s="198"/>
      <c r="AC455" s="198"/>
      <c r="AD455" s="198"/>
      <c r="AE455" s="198"/>
      <c r="AF455" s="198"/>
      <c r="AG455" s="198"/>
      <c r="AH455" s="6"/>
    </row>
    <row r="456" spans="1:34" s="3" customFormat="1" ht="15.95" customHeight="1">
      <c r="A456" s="7"/>
      <c r="B456" s="16">
        <f>DSUM('$REV-DB'!D35:AG67,"AMOUNT",D454:AG456)</f>
        <v>0</v>
      </c>
      <c r="C456" s="12"/>
      <c r="D456" s="197"/>
      <c r="E456" s="197"/>
      <c r="F456" s="196"/>
      <c r="G456" s="197"/>
      <c r="H456" s="196"/>
      <c r="I456" s="196"/>
      <c r="J456" s="197"/>
      <c r="K456" s="197"/>
      <c r="L456" s="287" t="s">
        <v>34</v>
      </c>
      <c r="M456" s="196"/>
      <c r="N456" s="39" t="str">
        <f>J$6</f>
        <v>FY2010-11</v>
      </c>
      <c r="O456" s="39" t="s">
        <v>154</v>
      </c>
      <c r="P456" s="39" t="s">
        <v>147</v>
      </c>
      <c r="Q456" s="39" t="s">
        <v>139</v>
      </c>
      <c r="R456" s="197"/>
      <c r="S456" s="196" t="s">
        <v>103</v>
      </c>
      <c r="T456" s="197"/>
      <c r="U456" s="197"/>
      <c r="V456" s="198"/>
      <c r="W456" s="198"/>
      <c r="X456" s="198"/>
      <c r="Y456" s="198"/>
      <c r="Z456" s="198"/>
      <c r="AA456" s="198"/>
      <c r="AB456" s="198"/>
      <c r="AC456" s="198"/>
      <c r="AD456" s="198"/>
      <c r="AE456" s="198"/>
      <c r="AF456" s="198"/>
      <c r="AG456" s="198"/>
      <c r="AH456" s="6"/>
    </row>
    <row r="457" spans="1:34" s="3" customFormat="1" ht="15.95" customHeight="1">
      <c r="A457" s="7"/>
      <c r="B457" s="10"/>
      <c r="C457" s="12"/>
      <c r="D457" s="880"/>
      <c r="E457" s="880"/>
      <c r="F457" s="880"/>
      <c r="G457" s="880"/>
      <c r="H457" s="880"/>
      <c r="I457" s="880"/>
      <c r="J457" s="880"/>
      <c r="K457" s="880"/>
      <c r="L457" s="881"/>
      <c r="M457" s="880"/>
      <c r="N457" s="873"/>
      <c r="O457" s="873"/>
      <c r="P457" s="873"/>
      <c r="Q457" s="880"/>
      <c r="R457" s="880"/>
      <c r="S457" s="880"/>
      <c r="T457" s="882"/>
      <c r="U457" s="882"/>
      <c r="V457" s="883"/>
      <c r="W457" s="883"/>
      <c r="X457" s="883"/>
      <c r="Y457" s="883"/>
      <c r="Z457" s="883"/>
      <c r="AA457" s="883"/>
      <c r="AB457" s="883"/>
      <c r="AC457" s="883"/>
      <c r="AD457" s="883"/>
      <c r="AE457" s="883"/>
      <c r="AF457" s="883"/>
      <c r="AG457" s="883"/>
    </row>
    <row r="458" spans="1:34" s="3" customFormat="1" ht="15.95" customHeight="1">
      <c r="A458" s="7"/>
      <c r="B458" s="10"/>
      <c r="C458" s="12"/>
      <c r="D458" s="880"/>
      <c r="E458" s="880"/>
      <c r="F458" s="880"/>
      <c r="G458" s="880"/>
      <c r="H458" s="880"/>
      <c r="I458" s="880"/>
      <c r="J458" s="880"/>
      <c r="K458" s="880"/>
      <c r="L458" s="881"/>
      <c r="M458" s="880"/>
      <c r="N458" s="873"/>
      <c r="O458" s="873"/>
      <c r="P458" s="873"/>
      <c r="Q458" s="880"/>
      <c r="R458" s="880"/>
      <c r="S458" s="880"/>
      <c r="T458" s="882"/>
      <c r="U458" s="882"/>
      <c r="V458" s="883"/>
      <c r="W458" s="883"/>
      <c r="X458" s="883"/>
      <c r="Y458" s="883"/>
      <c r="Z458" s="883"/>
      <c r="AA458" s="883"/>
      <c r="AB458" s="883"/>
      <c r="AC458" s="883"/>
      <c r="AD458" s="883"/>
      <c r="AE458" s="883"/>
      <c r="AF458" s="883"/>
      <c r="AG458" s="883"/>
    </row>
    <row r="459" spans="1:34" s="3" customFormat="1" ht="15.95" customHeight="1">
      <c r="A459" s="7"/>
      <c r="B459" s="10"/>
      <c r="C459" s="12"/>
      <c r="D459" s="880"/>
      <c r="E459" s="880"/>
      <c r="F459" s="880"/>
      <c r="G459" s="880"/>
      <c r="H459" s="880"/>
      <c r="I459" s="880"/>
      <c r="J459" s="880"/>
      <c r="K459" s="880"/>
      <c r="L459" s="881"/>
      <c r="M459" s="880"/>
      <c r="N459" s="873"/>
      <c r="O459" s="873"/>
      <c r="P459" s="873"/>
      <c r="Q459" s="880"/>
      <c r="R459" s="880"/>
      <c r="S459" s="880"/>
      <c r="T459" s="882"/>
      <c r="U459" s="882"/>
      <c r="V459" s="883"/>
      <c r="W459" s="883"/>
      <c r="X459" s="883"/>
      <c r="Y459" s="883"/>
      <c r="Z459" s="883"/>
      <c r="AA459" s="883"/>
      <c r="AB459" s="883"/>
      <c r="AC459" s="883"/>
      <c r="AD459" s="883"/>
      <c r="AE459" s="883"/>
      <c r="AF459" s="883"/>
      <c r="AG459" s="883"/>
    </row>
    <row r="460" spans="1:34" s="3" customFormat="1" ht="15.95" customHeight="1">
      <c r="A460" s="7"/>
      <c r="B460" s="10"/>
      <c r="C460" s="12"/>
      <c r="D460" s="880"/>
      <c r="E460" s="880"/>
      <c r="F460" s="880"/>
      <c r="G460" s="880"/>
      <c r="H460" s="880"/>
      <c r="I460" s="880"/>
      <c r="J460" s="880"/>
      <c r="K460" s="880"/>
      <c r="L460" s="881"/>
      <c r="M460" s="880"/>
      <c r="N460" s="873"/>
      <c r="O460" s="873"/>
      <c r="P460" s="873"/>
      <c r="Q460" s="880"/>
      <c r="R460" s="880"/>
      <c r="S460" s="880"/>
      <c r="T460" s="882"/>
      <c r="U460" s="882"/>
      <c r="V460" s="883"/>
      <c r="W460" s="883"/>
      <c r="X460" s="883"/>
      <c r="Y460" s="883"/>
      <c r="Z460" s="883"/>
      <c r="AA460" s="883"/>
      <c r="AB460" s="883"/>
      <c r="AC460" s="883"/>
      <c r="AD460" s="883"/>
      <c r="AE460" s="883"/>
      <c r="AF460" s="883"/>
      <c r="AG460" s="883"/>
    </row>
    <row r="461" spans="1:34" s="3" customFormat="1" ht="15.95" customHeight="1">
      <c r="A461" s="7"/>
      <c r="B461" s="10"/>
      <c r="C461" s="12"/>
      <c r="D461" s="880"/>
      <c r="E461" s="880"/>
      <c r="F461" s="880"/>
      <c r="G461" s="880"/>
      <c r="H461" s="880"/>
      <c r="I461" s="880"/>
      <c r="J461" s="880"/>
      <c r="K461" s="880"/>
      <c r="L461" s="881"/>
      <c r="M461" s="880"/>
      <c r="N461" s="873"/>
      <c r="O461" s="873"/>
      <c r="P461" s="873"/>
      <c r="Q461" s="880"/>
      <c r="R461" s="880"/>
      <c r="S461" s="880"/>
      <c r="T461" s="882"/>
      <c r="U461" s="882"/>
      <c r="V461" s="883"/>
      <c r="W461" s="883"/>
      <c r="X461" s="883"/>
      <c r="Y461" s="883"/>
      <c r="Z461" s="883"/>
      <c r="AA461" s="883"/>
      <c r="AB461" s="883"/>
      <c r="AC461" s="883"/>
      <c r="AD461" s="883"/>
      <c r="AE461" s="883"/>
      <c r="AF461" s="883"/>
      <c r="AG461" s="883"/>
    </row>
    <row r="462" spans="1:34" s="3" customFormat="1" ht="15.95" customHeight="1">
      <c r="A462" s="21"/>
      <c r="B462" s="22"/>
      <c r="C462" s="22"/>
      <c r="D462" s="23"/>
      <c r="E462" s="23"/>
      <c r="F462" s="24"/>
      <c r="G462" s="23"/>
      <c r="H462" s="24"/>
      <c r="I462" s="24"/>
      <c r="J462" s="23"/>
      <c r="K462" s="23"/>
      <c r="L462" s="286"/>
      <c r="M462" s="24"/>
      <c r="N462" s="24"/>
      <c r="O462" s="23"/>
      <c r="P462" s="24"/>
      <c r="Q462" s="24"/>
      <c r="R462" s="23"/>
      <c r="S462" s="24"/>
      <c r="T462" s="23"/>
      <c r="U462" s="23"/>
      <c r="V462" s="21"/>
      <c r="W462" s="21"/>
      <c r="X462" s="21"/>
      <c r="Y462" s="21"/>
      <c r="Z462" s="21"/>
      <c r="AA462" s="21"/>
      <c r="AB462" s="21"/>
      <c r="AC462" s="21"/>
      <c r="AD462" s="21"/>
      <c r="AE462" s="21"/>
      <c r="AF462" s="21"/>
      <c r="AG462" s="21"/>
    </row>
    <row r="463" spans="1:34" s="3" customFormat="1"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66"/>
      <c r="T463" s="867" t="str">
        <f>'$REV-DB'!$T$34</f>
        <v>UD1</v>
      </c>
      <c r="U463" s="867" t="str">
        <f>'$REV-DB'!$U$34</f>
        <v>UD2</v>
      </c>
      <c r="V463" s="867" t="str">
        <f>'$REV-DB'!$V$34</f>
        <v>UD3</v>
      </c>
      <c r="W463" s="867" t="str">
        <f>'$REV-DB'!$W$34</f>
        <v>UD4</v>
      </c>
      <c r="X463" s="867" t="str">
        <f>'$REV-DB'!$X$34</f>
        <v>UD5</v>
      </c>
      <c r="Y463" s="867" t="str">
        <f>'$REV-DB'!$Y$34</f>
        <v>UD6</v>
      </c>
      <c r="Z463" s="867" t="str">
        <f>'$REV-DB'!$Z$34</f>
        <v>UD7</v>
      </c>
      <c r="AA463" s="867" t="str">
        <f>'$REV-DB'!$AA$34</f>
        <v>UD8</v>
      </c>
      <c r="AB463" s="867" t="str">
        <f>'$REV-DB'!$AB$34</f>
        <v>UD9</v>
      </c>
      <c r="AC463" s="867" t="str">
        <f>'$REV-DB'!$AC$34</f>
        <v>UD10</v>
      </c>
      <c r="AD463" s="867" t="str">
        <f>'$REV-DB'!$AD$34</f>
        <v>UD11</v>
      </c>
      <c r="AE463" s="867" t="str">
        <f>'$REV-DB'!$AE$34</f>
        <v>UD12</v>
      </c>
      <c r="AF463" s="867" t="str">
        <f>'$REV-DB'!$AF$34</f>
        <v>UD13</v>
      </c>
      <c r="AG463" s="867" t="str">
        <f>'$REV-DB'!$AG$34</f>
        <v>UD14</v>
      </c>
    </row>
    <row r="464" spans="1:34" s="3" customFormat="1" ht="15.95" customHeight="1" thickTop="1" thickBot="1">
      <c r="A464" s="7"/>
      <c r="B464" s="20" t="s">
        <v>4</v>
      </c>
      <c r="C464" s="15"/>
      <c r="D464" s="861" t="s">
        <v>186</v>
      </c>
      <c r="E464" s="861" t="s">
        <v>187</v>
      </c>
      <c r="F464" s="861" t="s">
        <v>188</v>
      </c>
      <c r="G464" s="861" t="s">
        <v>189</v>
      </c>
      <c r="H464" s="861" t="s">
        <v>11</v>
      </c>
      <c r="I464" s="861" t="s">
        <v>190</v>
      </c>
      <c r="J464" s="861" t="s">
        <v>191</v>
      </c>
      <c r="K464" s="861" t="s">
        <v>192</v>
      </c>
      <c r="L464" s="861" t="s">
        <v>203</v>
      </c>
      <c r="M464" s="861" t="s">
        <v>42</v>
      </c>
      <c r="N464" s="861" t="s">
        <v>148</v>
      </c>
      <c r="O464" s="861" t="s">
        <v>193</v>
      </c>
      <c r="P464" s="861" t="s">
        <v>142</v>
      </c>
      <c r="Q464" s="861" t="s">
        <v>194</v>
      </c>
      <c r="R464" s="112" t="s">
        <v>141</v>
      </c>
      <c r="S464" s="112" t="s">
        <v>672</v>
      </c>
      <c r="T464" s="861" t="s">
        <v>541</v>
      </c>
      <c r="U464" s="861" t="s">
        <v>542</v>
      </c>
      <c r="V464" s="861" t="s">
        <v>543</v>
      </c>
      <c r="W464" s="861" t="s">
        <v>544</v>
      </c>
      <c r="X464" s="861" t="s">
        <v>545</v>
      </c>
      <c r="Y464" s="861" t="s">
        <v>546</v>
      </c>
      <c r="Z464" s="861" t="s">
        <v>547</v>
      </c>
      <c r="AA464" s="861" t="s">
        <v>548</v>
      </c>
      <c r="AB464" s="861" t="s">
        <v>549</v>
      </c>
      <c r="AC464" s="861" t="s">
        <v>550</v>
      </c>
      <c r="AD464" s="861" t="s">
        <v>551</v>
      </c>
      <c r="AE464" s="861" t="s">
        <v>552</v>
      </c>
      <c r="AF464" s="861" t="s">
        <v>553</v>
      </c>
      <c r="AG464" s="861" t="s">
        <v>554</v>
      </c>
      <c r="AH464" s="6"/>
    </row>
    <row r="465" spans="1:34" s="3" customFormat="1" ht="15.95" customHeight="1" thickTop="1">
      <c r="A465" s="7"/>
      <c r="B465" s="19" t="s">
        <v>143</v>
      </c>
      <c r="C465" s="12"/>
      <c r="D465" s="197"/>
      <c r="E465" s="197"/>
      <c r="F465" s="196"/>
      <c r="G465" s="197"/>
      <c r="H465" s="196"/>
      <c r="I465" s="196"/>
      <c r="J465" s="197"/>
      <c r="K465" s="197"/>
      <c r="L465" s="287" t="s">
        <v>34</v>
      </c>
      <c r="M465" s="196"/>
      <c r="N465" s="39" t="str">
        <f>J$6</f>
        <v>FY2010-11</v>
      </c>
      <c r="O465" s="39" t="s">
        <v>154</v>
      </c>
      <c r="P465" s="39" t="s">
        <v>138</v>
      </c>
      <c r="Q465" s="39" t="s">
        <v>179</v>
      </c>
      <c r="R465" s="197"/>
      <c r="S465" s="196"/>
      <c r="T465" s="197"/>
      <c r="U465" s="197"/>
      <c r="V465" s="198"/>
      <c r="W465" s="198"/>
      <c r="X465" s="198"/>
      <c r="Y465" s="198"/>
      <c r="Z465" s="198"/>
      <c r="AA465" s="198"/>
      <c r="AB465" s="198"/>
      <c r="AC465" s="198"/>
      <c r="AD465" s="198"/>
      <c r="AE465" s="198"/>
      <c r="AF465" s="198"/>
      <c r="AG465" s="198"/>
      <c r="AH465" s="6"/>
    </row>
    <row r="466" spans="1:34" s="3" customFormat="1" ht="15.95" customHeight="1">
      <c r="A466" s="7"/>
      <c r="B466" s="16">
        <f>DSUM('$REV-DB'!D35:AG67,"AMOUNT",D464:AG466)</f>
        <v>0</v>
      </c>
      <c r="C466" s="12"/>
      <c r="D466" s="197"/>
      <c r="E466" s="197"/>
      <c r="F466" s="196"/>
      <c r="G466" s="197"/>
      <c r="H466" s="196"/>
      <c r="I466" s="196"/>
      <c r="J466" s="197"/>
      <c r="K466" s="197"/>
      <c r="L466" s="287" t="s">
        <v>34</v>
      </c>
      <c r="M466" s="196"/>
      <c r="N466" s="39" t="str">
        <f>J$6</f>
        <v>FY2010-11</v>
      </c>
      <c r="O466" s="39" t="s">
        <v>154</v>
      </c>
      <c r="P466" s="39" t="s">
        <v>147</v>
      </c>
      <c r="Q466" s="39" t="s">
        <v>179</v>
      </c>
      <c r="R466" s="197"/>
      <c r="S466" s="196" t="s">
        <v>103</v>
      </c>
      <c r="T466" s="197"/>
      <c r="U466" s="197"/>
      <c r="V466" s="198"/>
      <c r="W466" s="198"/>
      <c r="X466" s="198"/>
      <c r="Y466" s="198"/>
      <c r="Z466" s="198"/>
      <c r="AA466" s="198"/>
      <c r="AB466" s="198"/>
      <c r="AC466" s="198"/>
      <c r="AD466" s="198"/>
      <c r="AE466" s="198"/>
      <c r="AF466" s="198"/>
      <c r="AG466" s="198"/>
      <c r="AH466" s="6"/>
    </row>
    <row r="467" spans="1:34" s="3" customFormat="1" ht="15.95" customHeight="1">
      <c r="A467" s="7"/>
      <c r="B467" s="10"/>
      <c r="C467" s="12"/>
      <c r="D467" s="880"/>
      <c r="E467" s="880"/>
      <c r="F467" s="880"/>
      <c r="G467" s="880"/>
      <c r="H467" s="880"/>
      <c r="I467" s="880"/>
      <c r="J467" s="880"/>
      <c r="K467" s="880"/>
      <c r="L467" s="881"/>
      <c r="M467" s="880"/>
      <c r="N467" s="873"/>
      <c r="O467" s="873"/>
      <c r="P467" s="873"/>
      <c r="Q467" s="880"/>
      <c r="R467" s="880"/>
      <c r="S467" s="880"/>
      <c r="T467" s="882"/>
      <c r="U467" s="882"/>
      <c r="V467" s="883"/>
      <c r="W467" s="883"/>
      <c r="X467" s="883"/>
      <c r="Y467" s="883"/>
      <c r="Z467" s="883"/>
      <c r="AA467" s="883"/>
      <c r="AB467" s="883"/>
      <c r="AC467" s="883"/>
      <c r="AD467" s="883"/>
      <c r="AE467" s="883"/>
      <c r="AF467" s="883"/>
      <c r="AG467" s="883"/>
    </row>
    <row r="468" spans="1:34" s="3" customFormat="1" ht="15.95" customHeight="1">
      <c r="A468" s="7"/>
      <c r="B468" s="10"/>
      <c r="C468" s="12"/>
      <c r="D468" s="880"/>
      <c r="E468" s="880"/>
      <c r="F468" s="880"/>
      <c r="G468" s="880"/>
      <c r="H468" s="880"/>
      <c r="I468" s="880"/>
      <c r="J468" s="880"/>
      <c r="K468" s="880"/>
      <c r="L468" s="881"/>
      <c r="M468" s="880"/>
      <c r="N468" s="873"/>
      <c r="O468" s="873"/>
      <c r="P468" s="873"/>
      <c r="Q468" s="880"/>
      <c r="R468" s="880"/>
      <c r="S468" s="880"/>
      <c r="T468" s="882"/>
      <c r="U468" s="882"/>
      <c r="V468" s="883"/>
      <c r="W468" s="883"/>
      <c r="X468" s="883"/>
      <c r="Y468" s="883"/>
      <c r="Z468" s="883"/>
      <c r="AA468" s="883"/>
      <c r="AB468" s="883"/>
      <c r="AC468" s="883"/>
      <c r="AD468" s="883"/>
      <c r="AE468" s="883"/>
      <c r="AF468" s="883"/>
      <c r="AG468" s="883"/>
    </row>
    <row r="469" spans="1:34" s="3" customFormat="1" ht="15.95" customHeight="1">
      <c r="A469" s="7"/>
      <c r="B469" s="10"/>
      <c r="C469" s="12"/>
      <c r="D469" s="880"/>
      <c r="E469" s="880"/>
      <c r="F469" s="880"/>
      <c r="G469" s="880"/>
      <c r="H469" s="880"/>
      <c r="I469" s="880"/>
      <c r="J469" s="880"/>
      <c r="K469" s="880"/>
      <c r="L469" s="881"/>
      <c r="M469" s="880"/>
      <c r="N469" s="873"/>
      <c r="O469" s="873"/>
      <c r="P469" s="873"/>
      <c r="Q469" s="880"/>
      <c r="R469" s="880"/>
      <c r="S469" s="880"/>
      <c r="T469" s="882"/>
      <c r="U469" s="882"/>
      <c r="V469" s="883"/>
      <c r="W469" s="883"/>
      <c r="X469" s="883"/>
      <c r="Y469" s="883"/>
      <c r="Z469" s="883"/>
      <c r="AA469" s="883"/>
      <c r="AB469" s="883"/>
      <c r="AC469" s="883"/>
      <c r="AD469" s="883"/>
      <c r="AE469" s="883"/>
      <c r="AF469" s="883"/>
      <c r="AG469" s="883"/>
    </row>
    <row r="470" spans="1:34" s="3" customFormat="1" ht="15.95" customHeight="1">
      <c r="A470" s="7"/>
      <c r="B470" s="10"/>
      <c r="C470" s="12"/>
      <c r="D470" s="880"/>
      <c r="E470" s="880"/>
      <c r="F470" s="880"/>
      <c r="G470" s="880"/>
      <c r="H470" s="880"/>
      <c r="I470" s="880"/>
      <c r="J470" s="880"/>
      <c r="K470" s="880"/>
      <c r="L470" s="881"/>
      <c r="M470" s="880"/>
      <c r="N470" s="873"/>
      <c r="O470" s="873"/>
      <c r="P470" s="873"/>
      <c r="Q470" s="880"/>
      <c r="R470" s="880"/>
      <c r="S470" s="880"/>
      <c r="T470" s="882"/>
      <c r="U470" s="882"/>
      <c r="V470" s="883"/>
      <c r="W470" s="883"/>
      <c r="X470" s="883"/>
      <c r="Y470" s="883"/>
      <c r="Z470" s="883"/>
      <c r="AA470" s="883"/>
      <c r="AB470" s="883"/>
      <c r="AC470" s="883"/>
      <c r="AD470" s="883"/>
      <c r="AE470" s="883"/>
      <c r="AF470" s="883"/>
      <c r="AG470" s="883"/>
    </row>
    <row r="471" spans="1:34" s="3" customFormat="1" ht="15.95" customHeight="1">
      <c r="A471" s="7"/>
      <c r="B471" s="10"/>
      <c r="C471" s="12"/>
      <c r="D471" s="880"/>
      <c r="E471" s="880"/>
      <c r="F471" s="880"/>
      <c r="G471" s="880"/>
      <c r="H471" s="880"/>
      <c r="I471" s="880"/>
      <c r="J471" s="880"/>
      <c r="K471" s="880"/>
      <c r="L471" s="881"/>
      <c r="M471" s="880"/>
      <c r="N471" s="873"/>
      <c r="O471" s="873"/>
      <c r="P471" s="873"/>
      <c r="Q471" s="880"/>
      <c r="R471" s="880"/>
      <c r="S471" s="880"/>
      <c r="T471" s="882"/>
      <c r="U471" s="882"/>
      <c r="V471" s="883"/>
      <c r="W471" s="883"/>
      <c r="X471" s="883"/>
      <c r="Y471" s="883"/>
      <c r="Z471" s="883"/>
      <c r="AA471" s="883"/>
      <c r="AB471" s="883"/>
      <c r="AC471" s="883"/>
      <c r="AD471" s="883"/>
      <c r="AE471" s="883"/>
      <c r="AF471" s="883"/>
      <c r="AG471" s="883"/>
    </row>
    <row r="472" spans="1:34" s="3" customFormat="1" ht="15.95" customHeight="1">
      <c r="A472" s="21"/>
      <c r="B472" s="22"/>
      <c r="C472" s="22"/>
      <c r="D472" s="23"/>
      <c r="E472" s="23"/>
      <c r="F472" s="24"/>
      <c r="G472" s="23"/>
      <c r="H472" s="24"/>
      <c r="I472" s="24"/>
      <c r="J472" s="23"/>
      <c r="K472" s="23"/>
      <c r="L472" s="286"/>
      <c r="M472" s="24"/>
      <c r="N472" s="24"/>
      <c r="O472" s="23"/>
      <c r="P472" s="24"/>
      <c r="Q472" s="24"/>
      <c r="R472" s="23"/>
      <c r="S472" s="24"/>
      <c r="T472" s="23"/>
      <c r="U472" s="23"/>
      <c r="V472" s="21"/>
      <c r="W472" s="21"/>
      <c r="X472" s="21"/>
      <c r="Y472" s="21"/>
      <c r="Z472" s="21"/>
      <c r="AA472" s="21"/>
      <c r="AB472" s="21"/>
      <c r="AC472" s="21"/>
      <c r="AD472" s="21"/>
      <c r="AE472" s="21"/>
      <c r="AF472" s="21"/>
      <c r="AG472" s="21"/>
    </row>
    <row r="473" spans="1:34" s="3" customFormat="1"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66"/>
      <c r="T473" s="867" t="str">
        <f>'$REV-DB'!$T$34</f>
        <v>UD1</v>
      </c>
      <c r="U473" s="867" t="str">
        <f>'$REV-DB'!$U$34</f>
        <v>UD2</v>
      </c>
      <c r="V473" s="867" t="str">
        <f>'$REV-DB'!$V$34</f>
        <v>UD3</v>
      </c>
      <c r="W473" s="867" t="str">
        <f>'$REV-DB'!$W$34</f>
        <v>UD4</v>
      </c>
      <c r="X473" s="867" t="str">
        <f>'$REV-DB'!$X$34</f>
        <v>UD5</v>
      </c>
      <c r="Y473" s="867" t="str">
        <f>'$REV-DB'!$Y$34</f>
        <v>UD6</v>
      </c>
      <c r="Z473" s="867" t="str">
        <f>'$REV-DB'!$Z$34</f>
        <v>UD7</v>
      </c>
      <c r="AA473" s="867" t="str">
        <f>'$REV-DB'!$AA$34</f>
        <v>UD8</v>
      </c>
      <c r="AB473" s="867" t="str">
        <f>'$REV-DB'!$AB$34</f>
        <v>UD9</v>
      </c>
      <c r="AC473" s="867" t="str">
        <f>'$REV-DB'!$AC$34</f>
        <v>UD10</v>
      </c>
      <c r="AD473" s="867" t="str">
        <f>'$REV-DB'!$AD$34</f>
        <v>UD11</v>
      </c>
      <c r="AE473" s="867" t="str">
        <f>'$REV-DB'!$AE$34</f>
        <v>UD12</v>
      </c>
      <c r="AF473" s="867" t="str">
        <f>'$REV-DB'!$AF$34</f>
        <v>UD13</v>
      </c>
      <c r="AG473" s="867" t="str">
        <f>'$REV-DB'!$AG$34</f>
        <v>UD14</v>
      </c>
    </row>
    <row r="474" spans="1:34" s="3" customFormat="1" ht="15.95" customHeight="1" thickTop="1" thickBot="1">
      <c r="A474" s="7"/>
      <c r="B474" s="20" t="s">
        <v>4</v>
      </c>
      <c r="C474" s="15"/>
      <c r="D474" s="861" t="s">
        <v>186</v>
      </c>
      <c r="E474" s="861" t="s">
        <v>187</v>
      </c>
      <c r="F474" s="861" t="s">
        <v>188</v>
      </c>
      <c r="G474" s="861" t="s">
        <v>189</v>
      </c>
      <c r="H474" s="861" t="s">
        <v>11</v>
      </c>
      <c r="I474" s="861" t="s">
        <v>190</v>
      </c>
      <c r="J474" s="861" t="s">
        <v>191</v>
      </c>
      <c r="K474" s="861" t="s">
        <v>192</v>
      </c>
      <c r="L474" s="861" t="s">
        <v>203</v>
      </c>
      <c r="M474" s="861" t="s">
        <v>42</v>
      </c>
      <c r="N474" s="861" t="s">
        <v>148</v>
      </c>
      <c r="O474" s="861" t="s">
        <v>193</v>
      </c>
      <c r="P474" s="861" t="s">
        <v>142</v>
      </c>
      <c r="Q474" s="861" t="s">
        <v>194</v>
      </c>
      <c r="R474" s="112" t="s">
        <v>141</v>
      </c>
      <c r="S474" s="112" t="s">
        <v>672</v>
      </c>
      <c r="T474" s="861" t="s">
        <v>541</v>
      </c>
      <c r="U474" s="861" t="s">
        <v>542</v>
      </c>
      <c r="V474" s="861" t="s">
        <v>543</v>
      </c>
      <c r="W474" s="861" t="s">
        <v>544</v>
      </c>
      <c r="X474" s="861" t="s">
        <v>545</v>
      </c>
      <c r="Y474" s="861" t="s">
        <v>546</v>
      </c>
      <c r="Z474" s="861" t="s">
        <v>547</v>
      </c>
      <c r="AA474" s="861" t="s">
        <v>548</v>
      </c>
      <c r="AB474" s="861" t="s">
        <v>549</v>
      </c>
      <c r="AC474" s="861" t="s">
        <v>550</v>
      </c>
      <c r="AD474" s="861" t="s">
        <v>551</v>
      </c>
      <c r="AE474" s="861" t="s">
        <v>552</v>
      </c>
      <c r="AF474" s="861" t="s">
        <v>553</v>
      </c>
      <c r="AG474" s="861" t="s">
        <v>554</v>
      </c>
      <c r="AH474" s="6"/>
    </row>
    <row r="475" spans="1:34" s="3" customFormat="1" ht="15.95" customHeight="1" thickTop="1">
      <c r="A475" s="7"/>
      <c r="B475" s="19" t="s">
        <v>149</v>
      </c>
      <c r="C475" s="12"/>
      <c r="D475" s="197"/>
      <c r="E475" s="197"/>
      <c r="F475" s="196"/>
      <c r="G475" s="197"/>
      <c r="H475" s="196"/>
      <c r="I475" s="196"/>
      <c r="J475" s="197"/>
      <c r="K475" s="197"/>
      <c r="L475" s="287" t="s">
        <v>34</v>
      </c>
      <c r="M475" s="196"/>
      <c r="N475" s="39" t="str">
        <f>J$6</f>
        <v>FY2010-11</v>
      </c>
      <c r="O475" s="39" t="s">
        <v>154</v>
      </c>
      <c r="P475" s="39" t="s">
        <v>138</v>
      </c>
      <c r="Q475" s="39" t="s">
        <v>2</v>
      </c>
      <c r="R475" s="197"/>
      <c r="S475" s="196"/>
      <c r="T475" s="197"/>
      <c r="U475" s="197"/>
      <c r="V475" s="198"/>
      <c r="W475" s="198"/>
      <c r="X475" s="198"/>
      <c r="Y475" s="198"/>
      <c r="Z475" s="198"/>
      <c r="AA475" s="198"/>
      <c r="AB475" s="198"/>
      <c r="AC475" s="198"/>
      <c r="AD475" s="198"/>
      <c r="AE475" s="198"/>
      <c r="AF475" s="198"/>
      <c r="AG475" s="198"/>
      <c r="AH475" s="6"/>
    </row>
    <row r="476" spans="1:34" s="3" customFormat="1" ht="15.95" customHeight="1">
      <c r="A476" s="7"/>
      <c r="B476" s="16">
        <f>DSUM('$REV-DB'!D35:AG67,"AMOUNT",D474:AG476)</f>
        <v>0</v>
      </c>
      <c r="C476" s="12"/>
      <c r="D476" s="197"/>
      <c r="E476" s="197"/>
      <c r="F476" s="196"/>
      <c r="G476" s="197"/>
      <c r="H476" s="196"/>
      <c r="I476" s="196"/>
      <c r="J476" s="197"/>
      <c r="K476" s="197"/>
      <c r="L476" s="287" t="s">
        <v>34</v>
      </c>
      <c r="M476" s="196"/>
      <c r="N476" s="39" t="str">
        <f>J$6</f>
        <v>FY2010-11</v>
      </c>
      <c r="O476" s="39" t="s">
        <v>154</v>
      </c>
      <c r="P476" s="39" t="s">
        <v>147</v>
      </c>
      <c r="Q476" s="39" t="s">
        <v>2</v>
      </c>
      <c r="R476" s="197"/>
      <c r="S476" s="196" t="s">
        <v>103</v>
      </c>
      <c r="T476" s="197"/>
      <c r="U476" s="197"/>
      <c r="V476" s="198"/>
      <c r="W476" s="198"/>
      <c r="X476" s="198"/>
      <c r="Y476" s="198"/>
      <c r="Z476" s="198"/>
      <c r="AA476" s="198"/>
      <c r="AB476" s="198"/>
      <c r="AC476" s="198"/>
      <c r="AD476" s="198"/>
      <c r="AE476" s="198"/>
      <c r="AF476" s="198"/>
      <c r="AG476" s="198"/>
      <c r="AH476" s="6"/>
    </row>
    <row r="477" spans="1:34" s="3" customFormat="1" ht="15.95" customHeight="1">
      <c r="A477" s="7"/>
      <c r="B477" s="10"/>
      <c r="C477" s="12"/>
      <c r="D477" s="880"/>
      <c r="E477" s="880"/>
      <c r="F477" s="880"/>
      <c r="G477" s="880"/>
      <c r="H477" s="880"/>
      <c r="I477" s="880"/>
      <c r="J477" s="880"/>
      <c r="K477" s="880"/>
      <c r="L477" s="881"/>
      <c r="M477" s="880"/>
      <c r="N477" s="873"/>
      <c r="O477" s="873"/>
      <c r="P477" s="873"/>
      <c r="Q477" s="880"/>
      <c r="R477" s="880"/>
      <c r="S477" s="880"/>
      <c r="T477" s="882"/>
      <c r="U477" s="882"/>
      <c r="V477" s="883"/>
      <c r="W477" s="883"/>
      <c r="X477" s="883"/>
      <c r="Y477" s="883"/>
      <c r="Z477" s="883"/>
      <c r="AA477" s="883"/>
      <c r="AB477" s="883"/>
      <c r="AC477" s="883"/>
      <c r="AD477" s="883"/>
      <c r="AE477" s="883"/>
      <c r="AF477" s="883"/>
      <c r="AG477" s="883"/>
    </row>
    <row r="478" spans="1:34" s="3" customFormat="1" ht="15.95" customHeight="1">
      <c r="A478" s="7"/>
      <c r="B478" s="10"/>
      <c r="C478" s="12"/>
      <c r="D478" s="880"/>
      <c r="E478" s="880"/>
      <c r="F478" s="880"/>
      <c r="G478" s="880"/>
      <c r="H478" s="880"/>
      <c r="I478" s="880"/>
      <c r="J478" s="880"/>
      <c r="K478" s="880"/>
      <c r="L478" s="881"/>
      <c r="M478" s="880"/>
      <c r="N478" s="873"/>
      <c r="O478" s="873"/>
      <c r="P478" s="873"/>
      <c r="Q478" s="880"/>
      <c r="R478" s="880"/>
      <c r="S478" s="880"/>
      <c r="T478" s="882"/>
      <c r="U478" s="882"/>
      <c r="V478" s="883"/>
      <c r="W478" s="883"/>
      <c r="X478" s="883"/>
      <c r="Y478" s="883"/>
      <c r="Z478" s="883"/>
      <c r="AA478" s="883"/>
      <c r="AB478" s="883"/>
      <c r="AC478" s="883"/>
      <c r="AD478" s="883"/>
      <c r="AE478" s="883"/>
      <c r="AF478" s="883"/>
      <c r="AG478" s="883"/>
    </row>
    <row r="479" spans="1:34" s="3" customFormat="1" ht="15.95" customHeight="1">
      <c r="A479" s="7"/>
      <c r="B479" s="10"/>
      <c r="C479" s="12"/>
      <c r="D479" s="880"/>
      <c r="E479" s="880"/>
      <c r="F479" s="880"/>
      <c r="G479" s="880"/>
      <c r="H479" s="880"/>
      <c r="I479" s="880"/>
      <c r="J479" s="880"/>
      <c r="K479" s="880"/>
      <c r="L479" s="881"/>
      <c r="M479" s="880"/>
      <c r="N479" s="873"/>
      <c r="O479" s="873"/>
      <c r="P479" s="873"/>
      <c r="Q479" s="880"/>
      <c r="R479" s="880"/>
      <c r="S479" s="880"/>
      <c r="T479" s="882"/>
      <c r="U479" s="882"/>
      <c r="V479" s="883"/>
      <c r="W479" s="883"/>
      <c r="X479" s="883"/>
      <c r="Y479" s="883"/>
      <c r="Z479" s="883"/>
      <c r="AA479" s="883"/>
      <c r="AB479" s="883"/>
      <c r="AC479" s="883"/>
      <c r="AD479" s="883"/>
      <c r="AE479" s="883"/>
      <c r="AF479" s="883"/>
      <c r="AG479" s="883"/>
    </row>
    <row r="480" spans="1:34" s="3" customFormat="1" ht="15.95" customHeight="1">
      <c r="A480" s="7"/>
      <c r="B480" s="10"/>
      <c r="C480" s="12"/>
      <c r="D480" s="880"/>
      <c r="E480" s="880"/>
      <c r="F480" s="880"/>
      <c r="G480" s="880"/>
      <c r="H480" s="880"/>
      <c r="I480" s="880"/>
      <c r="J480" s="880"/>
      <c r="K480" s="880"/>
      <c r="L480" s="881"/>
      <c r="M480" s="880"/>
      <c r="N480" s="873"/>
      <c r="O480" s="873"/>
      <c r="P480" s="873"/>
      <c r="Q480" s="880"/>
      <c r="R480" s="880"/>
      <c r="S480" s="880"/>
      <c r="T480" s="882"/>
      <c r="U480" s="882"/>
      <c r="V480" s="883"/>
      <c r="W480" s="883"/>
      <c r="X480" s="883"/>
      <c r="Y480" s="883"/>
      <c r="Z480" s="883"/>
      <c r="AA480" s="883"/>
      <c r="AB480" s="883"/>
      <c r="AC480" s="883"/>
      <c r="AD480" s="883"/>
      <c r="AE480" s="883"/>
      <c r="AF480" s="883"/>
      <c r="AG480" s="883"/>
    </row>
    <row r="481" spans="1:34" s="3" customFormat="1" ht="15.95" customHeight="1">
      <c r="A481" s="7"/>
      <c r="B481" s="10"/>
      <c r="C481" s="12"/>
      <c r="D481" s="880"/>
      <c r="E481" s="880"/>
      <c r="F481" s="880"/>
      <c r="G481" s="880"/>
      <c r="H481" s="880"/>
      <c r="I481" s="880"/>
      <c r="J481" s="880"/>
      <c r="K481" s="880"/>
      <c r="L481" s="881"/>
      <c r="M481" s="880"/>
      <c r="N481" s="873"/>
      <c r="O481" s="873"/>
      <c r="P481" s="873"/>
      <c r="Q481" s="880"/>
      <c r="R481" s="880"/>
      <c r="S481" s="880"/>
      <c r="T481" s="882"/>
      <c r="U481" s="882"/>
      <c r="V481" s="883"/>
      <c r="W481" s="883"/>
      <c r="X481" s="883"/>
      <c r="Y481" s="883"/>
      <c r="Z481" s="883"/>
      <c r="AA481" s="883"/>
      <c r="AB481" s="883"/>
      <c r="AC481" s="883"/>
      <c r="AD481" s="883"/>
      <c r="AE481" s="883"/>
      <c r="AF481" s="883"/>
      <c r="AG481" s="883"/>
    </row>
    <row r="482" spans="1:34" s="3" customFormat="1" ht="15.95" customHeight="1">
      <c r="A482" s="21"/>
      <c r="B482" s="22"/>
      <c r="C482" s="22"/>
      <c r="D482" s="23"/>
      <c r="E482" s="23"/>
      <c r="F482" s="24"/>
      <c r="G482" s="23"/>
      <c r="H482" s="24"/>
      <c r="I482" s="24"/>
      <c r="J482" s="23"/>
      <c r="K482" s="23"/>
      <c r="L482" s="286"/>
      <c r="M482" s="24"/>
      <c r="N482" s="24"/>
      <c r="O482" s="23"/>
      <c r="P482" s="24"/>
      <c r="Q482" s="24"/>
      <c r="R482" s="23"/>
      <c r="S482" s="24"/>
      <c r="T482" s="23"/>
      <c r="U482" s="23"/>
      <c r="V482" s="21"/>
      <c r="W482" s="21"/>
      <c r="X482" s="21"/>
      <c r="Y482" s="21"/>
      <c r="Z482" s="21"/>
      <c r="AA482" s="21"/>
      <c r="AB482" s="21"/>
      <c r="AC482" s="21"/>
      <c r="AD482" s="21"/>
      <c r="AE482" s="21"/>
      <c r="AF482" s="21"/>
      <c r="AG482" s="21"/>
    </row>
    <row r="483" spans="1:34" s="3" customFormat="1"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66"/>
      <c r="T483" s="867" t="str">
        <f>'$REV-DB'!$T$34</f>
        <v>UD1</v>
      </c>
      <c r="U483" s="867" t="str">
        <f>'$REV-DB'!$U$34</f>
        <v>UD2</v>
      </c>
      <c r="V483" s="867" t="str">
        <f>'$REV-DB'!$V$34</f>
        <v>UD3</v>
      </c>
      <c r="W483" s="867" t="str">
        <f>'$REV-DB'!$W$34</f>
        <v>UD4</v>
      </c>
      <c r="X483" s="867" t="str">
        <f>'$REV-DB'!$X$34</f>
        <v>UD5</v>
      </c>
      <c r="Y483" s="867" t="str">
        <f>'$REV-DB'!$Y$34</f>
        <v>UD6</v>
      </c>
      <c r="Z483" s="867" t="str">
        <f>'$REV-DB'!$Z$34</f>
        <v>UD7</v>
      </c>
      <c r="AA483" s="867" t="str">
        <f>'$REV-DB'!$AA$34</f>
        <v>UD8</v>
      </c>
      <c r="AB483" s="867" t="str">
        <f>'$REV-DB'!$AB$34</f>
        <v>UD9</v>
      </c>
      <c r="AC483" s="867" t="str">
        <f>'$REV-DB'!$AC$34</f>
        <v>UD10</v>
      </c>
      <c r="AD483" s="867" t="str">
        <f>'$REV-DB'!$AD$34</f>
        <v>UD11</v>
      </c>
      <c r="AE483" s="867" t="str">
        <f>'$REV-DB'!$AE$34</f>
        <v>UD12</v>
      </c>
      <c r="AF483" s="867" t="str">
        <f>'$REV-DB'!$AF$34</f>
        <v>UD13</v>
      </c>
      <c r="AG483" s="867" t="str">
        <f>'$REV-DB'!$AG$34</f>
        <v>UD14</v>
      </c>
    </row>
    <row r="484" spans="1:34" s="3" customFormat="1" ht="15.95" customHeight="1" thickTop="1" thickBot="1">
      <c r="A484" s="7"/>
      <c r="B484" s="20" t="s">
        <v>4</v>
      </c>
      <c r="C484" s="15"/>
      <c r="D484" s="861" t="s">
        <v>186</v>
      </c>
      <c r="E484" s="861" t="s">
        <v>187</v>
      </c>
      <c r="F484" s="861" t="s">
        <v>188</v>
      </c>
      <c r="G484" s="861" t="s">
        <v>189</v>
      </c>
      <c r="H484" s="861" t="s">
        <v>11</v>
      </c>
      <c r="I484" s="861" t="s">
        <v>190</v>
      </c>
      <c r="J484" s="861" t="s">
        <v>191</v>
      </c>
      <c r="K484" s="861" t="s">
        <v>192</v>
      </c>
      <c r="L484" s="861" t="s">
        <v>203</v>
      </c>
      <c r="M484" s="861" t="s">
        <v>42</v>
      </c>
      <c r="N484" s="861" t="s">
        <v>148</v>
      </c>
      <c r="O484" s="861" t="s">
        <v>193</v>
      </c>
      <c r="P484" s="861" t="s">
        <v>142</v>
      </c>
      <c r="Q484" s="861" t="s">
        <v>194</v>
      </c>
      <c r="R484" s="112" t="s">
        <v>141</v>
      </c>
      <c r="S484" s="112" t="s">
        <v>672</v>
      </c>
      <c r="T484" s="861" t="s">
        <v>541</v>
      </c>
      <c r="U484" s="861" t="s">
        <v>542</v>
      </c>
      <c r="V484" s="861" t="s">
        <v>543</v>
      </c>
      <c r="W484" s="861" t="s">
        <v>544</v>
      </c>
      <c r="X484" s="861" t="s">
        <v>545</v>
      </c>
      <c r="Y484" s="861" t="s">
        <v>546</v>
      </c>
      <c r="Z484" s="861" t="s">
        <v>547</v>
      </c>
      <c r="AA484" s="861" t="s">
        <v>548</v>
      </c>
      <c r="AB484" s="861" t="s">
        <v>549</v>
      </c>
      <c r="AC484" s="861" t="s">
        <v>550</v>
      </c>
      <c r="AD484" s="861" t="s">
        <v>551</v>
      </c>
      <c r="AE484" s="861" t="s">
        <v>552</v>
      </c>
      <c r="AF484" s="861" t="s">
        <v>553</v>
      </c>
      <c r="AG484" s="861" t="s">
        <v>554</v>
      </c>
      <c r="AH484" s="6"/>
    </row>
    <row r="485" spans="1:34" s="3" customFormat="1" ht="15.95" customHeight="1" thickTop="1">
      <c r="A485" s="7"/>
      <c r="B485" s="19" t="s">
        <v>364</v>
      </c>
      <c r="C485" s="12"/>
      <c r="D485" s="197"/>
      <c r="E485" s="197"/>
      <c r="F485" s="196"/>
      <c r="G485" s="197"/>
      <c r="H485" s="196"/>
      <c r="I485" s="196"/>
      <c r="J485" s="197"/>
      <c r="K485" s="197"/>
      <c r="L485" s="287" t="s">
        <v>34</v>
      </c>
      <c r="M485" s="196"/>
      <c r="N485" s="39" t="str">
        <f>J$6</f>
        <v>FY2010-11</v>
      </c>
      <c r="O485" s="39" t="s">
        <v>154</v>
      </c>
      <c r="P485" s="39" t="s">
        <v>138</v>
      </c>
      <c r="Q485" s="39" t="s">
        <v>70</v>
      </c>
      <c r="R485" s="197"/>
      <c r="S485" s="196"/>
      <c r="T485" s="197"/>
      <c r="U485" s="197"/>
      <c r="V485" s="198"/>
      <c r="W485" s="198"/>
      <c r="X485" s="198"/>
      <c r="Y485" s="198"/>
      <c r="Z485" s="198"/>
      <c r="AA485" s="198"/>
      <c r="AB485" s="198"/>
      <c r="AC485" s="198"/>
      <c r="AD485" s="198"/>
      <c r="AE485" s="198"/>
      <c r="AF485" s="198"/>
      <c r="AG485" s="198"/>
      <c r="AH485" s="6"/>
    </row>
    <row r="486" spans="1:34" s="3" customFormat="1" ht="15.95" customHeight="1">
      <c r="A486" s="7"/>
      <c r="B486" s="16">
        <f>DSUM('$REV-DB'!D35:AG67,"AMOUNT",D484:AG486)</f>
        <v>0</v>
      </c>
      <c r="C486" s="12"/>
      <c r="D486" s="197"/>
      <c r="E486" s="197"/>
      <c r="F486" s="196"/>
      <c r="G486" s="197"/>
      <c r="H486" s="196"/>
      <c r="I486" s="196"/>
      <c r="J486" s="197"/>
      <c r="K486" s="197"/>
      <c r="L486" s="287" t="s">
        <v>34</v>
      </c>
      <c r="M486" s="196"/>
      <c r="N486" s="39" t="str">
        <f>J$6</f>
        <v>FY2010-11</v>
      </c>
      <c r="O486" s="39" t="s">
        <v>154</v>
      </c>
      <c r="P486" s="39" t="s">
        <v>147</v>
      </c>
      <c r="Q486" s="39" t="s">
        <v>70</v>
      </c>
      <c r="R486" s="197"/>
      <c r="S486" s="196" t="s">
        <v>103</v>
      </c>
      <c r="T486" s="197"/>
      <c r="U486" s="197"/>
      <c r="V486" s="198"/>
      <c r="W486" s="198"/>
      <c r="X486" s="198"/>
      <c r="Y486" s="198"/>
      <c r="Z486" s="198"/>
      <c r="AA486" s="198"/>
      <c r="AB486" s="198"/>
      <c r="AC486" s="198"/>
      <c r="AD486" s="198"/>
      <c r="AE486" s="198"/>
      <c r="AF486" s="198"/>
      <c r="AG486" s="198"/>
      <c r="AH486" s="6"/>
    </row>
    <row r="487" spans="1:34" s="3" customFormat="1" ht="15.95" customHeight="1">
      <c r="A487" s="7"/>
      <c r="B487" s="10"/>
      <c r="C487" s="12"/>
      <c r="D487" s="880"/>
      <c r="E487" s="880"/>
      <c r="F487" s="880"/>
      <c r="G487" s="880"/>
      <c r="H487" s="880"/>
      <c r="I487" s="880"/>
      <c r="J487" s="880"/>
      <c r="K487" s="880"/>
      <c r="L487" s="881"/>
      <c r="M487" s="880"/>
      <c r="N487" s="873"/>
      <c r="O487" s="873"/>
      <c r="P487" s="873"/>
      <c r="Q487" s="880"/>
      <c r="R487" s="880"/>
      <c r="S487" s="880"/>
      <c r="T487" s="882"/>
      <c r="U487" s="882"/>
      <c r="V487" s="883"/>
      <c r="W487" s="883"/>
      <c r="X487" s="883"/>
      <c r="Y487" s="883"/>
      <c r="Z487" s="883"/>
      <c r="AA487" s="883"/>
      <c r="AB487" s="883"/>
      <c r="AC487" s="883"/>
      <c r="AD487" s="883"/>
      <c r="AE487" s="883"/>
      <c r="AF487" s="883"/>
      <c r="AG487" s="883"/>
    </row>
    <row r="488" spans="1:34" s="3" customFormat="1" ht="15.95" customHeight="1">
      <c r="A488" s="7"/>
      <c r="B488" s="10"/>
      <c r="C488" s="12"/>
      <c r="D488" s="880"/>
      <c r="E488" s="880"/>
      <c r="F488" s="880"/>
      <c r="G488" s="880"/>
      <c r="H488" s="880"/>
      <c r="I488" s="880"/>
      <c r="J488" s="880"/>
      <c r="K488" s="880"/>
      <c r="L488" s="881"/>
      <c r="M488" s="880"/>
      <c r="N488" s="873"/>
      <c r="O488" s="873"/>
      <c r="P488" s="873"/>
      <c r="Q488" s="880"/>
      <c r="R488" s="880"/>
      <c r="S488" s="880"/>
      <c r="T488" s="882"/>
      <c r="U488" s="882"/>
      <c r="V488" s="883"/>
      <c r="W488" s="883"/>
      <c r="X488" s="883"/>
      <c r="Y488" s="883"/>
      <c r="Z488" s="883"/>
      <c r="AA488" s="883"/>
      <c r="AB488" s="883"/>
      <c r="AC488" s="883"/>
      <c r="AD488" s="883"/>
      <c r="AE488" s="883"/>
      <c r="AF488" s="883"/>
      <c r="AG488" s="883"/>
    </row>
    <row r="489" spans="1:34" s="3" customFormat="1" ht="15.95" customHeight="1">
      <c r="A489" s="7"/>
      <c r="B489" s="10"/>
      <c r="C489" s="12"/>
      <c r="D489" s="880"/>
      <c r="E489" s="880"/>
      <c r="F489" s="880"/>
      <c r="G489" s="880"/>
      <c r="H489" s="880"/>
      <c r="I489" s="880"/>
      <c r="J489" s="880"/>
      <c r="K489" s="880"/>
      <c r="L489" s="881"/>
      <c r="M489" s="880"/>
      <c r="N489" s="873"/>
      <c r="O489" s="873"/>
      <c r="P489" s="873"/>
      <c r="Q489" s="880"/>
      <c r="R489" s="880"/>
      <c r="S489" s="880"/>
      <c r="T489" s="882"/>
      <c r="U489" s="882"/>
      <c r="V489" s="883"/>
      <c r="W489" s="883"/>
      <c r="X489" s="883"/>
      <c r="Y489" s="883"/>
      <c r="Z489" s="883"/>
      <c r="AA489" s="883"/>
      <c r="AB489" s="883"/>
      <c r="AC489" s="883"/>
      <c r="AD489" s="883"/>
      <c r="AE489" s="883"/>
      <c r="AF489" s="883"/>
      <c r="AG489" s="883"/>
    </row>
    <row r="490" spans="1:34" s="3" customFormat="1" ht="15.95" customHeight="1">
      <c r="A490" s="7"/>
      <c r="B490" s="10"/>
      <c r="C490" s="12"/>
      <c r="D490" s="880"/>
      <c r="E490" s="880"/>
      <c r="F490" s="880"/>
      <c r="G490" s="880"/>
      <c r="H490" s="880"/>
      <c r="I490" s="880"/>
      <c r="J490" s="880"/>
      <c r="K490" s="880"/>
      <c r="L490" s="881"/>
      <c r="M490" s="880"/>
      <c r="N490" s="873"/>
      <c r="O490" s="873"/>
      <c r="P490" s="873"/>
      <c r="Q490" s="880"/>
      <c r="R490" s="880"/>
      <c r="S490" s="880"/>
      <c r="T490" s="882"/>
      <c r="U490" s="882"/>
      <c r="V490" s="883"/>
      <c r="W490" s="883"/>
      <c r="X490" s="883"/>
      <c r="Y490" s="883"/>
      <c r="Z490" s="883"/>
      <c r="AA490" s="883"/>
      <c r="AB490" s="883"/>
      <c r="AC490" s="883"/>
      <c r="AD490" s="883"/>
      <c r="AE490" s="883"/>
      <c r="AF490" s="883"/>
      <c r="AG490" s="883"/>
    </row>
    <row r="491" spans="1:34" s="3" customFormat="1" ht="15.95" customHeight="1">
      <c r="A491" s="7"/>
      <c r="B491" s="10"/>
      <c r="C491" s="12"/>
      <c r="D491" s="880"/>
      <c r="E491" s="880"/>
      <c r="F491" s="880"/>
      <c r="G491" s="880"/>
      <c r="H491" s="880"/>
      <c r="I491" s="880"/>
      <c r="J491" s="880"/>
      <c r="K491" s="880"/>
      <c r="L491" s="881"/>
      <c r="M491" s="880"/>
      <c r="N491" s="873"/>
      <c r="O491" s="873"/>
      <c r="P491" s="873"/>
      <c r="Q491" s="880"/>
      <c r="R491" s="880"/>
      <c r="S491" s="880"/>
      <c r="T491" s="882"/>
      <c r="U491" s="882"/>
      <c r="V491" s="883"/>
      <c r="W491" s="883"/>
      <c r="X491" s="883"/>
      <c r="Y491" s="883"/>
      <c r="Z491" s="883"/>
      <c r="AA491" s="883"/>
      <c r="AB491" s="883"/>
      <c r="AC491" s="883"/>
      <c r="AD491" s="883"/>
      <c r="AE491" s="883"/>
      <c r="AF491" s="883"/>
      <c r="AG491" s="883"/>
    </row>
    <row r="492" spans="1:34" s="3" customFormat="1" ht="15.95" customHeight="1">
      <c r="A492" s="21"/>
      <c r="B492" s="22"/>
      <c r="C492" s="22"/>
      <c r="D492" s="23"/>
      <c r="E492" s="23"/>
      <c r="F492" s="24"/>
      <c r="G492" s="23"/>
      <c r="H492" s="24"/>
      <c r="I492" s="24"/>
      <c r="J492" s="23"/>
      <c r="K492" s="23"/>
      <c r="L492" s="286"/>
      <c r="M492" s="24"/>
      <c r="N492" s="24"/>
      <c r="O492" s="23"/>
      <c r="P492" s="24"/>
      <c r="Q492" s="24"/>
      <c r="R492" s="23"/>
      <c r="S492" s="24"/>
      <c r="T492" s="23"/>
      <c r="U492" s="23"/>
      <c r="V492" s="21"/>
      <c r="W492" s="21"/>
      <c r="X492" s="21"/>
      <c r="Y492" s="21"/>
      <c r="Z492" s="21"/>
      <c r="AA492" s="21"/>
      <c r="AB492" s="21"/>
      <c r="AC492" s="21"/>
      <c r="AD492" s="21"/>
      <c r="AE492" s="21"/>
      <c r="AF492" s="21"/>
      <c r="AG492" s="21"/>
    </row>
    <row r="493" spans="1:34" s="3" customFormat="1"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66"/>
      <c r="T493" s="867" t="str">
        <f>'$REV-DB'!$T$34</f>
        <v>UD1</v>
      </c>
      <c r="U493" s="867" t="str">
        <f>'$REV-DB'!$U$34</f>
        <v>UD2</v>
      </c>
      <c r="V493" s="867" t="str">
        <f>'$REV-DB'!$V$34</f>
        <v>UD3</v>
      </c>
      <c r="W493" s="867" t="str">
        <f>'$REV-DB'!$W$34</f>
        <v>UD4</v>
      </c>
      <c r="X493" s="867" t="str">
        <f>'$REV-DB'!$X$34</f>
        <v>UD5</v>
      </c>
      <c r="Y493" s="867" t="str">
        <f>'$REV-DB'!$Y$34</f>
        <v>UD6</v>
      </c>
      <c r="Z493" s="867" t="str">
        <f>'$REV-DB'!$Z$34</f>
        <v>UD7</v>
      </c>
      <c r="AA493" s="867" t="str">
        <f>'$REV-DB'!$AA$34</f>
        <v>UD8</v>
      </c>
      <c r="AB493" s="867" t="str">
        <f>'$REV-DB'!$AB$34</f>
        <v>UD9</v>
      </c>
      <c r="AC493" s="867" t="str">
        <f>'$REV-DB'!$AC$34</f>
        <v>UD10</v>
      </c>
      <c r="AD493" s="867" t="str">
        <f>'$REV-DB'!$AD$34</f>
        <v>UD11</v>
      </c>
      <c r="AE493" s="867" t="str">
        <f>'$REV-DB'!$AE$34</f>
        <v>UD12</v>
      </c>
      <c r="AF493" s="867" t="str">
        <f>'$REV-DB'!$AF$34</f>
        <v>UD13</v>
      </c>
      <c r="AG493" s="867" t="str">
        <f>'$REV-DB'!$AG$34</f>
        <v>UD14</v>
      </c>
    </row>
    <row r="494" spans="1:34" s="3" customFormat="1" ht="15.95" customHeight="1" thickTop="1" thickBot="1">
      <c r="A494" s="7"/>
      <c r="B494" s="20" t="s">
        <v>4</v>
      </c>
      <c r="C494" s="15"/>
      <c r="D494" s="861" t="s">
        <v>186</v>
      </c>
      <c r="E494" s="861" t="s">
        <v>187</v>
      </c>
      <c r="F494" s="861" t="s">
        <v>188</v>
      </c>
      <c r="G494" s="861" t="s">
        <v>189</v>
      </c>
      <c r="H494" s="861" t="s">
        <v>11</v>
      </c>
      <c r="I494" s="861" t="s">
        <v>190</v>
      </c>
      <c r="J494" s="861" t="s">
        <v>191</v>
      </c>
      <c r="K494" s="861" t="s">
        <v>192</v>
      </c>
      <c r="L494" s="861" t="s">
        <v>203</v>
      </c>
      <c r="M494" s="861" t="s">
        <v>42</v>
      </c>
      <c r="N494" s="861" t="s">
        <v>148</v>
      </c>
      <c r="O494" s="861" t="s">
        <v>193</v>
      </c>
      <c r="P494" s="861" t="s">
        <v>142</v>
      </c>
      <c r="Q494" s="861" t="s">
        <v>194</v>
      </c>
      <c r="R494" s="112" t="s">
        <v>141</v>
      </c>
      <c r="S494" s="112" t="s">
        <v>672</v>
      </c>
      <c r="T494" s="861" t="s">
        <v>541</v>
      </c>
      <c r="U494" s="861" t="s">
        <v>542</v>
      </c>
      <c r="V494" s="861" t="s">
        <v>543</v>
      </c>
      <c r="W494" s="861" t="s">
        <v>544</v>
      </c>
      <c r="X494" s="861" t="s">
        <v>545</v>
      </c>
      <c r="Y494" s="861" t="s">
        <v>546</v>
      </c>
      <c r="Z494" s="861" t="s">
        <v>547</v>
      </c>
      <c r="AA494" s="861" t="s">
        <v>548</v>
      </c>
      <c r="AB494" s="861" t="s">
        <v>549</v>
      </c>
      <c r="AC494" s="861" t="s">
        <v>550</v>
      </c>
      <c r="AD494" s="861" t="s">
        <v>551</v>
      </c>
      <c r="AE494" s="861" t="s">
        <v>552</v>
      </c>
      <c r="AF494" s="861" t="s">
        <v>553</v>
      </c>
      <c r="AG494" s="861" t="s">
        <v>554</v>
      </c>
      <c r="AH494" s="6"/>
    </row>
    <row r="495" spans="1:34" s="3" customFormat="1" ht="15.95" customHeight="1" thickTop="1">
      <c r="A495" s="7"/>
      <c r="B495" s="19" t="s">
        <v>150</v>
      </c>
      <c r="C495" s="12"/>
      <c r="D495" s="197"/>
      <c r="E495" s="197"/>
      <c r="F495" s="196"/>
      <c r="G495" s="197"/>
      <c r="H495" s="196"/>
      <c r="I495" s="196"/>
      <c r="J495" s="197"/>
      <c r="K495" s="197"/>
      <c r="L495" s="287" t="s">
        <v>34</v>
      </c>
      <c r="M495" s="196"/>
      <c r="N495" s="39" t="str">
        <f>J$6</f>
        <v>FY2010-11</v>
      </c>
      <c r="O495" s="39" t="s">
        <v>154</v>
      </c>
      <c r="P495" s="39" t="s">
        <v>138</v>
      </c>
      <c r="Q495" s="39" t="s">
        <v>140</v>
      </c>
      <c r="R495" s="197"/>
      <c r="S495" s="196"/>
      <c r="T495" s="197"/>
      <c r="U495" s="197"/>
      <c r="V495" s="198"/>
      <c r="W495" s="198"/>
      <c r="X495" s="198"/>
      <c r="Y495" s="198"/>
      <c r="Z495" s="198"/>
      <c r="AA495" s="198"/>
      <c r="AB495" s="198"/>
      <c r="AC495" s="198"/>
      <c r="AD495" s="198"/>
      <c r="AE495" s="198"/>
      <c r="AF495" s="198"/>
      <c r="AG495" s="198"/>
      <c r="AH495" s="6"/>
    </row>
    <row r="496" spans="1:34" s="3" customFormat="1" ht="15.95" customHeight="1">
      <c r="A496" s="7"/>
      <c r="B496" s="16">
        <f>DSUM('$REV-DB'!D35:AG67,"AMOUNT",D494:AG496)</f>
        <v>0</v>
      </c>
      <c r="C496" s="12"/>
      <c r="D496" s="197"/>
      <c r="E496" s="197"/>
      <c r="F496" s="196"/>
      <c r="G496" s="197"/>
      <c r="H496" s="196"/>
      <c r="I496" s="196"/>
      <c r="J496" s="197"/>
      <c r="K496" s="197"/>
      <c r="L496" s="287" t="s">
        <v>34</v>
      </c>
      <c r="M496" s="196"/>
      <c r="N496" s="39" t="str">
        <f>J$6</f>
        <v>FY2010-11</v>
      </c>
      <c r="O496" s="39" t="s">
        <v>154</v>
      </c>
      <c r="P496" s="39" t="s">
        <v>147</v>
      </c>
      <c r="Q496" s="39" t="s">
        <v>140</v>
      </c>
      <c r="R496" s="197"/>
      <c r="S496" s="196" t="s">
        <v>103</v>
      </c>
      <c r="T496" s="197"/>
      <c r="U496" s="197"/>
      <c r="V496" s="198"/>
      <c r="W496" s="198"/>
      <c r="X496" s="198"/>
      <c r="Y496" s="198"/>
      <c r="Z496" s="198"/>
      <c r="AA496" s="198"/>
      <c r="AB496" s="198"/>
      <c r="AC496" s="198"/>
      <c r="AD496" s="198"/>
      <c r="AE496" s="198"/>
      <c r="AF496" s="198"/>
      <c r="AG496" s="198"/>
      <c r="AH496" s="6"/>
    </row>
    <row r="497" spans="1:34" s="3" customFormat="1" ht="15.95" customHeight="1">
      <c r="A497" s="7"/>
      <c r="B497" s="10"/>
      <c r="C497" s="12"/>
      <c r="D497" s="880"/>
      <c r="E497" s="880"/>
      <c r="F497" s="880"/>
      <c r="G497" s="880"/>
      <c r="H497" s="880"/>
      <c r="I497" s="880"/>
      <c r="J497" s="880"/>
      <c r="K497" s="880"/>
      <c r="L497" s="881"/>
      <c r="M497" s="880"/>
      <c r="N497" s="873"/>
      <c r="O497" s="873"/>
      <c r="P497" s="873"/>
      <c r="Q497" s="880"/>
      <c r="R497" s="880"/>
      <c r="S497" s="880"/>
      <c r="T497" s="882"/>
      <c r="U497" s="882"/>
      <c r="V497" s="883"/>
      <c r="W497" s="883"/>
      <c r="X497" s="883"/>
      <c r="Y497" s="883"/>
      <c r="Z497" s="883"/>
      <c r="AA497" s="883"/>
      <c r="AB497" s="883"/>
      <c r="AC497" s="883"/>
      <c r="AD497" s="883"/>
      <c r="AE497" s="883"/>
      <c r="AF497" s="883"/>
      <c r="AG497" s="883"/>
    </row>
    <row r="498" spans="1:34" s="3" customFormat="1" ht="15.95" customHeight="1">
      <c r="A498" s="7"/>
      <c r="B498" s="10"/>
      <c r="C498" s="12"/>
      <c r="D498" s="880"/>
      <c r="E498" s="880"/>
      <c r="F498" s="880"/>
      <c r="G498" s="880"/>
      <c r="H498" s="880"/>
      <c r="I498" s="880"/>
      <c r="J498" s="880"/>
      <c r="K498" s="880"/>
      <c r="L498" s="881"/>
      <c r="M498" s="880"/>
      <c r="N498" s="873"/>
      <c r="O498" s="873"/>
      <c r="P498" s="873"/>
      <c r="Q498" s="880"/>
      <c r="R498" s="880"/>
      <c r="S498" s="880"/>
      <c r="T498" s="882"/>
      <c r="U498" s="882"/>
      <c r="V498" s="883"/>
      <c r="W498" s="883"/>
      <c r="X498" s="883"/>
      <c r="Y498" s="883"/>
      <c r="Z498" s="883"/>
      <c r="AA498" s="883"/>
      <c r="AB498" s="883"/>
      <c r="AC498" s="883"/>
      <c r="AD498" s="883"/>
      <c r="AE498" s="883"/>
      <c r="AF498" s="883"/>
      <c r="AG498" s="883"/>
    </row>
    <row r="499" spans="1:34" s="3" customFormat="1" ht="15.95" customHeight="1">
      <c r="A499" s="7"/>
      <c r="B499" s="10"/>
      <c r="C499" s="12"/>
      <c r="D499" s="880"/>
      <c r="E499" s="880"/>
      <c r="F499" s="880"/>
      <c r="G499" s="880"/>
      <c r="H499" s="880"/>
      <c r="I499" s="880"/>
      <c r="J499" s="880"/>
      <c r="K499" s="880"/>
      <c r="L499" s="881"/>
      <c r="M499" s="880"/>
      <c r="N499" s="873"/>
      <c r="O499" s="873"/>
      <c r="P499" s="873"/>
      <c r="Q499" s="880"/>
      <c r="R499" s="880"/>
      <c r="S499" s="880"/>
      <c r="T499" s="882"/>
      <c r="U499" s="882"/>
      <c r="V499" s="883"/>
      <c r="W499" s="883"/>
      <c r="X499" s="883"/>
      <c r="Y499" s="883"/>
      <c r="Z499" s="883"/>
      <c r="AA499" s="883"/>
      <c r="AB499" s="883"/>
      <c r="AC499" s="883"/>
      <c r="AD499" s="883"/>
      <c r="AE499" s="883"/>
      <c r="AF499" s="883"/>
      <c r="AG499" s="883"/>
    </row>
    <row r="500" spans="1:34" s="3" customFormat="1" ht="15.95" customHeight="1">
      <c r="A500" s="7"/>
      <c r="B500" s="10"/>
      <c r="C500" s="12"/>
      <c r="D500" s="880"/>
      <c r="E500" s="880"/>
      <c r="F500" s="880"/>
      <c r="G500" s="880"/>
      <c r="H500" s="880"/>
      <c r="I500" s="880"/>
      <c r="J500" s="880"/>
      <c r="K500" s="880"/>
      <c r="L500" s="881"/>
      <c r="M500" s="880"/>
      <c r="N500" s="873"/>
      <c r="O500" s="873"/>
      <c r="P500" s="873"/>
      <c r="Q500" s="880"/>
      <c r="R500" s="880"/>
      <c r="S500" s="880"/>
      <c r="T500" s="882"/>
      <c r="U500" s="882"/>
      <c r="V500" s="883"/>
      <c r="W500" s="883"/>
      <c r="X500" s="883"/>
      <c r="Y500" s="883"/>
      <c r="Z500" s="883"/>
      <c r="AA500" s="883"/>
      <c r="AB500" s="883"/>
      <c r="AC500" s="883"/>
      <c r="AD500" s="883"/>
      <c r="AE500" s="883"/>
      <c r="AF500" s="883"/>
      <c r="AG500" s="883"/>
    </row>
    <row r="501" spans="1:34" s="3" customFormat="1" ht="15.95" customHeight="1">
      <c r="A501" s="7"/>
      <c r="B501" s="10"/>
      <c r="C501" s="12"/>
      <c r="D501" s="880"/>
      <c r="E501" s="880"/>
      <c r="F501" s="880"/>
      <c r="G501" s="880"/>
      <c r="H501" s="880"/>
      <c r="I501" s="880"/>
      <c r="J501" s="880"/>
      <c r="K501" s="880"/>
      <c r="L501" s="881"/>
      <c r="M501" s="880"/>
      <c r="N501" s="873"/>
      <c r="O501" s="873"/>
      <c r="P501" s="873"/>
      <c r="Q501" s="880"/>
      <c r="R501" s="880"/>
      <c r="S501" s="880"/>
      <c r="T501" s="882"/>
      <c r="U501" s="882"/>
      <c r="V501" s="883"/>
      <c r="W501" s="883"/>
      <c r="X501" s="883"/>
      <c r="Y501" s="883"/>
      <c r="Z501" s="883"/>
      <c r="AA501" s="883"/>
      <c r="AB501" s="883"/>
      <c r="AC501" s="883"/>
      <c r="AD501" s="883"/>
      <c r="AE501" s="883"/>
      <c r="AF501" s="883"/>
      <c r="AG501" s="883"/>
    </row>
    <row r="502" spans="1:34" s="3" customFormat="1" ht="15.95" customHeight="1">
      <c r="A502" s="21"/>
      <c r="B502" s="22"/>
      <c r="C502" s="22"/>
      <c r="D502" s="23"/>
      <c r="E502" s="23"/>
      <c r="F502" s="24"/>
      <c r="G502" s="23"/>
      <c r="H502" s="24"/>
      <c r="I502" s="24"/>
      <c r="J502" s="23"/>
      <c r="K502" s="23"/>
      <c r="L502" s="286"/>
      <c r="M502" s="24"/>
      <c r="N502" s="24"/>
      <c r="O502" s="23"/>
      <c r="P502" s="24"/>
      <c r="Q502" s="24"/>
      <c r="R502" s="23"/>
      <c r="S502" s="24"/>
      <c r="T502" s="23"/>
      <c r="U502" s="23"/>
      <c r="V502" s="21"/>
      <c r="W502" s="21"/>
      <c r="X502" s="21"/>
      <c r="Y502" s="21"/>
      <c r="Z502" s="21"/>
      <c r="AA502" s="21"/>
      <c r="AB502" s="21"/>
      <c r="AC502" s="21"/>
      <c r="AD502" s="21"/>
      <c r="AE502" s="21"/>
      <c r="AF502" s="21"/>
      <c r="AG502" s="21"/>
    </row>
    <row r="503" spans="1:34" s="3" customFormat="1"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66"/>
      <c r="T503" s="867" t="str">
        <f>'$REV-DB'!$T$34</f>
        <v>UD1</v>
      </c>
      <c r="U503" s="867" t="str">
        <f>'$REV-DB'!$U$34</f>
        <v>UD2</v>
      </c>
      <c r="V503" s="867" t="str">
        <f>'$REV-DB'!$V$34</f>
        <v>UD3</v>
      </c>
      <c r="W503" s="867" t="str">
        <f>'$REV-DB'!$W$34</f>
        <v>UD4</v>
      </c>
      <c r="X503" s="867" t="str">
        <f>'$REV-DB'!$X$34</f>
        <v>UD5</v>
      </c>
      <c r="Y503" s="867" t="str">
        <f>'$REV-DB'!$Y$34</f>
        <v>UD6</v>
      </c>
      <c r="Z503" s="867" t="str">
        <f>'$REV-DB'!$Z$34</f>
        <v>UD7</v>
      </c>
      <c r="AA503" s="867" t="str">
        <f>'$REV-DB'!$AA$34</f>
        <v>UD8</v>
      </c>
      <c r="AB503" s="867" t="str">
        <f>'$REV-DB'!$AB$34</f>
        <v>UD9</v>
      </c>
      <c r="AC503" s="867" t="str">
        <f>'$REV-DB'!$AC$34</f>
        <v>UD10</v>
      </c>
      <c r="AD503" s="867" t="str">
        <f>'$REV-DB'!$AD$34</f>
        <v>UD11</v>
      </c>
      <c r="AE503" s="867" t="str">
        <f>'$REV-DB'!$AE$34</f>
        <v>UD12</v>
      </c>
      <c r="AF503" s="867" t="str">
        <f>'$REV-DB'!$AF$34</f>
        <v>UD13</v>
      </c>
      <c r="AG503" s="867" t="str">
        <f>'$REV-DB'!$AG$34</f>
        <v>UD14</v>
      </c>
    </row>
    <row r="504" spans="1:34" s="3" customFormat="1" ht="15.95" customHeight="1" thickTop="1" thickBot="1">
      <c r="A504" s="7"/>
      <c r="B504" s="20" t="s">
        <v>175</v>
      </c>
      <c r="C504" s="15"/>
      <c r="D504" s="861" t="s">
        <v>186</v>
      </c>
      <c r="E504" s="861" t="s">
        <v>187</v>
      </c>
      <c r="F504" s="861" t="s">
        <v>188</v>
      </c>
      <c r="G504" s="861" t="s">
        <v>189</v>
      </c>
      <c r="H504" s="861" t="s">
        <v>11</v>
      </c>
      <c r="I504" s="861" t="s">
        <v>190</v>
      </c>
      <c r="J504" s="861" t="s">
        <v>191</v>
      </c>
      <c r="K504" s="861" t="s">
        <v>192</v>
      </c>
      <c r="L504" s="861" t="s">
        <v>203</v>
      </c>
      <c r="M504" s="861" t="s">
        <v>42</v>
      </c>
      <c r="N504" s="861" t="s">
        <v>148</v>
      </c>
      <c r="O504" s="861" t="s">
        <v>193</v>
      </c>
      <c r="P504" s="861" t="s">
        <v>142</v>
      </c>
      <c r="Q504" s="861" t="s">
        <v>194</v>
      </c>
      <c r="R504" s="112" t="s">
        <v>141</v>
      </c>
      <c r="S504" s="112" t="s">
        <v>672</v>
      </c>
      <c r="T504" s="861" t="s">
        <v>541</v>
      </c>
      <c r="U504" s="861" t="s">
        <v>542</v>
      </c>
      <c r="V504" s="861" t="s">
        <v>543</v>
      </c>
      <c r="W504" s="861" t="s">
        <v>544</v>
      </c>
      <c r="X504" s="861" t="s">
        <v>545</v>
      </c>
      <c r="Y504" s="861" t="s">
        <v>546</v>
      </c>
      <c r="Z504" s="861" t="s">
        <v>547</v>
      </c>
      <c r="AA504" s="861" t="s">
        <v>548</v>
      </c>
      <c r="AB504" s="861" t="s">
        <v>549</v>
      </c>
      <c r="AC504" s="861" t="s">
        <v>550</v>
      </c>
      <c r="AD504" s="861" t="s">
        <v>551</v>
      </c>
      <c r="AE504" s="861" t="s">
        <v>552</v>
      </c>
      <c r="AF504" s="861" t="s">
        <v>553</v>
      </c>
      <c r="AG504" s="861" t="s">
        <v>554</v>
      </c>
      <c r="AH504" s="6"/>
    </row>
    <row r="505" spans="1:34" s="3" customFormat="1" ht="15.95" customHeight="1" thickTop="1">
      <c r="A505" s="7"/>
      <c r="B505" s="19" t="s">
        <v>146</v>
      </c>
      <c r="C505" s="12"/>
      <c r="D505" s="197"/>
      <c r="E505" s="197"/>
      <c r="F505" s="196"/>
      <c r="G505" s="197"/>
      <c r="H505" s="196"/>
      <c r="I505" s="196"/>
      <c r="J505" s="197"/>
      <c r="K505" s="197"/>
      <c r="L505" s="287" t="s">
        <v>34</v>
      </c>
      <c r="M505" s="196"/>
      <c r="N505" s="39" t="str">
        <f>J$6</f>
        <v>FY2010-11</v>
      </c>
      <c r="O505" s="39" t="s">
        <v>154</v>
      </c>
      <c r="P505" s="39" t="s">
        <v>147</v>
      </c>
      <c r="Q505" s="39"/>
      <c r="R505" s="197"/>
      <c r="S505" s="196" t="s">
        <v>611</v>
      </c>
      <c r="T505" s="197"/>
      <c r="U505" s="197"/>
      <c r="V505" s="198"/>
      <c r="W505" s="198"/>
      <c r="X505" s="198"/>
      <c r="Y505" s="198"/>
      <c r="Z505" s="198"/>
      <c r="AA505" s="198"/>
      <c r="AB505" s="198"/>
      <c r="AC505" s="198"/>
      <c r="AD505" s="198"/>
      <c r="AE505" s="198"/>
      <c r="AF505" s="198"/>
      <c r="AG505" s="198"/>
      <c r="AH505" s="6"/>
    </row>
    <row r="506" spans="1:34" s="3" customFormat="1" ht="15.95" customHeight="1">
      <c r="A506" s="7"/>
      <c r="B506" s="16">
        <f>DSUM('$REV-DB'!D35:AG67,"AMOUNT",D504:AG505)</f>
        <v>0</v>
      </c>
      <c r="C506" s="12"/>
      <c r="D506" s="880"/>
      <c r="E506" s="880"/>
      <c r="F506" s="880"/>
      <c r="G506" s="880"/>
      <c r="H506" s="880"/>
      <c r="I506" s="880"/>
      <c r="J506" s="880"/>
      <c r="K506" s="880"/>
      <c r="L506" s="881"/>
      <c r="M506" s="880"/>
      <c r="N506" s="873"/>
      <c r="O506" s="880"/>
      <c r="P506" s="873"/>
      <c r="Q506" s="884"/>
      <c r="R506" s="880"/>
      <c r="S506" s="880"/>
      <c r="T506" s="882"/>
      <c r="U506" s="882"/>
      <c r="V506" s="883"/>
      <c r="W506" s="883"/>
      <c r="X506" s="883"/>
      <c r="Y506" s="883"/>
      <c r="Z506" s="883"/>
      <c r="AA506" s="883"/>
      <c r="AB506" s="883"/>
      <c r="AC506" s="883"/>
      <c r="AD506" s="883"/>
      <c r="AE506" s="883"/>
      <c r="AF506" s="883"/>
      <c r="AG506" s="883"/>
      <c r="AH506" s="6"/>
    </row>
    <row r="507" spans="1:34" s="3" customFormat="1" ht="15.95" customHeight="1">
      <c r="A507" s="7"/>
      <c r="B507" s="10"/>
      <c r="C507" s="12"/>
      <c r="D507" s="880"/>
      <c r="E507" s="880"/>
      <c r="F507" s="880"/>
      <c r="G507" s="880"/>
      <c r="H507" s="880"/>
      <c r="I507" s="880"/>
      <c r="J507" s="880"/>
      <c r="K507" s="880"/>
      <c r="L507" s="881"/>
      <c r="M507" s="880"/>
      <c r="N507" s="873"/>
      <c r="O507" s="880"/>
      <c r="P507" s="873"/>
      <c r="Q507" s="884"/>
      <c r="R507" s="880"/>
      <c r="S507" s="880"/>
      <c r="T507" s="882"/>
      <c r="U507" s="882"/>
      <c r="V507" s="883"/>
      <c r="W507" s="883"/>
      <c r="X507" s="883"/>
      <c r="Y507" s="883"/>
      <c r="Z507" s="883"/>
      <c r="AA507" s="883"/>
      <c r="AB507" s="883"/>
      <c r="AC507" s="883"/>
      <c r="AD507" s="883"/>
      <c r="AE507" s="883"/>
      <c r="AF507" s="883"/>
      <c r="AG507" s="883"/>
    </row>
    <row r="508" spans="1:34" s="3" customFormat="1" ht="15.95" customHeight="1">
      <c r="A508" s="7"/>
      <c r="B508" s="10"/>
      <c r="C508" s="12"/>
      <c r="D508" s="880"/>
      <c r="E508" s="880"/>
      <c r="F508" s="880"/>
      <c r="G508" s="880"/>
      <c r="H508" s="880"/>
      <c r="I508" s="880"/>
      <c r="J508" s="880"/>
      <c r="K508" s="880"/>
      <c r="L508" s="881"/>
      <c r="M508" s="880"/>
      <c r="N508" s="873"/>
      <c r="O508" s="880"/>
      <c r="P508" s="873"/>
      <c r="Q508" s="884"/>
      <c r="R508" s="880"/>
      <c r="S508" s="880"/>
      <c r="T508" s="882"/>
      <c r="U508" s="882"/>
      <c r="V508" s="883"/>
      <c r="W508" s="883"/>
      <c r="X508" s="883"/>
      <c r="Y508" s="883"/>
      <c r="Z508" s="883"/>
      <c r="AA508" s="883"/>
      <c r="AB508" s="883"/>
      <c r="AC508" s="883"/>
      <c r="AD508" s="883"/>
      <c r="AE508" s="883"/>
      <c r="AF508" s="883"/>
      <c r="AG508" s="883"/>
    </row>
    <row r="509" spans="1:34" s="3" customFormat="1" ht="15.95" customHeight="1">
      <c r="A509" s="7"/>
      <c r="B509" s="10"/>
      <c r="C509" s="12"/>
      <c r="D509" s="880"/>
      <c r="E509" s="880"/>
      <c r="F509" s="880"/>
      <c r="G509" s="880"/>
      <c r="H509" s="880"/>
      <c r="I509" s="880"/>
      <c r="J509" s="880"/>
      <c r="K509" s="880"/>
      <c r="L509" s="881"/>
      <c r="M509" s="880"/>
      <c r="N509" s="873"/>
      <c r="O509" s="880"/>
      <c r="P509" s="873"/>
      <c r="Q509" s="884"/>
      <c r="R509" s="880"/>
      <c r="S509" s="880"/>
      <c r="T509" s="882"/>
      <c r="U509" s="882"/>
      <c r="V509" s="883"/>
      <c r="W509" s="883"/>
      <c r="X509" s="883"/>
      <c r="Y509" s="883"/>
      <c r="Z509" s="883"/>
      <c r="AA509" s="883"/>
      <c r="AB509" s="883"/>
      <c r="AC509" s="883"/>
      <c r="AD509" s="883"/>
      <c r="AE509" s="883"/>
      <c r="AF509" s="883"/>
      <c r="AG509" s="883"/>
    </row>
    <row r="510" spans="1:34" s="3" customFormat="1" ht="15.95" customHeight="1">
      <c r="A510" s="7"/>
      <c r="B510" s="10"/>
      <c r="C510" s="12"/>
      <c r="D510" s="880"/>
      <c r="E510" s="880"/>
      <c r="F510" s="880"/>
      <c r="G510" s="880"/>
      <c r="H510" s="880"/>
      <c r="I510" s="880"/>
      <c r="J510" s="880"/>
      <c r="K510" s="880"/>
      <c r="L510" s="881"/>
      <c r="M510" s="880"/>
      <c r="N510" s="873"/>
      <c r="O510" s="880"/>
      <c r="P510" s="873"/>
      <c r="Q510" s="884"/>
      <c r="R510" s="880"/>
      <c r="S510" s="880"/>
      <c r="T510" s="882"/>
      <c r="U510" s="882"/>
      <c r="V510" s="883"/>
      <c r="W510" s="883"/>
      <c r="X510" s="883"/>
      <c r="Y510" s="883"/>
      <c r="Z510" s="883"/>
      <c r="AA510" s="883"/>
      <c r="AB510" s="883"/>
      <c r="AC510" s="883"/>
      <c r="AD510" s="883"/>
      <c r="AE510" s="883"/>
      <c r="AF510" s="883"/>
      <c r="AG510" s="883"/>
    </row>
    <row r="511" spans="1:34" s="3" customFormat="1" ht="15.95" customHeight="1">
      <c r="A511" s="7"/>
      <c r="B511" s="10"/>
      <c r="C511" s="12"/>
      <c r="D511" s="880"/>
      <c r="E511" s="880"/>
      <c r="F511" s="880"/>
      <c r="G511" s="880"/>
      <c r="H511" s="880"/>
      <c r="I511" s="880"/>
      <c r="J511" s="880"/>
      <c r="K511" s="880"/>
      <c r="L511" s="881"/>
      <c r="M511" s="880"/>
      <c r="N511" s="873"/>
      <c r="O511" s="880"/>
      <c r="P511" s="873"/>
      <c r="Q511" s="884"/>
      <c r="R511" s="880"/>
      <c r="S511" s="880"/>
      <c r="T511" s="882"/>
      <c r="U511" s="882"/>
      <c r="V511" s="883"/>
      <c r="W511" s="883"/>
      <c r="X511" s="883"/>
      <c r="Y511" s="883"/>
      <c r="Z511" s="883"/>
      <c r="AA511" s="883"/>
      <c r="AB511" s="883"/>
      <c r="AC511" s="883"/>
      <c r="AD511" s="883"/>
      <c r="AE511" s="883"/>
      <c r="AF511" s="883"/>
      <c r="AG511" s="883"/>
    </row>
    <row r="512" spans="1:34" s="3" customFormat="1" ht="15.95" customHeight="1">
      <c r="A512" s="21"/>
      <c r="B512" s="22"/>
      <c r="C512" s="22"/>
      <c r="D512" s="23"/>
      <c r="E512" s="23"/>
      <c r="F512" s="24"/>
      <c r="G512" s="23"/>
      <c r="H512" s="24"/>
      <c r="I512" s="24"/>
      <c r="J512" s="23"/>
      <c r="K512" s="23"/>
      <c r="L512" s="286"/>
      <c r="M512" s="24"/>
      <c r="N512" s="24"/>
      <c r="O512" s="23"/>
      <c r="P512" s="24"/>
      <c r="Q512" s="24"/>
      <c r="R512" s="23"/>
      <c r="S512" s="24"/>
      <c r="T512" s="23"/>
      <c r="U512" s="23"/>
      <c r="V512" s="21"/>
      <c r="W512" s="21"/>
      <c r="X512" s="21"/>
      <c r="Y512" s="21"/>
      <c r="Z512" s="21"/>
      <c r="AA512" s="21"/>
      <c r="AB512" s="21"/>
      <c r="AC512" s="21"/>
      <c r="AD512" s="21"/>
      <c r="AE512" s="21"/>
      <c r="AF512" s="21"/>
      <c r="AG512" s="21"/>
    </row>
    <row r="513" spans="1:34" s="3" customFormat="1"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66"/>
      <c r="T513" s="867" t="str">
        <f>'$REV-DB'!$T$34</f>
        <v>UD1</v>
      </c>
      <c r="U513" s="867" t="str">
        <f>'$REV-DB'!$U$34</f>
        <v>UD2</v>
      </c>
      <c r="V513" s="867" t="str">
        <f>'$REV-DB'!$V$34</f>
        <v>UD3</v>
      </c>
      <c r="W513" s="867" t="str">
        <f>'$REV-DB'!$W$34</f>
        <v>UD4</v>
      </c>
      <c r="X513" s="867" t="str">
        <f>'$REV-DB'!$X$34</f>
        <v>UD5</v>
      </c>
      <c r="Y513" s="867" t="str">
        <f>'$REV-DB'!$Y$34</f>
        <v>UD6</v>
      </c>
      <c r="Z513" s="867" t="str">
        <f>'$REV-DB'!$Z$34</f>
        <v>UD7</v>
      </c>
      <c r="AA513" s="867" t="str">
        <f>'$REV-DB'!$AA$34</f>
        <v>UD8</v>
      </c>
      <c r="AB513" s="867" t="str">
        <f>'$REV-DB'!$AB$34</f>
        <v>UD9</v>
      </c>
      <c r="AC513" s="867" t="str">
        <f>'$REV-DB'!$AC$34</f>
        <v>UD10</v>
      </c>
      <c r="AD513" s="867" t="str">
        <f>'$REV-DB'!$AD$34</f>
        <v>UD11</v>
      </c>
      <c r="AE513" s="867" t="str">
        <f>'$REV-DB'!$AE$34</f>
        <v>UD12</v>
      </c>
      <c r="AF513" s="867" t="str">
        <f>'$REV-DB'!$AF$34</f>
        <v>UD13</v>
      </c>
      <c r="AG513" s="867" t="str">
        <f>'$REV-DB'!$AG$34</f>
        <v>UD14</v>
      </c>
    </row>
    <row r="514" spans="1:34" s="3" customFormat="1" ht="15.95" customHeight="1" thickTop="1" thickBot="1">
      <c r="A514" s="7"/>
      <c r="B514" s="20" t="s">
        <v>175</v>
      </c>
      <c r="C514" s="15"/>
      <c r="D514" s="861" t="s">
        <v>186</v>
      </c>
      <c r="E514" s="861" t="s">
        <v>187</v>
      </c>
      <c r="F514" s="861" t="s">
        <v>188</v>
      </c>
      <c r="G514" s="861" t="s">
        <v>189</v>
      </c>
      <c r="H514" s="861" t="s">
        <v>11</v>
      </c>
      <c r="I514" s="861" t="s">
        <v>190</v>
      </c>
      <c r="J514" s="861" t="s">
        <v>191</v>
      </c>
      <c r="K514" s="861" t="s">
        <v>192</v>
      </c>
      <c r="L514" s="861" t="s">
        <v>203</v>
      </c>
      <c r="M514" s="861" t="s">
        <v>42</v>
      </c>
      <c r="N514" s="861" t="s">
        <v>148</v>
      </c>
      <c r="O514" s="861" t="s">
        <v>193</v>
      </c>
      <c r="P514" s="861" t="s">
        <v>142</v>
      </c>
      <c r="Q514" s="861" t="s">
        <v>194</v>
      </c>
      <c r="R514" s="112" t="s">
        <v>141</v>
      </c>
      <c r="S514" s="112" t="s">
        <v>672</v>
      </c>
      <c r="T514" s="861" t="s">
        <v>541</v>
      </c>
      <c r="U514" s="861" t="s">
        <v>542</v>
      </c>
      <c r="V514" s="861" t="s">
        <v>543</v>
      </c>
      <c r="W514" s="861" t="s">
        <v>544</v>
      </c>
      <c r="X514" s="861" t="s">
        <v>545</v>
      </c>
      <c r="Y514" s="861" t="s">
        <v>546</v>
      </c>
      <c r="Z514" s="861" t="s">
        <v>547</v>
      </c>
      <c r="AA514" s="861" t="s">
        <v>548</v>
      </c>
      <c r="AB514" s="861" t="s">
        <v>549</v>
      </c>
      <c r="AC514" s="861" t="s">
        <v>550</v>
      </c>
      <c r="AD514" s="861" t="s">
        <v>551</v>
      </c>
      <c r="AE514" s="861" t="s">
        <v>552</v>
      </c>
      <c r="AF514" s="861" t="s">
        <v>553</v>
      </c>
      <c r="AG514" s="861" t="s">
        <v>554</v>
      </c>
      <c r="AH514" s="6"/>
    </row>
    <row r="515" spans="1:34" s="3" customFormat="1" ht="15.95" customHeight="1" thickTop="1">
      <c r="A515" s="7"/>
      <c r="B515" s="19" t="s">
        <v>145</v>
      </c>
      <c r="C515" s="12"/>
      <c r="D515" s="197"/>
      <c r="E515" s="197"/>
      <c r="F515" s="196"/>
      <c r="G515" s="197"/>
      <c r="H515" s="196"/>
      <c r="I515" s="196"/>
      <c r="J515" s="197"/>
      <c r="K515" s="197"/>
      <c r="L515" s="287" t="s">
        <v>34</v>
      </c>
      <c r="M515" s="196"/>
      <c r="N515" s="39" t="str">
        <f>J$6</f>
        <v>FY2010-11</v>
      </c>
      <c r="O515" s="39" t="s">
        <v>154</v>
      </c>
      <c r="P515" s="39" t="s">
        <v>147</v>
      </c>
      <c r="Q515" s="39" t="s">
        <v>180</v>
      </c>
      <c r="R515" s="197"/>
      <c r="S515" s="196" t="s">
        <v>611</v>
      </c>
      <c r="T515" s="197"/>
      <c r="U515" s="197"/>
      <c r="V515" s="198"/>
      <c r="W515" s="198"/>
      <c r="X515" s="198"/>
      <c r="Y515" s="198"/>
      <c r="Z515" s="198"/>
      <c r="AA515" s="198"/>
      <c r="AB515" s="198"/>
      <c r="AC515" s="198"/>
      <c r="AD515" s="198"/>
      <c r="AE515" s="198"/>
      <c r="AF515" s="198"/>
      <c r="AG515" s="198"/>
      <c r="AH515" s="6"/>
    </row>
    <row r="516" spans="1:34" s="3" customFormat="1" ht="15.95" customHeight="1">
      <c r="A516" s="7"/>
      <c r="B516" s="16">
        <f>DSUM('$REV-DB'!D35:AG67,"AMOUNT",D514:AG515)</f>
        <v>0</v>
      </c>
      <c r="C516" s="12"/>
      <c r="D516" s="880"/>
      <c r="E516" s="880"/>
      <c r="F516" s="880"/>
      <c r="G516" s="880"/>
      <c r="H516" s="880"/>
      <c r="I516" s="880"/>
      <c r="J516" s="880"/>
      <c r="K516" s="880"/>
      <c r="L516" s="881"/>
      <c r="M516" s="880"/>
      <c r="N516" s="873"/>
      <c r="O516" s="880"/>
      <c r="P516" s="873"/>
      <c r="Q516" s="884"/>
      <c r="R516" s="880"/>
      <c r="S516" s="880"/>
      <c r="T516" s="882"/>
      <c r="U516" s="882"/>
      <c r="V516" s="883"/>
      <c r="W516" s="883"/>
      <c r="X516" s="883"/>
      <c r="Y516" s="883"/>
      <c r="Z516" s="883"/>
      <c r="AA516" s="883"/>
      <c r="AB516" s="883"/>
      <c r="AC516" s="883"/>
      <c r="AD516" s="883"/>
      <c r="AE516" s="883"/>
      <c r="AF516" s="883"/>
      <c r="AG516" s="883"/>
      <c r="AH516" s="6"/>
    </row>
    <row r="517" spans="1:34" s="3" customFormat="1" ht="15.95" customHeight="1">
      <c r="A517" s="7"/>
      <c r="B517" s="10"/>
      <c r="C517" s="12"/>
      <c r="D517" s="880"/>
      <c r="E517" s="880"/>
      <c r="F517" s="880"/>
      <c r="G517" s="880"/>
      <c r="H517" s="880"/>
      <c r="I517" s="880"/>
      <c r="J517" s="880"/>
      <c r="K517" s="880"/>
      <c r="L517" s="881"/>
      <c r="M517" s="880"/>
      <c r="N517" s="873"/>
      <c r="O517" s="880"/>
      <c r="P517" s="873"/>
      <c r="Q517" s="884"/>
      <c r="R517" s="880"/>
      <c r="S517" s="880"/>
      <c r="T517" s="882"/>
      <c r="U517" s="882"/>
      <c r="V517" s="883"/>
      <c r="W517" s="883"/>
      <c r="X517" s="883"/>
      <c r="Y517" s="883"/>
      <c r="Z517" s="883"/>
      <c r="AA517" s="883"/>
      <c r="AB517" s="883"/>
      <c r="AC517" s="883"/>
      <c r="AD517" s="883"/>
      <c r="AE517" s="883"/>
      <c r="AF517" s="883"/>
      <c r="AG517" s="883"/>
    </row>
    <row r="518" spans="1:34" s="3" customFormat="1" ht="15.95" customHeight="1">
      <c r="A518" s="7"/>
      <c r="B518" s="10"/>
      <c r="C518" s="12"/>
      <c r="D518" s="880"/>
      <c r="E518" s="880"/>
      <c r="F518" s="880"/>
      <c r="G518" s="880"/>
      <c r="H518" s="880"/>
      <c r="I518" s="880"/>
      <c r="J518" s="880"/>
      <c r="K518" s="880"/>
      <c r="L518" s="881"/>
      <c r="M518" s="880"/>
      <c r="N518" s="873"/>
      <c r="O518" s="880"/>
      <c r="P518" s="873"/>
      <c r="Q518" s="884"/>
      <c r="R518" s="880"/>
      <c r="S518" s="880"/>
      <c r="T518" s="882"/>
      <c r="U518" s="882"/>
      <c r="V518" s="883"/>
      <c r="W518" s="883"/>
      <c r="X518" s="883"/>
      <c r="Y518" s="883"/>
      <c r="Z518" s="883"/>
      <c r="AA518" s="883"/>
      <c r="AB518" s="883"/>
      <c r="AC518" s="883"/>
      <c r="AD518" s="883"/>
      <c r="AE518" s="883"/>
      <c r="AF518" s="883"/>
      <c r="AG518" s="883"/>
    </row>
    <row r="519" spans="1:34" s="3" customFormat="1" ht="15.95" customHeight="1">
      <c r="A519" s="7"/>
      <c r="B519" s="10"/>
      <c r="C519" s="12"/>
      <c r="D519" s="880"/>
      <c r="E519" s="880"/>
      <c r="F519" s="880"/>
      <c r="G519" s="880"/>
      <c r="H519" s="880"/>
      <c r="I519" s="880"/>
      <c r="J519" s="880"/>
      <c r="K519" s="880"/>
      <c r="L519" s="881"/>
      <c r="M519" s="880"/>
      <c r="N519" s="873"/>
      <c r="O519" s="880"/>
      <c r="P519" s="873"/>
      <c r="Q519" s="884"/>
      <c r="R519" s="880"/>
      <c r="S519" s="880"/>
      <c r="T519" s="882"/>
      <c r="U519" s="882"/>
      <c r="V519" s="883"/>
      <c r="W519" s="883"/>
      <c r="X519" s="883"/>
      <c r="Y519" s="883"/>
      <c r="Z519" s="883"/>
      <c r="AA519" s="883"/>
      <c r="AB519" s="883"/>
      <c r="AC519" s="883"/>
      <c r="AD519" s="883"/>
      <c r="AE519" s="883"/>
      <c r="AF519" s="883"/>
      <c r="AG519" s="883"/>
    </row>
    <row r="520" spans="1:34" s="3" customFormat="1" ht="15.95" customHeight="1">
      <c r="A520" s="7"/>
      <c r="B520" s="10"/>
      <c r="C520" s="12"/>
      <c r="D520" s="880"/>
      <c r="E520" s="880"/>
      <c r="F520" s="880"/>
      <c r="G520" s="880"/>
      <c r="H520" s="880"/>
      <c r="I520" s="880"/>
      <c r="J520" s="880"/>
      <c r="K520" s="880"/>
      <c r="L520" s="881"/>
      <c r="M520" s="880"/>
      <c r="N520" s="873"/>
      <c r="O520" s="880"/>
      <c r="P520" s="873"/>
      <c r="Q520" s="884"/>
      <c r="R520" s="880"/>
      <c r="S520" s="880"/>
      <c r="T520" s="882"/>
      <c r="U520" s="882"/>
      <c r="V520" s="883"/>
      <c r="W520" s="883"/>
      <c r="X520" s="883"/>
      <c r="Y520" s="883"/>
      <c r="Z520" s="883"/>
      <c r="AA520" s="883"/>
      <c r="AB520" s="883"/>
      <c r="AC520" s="883"/>
      <c r="AD520" s="883"/>
      <c r="AE520" s="883"/>
      <c r="AF520" s="883"/>
      <c r="AG520" s="883"/>
    </row>
    <row r="521" spans="1:34" s="3" customFormat="1" ht="15.95" customHeight="1">
      <c r="A521" s="7"/>
      <c r="B521" s="10"/>
      <c r="C521" s="12"/>
      <c r="D521" s="880"/>
      <c r="E521" s="880"/>
      <c r="F521" s="880"/>
      <c r="G521" s="880"/>
      <c r="H521" s="880"/>
      <c r="I521" s="880"/>
      <c r="J521" s="880"/>
      <c r="K521" s="880"/>
      <c r="L521" s="881"/>
      <c r="M521" s="880"/>
      <c r="N521" s="873"/>
      <c r="O521" s="880"/>
      <c r="P521" s="873"/>
      <c r="Q521" s="884"/>
      <c r="R521" s="880"/>
      <c r="S521" s="880"/>
      <c r="T521" s="882"/>
      <c r="U521" s="882"/>
      <c r="V521" s="883"/>
      <c r="W521" s="883"/>
      <c r="X521" s="883"/>
      <c r="Y521" s="883"/>
      <c r="Z521" s="883"/>
      <c r="AA521" s="883"/>
      <c r="AB521" s="883"/>
      <c r="AC521" s="883"/>
      <c r="AD521" s="883"/>
      <c r="AE521" s="883"/>
      <c r="AF521" s="883"/>
      <c r="AG521" s="883"/>
    </row>
    <row r="522" spans="1:34" s="3" customFormat="1" ht="15.95" customHeight="1">
      <c r="A522" s="21"/>
      <c r="B522" s="22"/>
      <c r="C522" s="22"/>
      <c r="D522" s="23"/>
      <c r="E522" s="23"/>
      <c r="F522" s="24"/>
      <c r="G522" s="23"/>
      <c r="H522" s="24"/>
      <c r="I522" s="24"/>
      <c r="J522" s="23"/>
      <c r="K522" s="23"/>
      <c r="L522" s="286"/>
      <c r="M522" s="24"/>
      <c r="N522" s="24"/>
      <c r="O522" s="23"/>
      <c r="P522" s="24"/>
      <c r="Q522" s="24"/>
      <c r="R522" s="23"/>
      <c r="S522" s="24"/>
      <c r="T522" s="23"/>
      <c r="U522" s="23"/>
      <c r="V522" s="21"/>
      <c r="W522" s="21"/>
      <c r="X522" s="21"/>
      <c r="Y522" s="21"/>
      <c r="Z522" s="21"/>
      <c r="AA522" s="21"/>
      <c r="AB522" s="21"/>
      <c r="AC522" s="21"/>
      <c r="AD522" s="21"/>
      <c r="AE522" s="21"/>
      <c r="AF522" s="21"/>
      <c r="AG522" s="21"/>
    </row>
    <row r="523" spans="1:34" s="3" customFormat="1"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66"/>
      <c r="T523" s="867" t="str">
        <f>'$REV-DB'!$T$34</f>
        <v>UD1</v>
      </c>
      <c r="U523" s="867" t="str">
        <f>'$REV-DB'!$U$34</f>
        <v>UD2</v>
      </c>
      <c r="V523" s="867" t="str">
        <f>'$REV-DB'!$V$34</f>
        <v>UD3</v>
      </c>
      <c r="W523" s="867" t="str">
        <f>'$REV-DB'!$W$34</f>
        <v>UD4</v>
      </c>
      <c r="X523" s="867" t="str">
        <f>'$REV-DB'!$X$34</f>
        <v>UD5</v>
      </c>
      <c r="Y523" s="867" t="str">
        <f>'$REV-DB'!$Y$34</f>
        <v>UD6</v>
      </c>
      <c r="Z523" s="867" t="str">
        <f>'$REV-DB'!$Z$34</f>
        <v>UD7</v>
      </c>
      <c r="AA523" s="867" t="str">
        <f>'$REV-DB'!$AA$34</f>
        <v>UD8</v>
      </c>
      <c r="AB523" s="867" t="str">
        <f>'$REV-DB'!$AB$34</f>
        <v>UD9</v>
      </c>
      <c r="AC523" s="867" t="str">
        <f>'$REV-DB'!$AC$34</f>
        <v>UD10</v>
      </c>
      <c r="AD523" s="867" t="str">
        <f>'$REV-DB'!$AD$34</f>
        <v>UD11</v>
      </c>
      <c r="AE523" s="867" t="str">
        <f>'$REV-DB'!$AE$34</f>
        <v>UD12</v>
      </c>
      <c r="AF523" s="867" t="str">
        <f>'$REV-DB'!$AF$34</f>
        <v>UD13</v>
      </c>
      <c r="AG523" s="867" t="str">
        <f>'$REV-DB'!$AG$34</f>
        <v>UD14</v>
      </c>
    </row>
    <row r="524" spans="1:34" s="3" customFormat="1" ht="15.95" customHeight="1" thickTop="1" thickBot="1">
      <c r="A524" s="7"/>
      <c r="B524" s="20" t="s">
        <v>175</v>
      </c>
      <c r="C524" s="15"/>
      <c r="D524" s="861" t="s">
        <v>186</v>
      </c>
      <c r="E524" s="861" t="s">
        <v>187</v>
      </c>
      <c r="F524" s="861" t="s">
        <v>188</v>
      </c>
      <c r="G524" s="861" t="s">
        <v>189</v>
      </c>
      <c r="H524" s="861" t="s">
        <v>11</v>
      </c>
      <c r="I524" s="861" t="s">
        <v>190</v>
      </c>
      <c r="J524" s="861" t="s">
        <v>191</v>
      </c>
      <c r="K524" s="861" t="s">
        <v>192</v>
      </c>
      <c r="L524" s="861" t="s">
        <v>203</v>
      </c>
      <c r="M524" s="861" t="s">
        <v>42</v>
      </c>
      <c r="N524" s="861" t="s">
        <v>148</v>
      </c>
      <c r="O524" s="861" t="s">
        <v>193</v>
      </c>
      <c r="P524" s="861" t="s">
        <v>142</v>
      </c>
      <c r="Q524" s="861" t="s">
        <v>194</v>
      </c>
      <c r="R524" s="112" t="s">
        <v>141</v>
      </c>
      <c r="S524" s="112" t="s">
        <v>672</v>
      </c>
      <c r="T524" s="861" t="s">
        <v>541</v>
      </c>
      <c r="U524" s="861" t="s">
        <v>542</v>
      </c>
      <c r="V524" s="861" t="s">
        <v>543</v>
      </c>
      <c r="W524" s="861" t="s">
        <v>544</v>
      </c>
      <c r="X524" s="861" t="s">
        <v>545</v>
      </c>
      <c r="Y524" s="861" t="s">
        <v>546</v>
      </c>
      <c r="Z524" s="861" t="s">
        <v>547</v>
      </c>
      <c r="AA524" s="861" t="s">
        <v>548</v>
      </c>
      <c r="AB524" s="861" t="s">
        <v>549</v>
      </c>
      <c r="AC524" s="861" t="s">
        <v>550</v>
      </c>
      <c r="AD524" s="861" t="s">
        <v>551</v>
      </c>
      <c r="AE524" s="861" t="s">
        <v>552</v>
      </c>
      <c r="AF524" s="861" t="s">
        <v>553</v>
      </c>
      <c r="AG524" s="861" t="s">
        <v>554</v>
      </c>
      <c r="AH524" s="6"/>
    </row>
    <row r="525" spans="1:34" s="3" customFormat="1" ht="15.95" customHeight="1" thickTop="1">
      <c r="A525" s="7"/>
      <c r="B525" s="19" t="s">
        <v>144</v>
      </c>
      <c r="C525" s="12"/>
      <c r="D525" s="197"/>
      <c r="E525" s="197"/>
      <c r="F525" s="196"/>
      <c r="G525" s="197"/>
      <c r="H525" s="196"/>
      <c r="I525" s="196"/>
      <c r="J525" s="197"/>
      <c r="K525" s="197"/>
      <c r="L525" s="287" t="s">
        <v>34</v>
      </c>
      <c r="M525" s="196"/>
      <c r="N525" s="39" t="str">
        <f>J$6</f>
        <v>FY2010-11</v>
      </c>
      <c r="O525" s="39" t="s">
        <v>154</v>
      </c>
      <c r="P525" s="39" t="s">
        <v>147</v>
      </c>
      <c r="Q525" s="39" t="s">
        <v>139</v>
      </c>
      <c r="R525" s="197"/>
      <c r="S525" s="196" t="s">
        <v>611</v>
      </c>
      <c r="T525" s="197"/>
      <c r="U525" s="197"/>
      <c r="V525" s="198"/>
      <c r="W525" s="198"/>
      <c r="X525" s="198"/>
      <c r="Y525" s="198"/>
      <c r="Z525" s="198"/>
      <c r="AA525" s="198"/>
      <c r="AB525" s="198"/>
      <c r="AC525" s="198"/>
      <c r="AD525" s="198"/>
      <c r="AE525" s="198"/>
      <c r="AF525" s="198"/>
      <c r="AG525" s="198"/>
      <c r="AH525" s="6"/>
    </row>
    <row r="526" spans="1:34" s="3" customFormat="1" ht="15.95" customHeight="1">
      <c r="A526" s="7"/>
      <c r="B526" s="16">
        <f>DSUM('$REV-DB'!D35:AG67,"AMOUNT",D524:AG525)</f>
        <v>0</v>
      </c>
      <c r="C526" s="12"/>
      <c r="D526" s="880"/>
      <c r="E526" s="880"/>
      <c r="F526" s="880"/>
      <c r="G526" s="880"/>
      <c r="H526" s="880"/>
      <c r="I526" s="880"/>
      <c r="J526" s="880"/>
      <c r="K526" s="880"/>
      <c r="L526" s="881"/>
      <c r="M526" s="880"/>
      <c r="N526" s="873"/>
      <c r="O526" s="880"/>
      <c r="P526" s="873"/>
      <c r="Q526" s="884"/>
      <c r="R526" s="880"/>
      <c r="S526" s="880"/>
      <c r="T526" s="882"/>
      <c r="U526" s="882"/>
      <c r="V526" s="883"/>
      <c r="W526" s="883"/>
      <c r="X526" s="883"/>
      <c r="Y526" s="883"/>
      <c r="Z526" s="883"/>
      <c r="AA526" s="883"/>
      <c r="AB526" s="883"/>
      <c r="AC526" s="883"/>
      <c r="AD526" s="883"/>
      <c r="AE526" s="883"/>
      <c r="AF526" s="883"/>
      <c r="AG526" s="883"/>
      <c r="AH526" s="6"/>
    </row>
    <row r="527" spans="1:34" s="3" customFormat="1" ht="15.95" customHeight="1">
      <c r="A527" s="7"/>
      <c r="B527" s="10"/>
      <c r="C527" s="12"/>
      <c r="D527" s="880"/>
      <c r="E527" s="880"/>
      <c r="F527" s="880"/>
      <c r="G527" s="880"/>
      <c r="H527" s="880"/>
      <c r="I527" s="880"/>
      <c r="J527" s="880"/>
      <c r="K527" s="880"/>
      <c r="L527" s="881"/>
      <c r="M527" s="880"/>
      <c r="N527" s="873"/>
      <c r="O527" s="880"/>
      <c r="P527" s="873"/>
      <c r="Q527" s="884"/>
      <c r="R527" s="880"/>
      <c r="S527" s="880"/>
      <c r="T527" s="882"/>
      <c r="U527" s="882"/>
      <c r="V527" s="883"/>
      <c r="W527" s="883"/>
      <c r="X527" s="883"/>
      <c r="Y527" s="883"/>
      <c r="Z527" s="883"/>
      <c r="AA527" s="883"/>
      <c r="AB527" s="883"/>
      <c r="AC527" s="883"/>
      <c r="AD527" s="883"/>
      <c r="AE527" s="883"/>
      <c r="AF527" s="883"/>
      <c r="AG527" s="883"/>
    </row>
    <row r="528" spans="1:34" s="3" customFormat="1" ht="15.95" customHeight="1">
      <c r="A528" s="7"/>
      <c r="B528" s="10"/>
      <c r="C528" s="12"/>
      <c r="D528" s="880"/>
      <c r="E528" s="880"/>
      <c r="F528" s="880"/>
      <c r="G528" s="880"/>
      <c r="H528" s="880"/>
      <c r="I528" s="880"/>
      <c r="J528" s="880"/>
      <c r="K528" s="880"/>
      <c r="L528" s="881"/>
      <c r="M528" s="880"/>
      <c r="N528" s="873"/>
      <c r="O528" s="880"/>
      <c r="P528" s="873"/>
      <c r="Q528" s="884"/>
      <c r="R528" s="880"/>
      <c r="S528" s="880"/>
      <c r="T528" s="882"/>
      <c r="U528" s="882"/>
      <c r="V528" s="883"/>
      <c r="W528" s="883"/>
      <c r="X528" s="883"/>
      <c r="Y528" s="883"/>
      <c r="Z528" s="883"/>
      <c r="AA528" s="883"/>
      <c r="AB528" s="883"/>
      <c r="AC528" s="883"/>
      <c r="AD528" s="883"/>
      <c r="AE528" s="883"/>
      <c r="AF528" s="883"/>
      <c r="AG528" s="883"/>
    </row>
    <row r="529" spans="1:34" s="3" customFormat="1" ht="15.95" customHeight="1">
      <c r="A529" s="7"/>
      <c r="B529" s="10"/>
      <c r="C529" s="12"/>
      <c r="D529" s="880"/>
      <c r="E529" s="880"/>
      <c r="F529" s="880"/>
      <c r="G529" s="880"/>
      <c r="H529" s="880"/>
      <c r="I529" s="880"/>
      <c r="J529" s="880"/>
      <c r="K529" s="880"/>
      <c r="L529" s="881"/>
      <c r="M529" s="880"/>
      <c r="N529" s="873"/>
      <c r="O529" s="880"/>
      <c r="P529" s="873"/>
      <c r="Q529" s="884"/>
      <c r="R529" s="880"/>
      <c r="S529" s="880"/>
      <c r="T529" s="882"/>
      <c r="U529" s="882"/>
      <c r="V529" s="883"/>
      <c r="W529" s="883"/>
      <c r="X529" s="883"/>
      <c r="Y529" s="883"/>
      <c r="Z529" s="883"/>
      <c r="AA529" s="883"/>
      <c r="AB529" s="883"/>
      <c r="AC529" s="883"/>
      <c r="AD529" s="883"/>
      <c r="AE529" s="883"/>
      <c r="AF529" s="883"/>
      <c r="AG529" s="883"/>
    </row>
    <row r="530" spans="1:34" s="3" customFormat="1" ht="15.95" customHeight="1">
      <c r="A530" s="7"/>
      <c r="B530" s="10"/>
      <c r="C530" s="12"/>
      <c r="D530" s="880"/>
      <c r="E530" s="880"/>
      <c r="F530" s="880"/>
      <c r="G530" s="880"/>
      <c r="H530" s="880"/>
      <c r="I530" s="880"/>
      <c r="J530" s="880"/>
      <c r="K530" s="880"/>
      <c r="L530" s="881"/>
      <c r="M530" s="880"/>
      <c r="N530" s="873"/>
      <c r="O530" s="880"/>
      <c r="P530" s="873"/>
      <c r="Q530" s="884"/>
      <c r="R530" s="880"/>
      <c r="S530" s="880"/>
      <c r="T530" s="882"/>
      <c r="U530" s="882"/>
      <c r="V530" s="883"/>
      <c r="W530" s="883"/>
      <c r="X530" s="883"/>
      <c r="Y530" s="883"/>
      <c r="Z530" s="883"/>
      <c r="AA530" s="883"/>
      <c r="AB530" s="883"/>
      <c r="AC530" s="883"/>
      <c r="AD530" s="883"/>
      <c r="AE530" s="883"/>
      <c r="AF530" s="883"/>
      <c r="AG530" s="883"/>
    </row>
    <row r="531" spans="1:34" s="3" customFormat="1" ht="15.95" customHeight="1">
      <c r="A531" s="7"/>
      <c r="B531" s="10"/>
      <c r="C531" s="12"/>
      <c r="D531" s="880"/>
      <c r="E531" s="880"/>
      <c r="F531" s="880"/>
      <c r="G531" s="880"/>
      <c r="H531" s="880"/>
      <c r="I531" s="880"/>
      <c r="J531" s="880"/>
      <c r="K531" s="880"/>
      <c r="L531" s="881"/>
      <c r="M531" s="880"/>
      <c r="N531" s="873"/>
      <c r="O531" s="880"/>
      <c r="P531" s="873"/>
      <c r="Q531" s="884"/>
      <c r="R531" s="880"/>
      <c r="S531" s="880"/>
      <c r="T531" s="882"/>
      <c r="U531" s="882"/>
      <c r="V531" s="883"/>
      <c r="W531" s="883"/>
      <c r="X531" s="883"/>
      <c r="Y531" s="883"/>
      <c r="Z531" s="883"/>
      <c r="AA531" s="883"/>
      <c r="AB531" s="883"/>
      <c r="AC531" s="883"/>
      <c r="AD531" s="883"/>
      <c r="AE531" s="883"/>
      <c r="AF531" s="883"/>
      <c r="AG531" s="883"/>
    </row>
    <row r="532" spans="1:34" s="3" customFormat="1" ht="15.95" customHeight="1">
      <c r="A532" s="21"/>
      <c r="B532" s="22"/>
      <c r="C532" s="22"/>
      <c r="D532" s="23"/>
      <c r="E532" s="23"/>
      <c r="F532" s="24"/>
      <c r="G532" s="23"/>
      <c r="H532" s="24"/>
      <c r="I532" s="24"/>
      <c r="J532" s="23"/>
      <c r="K532" s="23"/>
      <c r="L532" s="286"/>
      <c r="M532" s="24"/>
      <c r="N532" s="24"/>
      <c r="O532" s="23"/>
      <c r="P532" s="24"/>
      <c r="Q532" s="24"/>
      <c r="R532" s="23"/>
      <c r="S532" s="24"/>
      <c r="T532" s="23"/>
      <c r="U532" s="23"/>
      <c r="V532" s="21"/>
      <c r="W532" s="21"/>
      <c r="X532" s="21"/>
      <c r="Y532" s="21"/>
      <c r="Z532" s="21"/>
      <c r="AA532" s="21"/>
      <c r="AB532" s="21"/>
      <c r="AC532" s="21"/>
      <c r="AD532" s="21"/>
      <c r="AE532" s="21"/>
      <c r="AF532" s="21"/>
      <c r="AG532" s="21"/>
    </row>
    <row r="533" spans="1:34" s="3" customFormat="1"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66"/>
      <c r="T533" s="867" t="str">
        <f>'$REV-DB'!$T$34</f>
        <v>UD1</v>
      </c>
      <c r="U533" s="867" t="str">
        <f>'$REV-DB'!$U$34</f>
        <v>UD2</v>
      </c>
      <c r="V533" s="867" t="str">
        <f>'$REV-DB'!$V$34</f>
        <v>UD3</v>
      </c>
      <c r="W533" s="867" t="str">
        <f>'$REV-DB'!$W$34</f>
        <v>UD4</v>
      </c>
      <c r="X533" s="867" t="str">
        <f>'$REV-DB'!$X$34</f>
        <v>UD5</v>
      </c>
      <c r="Y533" s="867" t="str">
        <f>'$REV-DB'!$Y$34</f>
        <v>UD6</v>
      </c>
      <c r="Z533" s="867" t="str">
        <f>'$REV-DB'!$Z$34</f>
        <v>UD7</v>
      </c>
      <c r="AA533" s="867" t="str">
        <f>'$REV-DB'!$AA$34</f>
        <v>UD8</v>
      </c>
      <c r="AB533" s="867" t="str">
        <f>'$REV-DB'!$AB$34</f>
        <v>UD9</v>
      </c>
      <c r="AC533" s="867" t="str">
        <f>'$REV-DB'!$AC$34</f>
        <v>UD10</v>
      </c>
      <c r="AD533" s="867" t="str">
        <f>'$REV-DB'!$AD$34</f>
        <v>UD11</v>
      </c>
      <c r="AE533" s="867" t="str">
        <f>'$REV-DB'!$AE$34</f>
        <v>UD12</v>
      </c>
      <c r="AF533" s="867" t="str">
        <f>'$REV-DB'!$AF$34</f>
        <v>UD13</v>
      </c>
      <c r="AG533" s="867" t="str">
        <f>'$REV-DB'!$AG$34</f>
        <v>UD14</v>
      </c>
    </row>
    <row r="534" spans="1:34" s="3" customFormat="1" ht="15.95" customHeight="1" thickTop="1" thickBot="1">
      <c r="A534" s="7"/>
      <c r="B534" s="20" t="s">
        <v>175</v>
      </c>
      <c r="C534" s="15"/>
      <c r="D534" s="861" t="s">
        <v>186</v>
      </c>
      <c r="E534" s="861" t="s">
        <v>187</v>
      </c>
      <c r="F534" s="861" t="s">
        <v>188</v>
      </c>
      <c r="G534" s="861" t="s">
        <v>189</v>
      </c>
      <c r="H534" s="861" t="s">
        <v>11</v>
      </c>
      <c r="I534" s="861" t="s">
        <v>190</v>
      </c>
      <c r="J534" s="861" t="s">
        <v>191</v>
      </c>
      <c r="K534" s="861" t="s">
        <v>192</v>
      </c>
      <c r="L534" s="861" t="s">
        <v>203</v>
      </c>
      <c r="M534" s="861" t="s">
        <v>42</v>
      </c>
      <c r="N534" s="861" t="s">
        <v>148</v>
      </c>
      <c r="O534" s="861" t="s">
        <v>193</v>
      </c>
      <c r="P534" s="861" t="s">
        <v>142</v>
      </c>
      <c r="Q534" s="861" t="s">
        <v>194</v>
      </c>
      <c r="R534" s="112" t="s">
        <v>141</v>
      </c>
      <c r="S534" s="112" t="s">
        <v>672</v>
      </c>
      <c r="T534" s="861" t="s">
        <v>541</v>
      </c>
      <c r="U534" s="861" t="s">
        <v>542</v>
      </c>
      <c r="V534" s="861" t="s">
        <v>543</v>
      </c>
      <c r="W534" s="861" t="s">
        <v>544</v>
      </c>
      <c r="X534" s="861" t="s">
        <v>545</v>
      </c>
      <c r="Y534" s="861" t="s">
        <v>546</v>
      </c>
      <c r="Z534" s="861" t="s">
        <v>547</v>
      </c>
      <c r="AA534" s="861" t="s">
        <v>548</v>
      </c>
      <c r="AB534" s="861" t="s">
        <v>549</v>
      </c>
      <c r="AC534" s="861" t="s">
        <v>550</v>
      </c>
      <c r="AD534" s="861" t="s">
        <v>551</v>
      </c>
      <c r="AE534" s="861" t="s">
        <v>552</v>
      </c>
      <c r="AF534" s="861" t="s">
        <v>553</v>
      </c>
      <c r="AG534" s="861" t="s">
        <v>554</v>
      </c>
      <c r="AH534" s="6"/>
    </row>
    <row r="535" spans="1:34" s="3" customFormat="1" ht="15.95" customHeight="1" thickTop="1">
      <c r="A535" s="7"/>
      <c r="B535" s="19" t="s">
        <v>143</v>
      </c>
      <c r="C535" s="12"/>
      <c r="D535" s="197"/>
      <c r="E535" s="197"/>
      <c r="F535" s="196"/>
      <c r="G535" s="197"/>
      <c r="H535" s="196"/>
      <c r="I535" s="196"/>
      <c r="J535" s="197"/>
      <c r="K535" s="197"/>
      <c r="L535" s="287" t="s">
        <v>34</v>
      </c>
      <c r="M535" s="196"/>
      <c r="N535" s="39" t="str">
        <f>J$6</f>
        <v>FY2010-11</v>
      </c>
      <c r="O535" s="39" t="s">
        <v>154</v>
      </c>
      <c r="P535" s="39" t="s">
        <v>147</v>
      </c>
      <c r="Q535" s="39" t="s">
        <v>179</v>
      </c>
      <c r="R535" s="197"/>
      <c r="S535" s="196" t="s">
        <v>611</v>
      </c>
      <c r="T535" s="197"/>
      <c r="U535" s="197"/>
      <c r="V535" s="198"/>
      <c r="W535" s="198"/>
      <c r="X535" s="198"/>
      <c r="Y535" s="198"/>
      <c r="Z535" s="198"/>
      <c r="AA535" s="198"/>
      <c r="AB535" s="198"/>
      <c r="AC535" s="198"/>
      <c r="AD535" s="198"/>
      <c r="AE535" s="198"/>
      <c r="AF535" s="198"/>
      <c r="AG535" s="198"/>
      <c r="AH535" s="6"/>
    </row>
    <row r="536" spans="1:34" s="3" customFormat="1" ht="15.95" customHeight="1">
      <c r="A536" s="7"/>
      <c r="B536" s="16">
        <f>DSUM('$REV-DB'!D35:AG67,"AMOUNT",D534:AG535)</f>
        <v>0</v>
      </c>
      <c r="C536" s="12"/>
      <c r="D536" s="880"/>
      <c r="E536" s="880"/>
      <c r="F536" s="880"/>
      <c r="G536" s="880"/>
      <c r="H536" s="880"/>
      <c r="I536" s="880"/>
      <c r="J536" s="880"/>
      <c r="K536" s="880"/>
      <c r="L536" s="881"/>
      <c r="M536" s="880"/>
      <c r="N536" s="873"/>
      <c r="O536" s="880"/>
      <c r="P536" s="873"/>
      <c r="Q536" s="884"/>
      <c r="R536" s="880"/>
      <c r="S536" s="880"/>
      <c r="T536" s="882"/>
      <c r="U536" s="882"/>
      <c r="V536" s="883"/>
      <c r="W536" s="883"/>
      <c r="X536" s="883"/>
      <c r="Y536" s="883"/>
      <c r="Z536" s="883"/>
      <c r="AA536" s="883"/>
      <c r="AB536" s="883"/>
      <c r="AC536" s="883"/>
      <c r="AD536" s="883"/>
      <c r="AE536" s="883"/>
      <c r="AF536" s="883"/>
      <c r="AG536" s="883"/>
      <c r="AH536" s="6"/>
    </row>
    <row r="537" spans="1:34" s="3" customFormat="1" ht="15.95" customHeight="1">
      <c r="A537" s="7"/>
      <c r="B537" s="10"/>
      <c r="C537" s="12"/>
      <c r="D537" s="880"/>
      <c r="E537" s="880"/>
      <c r="F537" s="880"/>
      <c r="G537" s="880"/>
      <c r="H537" s="880"/>
      <c r="I537" s="880"/>
      <c r="J537" s="880"/>
      <c r="K537" s="880"/>
      <c r="L537" s="881"/>
      <c r="M537" s="880"/>
      <c r="N537" s="873"/>
      <c r="O537" s="880"/>
      <c r="P537" s="873"/>
      <c r="Q537" s="884"/>
      <c r="R537" s="880"/>
      <c r="S537" s="880"/>
      <c r="T537" s="882"/>
      <c r="U537" s="882"/>
      <c r="V537" s="883"/>
      <c r="W537" s="883"/>
      <c r="X537" s="883"/>
      <c r="Y537" s="883"/>
      <c r="Z537" s="883"/>
      <c r="AA537" s="883"/>
      <c r="AB537" s="883"/>
      <c r="AC537" s="883"/>
      <c r="AD537" s="883"/>
      <c r="AE537" s="883"/>
      <c r="AF537" s="883"/>
      <c r="AG537" s="883"/>
    </row>
    <row r="538" spans="1:34" s="3" customFormat="1" ht="15.95" customHeight="1">
      <c r="A538" s="7"/>
      <c r="B538" s="10"/>
      <c r="C538" s="12"/>
      <c r="D538" s="880"/>
      <c r="E538" s="880"/>
      <c r="F538" s="880"/>
      <c r="G538" s="880"/>
      <c r="H538" s="880"/>
      <c r="I538" s="880"/>
      <c r="J538" s="880"/>
      <c r="K538" s="880"/>
      <c r="L538" s="881"/>
      <c r="M538" s="880"/>
      <c r="N538" s="873"/>
      <c r="O538" s="880"/>
      <c r="P538" s="873"/>
      <c r="Q538" s="884"/>
      <c r="R538" s="880"/>
      <c r="S538" s="880"/>
      <c r="T538" s="882"/>
      <c r="U538" s="882"/>
      <c r="V538" s="883"/>
      <c r="W538" s="883"/>
      <c r="X538" s="883"/>
      <c r="Y538" s="883"/>
      <c r="Z538" s="883"/>
      <c r="AA538" s="883"/>
      <c r="AB538" s="883"/>
      <c r="AC538" s="883"/>
      <c r="AD538" s="883"/>
      <c r="AE538" s="883"/>
      <c r="AF538" s="883"/>
      <c r="AG538" s="883"/>
    </row>
    <row r="539" spans="1:34" s="3" customFormat="1" ht="15.95" customHeight="1">
      <c r="A539" s="7"/>
      <c r="B539" s="10"/>
      <c r="C539" s="12"/>
      <c r="D539" s="880"/>
      <c r="E539" s="880"/>
      <c r="F539" s="880"/>
      <c r="G539" s="880"/>
      <c r="H539" s="880"/>
      <c r="I539" s="880"/>
      <c r="J539" s="880"/>
      <c r="K539" s="880"/>
      <c r="L539" s="881"/>
      <c r="M539" s="880"/>
      <c r="N539" s="873"/>
      <c r="O539" s="880"/>
      <c r="P539" s="873"/>
      <c r="Q539" s="884"/>
      <c r="R539" s="880"/>
      <c r="S539" s="880"/>
      <c r="T539" s="882"/>
      <c r="U539" s="882"/>
      <c r="V539" s="883"/>
      <c r="W539" s="883"/>
      <c r="X539" s="883"/>
      <c r="Y539" s="883"/>
      <c r="Z539" s="883"/>
      <c r="AA539" s="883"/>
      <c r="AB539" s="883"/>
      <c r="AC539" s="883"/>
      <c r="AD539" s="883"/>
      <c r="AE539" s="883"/>
      <c r="AF539" s="883"/>
      <c r="AG539" s="883"/>
    </row>
    <row r="540" spans="1:34" s="3" customFormat="1" ht="15.95" customHeight="1">
      <c r="A540" s="7"/>
      <c r="B540" s="10"/>
      <c r="C540" s="12"/>
      <c r="D540" s="880"/>
      <c r="E540" s="880"/>
      <c r="F540" s="880"/>
      <c r="G540" s="880"/>
      <c r="H540" s="880"/>
      <c r="I540" s="880"/>
      <c r="J540" s="880"/>
      <c r="K540" s="880"/>
      <c r="L540" s="881"/>
      <c r="M540" s="880"/>
      <c r="N540" s="873"/>
      <c r="O540" s="880"/>
      <c r="P540" s="873"/>
      <c r="Q540" s="884"/>
      <c r="R540" s="880"/>
      <c r="S540" s="880"/>
      <c r="T540" s="882"/>
      <c r="U540" s="882"/>
      <c r="V540" s="883"/>
      <c r="W540" s="883"/>
      <c r="X540" s="883"/>
      <c r="Y540" s="883"/>
      <c r="Z540" s="883"/>
      <c r="AA540" s="883"/>
      <c r="AB540" s="883"/>
      <c r="AC540" s="883"/>
      <c r="AD540" s="883"/>
      <c r="AE540" s="883"/>
      <c r="AF540" s="883"/>
      <c r="AG540" s="883"/>
    </row>
    <row r="541" spans="1:34" s="3" customFormat="1" ht="15.95" customHeight="1">
      <c r="A541" s="7"/>
      <c r="B541" s="10"/>
      <c r="C541" s="12"/>
      <c r="D541" s="880"/>
      <c r="E541" s="880"/>
      <c r="F541" s="880"/>
      <c r="G541" s="880"/>
      <c r="H541" s="880"/>
      <c r="I541" s="880"/>
      <c r="J541" s="880"/>
      <c r="K541" s="880"/>
      <c r="L541" s="881"/>
      <c r="M541" s="880"/>
      <c r="N541" s="873"/>
      <c r="O541" s="880"/>
      <c r="P541" s="873"/>
      <c r="Q541" s="884"/>
      <c r="R541" s="880"/>
      <c r="S541" s="880"/>
      <c r="T541" s="882"/>
      <c r="U541" s="882"/>
      <c r="V541" s="883"/>
      <c r="W541" s="883"/>
      <c r="X541" s="883"/>
      <c r="Y541" s="883"/>
      <c r="Z541" s="883"/>
      <c r="AA541" s="883"/>
      <c r="AB541" s="883"/>
      <c r="AC541" s="883"/>
      <c r="AD541" s="883"/>
      <c r="AE541" s="883"/>
      <c r="AF541" s="883"/>
      <c r="AG541" s="883"/>
    </row>
    <row r="542" spans="1:34" s="3" customFormat="1" ht="15.95" customHeight="1">
      <c r="A542" s="21"/>
      <c r="B542" s="22"/>
      <c r="C542" s="22"/>
      <c r="D542" s="23"/>
      <c r="E542" s="23"/>
      <c r="F542" s="24"/>
      <c r="G542" s="23"/>
      <c r="H542" s="24"/>
      <c r="I542" s="24"/>
      <c r="J542" s="23"/>
      <c r="K542" s="23"/>
      <c r="L542" s="286"/>
      <c r="M542" s="24"/>
      <c r="N542" s="24"/>
      <c r="O542" s="23"/>
      <c r="P542" s="24"/>
      <c r="Q542" s="24"/>
      <c r="R542" s="23"/>
      <c r="S542" s="24"/>
      <c r="T542" s="23"/>
      <c r="U542" s="23"/>
      <c r="V542" s="21"/>
      <c r="W542" s="21"/>
      <c r="X542" s="21"/>
      <c r="Y542" s="21"/>
      <c r="Z542" s="21"/>
      <c r="AA542" s="21"/>
      <c r="AB542" s="21"/>
      <c r="AC542" s="21"/>
      <c r="AD542" s="21"/>
      <c r="AE542" s="21"/>
      <c r="AF542" s="21"/>
      <c r="AG542" s="21"/>
    </row>
    <row r="543" spans="1:34" s="3" customFormat="1"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66"/>
      <c r="T543" s="867" t="str">
        <f>'$REV-DB'!$T$34</f>
        <v>UD1</v>
      </c>
      <c r="U543" s="867" t="str">
        <f>'$REV-DB'!$U$34</f>
        <v>UD2</v>
      </c>
      <c r="V543" s="867" t="str">
        <f>'$REV-DB'!$V$34</f>
        <v>UD3</v>
      </c>
      <c r="W543" s="867" t="str">
        <f>'$REV-DB'!$W$34</f>
        <v>UD4</v>
      </c>
      <c r="X543" s="867" t="str">
        <f>'$REV-DB'!$X$34</f>
        <v>UD5</v>
      </c>
      <c r="Y543" s="867" t="str">
        <f>'$REV-DB'!$Y$34</f>
        <v>UD6</v>
      </c>
      <c r="Z543" s="867" t="str">
        <f>'$REV-DB'!$Z$34</f>
        <v>UD7</v>
      </c>
      <c r="AA543" s="867" t="str">
        <f>'$REV-DB'!$AA$34</f>
        <v>UD8</v>
      </c>
      <c r="AB543" s="867" t="str">
        <f>'$REV-DB'!$AB$34</f>
        <v>UD9</v>
      </c>
      <c r="AC543" s="867" t="str">
        <f>'$REV-DB'!$AC$34</f>
        <v>UD10</v>
      </c>
      <c r="AD543" s="867" t="str">
        <f>'$REV-DB'!$AD$34</f>
        <v>UD11</v>
      </c>
      <c r="AE543" s="867" t="str">
        <f>'$REV-DB'!$AE$34</f>
        <v>UD12</v>
      </c>
      <c r="AF543" s="867" t="str">
        <f>'$REV-DB'!$AF$34</f>
        <v>UD13</v>
      </c>
      <c r="AG543" s="867" t="str">
        <f>'$REV-DB'!$AG$34</f>
        <v>UD14</v>
      </c>
    </row>
    <row r="544" spans="1:34" s="3" customFormat="1" ht="15.95" customHeight="1" thickTop="1" thickBot="1">
      <c r="A544" s="7"/>
      <c r="B544" s="20" t="s">
        <v>175</v>
      </c>
      <c r="C544" s="15"/>
      <c r="D544" s="861" t="s">
        <v>186</v>
      </c>
      <c r="E544" s="861" t="s">
        <v>187</v>
      </c>
      <c r="F544" s="861" t="s">
        <v>188</v>
      </c>
      <c r="G544" s="861" t="s">
        <v>189</v>
      </c>
      <c r="H544" s="861" t="s">
        <v>11</v>
      </c>
      <c r="I544" s="861" t="s">
        <v>190</v>
      </c>
      <c r="J544" s="861" t="s">
        <v>191</v>
      </c>
      <c r="K544" s="861" t="s">
        <v>192</v>
      </c>
      <c r="L544" s="861" t="s">
        <v>203</v>
      </c>
      <c r="M544" s="861" t="s">
        <v>42</v>
      </c>
      <c r="N544" s="861" t="s">
        <v>148</v>
      </c>
      <c r="O544" s="861" t="s">
        <v>193</v>
      </c>
      <c r="P544" s="861" t="s">
        <v>142</v>
      </c>
      <c r="Q544" s="861" t="s">
        <v>194</v>
      </c>
      <c r="R544" s="112" t="s">
        <v>141</v>
      </c>
      <c r="S544" s="112" t="s">
        <v>672</v>
      </c>
      <c r="T544" s="861" t="s">
        <v>541</v>
      </c>
      <c r="U544" s="861" t="s">
        <v>542</v>
      </c>
      <c r="V544" s="861" t="s">
        <v>543</v>
      </c>
      <c r="W544" s="861" t="s">
        <v>544</v>
      </c>
      <c r="X544" s="861" t="s">
        <v>545</v>
      </c>
      <c r="Y544" s="861" t="s">
        <v>546</v>
      </c>
      <c r="Z544" s="861" t="s">
        <v>547</v>
      </c>
      <c r="AA544" s="861" t="s">
        <v>548</v>
      </c>
      <c r="AB544" s="861" t="s">
        <v>549</v>
      </c>
      <c r="AC544" s="861" t="s">
        <v>550</v>
      </c>
      <c r="AD544" s="861" t="s">
        <v>551</v>
      </c>
      <c r="AE544" s="861" t="s">
        <v>552</v>
      </c>
      <c r="AF544" s="861" t="s">
        <v>553</v>
      </c>
      <c r="AG544" s="861" t="s">
        <v>554</v>
      </c>
      <c r="AH544" s="6"/>
    </row>
    <row r="545" spans="1:34" s="3" customFormat="1" ht="15.95" customHeight="1" thickTop="1">
      <c r="A545" s="7"/>
      <c r="B545" s="19" t="s">
        <v>149</v>
      </c>
      <c r="C545" s="12"/>
      <c r="D545" s="197"/>
      <c r="E545" s="197"/>
      <c r="F545" s="196"/>
      <c r="G545" s="197"/>
      <c r="H545" s="196"/>
      <c r="I545" s="196"/>
      <c r="J545" s="197"/>
      <c r="K545" s="197"/>
      <c r="L545" s="287" t="s">
        <v>34</v>
      </c>
      <c r="M545" s="196"/>
      <c r="N545" s="39" t="str">
        <f>J$6</f>
        <v>FY2010-11</v>
      </c>
      <c r="O545" s="39" t="s">
        <v>154</v>
      </c>
      <c r="P545" s="39" t="s">
        <v>147</v>
      </c>
      <c r="Q545" s="39" t="s">
        <v>2</v>
      </c>
      <c r="R545" s="197"/>
      <c r="S545" s="196" t="s">
        <v>611</v>
      </c>
      <c r="T545" s="197"/>
      <c r="U545" s="197"/>
      <c r="V545" s="198"/>
      <c r="W545" s="198"/>
      <c r="X545" s="198"/>
      <c r="Y545" s="198"/>
      <c r="Z545" s="198"/>
      <c r="AA545" s="198"/>
      <c r="AB545" s="198"/>
      <c r="AC545" s="198"/>
      <c r="AD545" s="198"/>
      <c r="AE545" s="198"/>
      <c r="AF545" s="198"/>
      <c r="AG545" s="198"/>
      <c r="AH545" s="6"/>
    </row>
    <row r="546" spans="1:34" s="3" customFormat="1" ht="15.95" customHeight="1">
      <c r="A546" s="7"/>
      <c r="B546" s="16">
        <f>DSUM('$REV-DB'!D35:AG67,"AMOUNT",D544:AG545)</f>
        <v>0</v>
      </c>
      <c r="C546" s="12"/>
      <c r="D546" s="880"/>
      <c r="E546" s="880"/>
      <c r="F546" s="880"/>
      <c r="G546" s="880"/>
      <c r="H546" s="880"/>
      <c r="I546" s="880"/>
      <c r="J546" s="880"/>
      <c r="K546" s="880"/>
      <c r="L546" s="881"/>
      <c r="M546" s="880"/>
      <c r="N546" s="873"/>
      <c r="O546" s="880"/>
      <c r="P546" s="873"/>
      <c r="Q546" s="884"/>
      <c r="R546" s="880"/>
      <c r="S546" s="880"/>
      <c r="T546" s="882"/>
      <c r="U546" s="882"/>
      <c r="V546" s="883"/>
      <c r="W546" s="883"/>
      <c r="X546" s="883"/>
      <c r="Y546" s="883"/>
      <c r="Z546" s="883"/>
      <c r="AA546" s="883"/>
      <c r="AB546" s="883"/>
      <c r="AC546" s="883"/>
      <c r="AD546" s="883"/>
      <c r="AE546" s="883"/>
      <c r="AF546" s="883"/>
      <c r="AG546" s="883"/>
      <c r="AH546" s="6"/>
    </row>
    <row r="547" spans="1:34" s="3" customFormat="1" ht="15.95" customHeight="1">
      <c r="A547" s="7"/>
      <c r="B547" s="10"/>
      <c r="C547" s="12"/>
      <c r="D547" s="880"/>
      <c r="E547" s="880"/>
      <c r="F547" s="880"/>
      <c r="G547" s="880"/>
      <c r="H547" s="880"/>
      <c r="I547" s="880"/>
      <c r="J547" s="880"/>
      <c r="K547" s="880"/>
      <c r="L547" s="881"/>
      <c r="M547" s="880"/>
      <c r="N547" s="873"/>
      <c r="O547" s="880"/>
      <c r="P547" s="873"/>
      <c r="Q547" s="884"/>
      <c r="R547" s="880"/>
      <c r="S547" s="880"/>
      <c r="T547" s="882"/>
      <c r="U547" s="882"/>
      <c r="V547" s="883"/>
      <c r="W547" s="883"/>
      <c r="X547" s="883"/>
      <c r="Y547" s="883"/>
      <c r="Z547" s="883"/>
      <c r="AA547" s="883"/>
      <c r="AB547" s="883"/>
      <c r="AC547" s="883"/>
      <c r="AD547" s="883"/>
      <c r="AE547" s="883"/>
      <c r="AF547" s="883"/>
      <c r="AG547" s="883"/>
    </row>
    <row r="548" spans="1:34" s="3" customFormat="1" ht="15.95" customHeight="1">
      <c r="A548" s="7"/>
      <c r="B548" s="10"/>
      <c r="C548" s="12"/>
      <c r="D548" s="880"/>
      <c r="E548" s="880"/>
      <c r="F548" s="880"/>
      <c r="G548" s="880"/>
      <c r="H548" s="880"/>
      <c r="I548" s="880"/>
      <c r="J548" s="880"/>
      <c r="K548" s="880"/>
      <c r="L548" s="881"/>
      <c r="M548" s="880"/>
      <c r="N548" s="873"/>
      <c r="O548" s="880"/>
      <c r="P548" s="873"/>
      <c r="Q548" s="884"/>
      <c r="R548" s="880"/>
      <c r="S548" s="880"/>
      <c r="T548" s="882"/>
      <c r="U548" s="882"/>
      <c r="V548" s="883"/>
      <c r="W548" s="883"/>
      <c r="X548" s="883"/>
      <c r="Y548" s="883"/>
      <c r="Z548" s="883"/>
      <c r="AA548" s="883"/>
      <c r="AB548" s="883"/>
      <c r="AC548" s="883"/>
      <c r="AD548" s="883"/>
      <c r="AE548" s="883"/>
      <c r="AF548" s="883"/>
      <c r="AG548" s="883"/>
    </row>
    <row r="549" spans="1:34" s="3" customFormat="1" ht="15.95" customHeight="1">
      <c r="A549" s="7"/>
      <c r="B549" s="10"/>
      <c r="C549" s="12"/>
      <c r="D549" s="880"/>
      <c r="E549" s="880"/>
      <c r="F549" s="880"/>
      <c r="G549" s="880"/>
      <c r="H549" s="880"/>
      <c r="I549" s="880"/>
      <c r="J549" s="880"/>
      <c r="K549" s="880"/>
      <c r="L549" s="881"/>
      <c r="M549" s="880"/>
      <c r="N549" s="873"/>
      <c r="O549" s="880"/>
      <c r="P549" s="873"/>
      <c r="Q549" s="884"/>
      <c r="R549" s="880"/>
      <c r="S549" s="880"/>
      <c r="T549" s="882"/>
      <c r="U549" s="882"/>
      <c r="V549" s="883"/>
      <c r="W549" s="883"/>
      <c r="X549" s="883"/>
      <c r="Y549" s="883"/>
      <c r="Z549" s="883"/>
      <c r="AA549" s="883"/>
      <c r="AB549" s="883"/>
      <c r="AC549" s="883"/>
      <c r="AD549" s="883"/>
      <c r="AE549" s="883"/>
      <c r="AF549" s="883"/>
      <c r="AG549" s="883"/>
    </row>
    <row r="550" spans="1:34" s="3" customFormat="1" ht="15.95" customHeight="1">
      <c r="A550" s="7"/>
      <c r="B550" s="10"/>
      <c r="C550" s="12"/>
      <c r="D550" s="880"/>
      <c r="E550" s="880"/>
      <c r="F550" s="880"/>
      <c r="G550" s="880"/>
      <c r="H550" s="880"/>
      <c r="I550" s="880"/>
      <c r="J550" s="880"/>
      <c r="K550" s="880"/>
      <c r="L550" s="881"/>
      <c r="M550" s="880"/>
      <c r="N550" s="873"/>
      <c r="O550" s="880"/>
      <c r="P550" s="873"/>
      <c r="Q550" s="884"/>
      <c r="R550" s="880"/>
      <c r="S550" s="880"/>
      <c r="T550" s="882"/>
      <c r="U550" s="882"/>
      <c r="V550" s="883"/>
      <c r="W550" s="883"/>
      <c r="X550" s="883"/>
      <c r="Y550" s="883"/>
      <c r="Z550" s="883"/>
      <c r="AA550" s="883"/>
      <c r="AB550" s="883"/>
      <c r="AC550" s="883"/>
      <c r="AD550" s="883"/>
      <c r="AE550" s="883"/>
      <c r="AF550" s="883"/>
      <c r="AG550" s="883"/>
    </row>
    <row r="551" spans="1:34" s="3" customFormat="1" ht="15.95" customHeight="1">
      <c r="A551" s="7"/>
      <c r="B551" s="10"/>
      <c r="C551" s="12"/>
      <c r="D551" s="880"/>
      <c r="E551" s="880"/>
      <c r="F551" s="880"/>
      <c r="G551" s="880"/>
      <c r="H551" s="880"/>
      <c r="I551" s="880"/>
      <c r="J551" s="880"/>
      <c r="K551" s="880"/>
      <c r="L551" s="881"/>
      <c r="M551" s="880"/>
      <c r="N551" s="873"/>
      <c r="O551" s="880"/>
      <c r="P551" s="873"/>
      <c r="Q551" s="884"/>
      <c r="R551" s="880"/>
      <c r="S551" s="880"/>
      <c r="T551" s="882"/>
      <c r="U551" s="882"/>
      <c r="V551" s="883"/>
      <c r="W551" s="883"/>
      <c r="X551" s="883"/>
      <c r="Y551" s="883"/>
      <c r="Z551" s="883"/>
      <c r="AA551" s="883"/>
      <c r="AB551" s="883"/>
      <c r="AC551" s="883"/>
      <c r="AD551" s="883"/>
      <c r="AE551" s="883"/>
      <c r="AF551" s="883"/>
      <c r="AG551" s="883"/>
    </row>
    <row r="552" spans="1:34" s="3" customFormat="1" ht="15.95" customHeight="1">
      <c r="A552" s="21"/>
      <c r="B552" s="22"/>
      <c r="C552" s="22"/>
      <c r="D552" s="23"/>
      <c r="E552" s="23"/>
      <c r="F552" s="24"/>
      <c r="G552" s="23"/>
      <c r="H552" s="24"/>
      <c r="I552" s="24"/>
      <c r="J552" s="23"/>
      <c r="K552" s="23"/>
      <c r="L552" s="286"/>
      <c r="M552" s="24"/>
      <c r="N552" s="24"/>
      <c r="O552" s="23"/>
      <c r="P552" s="24"/>
      <c r="Q552" s="24"/>
      <c r="R552" s="23"/>
      <c r="S552" s="24"/>
      <c r="T552" s="23"/>
      <c r="U552" s="23"/>
      <c r="V552" s="21"/>
      <c r="W552" s="21"/>
      <c r="X552" s="21"/>
      <c r="Y552" s="21"/>
      <c r="Z552" s="21"/>
      <c r="AA552" s="21"/>
      <c r="AB552" s="21"/>
      <c r="AC552" s="21"/>
      <c r="AD552" s="21"/>
      <c r="AE552" s="21"/>
      <c r="AF552" s="21"/>
      <c r="AG552" s="21"/>
    </row>
    <row r="553" spans="1:34" s="3" customFormat="1"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66"/>
      <c r="T553" s="867" t="str">
        <f>'$REV-DB'!$T$34</f>
        <v>UD1</v>
      </c>
      <c r="U553" s="867" t="str">
        <f>'$REV-DB'!$U$34</f>
        <v>UD2</v>
      </c>
      <c r="V553" s="867" t="str">
        <f>'$REV-DB'!$V$34</f>
        <v>UD3</v>
      </c>
      <c r="W553" s="867" t="str">
        <f>'$REV-DB'!$W$34</f>
        <v>UD4</v>
      </c>
      <c r="X553" s="867" t="str">
        <f>'$REV-DB'!$X$34</f>
        <v>UD5</v>
      </c>
      <c r="Y553" s="867" t="str">
        <f>'$REV-DB'!$Y$34</f>
        <v>UD6</v>
      </c>
      <c r="Z553" s="867" t="str">
        <f>'$REV-DB'!$Z$34</f>
        <v>UD7</v>
      </c>
      <c r="AA553" s="867" t="str">
        <f>'$REV-DB'!$AA$34</f>
        <v>UD8</v>
      </c>
      <c r="AB553" s="867" t="str">
        <f>'$REV-DB'!$AB$34</f>
        <v>UD9</v>
      </c>
      <c r="AC553" s="867" t="str">
        <f>'$REV-DB'!$AC$34</f>
        <v>UD10</v>
      </c>
      <c r="AD553" s="867" t="str">
        <f>'$REV-DB'!$AD$34</f>
        <v>UD11</v>
      </c>
      <c r="AE553" s="867" t="str">
        <f>'$REV-DB'!$AE$34</f>
        <v>UD12</v>
      </c>
      <c r="AF553" s="867" t="str">
        <f>'$REV-DB'!$AF$34</f>
        <v>UD13</v>
      </c>
      <c r="AG553" s="867" t="str">
        <f>'$REV-DB'!$AG$34</f>
        <v>UD14</v>
      </c>
    </row>
    <row r="554" spans="1:34" s="3" customFormat="1" ht="15.95" customHeight="1" thickTop="1" thickBot="1">
      <c r="A554" s="7"/>
      <c r="B554" s="20" t="s">
        <v>175</v>
      </c>
      <c r="C554" s="15"/>
      <c r="D554" s="861" t="s">
        <v>186</v>
      </c>
      <c r="E554" s="861" t="s">
        <v>187</v>
      </c>
      <c r="F554" s="861" t="s">
        <v>188</v>
      </c>
      <c r="G554" s="861" t="s">
        <v>189</v>
      </c>
      <c r="H554" s="861" t="s">
        <v>11</v>
      </c>
      <c r="I554" s="861" t="s">
        <v>190</v>
      </c>
      <c r="J554" s="861" t="s">
        <v>191</v>
      </c>
      <c r="K554" s="861" t="s">
        <v>192</v>
      </c>
      <c r="L554" s="861" t="s">
        <v>203</v>
      </c>
      <c r="M554" s="861" t="s">
        <v>42</v>
      </c>
      <c r="N554" s="861" t="s">
        <v>148</v>
      </c>
      <c r="O554" s="861" t="s">
        <v>193</v>
      </c>
      <c r="P554" s="861" t="s">
        <v>142</v>
      </c>
      <c r="Q554" s="861" t="s">
        <v>194</v>
      </c>
      <c r="R554" s="112" t="s">
        <v>141</v>
      </c>
      <c r="S554" s="112" t="s">
        <v>672</v>
      </c>
      <c r="T554" s="861" t="s">
        <v>541</v>
      </c>
      <c r="U554" s="861" t="s">
        <v>542</v>
      </c>
      <c r="V554" s="861" t="s">
        <v>543</v>
      </c>
      <c r="W554" s="861" t="s">
        <v>544</v>
      </c>
      <c r="X554" s="861" t="s">
        <v>545</v>
      </c>
      <c r="Y554" s="861" t="s">
        <v>546</v>
      </c>
      <c r="Z554" s="861" t="s">
        <v>547</v>
      </c>
      <c r="AA554" s="861" t="s">
        <v>548</v>
      </c>
      <c r="AB554" s="861" t="s">
        <v>549</v>
      </c>
      <c r="AC554" s="861" t="s">
        <v>550</v>
      </c>
      <c r="AD554" s="861" t="s">
        <v>551</v>
      </c>
      <c r="AE554" s="861" t="s">
        <v>552</v>
      </c>
      <c r="AF554" s="861" t="s">
        <v>553</v>
      </c>
      <c r="AG554" s="861" t="s">
        <v>554</v>
      </c>
      <c r="AH554" s="6"/>
    </row>
    <row r="555" spans="1:34" s="3" customFormat="1" ht="15.95" customHeight="1" thickTop="1">
      <c r="A555" s="7"/>
      <c r="B555" s="19" t="s">
        <v>364</v>
      </c>
      <c r="C555" s="12"/>
      <c r="D555" s="197"/>
      <c r="E555" s="197"/>
      <c r="F555" s="196"/>
      <c r="G555" s="197"/>
      <c r="H555" s="196"/>
      <c r="I555" s="196"/>
      <c r="J555" s="197"/>
      <c r="K555" s="197"/>
      <c r="L555" s="287" t="s">
        <v>34</v>
      </c>
      <c r="M555" s="196"/>
      <c r="N555" s="39" t="str">
        <f>J$6</f>
        <v>FY2010-11</v>
      </c>
      <c r="O555" s="39" t="s">
        <v>154</v>
      </c>
      <c r="P555" s="39" t="s">
        <v>147</v>
      </c>
      <c r="Q555" s="39" t="s">
        <v>70</v>
      </c>
      <c r="R555" s="197"/>
      <c r="S555" s="196" t="s">
        <v>611</v>
      </c>
      <c r="T555" s="197"/>
      <c r="U555" s="197"/>
      <c r="V555" s="198"/>
      <c r="W555" s="198"/>
      <c r="X555" s="198"/>
      <c r="Y555" s="198"/>
      <c r="Z555" s="198"/>
      <c r="AA555" s="198"/>
      <c r="AB555" s="198"/>
      <c r="AC555" s="198"/>
      <c r="AD555" s="198"/>
      <c r="AE555" s="198"/>
      <c r="AF555" s="198"/>
      <c r="AG555" s="198"/>
      <c r="AH555" s="6"/>
    </row>
    <row r="556" spans="1:34" s="3" customFormat="1" ht="15.95" customHeight="1">
      <c r="A556" s="7"/>
      <c r="B556" s="16">
        <f>DSUM('$REV-DB'!D35:AG67,"AMOUNT",D554:AG555)</f>
        <v>0</v>
      </c>
      <c r="C556" s="12"/>
      <c r="D556" s="880"/>
      <c r="E556" s="880"/>
      <c r="F556" s="880"/>
      <c r="G556" s="880"/>
      <c r="H556" s="880"/>
      <c r="I556" s="880"/>
      <c r="J556" s="880"/>
      <c r="K556" s="880"/>
      <c r="L556" s="881"/>
      <c r="M556" s="880"/>
      <c r="N556" s="873"/>
      <c r="O556" s="880"/>
      <c r="P556" s="873"/>
      <c r="Q556" s="884"/>
      <c r="R556" s="880"/>
      <c r="S556" s="880"/>
      <c r="T556" s="882"/>
      <c r="U556" s="882"/>
      <c r="V556" s="883"/>
      <c r="W556" s="883"/>
      <c r="X556" s="883"/>
      <c r="Y556" s="883"/>
      <c r="Z556" s="883"/>
      <c r="AA556" s="883"/>
      <c r="AB556" s="883"/>
      <c r="AC556" s="883"/>
      <c r="AD556" s="883"/>
      <c r="AE556" s="883"/>
      <c r="AF556" s="883"/>
      <c r="AG556" s="883"/>
      <c r="AH556" s="6"/>
    </row>
    <row r="557" spans="1:34" s="3" customFormat="1" ht="15.95" customHeight="1">
      <c r="A557" s="7"/>
      <c r="B557" s="10"/>
      <c r="C557" s="12"/>
      <c r="D557" s="880"/>
      <c r="E557" s="880"/>
      <c r="F557" s="880"/>
      <c r="G557" s="880"/>
      <c r="H557" s="880"/>
      <c r="I557" s="880"/>
      <c r="J557" s="880"/>
      <c r="K557" s="880"/>
      <c r="L557" s="881"/>
      <c r="M557" s="880"/>
      <c r="N557" s="873"/>
      <c r="O557" s="880"/>
      <c r="P557" s="873"/>
      <c r="Q557" s="884"/>
      <c r="R557" s="880"/>
      <c r="S557" s="880"/>
      <c r="T557" s="882"/>
      <c r="U557" s="882"/>
      <c r="V557" s="883"/>
      <c r="W557" s="883"/>
      <c r="X557" s="883"/>
      <c r="Y557" s="883"/>
      <c r="Z557" s="883"/>
      <c r="AA557" s="883"/>
      <c r="AB557" s="883"/>
      <c r="AC557" s="883"/>
      <c r="AD557" s="883"/>
      <c r="AE557" s="883"/>
      <c r="AF557" s="883"/>
      <c r="AG557" s="883"/>
    </row>
    <row r="558" spans="1:34" s="3" customFormat="1" ht="15.95" customHeight="1">
      <c r="A558" s="7"/>
      <c r="B558" s="10"/>
      <c r="C558" s="12"/>
      <c r="D558" s="880"/>
      <c r="E558" s="880"/>
      <c r="F558" s="880"/>
      <c r="G558" s="880"/>
      <c r="H558" s="880"/>
      <c r="I558" s="880"/>
      <c r="J558" s="880"/>
      <c r="K558" s="880"/>
      <c r="L558" s="881"/>
      <c r="M558" s="880"/>
      <c r="N558" s="873"/>
      <c r="O558" s="880"/>
      <c r="P558" s="873"/>
      <c r="Q558" s="884"/>
      <c r="R558" s="880"/>
      <c r="S558" s="880"/>
      <c r="T558" s="882"/>
      <c r="U558" s="882"/>
      <c r="V558" s="883"/>
      <c r="W558" s="883"/>
      <c r="X558" s="883"/>
      <c r="Y558" s="883"/>
      <c r="Z558" s="883"/>
      <c r="AA558" s="883"/>
      <c r="AB558" s="883"/>
      <c r="AC558" s="883"/>
      <c r="AD558" s="883"/>
      <c r="AE558" s="883"/>
      <c r="AF558" s="883"/>
      <c r="AG558" s="883"/>
    </row>
    <row r="559" spans="1:34" s="3" customFormat="1" ht="15.95" customHeight="1">
      <c r="A559" s="7"/>
      <c r="B559" s="10"/>
      <c r="C559" s="12"/>
      <c r="D559" s="880"/>
      <c r="E559" s="880"/>
      <c r="F559" s="880"/>
      <c r="G559" s="880"/>
      <c r="H559" s="880"/>
      <c r="I559" s="880"/>
      <c r="J559" s="880"/>
      <c r="K559" s="880"/>
      <c r="L559" s="881"/>
      <c r="M559" s="880"/>
      <c r="N559" s="873"/>
      <c r="O559" s="880"/>
      <c r="P559" s="873"/>
      <c r="Q559" s="884"/>
      <c r="R559" s="880"/>
      <c r="S559" s="880"/>
      <c r="T559" s="882"/>
      <c r="U559" s="882"/>
      <c r="V559" s="883"/>
      <c r="W559" s="883"/>
      <c r="X559" s="883"/>
      <c r="Y559" s="883"/>
      <c r="Z559" s="883"/>
      <c r="AA559" s="883"/>
      <c r="AB559" s="883"/>
      <c r="AC559" s="883"/>
      <c r="AD559" s="883"/>
      <c r="AE559" s="883"/>
      <c r="AF559" s="883"/>
      <c r="AG559" s="883"/>
    </row>
    <row r="560" spans="1:34" s="3" customFormat="1" ht="15.95" customHeight="1">
      <c r="A560" s="7"/>
      <c r="B560" s="10"/>
      <c r="C560" s="12"/>
      <c r="D560" s="880"/>
      <c r="E560" s="880"/>
      <c r="F560" s="880"/>
      <c r="G560" s="880"/>
      <c r="H560" s="880"/>
      <c r="I560" s="880"/>
      <c r="J560" s="880"/>
      <c r="K560" s="880"/>
      <c r="L560" s="881"/>
      <c r="M560" s="880"/>
      <c r="N560" s="873"/>
      <c r="O560" s="880"/>
      <c r="P560" s="873"/>
      <c r="Q560" s="884"/>
      <c r="R560" s="880"/>
      <c r="S560" s="880"/>
      <c r="T560" s="882"/>
      <c r="U560" s="882"/>
      <c r="V560" s="883"/>
      <c r="W560" s="883"/>
      <c r="X560" s="883"/>
      <c r="Y560" s="883"/>
      <c r="Z560" s="883"/>
      <c r="AA560" s="883"/>
      <c r="AB560" s="883"/>
      <c r="AC560" s="883"/>
      <c r="AD560" s="883"/>
      <c r="AE560" s="883"/>
      <c r="AF560" s="883"/>
      <c r="AG560" s="883"/>
    </row>
    <row r="561" spans="1:34" s="3" customFormat="1" ht="15.95" customHeight="1">
      <c r="A561" s="7"/>
      <c r="B561" s="10"/>
      <c r="C561" s="12"/>
      <c r="D561" s="880"/>
      <c r="E561" s="880"/>
      <c r="F561" s="880"/>
      <c r="G561" s="880"/>
      <c r="H561" s="880"/>
      <c r="I561" s="880"/>
      <c r="J561" s="880"/>
      <c r="K561" s="880"/>
      <c r="L561" s="881"/>
      <c r="M561" s="880"/>
      <c r="N561" s="873"/>
      <c r="O561" s="880"/>
      <c r="P561" s="873"/>
      <c r="Q561" s="884"/>
      <c r="R561" s="880"/>
      <c r="S561" s="880"/>
      <c r="T561" s="882"/>
      <c r="U561" s="882"/>
      <c r="V561" s="883"/>
      <c r="W561" s="883"/>
      <c r="X561" s="883"/>
      <c r="Y561" s="883"/>
      <c r="Z561" s="883"/>
      <c r="AA561" s="883"/>
      <c r="AB561" s="883"/>
      <c r="AC561" s="883"/>
      <c r="AD561" s="883"/>
      <c r="AE561" s="883"/>
      <c r="AF561" s="883"/>
      <c r="AG561" s="883"/>
    </row>
    <row r="562" spans="1:34" s="3" customFormat="1" ht="15.95" customHeight="1">
      <c r="A562" s="21"/>
      <c r="B562" s="22"/>
      <c r="C562" s="22"/>
      <c r="D562" s="23"/>
      <c r="E562" s="23"/>
      <c r="F562" s="24"/>
      <c r="G562" s="23"/>
      <c r="H562" s="24"/>
      <c r="I562" s="24"/>
      <c r="J562" s="23"/>
      <c r="K562" s="23"/>
      <c r="L562" s="286"/>
      <c r="M562" s="24"/>
      <c r="N562" s="24"/>
      <c r="O562" s="23"/>
      <c r="P562" s="24"/>
      <c r="Q562" s="24"/>
      <c r="R562" s="23"/>
      <c r="S562" s="24"/>
      <c r="T562" s="23"/>
      <c r="U562" s="23"/>
      <c r="V562" s="21"/>
      <c r="W562" s="21"/>
      <c r="X562" s="21"/>
      <c r="Y562" s="21"/>
      <c r="Z562" s="21"/>
      <c r="AA562" s="21"/>
      <c r="AB562" s="21"/>
      <c r="AC562" s="21"/>
      <c r="AD562" s="21"/>
      <c r="AE562" s="21"/>
      <c r="AF562" s="21"/>
      <c r="AG562" s="21"/>
    </row>
    <row r="563" spans="1:34" s="3" customFormat="1"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66"/>
      <c r="T563" s="867" t="str">
        <f>'$REV-DB'!$T$34</f>
        <v>UD1</v>
      </c>
      <c r="U563" s="867" t="str">
        <f>'$REV-DB'!$U$34</f>
        <v>UD2</v>
      </c>
      <c r="V563" s="867" t="str">
        <f>'$REV-DB'!$V$34</f>
        <v>UD3</v>
      </c>
      <c r="W563" s="867" t="str">
        <f>'$REV-DB'!$W$34</f>
        <v>UD4</v>
      </c>
      <c r="X563" s="867" t="str">
        <f>'$REV-DB'!$X$34</f>
        <v>UD5</v>
      </c>
      <c r="Y563" s="867" t="str">
        <f>'$REV-DB'!$Y$34</f>
        <v>UD6</v>
      </c>
      <c r="Z563" s="867" t="str">
        <f>'$REV-DB'!$Z$34</f>
        <v>UD7</v>
      </c>
      <c r="AA563" s="867" t="str">
        <f>'$REV-DB'!$AA$34</f>
        <v>UD8</v>
      </c>
      <c r="AB563" s="867" t="str">
        <f>'$REV-DB'!$AB$34</f>
        <v>UD9</v>
      </c>
      <c r="AC563" s="867" t="str">
        <f>'$REV-DB'!$AC$34</f>
        <v>UD10</v>
      </c>
      <c r="AD563" s="867" t="str">
        <f>'$REV-DB'!$AD$34</f>
        <v>UD11</v>
      </c>
      <c r="AE563" s="867" t="str">
        <f>'$REV-DB'!$AE$34</f>
        <v>UD12</v>
      </c>
      <c r="AF563" s="867" t="str">
        <f>'$REV-DB'!$AF$34</f>
        <v>UD13</v>
      </c>
      <c r="AG563" s="867" t="str">
        <f>'$REV-DB'!$AG$34</f>
        <v>UD14</v>
      </c>
    </row>
    <row r="564" spans="1:34" s="3" customFormat="1" ht="15.95" customHeight="1" thickTop="1" thickBot="1">
      <c r="A564" s="7"/>
      <c r="B564" s="20" t="s">
        <v>175</v>
      </c>
      <c r="C564" s="15"/>
      <c r="D564" s="861" t="s">
        <v>186</v>
      </c>
      <c r="E564" s="861" t="s">
        <v>187</v>
      </c>
      <c r="F564" s="861" t="s">
        <v>188</v>
      </c>
      <c r="G564" s="861" t="s">
        <v>189</v>
      </c>
      <c r="H564" s="861" t="s">
        <v>11</v>
      </c>
      <c r="I564" s="861" t="s">
        <v>190</v>
      </c>
      <c r="J564" s="861" t="s">
        <v>191</v>
      </c>
      <c r="K564" s="861" t="s">
        <v>192</v>
      </c>
      <c r="L564" s="861" t="s">
        <v>203</v>
      </c>
      <c r="M564" s="861" t="s">
        <v>42</v>
      </c>
      <c r="N564" s="861" t="s">
        <v>148</v>
      </c>
      <c r="O564" s="861" t="s">
        <v>193</v>
      </c>
      <c r="P564" s="861" t="s">
        <v>142</v>
      </c>
      <c r="Q564" s="861" t="s">
        <v>194</v>
      </c>
      <c r="R564" s="112" t="s">
        <v>141</v>
      </c>
      <c r="S564" s="112" t="s">
        <v>672</v>
      </c>
      <c r="T564" s="861" t="s">
        <v>541</v>
      </c>
      <c r="U564" s="861" t="s">
        <v>542</v>
      </c>
      <c r="V564" s="861" t="s">
        <v>543</v>
      </c>
      <c r="W564" s="861" t="s">
        <v>544</v>
      </c>
      <c r="X564" s="861" t="s">
        <v>545</v>
      </c>
      <c r="Y564" s="861" t="s">
        <v>546</v>
      </c>
      <c r="Z564" s="861" t="s">
        <v>547</v>
      </c>
      <c r="AA564" s="861" t="s">
        <v>548</v>
      </c>
      <c r="AB564" s="861" t="s">
        <v>549</v>
      </c>
      <c r="AC564" s="861" t="s">
        <v>550</v>
      </c>
      <c r="AD564" s="861" t="s">
        <v>551</v>
      </c>
      <c r="AE564" s="861" t="s">
        <v>552</v>
      </c>
      <c r="AF564" s="861" t="s">
        <v>553</v>
      </c>
      <c r="AG564" s="861" t="s">
        <v>554</v>
      </c>
      <c r="AH564" s="6"/>
    </row>
    <row r="565" spans="1:34" s="3" customFormat="1" ht="15.95" customHeight="1" thickTop="1">
      <c r="A565" s="7"/>
      <c r="B565" s="19" t="s">
        <v>150</v>
      </c>
      <c r="C565" s="12"/>
      <c r="D565" s="197"/>
      <c r="E565" s="197"/>
      <c r="F565" s="196"/>
      <c r="G565" s="197"/>
      <c r="H565" s="196"/>
      <c r="I565" s="196"/>
      <c r="J565" s="197"/>
      <c r="K565" s="197"/>
      <c r="L565" s="287" t="s">
        <v>34</v>
      </c>
      <c r="M565" s="196"/>
      <c r="N565" s="39" t="str">
        <f>J$6</f>
        <v>FY2010-11</v>
      </c>
      <c r="O565" s="39" t="s">
        <v>154</v>
      </c>
      <c r="P565" s="39" t="s">
        <v>147</v>
      </c>
      <c r="Q565" s="39" t="s">
        <v>140</v>
      </c>
      <c r="R565" s="197"/>
      <c r="S565" s="196" t="s">
        <v>611</v>
      </c>
      <c r="T565" s="197"/>
      <c r="U565" s="197"/>
      <c r="V565" s="198"/>
      <c r="W565" s="198"/>
      <c r="X565" s="198"/>
      <c r="Y565" s="198"/>
      <c r="Z565" s="198"/>
      <c r="AA565" s="198"/>
      <c r="AB565" s="198"/>
      <c r="AC565" s="198"/>
      <c r="AD565" s="198"/>
      <c r="AE565" s="198"/>
      <c r="AF565" s="198"/>
      <c r="AG565" s="198"/>
      <c r="AH565" s="6"/>
    </row>
    <row r="566" spans="1:34" s="3" customFormat="1" ht="15.95" customHeight="1">
      <c r="A566" s="7"/>
      <c r="B566" s="16">
        <f>DSUM('$REV-DB'!D35:AG67,"AMOUNT",D564:AG565)</f>
        <v>0</v>
      </c>
      <c r="C566" s="12"/>
      <c r="D566" s="880"/>
      <c r="E566" s="880"/>
      <c r="F566" s="880"/>
      <c r="G566" s="880"/>
      <c r="H566" s="880"/>
      <c r="I566" s="880"/>
      <c r="J566" s="880"/>
      <c r="K566" s="880"/>
      <c r="L566" s="881"/>
      <c r="M566" s="880"/>
      <c r="N566" s="873"/>
      <c r="O566" s="880"/>
      <c r="P566" s="873"/>
      <c r="Q566" s="884"/>
      <c r="R566" s="880"/>
      <c r="S566" s="880"/>
      <c r="T566" s="882"/>
      <c r="U566" s="882"/>
      <c r="V566" s="883"/>
      <c r="W566" s="883"/>
      <c r="X566" s="883"/>
      <c r="Y566" s="883"/>
      <c r="Z566" s="883"/>
      <c r="AA566" s="883"/>
      <c r="AB566" s="883"/>
      <c r="AC566" s="883"/>
      <c r="AD566" s="883"/>
      <c r="AE566" s="883"/>
      <c r="AF566" s="883"/>
      <c r="AG566" s="883"/>
      <c r="AH566" s="6"/>
    </row>
    <row r="567" spans="1:34" s="3" customFormat="1" ht="15.95" customHeight="1">
      <c r="A567" s="7"/>
      <c r="B567" s="10"/>
      <c r="C567" s="12"/>
      <c r="D567" s="880"/>
      <c r="E567" s="880"/>
      <c r="F567" s="880"/>
      <c r="G567" s="880"/>
      <c r="H567" s="880"/>
      <c r="I567" s="880"/>
      <c r="J567" s="880"/>
      <c r="K567" s="880"/>
      <c r="L567" s="881"/>
      <c r="M567" s="880"/>
      <c r="N567" s="873"/>
      <c r="O567" s="880"/>
      <c r="P567" s="873"/>
      <c r="Q567" s="884"/>
      <c r="R567" s="880"/>
      <c r="S567" s="880"/>
      <c r="T567" s="882"/>
      <c r="U567" s="882"/>
      <c r="V567" s="883"/>
      <c r="W567" s="883"/>
      <c r="X567" s="883"/>
      <c r="Y567" s="883"/>
      <c r="Z567" s="883"/>
      <c r="AA567" s="883"/>
      <c r="AB567" s="883"/>
      <c r="AC567" s="883"/>
      <c r="AD567" s="883"/>
      <c r="AE567" s="883"/>
      <c r="AF567" s="883"/>
      <c r="AG567" s="883"/>
    </row>
    <row r="568" spans="1:34" s="3" customFormat="1" ht="15.95" customHeight="1">
      <c r="A568" s="7"/>
      <c r="B568" s="10"/>
      <c r="C568" s="12"/>
      <c r="D568" s="880"/>
      <c r="E568" s="880"/>
      <c r="F568" s="880"/>
      <c r="G568" s="880"/>
      <c r="H568" s="880"/>
      <c r="I568" s="880"/>
      <c r="J568" s="880"/>
      <c r="K568" s="880"/>
      <c r="L568" s="881"/>
      <c r="M568" s="880"/>
      <c r="N568" s="873"/>
      <c r="O568" s="880"/>
      <c r="P568" s="873"/>
      <c r="Q568" s="884"/>
      <c r="R568" s="880"/>
      <c r="S568" s="880"/>
      <c r="T568" s="882"/>
      <c r="U568" s="882"/>
      <c r="V568" s="883"/>
      <c r="W568" s="883"/>
      <c r="X568" s="883"/>
      <c r="Y568" s="883"/>
      <c r="Z568" s="883"/>
      <c r="AA568" s="883"/>
      <c r="AB568" s="883"/>
      <c r="AC568" s="883"/>
      <c r="AD568" s="883"/>
      <c r="AE568" s="883"/>
      <c r="AF568" s="883"/>
      <c r="AG568" s="883"/>
    </row>
    <row r="569" spans="1:34" s="3" customFormat="1" ht="15.95" customHeight="1">
      <c r="A569" s="7"/>
      <c r="B569" s="10"/>
      <c r="C569" s="12"/>
      <c r="D569" s="880"/>
      <c r="E569" s="880"/>
      <c r="F569" s="880"/>
      <c r="G569" s="880"/>
      <c r="H569" s="880"/>
      <c r="I569" s="880"/>
      <c r="J569" s="880"/>
      <c r="K569" s="880"/>
      <c r="L569" s="881"/>
      <c r="M569" s="880"/>
      <c r="N569" s="873"/>
      <c r="O569" s="880"/>
      <c r="P569" s="873"/>
      <c r="Q569" s="884"/>
      <c r="R569" s="880"/>
      <c r="S569" s="880"/>
      <c r="T569" s="882"/>
      <c r="U569" s="882"/>
      <c r="V569" s="883"/>
      <c r="W569" s="883"/>
      <c r="X569" s="883"/>
      <c r="Y569" s="883"/>
      <c r="Z569" s="883"/>
      <c r="AA569" s="883"/>
      <c r="AB569" s="883"/>
      <c r="AC569" s="883"/>
      <c r="AD569" s="883"/>
      <c r="AE569" s="883"/>
      <c r="AF569" s="883"/>
      <c r="AG569" s="883"/>
    </row>
    <row r="570" spans="1:34" s="3" customFormat="1" ht="15.95" customHeight="1">
      <c r="A570" s="7"/>
      <c r="B570" s="10"/>
      <c r="C570" s="12"/>
      <c r="D570" s="880"/>
      <c r="E570" s="880"/>
      <c r="F570" s="880"/>
      <c r="G570" s="880"/>
      <c r="H570" s="880"/>
      <c r="I570" s="880"/>
      <c r="J570" s="880"/>
      <c r="K570" s="880"/>
      <c r="L570" s="881"/>
      <c r="M570" s="880"/>
      <c r="N570" s="873"/>
      <c r="O570" s="880"/>
      <c r="P570" s="873"/>
      <c r="Q570" s="884"/>
      <c r="R570" s="880"/>
      <c r="S570" s="880"/>
      <c r="T570" s="882"/>
      <c r="U570" s="882"/>
      <c r="V570" s="883"/>
      <c r="W570" s="883"/>
      <c r="X570" s="883"/>
      <c r="Y570" s="883"/>
      <c r="Z570" s="883"/>
      <c r="AA570" s="883"/>
      <c r="AB570" s="883"/>
      <c r="AC570" s="883"/>
      <c r="AD570" s="883"/>
      <c r="AE570" s="883"/>
      <c r="AF570" s="883"/>
      <c r="AG570" s="883"/>
    </row>
    <row r="571" spans="1:34" s="3" customFormat="1" ht="15.95" customHeight="1">
      <c r="A571" s="7"/>
      <c r="B571" s="10"/>
      <c r="C571" s="12"/>
      <c r="D571" s="880"/>
      <c r="E571" s="880"/>
      <c r="F571" s="880"/>
      <c r="G571" s="880"/>
      <c r="H571" s="880"/>
      <c r="I571" s="880"/>
      <c r="J571" s="880"/>
      <c r="K571" s="880"/>
      <c r="L571" s="881"/>
      <c r="M571" s="880"/>
      <c r="N571" s="873"/>
      <c r="O571" s="880"/>
      <c r="P571" s="873"/>
      <c r="Q571" s="884"/>
      <c r="R571" s="880"/>
      <c r="S571" s="880"/>
      <c r="T571" s="882"/>
      <c r="U571" s="882"/>
      <c r="V571" s="883"/>
      <c r="W571" s="883"/>
      <c r="X571" s="883"/>
      <c r="Y571" s="883"/>
      <c r="Z571" s="883"/>
      <c r="AA571" s="883"/>
      <c r="AB571" s="883"/>
      <c r="AC571" s="883"/>
      <c r="AD571" s="883"/>
      <c r="AE571" s="883"/>
      <c r="AF571" s="883"/>
      <c r="AG571" s="883"/>
    </row>
    <row r="572" spans="1:34" s="3" customFormat="1" ht="15.95" customHeight="1">
      <c r="A572" s="36"/>
      <c r="B572" s="33"/>
      <c r="C572" s="33"/>
      <c r="D572" s="34"/>
      <c r="E572" s="34"/>
      <c r="F572" s="35"/>
      <c r="G572" s="34"/>
      <c r="H572" s="35"/>
      <c r="I572" s="35"/>
      <c r="J572" s="34"/>
      <c r="K572" s="34"/>
      <c r="L572" s="288"/>
      <c r="M572" s="35"/>
      <c r="N572" s="35"/>
      <c r="O572" s="34"/>
      <c r="P572" s="35"/>
      <c r="Q572" s="35"/>
      <c r="R572" s="34"/>
      <c r="S572" s="35"/>
      <c r="T572" s="34"/>
      <c r="U572" s="34"/>
      <c r="V572" s="36"/>
      <c r="W572" s="36"/>
      <c r="X572" s="36"/>
      <c r="Y572" s="36"/>
      <c r="Z572" s="36"/>
      <c r="AA572" s="36"/>
      <c r="AB572" s="36"/>
      <c r="AC572" s="36"/>
      <c r="AD572" s="36"/>
      <c r="AE572" s="36"/>
      <c r="AF572" s="36"/>
      <c r="AG572" s="36"/>
    </row>
    <row r="573" spans="1:34" s="3" customFormat="1"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66"/>
      <c r="T573" s="867" t="str">
        <f>'$REV-DB'!$T$34</f>
        <v>UD1</v>
      </c>
      <c r="U573" s="867" t="str">
        <f>'$REV-DB'!$U$34</f>
        <v>UD2</v>
      </c>
      <c r="V573" s="867" t="str">
        <f>'$REV-DB'!$V$34</f>
        <v>UD3</v>
      </c>
      <c r="W573" s="867" t="str">
        <f>'$REV-DB'!$W$34</f>
        <v>UD4</v>
      </c>
      <c r="X573" s="867" t="str">
        <f>'$REV-DB'!$X$34</f>
        <v>UD5</v>
      </c>
      <c r="Y573" s="867" t="str">
        <f>'$REV-DB'!$Y$34</f>
        <v>UD6</v>
      </c>
      <c r="Z573" s="867" t="str">
        <f>'$REV-DB'!$Z$34</f>
        <v>UD7</v>
      </c>
      <c r="AA573" s="867" t="str">
        <f>'$REV-DB'!$AA$34</f>
        <v>UD8</v>
      </c>
      <c r="AB573" s="867" t="str">
        <f>'$REV-DB'!$AB$34</f>
        <v>UD9</v>
      </c>
      <c r="AC573" s="867" t="str">
        <f>'$REV-DB'!$AC$34</f>
        <v>UD10</v>
      </c>
      <c r="AD573" s="867" t="str">
        <f>'$REV-DB'!$AD$34</f>
        <v>UD11</v>
      </c>
      <c r="AE573" s="867" t="str">
        <f>'$REV-DB'!$AE$34</f>
        <v>UD12</v>
      </c>
      <c r="AF573" s="867" t="str">
        <f>'$REV-DB'!$AF$34</f>
        <v>UD13</v>
      </c>
      <c r="AG573" s="867" t="str">
        <f>'$REV-DB'!$AG$34</f>
        <v>UD14</v>
      </c>
    </row>
    <row r="574" spans="1:34" s="3" customFormat="1" ht="15.95" customHeight="1" thickTop="1" thickBot="1">
      <c r="A574" s="7"/>
      <c r="B574" s="20" t="s">
        <v>4</v>
      </c>
      <c r="C574" s="15"/>
      <c r="D574" s="861" t="s">
        <v>186</v>
      </c>
      <c r="E574" s="861" t="s">
        <v>187</v>
      </c>
      <c r="F574" s="861" t="s">
        <v>188</v>
      </c>
      <c r="G574" s="861" t="s">
        <v>189</v>
      </c>
      <c r="H574" s="861" t="s">
        <v>11</v>
      </c>
      <c r="I574" s="861" t="s">
        <v>190</v>
      </c>
      <c r="J574" s="861" t="s">
        <v>191</v>
      </c>
      <c r="K574" s="861" t="s">
        <v>192</v>
      </c>
      <c r="L574" s="861" t="s">
        <v>203</v>
      </c>
      <c r="M574" s="861" t="s">
        <v>42</v>
      </c>
      <c r="N574" s="861" t="s">
        <v>148</v>
      </c>
      <c r="O574" s="861" t="s">
        <v>193</v>
      </c>
      <c r="P574" s="861" t="s">
        <v>142</v>
      </c>
      <c r="Q574" s="861" t="s">
        <v>194</v>
      </c>
      <c r="R574" s="112" t="s">
        <v>141</v>
      </c>
      <c r="S574" s="112" t="s">
        <v>672</v>
      </c>
      <c r="T574" s="861" t="s">
        <v>541</v>
      </c>
      <c r="U574" s="861" t="s">
        <v>542</v>
      </c>
      <c r="V574" s="861" t="s">
        <v>543</v>
      </c>
      <c r="W574" s="861" t="s">
        <v>544</v>
      </c>
      <c r="X574" s="861" t="s">
        <v>545</v>
      </c>
      <c r="Y574" s="861" t="s">
        <v>546</v>
      </c>
      <c r="Z574" s="861" t="s">
        <v>547</v>
      </c>
      <c r="AA574" s="861" t="s">
        <v>548</v>
      </c>
      <c r="AB574" s="861" t="s">
        <v>549</v>
      </c>
      <c r="AC574" s="861" t="s">
        <v>550</v>
      </c>
      <c r="AD574" s="861" t="s">
        <v>551</v>
      </c>
      <c r="AE574" s="861" t="s">
        <v>552</v>
      </c>
      <c r="AF574" s="861" t="s">
        <v>553</v>
      </c>
      <c r="AG574" s="861" t="s">
        <v>554</v>
      </c>
      <c r="AH574" s="6"/>
    </row>
    <row r="575" spans="1:34" s="3" customFormat="1" ht="15.95" customHeight="1" thickTop="1">
      <c r="A575" s="7"/>
      <c r="B575" s="19" t="s">
        <v>146</v>
      </c>
      <c r="C575" s="12"/>
      <c r="D575" s="199"/>
      <c r="E575" s="199"/>
      <c r="F575" s="199"/>
      <c r="G575" s="199"/>
      <c r="H575" s="199"/>
      <c r="I575" s="199"/>
      <c r="J575" s="199"/>
      <c r="K575" s="199"/>
      <c r="L575" s="289" t="s">
        <v>34</v>
      </c>
      <c r="M575" s="199"/>
      <c r="N575" s="40" t="str">
        <f>J$6</f>
        <v>FY2010-11</v>
      </c>
      <c r="O575" s="40" t="s">
        <v>155</v>
      </c>
      <c r="P575" s="40" t="s">
        <v>138</v>
      </c>
      <c r="Q575" s="199"/>
      <c r="R575" s="199"/>
      <c r="S575" s="199"/>
      <c r="T575" s="200"/>
      <c r="U575" s="200"/>
      <c r="V575" s="201"/>
      <c r="W575" s="201"/>
      <c r="X575" s="201"/>
      <c r="Y575" s="201"/>
      <c r="Z575" s="201"/>
      <c r="AA575" s="201"/>
      <c r="AB575" s="201"/>
      <c r="AC575" s="201"/>
      <c r="AD575" s="201"/>
      <c r="AE575" s="201"/>
      <c r="AF575" s="201"/>
      <c r="AG575" s="201"/>
      <c r="AH575" s="6"/>
    </row>
    <row r="576" spans="1:34" s="3" customFormat="1" ht="15.95" customHeight="1">
      <c r="A576" s="7"/>
      <c r="B576" s="16">
        <f>DSUM('$REV-DB'!D35:AG67,"AMOUNT",D574:AG576)</f>
        <v>0</v>
      </c>
      <c r="C576" s="12"/>
      <c r="D576" s="199"/>
      <c r="E576" s="199"/>
      <c r="F576" s="199"/>
      <c r="G576" s="199"/>
      <c r="H576" s="199"/>
      <c r="I576" s="199"/>
      <c r="J576" s="199"/>
      <c r="K576" s="199"/>
      <c r="L576" s="289" t="s">
        <v>34</v>
      </c>
      <c r="M576" s="199"/>
      <c r="N576" s="40" t="str">
        <f>J$6</f>
        <v>FY2010-11</v>
      </c>
      <c r="O576" s="40" t="s">
        <v>155</v>
      </c>
      <c r="P576" s="40" t="s">
        <v>147</v>
      </c>
      <c r="Q576" s="199"/>
      <c r="R576" s="199"/>
      <c r="S576" s="199" t="s">
        <v>103</v>
      </c>
      <c r="T576" s="200"/>
      <c r="U576" s="200"/>
      <c r="V576" s="201"/>
      <c r="W576" s="201"/>
      <c r="X576" s="201"/>
      <c r="Y576" s="201"/>
      <c r="Z576" s="201"/>
      <c r="AA576" s="201"/>
      <c r="AB576" s="201"/>
      <c r="AC576" s="201"/>
      <c r="AD576" s="201"/>
      <c r="AE576" s="201"/>
      <c r="AF576" s="201"/>
      <c r="AG576" s="201"/>
      <c r="AH576" s="6"/>
    </row>
    <row r="577" spans="1:34" s="3" customFormat="1" ht="15.95" customHeight="1">
      <c r="A577" s="7"/>
      <c r="B577" s="10"/>
      <c r="C577" s="12"/>
      <c r="D577" s="880"/>
      <c r="E577" s="880"/>
      <c r="F577" s="880"/>
      <c r="G577" s="880"/>
      <c r="H577" s="880"/>
      <c r="I577" s="880"/>
      <c r="J577" s="880"/>
      <c r="K577" s="880"/>
      <c r="L577" s="881"/>
      <c r="M577" s="880"/>
      <c r="N577" s="873"/>
      <c r="O577" s="873"/>
      <c r="P577" s="873"/>
      <c r="Q577" s="880"/>
      <c r="R577" s="880"/>
      <c r="S577" s="880"/>
      <c r="T577" s="882"/>
      <c r="U577" s="882"/>
      <c r="V577" s="883"/>
      <c r="W577" s="883"/>
      <c r="X577" s="883"/>
      <c r="Y577" s="883"/>
      <c r="Z577" s="883"/>
      <c r="AA577" s="883"/>
      <c r="AB577" s="883"/>
      <c r="AC577" s="883"/>
      <c r="AD577" s="883"/>
      <c r="AE577" s="883"/>
      <c r="AF577" s="883"/>
      <c r="AG577" s="883"/>
    </row>
    <row r="578" spans="1:34" s="3" customFormat="1" ht="15.95" customHeight="1">
      <c r="A578" s="7"/>
      <c r="B578" s="10"/>
      <c r="C578" s="12"/>
      <c r="D578" s="880"/>
      <c r="E578" s="880"/>
      <c r="F578" s="880"/>
      <c r="G578" s="880"/>
      <c r="H578" s="880"/>
      <c r="I578" s="880"/>
      <c r="J578" s="880"/>
      <c r="K578" s="880"/>
      <c r="L578" s="881"/>
      <c r="M578" s="880"/>
      <c r="N578" s="873"/>
      <c r="O578" s="873"/>
      <c r="P578" s="873"/>
      <c r="Q578" s="880"/>
      <c r="R578" s="880"/>
      <c r="S578" s="880"/>
      <c r="T578" s="882"/>
      <c r="U578" s="882"/>
      <c r="V578" s="883"/>
      <c r="W578" s="883"/>
      <c r="X578" s="883"/>
      <c r="Y578" s="883"/>
      <c r="Z578" s="883"/>
      <c r="AA578" s="883"/>
      <c r="AB578" s="883"/>
      <c r="AC578" s="883"/>
      <c r="AD578" s="883"/>
      <c r="AE578" s="883"/>
      <c r="AF578" s="883"/>
      <c r="AG578" s="883"/>
    </row>
    <row r="579" spans="1:34" s="3" customFormat="1" ht="15.95" customHeight="1">
      <c r="A579" s="7"/>
      <c r="B579" s="10"/>
      <c r="C579" s="12"/>
      <c r="D579" s="880"/>
      <c r="E579" s="880"/>
      <c r="F579" s="880"/>
      <c r="G579" s="880"/>
      <c r="H579" s="880"/>
      <c r="I579" s="880"/>
      <c r="J579" s="880"/>
      <c r="K579" s="880"/>
      <c r="L579" s="881"/>
      <c r="M579" s="880"/>
      <c r="N579" s="873"/>
      <c r="O579" s="873"/>
      <c r="P579" s="873"/>
      <c r="Q579" s="880"/>
      <c r="R579" s="880"/>
      <c r="S579" s="880"/>
      <c r="T579" s="882"/>
      <c r="U579" s="882"/>
      <c r="V579" s="883"/>
      <c r="W579" s="883"/>
      <c r="X579" s="883"/>
      <c r="Y579" s="883"/>
      <c r="Z579" s="883"/>
      <c r="AA579" s="883"/>
      <c r="AB579" s="883"/>
      <c r="AC579" s="883"/>
      <c r="AD579" s="883"/>
      <c r="AE579" s="883"/>
      <c r="AF579" s="883"/>
      <c r="AG579" s="883"/>
    </row>
    <row r="580" spans="1:34" s="3" customFormat="1" ht="15.95" customHeight="1">
      <c r="A580" s="7"/>
      <c r="B580" s="10"/>
      <c r="C580" s="12"/>
      <c r="D580" s="880"/>
      <c r="E580" s="880"/>
      <c r="F580" s="880"/>
      <c r="G580" s="880"/>
      <c r="H580" s="880"/>
      <c r="I580" s="880"/>
      <c r="J580" s="880"/>
      <c r="K580" s="880"/>
      <c r="L580" s="881"/>
      <c r="M580" s="880"/>
      <c r="N580" s="873"/>
      <c r="O580" s="873"/>
      <c r="P580" s="873"/>
      <c r="Q580" s="880"/>
      <c r="R580" s="880"/>
      <c r="S580" s="880"/>
      <c r="T580" s="882"/>
      <c r="U580" s="882"/>
      <c r="V580" s="883"/>
      <c r="W580" s="883"/>
      <c r="X580" s="883"/>
      <c r="Y580" s="883"/>
      <c r="Z580" s="883"/>
      <c r="AA580" s="883"/>
      <c r="AB580" s="883"/>
      <c r="AC580" s="883"/>
      <c r="AD580" s="883"/>
      <c r="AE580" s="883"/>
      <c r="AF580" s="883"/>
      <c r="AG580" s="883"/>
    </row>
    <row r="581" spans="1:34" s="3" customFormat="1" ht="15.95" customHeight="1">
      <c r="A581" s="7"/>
      <c r="B581" s="10"/>
      <c r="C581" s="12"/>
      <c r="D581" s="880"/>
      <c r="E581" s="880"/>
      <c r="F581" s="880"/>
      <c r="G581" s="880"/>
      <c r="H581" s="880"/>
      <c r="I581" s="880"/>
      <c r="J581" s="880"/>
      <c r="K581" s="880"/>
      <c r="L581" s="881"/>
      <c r="M581" s="880"/>
      <c r="N581" s="873"/>
      <c r="O581" s="873"/>
      <c r="P581" s="873"/>
      <c r="Q581" s="880"/>
      <c r="R581" s="880"/>
      <c r="S581" s="880"/>
      <c r="T581" s="882"/>
      <c r="U581" s="882"/>
      <c r="V581" s="883"/>
      <c r="W581" s="883"/>
      <c r="X581" s="883"/>
      <c r="Y581" s="883"/>
      <c r="Z581" s="883"/>
      <c r="AA581" s="883"/>
      <c r="AB581" s="883"/>
      <c r="AC581" s="883"/>
      <c r="AD581" s="883"/>
      <c r="AE581" s="883"/>
      <c r="AF581" s="883"/>
      <c r="AG581" s="883"/>
    </row>
    <row r="582" spans="1:34" s="3" customFormat="1" ht="15.95" customHeight="1">
      <c r="A582" s="36"/>
      <c r="B582" s="33"/>
      <c r="C582" s="33"/>
      <c r="D582" s="34"/>
      <c r="E582" s="34"/>
      <c r="F582" s="35"/>
      <c r="G582" s="34"/>
      <c r="H582" s="35"/>
      <c r="I582" s="35"/>
      <c r="J582" s="34"/>
      <c r="K582" s="34"/>
      <c r="L582" s="288"/>
      <c r="M582" s="35"/>
      <c r="N582" s="35"/>
      <c r="O582" s="34"/>
      <c r="P582" s="35"/>
      <c r="Q582" s="35"/>
      <c r="R582" s="34"/>
      <c r="S582" s="35"/>
      <c r="T582" s="34"/>
      <c r="U582" s="34"/>
      <c r="V582" s="36"/>
      <c r="W582" s="36"/>
      <c r="X582" s="36"/>
      <c r="Y582" s="36"/>
      <c r="Z582" s="36"/>
      <c r="AA582" s="36"/>
      <c r="AB582" s="36"/>
      <c r="AC582" s="36"/>
      <c r="AD582" s="36"/>
      <c r="AE582" s="36"/>
      <c r="AF582" s="36"/>
      <c r="AG582" s="36"/>
    </row>
    <row r="583" spans="1:34" s="3" customFormat="1"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66"/>
      <c r="T583" s="867" t="str">
        <f>'$REV-DB'!$T$34</f>
        <v>UD1</v>
      </c>
      <c r="U583" s="867" t="str">
        <f>'$REV-DB'!$U$34</f>
        <v>UD2</v>
      </c>
      <c r="V583" s="867" t="str">
        <f>'$REV-DB'!$V$34</f>
        <v>UD3</v>
      </c>
      <c r="W583" s="867" t="str">
        <f>'$REV-DB'!$W$34</f>
        <v>UD4</v>
      </c>
      <c r="X583" s="867" t="str">
        <f>'$REV-DB'!$X$34</f>
        <v>UD5</v>
      </c>
      <c r="Y583" s="867" t="str">
        <f>'$REV-DB'!$Y$34</f>
        <v>UD6</v>
      </c>
      <c r="Z583" s="867" t="str">
        <f>'$REV-DB'!$Z$34</f>
        <v>UD7</v>
      </c>
      <c r="AA583" s="867" t="str">
        <f>'$REV-DB'!$AA$34</f>
        <v>UD8</v>
      </c>
      <c r="AB583" s="867" t="str">
        <f>'$REV-DB'!$AB$34</f>
        <v>UD9</v>
      </c>
      <c r="AC583" s="867" t="str">
        <f>'$REV-DB'!$AC$34</f>
        <v>UD10</v>
      </c>
      <c r="AD583" s="867" t="str">
        <f>'$REV-DB'!$AD$34</f>
        <v>UD11</v>
      </c>
      <c r="AE583" s="867" t="str">
        <f>'$REV-DB'!$AE$34</f>
        <v>UD12</v>
      </c>
      <c r="AF583" s="867" t="str">
        <f>'$REV-DB'!$AF$34</f>
        <v>UD13</v>
      </c>
      <c r="AG583" s="867" t="str">
        <f>'$REV-DB'!$AG$34</f>
        <v>UD14</v>
      </c>
    </row>
    <row r="584" spans="1:34" s="3" customFormat="1" ht="15.95" customHeight="1" thickTop="1" thickBot="1">
      <c r="A584" s="7"/>
      <c r="B584" s="20" t="s">
        <v>4</v>
      </c>
      <c r="C584" s="15"/>
      <c r="D584" s="861" t="s">
        <v>186</v>
      </c>
      <c r="E584" s="861" t="s">
        <v>187</v>
      </c>
      <c r="F584" s="861" t="s">
        <v>188</v>
      </c>
      <c r="G584" s="861" t="s">
        <v>189</v>
      </c>
      <c r="H584" s="861" t="s">
        <v>11</v>
      </c>
      <c r="I584" s="861" t="s">
        <v>190</v>
      </c>
      <c r="J584" s="861" t="s">
        <v>191</v>
      </c>
      <c r="K584" s="861" t="s">
        <v>192</v>
      </c>
      <c r="L584" s="861" t="s">
        <v>203</v>
      </c>
      <c r="M584" s="861" t="s">
        <v>42</v>
      </c>
      <c r="N584" s="861" t="s">
        <v>148</v>
      </c>
      <c r="O584" s="861" t="s">
        <v>193</v>
      </c>
      <c r="P584" s="861" t="s">
        <v>142</v>
      </c>
      <c r="Q584" s="861" t="s">
        <v>194</v>
      </c>
      <c r="R584" s="112" t="s">
        <v>141</v>
      </c>
      <c r="S584" s="112" t="s">
        <v>672</v>
      </c>
      <c r="T584" s="861" t="s">
        <v>541</v>
      </c>
      <c r="U584" s="861" t="s">
        <v>542</v>
      </c>
      <c r="V584" s="861" t="s">
        <v>543</v>
      </c>
      <c r="W584" s="861" t="s">
        <v>544</v>
      </c>
      <c r="X584" s="861" t="s">
        <v>545</v>
      </c>
      <c r="Y584" s="861" t="s">
        <v>546</v>
      </c>
      <c r="Z584" s="861" t="s">
        <v>547</v>
      </c>
      <c r="AA584" s="861" t="s">
        <v>548</v>
      </c>
      <c r="AB584" s="861" t="s">
        <v>549</v>
      </c>
      <c r="AC584" s="861" t="s">
        <v>550</v>
      </c>
      <c r="AD584" s="861" t="s">
        <v>551</v>
      </c>
      <c r="AE584" s="861" t="s">
        <v>552</v>
      </c>
      <c r="AF584" s="861" t="s">
        <v>553</v>
      </c>
      <c r="AG584" s="861" t="s">
        <v>554</v>
      </c>
      <c r="AH584" s="6"/>
    </row>
    <row r="585" spans="1:34" s="3" customFormat="1" ht="15.95" customHeight="1" thickTop="1">
      <c r="A585" s="7"/>
      <c r="B585" s="19" t="s">
        <v>145</v>
      </c>
      <c r="C585" s="12"/>
      <c r="D585" s="200"/>
      <c r="E585" s="200"/>
      <c r="F585" s="199"/>
      <c r="G585" s="200"/>
      <c r="H585" s="199"/>
      <c r="I585" s="199"/>
      <c r="J585" s="200"/>
      <c r="K585" s="200"/>
      <c r="L585" s="289" t="s">
        <v>34</v>
      </c>
      <c r="M585" s="199"/>
      <c r="N585" s="40" t="str">
        <f>J$6</f>
        <v>FY2010-11</v>
      </c>
      <c r="O585" s="40" t="s">
        <v>155</v>
      </c>
      <c r="P585" s="40" t="s">
        <v>138</v>
      </c>
      <c r="Q585" s="40" t="s">
        <v>180</v>
      </c>
      <c r="R585" s="200"/>
      <c r="S585" s="199"/>
      <c r="T585" s="200"/>
      <c r="U585" s="200"/>
      <c r="V585" s="201"/>
      <c r="W585" s="201"/>
      <c r="X585" s="201"/>
      <c r="Y585" s="201"/>
      <c r="Z585" s="201"/>
      <c r="AA585" s="201"/>
      <c r="AB585" s="201"/>
      <c r="AC585" s="201"/>
      <c r="AD585" s="201"/>
      <c r="AE585" s="201"/>
      <c r="AF585" s="201"/>
      <c r="AG585" s="201"/>
      <c r="AH585" s="6"/>
    </row>
    <row r="586" spans="1:34" s="3" customFormat="1" ht="15.95" customHeight="1">
      <c r="A586" s="7"/>
      <c r="B586" s="16">
        <f>DSUM('$REV-DB'!D35:AG67,"AMOUNT",D584:AG586)</f>
        <v>0</v>
      </c>
      <c r="C586" s="12"/>
      <c r="D586" s="200"/>
      <c r="E586" s="200"/>
      <c r="F586" s="199"/>
      <c r="G586" s="200"/>
      <c r="H586" s="199"/>
      <c r="I586" s="199"/>
      <c r="J586" s="200"/>
      <c r="K586" s="200"/>
      <c r="L586" s="289" t="s">
        <v>34</v>
      </c>
      <c r="M586" s="199"/>
      <c r="N586" s="40" t="str">
        <f>J$6</f>
        <v>FY2010-11</v>
      </c>
      <c r="O586" s="40" t="s">
        <v>155</v>
      </c>
      <c r="P586" s="40" t="s">
        <v>147</v>
      </c>
      <c r="Q586" s="40" t="s">
        <v>180</v>
      </c>
      <c r="R586" s="200"/>
      <c r="S586" s="199" t="s">
        <v>103</v>
      </c>
      <c r="T586" s="200"/>
      <c r="U586" s="200"/>
      <c r="V586" s="201"/>
      <c r="W586" s="201"/>
      <c r="X586" s="201"/>
      <c r="Y586" s="201"/>
      <c r="Z586" s="201"/>
      <c r="AA586" s="201"/>
      <c r="AB586" s="201"/>
      <c r="AC586" s="201"/>
      <c r="AD586" s="201"/>
      <c r="AE586" s="201"/>
      <c r="AF586" s="201"/>
      <c r="AG586" s="201"/>
      <c r="AH586" s="6"/>
    </row>
    <row r="587" spans="1:34" s="3" customFormat="1" ht="15.95" customHeight="1">
      <c r="A587" s="7"/>
      <c r="B587" s="10"/>
      <c r="C587" s="12"/>
      <c r="D587" s="880"/>
      <c r="E587" s="880"/>
      <c r="F587" s="880"/>
      <c r="G587" s="880"/>
      <c r="H587" s="880"/>
      <c r="I587" s="880"/>
      <c r="J587" s="880"/>
      <c r="K587" s="880"/>
      <c r="L587" s="881"/>
      <c r="M587" s="880"/>
      <c r="N587" s="873"/>
      <c r="O587" s="873"/>
      <c r="P587" s="873"/>
      <c r="Q587" s="880"/>
      <c r="R587" s="880"/>
      <c r="S587" s="880"/>
      <c r="T587" s="882"/>
      <c r="U587" s="882"/>
      <c r="V587" s="883"/>
      <c r="W587" s="883"/>
      <c r="X587" s="883"/>
      <c r="Y587" s="883"/>
      <c r="Z587" s="883"/>
      <c r="AA587" s="883"/>
      <c r="AB587" s="883"/>
      <c r="AC587" s="883"/>
      <c r="AD587" s="883"/>
      <c r="AE587" s="883"/>
      <c r="AF587" s="883"/>
      <c r="AG587" s="883"/>
    </row>
    <row r="588" spans="1:34" s="3" customFormat="1" ht="15.95" customHeight="1">
      <c r="A588" s="7"/>
      <c r="B588" s="10"/>
      <c r="C588" s="12"/>
      <c r="D588" s="880"/>
      <c r="E588" s="880"/>
      <c r="F588" s="880"/>
      <c r="G588" s="880"/>
      <c r="H588" s="880"/>
      <c r="I588" s="880"/>
      <c r="J588" s="880"/>
      <c r="K588" s="880"/>
      <c r="L588" s="881"/>
      <c r="M588" s="880"/>
      <c r="N588" s="873"/>
      <c r="O588" s="873"/>
      <c r="P588" s="873"/>
      <c r="Q588" s="880"/>
      <c r="R588" s="880"/>
      <c r="S588" s="880"/>
      <c r="T588" s="882"/>
      <c r="U588" s="882"/>
      <c r="V588" s="883"/>
      <c r="W588" s="883"/>
      <c r="X588" s="883"/>
      <c r="Y588" s="883"/>
      <c r="Z588" s="883"/>
      <c r="AA588" s="883"/>
      <c r="AB588" s="883"/>
      <c r="AC588" s="883"/>
      <c r="AD588" s="883"/>
      <c r="AE588" s="883"/>
      <c r="AF588" s="883"/>
      <c r="AG588" s="883"/>
    </row>
    <row r="589" spans="1:34" s="3" customFormat="1" ht="15.95" customHeight="1">
      <c r="A589" s="7"/>
      <c r="B589" s="10"/>
      <c r="C589" s="12"/>
      <c r="D589" s="880"/>
      <c r="E589" s="880"/>
      <c r="F589" s="880"/>
      <c r="G589" s="880"/>
      <c r="H589" s="880"/>
      <c r="I589" s="880"/>
      <c r="J589" s="880"/>
      <c r="K589" s="880"/>
      <c r="L589" s="881"/>
      <c r="M589" s="880"/>
      <c r="N589" s="873"/>
      <c r="O589" s="873"/>
      <c r="P589" s="873"/>
      <c r="Q589" s="880"/>
      <c r="R589" s="880"/>
      <c r="S589" s="880"/>
      <c r="T589" s="882"/>
      <c r="U589" s="882"/>
      <c r="V589" s="883"/>
      <c r="W589" s="883"/>
      <c r="X589" s="883"/>
      <c r="Y589" s="883"/>
      <c r="Z589" s="883"/>
      <c r="AA589" s="883"/>
      <c r="AB589" s="883"/>
      <c r="AC589" s="883"/>
      <c r="AD589" s="883"/>
      <c r="AE589" s="883"/>
      <c r="AF589" s="883"/>
      <c r="AG589" s="883"/>
    </row>
    <row r="590" spans="1:34" s="3" customFormat="1" ht="15.95" customHeight="1">
      <c r="A590" s="7"/>
      <c r="B590" s="10"/>
      <c r="C590" s="12"/>
      <c r="D590" s="880"/>
      <c r="E590" s="880"/>
      <c r="F590" s="880"/>
      <c r="G590" s="880"/>
      <c r="H590" s="880"/>
      <c r="I590" s="880"/>
      <c r="J590" s="880"/>
      <c r="K590" s="880"/>
      <c r="L590" s="881"/>
      <c r="M590" s="880"/>
      <c r="N590" s="873"/>
      <c r="O590" s="873"/>
      <c r="P590" s="873"/>
      <c r="Q590" s="880"/>
      <c r="R590" s="880"/>
      <c r="S590" s="880"/>
      <c r="T590" s="882"/>
      <c r="U590" s="882"/>
      <c r="V590" s="883"/>
      <c r="W590" s="883"/>
      <c r="X590" s="883"/>
      <c r="Y590" s="883"/>
      <c r="Z590" s="883"/>
      <c r="AA590" s="883"/>
      <c r="AB590" s="883"/>
      <c r="AC590" s="883"/>
      <c r="AD590" s="883"/>
      <c r="AE590" s="883"/>
      <c r="AF590" s="883"/>
      <c r="AG590" s="883"/>
    </row>
    <row r="591" spans="1:34" s="3" customFormat="1" ht="15.95" customHeight="1">
      <c r="A591" s="7"/>
      <c r="B591" s="10"/>
      <c r="C591" s="12"/>
      <c r="D591" s="880"/>
      <c r="E591" s="880"/>
      <c r="F591" s="880"/>
      <c r="G591" s="880"/>
      <c r="H591" s="880"/>
      <c r="I591" s="880"/>
      <c r="J591" s="880"/>
      <c r="K591" s="880"/>
      <c r="L591" s="881"/>
      <c r="M591" s="880"/>
      <c r="N591" s="873"/>
      <c r="O591" s="873"/>
      <c r="P591" s="873"/>
      <c r="Q591" s="880"/>
      <c r="R591" s="880"/>
      <c r="S591" s="880"/>
      <c r="T591" s="882"/>
      <c r="U591" s="882"/>
      <c r="V591" s="883"/>
      <c r="W591" s="883"/>
      <c r="X591" s="883"/>
      <c r="Y591" s="883"/>
      <c r="Z591" s="883"/>
      <c r="AA591" s="883"/>
      <c r="AB591" s="883"/>
      <c r="AC591" s="883"/>
      <c r="AD591" s="883"/>
      <c r="AE591" s="883"/>
      <c r="AF591" s="883"/>
      <c r="AG591" s="883"/>
    </row>
    <row r="592" spans="1:34" s="3" customFormat="1" ht="15.95" customHeight="1">
      <c r="A592" s="36"/>
      <c r="B592" s="33"/>
      <c r="C592" s="33"/>
      <c r="D592" s="34"/>
      <c r="E592" s="34"/>
      <c r="F592" s="35"/>
      <c r="G592" s="34"/>
      <c r="H592" s="35"/>
      <c r="I592" s="35"/>
      <c r="J592" s="34"/>
      <c r="K592" s="34"/>
      <c r="L592" s="288"/>
      <c r="M592" s="35"/>
      <c r="N592" s="35"/>
      <c r="O592" s="34"/>
      <c r="P592" s="35"/>
      <c r="Q592" s="35"/>
      <c r="R592" s="34"/>
      <c r="S592" s="35"/>
      <c r="T592" s="34"/>
      <c r="U592" s="34"/>
      <c r="V592" s="36"/>
      <c r="W592" s="36"/>
      <c r="X592" s="36"/>
      <c r="Y592" s="36"/>
      <c r="Z592" s="36"/>
      <c r="AA592" s="36"/>
      <c r="AB592" s="36"/>
      <c r="AC592" s="36"/>
      <c r="AD592" s="36"/>
      <c r="AE592" s="36"/>
      <c r="AF592" s="36"/>
      <c r="AG592" s="36"/>
    </row>
    <row r="593" spans="1:34" s="3" customFormat="1"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66"/>
      <c r="T593" s="867" t="str">
        <f>'$REV-DB'!$T$34</f>
        <v>UD1</v>
      </c>
      <c r="U593" s="867" t="str">
        <f>'$REV-DB'!$U$34</f>
        <v>UD2</v>
      </c>
      <c r="V593" s="867" t="str">
        <f>'$REV-DB'!$V$34</f>
        <v>UD3</v>
      </c>
      <c r="W593" s="867" t="str">
        <f>'$REV-DB'!$W$34</f>
        <v>UD4</v>
      </c>
      <c r="X593" s="867" t="str">
        <f>'$REV-DB'!$X$34</f>
        <v>UD5</v>
      </c>
      <c r="Y593" s="867" t="str">
        <f>'$REV-DB'!$Y$34</f>
        <v>UD6</v>
      </c>
      <c r="Z593" s="867" t="str">
        <f>'$REV-DB'!$Z$34</f>
        <v>UD7</v>
      </c>
      <c r="AA593" s="867" t="str">
        <f>'$REV-DB'!$AA$34</f>
        <v>UD8</v>
      </c>
      <c r="AB593" s="867" t="str">
        <f>'$REV-DB'!$AB$34</f>
        <v>UD9</v>
      </c>
      <c r="AC593" s="867" t="str">
        <f>'$REV-DB'!$AC$34</f>
        <v>UD10</v>
      </c>
      <c r="AD593" s="867" t="str">
        <f>'$REV-DB'!$AD$34</f>
        <v>UD11</v>
      </c>
      <c r="AE593" s="867" t="str">
        <f>'$REV-DB'!$AE$34</f>
        <v>UD12</v>
      </c>
      <c r="AF593" s="867" t="str">
        <f>'$REV-DB'!$AF$34</f>
        <v>UD13</v>
      </c>
      <c r="AG593" s="867" t="str">
        <f>'$REV-DB'!$AG$34</f>
        <v>UD14</v>
      </c>
    </row>
    <row r="594" spans="1:34" s="3" customFormat="1" ht="15.95" customHeight="1" thickTop="1" thickBot="1">
      <c r="A594" s="7"/>
      <c r="B594" s="20" t="s">
        <v>4</v>
      </c>
      <c r="C594" s="15"/>
      <c r="D594" s="861" t="s">
        <v>186</v>
      </c>
      <c r="E594" s="861" t="s">
        <v>187</v>
      </c>
      <c r="F594" s="861" t="s">
        <v>188</v>
      </c>
      <c r="G594" s="861" t="s">
        <v>189</v>
      </c>
      <c r="H594" s="861" t="s">
        <v>11</v>
      </c>
      <c r="I594" s="861" t="s">
        <v>190</v>
      </c>
      <c r="J594" s="861" t="s">
        <v>191</v>
      </c>
      <c r="K594" s="861" t="s">
        <v>192</v>
      </c>
      <c r="L594" s="861" t="s">
        <v>203</v>
      </c>
      <c r="M594" s="861" t="s">
        <v>42</v>
      </c>
      <c r="N594" s="861" t="s">
        <v>148</v>
      </c>
      <c r="O594" s="861" t="s">
        <v>193</v>
      </c>
      <c r="P594" s="861" t="s">
        <v>142</v>
      </c>
      <c r="Q594" s="861" t="s">
        <v>194</v>
      </c>
      <c r="R594" s="112" t="s">
        <v>141</v>
      </c>
      <c r="S594" s="112" t="s">
        <v>672</v>
      </c>
      <c r="T594" s="861" t="s">
        <v>541</v>
      </c>
      <c r="U594" s="861" t="s">
        <v>542</v>
      </c>
      <c r="V594" s="861" t="s">
        <v>543</v>
      </c>
      <c r="W594" s="861" t="s">
        <v>544</v>
      </c>
      <c r="X594" s="861" t="s">
        <v>545</v>
      </c>
      <c r="Y594" s="861" t="s">
        <v>546</v>
      </c>
      <c r="Z594" s="861" t="s">
        <v>547</v>
      </c>
      <c r="AA594" s="861" t="s">
        <v>548</v>
      </c>
      <c r="AB594" s="861" t="s">
        <v>549</v>
      </c>
      <c r="AC594" s="861" t="s">
        <v>550</v>
      </c>
      <c r="AD594" s="861" t="s">
        <v>551</v>
      </c>
      <c r="AE594" s="861" t="s">
        <v>552</v>
      </c>
      <c r="AF594" s="861" t="s">
        <v>553</v>
      </c>
      <c r="AG594" s="861" t="s">
        <v>554</v>
      </c>
      <c r="AH594" s="6"/>
    </row>
    <row r="595" spans="1:34" s="3" customFormat="1" ht="15.95" customHeight="1" thickTop="1">
      <c r="A595" s="7"/>
      <c r="B595" s="19" t="s">
        <v>144</v>
      </c>
      <c r="C595" s="12"/>
      <c r="D595" s="200"/>
      <c r="E595" s="200"/>
      <c r="F595" s="199"/>
      <c r="G595" s="200"/>
      <c r="H595" s="199"/>
      <c r="I595" s="199"/>
      <c r="J595" s="200"/>
      <c r="K595" s="200"/>
      <c r="L595" s="289" t="s">
        <v>34</v>
      </c>
      <c r="M595" s="199"/>
      <c r="N595" s="40" t="str">
        <f>J$6</f>
        <v>FY2010-11</v>
      </c>
      <c r="O595" s="40" t="s">
        <v>155</v>
      </c>
      <c r="P595" s="40" t="s">
        <v>138</v>
      </c>
      <c r="Q595" s="40" t="s">
        <v>139</v>
      </c>
      <c r="R595" s="200"/>
      <c r="S595" s="199"/>
      <c r="T595" s="200"/>
      <c r="U595" s="200"/>
      <c r="V595" s="201"/>
      <c r="W595" s="201"/>
      <c r="X595" s="201"/>
      <c r="Y595" s="201"/>
      <c r="Z595" s="201"/>
      <c r="AA595" s="201"/>
      <c r="AB595" s="201"/>
      <c r="AC595" s="201"/>
      <c r="AD595" s="201"/>
      <c r="AE595" s="201"/>
      <c r="AF595" s="201"/>
      <c r="AG595" s="201"/>
      <c r="AH595" s="6"/>
    </row>
    <row r="596" spans="1:34" s="3" customFormat="1" ht="15.95" customHeight="1">
      <c r="A596" s="7"/>
      <c r="B596" s="16">
        <f>DSUM('$REV-DB'!D35:AG67,"AMOUNT",D594:AG596)</f>
        <v>0</v>
      </c>
      <c r="C596" s="12"/>
      <c r="D596" s="200"/>
      <c r="E596" s="200"/>
      <c r="F596" s="199"/>
      <c r="G596" s="200"/>
      <c r="H596" s="199"/>
      <c r="I596" s="199"/>
      <c r="J596" s="200"/>
      <c r="K596" s="200"/>
      <c r="L596" s="289" t="s">
        <v>34</v>
      </c>
      <c r="M596" s="199"/>
      <c r="N596" s="40" t="str">
        <f>J$6</f>
        <v>FY2010-11</v>
      </c>
      <c r="O596" s="40" t="s">
        <v>155</v>
      </c>
      <c r="P596" s="40" t="s">
        <v>147</v>
      </c>
      <c r="Q596" s="40" t="s">
        <v>139</v>
      </c>
      <c r="R596" s="200"/>
      <c r="S596" s="199" t="s">
        <v>103</v>
      </c>
      <c r="T596" s="200"/>
      <c r="U596" s="200"/>
      <c r="V596" s="201"/>
      <c r="W596" s="201"/>
      <c r="X596" s="201"/>
      <c r="Y596" s="201"/>
      <c r="Z596" s="201"/>
      <c r="AA596" s="201"/>
      <c r="AB596" s="201"/>
      <c r="AC596" s="201"/>
      <c r="AD596" s="201"/>
      <c r="AE596" s="201"/>
      <c r="AF596" s="201"/>
      <c r="AG596" s="201"/>
      <c r="AH596" s="6"/>
    </row>
    <row r="597" spans="1:34" s="3" customFormat="1" ht="15.95" customHeight="1">
      <c r="A597" s="7"/>
      <c r="B597" s="10"/>
      <c r="C597" s="12"/>
      <c r="D597" s="880"/>
      <c r="E597" s="880"/>
      <c r="F597" s="880"/>
      <c r="G597" s="880"/>
      <c r="H597" s="880"/>
      <c r="I597" s="880"/>
      <c r="J597" s="880"/>
      <c r="K597" s="880"/>
      <c r="L597" s="881"/>
      <c r="M597" s="880"/>
      <c r="N597" s="873"/>
      <c r="O597" s="873"/>
      <c r="P597" s="873"/>
      <c r="Q597" s="880"/>
      <c r="R597" s="880"/>
      <c r="S597" s="880"/>
      <c r="T597" s="882"/>
      <c r="U597" s="882"/>
      <c r="V597" s="883"/>
      <c r="W597" s="883"/>
      <c r="X597" s="883"/>
      <c r="Y597" s="883"/>
      <c r="Z597" s="883"/>
      <c r="AA597" s="883"/>
      <c r="AB597" s="883"/>
      <c r="AC597" s="883"/>
      <c r="AD597" s="883"/>
      <c r="AE597" s="883"/>
      <c r="AF597" s="883"/>
      <c r="AG597" s="883"/>
    </row>
    <row r="598" spans="1:34" s="3" customFormat="1" ht="15.95" customHeight="1">
      <c r="A598" s="7"/>
      <c r="B598" s="10"/>
      <c r="C598" s="12"/>
      <c r="D598" s="880"/>
      <c r="E598" s="880"/>
      <c r="F598" s="880"/>
      <c r="G598" s="880"/>
      <c r="H598" s="880"/>
      <c r="I598" s="880"/>
      <c r="J598" s="880"/>
      <c r="K598" s="880"/>
      <c r="L598" s="881"/>
      <c r="M598" s="880"/>
      <c r="N598" s="873"/>
      <c r="O598" s="873"/>
      <c r="P598" s="873"/>
      <c r="Q598" s="880"/>
      <c r="R598" s="880"/>
      <c r="S598" s="880"/>
      <c r="T598" s="882"/>
      <c r="U598" s="882"/>
      <c r="V598" s="883"/>
      <c r="W598" s="883"/>
      <c r="X598" s="883"/>
      <c r="Y598" s="883"/>
      <c r="Z598" s="883"/>
      <c r="AA598" s="883"/>
      <c r="AB598" s="883"/>
      <c r="AC598" s="883"/>
      <c r="AD598" s="883"/>
      <c r="AE598" s="883"/>
      <c r="AF598" s="883"/>
      <c r="AG598" s="883"/>
    </row>
    <row r="599" spans="1:34" s="3" customFormat="1" ht="15.95" customHeight="1">
      <c r="A599" s="7"/>
      <c r="B599" s="10"/>
      <c r="C599" s="12"/>
      <c r="D599" s="880"/>
      <c r="E599" s="880"/>
      <c r="F599" s="880"/>
      <c r="G599" s="880"/>
      <c r="H599" s="880"/>
      <c r="I599" s="880"/>
      <c r="J599" s="880"/>
      <c r="K599" s="880"/>
      <c r="L599" s="881"/>
      <c r="M599" s="880"/>
      <c r="N599" s="873"/>
      <c r="O599" s="873"/>
      <c r="P599" s="873"/>
      <c r="Q599" s="880"/>
      <c r="R599" s="880"/>
      <c r="S599" s="880"/>
      <c r="T599" s="882"/>
      <c r="U599" s="882"/>
      <c r="V599" s="883"/>
      <c r="W599" s="883"/>
      <c r="X599" s="883"/>
      <c r="Y599" s="883"/>
      <c r="Z599" s="883"/>
      <c r="AA599" s="883"/>
      <c r="AB599" s="883"/>
      <c r="AC599" s="883"/>
      <c r="AD599" s="883"/>
      <c r="AE599" s="883"/>
      <c r="AF599" s="883"/>
      <c r="AG599" s="883"/>
    </row>
    <row r="600" spans="1:34" s="3" customFormat="1" ht="15.95" customHeight="1">
      <c r="A600" s="7"/>
      <c r="B600" s="10"/>
      <c r="C600" s="12"/>
      <c r="D600" s="880"/>
      <c r="E600" s="880"/>
      <c r="F600" s="880"/>
      <c r="G600" s="880"/>
      <c r="H600" s="880"/>
      <c r="I600" s="880"/>
      <c r="J600" s="880"/>
      <c r="K600" s="880"/>
      <c r="L600" s="881"/>
      <c r="M600" s="880"/>
      <c r="N600" s="873"/>
      <c r="O600" s="873"/>
      <c r="P600" s="873"/>
      <c r="Q600" s="880"/>
      <c r="R600" s="880"/>
      <c r="S600" s="880"/>
      <c r="T600" s="882"/>
      <c r="U600" s="882"/>
      <c r="V600" s="883"/>
      <c r="W600" s="883"/>
      <c r="X600" s="883"/>
      <c r="Y600" s="883"/>
      <c r="Z600" s="883"/>
      <c r="AA600" s="883"/>
      <c r="AB600" s="883"/>
      <c r="AC600" s="883"/>
      <c r="AD600" s="883"/>
      <c r="AE600" s="883"/>
      <c r="AF600" s="883"/>
      <c r="AG600" s="883"/>
    </row>
    <row r="601" spans="1:34" s="3" customFormat="1" ht="15.95" customHeight="1">
      <c r="A601" s="7"/>
      <c r="B601" s="10"/>
      <c r="C601" s="12"/>
      <c r="D601" s="880"/>
      <c r="E601" s="880"/>
      <c r="F601" s="880"/>
      <c r="G601" s="880"/>
      <c r="H601" s="880"/>
      <c r="I601" s="880"/>
      <c r="J601" s="880"/>
      <c r="K601" s="880"/>
      <c r="L601" s="881"/>
      <c r="M601" s="880"/>
      <c r="N601" s="873"/>
      <c r="O601" s="873"/>
      <c r="P601" s="873"/>
      <c r="Q601" s="880"/>
      <c r="R601" s="880"/>
      <c r="S601" s="880"/>
      <c r="T601" s="882"/>
      <c r="U601" s="882"/>
      <c r="V601" s="883"/>
      <c r="W601" s="883"/>
      <c r="X601" s="883"/>
      <c r="Y601" s="883"/>
      <c r="Z601" s="883"/>
      <c r="AA601" s="883"/>
      <c r="AB601" s="883"/>
      <c r="AC601" s="883"/>
      <c r="AD601" s="883"/>
      <c r="AE601" s="883"/>
      <c r="AF601" s="883"/>
      <c r="AG601" s="883"/>
    </row>
    <row r="602" spans="1:34" s="3" customFormat="1" ht="15.95" customHeight="1">
      <c r="A602" s="36"/>
      <c r="B602" s="33"/>
      <c r="C602" s="33"/>
      <c r="D602" s="34"/>
      <c r="E602" s="34"/>
      <c r="F602" s="35"/>
      <c r="G602" s="34"/>
      <c r="H602" s="35"/>
      <c r="I602" s="35"/>
      <c r="J602" s="34"/>
      <c r="K602" s="34"/>
      <c r="L602" s="288"/>
      <c r="M602" s="35"/>
      <c r="N602" s="35"/>
      <c r="O602" s="34"/>
      <c r="P602" s="35"/>
      <c r="Q602" s="35"/>
      <c r="R602" s="34"/>
      <c r="S602" s="35"/>
      <c r="T602" s="34"/>
      <c r="U602" s="34"/>
      <c r="V602" s="36"/>
      <c r="W602" s="36"/>
      <c r="X602" s="36"/>
      <c r="Y602" s="36"/>
      <c r="Z602" s="36"/>
      <c r="AA602" s="36"/>
      <c r="AB602" s="36"/>
      <c r="AC602" s="36"/>
      <c r="AD602" s="36"/>
      <c r="AE602" s="36"/>
      <c r="AF602" s="36"/>
      <c r="AG602" s="36"/>
    </row>
    <row r="603" spans="1:34" s="3" customFormat="1"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66"/>
      <c r="T603" s="867" t="str">
        <f>'$REV-DB'!$T$34</f>
        <v>UD1</v>
      </c>
      <c r="U603" s="867" t="str">
        <f>'$REV-DB'!$U$34</f>
        <v>UD2</v>
      </c>
      <c r="V603" s="867" t="str">
        <f>'$REV-DB'!$V$34</f>
        <v>UD3</v>
      </c>
      <c r="W603" s="867" t="str">
        <f>'$REV-DB'!$W$34</f>
        <v>UD4</v>
      </c>
      <c r="X603" s="867" t="str">
        <f>'$REV-DB'!$X$34</f>
        <v>UD5</v>
      </c>
      <c r="Y603" s="867" t="str">
        <f>'$REV-DB'!$Y$34</f>
        <v>UD6</v>
      </c>
      <c r="Z603" s="867" t="str">
        <f>'$REV-DB'!$Z$34</f>
        <v>UD7</v>
      </c>
      <c r="AA603" s="867" t="str">
        <f>'$REV-DB'!$AA$34</f>
        <v>UD8</v>
      </c>
      <c r="AB603" s="867" t="str">
        <f>'$REV-DB'!$AB$34</f>
        <v>UD9</v>
      </c>
      <c r="AC603" s="867" t="str">
        <f>'$REV-DB'!$AC$34</f>
        <v>UD10</v>
      </c>
      <c r="AD603" s="867" t="str">
        <f>'$REV-DB'!$AD$34</f>
        <v>UD11</v>
      </c>
      <c r="AE603" s="867" t="str">
        <f>'$REV-DB'!$AE$34</f>
        <v>UD12</v>
      </c>
      <c r="AF603" s="867" t="str">
        <f>'$REV-DB'!$AF$34</f>
        <v>UD13</v>
      </c>
      <c r="AG603" s="867" t="str">
        <f>'$REV-DB'!$AG$34</f>
        <v>UD14</v>
      </c>
    </row>
    <row r="604" spans="1:34" s="3" customFormat="1" ht="15.95" customHeight="1" thickTop="1" thickBot="1">
      <c r="A604" s="7"/>
      <c r="B604" s="20" t="s">
        <v>4</v>
      </c>
      <c r="C604" s="15"/>
      <c r="D604" s="861" t="s">
        <v>186</v>
      </c>
      <c r="E604" s="861" t="s">
        <v>187</v>
      </c>
      <c r="F604" s="861" t="s">
        <v>188</v>
      </c>
      <c r="G604" s="861" t="s">
        <v>189</v>
      </c>
      <c r="H604" s="861" t="s">
        <v>11</v>
      </c>
      <c r="I604" s="861" t="s">
        <v>190</v>
      </c>
      <c r="J604" s="861" t="s">
        <v>191</v>
      </c>
      <c r="K604" s="861" t="s">
        <v>192</v>
      </c>
      <c r="L604" s="861" t="s">
        <v>203</v>
      </c>
      <c r="M604" s="861" t="s">
        <v>42</v>
      </c>
      <c r="N604" s="861" t="s">
        <v>148</v>
      </c>
      <c r="O604" s="861" t="s">
        <v>193</v>
      </c>
      <c r="P604" s="861" t="s">
        <v>142</v>
      </c>
      <c r="Q604" s="861" t="s">
        <v>194</v>
      </c>
      <c r="R604" s="112" t="s">
        <v>141</v>
      </c>
      <c r="S604" s="112" t="s">
        <v>672</v>
      </c>
      <c r="T604" s="861" t="s">
        <v>541</v>
      </c>
      <c r="U604" s="861" t="s">
        <v>542</v>
      </c>
      <c r="V604" s="861" t="s">
        <v>543</v>
      </c>
      <c r="W604" s="861" t="s">
        <v>544</v>
      </c>
      <c r="X604" s="861" t="s">
        <v>545</v>
      </c>
      <c r="Y604" s="861" t="s">
        <v>546</v>
      </c>
      <c r="Z604" s="861" t="s">
        <v>547</v>
      </c>
      <c r="AA604" s="861" t="s">
        <v>548</v>
      </c>
      <c r="AB604" s="861" t="s">
        <v>549</v>
      </c>
      <c r="AC604" s="861" t="s">
        <v>550</v>
      </c>
      <c r="AD604" s="861" t="s">
        <v>551</v>
      </c>
      <c r="AE604" s="861" t="s">
        <v>552</v>
      </c>
      <c r="AF604" s="861" t="s">
        <v>553</v>
      </c>
      <c r="AG604" s="861" t="s">
        <v>554</v>
      </c>
      <c r="AH604" s="6"/>
    </row>
    <row r="605" spans="1:34" s="3" customFormat="1" ht="15.95" customHeight="1" thickTop="1">
      <c r="A605" s="7"/>
      <c r="B605" s="19" t="s">
        <v>143</v>
      </c>
      <c r="C605" s="12"/>
      <c r="D605" s="200"/>
      <c r="E605" s="200"/>
      <c r="F605" s="199"/>
      <c r="G605" s="200"/>
      <c r="H605" s="199"/>
      <c r="I605" s="199"/>
      <c r="J605" s="200"/>
      <c r="K605" s="200"/>
      <c r="L605" s="289" t="s">
        <v>34</v>
      </c>
      <c r="M605" s="199"/>
      <c r="N605" s="40" t="str">
        <f>J$6</f>
        <v>FY2010-11</v>
      </c>
      <c r="O605" s="40" t="s">
        <v>155</v>
      </c>
      <c r="P605" s="40" t="s">
        <v>138</v>
      </c>
      <c r="Q605" s="40" t="s">
        <v>179</v>
      </c>
      <c r="R605" s="200"/>
      <c r="S605" s="199"/>
      <c r="T605" s="200"/>
      <c r="U605" s="200"/>
      <c r="V605" s="201"/>
      <c r="W605" s="201"/>
      <c r="X605" s="201"/>
      <c r="Y605" s="201"/>
      <c r="Z605" s="201"/>
      <c r="AA605" s="201"/>
      <c r="AB605" s="201"/>
      <c r="AC605" s="201"/>
      <c r="AD605" s="201"/>
      <c r="AE605" s="201"/>
      <c r="AF605" s="201"/>
      <c r="AG605" s="201"/>
      <c r="AH605" s="6"/>
    </row>
    <row r="606" spans="1:34" s="3" customFormat="1" ht="15.95" customHeight="1">
      <c r="A606" s="7"/>
      <c r="B606" s="16">
        <f>DSUM('$REV-DB'!D35:AG67,"AMOUNT",D604:AG606)</f>
        <v>0</v>
      </c>
      <c r="C606" s="12"/>
      <c r="D606" s="200"/>
      <c r="E606" s="200"/>
      <c r="F606" s="199"/>
      <c r="G606" s="200"/>
      <c r="H606" s="199"/>
      <c r="I606" s="199"/>
      <c r="J606" s="200"/>
      <c r="K606" s="200"/>
      <c r="L606" s="289" t="s">
        <v>34</v>
      </c>
      <c r="M606" s="199"/>
      <c r="N606" s="40" t="str">
        <f>J$6</f>
        <v>FY2010-11</v>
      </c>
      <c r="O606" s="40" t="s">
        <v>155</v>
      </c>
      <c r="P606" s="40" t="s">
        <v>147</v>
      </c>
      <c r="Q606" s="40" t="s">
        <v>179</v>
      </c>
      <c r="R606" s="200"/>
      <c r="S606" s="199" t="s">
        <v>103</v>
      </c>
      <c r="T606" s="200"/>
      <c r="U606" s="200"/>
      <c r="V606" s="201"/>
      <c r="W606" s="201"/>
      <c r="X606" s="201"/>
      <c r="Y606" s="201"/>
      <c r="Z606" s="201"/>
      <c r="AA606" s="201"/>
      <c r="AB606" s="201"/>
      <c r="AC606" s="201"/>
      <c r="AD606" s="201"/>
      <c r="AE606" s="201"/>
      <c r="AF606" s="201"/>
      <c r="AG606" s="201"/>
      <c r="AH606" s="6"/>
    </row>
    <row r="607" spans="1:34" s="3" customFormat="1" ht="15.95" customHeight="1">
      <c r="A607" s="7"/>
      <c r="B607" s="10"/>
      <c r="C607" s="12"/>
      <c r="D607" s="880"/>
      <c r="E607" s="880"/>
      <c r="F607" s="880"/>
      <c r="G607" s="880"/>
      <c r="H607" s="880"/>
      <c r="I607" s="880"/>
      <c r="J607" s="880"/>
      <c r="K607" s="880"/>
      <c r="L607" s="881"/>
      <c r="M607" s="880"/>
      <c r="N607" s="873"/>
      <c r="O607" s="873"/>
      <c r="P607" s="873"/>
      <c r="Q607" s="880"/>
      <c r="R607" s="880"/>
      <c r="S607" s="880"/>
      <c r="T607" s="882"/>
      <c r="U607" s="882"/>
      <c r="V607" s="883"/>
      <c r="W607" s="883"/>
      <c r="X607" s="883"/>
      <c r="Y607" s="883"/>
      <c r="Z607" s="883"/>
      <c r="AA607" s="883"/>
      <c r="AB607" s="883"/>
      <c r="AC607" s="883"/>
      <c r="AD607" s="883"/>
      <c r="AE607" s="883"/>
      <c r="AF607" s="883"/>
      <c r="AG607" s="883"/>
    </row>
    <row r="608" spans="1:34" s="3" customFormat="1" ht="15.95" customHeight="1">
      <c r="A608" s="7"/>
      <c r="B608" s="10"/>
      <c r="C608" s="12"/>
      <c r="D608" s="880"/>
      <c r="E608" s="880"/>
      <c r="F608" s="880"/>
      <c r="G608" s="880"/>
      <c r="H608" s="880"/>
      <c r="I608" s="880"/>
      <c r="J608" s="880"/>
      <c r="K608" s="880"/>
      <c r="L608" s="881"/>
      <c r="M608" s="880"/>
      <c r="N608" s="873"/>
      <c r="O608" s="873"/>
      <c r="P608" s="873"/>
      <c r="Q608" s="880"/>
      <c r="R608" s="880"/>
      <c r="S608" s="880"/>
      <c r="T608" s="882"/>
      <c r="U608" s="882"/>
      <c r="V608" s="883"/>
      <c r="W608" s="883"/>
      <c r="X608" s="883"/>
      <c r="Y608" s="883"/>
      <c r="Z608" s="883"/>
      <c r="AA608" s="883"/>
      <c r="AB608" s="883"/>
      <c r="AC608" s="883"/>
      <c r="AD608" s="883"/>
      <c r="AE608" s="883"/>
      <c r="AF608" s="883"/>
      <c r="AG608" s="883"/>
    </row>
    <row r="609" spans="1:34" s="3" customFormat="1" ht="15.95" customHeight="1">
      <c r="A609" s="7"/>
      <c r="B609" s="10"/>
      <c r="C609" s="12"/>
      <c r="D609" s="880"/>
      <c r="E609" s="880"/>
      <c r="F609" s="880"/>
      <c r="G609" s="880"/>
      <c r="H609" s="880"/>
      <c r="I609" s="880"/>
      <c r="J609" s="880"/>
      <c r="K609" s="880"/>
      <c r="L609" s="881"/>
      <c r="M609" s="880"/>
      <c r="N609" s="873"/>
      <c r="O609" s="873"/>
      <c r="P609" s="873"/>
      <c r="Q609" s="880"/>
      <c r="R609" s="880"/>
      <c r="S609" s="880"/>
      <c r="T609" s="882"/>
      <c r="U609" s="882"/>
      <c r="V609" s="883"/>
      <c r="W609" s="883"/>
      <c r="X609" s="883"/>
      <c r="Y609" s="883"/>
      <c r="Z609" s="883"/>
      <c r="AA609" s="883"/>
      <c r="AB609" s="883"/>
      <c r="AC609" s="883"/>
      <c r="AD609" s="883"/>
      <c r="AE609" s="883"/>
      <c r="AF609" s="883"/>
      <c r="AG609" s="883"/>
    </row>
    <row r="610" spans="1:34" s="3" customFormat="1" ht="15.95" customHeight="1">
      <c r="A610" s="7"/>
      <c r="B610" s="10"/>
      <c r="C610" s="12"/>
      <c r="D610" s="880"/>
      <c r="E610" s="880"/>
      <c r="F610" s="880"/>
      <c r="G610" s="880"/>
      <c r="H610" s="880"/>
      <c r="I610" s="880"/>
      <c r="J610" s="880"/>
      <c r="K610" s="880"/>
      <c r="L610" s="881"/>
      <c r="M610" s="880"/>
      <c r="N610" s="873"/>
      <c r="O610" s="873"/>
      <c r="P610" s="873"/>
      <c r="Q610" s="880"/>
      <c r="R610" s="880"/>
      <c r="S610" s="880"/>
      <c r="T610" s="882"/>
      <c r="U610" s="882"/>
      <c r="V610" s="883"/>
      <c r="W610" s="883"/>
      <c r="X610" s="883"/>
      <c r="Y610" s="883"/>
      <c r="Z610" s="883"/>
      <c r="AA610" s="883"/>
      <c r="AB610" s="883"/>
      <c r="AC610" s="883"/>
      <c r="AD610" s="883"/>
      <c r="AE610" s="883"/>
      <c r="AF610" s="883"/>
      <c r="AG610" s="883"/>
    </row>
    <row r="611" spans="1:34" s="3" customFormat="1" ht="15.95" customHeight="1">
      <c r="A611" s="7"/>
      <c r="B611" s="10"/>
      <c r="C611" s="12"/>
      <c r="D611" s="880"/>
      <c r="E611" s="880"/>
      <c r="F611" s="880"/>
      <c r="G611" s="880"/>
      <c r="H611" s="880"/>
      <c r="I611" s="880"/>
      <c r="J611" s="880"/>
      <c r="K611" s="880"/>
      <c r="L611" s="881"/>
      <c r="M611" s="880"/>
      <c r="N611" s="873"/>
      <c r="O611" s="873"/>
      <c r="P611" s="873"/>
      <c r="Q611" s="880"/>
      <c r="R611" s="880"/>
      <c r="S611" s="880"/>
      <c r="T611" s="882"/>
      <c r="U611" s="882"/>
      <c r="V611" s="883"/>
      <c r="W611" s="883"/>
      <c r="X611" s="883"/>
      <c r="Y611" s="883"/>
      <c r="Z611" s="883"/>
      <c r="AA611" s="883"/>
      <c r="AB611" s="883"/>
      <c r="AC611" s="883"/>
      <c r="AD611" s="883"/>
      <c r="AE611" s="883"/>
      <c r="AF611" s="883"/>
      <c r="AG611" s="883"/>
    </row>
    <row r="612" spans="1:34" s="3" customFormat="1" ht="15.95" customHeight="1">
      <c r="A612" s="36"/>
      <c r="B612" s="33"/>
      <c r="C612" s="33"/>
      <c r="D612" s="34"/>
      <c r="E612" s="34"/>
      <c r="F612" s="35"/>
      <c r="G612" s="34"/>
      <c r="H612" s="35"/>
      <c r="I612" s="35"/>
      <c r="J612" s="34"/>
      <c r="K612" s="34"/>
      <c r="L612" s="288"/>
      <c r="M612" s="35"/>
      <c r="N612" s="35"/>
      <c r="O612" s="34"/>
      <c r="P612" s="35"/>
      <c r="Q612" s="35"/>
      <c r="R612" s="34"/>
      <c r="S612" s="35"/>
      <c r="T612" s="34"/>
      <c r="U612" s="34"/>
      <c r="V612" s="36"/>
      <c r="W612" s="36"/>
      <c r="X612" s="36"/>
      <c r="Y612" s="36"/>
      <c r="Z612" s="36"/>
      <c r="AA612" s="36"/>
      <c r="AB612" s="36"/>
      <c r="AC612" s="36"/>
      <c r="AD612" s="36"/>
      <c r="AE612" s="36"/>
      <c r="AF612" s="36"/>
      <c r="AG612" s="36"/>
    </row>
    <row r="613" spans="1:34" s="3" customFormat="1"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66"/>
      <c r="T613" s="867" t="str">
        <f>'$REV-DB'!$T$34</f>
        <v>UD1</v>
      </c>
      <c r="U613" s="867" t="str">
        <f>'$REV-DB'!$U$34</f>
        <v>UD2</v>
      </c>
      <c r="V613" s="867" t="str">
        <f>'$REV-DB'!$V$34</f>
        <v>UD3</v>
      </c>
      <c r="W613" s="867" t="str">
        <f>'$REV-DB'!$W$34</f>
        <v>UD4</v>
      </c>
      <c r="X613" s="867" t="str">
        <f>'$REV-DB'!$X$34</f>
        <v>UD5</v>
      </c>
      <c r="Y613" s="867" t="str">
        <f>'$REV-DB'!$Y$34</f>
        <v>UD6</v>
      </c>
      <c r="Z613" s="867" t="str">
        <f>'$REV-DB'!$Z$34</f>
        <v>UD7</v>
      </c>
      <c r="AA613" s="867" t="str">
        <f>'$REV-DB'!$AA$34</f>
        <v>UD8</v>
      </c>
      <c r="AB613" s="867" t="str">
        <f>'$REV-DB'!$AB$34</f>
        <v>UD9</v>
      </c>
      <c r="AC613" s="867" t="str">
        <f>'$REV-DB'!$AC$34</f>
        <v>UD10</v>
      </c>
      <c r="AD613" s="867" t="str">
        <f>'$REV-DB'!$AD$34</f>
        <v>UD11</v>
      </c>
      <c r="AE613" s="867" t="str">
        <f>'$REV-DB'!$AE$34</f>
        <v>UD12</v>
      </c>
      <c r="AF613" s="867" t="str">
        <f>'$REV-DB'!$AF$34</f>
        <v>UD13</v>
      </c>
      <c r="AG613" s="867" t="str">
        <f>'$REV-DB'!$AG$34</f>
        <v>UD14</v>
      </c>
    </row>
    <row r="614" spans="1:34" s="3" customFormat="1" ht="15.95" customHeight="1" thickTop="1" thickBot="1">
      <c r="A614" s="7"/>
      <c r="B614" s="20" t="s">
        <v>4</v>
      </c>
      <c r="C614" s="15"/>
      <c r="D614" s="861" t="s">
        <v>186</v>
      </c>
      <c r="E614" s="861" t="s">
        <v>187</v>
      </c>
      <c r="F614" s="861" t="s">
        <v>188</v>
      </c>
      <c r="G614" s="861" t="s">
        <v>189</v>
      </c>
      <c r="H614" s="861" t="s">
        <v>11</v>
      </c>
      <c r="I614" s="861" t="s">
        <v>190</v>
      </c>
      <c r="J614" s="861" t="s">
        <v>191</v>
      </c>
      <c r="K614" s="861" t="s">
        <v>192</v>
      </c>
      <c r="L614" s="861" t="s">
        <v>203</v>
      </c>
      <c r="M614" s="861" t="s">
        <v>42</v>
      </c>
      <c r="N614" s="861" t="s">
        <v>148</v>
      </c>
      <c r="O614" s="861" t="s">
        <v>193</v>
      </c>
      <c r="P614" s="861" t="s">
        <v>142</v>
      </c>
      <c r="Q614" s="861" t="s">
        <v>194</v>
      </c>
      <c r="R614" s="112" t="s">
        <v>141</v>
      </c>
      <c r="S614" s="112" t="s">
        <v>672</v>
      </c>
      <c r="T614" s="861" t="s">
        <v>541</v>
      </c>
      <c r="U614" s="861" t="s">
        <v>542</v>
      </c>
      <c r="V614" s="861" t="s">
        <v>543</v>
      </c>
      <c r="W614" s="861" t="s">
        <v>544</v>
      </c>
      <c r="X614" s="861" t="s">
        <v>545</v>
      </c>
      <c r="Y614" s="861" t="s">
        <v>546</v>
      </c>
      <c r="Z614" s="861" t="s">
        <v>547</v>
      </c>
      <c r="AA614" s="861" t="s">
        <v>548</v>
      </c>
      <c r="AB614" s="861" t="s">
        <v>549</v>
      </c>
      <c r="AC614" s="861" t="s">
        <v>550</v>
      </c>
      <c r="AD614" s="861" t="s">
        <v>551</v>
      </c>
      <c r="AE614" s="861" t="s">
        <v>552</v>
      </c>
      <c r="AF614" s="861" t="s">
        <v>553</v>
      </c>
      <c r="AG614" s="861" t="s">
        <v>554</v>
      </c>
      <c r="AH614" s="6"/>
    </row>
    <row r="615" spans="1:34" s="3" customFormat="1" ht="15.95" customHeight="1" thickTop="1">
      <c r="A615" s="7"/>
      <c r="B615" s="19" t="s">
        <v>149</v>
      </c>
      <c r="C615" s="12"/>
      <c r="D615" s="200"/>
      <c r="E615" s="200"/>
      <c r="F615" s="199"/>
      <c r="G615" s="200"/>
      <c r="H615" s="199"/>
      <c r="I615" s="199"/>
      <c r="J615" s="200"/>
      <c r="K615" s="200"/>
      <c r="L615" s="289" t="s">
        <v>34</v>
      </c>
      <c r="M615" s="199"/>
      <c r="N615" s="40" t="str">
        <f>J$6</f>
        <v>FY2010-11</v>
      </c>
      <c r="O615" s="40" t="s">
        <v>155</v>
      </c>
      <c r="P615" s="40" t="s">
        <v>138</v>
      </c>
      <c r="Q615" s="40" t="s">
        <v>2</v>
      </c>
      <c r="R615" s="200"/>
      <c r="S615" s="199"/>
      <c r="T615" s="200"/>
      <c r="U615" s="200"/>
      <c r="V615" s="201"/>
      <c r="W615" s="201"/>
      <c r="X615" s="201"/>
      <c r="Y615" s="201"/>
      <c r="Z615" s="201"/>
      <c r="AA615" s="201"/>
      <c r="AB615" s="201"/>
      <c r="AC615" s="201"/>
      <c r="AD615" s="201"/>
      <c r="AE615" s="201"/>
      <c r="AF615" s="201"/>
      <c r="AG615" s="201"/>
      <c r="AH615" s="6"/>
    </row>
    <row r="616" spans="1:34" s="3" customFormat="1" ht="15.95" customHeight="1">
      <c r="A616" s="7"/>
      <c r="B616" s="16">
        <f>DSUM('$REV-DB'!D35:AG67,"AMOUNT",D614:AG616)</f>
        <v>0</v>
      </c>
      <c r="C616" s="12"/>
      <c r="D616" s="200"/>
      <c r="E616" s="200"/>
      <c r="F616" s="199"/>
      <c r="G616" s="200"/>
      <c r="H616" s="199"/>
      <c r="I616" s="199"/>
      <c r="J616" s="200"/>
      <c r="K616" s="200"/>
      <c r="L616" s="289" t="s">
        <v>34</v>
      </c>
      <c r="M616" s="199"/>
      <c r="N616" s="40" t="str">
        <f>J$6</f>
        <v>FY2010-11</v>
      </c>
      <c r="O616" s="40" t="s">
        <v>155</v>
      </c>
      <c r="P616" s="40" t="s">
        <v>147</v>
      </c>
      <c r="Q616" s="40" t="s">
        <v>2</v>
      </c>
      <c r="R616" s="200"/>
      <c r="S616" s="199" t="s">
        <v>103</v>
      </c>
      <c r="T616" s="200"/>
      <c r="U616" s="200"/>
      <c r="V616" s="201"/>
      <c r="W616" s="201"/>
      <c r="X616" s="201"/>
      <c r="Y616" s="201"/>
      <c r="Z616" s="201"/>
      <c r="AA616" s="201"/>
      <c r="AB616" s="201"/>
      <c r="AC616" s="201"/>
      <c r="AD616" s="201"/>
      <c r="AE616" s="201"/>
      <c r="AF616" s="201"/>
      <c r="AG616" s="201"/>
      <c r="AH616" s="6"/>
    </row>
    <row r="617" spans="1:34" s="3" customFormat="1" ht="15.95" customHeight="1">
      <c r="A617" s="7"/>
      <c r="B617" s="10"/>
      <c r="C617" s="12"/>
      <c r="D617" s="880"/>
      <c r="E617" s="880"/>
      <c r="F617" s="880"/>
      <c r="G617" s="880"/>
      <c r="H617" s="880"/>
      <c r="I617" s="880"/>
      <c r="J617" s="880"/>
      <c r="K617" s="880"/>
      <c r="L617" s="881"/>
      <c r="M617" s="880"/>
      <c r="N617" s="873"/>
      <c r="O617" s="873"/>
      <c r="P617" s="873"/>
      <c r="Q617" s="880"/>
      <c r="R617" s="880"/>
      <c r="S617" s="880"/>
      <c r="T617" s="882"/>
      <c r="U617" s="882"/>
      <c r="V617" s="883"/>
      <c r="W617" s="883"/>
      <c r="X617" s="883"/>
      <c r="Y617" s="883"/>
      <c r="Z617" s="883"/>
      <c r="AA617" s="883"/>
      <c r="AB617" s="883"/>
      <c r="AC617" s="883"/>
      <c r="AD617" s="883"/>
      <c r="AE617" s="883"/>
      <c r="AF617" s="883"/>
      <c r="AG617" s="883"/>
    </row>
    <row r="618" spans="1:34" s="3" customFormat="1" ht="15.95" customHeight="1">
      <c r="A618" s="7"/>
      <c r="B618" s="10"/>
      <c r="C618" s="12"/>
      <c r="D618" s="880"/>
      <c r="E618" s="880"/>
      <c r="F618" s="880"/>
      <c r="G618" s="880"/>
      <c r="H618" s="880"/>
      <c r="I618" s="880"/>
      <c r="J618" s="880"/>
      <c r="K618" s="880"/>
      <c r="L618" s="881"/>
      <c r="M618" s="880"/>
      <c r="N618" s="873"/>
      <c r="O618" s="873"/>
      <c r="P618" s="873"/>
      <c r="Q618" s="880"/>
      <c r="R618" s="880"/>
      <c r="S618" s="880"/>
      <c r="T618" s="882"/>
      <c r="U618" s="882"/>
      <c r="V618" s="883"/>
      <c r="W618" s="883"/>
      <c r="X618" s="883"/>
      <c r="Y618" s="883"/>
      <c r="Z618" s="883"/>
      <c r="AA618" s="883"/>
      <c r="AB618" s="883"/>
      <c r="AC618" s="883"/>
      <c r="AD618" s="883"/>
      <c r="AE618" s="883"/>
      <c r="AF618" s="883"/>
      <c r="AG618" s="883"/>
    </row>
    <row r="619" spans="1:34" s="3" customFormat="1" ht="15.95" customHeight="1">
      <c r="A619" s="7"/>
      <c r="B619" s="10"/>
      <c r="C619" s="12"/>
      <c r="D619" s="880"/>
      <c r="E619" s="880"/>
      <c r="F619" s="880"/>
      <c r="G619" s="880"/>
      <c r="H619" s="880"/>
      <c r="I619" s="880"/>
      <c r="J619" s="880"/>
      <c r="K619" s="880"/>
      <c r="L619" s="881"/>
      <c r="M619" s="880"/>
      <c r="N619" s="873"/>
      <c r="O619" s="873"/>
      <c r="P619" s="873"/>
      <c r="Q619" s="880"/>
      <c r="R619" s="880"/>
      <c r="S619" s="880"/>
      <c r="T619" s="882"/>
      <c r="U619" s="882"/>
      <c r="V619" s="883"/>
      <c r="W619" s="883"/>
      <c r="X619" s="883"/>
      <c r="Y619" s="883"/>
      <c r="Z619" s="883"/>
      <c r="AA619" s="883"/>
      <c r="AB619" s="883"/>
      <c r="AC619" s="883"/>
      <c r="AD619" s="883"/>
      <c r="AE619" s="883"/>
      <c r="AF619" s="883"/>
      <c r="AG619" s="883"/>
    </row>
    <row r="620" spans="1:34" s="3" customFormat="1" ht="15.95" customHeight="1">
      <c r="A620" s="7"/>
      <c r="B620" s="10"/>
      <c r="C620" s="12"/>
      <c r="D620" s="880"/>
      <c r="E620" s="880"/>
      <c r="F620" s="880"/>
      <c r="G620" s="880"/>
      <c r="H620" s="880"/>
      <c r="I620" s="880"/>
      <c r="J620" s="880"/>
      <c r="K620" s="880"/>
      <c r="L620" s="881"/>
      <c r="M620" s="880"/>
      <c r="N620" s="873"/>
      <c r="O620" s="873"/>
      <c r="P620" s="873"/>
      <c r="Q620" s="880"/>
      <c r="R620" s="880"/>
      <c r="S620" s="880"/>
      <c r="T620" s="882"/>
      <c r="U620" s="882"/>
      <c r="V620" s="883"/>
      <c r="W620" s="883"/>
      <c r="X620" s="883"/>
      <c r="Y620" s="883"/>
      <c r="Z620" s="883"/>
      <c r="AA620" s="883"/>
      <c r="AB620" s="883"/>
      <c r="AC620" s="883"/>
      <c r="AD620" s="883"/>
      <c r="AE620" s="883"/>
      <c r="AF620" s="883"/>
      <c r="AG620" s="883"/>
    </row>
    <row r="621" spans="1:34" s="3" customFormat="1" ht="15.95" customHeight="1">
      <c r="A621" s="7"/>
      <c r="B621" s="10"/>
      <c r="C621" s="12"/>
      <c r="D621" s="880"/>
      <c r="E621" s="880"/>
      <c r="F621" s="880"/>
      <c r="G621" s="880"/>
      <c r="H621" s="880"/>
      <c r="I621" s="880"/>
      <c r="J621" s="880"/>
      <c r="K621" s="880"/>
      <c r="L621" s="881"/>
      <c r="M621" s="880"/>
      <c r="N621" s="873"/>
      <c r="O621" s="873"/>
      <c r="P621" s="873"/>
      <c r="Q621" s="880"/>
      <c r="R621" s="880"/>
      <c r="S621" s="880"/>
      <c r="T621" s="882"/>
      <c r="U621" s="882"/>
      <c r="V621" s="883"/>
      <c r="W621" s="883"/>
      <c r="X621" s="883"/>
      <c r="Y621" s="883"/>
      <c r="Z621" s="883"/>
      <c r="AA621" s="883"/>
      <c r="AB621" s="883"/>
      <c r="AC621" s="883"/>
      <c r="AD621" s="883"/>
      <c r="AE621" s="883"/>
      <c r="AF621" s="883"/>
      <c r="AG621" s="883"/>
    </row>
    <row r="622" spans="1:34" s="3" customFormat="1" ht="15.95" customHeight="1">
      <c r="A622" s="36"/>
      <c r="B622" s="33"/>
      <c r="C622" s="33"/>
      <c r="D622" s="34"/>
      <c r="E622" s="34"/>
      <c r="F622" s="35"/>
      <c r="G622" s="34"/>
      <c r="H622" s="35"/>
      <c r="I622" s="35"/>
      <c r="J622" s="34"/>
      <c r="K622" s="34"/>
      <c r="L622" s="288"/>
      <c r="M622" s="35"/>
      <c r="N622" s="35"/>
      <c r="O622" s="34"/>
      <c r="P622" s="35"/>
      <c r="Q622" s="35"/>
      <c r="R622" s="34"/>
      <c r="S622" s="35"/>
      <c r="T622" s="34"/>
      <c r="U622" s="34"/>
      <c r="V622" s="36"/>
      <c r="W622" s="36"/>
      <c r="X622" s="36"/>
      <c r="Y622" s="36"/>
      <c r="Z622" s="36"/>
      <c r="AA622" s="36"/>
      <c r="AB622" s="36"/>
      <c r="AC622" s="36"/>
      <c r="AD622" s="36"/>
      <c r="AE622" s="36"/>
      <c r="AF622" s="36"/>
      <c r="AG622" s="36"/>
    </row>
    <row r="623" spans="1:34" s="3" customFormat="1"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66"/>
      <c r="T623" s="867" t="str">
        <f>'$REV-DB'!$T$34</f>
        <v>UD1</v>
      </c>
      <c r="U623" s="867" t="str">
        <f>'$REV-DB'!$U$34</f>
        <v>UD2</v>
      </c>
      <c r="V623" s="867" t="str">
        <f>'$REV-DB'!$V$34</f>
        <v>UD3</v>
      </c>
      <c r="W623" s="867" t="str">
        <f>'$REV-DB'!$W$34</f>
        <v>UD4</v>
      </c>
      <c r="X623" s="867" t="str">
        <f>'$REV-DB'!$X$34</f>
        <v>UD5</v>
      </c>
      <c r="Y623" s="867" t="str">
        <f>'$REV-DB'!$Y$34</f>
        <v>UD6</v>
      </c>
      <c r="Z623" s="867" t="str">
        <f>'$REV-DB'!$Z$34</f>
        <v>UD7</v>
      </c>
      <c r="AA623" s="867" t="str">
        <f>'$REV-DB'!$AA$34</f>
        <v>UD8</v>
      </c>
      <c r="AB623" s="867" t="str">
        <f>'$REV-DB'!$AB$34</f>
        <v>UD9</v>
      </c>
      <c r="AC623" s="867" t="str">
        <f>'$REV-DB'!$AC$34</f>
        <v>UD10</v>
      </c>
      <c r="AD623" s="867" t="str">
        <f>'$REV-DB'!$AD$34</f>
        <v>UD11</v>
      </c>
      <c r="AE623" s="867" t="str">
        <f>'$REV-DB'!$AE$34</f>
        <v>UD12</v>
      </c>
      <c r="AF623" s="867" t="str">
        <f>'$REV-DB'!$AF$34</f>
        <v>UD13</v>
      </c>
      <c r="AG623" s="867" t="str">
        <f>'$REV-DB'!$AG$34</f>
        <v>UD14</v>
      </c>
    </row>
    <row r="624" spans="1:34" s="3" customFormat="1" ht="15.95" customHeight="1" thickTop="1" thickBot="1">
      <c r="A624" s="7"/>
      <c r="B624" s="20" t="s">
        <v>4</v>
      </c>
      <c r="C624" s="15"/>
      <c r="D624" s="861" t="s">
        <v>186</v>
      </c>
      <c r="E624" s="861" t="s">
        <v>187</v>
      </c>
      <c r="F624" s="861" t="s">
        <v>188</v>
      </c>
      <c r="G624" s="861" t="s">
        <v>189</v>
      </c>
      <c r="H624" s="861" t="s">
        <v>11</v>
      </c>
      <c r="I624" s="861" t="s">
        <v>190</v>
      </c>
      <c r="J624" s="861" t="s">
        <v>191</v>
      </c>
      <c r="K624" s="861" t="s">
        <v>192</v>
      </c>
      <c r="L624" s="861" t="s">
        <v>203</v>
      </c>
      <c r="M624" s="861" t="s">
        <v>42</v>
      </c>
      <c r="N624" s="861" t="s">
        <v>148</v>
      </c>
      <c r="O624" s="861" t="s">
        <v>193</v>
      </c>
      <c r="P624" s="861" t="s">
        <v>142</v>
      </c>
      <c r="Q624" s="861" t="s">
        <v>194</v>
      </c>
      <c r="R624" s="112" t="s">
        <v>141</v>
      </c>
      <c r="S624" s="112" t="s">
        <v>672</v>
      </c>
      <c r="T624" s="861" t="s">
        <v>541</v>
      </c>
      <c r="U624" s="861" t="s">
        <v>542</v>
      </c>
      <c r="V624" s="861" t="s">
        <v>543</v>
      </c>
      <c r="W624" s="861" t="s">
        <v>544</v>
      </c>
      <c r="X624" s="861" t="s">
        <v>545</v>
      </c>
      <c r="Y624" s="861" t="s">
        <v>546</v>
      </c>
      <c r="Z624" s="861" t="s">
        <v>547</v>
      </c>
      <c r="AA624" s="861" t="s">
        <v>548</v>
      </c>
      <c r="AB624" s="861" t="s">
        <v>549</v>
      </c>
      <c r="AC624" s="861" t="s">
        <v>550</v>
      </c>
      <c r="AD624" s="861" t="s">
        <v>551</v>
      </c>
      <c r="AE624" s="861" t="s">
        <v>552</v>
      </c>
      <c r="AF624" s="861" t="s">
        <v>553</v>
      </c>
      <c r="AG624" s="861" t="s">
        <v>554</v>
      </c>
      <c r="AH624" s="6"/>
    </row>
    <row r="625" spans="1:34" s="3" customFormat="1" ht="15.95" customHeight="1" thickTop="1">
      <c r="A625" s="7"/>
      <c r="B625" s="19" t="s">
        <v>364</v>
      </c>
      <c r="C625" s="12"/>
      <c r="D625" s="200"/>
      <c r="E625" s="200"/>
      <c r="F625" s="199"/>
      <c r="G625" s="200"/>
      <c r="H625" s="199"/>
      <c r="I625" s="199"/>
      <c r="J625" s="200"/>
      <c r="K625" s="200"/>
      <c r="L625" s="289" t="s">
        <v>34</v>
      </c>
      <c r="M625" s="199"/>
      <c r="N625" s="40" t="str">
        <f>J$6</f>
        <v>FY2010-11</v>
      </c>
      <c r="O625" s="40" t="s">
        <v>155</v>
      </c>
      <c r="P625" s="40" t="s">
        <v>138</v>
      </c>
      <c r="Q625" s="40" t="s">
        <v>70</v>
      </c>
      <c r="R625" s="200"/>
      <c r="S625" s="199"/>
      <c r="T625" s="200"/>
      <c r="U625" s="200"/>
      <c r="V625" s="201"/>
      <c r="W625" s="201"/>
      <c r="X625" s="201"/>
      <c r="Y625" s="201"/>
      <c r="Z625" s="201"/>
      <c r="AA625" s="201"/>
      <c r="AB625" s="201"/>
      <c r="AC625" s="201"/>
      <c r="AD625" s="201"/>
      <c r="AE625" s="201"/>
      <c r="AF625" s="201"/>
      <c r="AG625" s="201"/>
      <c r="AH625" s="6"/>
    </row>
    <row r="626" spans="1:34" s="3" customFormat="1" ht="15.95" customHeight="1">
      <c r="A626" s="7"/>
      <c r="B626" s="16">
        <f>DSUM('$REV-DB'!D35:AG67,"AMOUNT",D624:AG626)</f>
        <v>0</v>
      </c>
      <c r="C626" s="12"/>
      <c r="D626" s="200"/>
      <c r="E626" s="200"/>
      <c r="F626" s="199"/>
      <c r="G626" s="200"/>
      <c r="H626" s="199"/>
      <c r="I626" s="199"/>
      <c r="J626" s="200"/>
      <c r="K626" s="200"/>
      <c r="L626" s="289" t="s">
        <v>34</v>
      </c>
      <c r="M626" s="199"/>
      <c r="N626" s="40" t="str">
        <f>J$6</f>
        <v>FY2010-11</v>
      </c>
      <c r="O626" s="40" t="s">
        <v>155</v>
      </c>
      <c r="P626" s="40" t="s">
        <v>147</v>
      </c>
      <c r="Q626" s="40" t="s">
        <v>70</v>
      </c>
      <c r="R626" s="200"/>
      <c r="S626" s="199" t="s">
        <v>103</v>
      </c>
      <c r="T626" s="200"/>
      <c r="U626" s="200"/>
      <c r="V626" s="201"/>
      <c r="W626" s="201"/>
      <c r="X626" s="201"/>
      <c r="Y626" s="201"/>
      <c r="Z626" s="201"/>
      <c r="AA626" s="201"/>
      <c r="AB626" s="201"/>
      <c r="AC626" s="201"/>
      <c r="AD626" s="201"/>
      <c r="AE626" s="201"/>
      <c r="AF626" s="201"/>
      <c r="AG626" s="201"/>
      <c r="AH626" s="6"/>
    </row>
    <row r="627" spans="1:34" s="3" customFormat="1" ht="15.95" customHeight="1">
      <c r="A627" s="7"/>
      <c r="B627" s="10"/>
      <c r="C627" s="12"/>
      <c r="D627" s="880"/>
      <c r="E627" s="880"/>
      <c r="F627" s="880"/>
      <c r="G627" s="880"/>
      <c r="H627" s="880"/>
      <c r="I627" s="880"/>
      <c r="J627" s="880"/>
      <c r="K627" s="880"/>
      <c r="L627" s="881"/>
      <c r="M627" s="880"/>
      <c r="N627" s="873"/>
      <c r="O627" s="873"/>
      <c r="P627" s="873"/>
      <c r="Q627" s="880"/>
      <c r="R627" s="880"/>
      <c r="S627" s="880"/>
      <c r="T627" s="882"/>
      <c r="U627" s="882"/>
      <c r="V627" s="883"/>
      <c r="W627" s="883"/>
      <c r="X627" s="883"/>
      <c r="Y627" s="883"/>
      <c r="Z627" s="883"/>
      <c r="AA627" s="883"/>
      <c r="AB627" s="883"/>
      <c r="AC627" s="883"/>
      <c r="AD627" s="883"/>
      <c r="AE627" s="883"/>
      <c r="AF627" s="883"/>
      <c r="AG627" s="883"/>
    </row>
    <row r="628" spans="1:34" s="3" customFormat="1" ht="15.95" customHeight="1">
      <c r="A628" s="7"/>
      <c r="B628" s="10"/>
      <c r="C628" s="12"/>
      <c r="D628" s="880"/>
      <c r="E628" s="880"/>
      <c r="F628" s="880"/>
      <c r="G628" s="880"/>
      <c r="H628" s="880"/>
      <c r="I628" s="880"/>
      <c r="J628" s="880"/>
      <c r="K628" s="880"/>
      <c r="L628" s="881"/>
      <c r="M628" s="880"/>
      <c r="N628" s="873"/>
      <c r="O628" s="873"/>
      <c r="P628" s="873"/>
      <c r="Q628" s="880"/>
      <c r="R628" s="880"/>
      <c r="S628" s="880"/>
      <c r="T628" s="882"/>
      <c r="U628" s="882"/>
      <c r="V628" s="883"/>
      <c r="W628" s="883"/>
      <c r="X628" s="883"/>
      <c r="Y628" s="883"/>
      <c r="Z628" s="883"/>
      <c r="AA628" s="883"/>
      <c r="AB628" s="883"/>
      <c r="AC628" s="883"/>
      <c r="AD628" s="883"/>
      <c r="AE628" s="883"/>
      <c r="AF628" s="883"/>
      <c r="AG628" s="883"/>
    </row>
    <row r="629" spans="1:34" s="3" customFormat="1" ht="15.95" customHeight="1">
      <c r="A629" s="7"/>
      <c r="B629" s="10"/>
      <c r="C629" s="12"/>
      <c r="D629" s="880"/>
      <c r="E629" s="880"/>
      <c r="F629" s="880"/>
      <c r="G629" s="880"/>
      <c r="H629" s="880"/>
      <c r="I629" s="880"/>
      <c r="J629" s="880"/>
      <c r="K629" s="880"/>
      <c r="L629" s="881"/>
      <c r="M629" s="880"/>
      <c r="N629" s="873"/>
      <c r="O629" s="873"/>
      <c r="P629" s="873"/>
      <c r="Q629" s="880"/>
      <c r="R629" s="880"/>
      <c r="S629" s="880"/>
      <c r="T629" s="882"/>
      <c r="U629" s="882"/>
      <c r="V629" s="883"/>
      <c r="W629" s="883"/>
      <c r="X629" s="883"/>
      <c r="Y629" s="883"/>
      <c r="Z629" s="883"/>
      <c r="AA629" s="883"/>
      <c r="AB629" s="883"/>
      <c r="AC629" s="883"/>
      <c r="AD629" s="883"/>
      <c r="AE629" s="883"/>
      <c r="AF629" s="883"/>
      <c r="AG629" s="883"/>
    </row>
    <row r="630" spans="1:34" s="3" customFormat="1" ht="15.95" customHeight="1">
      <c r="A630" s="7"/>
      <c r="B630" s="10"/>
      <c r="C630" s="12"/>
      <c r="D630" s="880"/>
      <c r="E630" s="880"/>
      <c r="F630" s="880"/>
      <c r="G630" s="880"/>
      <c r="H630" s="880"/>
      <c r="I630" s="880"/>
      <c r="J630" s="880"/>
      <c r="K630" s="880"/>
      <c r="L630" s="881"/>
      <c r="M630" s="880"/>
      <c r="N630" s="873"/>
      <c r="O630" s="873"/>
      <c r="P630" s="873"/>
      <c r="Q630" s="880"/>
      <c r="R630" s="880"/>
      <c r="S630" s="880"/>
      <c r="T630" s="882"/>
      <c r="U630" s="882"/>
      <c r="V630" s="883"/>
      <c r="W630" s="883"/>
      <c r="X630" s="883"/>
      <c r="Y630" s="883"/>
      <c r="Z630" s="883"/>
      <c r="AA630" s="883"/>
      <c r="AB630" s="883"/>
      <c r="AC630" s="883"/>
      <c r="AD630" s="883"/>
      <c r="AE630" s="883"/>
      <c r="AF630" s="883"/>
      <c r="AG630" s="883"/>
    </row>
    <row r="631" spans="1:34" s="3" customFormat="1" ht="15.95" customHeight="1">
      <c r="A631" s="7"/>
      <c r="B631" s="10"/>
      <c r="C631" s="12"/>
      <c r="D631" s="880"/>
      <c r="E631" s="880"/>
      <c r="F631" s="880"/>
      <c r="G631" s="880"/>
      <c r="H631" s="880"/>
      <c r="I631" s="880"/>
      <c r="J631" s="880"/>
      <c r="K631" s="880"/>
      <c r="L631" s="881"/>
      <c r="M631" s="880"/>
      <c r="N631" s="873"/>
      <c r="O631" s="873"/>
      <c r="P631" s="873"/>
      <c r="Q631" s="880"/>
      <c r="R631" s="880"/>
      <c r="S631" s="880"/>
      <c r="T631" s="882"/>
      <c r="U631" s="882"/>
      <c r="V631" s="883"/>
      <c r="W631" s="883"/>
      <c r="X631" s="883"/>
      <c r="Y631" s="883"/>
      <c r="Z631" s="883"/>
      <c r="AA631" s="883"/>
      <c r="AB631" s="883"/>
      <c r="AC631" s="883"/>
      <c r="AD631" s="883"/>
      <c r="AE631" s="883"/>
      <c r="AF631" s="883"/>
      <c r="AG631" s="883"/>
    </row>
    <row r="632" spans="1:34" s="3" customFormat="1" ht="15.95" customHeight="1">
      <c r="A632" s="36"/>
      <c r="B632" s="33"/>
      <c r="C632" s="33"/>
      <c r="D632" s="34"/>
      <c r="E632" s="34"/>
      <c r="F632" s="35"/>
      <c r="G632" s="34"/>
      <c r="H632" s="35"/>
      <c r="I632" s="35"/>
      <c r="J632" s="34"/>
      <c r="K632" s="34"/>
      <c r="L632" s="288"/>
      <c r="M632" s="35"/>
      <c r="N632" s="35"/>
      <c r="O632" s="34"/>
      <c r="P632" s="35"/>
      <c r="Q632" s="35"/>
      <c r="R632" s="34"/>
      <c r="S632" s="35"/>
      <c r="T632" s="34"/>
      <c r="U632" s="34"/>
      <c r="V632" s="36"/>
      <c r="W632" s="36"/>
      <c r="X632" s="36"/>
      <c r="Y632" s="36"/>
      <c r="Z632" s="36"/>
      <c r="AA632" s="36"/>
      <c r="AB632" s="36"/>
      <c r="AC632" s="36"/>
      <c r="AD632" s="36"/>
      <c r="AE632" s="36"/>
      <c r="AF632" s="36"/>
      <c r="AG632" s="36"/>
    </row>
    <row r="633" spans="1:34" s="3" customFormat="1"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66"/>
      <c r="T633" s="867" t="str">
        <f>'$REV-DB'!$T$34</f>
        <v>UD1</v>
      </c>
      <c r="U633" s="867" t="str">
        <f>'$REV-DB'!$U$34</f>
        <v>UD2</v>
      </c>
      <c r="V633" s="867" t="str">
        <f>'$REV-DB'!$V$34</f>
        <v>UD3</v>
      </c>
      <c r="W633" s="867" t="str">
        <f>'$REV-DB'!$W$34</f>
        <v>UD4</v>
      </c>
      <c r="X633" s="867" t="str">
        <f>'$REV-DB'!$X$34</f>
        <v>UD5</v>
      </c>
      <c r="Y633" s="867" t="str">
        <f>'$REV-DB'!$Y$34</f>
        <v>UD6</v>
      </c>
      <c r="Z633" s="867" t="str">
        <f>'$REV-DB'!$Z$34</f>
        <v>UD7</v>
      </c>
      <c r="AA633" s="867" t="str">
        <f>'$REV-DB'!$AA$34</f>
        <v>UD8</v>
      </c>
      <c r="AB633" s="867" t="str">
        <f>'$REV-DB'!$AB$34</f>
        <v>UD9</v>
      </c>
      <c r="AC633" s="867" t="str">
        <f>'$REV-DB'!$AC$34</f>
        <v>UD10</v>
      </c>
      <c r="AD633" s="867" t="str">
        <f>'$REV-DB'!$AD$34</f>
        <v>UD11</v>
      </c>
      <c r="AE633" s="867" t="str">
        <f>'$REV-DB'!$AE$34</f>
        <v>UD12</v>
      </c>
      <c r="AF633" s="867" t="str">
        <f>'$REV-DB'!$AF$34</f>
        <v>UD13</v>
      </c>
      <c r="AG633" s="867" t="str">
        <f>'$REV-DB'!$AG$34</f>
        <v>UD14</v>
      </c>
    </row>
    <row r="634" spans="1:34" s="3" customFormat="1" ht="15.95" customHeight="1" thickTop="1" thickBot="1">
      <c r="A634" s="7"/>
      <c r="B634" s="20" t="s">
        <v>4</v>
      </c>
      <c r="C634" s="15"/>
      <c r="D634" s="861" t="s">
        <v>186</v>
      </c>
      <c r="E634" s="861" t="s">
        <v>187</v>
      </c>
      <c r="F634" s="861" t="s">
        <v>188</v>
      </c>
      <c r="G634" s="861" t="s">
        <v>189</v>
      </c>
      <c r="H634" s="861" t="s">
        <v>11</v>
      </c>
      <c r="I634" s="861" t="s">
        <v>190</v>
      </c>
      <c r="J634" s="861" t="s">
        <v>191</v>
      </c>
      <c r="K634" s="861" t="s">
        <v>192</v>
      </c>
      <c r="L634" s="861" t="s">
        <v>203</v>
      </c>
      <c r="M634" s="861" t="s">
        <v>42</v>
      </c>
      <c r="N634" s="861" t="s">
        <v>148</v>
      </c>
      <c r="O634" s="861" t="s">
        <v>193</v>
      </c>
      <c r="P634" s="861" t="s">
        <v>142</v>
      </c>
      <c r="Q634" s="861" t="s">
        <v>194</v>
      </c>
      <c r="R634" s="112" t="s">
        <v>141</v>
      </c>
      <c r="S634" s="112" t="s">
        <v>672</v>
      </c>
      <c r="T634" s="861" t="s">
        <v>541</v>
      </c>
      <c r="U634" s="861" t="s">
        <v>542</v>
      </c>
      <c r="V634" s="861" t="s">
        <v>543</v>
      </c>
      <c r="W634" s="861" t="s">
        <v>544</v>
      </c>
      <c r="X634" s="861" t="s">
        <v>545</v>
      </c>
      <c r="Y634" s="861" t="s">
        <v>546</v>
      </c>
      <c r="Z634" s="861" t="s">
        <v>547</v>
      </c>
      <c r="AA634" s="861" t="s">
        <v>548</v>
      </c>
      <c r="AB634" s="861" t="s">
        <v>549</v>
      </c>
      <c r="AC634" s="861" t="s">
        <v>550</v>
      </c>
      <c r="AD634" s="861" t="s">
        <v>551</v>
      </c>
      <c r="AE634" s="861" t="s">
        <v>552</v>
      </c>
      <c r="AF634" s="861" t="s">
        <v>553</v>
      </c>
      <c r="AG634" s="861" t="s">
        <v>554</v>
      </c>
      <c r="AH634" s="6"/>
    </row>
    <row r="635" spans="1:34" s="3" customFormat="1" ht="15.95" customHeight="1" thickTop="1">
      <c r="A635" s="7"/>
      <c r="B635" s="19" t="s">
        <v>150</v>
      </c>
      <c r="C635" s="12"/>
      <c r="D635" s="200"/>
      <c r="E635" s="200"/>
      <c r="F635" s="199"/>
      <c r="G635" s="200"/>
      <c r="H635" s="199"/>
      <c r="I635" s="199"/>
      <c r="J635" s="200"/>
      <c r="K635" s="200"/>
      <c r="L635" s="289" t="s">
        <v>34</v>
      </c>
      <c r="M635" s="199"/>
      <c r="N635" s="40" t="str">
        <f>J$6</f>
        <v>FY2010-11</v>
      </c>
      <c r="O635" s="40" t="s">
        <v>155</v>
      </c>
      <c r="P635" s="40" t="s">
        <v>138</v>
      </c>
      <c r="Q635" s="40" t="s">
        <v>140</v>
      </c>
      <c r="R635" s="200"/>
      <c r="S635" s="199"/>
      <c r="T635" s="200"/>
      <c r="U635" s="200"/>
      <c r="V635" s="201"/>
      <c r="W635" s="201"/>
      <c r="X635" s="201"/>
      <c r="Y635" s="201"/>
      <c r="Z635" s="201"/>
      <c r="AA635" s="201"/>
      <c r="AB635" s="201"/>
      <c r="AC635" s="201"/>
      <c r="AD635" s="201"/>
      <c r="AE635" s="201"/>
      <c r="AF635" s="201"/>
      <c r="AG635" s="201"/>
      <c r="AH635" s="6"/>
    </row>
    <row r="636" spans="1:34" s="3" customFormat="1" ht="15.95" customHeight="1">
      <c r="A636" s="7"/>
      <c r="B636" s="16">
        <f>DSUM('$REV-DB'!D35:AG67,"AMOUNT",D634:AG636)</f>
        <v>0</v>
      </c>
      <c r="C636" s="12"/>
      <c r="D636" s="200"/>
      <c r="E636" s="200"/>
      <c r="F636" s="199"/>
      <c r="G636" s="200"/>
      <c r="H636" s="199"/>
      <c r="I636" s="199"/>
      <c r="J636" s="200"/>
      <c r="K636" s="200"/>
      <c r="L636" s="289" t="s">
        <v>34</v>
      </c>
      <c r="M636" s="199"/>
      <c r="N636" s="40" t="str">
        <f>J$6</f>
        <v>FY2010-11</v>
      </c>
      <c r="O636" s="40" t="s">
        <v>155</v>
      </c>
      <c r="P636" s="40" t="s">
        <v>147</v>
      </c>
      <c r="Q636" s="40" t="s">
        <v>140</v>
      </c>
      <c r="R636" s="200"/>
      <c r="S636" s="199" t="s">
        <v>103</v>
      </c>
      <c r="T636" s="200"/>
      <c r="U636" s="200"/>
      <c r="V636" s="201"/>
      <c r="W636" s="201"/>
      <c r="X636" s="201"/>
      <c r="Y636" s="201"/>
      <c r="Z636" s="201"/>
      <c r="AA636" s="201"/>
      <c r="AB636" s="201"/>
      <c r="AC636" s="201"/>
      <c r="AD636" s="201"/>
      <c r="AE636" s="201"/>
      <c r="AF636" s="201"/>
      <c r="AG636" s="201"/>
      <c r="AH636" s="6"/>
    </row>
    <row r="637" spans="1:34" s="3" customFormat="1" ht="15.95" customHeight="1">
      <c r="A637" s="7"/>
      <c r="B637" s="10"/>
      <c r="C637" s="12"/>
      <c r="D637" s="880"/>
      <c r="E637" s="880"/>
      <c r="F637" s="880"/>
      <c r="G637" s="880"/>
      <c r="H637" s="880"/>
      <c r="I637" s="880"/>
      <c r="J637" s="880"/>
      <c r="K637" s="880"/>
      <c r="L637" s="881"/>
      <c r="M637" s="880"/>
      <c r="N637" s="873"/>
      <c r="O637" s="873"/>
      <c r="P637" s="873"/>
      <c r="Q637" s="880"/>
      <c r="R637" s="880"/>
      <c r="S637" s="880"/>
      <c r="T637" s="882"/>
      <c r="U637" s="882"/>
      <c r="V637" s="883"/>
      <c r="W637" s="883"/>
      <c r="X637" s="883"/>
      <c r="Y637" s="883"/>
      <c r="Z637" s="883"/>
      <c r="AA637" s="883"/>
      <c r="AB637" s="883"/>
      <c r="AC637" s="883"/>
      <c r="AD637" s="883"/>
      <c r="AE637" s="883"/>
      <c r="AF637" s="883"/>
      <c r="AG637" s="883"/>
    </row>
    <row r="638" spans="1:34" s="3" customFormat="1" ht="15.95" customHeight="1">
      <c r="A638" s="7"/>
      <c r="B638" s="10"/>
      <c r="C638" s="12"/>
      <c r="D638" s="880"/>
      <c r="E638" s="880"/>
      <c r="F638" s="880"/>
      <c r="G638" s="880"/>
      <c r="H638" s="880"/>
      <c r="I638" s="880"/>
      <c r="J638" s="880"/>
      <c r="K638" s="880"/>
      <c r="L638" s="881"/>
      <c r="M638" s="880"/>
      <c r="N638" s="873"/>
      <c r="O638" s="873"/>
      <c r="P638" s="873"/>
      <c r="Q638" s="880"/>
      <c r="R638" s="880"/>
      <c r="S638" s="880"/>
      <c r="T638" s="882"/>
      <c r="U638" s="882"/>
      <c r="V638" s="883"/>
      <c r="W638" s="883"/>
      <c r="X638" s="883"/>
      <c r="Y638" s="883"/>
      <c r="Z638" s="883"/>
      <c r="AA638" s="883"/>
      <c r="AB638" s="883"/>
      <c r="AC638" s="883"/>
      <c r="AD638" s="883"/>
      <c r="AE638" s="883"/>
      <c r="AF638" s="883"/>
      <c r="AG638" s="883"/>
    </row>
    <row r="639" spans="1:34" s="3" customFormat="1" ht="15.95" customHeight="1">
      <c r="A639" s="7"/>
      <c r="B639" s="10"/>
      <c r="C639" s="12"/>
      <c r="D639" s="880"/>
      <c r="E639" s="880"/>
      <c r="F639" s="880"/>
      <c r="G639" s="880"/>
      <c r="H639" s="880"/>
      <c r="I639" s="880"/>
      <c r="J639" s="880"/>
      <c r="K639" s="880"/>
      <c r="L639" s="881"/>
      <c r="M639" s="880"/>
      <c r="N639" s="873"/>
      <c r="O639" s="873"/>
      <c r="P639" s="873"/>
      <c r="Q639" s="880"/>
      <c r="R639" s="880"/>
      <c r="S639" s="880"/>
      <c r="T639" s="882"/>
      <c r="U639" s="882"/>
      <c r="V639" s="883"/>
      <c r="W639" s="883"/>
      <c r="X639" s="883"/>
      <c r="Y639" s="883"/>
      <c r="Z639" s="883"/>
      <c r="AA639" s="883"/>
      <c r="AB639" s="883"/>
      <c r="AC639" s="883"/>
      <c r="AD639" s="883"/>
      <c r="AE639" s="883"/>
      <c r="AF639" s="883"/>
      <c r="AG639" s="883"/>
    </row>
    <row r="640" spans="1:34" s="3" customFormat="1" ht="15.95" customHeight="1">
      <c r="A640" s="7"/>
      <c r="B640" s="10"/>
      <c r="C640" s="12"/>
      <c r="D640" s="880"/>
      <c r="E640" s="880"/>
      <c r="F640" s="880"/>
      <c r="G640" s="880"/>
      <c r="H640" s="880"/>
      <c r="I640" s="880"/>
      <c r="J640" s="880"/>
      <c r="K640" s="880"/>
      <c r="L640" s="881"/>
      <c r="M640" s="880"/>
      <c r="N640" s="873"/>
      <c r="O640" s="873"/>
      <c r="P640" s="873"/>
      <c r="Q640" s="880"/>
      <c r="R640" s="880"/>
      <c r="S640" s="880"/>
      <c r="T640" s="882"/>
      <c r="U640" s="882"/>
      <c r="V640" s="883"/>
      <c r="W640" s="883"/>
      <c r="X640" s="883"/>
      <c r="Y640" s="883"/>
      <c r="Z640" s="883"/>
      <c r="AA640" s="883"/>
      <c r="AB640" s="883"/>
      <c r="AC640" s="883"/>
      <c r="AD640" s="883"/>
      <c r="AE640" s="883"/>
      <c r="AF640" s="883"/>
      <c r="AG640" s="883"/>
    </row>
    <row r="641" spans="1:34" s="3" customFormat="1" ht="15.95" customHeight="1">
      <c r="A641" s="7"/>
      <c r="B641" s="10"/>
      <c r="C641" s="12"/>
      <c r="D641" s="880"/>
      <c r="E641" s="880"/>
      <c r="F641" s="880"/>
      <c r="G641" s="880"/>
      <c r="H641" s="880"/>
      <c r="I641" s="880"/>
      <c r="J641" s="880"/>
      <c r="K641" s="880"/>
      <c r="L641" s="881"/>
      <c r="M641" s="880"/>
      <c r="N641" s="873"/>
      <c r="O641" s="873"/>
      <c r="P641" s="873"/>
      <c r="Q641" s="880"/>
      <c r="R641" s="880"/>
      <c r="S641" s="880"/>
      <c r="T641" s="882"/>
      <c r="U641" s="882"/>
      <c r="V641" s="883"/>
      <c r="W641" s="883"/>
      <c r="X641" s="883"/>
      <c r="Y641" s="883"/>
      <c r="Z641" s="883"/>
      <c r="AA641" s="883"/>
      <c r="AB641" s="883"/>
      <c r="AC641" s="883"/>
      <c r="AD641" s="883"/>
      <c r="AE641" s="883"/>
      <c r="AF641" s="883"/>
      <c r="AG641" s="883"/>
    </row>
    <row r="642" spans="1:34" s="3" customFormat="1" ht="15.95" customHeight="1">
      <c r="A642" s="36"/>
      <c r="B642" s="33"/>
      <c r="C642" s="33"/>
      <c r="D642" s="34"/>
      <c r="E642" s="34"/>
      <c r="F642" s="35"/>
      <c r="G642" s="34"/>
      <c r="H642" s="35"/>
      <c r="I642" s="35"/>
      <c r="J642" s="34"/>
      <c r="K642" s="34"/>
      <c r="L642" s="288"/>
      <c r="M642" s="35"/>
      <c r="N642" s="35"/>
      <c r="O642" s="34"/>
      <c r="P642" s="35"/>
      <c r="Q642" s="35"/>
      <c r="R642" s="34"/>
      <c r="S642" s="35"/>
      <c r="T642" s="34"/>
      <c r="U642" s="34"/>
      <c r="V642" s="36"/>
      <c r="W642" s="36"/>
      <c r="X642" s="36"/>
      <c r="Y642" s="36"/>
      <c r="Z642" s="36"/>
      <c r="AA642" s="36"/>
      <c r="AB642" s="36"/>
      <c r="AC642" s="36"/>
      <c r="AD642" s="36"/>
      <c r="AE642" s="36"/>
      <c r="AF642" s="36"/>
      <c r="AG642" s="36"/>
    </row>
    <row r="643" spans="1:34" s="3" customFormat="1"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66"/>
      <c r="T643" s="867" t="str">
        <f>'$REV-DB'!$T$34</f>
        <v>UD1</v>
      </c>
      <c r="U643" s="867" t="str">
        <f>'$REV-DB'!$U$34</f>
        <v>UD2</v>
      </c>
      <c r="V643" s="867" t="str">
        <f>'$REV-DB'!$V$34</f>
        <v>UD3</v>
      </c>
      <c r="W643" s="867" t="str">
        <f>'$REV-DB'!$W$34</f>
        <v>UD4</v>
      </c>
      <c r="X643" s="867" t="str">
        <f>'$REV-DB'!$X$34</f>
        <v>UD5</v>
      </c>
      <c r="Y643" s="867" t="str">
        <f>'$REV-DB'!$Y$34</f>
        <v>UD6</v>
      </c>
      <c r="Z643" s="867" t="str">
        <f>'$REV-DB'!$Z$34</f>
        <v>UD7</v>
      </c>
      <c r="AA643" s="867" t="str">
        <f>'$REV-DB'!$AA$34</f>
        <v>UD8</v>
      </c>
      <c r="AB643" s="867" t="str">
        <f>'$REV-DB'!$AB$34</f>
        <v>UD9</v>
      </c>
      <c r="AC643" s="867" t="str">
        <f>'$REV-DB'!$AC$34</f>
        <v>UD10</v>
      </c>
      <c r="AD643" s="867" t="str">
        <f>'$REV-DB'!$AD$34</f>
        <v>UD11</v>
      </c>
      <c r="AE643" s="867" t="str">
        <f>'$REV-DB'!$AE$34</f>
        <v>UD12</v>
      </c>
      <c r="AF643" s="867" t="str">
        <f>'$REV-DB'!$AF$34</f>
        <v>UD13</v>
      </c>
      <c r="AG643" s="867" t="str">
        <f>'$REV-DB'!$AG$34</f>
        <v>UD14</v>
      </c>
    </row>
    <row r="644" spans="1:34" s="3" customFormat="1" ht="15.95" customHeight="1" thickTop="1" thickBot="1">
      <c r="A644" s="7"/>
      <c r="B644" s="20" t="s">
        <v>175</v>
      </c>
      <c r="C644" s="15"/>
      <c r="D644" s="861" t="s">
        <v>186</v>
      </c>
      <c r="E644" s="861" t="s">
        <v>187</v>
      </c>
      <c r="F644" s="861" t="s">
        <v>188</v>
      </c>
      <c r="G644" s="861" t="s">
        <v>189</v>
      </c>
      <c r="H644" s="861" t="s">
        <v>11</v>
      </c>
      <c r="I644" s="861" t="s">
        <v>190</v>
      </c>
      <c r="J644" s="861" t="s">
        <v>191</v>
      </c>
      <c r="K644" s="861" t="s">
        <v>192</v>
      </c>
      <c r="L644" s="861" t="s">
        <v>203</v>
      </c>
      <c r="M644" s="861" t="s">
        <v>42</v>
      </c>
      <c r="N644" s="861" t="s">
        <v>148</v>
      </c>
      <c r="O644" s="861" t="s">
        <v>193</v>
      </c>
      <c r="P644" s="861" t="s">
        <v>142</v>
      </c>
      <c r="Q644" s="861" t="s">
        <v>194</v>
      </c>
      <c r="R644" s="112" t="s">
        <v>141</v>
      </c>
      <c r="S644" s="112" t="s">
        <v>672</v>
      </c>
      <c r="T644" s="861" t="s">
        <v>541</v>
      </c>
      <c r="U644" s="861" t="s">
        <v>542</v>
      </c>
      <c r="V644" s="861" t="s">
        <v>543</v>
      </c>
      <c r="W644" s="861" t="s">
        <v>544</v>
      </c>
      <c r="X644" s="861" t="s">
        <v>545</v>
      </c>
      <c r="Y644" s="861" t="s">
        <v>546</v>
      </c>
      <c r="Z644" s="861" t="s">
        <v>547</v>
      </c>
      <c r="AA644" s="861" t="s">
        <v>548</v>
      </c>
      <c r="AB644" s="861" t="s">
        <v>549</v>
      </c>
      <c r="AC644" s="861" t="s">
        <v>550</v>
      </c>
      <c r="AD644" s="861" t="s">
        <v>551</v>
      </c>
      <c r="AE644" s="861" t="s">
        <v>552</v>
      </c>
      <c r="AF644" s="861" t="s">
        <v>553</v>
      </c>
      <c r="AG644" s="861" t="s">
        <v>554</v>
      </c>
      <c r="AH644" s="6"/>
    </row>
    <row r="645" spans="1:34" s="3" customFormat="1" ht="15.95" customHeight="1" thickTop="1">
      <c r="A645" s="7"/>
      <c r="B645" s="19" t="s">
        <v>146</v>
      </c>
      <c r="C645" s="12"/>
      <c r="D645" s="200"/>
      <c r="E645" s="200"/>
      <c r="F645" s="199"/>
      <c r="G645" s="200"/>
      <c r="H645" s="199"/>
      <c r="I645" s="199"/>
      <c r="J645" s="200"/>
      <c r="K645" s="200"/>
      <c r="L645" s="289" t="s">
        <v>34</v>
      </c>
      <c r="M645" s="199"/>
      <c r="N645" s="40" t="str">
        <f>J$6</f>
        <v>FY2010-11</v>
      </c>
      <c r="O645" s="40" t="s">
        <v>155</v>
      </c>
      <c r="P645" s="40" t="s">
        <v>147</v>
      </c>
      <c r="Q645" s="40"/>
      <c r="R645" s="200"/>
      <c r="S645" s="199" t="s">
        <v>611</v>
      </c>
      <c r="T645" s="200"/>
      <c r="U645" s="200"/>
      <c r="V645" s="201"/>
      <c r="W645" s="201"/>
      <c r="X645" s="201"/>
      <c r="Y645" s="201"/>
      <c r="Z645" s="201"/>
      <c r="AA645" s="201"/>
      <c r="AB645" s="201"/>
      <c r="AC645" s="201"/>
      <c r="AD645" s="201"/>
      <c r="AE645" s="201"/>
      <c r="AF645" s="201"/>
      <c r="AG645" s="201"/>
      <c r="AH645" s="6"/>
    </row>
    <row r="646" spans="1:34" s="3" customFormat="1" ht="15.95" customHeight="1">
      <c r="A646" s="7"/>
      <c r="B646" s="16">
        <f>DSUM('$REV-DB'!D35:AG67,"AMOUNT",D644:AG645)</f>
        <v>0</v>
      </c>
      <c r="C646" s="12"/>
      <c r="D646" s="880"/>
      <c r="E646" s="880"/>
      <c r="F646" s="880"/>
      <c r="G646" s="880"/>
      <c r="H646" s="880"/>
      <c r="I646" s="880"/>
      <c r="J646" s="880"/>
      <c r="K646" s="880"/>
      <c r="L646" s="881"/>
      <c r="M646" s="880"/>
      <c r="N646" s="873"/>
      <c r="O646" s="880"/>
      <c r="P646" s="873"/>
      <c r="Q646" s="884"/>
      <c r="R646" s="880"/>
      <c r="S646" s="880"/>
      <c r="T646" s="882"/>
      <c r="U646" s="882"/>
      <c r="V646" s="883"/>
      <c r="W646" s="883"/>
      <c r="X646" s="883"/>
      <c r="Y646" s="883"/>
      <c r="Z646" s="883"/>
      <c r="AA646" s="883"/>
      <c r="AB646" s="883"/>
      <c r="AC646" s="883"/>
      <c r="AD646" s="883"/>
      <c r="AE646" s="883"/>
      <c r="AF646" s="883"/>
      <c r="AG646" s="883"/>
      <c r="AH646" s="6"/>
    </row>
    <row r="647" spans="1:34" s="3" customFormat="1" ht="15.95" customHeight="1">
      <c r="A647" s="7"/>
      <c r="B647" s="10"/>
      <c r="C647" s="12"/>
      <c r="D647" s="880"/>
      <c r="E647" s="880"/>
      <c r="F647" s="880"/>
      <c r="G647" s="880"/>
      <c r="H647" s="880"/>
      <c r="I647" s="880"/>
      <c r="J647" s="880"/>
      <c r="K647" s="880"/>
      <c r="L647" s="881"/>
      <c r="M647" s="880"/>
      <c r="N647" s="873"/>
      <c r="O647" s="880"/>
      <c r="P647" s="873"/>
      <c r="Q647" s="884"/>
      <c r="R647" s="880"/>
      <c r="S647" s="880"/>
      <c r="T647" s="882"/>
      <c r="U647" s="882"/>
      <c r="V647" s="883"/>
      <c r="W647" s="883"/>
      <c r="X647" s="883"/>
      <c r="Y647" s="883"/>
      <c r="Z647" s="883"/>
      <c r="AA647" s="883"/>
      <c r="AB647" s="883"/>
      <c r="AC647" s="883"/>
      <c r="AD647" s="883"/>
      <c r="AE647" s="883"/>
      <c r="AF647" s="883"/>
      <c r="AG647" s="883"/>
    </row>
    <row r="648" spans="1:34" s="3" customFormat="1" ht="15.95" customHeight="1">
      <c r="A648" s="7"/>
      <c r="B648" s="10"/>
      <c r="C648" s="12"/>
      <c r="D648" s="880"/>
      <c r="E648" s="880"/>
      <c r="F648" s="880"/>
      <c r="G648" s="880"/>
      <c r="H648" s="880"/>
      <c r="I648" s="880"/>
      <c r="J648" s="880"/>
      <c r="K648" s="880"/>
      <c r="L648" s="881"/>
      <c r="M648" s="880"/>
      <c r="N648" s="873"/>
      <c r="O648" s="880"/>
      <c r="P648" s="873"/>
      <c r="Q648" s="884"/>
      <c r="R648" s="880"/>
      <c r="S648" s="880"/>
      <c r="T648" s="882"/>
      <c r="U648" s="882"/>
      <c r="V648" s="883"/>
      <c r="W648" s="883"/>
      <c r="X648" s="883"/>
      <c r="Y648" s="883"/>
      <c r="Z648" s="883"/>
      <c r="AA648" s="883"/>
      <c r="AB648" s="883"/>
      <c r="AC648" s="883"/>
      <c r="AD648" s="883"/>
      <c r="AE648" s="883"/>
      <c r="AF648" s="883"/>
      <c r="AG648" s="883"/>
    </row>
    <row r="649" spans="1:34" s="3" customFormat="1" ht="15.95" customHeight="1">
      <c r="A649" s="7"/>
      <c r="B649" s="10"/>
      <c r="C649" s="12"/>
      <c r="D649" s="880"/>
      <c r="E649" s="880"/>
      <c r="F649" s="880"/>
      <c r="G649" s="880"/>
      <c r="H649" s="880"/>
      <c r="I649" s="880"/>
      <c r="J649" s="880"/>
      <c r="K649" s="880"/>
      <c r="L649" s="881"/>
      <c r="M649" s="880"/>
      <c r="N649" s="873"/>
      <c r="O649" s="880"/>
      <c r="P649" s="873"/>
      <c r="Q649" s="884"/>
      <c r="R649" s="880"/>
      <c r="S649" s="880"/>
      <c r="T649" s="882"/>
      <c r="U649" s="882"/>
      <c r="V649" s="883"/>
      <c r="W649" s="883"/>
      <c r="X649" s="883"/>
      <c r="Y649" s="883"/>
      <c r="Z649" s="883"/>
      <c r="AA649" s="883"/>
      <c r="AB649" s="883"/>
      <c r="AC649" s="883"/>
      <c r="AD649" s="883"/>
      <c r="AE649" s="883"/>
      <c r="AF649" s="883"/>
      <c r="AG649" s="883"/>
    </row>
    <row r="650" spans="1:34" s="3" customFormat="1" ht="15.95" customHeight="1">
      <c r="A650" s="7"/>
      <c r="B650" s="10"/>
      <c r="C650" s="12"/>
      <c r="D650" s="880"/>
      <c r="E650" s="880"/>
      <c r="F650" s="880"/>
      <c r="G650" s="880"/>
      <c r="H650" s="880"/>
      <c r="I650" s="880"/>
      <c r="J650" s="880"/>
      <c r="K650" s="880"/>
      <c r="L650" s="881"/>
      <c r="M650" s="880"/>
      <c r="N650" s="873"/>
      <c r="O650" s="880"/>
      <c r="P650" s="873"/>
      <c r="Q650" s="884"/>
      <c r="R650" s="880"/>
      <c r="S650" s="880"/>
      <c r="T650" s="882"/>
      <c r="U650" s="882"/>
      <c r="V650" s="883"/>
      <c r="W650" s="883"/>
      <c r="X650" s="883"/>
      <c r="Y650" s="883"/>
      <c r="Z650" s="883"/>
      <c r="AA650" s="883"/>
      <c r="AB650" s="883"/>
      <c r="AC650" s="883"/>
      <c r="AD650" s="883"/>
      <c r="AE650" s="883"/>
      <c r="AF650" s="883"/>
      <c r="AG650" s="883"/>
    </row>
    <row r="651" spans="1:34" s="3" customFormat="1" ht="15.95" customHeight="1">
      <c r="A651" s="7"/>
      <c r="B651" s="10"/>
      <c r="C651" s="12"/>
      <c r="D651" s="880"/>
      <c r="E651" s="880"/>
      <c r="F651" s="880"/>
      <c r="G651" s="880"/>
      <c r="H651" s="880"/>
      <c r="I651" s="880"/>
      <c r="J651" s="880"/>
      <c r="K651" s="880"/>
      <c r="L651" s="881"/>
      <c r="M651" s="880"/>
      <c r="N651" s="873"/>
      <c r="O651" s="880"/>
      <c r="P651" s="873"/>
      <c r="Q651" s="884"/>
      <c r="R651" s="880"/>
      <c r="S651" s="880"/>
      <c r="T651" s="882"/>
      <c r="U651" s="882"/>
      <c r="V651" s="883"/>
      <c r="W651" s="883"/>
      <c r="X651" s="883"/>
      <c r="Y651" s="883"/>
      <c r="Z651" s="883"/>
      <c r="AA651" s="883"/>
      <c r="AB651" s="883"/>
      <c r="AC651" s="883"/>
      <c r="AD651" s="883"/>
      <c r="AE651" s="883"/>
      <c r="AF651" s="883"/>
      <c r="AG651" s="883"/>
    </row>
    <row r="652" spans="1:34" s="3" customFormat="1" ht="15.95" customHeight="1">
      <c r="A652" s="36"/>
      <c r="B652" s="33"/>
      <c r="C652" s="33"/>
      <c r="D652" s="34"/>
      <c r="E652" s="34"/>
      <c r="F652" s="35"/>
      <c r="G652" s="34"/>
      <c r="H652" s="35"/>
      <c r="I652" s="35"/>
      <c r="J652" s="34"/>
      <c r="K652" s="34"/>
      <c r="L652" s="288"/>
      <c r="M652" s="35"/>
      <c r="N652" s="35"/>
      <c r="O652" s="34"/>
      <c r="P652" s="35"/>
      <c r="Q652" s="35"/>
      <c r="R652" s="34"/>
      <c r="S652" s="35"/>
      <c r="T652" s="34"/>
      <c r="U652" s="34"/>
      <c r="V652" s="36"/>
      <c r="W652" s="36"/>
      <c r="X652" s="36"/>
      <c r="Y652" s="36"/>
      <c r="Z652" s="36"/>
      <c r="AA652" s="36"/>
      <c r="AB652" s="36"/>
      <c r="AC652" s="36"/>
      <c r="AD652" s="36"/>
      <c r="AE652" s="36"/>
      <c r="AF652" s="36"/>
      <c r="AG652" s="36"/>
    </row>
    <row r="653" spans="1:34" s="3" customFormat="1"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66"/>
      <c r="T653" s="867" t="str">
        <f>'$REV-DB'!$T$34</f>
        <v>UD1</v>
      </c>
      <c r="U653" s="867" t="str">
        <f>'$REV-DB'!$U$34</f>
        <v>UD2</v>
      </c>
      <c r="V653" s="867" t="str">
        <f>'$REV-DB'!$V$34</f>
        <v>UD3</v>
      </c>
      <c r="W653" s="867" t="str">
        <f>'$REV-DB'!$W$34</f>
        <v>UD4</v>
      </c>
      <c r="X653" s="867" t="str">
        <f>'$REV-DB'!$X$34</f>
        <v>UD5</v>
      </c>
      <c r="Y653" s="867" t="str">
        <f>'$REV-DB'!$Y$34</f>
        <v>UD6</v>
      </c>
      <c r="Z653" s="867" t="str">
        <f>'$REV-DB'!$Z$34</f>
        <v>UD7</v>
      </c>
      <c r="AA653" s="867" t="str">
        <f>'$REV-DB'!$AA$34</f>
        <v>UD8</v>
      </c>
      <c r="AB653" s="867" t="str">
        <f>'$REV-DB'!$AB$34</f>
        <v>UD9</v>
      </c>
      <c r="AC653" s="867" t="str">
        <f>'$REV-DB'!$AC$34</f>
        <v>UD10</v>
      </c>
      <c r="AD653" s="867" t="str">
        <f>'$REV-DB'!$AD$34</f>
        <v>UD11</v>
      </c>
      <c r="AE653" s="867" t="str">
        <f>'$REV-DB'!$AE$34</f>
        <v>UD12</v>
      </c>
      <c r="AF653" s="867" t="str">
        <f>'$REV-DB'!$AF$34</f>
        <v>UD13</v>
      </c>
      <c r="AG653" s="867" t="str">
        <f>'$REV-DB'!$AG$34</f>
        <v>UD14</v>
      </c>
    </row>
    <row r="654" spans="1:34" s="3" customFormat="1" ht="15.95" customHeight="1" thickTop="1" thickBot="1">
      <c r="A654" s="7"/>
      <c r="B654" s="20" t="s">
        <v>175</v>
      </c>
      <c r="C654" s="15"/>
      <c r="D654" s="861" t="s">
        <v>186</v>
      </c>
      <c r="E654" s="861" t="s">
        <v>187</v>
      </c>
      <c r="F654" s="861" t="s">
        <v>188</v>
      </c>
      <c r="G654" s="861" t="s">
        <v>189</v>
      </c>
      <c r="H654" s="861" t="s">
        <v>11</v>
      </c>
      <c r="I654" s="861" t="s">
        <v>190</v>
      </c>
      <c r="J654" s="861" t="s">
        <v>191</v>
      </c>
      <c r="K654" s="861" t="s">
        <v>192</v>
      </c>
      <c r="L654" s="861" t="s">
        <v>203</v>
      </c>
      <c r="M654" s="861" t="s">
        <v>42</v>
      </c>
      <c r="N654" s="861" t="s">
        <v>148</v>
      </c>
      <c r="O654" s="861" t="s">
        <v>193</v>
      </c>
      <c r="P654" s="861" t="s">
        <v>142</v>
      </c>
      <c r="Q654" s="861" t="s">
        <v>194</v>
      </c>
      <c r="R654" s="112" t="s">
        <v>141</v>
      </c>
      <c r="S654" s="112" t="s">
        <v>672</v>
      </c>
      <c r="T654" s="861" t="s">
        <v>541</v>
      </c>
      <c r="U654" s="861" t="s">
        <v>542</v>
      </c>
      <c r="V654" s="861" t="s">
        <v>543</v>
      </c>
      <c r="W654" s="861" t="s">
        <v>544</v>
      </c>
      <c r="X654" s="861" t="s">
        <v>545</v>
      </c>
      <c r="Y654" s="861" t="s">
        <v>546</v>
      </c>
      <c r="Z654" s="861" t="s">
        <v>547</v>
      </c>
      <c r="AA654" s="861" t="s">
        <v>548</v>
      </c>
      <c r="AB654" s="861" t="s">
        <v>549</v>
      </c>
      <c r="AC654" s="861" t="s">
        <v>550</v>
      </c>
      <c r="AD654" s="861" t="s">
        <v>551</v>
      </c>
      <c r="AE654" s="861" t="s">
        <v>552</v>
      </c>
      <c r="AF654" s="861" t="s">
        <v>553</v>
      </c>
      <c r="AG654" s="861" t="s">
        <v>554</v>
      </c>
      <c r="AH654" s="6"/>
    </row>
    <row r="655" spans="1:34" s="3" customFormat="1" ht="15.95" customHeight="1" thickTop="1">
      <c r="A655" s="7"/>
      <c r="B655" s="19" t="s">
        <v>145</v>
      </c>
      <c r="C655" s="12"/>
      <c r="D655" s="200"/>
      <c r="E655" s="200"/>
      <c r="F655" s="199"/>
      <c r="G655" s="200"/>
      <c r="H655" s="199"/>
      <c r="I655" s="199"/>
      <c r="J655" s="200"/>
      <c r="K655" s="200"/>
      <c r="L655" s="289" t="s">
        <v>34</v>
      </c>
      <c r="M655" s="199"/>
      <c r="N655" s="40" t="str">
        <f>J$6</f>
        <v>FY2010-11</v>
      </c>
      <c r="O655" s="40" t="s">
        <v>155</v>
      </c>
      <c r="P655" s="40" t="s">
        <v>147</v>
      </c>
      <c r="Q655" s="40" t="s">
        <v>180</v>
      </c>
      <c r="R655" s="200"/>
      <c r="S655" s="199" t="s">
        <v>611</v>
      </c>
      <c r="T655" s="200"/>
      <c r="U655" s="200"/>
      <c r="V655" s="201"/>
      <c r="W655" s="201"/>
      <c r="X655" s="201"/>
      <c r="Y655" s="201"/>
      <c r="Z655" s="201"/>
      <c r="AA655" s="201"/>
      <c r="AB655" s="201"/>
      <c r="AC655" s="201"/>
      <c r="AD655" s="201"/>
      <c r="AE655" s="201"/>
      <c r="AF655" s="201"/>
      <c r="AG655" s="201"/>
      <c r="AH655" s="6"/>
    </row>
    <row r="656" spans="1:34" s="3" customFormat="1" ht="15.95" customHeight="1">
      <c r="A656" s="7"/>
      <c r="B656" s="16">
        <f>DSUM('$REV-DB'!D35:AG67,"AMOUNT",D654:AG655)</f>
        <v>0</v>
      </c>
      <c r="C656" s="12"/>
      <c r="D656" s="880"/>
      <c r="E656" s="880"/>
      <c r="F656" s="880"/>
      <c r="G656" s="880"/>
      <c r="H656" s="880"/>
      <c r="I656" s="880"/>
      <c r="J656" s="880"/>
      <c r="K656" s="880"/>
      <c r="L656" s="881"/>
      <c r="M656" s="880"/>
      <c r="N656" s="873"/>
      <c r="O656" s="880"/>
      <c r="P656" s="873"/>
      <c r="Q656" s="884"/>
      <c r="R656" s="880"/>
      <c r="S656" s="880"/>
      <c r="T656" s="882"/>
      <c r="U656" s="882"/>
      <c r="V656" s="883"/>
      <c r="W656" s="883"/>
      <c r="X656" s="883"/>
      <c r="Y656" s="883"/>
      <c r="Z656" s="883"/>
      <c r="AA656" s="883"/>
      <c r="AB656" s="883"/>
      <c r="AC656" s="883"/>
      <c r="AD656" s="883"/>
      <c r="AE656" s="883"/>
      <c r="AF656" s="883"/>
      <c r="AG656" s="883"/>
      <c r="AH656" s="6"/>
    </row>
    <row r="657" spans="1:34" s="3" customFormat="1" ht="15.95" customHeight="1">
      <c r="A657" s="7"/>
      <c r="B657" s="10"/>
      <c r="C657" s="12"/>
      <c r="D657" s="880"/>
      <c r="E657" s="880"/>
      <c r="F657" s="880"/>
      <c r="G657" s="880"/>
      <c r="H657" s="880"/>
      <c r="I657" s="880"/>
      <c r="J657" s="880"/>
      <c r="K657" s="880"/>
      <c r="L657" s="881"/>
      <c r="M657" s="880"/>
      <c r="N657" s="873"/>
      <c r="O657" s="880"/>
      <c r="P657" s="873"/>
      <c r="Q657" s="884"/>
      <c r="R657" s="880"/>
      <c r="S657" s="880"/>
      <c r="T657" s="882"/>
      <c r="U657" s="882"/>
      <c r="V657" s="883"/>
      <c r="W657" s="883"/>
      <c r="X657" s="883"/>
      <c r="Y657" s="883"/>
      <c r="Z657" s="883"/>
      <c r="AA657" s="883"/>
      <c r="AB657" s="883"/>
      <c r="AC657" s="883"/>
      <c r="AD657" s="883"/>
      <c r="AE657" s="883"/>
      <c r="AF657" s="883"/>
      <c r="AG657" s="883"/>
    </row>
    <row r="658" spans="1:34" s="3" customFormat="1" ht="15.95" customHeight="1">
      <c r="A658" s="7"/>
      <c r="B658" s="10"/>
      <c r="C658" s="12"/>
      <c r="D658" s="880"/>
      <c r="E658" s="880"/>
      <c r="F658" s="880"/>
      <c r="G658" s="880"/>
      <c r="H658" s="880"/>
      <c r="I658" s="880"/>
      <c r="J658" s="880"/>
      <c r="K658" s="880"/>
      <c r="L658" s="881"/>
      <c r="M658" s="880"/>
      <c r="N658" s="873"/>
      <c r="O658" s="880"/>
      <c r="P658" s="873"/>
      <c r="Q658" s="884"/>
      <c r="R658" s="880"/>
      <c r="S658" s="880"/>
      <c r="T658" s="882"/>
      <c r="U658" s="882"/>
      <c r="V658" s="883"/>
      <c r="W658" s="883"/>
      <c r="X658" s="883"/>
      <c r="Y658" s="883"/>
      <c r="Z658" s="883"/>
      <c r="AA658" s="883"/>
      <c r="AB658" s="883"/>
      <c r="AC658" s="883"/>
      <c r="AD658" s="883"/>
      <c r="AE658" s="883"/>
      <c r="AF658" s="883"/>
      <c r="AG658" s="883"/>
    </row>
    <row r="659" spans="1:34" s="3" customFormat="1" ht="15.95" customHeight="1">
      <c r="A659" s="7"/>
      <c r="B659" s="10"/>
      <c r="C659" s="12"/>
      <c r="D659" s="880"/>
      <c r="E659" s="880"/>
      <c r="F659" s="880"/>
      <c r="G659" s="880"/>
      <c r="H659" s="880"/>
      <c r="I659" s="880"/>
      <c r="J659" s="880"/>
      <c r="K659" s="880"/>
      <c r="L659" s="881"/>
      <c r="M659" s="880"/>
      <c r="N659" s="873"/>
      <c r="O659" s="880"/>
      <c r="P659" s="873"/>
      <c r="Q659" s="884"/>
      <c r="R659" s="880"/>
      <c r="S659" s="880"/>
      <c r="T659" s="882"/>
      <c r="U659" s="882"/>
      <c r="V659" s="883"/>
      <c r="W659" s="883"/>
      <c r="X659" s="883"/>
      <c r="Y659" s="883"/>
      <c r="Z659" s="883"/>
      <c r="AA659" s="883"/>
      <c r="AB659" s="883"/>
      <c r="AC659" s="883"/>
      <c r="AD659" s="883"/>
      <c r="AE659" s="883"/>
      <c r="AF659" s="883"/>
      <c r="AG659" s="883"/>
    </row>
    <row r="660" spans="1:34" s="3" customFormat="1" ht="15.95" customHeight="1">
      <c r="A660" s="7"/>
      <c r="B660" s="10"/>
      <c r="C660" s="12"/>
      <c r="D660" s="880"/>
      <c r="E660" s="880"/>
      <c r="F660" s="880"/>
      <c r="G660" s="880"/>
      <c r="H660" s="880"/>
      <c r="I660" s="880"/>
      <c r="J660" s="880"/>
      <c r="K660" s="880"/>
      <c r="L660" s="881"/>
      <c r="M660" s="880"/>
      <c r="N660" s="873"/>
      <c r="O660" s="880"/>
      <c r="P660" s="873"/>
      <c r="Q660" s="884"/>
      <c r="R660" s="880"/>
      <c r="S660" s="880"/>
      <c r="T660" s="882"/>
      <c r="U660" s="882"/>
      <c r="V660" s="883"/>
      <c r="W660" s="883"/>
      <c r="X660" s="883"/>
      <c r="Y660" s="883"/>
      <c r="Z660" s="883"/>
      <c r="AA660" s="883"/>
      <c r="AB660" s="883"/>
      <c r="AC660" s="883"/>
      <c r="AD660" s="883"/>
      <c r="AE660" s="883"/>
      <c r="AF660" s="883"/>
      <c r="AG660" s="883"/>
    </row>
    <row r="661" spans="1:34" s="3" customFormat="1" ht="15.95" customHeight="1">
      <c r="A661" s="7"/>
      <c r="B661" s="10"/>
      <c r="C661" s="12"/>
      <c r="D661" s="880"/>
      <c r="E661" s="880"/>
      <c r="F661" s="880"/>
      <c r="G661" s="880"/>
      <c r="H661" s="880"/>
      <c r="I661" s="880"/>
      <c r="J661" s="880"/>
      <c r="K661" s="880"/>
      <c r="L661" s="881"/>
      <c r="M661" s="880"/>
      <c r="N661" s="873"/>
      <c r="O661" s="880"/>
      <c r="P661" s="873"/>
      <c r="Q661" s="884"/>
      <c r="R661" s="880"/>
      <c r="S661" s="880"/>
      <c r="T661" s="882"/>
      <c r="U661" s="882"/>
      <c r="V661" s="883"/>
      <c r="W661" s="883"/>
      <c r="X661" s="883"/>
      <c r="Y661" s="883"/>
      <c r="Z661" s="883"/>
      <c r="AA661" s="883"/>
      <c r="AB661" s="883"/>
      <c r="AC661" s="883"/>
      <c r="AD661" s="883"/>
      <c r="AE661" s="883"/>
      <c r="AF661" s="883"/>
      <c r="AG661" s="883"/>
    </row>
    <row r="662" spans="1:34" s="3" customFormat="1" ht="15.95" customHeight="1">
      <c r="A662" s="36"/>
      <c r="B662" s="33"/>
      <c r="C662" s="33"/>
      <c r="D662" s="34"/>
      <c r="E662" s="34"/>
      <c r="F662" s="35"/>
      <c r="G662" s="34"/>
      <c r="H662" s="35"/>
      <c r="I662" s="35"/>
      <c r="J662" s="34"/>
      <c r="K662" s="34"/>
      <c r="L662" s="288"/>
      <c r="M662" s="35"/>
      <c r="N662" s="35"/>
      <c r="O662" s="34"/>
      <c r="P662" s="35"/>
      <c r="Q662" s="35"/>
      <c r="R662" s="34"/>
      <c r="S662" s="35"/>
      <c r="T662" s="34"/>
      <c r="U662" s="34"/>
      <c r="V662" s="36"/>
      <c r="W662" s="36"/>
      <c r="X662" s="36"/>
      <c r="Y662" s="36"/>
      <c r="Z662" s="36"/>
      <c r="AA662" s="36"/>
      <c r="AB662" s="36"/>
      <c r="AC662" s="36"/>
      <c r="AD662" s="36"/>
      <c r="AE662" s="36"/>
      <c r="AF662" s="36"/>
      <c r="AG662" s="36"/>
    </row>
    <row r="663" spans="1:34" s="3" customFormat="1"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66"/>
      <c r="T663" s="867" t="str">
        <f>'$REV-DB'!$T$34</f>
        <v>UD1</v>
      </c>
      <c r="U663" s="867" t="str">
        <f>'$REV-DB'!$U$34</f>
        <v>UD2</v>
      </c>
      <c r="V663" s="867" t="str">
        <f>'$REV-DB'!$V$34</f>
        <v>UD3</v>
      </c>
      <c r="W663" s="867" t="str">
        <f>'$REV-DB'!$W$34</f>
        <v>UD4</v>
      </c>
      <c r="X663" s="867" t="str">
        <f>'$REV-DB'!$X$34</f>
        <v>UD5</v>
      </c>
      <c r="Y663" s="867" t="str">
        <f>'$REV-DB'!$Y$34</f>
        <v>UD6</v>
      </c>
      <c r="Z663" s="867" t="str">
        <f>'$REV-DB'!$Z$34</f>
        <v>UD7</v>
      </c>
      <c r="AA663" s="867" t="str">
        <f>'$REV-DB'!$AA$34</f>
        <v>UD8</v>
      </c>
      <c r="AB663" s="867" t="str">
        <f>'$REV-DB'!$AB$34</f>
        <v>UD9</v>
      </c>
      <c r="AC663" s="867" t="str">
        <f>'$REV-DB'!$AC$34</f>
        <v>UD10</v>
      </c>
      <c r="AD663" s="867" t="str">
        <f>'$REV-DB'!$AD$34</f>
        <v>UD11</v>
      </c>
      <c r="AE663" s="867" t="str">
        <f>'$REV-DB'!$AE$34</f>
        <v>UD12</v>
      </c>
      <c r="AF663" s="867" t="str">
        <f>'$REV-DB'!$AF$34</f>
        <v>UD13</v>
      </c>
      <c r="AG663" s="867" t="str">
        <f>'$REV-DB'!$AG$34</f>
        <v>UD14</v>
      </c>
    </row>
    <row r="664" spans="1:34" s="3" customFormat="1" ht="15.95" customHeight="1" thickTop="1" thickBot="1">
      <c r="A664" s="7"/>
      <c r="B664" s="20" t="s">
        <v>175</v>
      </c>
      <c r="C664" s="15"/>
      <c r="D664" s="861" t="s">
        <v>186</v>
      </c>
      <c r="E664" s="861" t="s">
        <v>187</v>
      </c>
      <c r="F664" s="861" t="s">
        <v>188</v>
      </c>
      <c r="G664" s="861" t="s">
        <v>189</v>
      </c>
      <c r="H664" s="861" t="s">
        <v>11</v>
      </c>
      <c r="I664" s="861" t="s">
        <v>190</v>
      </c>
      <c r="J664" s="861" t="s">
        <v>191</v>
      </c>
      <c r="K664" s="861" t="s">
        <v>192</v>
      </c>
      <c r="L664" s="861" t="s">
        <v>203</v>
      </c>
      <c r="M664" s="861" t="s">
        <v>42</v>
      </c>
      <c r="N664" s="861" t="s">
        <v>148</v>
      </c>
      <c r="O664" s="861" t="s">
        <v>193</v>
      </c>
      <c r="P664" s="861" t="s">
        <v>142</v>
      </c>
      <c r="Q664" s="861" t="s">
        <v>194</v>
      </c>
      <c r="R664" s="112" t="s">
        <v>141</v>
      </c>
      <c r="S664" s="112" t="s">
        <v>672</v>
      </c>
      <c r="T664" s="861" t="s">
        <v>541</v>
      </c>
      <c r="U664" s="861" t="s">
        <v>542</v>
      </c>
      <c r="V664" s="861" t="s">
        <v>543</v>
      </c>
      <c r="W664" s="861" t="s">
        <v>544</v>
      </c>
      <c r="X664" s="861" t="s">
        <v>545</v>
      </c>
      <c r="Y664" s="861" t="s">
        <v>546</v>
      </c>
      <c r="Z664" s="861" t="s">
        <v>547</v>
      </c>
      <c r="AA664" s="861" t="s">
        <v>548</v>
      </c>
      <c r="AB664" s="861" t="s">
        <v>549</v>
      </c>
      <c r="AC664" s="861" t="s">
        <v>550</v>
      </c>
      <c r="AD664" s="861" t="s">
        <v>551</v>
      </c>
      <c r="AE664" s="861" t="s">
        <v>552</v>
      </c>
      <c r="AF664" s="861" t="s">
        <v>553</v>
      </c>
      <c r="AG664" s="861" t="s">
        <v>554</v>
      </c>
      <c r="AH664" s="6"/>
    </row>
    <row r="665" spans="1:34" s="3" customFormat="1" ht="15.95" customHeight="1" thickTop="1">
      <c r="A665" s="7"/>
      <c r="B665" s="19" t="s">
        <v>144</v>
      </c>
      <c r="C665" s="12"/>
      <c r="D665" s="200"/>
      <c r="E665" s="200"/>
      <c r="F665" s="199"/>
      <c r="G665" s="200"/>
      <c r="H665" s="199"/>
      <c r="I665" s="199"/>
      <c r="J665" s="200"/>
      <c r="K665" s="200"/>
      <c r="L665" s="289" t="s">
        <v>34</v>
      </c>
      <c r="M665" s="199"/>
      <c r="N665" s="40" t="str">
        <f>J$6</f>
        <v>FY2010-11</v>
      </c>
      <c r="O665" s="40" t="s">
        <v>155</v>
      </c>
      <c r="P665" s="40" t="s">
        <v>147</v>
      </c>
      <c r="Q665" s="40" t="s">
        <v>139</v>
      </c>
      <c r="R665" s="200"/>
      <c r="S665" s="199" t="s">
        <v>611</v>
      </c>
      <c r="T665" s="200"/>
      <c r="U665" s="200"/>
      <c r="V665" s="201"/>
      <c r="W665" s="201"/>
      <c r="X665" s="201"/>
      <c r="Y665" s="201"/>
      <c r="Z665" s="201"/>
      <c r="AA665" s="201"/>
      <c r="AB665" s="201"/>
      <c r="AC665" s="201"/>
      <c r="AD665" s="201"/>
      <c r="AE665" s="201"/>
      <c r="AF665" s="201"/>
      <c r="AG665" s="201"/>
      <c r="AH665" s="6"/>
    </row>
    <row r="666" spans="1:34" s="3" customFormat="1" ht="15.95" customHeight="1">
      <c r="A666" s="7"/>
      <c r="B666" s="16">
        <f>DSUM('$REV-DB'!D35:AG67,"AMOUNT",D664:AG665)</f>
        <v>0</v>
      </c>
      <c r="C666" s="12"/>
      <c r="D666" s="880"/>
      <c r="E666" s="880"/>
      <c r="F666" s="880"/>
      <c r="G666" s="880"/>
      <c r="H666" s="880"/>
      <c r="I666" s="880"/>
      <c r="J666" s="880"/>
      <c r="K666" s="880"/>
      <c r="L666" s="881"/>
      <c r="M666" s="880"/>
      <c r="N666" s="873"/>
      <c r="O666" s="880"/>
      <c r="P666" s="873"/>
      <c r="Q666" s="884"/>
      <c r="R666" s="880"/>
      <c r="S666" s="880"/>
      <c r="T666" s="882"/>
      <c r="U666" s="882"/>
      <c r="V666" s="883"/>
      <c r="W666" s="883"/>
      <c r="X666" s="883"/>
      <c r="Y666" s="883"/>
      <c r="Z666" s="883"/>
      <c r="AA666" s="883"/>
      <c r="AB666" s="883"/>
      <c r="AC666" s="883"/>
      <c r="AD666" s="883"/>
      <c r="AE666" s="883"/>
      <c r="AF666" s="883"/>
      <c r="AG666" s="883"/>
      <c r="AH666" s="6"/>
    </row>
    <row r="667" spans="1:34" s="3" customFormat="1" ht="15.95" customHeight="1">
      <c r="A667" s="7"/>
      <c r="B667" s="10"/>
      <c r="C667" s="12"/>
      <c r="D667" s="880"/>
      <c r="E667" s="880"/>
      <c r="F667" s="880"/>
      <c r="G667" s="880"/>
      <c r="H667" s="880"/>
      <c r="I667" s="880"/>
      <c r="J667" s="880"/>
      <c r="K667" s="880"/>
      <c r="L667" s="881"/>
      <c r="M667" s="880"/>
      <c r="N667" s="873"/>
      <c r="O667" s="880"/>
      <c r="P667" s="873"/>
      <c r="Q667" s="884"/>
      <c r="R667" s="880"/>
      <c r="S667" s="880"/>
      <c r="T667" s="882"/>
      <c r="U667" s="882"/>
      <c r="V667" s="883"/>
      <c r="W667" s="883"/>
      <c r="X667" s="883"/>
      <c r="Y667" s="883"/>
      <c r="Z667" s="883"/>
      <c r="AA667" s="883"/>
      <c r="AB667" s="883"/>
      <c r="AC667" s="883"/>
      <c r="AD667" s="883"/>
      <c r="AE667" s="883"/>
      <c r="AF667" s="883"/>
      <c r="AG667" s="883"/>
    </row>
    <row r="668" spans="1:34" s="3" customFormat="1" ht="15.95" customHeight="1">
      <c r="A668" s="7"/>
      <c r="B668" s="10"/>
      <c r="C668" s="12"/>
      <c r="D668" s="880"/>
      <c r="E668" s="880"/>
      <c r="F668" s="880"/>
      <c r="G668" s="880"/>
      <c r="H668" s="880"/>
      <c r="I668" s="880"/>
      <c r="J668" s="880"/>
      <c r="K668" s="880"/>
      <c r="L668" s="881"/>
      <c r="M668" s="880"/>
      <c r="N668" s="873"/>
      <c r="O668" s="880"/>
      <c r="P668" s="873"/>
      <c r="Q668" s="884"/>
      <c r="R668" s="880"/>
      <c r="S668" s="880"/>
      <c r="T668" s="882"/>
      <c r="U668" s="882"/>
      <c r="V668" s="883"/>
      <c r="W668" s="883"/>
      <c r="X668" s="883"/>
      <c r="Y668" s="883"/>
      <c r="Z668" s="883"/>
      <c r="AA668" s="883"/>
      <c r="AB668" s="883"/>
      <c r="AC668" s="883"/>
      <c r="AD668" s="883"/>
      <c r="AE668" s="883"/>
      <c r="AF668" s="883"/>
      <c r="AG668" s="883"/>
    </row>
    <row r="669" spans="1:34" s="3" customFormat="1" ht="15.95" customHeight="1">
      <c r="A669" s="7"/>
      <c r="B669" s="10"/>
      <c r="C669" s="12"/>
      <c r="D669" s="880"/>
      <c r="E669" s="880"/>
      <c r="F669" s="880"/>
      <c r="G669" s="880"/>
      <c r="H669" s="880"/>
      <c r="I669" s="880"/>
      <c r="J669" s="880"/>
      <c r="K669" s="880"/>
      <c r="L669" s="881"/>
      <c r="M669" s="880"/>
      <c r="N669" s="873"/>
      <c r="O669" s="880"/>
      <c r="P669" s="873"/>
      <c r="Q669" s="884"/>
      <c r="R669" s="880"/>
      <c r="S669" s="880"/>
      <c r="T669" s="882"/>
      <c r="U669" s="882"/>
      <c r="V669" s="883"/>
      <c r="W669" s="883"/>
      <c r="X669" s="883"/>
      <c r="Y669" s="883"/>
      <c r="Z669" s="883"/>
      <c r="AA669" s="883"/>
      <c r="AB669" s="883"/>
      <c r="AC669" s="883"/>
      <c r="AD669" s="883"/>
      <c r="AE669" s="883"/>
      <c r="AF669" s="883"/>
      <c r="AG669" s="883"/>
    </row>
    <row r="670" spans="1:34" s="3" customFormat="1" ht="15.95" customHeight="1">
      <c r="A670" s="7"/>
      <c r="B670" s="10"/>
      <c r="C670" s="12"/>
      <c r="D670" s="880"/>
      <c r="E670" s="880"/>
      <c r="F670" s="880"/>
      <c r="G670" s="880"/>
      <c r="H670" s="880"/>
      <c r="I670" s="880"/>
      <c r="J670" s="880"/>
      <c r="K670" s="880"/>
      <c r="L670" s="881"/>
      <c r="M670" s="880"/>
      <c r="N670" s="873"/>
      <c r="O670" s="880"/>
      <c r="P670" s="873"/>
      <c r="Q670" s="884"/>
      <c r="R670" s="880"/>
      <c r="S670" s="880"/>
      <c r="T670" s="882"/>
      <c r="U670" s="882"/>
      <c r="V670" s="883"/>
      <c r="W670" s="883"/>
      <c r="X670" s="883"/>
      <c r="Y670" s="883"/>
      <c r="Z670" s="883"/>
      <c r="AA670" s="883"/>
      <c r="AB670" s="883"/>
      <c r="AC670" s="883"/>
      <c r="AD670" s="883"/>
      <c r="AE670" s="883"/>
      <c r="AF670" s="883"/>
      <c r="AG670" s="883"/>
    </row>
    <row r="671" spans="1:34" s="3" customFormat="1" ht="15.95" customHeight="1">
      <c r="A671" s="7"/>
      <c r="B671" s="10"/>
      <c r="C671" s="12"/>
      <c r="D671" s="880"/>
      <c r="E671" s="880"/>
      <c r="F671" s="880"/>
      <c r="G671" s="880"/>
      <c r="H671" s="880"/>
      <c r="I671" s="880"/>
      <c r="J671" s="880"/>
      <c r="K671" s="880"/>
      <c r="L671" s="881"/>
      <c r="M671" s="880"/>
      <c r="N671" s="873"/>
      <c r="O671" s="880"/>
      <c r="P671" s="873"/>
      <c r="Q671" s="884"/>
      <c r="R671" s="880"/>
      <c r="S671" s="880"/>
      <c r="T671" s="882"/>
      <c r="U671" s="882"/>
      <c r="V671" s="883"/>
      <c r="W671" s="883"/>
      <c r="X671" s="883"/>
      <c r="Y671" s="883"/>
      <c r="Z671" s="883"/>
      <c r="AA671" s="883"/>
      <c r="AB671" s="883"/>
      <c r="AC671" s="883"/>
      <c r="AD671" s="883"/>
      <c r="AE671" s="883"/>
      <c r="AF671" s="883"/>
      <c r="AG671" s="883"/>
    </row>
    <row r="672" spans="1:34" s="3" customFormat="1" ht="15.95" customHeight="1">
      <c r="A672" s="36"/>
      <c r="B672" s="33"/>
      <c r="C672" s="33"/>
      <c r="D672" s="34"/>
      <c r="E672" s="34"/>
      <c r="F672" s="35"/>
      <c r="G672" s="34"/>
      <c r="H672" s="35"/>
      <c r="I672" s="35"/>
      <c r="J672" s="34"/>
      <c r="K672" s="34"/>
      <c r="L672" s="288"/>
      <c r="M672" s="35"/>
      <c r="N672" s="35"/>
      <c r="O672" s="34"/>
      <c r="P672" s="35"/>
      <c r="Q672" s="35"/>
      <c r="R672" s="34"/>
      <c r="S672" s="35"/>
      <c r="T672" s="34"/>
      <c r="U672" s="34"/>
      <c r="V672" s="36"/>
      <c r="W672" s="36"/>
      <c r="X672" s="36"/>
      <c r="Y672" s="36"/>
      <c r="Z672" s="36"/>
      <c r="AA672" s="36"/>
      <c r="AB672" s="36"/>
      <c r="AC672" s="36"/>
      <c r="AD672" s="36"/>
      <c r="AE672" s="36"/>
      <c r="AF672" s="36"/>
      <c r="AG672" s="36"/>
    </row>
    <row r="673" spans="1:34" s="3" customFormat="1"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66"/>
      <c r="T673" s="867" t="str">
        <f>'$REV-DB'!$T$34</f>
        <v>UD1</v>
      </c>
      <c r="U673" s="867" t="str">
        <f>'$REV-DB'!$U$34</f>
        <v>UD2</v>
      </c>
      <c r="V673" s="867" t="str">
        <f>'$REV-DB'!$V$34</f>
        <v>UD3</v>
      </c>
      <c r="W673" s="867" t="str">
        <f>'$REV-DB'!$W$34</f>
        <v>UD4</v>
      </c>
      <c r="X673" s="867" t="str">
        <f>'$REV-DB'!$X$34</f>
        <v>UD5</v>
      </c>
      <c r="Y673" s="867" t="str">
        <f>'$REV-DB'!$Y$34</f>
        <v>UD6</v>
      </c>
      <c r="Z673" s="867" t="str">
        <f>'$REV-DB'!$Z$34</f>
        <v>UD7</v>
      </c>
      <c r="AA673" s="867" t="str">
        <f>'$REV-DB'!$AA$34</f>
        <v>UD8</v>
      </c>
      <c r="AB673" s="867" t="str">
        <f>'$REV-DB'!$AB$34</f>
        <v>UD9</v>
      </c>
      <c r="AC673" s="867" t="str">
        <f>'$REV-DB'!$AC$34</f>
        <v>UD10</v>
      </c>
      <c r="AD673" s="867" t="str">
        <f>'$REV-DB'!$AD$34</f>
        <v>UD11</v>
      </c>
      <c r="AE673" s="867" t="str">
        <f>'$REV-DB'!$AE$34</f>
        <v>UD12</v>
      </c>
      <c r="AF673" s="867" t="str">
        <f>'$REV-DB'!$AF$34</f>
        <v>UD13</v>
      </c>
      <c r="AG673" s="867" t="str">
        <f>'$REV-DB'!$AG$34</f>
        <v>UD14</v>
      </c>
    </row>
    <row r="674" spans="1:34" s="3" customFormat="1" ht="15.95" customHeight="1" thickTop="1" thickBot="1">
      <c r="A674" s="7"/>
      <c r="B674" s="20" t="s">
        <v>175</v>
      </c>
      <c r="C674" s="15"/>
      <c r="D674" s="861" t="s">
        <v>186</v>
      </c>
      <c r="E674" s="861" t="s">
        <v>187</v>
      </c>
      <c r="F674" s="861" t="s">
        <v>188</v>
      </c>
      <c r="G674" s="861" t="s">
        <v>189</v>
      </c>
      <c r="H674" s="861" t="s">
        <v>11</v>
      </c>
      <c r="I674" s="861" t="s">
        <v>190</v>
      </c>
      <c r="J674" s="861" t="s">
        <v>191</v>
      </c>
      <c r="K674" s="861" t="s">
        <v>192</v>
      </c>
      <c r="L674" s="861" t="s">
        <v>203</v>
      </c>
      <c r="M674" s="861" t="s">
        <v>42</v>
      </c>
      <c r="N674" s="861" t="s">
        <v>148</v>
      </c>
      <c r="O674" s="861" t="s">
        <v>193</v>
      </c>
      <c r="P674" s="861" t="s">
        <v>142</v>
      </c>
      <c r="Q674" s="861" t="s">
        <v>194</v>
      </c>
      <c r="R674" s="112" t="s">
        <v>141</v>
      </c>
      <c r="S674" s="112" t="s">
        <v>672</v>
      </c>
      <c r="T674" s="861" t="s">
        <v>541</v>
      </c>
      <c r="U674" s="861" t="s">
        <v>542</v>
      </c>
      <c r="V674" s="861" t="s">
        <v>543</v>
      </c>
      <c r="W674" s="861" t="s">
        <v>544</v>
      </c>
      <c r="X674" s="861" t="s">
        <v>545</v>
      </c>
      <c r="Y674" s="861" t="s">
        <v>546</v>
      </c>
      <c r="Z674" s="861" t="s">
        <v>547</v>
      </c>
      <c r="AA674" s="861" t="s">
        <v>548</v>
      </c>
      <c r="AB674" s="861" t="s">
        <v>549</v>
      </c>
      <c r="AC674" s="861" t="s">
        <v>550</v>
      </c>
      <c r="AD674" s="861" t="s">
        <v>551</v>
      </c>
      <c r="AE674" s="861" t="s">
        <v>552</v>
      </c>
      <c r="AF674" s="861" t="s">
        <v>553</v>
      </c>
      <c r="AG674" s="861" t="s">
        <v>554</v>
      </c>
      <c r="AH674" s="6"/>
    </row>
    <row r="675" spans="1:34" s="3" customFormat="1" ht="15.95" customHeight="1" thickTop="1">
      <c r="A675" s="7"/>
      <c r="B675" s="19" t="s">
        <v>143</v>
      </c>
      <c r="C675" s="12"/>
      <c r="D675" s="200"/>
      <c r="E675" s="200"/>
      <c r="F675" s="199"/>
      <c r="G675" s="200"/>
      <c r="H675" s="199"/>
      <c r="I675" s="199"/>
      <c r="J675" s="200"/>
      <c r="K675" s="200"/>
      <c r="L675" s="289" t="s">
        <v>34</v>
      </c>
      <c r="M675" s="199"/>
      <c r="N675" s="40" t="str">
        <f>J$6</f>
        <v>FY2010-11</v>
      </c>
      <c r="O675" s="40" t="s">
        <v>155</v>
      </c>
      <c r="P675" s="40" t="s">
        <v>147</v>
      </c>
      <c r="Q675" s="40" t="s">
        <v>179</v>
      </c>
      <c r="R675" s="200"/>
      <c r="S675" s="199" t="s">
        <v>611</v>
      </c>
      <c r="T675" s="200"/>
      <c r="U675" s="200"/>
      <c r="V675" s="201"/>
      <c r="W675" s="201"/>
      <c r="X675" s="201"/>
      <c r="Y675" s="201"/>
      <c r="Z675" s="201"/>
      <c r="AA675" s="201"/>
      <c r="AB675" s="201"/>
      <c r="AC675" s="201"/>
      <c r="AD675" s="201"/>
      <c r="AE675" s="201"/>
      <c r="AF675" s="201"/>
      <c r="AG675" s="201"/>
      <c r="AH675" s="6"/>
    </row>
    <row r="676" spans="1:34" s="3" customFormat="1" ht="15.95" customHeight="1">
      <c r="A676" s="7"/>
      <c r="B676" s="16">
        <f>DSUM('$REV-DB'!D35:AG67,"AMOUNT",D674:AG675)</f>
        <v>0</v>
      </c>
      <c r="C676" s="12"/>
      <c r="D676" s="880"/>
      <c r="E676" s="880"/>
      <c r="F676" s="880"/>
      <c r="G676" s="880"/>
      <c r="H676" s="880"/>
      <c r="I676" s="880"/>
      <c r="J676" s="880"/>
      <c r="K676" s="880"/>
      <c r="L676" s="881"/>
      <c r="M676" s="880"/>
      <c r="N676" s="873"/>
      <c r="O676" s="880"/>
      <c r="P676" s="873"/>
      <c r="Q676" s="884"/>
      <c r="R676" s="880"/>
      <c r="S676" s="880"/>
      <c r="T676" s="882"/>
      <c r="U676" s="882"/>
      <c r="V676" s="883"/>
      <c r="W676" s="883"/>
      <c r="X676" s="883"/>
      <c r="Y676" s="883"/>
      <c r="Z676" s="883"/>
      <c r="AA676" s="883"/>
      <c r="AB676" s="883"/>
      <c r="AC676" s="883"/>
      <c r="AD676" s="883"/>
      <c r="AE676" s="883"/>
      <c r="AF676" s="883"/>
      <c r="AG676" s="883"/>
      <c r="AH676" s="6"/>
    </row>
    <row r="677" spans="1:34" s="3" customFormat="1" ht="15.95" customHeight="1">
      <c r="A677" s="7"/>
      <c r="B677" s="10"/>
      <c r="C677" s="12"/>
      <c r="D677" s="880"/>
      <c r="E677" s="880"/>
      <c r="F677" s="880"/>
      <c r="G677" s="880"/>
      <c r="H677" s="880"/>
      <c r="I677" s="880"/>
      <c r="J677" s="880"/>
      <c r="K677" s="880"/>
      <c r="L677" s="881"/>
      <c r="M677" s="880"/>
      <c r="N677" s="873"/>
      <c r="O677" s="880"/>
      <c r="P677" s="873"/>
      <c r="Q677" s="884"/>
      <c r="R677" s="880"/>
      <c r="S677" s="880"/>
      <c r="T677" s="882"/>
      <c r="U677" s="882"/>
      <c r="V677" s="883"/>
      <c r="W677" s="883"/>
      <c r="X677" s="883"/>
      <c r="Y677" s="883"/>
      <c r="Z677" s="883"/>
      <c r="AA677" s="883"/>
      <c r="AB677" s="883"/>
      <c r="AC677" s="883"/>
      <c r="AD677" s="883"/>
      <c r="AE677" s="883"/>
      <c r="AF677" s="883"/>
      <c r="AG677" s="883"/>
    </row>
    <row r="678" spans="1:34" s="3" customFormat="1" ht="15.95" customHeight="1">
      <c r="A678" s="7"/>
      <c r="B678" s="10"/>
      <c r="C678" s="12"/>
      <c r="D678" s="880"/>
      <c r="E678" s="880"/>
      <c r="F678" s="880"/>
      <c r="G678" s="880"/>
      <c r="H678" s="880"/>
      <c r="I678" s="880"/>
      <c r="J678" s="880"/>
      <c r="K678" s="880"/>
      <c r="L678" s="881"/>
      <c r="M678" s="880"/>
      <c r="N678" s="873"/>
      <c r="O678" s="880"/>
      <c r="P678" s="873"/>
      <c r="Q678" s="884"/>
      <c r="R678" s="880"/>
      <c r="S678" s="880"/>
      <c r="T678" s="882"/>
      <c r="U678" s="882"/>
      <c r="V678" s="883"/>
      <c r="W678" s="883"/>
      <c r="X678" s="883"/>
      <c r="Y678" s="883"/>
      <c r="Z678" s="883"/>
      <c r="AA678" s="883"/>
      <c r="AB678" s="883"/>
      <c r="AC678" s="883"/>
      <c r="AD678" s="883"/>
      <c r="AE678" s="883"/>
      <c r="AF678" s="883"/>
      <c r="AG678" s="883"/>
    </row>
    <row r="679" spans="1:34" s="3" customFormat="1" ht="15.95" customHeight="1">
      <c r="A679" s="7"/>
      <c r="B679" s="10"/>
      <c r="C679" s="12"/>
      <c r="D679" s="880"/>
      <c r="E679" s="880"/>
      <c r="F679" s="880"/>
      <c r="G679" s="880"/>
      <c r="H679" s="880"/>
      <c r="I679" s="880"/>
      <c r="J679" s="880"/>
      <c r="K679" s="880"/>
      <c r="L679" s="881"/>
      <c r="M679" s="880"/>
      <c r="N679" s="873"/>
      <c r="O679" s="880"/>
      <c r="P679" s="873"/>
      <c r="Q679" s="884"/>
      <c r="R679" s="880"/>
      <c r="S679" s="880"/>
      <c r="T679" s="882"/>
      <c r="U679" s="882"/>
      <c r="V679" s="883"/>
      <c r="W679" s="883"/>
      <c r="X679" s="883"/>
      <c r="Y679" s="883"/>
      <c r="Z679" s="883"/>
      <c r="AA679" s="883"/>
      <c r="AB679" s="883"/>
      <c r="AC679" s="883"/>
      <c r="AD679" s="883"/>
      <c r="AE679" s="883"/>
      <c r="AF679" s="883"/>
      <c r="AG679" s="883"/>
    </row>
    <row r="680" spans="1:34" s="3" customFormat="1" ht="15.95" customHeight="1">
      <c r="A680" s="7"/>
      <c r="B680" s="10"/>
      <c r="C680" s="12"/>
      <c r="D680" s="880"/>
      <c r="E680" s="880"/>
      <c r="F680" s="880"/>
      <c r="G680" s="880"/>
      <c r="H680" s="880"/>
      <c r="I680" s="880"/>
      <c r="J680" s="880"/>
      <c r="K680" s="880"/>
      <c r="L680" s="881"/>
      <c r="M680" s="880"/>
      <c r="N680" s="873"/>
      <c r="O680" s="880"/>
      <c r="P680" s="873"/>
      <c r="Q680" s="884"/>
      <c r="R680" s="880"/>
      <c r="S680" s="880"/>
      <c r="T680" s="882"/>
      <c r="U680" s="882"/>
      <c r="V680" s="883"/>
      <c r="W680" s="883"/>
      <c r="X680" s="883"/>
      <c r="Y680" s="883"/>
      <c r="Z680" s="883"/>
      <c r="AA680" s="883"/>
      <c r="AB680" s="883"/>
      <c r="AC680" s="883"/>
      <c r="AD680" s="883"/>
      <c r="AE680" s="883"/>
      <c r="AF680" s="883"/>
      <c r="AG680" s="883"/>
    </row>
    <row r="681" spans="1:34" s="3" customFormat="1" ht="15.95" customHeight="1">
      <c r="A681" s="7"/>
      <c r="B681" s="10"/>
      <c r="C681" s="12"/>
      <c r="D681" s="880"/>
      <c r="E681" s="880"/>
      <c r="F681" s="880"/>
      <c r="G681" s="880"/>
      <c r="H681" s="880"/>
      <c r="I681" s="880"/>
      <c r="J681" s="880"/>
      <c r="K681" s="880"/>
      <c r="L681" s="881"/>
      <c r="M681" s="880"/>
      <c r="N681" s="873"/>
      <c r="O681" s="880"/>
      <c r="P681" s="873"/>
      <c r="Q681" s="884"/>
      <c r="R681" s="880"/>
      <c r="S681" s="880"/>
      <c r="T681" s="882"/>
      <c r="U681" s="882"/>
      <c r="V681" s="883"/>
      <c r="W681" s="883"/>
      <c r="X681" s="883"/>
      <c r="Y681" s="883"/>
      <c r="Z681" s="883"/>
      <c r="AA681" s="883"/>
      <c r="AB681" s="883"/>
      <c r="AC681" s="883"/>
      <c r="AD681" s="883"/>
      <c r="AE681" s="883"/>
      <c r="AF681" s="883"/>
      <c r="AG681" s="883"/>
    </row>
    <row r="682" spans="1:34" s="3" customFormat="1" ht="15.95" customHeight="1">
      <c r="A682" s="36"/>
      <c r="B682" s="33"/>
      <c r="C682" s="33"/>
      <c r="D682" s="34"/>
      <c r="E682" s="34"/>
      <c r="F682" s="35"/>
      <c r="G682" s="34"/>
      <c r="H682" s="35"/>
      <c r="I682" s="35"/>
      <c r="J682" s="34"/>
      <c r="K682" s="34"/>
      <c r="L682" s="288"/>
      <c r="M682" s="35"/>
      <c r="N682" s="35"/>
      <c r="O682" s="34"/>
      <c r="P682" s="35"/>
      <c r="Q682" s="35"/>
      <c r="R682" s="34"/>
      <c r="S682" s="35"/>
      <c r="T682" s="34"/>
      <c r="U682" s="34"/>
      <c r="V682" s="36"/>
      <c r="W682" s="36"/>
      <c r="X682" s="36"/>
      <c r="Y682" s="36"/>
      <c r="Z682" s="36"/>
      <c r="AA682" s="36"/>
      <c r="AB682" s="36"/>
      <c r="AC682" s="36"/>
      <c r="AD682" s="36"/>
      <c r="AE682" s="36"/>
      <c r="AF682" s="36"/>
      <c r="AG682" s="36"/>
    </row>
    <row r="683" spans="1:34" s="3" customFormat="1"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66"/>
      <c r="T683" s="867" t="str">
        <f>'$REV-DB'!$T$34</f>
        <v>UD1</v>
      </c>
      <c r="U683" s="867" t="str">
        <f>'$REV-DB'!$U$34</f>
        <v>UD2</v>
      </c>
      <c r="V683" s="867" t="str">
        <f>'$REV-DB'!$V$34</f>
        <v>UD3</v>
      </c>
      <c r="W683" s="867" t="str">
        <f>'$REV-DB'!$W$34</f>
        <v>UD4</v>
      </c>
      <c r="X683" s="867" t="str">
        <f>'$REV-DB'!$X$34</f>
        <v>UD5</v>
      </c>
      <c r="Y683" s="867" t="str">
        <f>'$REV-DB'!$Y$34</f>
        <v>UD6</v>
      </c>
      <c r="Z683" s="867" t="str">
        <f>'$REV-DB'!$Z$34</f>
        <v>UD7</v>
      </c>
      <c r="AA683" s="867" t="str">
        <f>'$REV-DB'!$AA$34</f>
        <v>UD8</v>
      </c>
      <c r="AB683" s="867" t="str">
        <f>'$REV-DB'!$AB$34</f>
        <v>UD9</v>
      </c>
      <c r="AC683" s="867" t="str">
        <f>'$REV-DB'!$AC$34</f>
        <v>UD10</v>
      </c>
      <c r="AD683" s="867" t="str">
        <f>'$REV-DB'!$AD$34</f>
        <v>UD11</v>
      </c>
      <c r="AE683" s="867" t="str">
        <f>'$REV-DB'!$AE$34</f>
        <v>UD12</v>
      </c>
      <c r="AF683" s="867" t="str">
        <f>'$REV-DB'!$AF$34</f>
        <v>UD13</v>
      </c>
      <c r="AG683" s="867" t="str">
        <f>'$REV-DB'!$AG$34</f>
        <v>UD14</v>
      </c>
    </row>
    <row r="684" spans="1:34" s="3" customFormat="1" ht="15.95" customHeight="1" thickTop="1" thickBot="1">
      <c r="A684" s="7"/>
      <c r="B684" s="20" t="s">
        <v>175</v>
      </c>
      <c r="C684" s="15"/>
      <c r="D684" s="861" t="s">
        <v>186</v>
      </c>
      <c r="E684" s="861" t="s">
        <v>187</v>
      </c>
      <c r="F684" s="861" t="s">
        <v>188</v>
      </c>
      <c r="G684" s="861" t="s">
        <v>189</v>
      </c>
      <c r="H684" s="861" t="s">
        <v>11</v>
      </c>
      <c r="I684" s="861" t="s">
        <v>190</v>
      </c>
      <c r="J684" s="861" t="s">
        <v>191</v>
      </c>
      <c r="K684" s="861" t="s">
        <v>192</v>
      </c>
      <c r="L684" s="861" t="s">
        <v>203</v>
      </c>
      <c r="M684" s="861" t="s">
        <v>42</v>
      </c>
      <c r="N684" s="861" t="s">
        <v>148</v>
      </c>
      <c r="O684" s="861" t="s">
        <v>193</v>
      </c>
      <c r="P684" s="861" t="s">
        <v>142</v>
      </c>
      <c r="Q684" s="861" t="s">
        <v>194</v>
      </c>
      <c r="R684" s="112" t="s">
        <v>141</v>
      </c>
      <c r="S684" s="112" t="s">
        <v>672</v>
      </c>
      <c r="T684" s="861" t="s">
        <v>541</v>
      </c>
      <c r="U684" s="861" t="s">
        <v>542</v>
      </c>
      <c r="V684" s="861" t="s">
        <v>543</v>
      </c>
      <c r="W684" s="861" t="s">
        <v>544</v>
      </c>
      <c r="X684" s="861" t="s">
        <v>545</v>
      </c>
      <c r="Y684" s="861" t="s">
        <v>546</v>
      </c>
      <c r="Z684" s="861" t="s">
        <v>547</v>
      </c>
      <c r="AA684" s="861" t="s">
        <v>548</v>
      </c>
      <c r="AB684" s="861" t="s">
        <v>549</v>
      </c>
      <c r="AC684" s="861" t="s">
        <v>550</v>
      </c>
      <c r="AD684" s="861" t="s">
        <v>551</v>
      </c>
      <c r="AE684" s="861" t="s">
        <v>552</v>
      </c>
      <c r="AF684" s="861" t="s">
        <v>553</v>
      </c>
      <c r="AG684" s="861" t="s">
        <v>554</v>
      </c>
      <c r="AH684" s="6"/>
    </row>
    <row r="685" spans="1:34" s="3" customFormat="1" ht="15.95" customHeight="1" thickTop="1">
      <c r="A685" s="7"/>
      <c r="B685" s="19" t="s">
        <v>149</v>
      </c>
      <c r="C685" s="12"/>
      <c r="D685" s="200"/>
      <c r="E685" s="200"/>
      <c r="F685" s="199"/>
      <c r="G685" s="200"/>
      <c r="H685" s="199"/>
      <c r="I685" s="199"/>
      <c r="J685" s="200"/>
      <c r="K685" s="200"/>
      <c r="L685" s="289" t="s">
        <v>34</v>
      </c>
      <c r="M685" s="199"/>
      <c r="N685" s="40" t="str">
        <f>J$6</f>
        <v>FY2010-11</v>
      </c>
      <c r="O685" s="40" t="s">
        <v>155</v>
      </c>
      <c r="P685" s="40" t="s">
        <v>147</v>
      </c>
      <c r="Q685" s="40" t="s">
        <v>2</v>
      </c>
      <c r="R685" s="200"/>
      <c r="S685" s="199" t="s">
        <v>611</v>
      </c>
      <c r="T685" s="200"/>
      <c r="U685" s="200"/>
      <c r="V685" s="201"/>
      <c r="W685" s="201"/>
      <c r="X685" s="201"/>
      <c r="Y685" s="201"/>
      <c r="Z685" s="201"/>
      <c r="AA685" s="201"/>
      <c r="AB685" s="201"/>
      <c r="AC685" s="201"/>
      <c r="AD685" s="201"/>
      <c r="AE685" s="201"/>
      <c r="AF685" s="201"/>
      <c r="AG685" s="201"/>
      <c r="AH685" s="6"/>
    </row>
    <row r="686" spans="1:34" s="3" customFormat="1" ht="15.95" customHeight="1">
      <c r="A686" s="7"/>
      <c r="B686" s="16">
        <f>DSUM('$REV-DB'!D35:AG67,"AMOUNT",D684:AG685)</f>
        <v>0</v>
      </c>
      <c r="C686" s="12"/>
      <c r="D686" s="880"/>
      <c r="E686" s="880"/>
      <c r="F686" s="880"/>
      <c r="G686" s="880"/>
      <c r="H686" s="880"/>
      <c r="I686" s="880"/>
      <c r="J686" s="880"/>
      <c r="K686" s="880"/>
      <c r="L686" s="881"/>
      <c r="M686" s="880"/>
      <c r="N686" s="873"/>
      <c r="O686" s="880"/>
      <c r="P686" s="873"/>
      <c r="Q686" s="884"/>
      <c r="R686" s="880"/>
      <c r="S686" s="880"/>
      <c r="T686" s="882"/>
      <c r="U686" s="882"/>
      <c r="V686" s="883"/>
      <c r="W686" s="883"/>
      <c r="X686" s="883"/>
      <c r="Y686" s="883"/>
      <c r="Z686" s="883"/>
      <c r="AA686" s="883"/>
      <c r="AB686" s="883"/>
      <c r="AC686" s="883"/>
      <c r="AD686" s="883"/>
      <c r="AE686" s="883"/>
      <c r="AF686" s="883"/>
      <c r="AG686" s="883"/>
      <c r="AH686" s="6"/>
    </row>
    <row r="687" spans="1:34" s="3" customFormat="1" ht="15.95" customHeight="1">
      <c r="A687" s="7"/>
      <c r="B687" s="10"/>
      <c r="C687" s="12"/>
      <c r="D687" s="880"/>
      <c r="E687" s="880"/>
      <c r="F687" s="880"/>
      <c r="G687" s="880"/>
      <c r="H687" s="880"/>
      <c r="I687" s="880"/>
      <c r="J687" s="880"/>
      <c r="K687" s="880"/>
      <c r="L687" s="881"/>
      <c r="M687" s="880"/>
      <c r="N687" s="873"/>
      <c r="O687" s="880"/>
      <c r="P687" s="873"/>
      <c r="Q687" s="884"/>
      <c r="R687" s="880"/>
      <c r="S687" s="880"/>
      <c r="T687" s="882"/>
      <c r="U687" s="882"/>
      <c r="V687" s="883"/>
      <c r="W687" s="883"/>
      <c r="X687" s="883"/>
      <c r="Y687" s="883"/>
      <c r="Z687" s="883"/>
      <c r="AA687" s="883"/>
      <c r="AB687" s="883"/>
      <c r="AC687" s="883"/>
      <c r="AD687" s="883"/>
      <c r="AE687" s="883"/>
      <c r="AF687" s="883"/>
      <c r="AG687" s="883"/>
    </row>
    <row r="688" spans="1:34" s="3" customFormat="1" ht="15.95" customHeight="1">
      <c r="A688" s="7"/>
      <c r="B688" s="10"/>
      <c r="C688" s="12"/>
      <c r="D688" s="880"/>
      <c r="E688" s="880"/>
      <c r="F688" s="880"/>
      <c r="G688" s="880"/>
      <c r="H688" s="880"/>
      <c r="I688" s="880"/>
      <c r="J688" s="880"/>
      <c r="K688" s="880"/>
      <c r="L688" s="881"/>
      <c r="M688" s="880"/>
      <c r="N688" s="873"/>
      <c r="O688" s="880"/>
      <c r="P688" s="873"/>
      <c r="Q688" s="884"/>
      <c r="R688" s="880"/>
      <c r="S688" s="880"/>
      <c r="T688" s="882"/>
      <c r="U688" s="882"/>
      <c r="V688" s="883"/>
      <c r="W688" s="883"/>
      <c r="X688" s="883"/>
      <c r="Y688" s="883"/>
      <c r="Z688" s="883"/>
      <c r="AA688" s="883"/>
      <c r="AB688" s="883"/>
      <c r="AC688" s="883"/>
      <c r="AD688" s="883"/>
      <c r="AE688" s="883"/>
      <c r="AF688" s="883"/>
      <c r="AG688" s="883"/>
    </row>
    <row r="689" spans="1:34" s="3" customFormat="1" ht="15.95" customHeight="1">
      <c r="A689" s="7"/>
      <c r="B689" s="10"/>
      <c r="C689" s="12"/>
      <c r="D689" s="880"/>
      <c r="E689" s="880"/>
      <c r="F689" s="880"/>
      <c r="G689" s="880"/>
      <c r="H689" s="880"/>
      <c r="I689" s="880"/>
      <c r="J689" s="880"/>
      <c r="K689" s="880"/>
      <c r="L689" s="881"/>
      <c r="M689" s="880"/>
      <c r="N689" s="873"/>
      <c r="O689" s="880"/>
      <c r="P689" s="873"/>
      <c r="Q689" s="884"/>
      <c r="R689" s="880"/>
      <c r="S689" s="880"/>
      <c r="T689" s="882"/>
      <c r="U689" s="882"/>
      <c r="V689" s="883"/>
      <c r="W689" s="883"/>
      <c r="X689" s="883"/>
      <c r="Y689" s="883"/>
      <c r="Z689" s="883"/>
      <c r="AA689" s="883"/>
      <c r="AB689" s="883"/>
      <c r="AC689" s="883"/>
      <c r="AD689" s="883"/>
      <c r="AE689" s="883"/>
      <c r="AF689" s="883"/>
      <c r="AG689" s="883"/>
    </row>
    <row r="690" spans="1:34" s="3" customFormat="1" ht="15.95" customHeight="1">
      <c r="A690" s="7"/>
      <c r="B690" s="10"/>
      <c r="C690" s="12"/>
      <c r="D690" s="880"/>
      <c r="E690" s="880"/>
      <c r="F690" s="880"/>
      <c r="G690" s="880"/>
      <c r="H690" s="880"/>
      <c r="I690" s="880"/>
      <c r="J690" s="880"/>
      <c r="K690" s="880"/>
      <c r="L690" s="881"/>
      <c r="M690" s="880"/>
      <c r="N690" s="873"/>
      <c r="O690" s="880"/>
      <c r="P690" s="873"/>
      <c r="Q690" s="884"/>
      <c r="R690" s="880"/>
      <c r="S690" s="880"/>
      <c r="T690" s="882"/>
      <c r="U690" s="882"/>
      <c r="V690" s="883"/>
      <c r="W690" s="883"/>
      <c r="X690" s="883"/>
      <c r="Y690" s="883"/>
      <c r="Z690" s="883"/>
      <c r="AA690" s="883"/>
      <c r="AB690" s="883"/>
      <c r="AC690" s="883"/>
      <c r="AD690" s="883"/>
      <c r="AE690" s="883"/>
      <c r="AF690" s="883"/>
      <c r="AG690" s="883"/>
    </row>
    <row r="691" spans="1:34" s="3" customFormat="1" ht="15.95" customHeight="1">
      <c r="A691" s="7"/>
      <c r="B691" s="10"/>
      <c r="C691" s="12"/>
      <c r="D691" s="880"/>
      <c r="E691" s="880"/>
      <c r="F691" s="880"/>
      <c r="G691" s="880"/>
      <c r="H691" s="880"/>
      <c r="I691" s="880"/>
      <c r="J691" s="880"/>
      <c r="K691" s="880"/>
      <c r="L691" s="881"/>
      <c r="M691" s="880"/>
      <c r="N691" s="873"/>
      <c r="O691" s="880"/>
      <c r="P691" s="873"/>
      <c r="Q691" s="884"/>
      <c r="R691" s="880"/>
      <c r="S691" s="880"/>
      <c r="T691" s="882"/>
      <c r="U691" s="882"/>
      <c r="V691" s="883"/>
      <c r="W691" s="883"/>
      <c r="X691" s="883"/>
      <c r="Y691" s="883"/>
      <c r="Z691" s="883"/>
      <c r="AA691" s="883"/>
      <c r="AB691" s="883"/>
      <c r="AC691" s="883"/>
      <c r="AD691" s="883"/>
      <c r="AE691" s="883"/>
      <c r="AF691" s="883"/>
      <c r="AG691" s="883"/>
    </row>
    <row r="692" spans="1:34" s="3" customFormat="1" ht="15.95" customHeight="1">
      <c r="A692" s="46"/>
      <c r="B692" s="33"/>
      <c r="C692" s="33"/>
      <c r="D692" s="34"/>
      <c r="E692" s="34"/>
      <c r="F692" s="35"/>
      <c r="G692" s="34"/>
      <c r="H692" s="35"/>
      <c r="I692" s="35"/>
      <c r="J692" s="34"/>
      <c r="K692" s="34"/>
      <c r="L692" s="288"/>
      <c r="M692" s="35"/>
      <c r="N692" s="35"/>
      <c r="O692" s="34"/>
      <c r="P692" s="35"/>
      <c r="Q692" s="35"/>
      <c r="R692" s="34"/>
      <c r="S692" s="35"/>
      <c r="T692" s="34"/>
      <c r="U692" s="34"/>
      <c r="V692" s="36"/>
      <c r="W692" s="36"/>
      <c r="X692" s="36"/>
      <c r="Y692" s="36"/>
      <c r="Z692" s="36"/>
      <c r="AA692" s="36"/>
      <c r="AB692" s="36"/>
      <c r="AC692" s="36"/>
      <c r="AD692" s="36"/>
      <c r="AE692" s="36"/>
      <c r="AF692" s="36"/>
      <c r="AG692" s="36"/>
    </row>
    <row r="693" spans="1:34" s="3" customFormat="1"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66"/>
      <c r="T693" s="867" t="str">
        <f>'$REV-DB'!$T$34</f>
        <v>UD1</v>
      </c>
      <c r="U693" s="867" t="str">
        <f>'$REV-DB'!$U$34</f>
        <v>UD2</v>
      </c>
      <c r="V693" s="867" t="str">
        <f>'$REV-DB'!$V$34</f>
        <v>UD3</v>
      </c>
      <c r="W693" s="867" t="str">
        <f>'$REV-DB'!$W$34</f>
        <v>UD4</v>
      </c>
      <c r="X693" s="867" t="str">
        <f>'$REV-DB'!$X$34</f>
        <v>UD5</v>
      </c>
      <c r="Y693" s="867" t="str">
        <f>'$REV-DB'!$Y$34</f>
        <v>UD6</v>
      </c>
      <c r="Z693" s="867" t="str">
        <f>'$REV-DB'!$Z$34</f>
        <v>UD7</v>
      </c>
      <c r="AA693" s="867" t="str">
        <f>'$REV-DB'!$AA$34</f>
        <v>UD8</v>
      </c>
      <c r="AB693" s="867" t="str">
        <f>'$REV-DB'!$AB$34</f>
        <v>UD9</v>
      </c>
      <c r="AC693" s="867" t="str">
        <f>'$REV-DB'!$AC$34</f>
        <v>UD10</v>
      </c>
      <c r="AD693" s="867" t="str">
        <f>'$REV-DB'!$AD$34</f>
        <v>UD11</v>
      </c>
      <c r="AE693" s="867" t="str">
        <f>'$REV-DB'!$AE$34</f>
        <v>UD12</v>
      </c>
      <c r="AF693" s="867" t="str">
        <f>'$REV-DB'!$AF$34</f>
        <v>UD13</v>
      </c>
      <c r="AG693" s="867" t="str">
        <f>'$REV-DB'!$AG$34</f>
        <v>UD14</v>
      </c>
    </row>
    <row r="694" spans="1:34" s="3" customFormat="1" ht="15.95" customHeight="1" thickTop="1" thickBot="1">
      <c r="A694" s="7"/>
      <c r="B694" s="20" t="s">
        <v>175</v>
      </c>
      <c r="C694" s="15"/>
      <c r="D694" s="861" t="s">
        <v>186</v>
      </c>
      <c r="E694" s="861" t="s">
        <v>187</v>
      </c>
      <c r="F694" s="861" t="s">
        <v>188</v>
      </c>
      <c r="G694" s="861" t="s">
        <v>189</v>
      </c>
      <c r="H694" s="861" t="s">
        <v>11</v>
      </c>
      <c r="I694" s="861" t="s">
        <v>190</v>
      </c>
      <c r="J694" s="861" t="s">
        <v>191</v>
      </c>
      <c r="K694" s="861" t="s">
        <v>192</v>
      </c>
      <c r="L694" s="861" t="s">
        <v>203</v>
      </c>
      <c r="M694" s="861" t="s">
        <v>42</v>
      </c>
      <c r="N694" s="861" t="s">
        <v>148</v>
      </c>
      <c r="O694" s="861" t="s">
        <v>193</v>
      </c>
      <c r="P694" s="861" t="s">
        <v>142</v>
      </c>
      <c r="Q694" s="861" t="s">
        <v>194</v>
      </c>
      <c r="R694" s="112" t="s">
        <v>141</v>
      </c>
      <c r="S694" s="112" t="s">
        <v>672</v>
      </c>
      <c r="T694" s="861" t="s">
        <v>541</v>
      </c>
      <c r="U694" s="861" t="s">
        <v>542</v>
      </c>
      <c r="V694" s="861" t="s">
        <v>543</v>
      </c>
      <c r="W694" s="861" t="s">
        <v>544</v>
      </c>
      <c r="X694" s="861" t="s">
        <v>545</v>
      </c>
      <c r="Y694" s="861" t="s">
        <v>546</v>
      </c>
      <c r="Z694" s="861" t="s">
        <v>547</v>
      </c>
      <c r="AA694" s="861" t="s">
        <v>548</v>
      </c>
      <c r="AB694" s="861" t="s">
        <v>549</v>
      </c>
      <c r="AC694" s="861" t="s">
        <v>550</v>
      </c>
      <c r="AD694" s="861" t="s">
        <v>551</v>
      </c>
      <c r="AE694" s="861" t="s">
        <v>552</v>
      </c>
      <c r="AF694" s="861" t="s">
        <v>553</v>
      </c>
      <c r="AG694" s="861" t="s">
        <v>554</v>
      </c>
      <c r="AH694" s="6"/>
    </row>
    <row r="695" spans="1:34" s="3" customFormat="1" ht="15.95" customHeight="1" thickTop="1">
      <c r="A695" s="7"/>
      <c r="B695" s="19" t="s">
        <v>364</v>
      </c>
      <c r="C695" s="12"/>
      <c r="D695" s="200"/>
      <c r="E695" s="200"/>
      <c r="F695" s="199"/>
      <c r="G695" s="200"/>
      <c r="H695" s="199"/>
      <c r="I695" s="199"/>
      <c r="J695" s="200"/>
      <c r="K695" s="200"/>
      <c r="L695" s="289" t="s">
        <v>34</v>
      </c>
      <c r="M695" s="199"/>
      <c r="N695" s="40" t="str">
        <f>J$6</f>
        <v>FY2010-11</v>
      </c>
      <c r="O695" s="40" t="s">
        <v>155</v>
      </c>
      <c r="P695" s="40" t="s">
        <v>147</v>
      </c>
      <c r="Q695" s="40" t="s">
        <v>70</v>
      </c>
      <c r="R695" s="200"/>
      <c r="S695" s="199" t="s">
        <v>611</v>
      </c>
      <c r="T695" s="200"/>
      <c r="U695" s="200"/>
      <c r="V695" s="201"/>
      <c r="W695" s="201"/>
      <c r="X695" s="201"/>
      <c r="Y695" s="201"/>
      <c r="Z695" s="201"/>
      <c r="AA695" s="201"/>
      <c r="AB695" s="201"/>
      <c r="AC695" s="201"/>
      <c r="AD695" s="201"/>
      <c r="AE695" s="201"/>
      <c r="AF695" s="201"/>
      <c r="AG695" s="201"/>
      <c r="AH695" s="6"/>
    </row>
    <row r="696" spans="1:34" s="3" customFormat="1" ht="15.95" customHeight="1">
      <c r="A696" s="7"/>
      <c r="B696" s="16">
        <f>DSUM('$REV-DB'!D35:AG67,"AMOUNT",D694:AG695)</f>
        <v>0</v>
      </c>
      <c r="C696" s="12"/>
      <c r="D696" s="880"/>
      <c r="E696" s="880"/>
      <c r="F696" s="880"/>
      <c r="G696" s="880"/>
      <c r="H696" s="880"/>
      <c r="I696" s="880"/>
      <c r="J696" s="880"/>
      <c r="K696" s="880"/>
      <c r="L696" s="881"/>
      <c r="M696" s="880"/>
      <c r="N696" s="873"/>
      <c r="O696" s="880"/>
      <c r="P696" s="873"/>
      <c r="Q696" s="884"/>
      <c r="R696" s="880"/>
      <c r="S696" s="880"/>
      <c r="T696" s="882"/>
      <c r="U696" s="882"/>
      <c r="V696" s="883"/>
      <c r="W696" s="883"/>
      <c r="X696" s="883"/>
      <c r="Y696" s="883"/>
      <c r="Z696" s="883"/>
      <c r="AA696" s="883"/>
      <c r="AB696" s="883"/>
      <c r="AC696" s="883"/>
      <c r="AD696" s="883"/>
      <c r="AE696" s="883"/>
      <c r="AF696" s="883"/>
      <c r="AG696" s="883"/>
      <c r="AH696" s="6"/>
    </row>
    <row r="697" spans="1:34" s="3" customFormat="1" ht="15.95" customHeight="1">
      <c r="A697" s="7"/>
      <c r="B697" s="10"/>
      <c r="C697" s="12"/>
      <c r="D697" s="880"/>
      <c r="E697" s="880"/>
      <c r="F697" s="880"/>
      <c r="G697" s="880"/>
      <c r="H697" s="880"/>
      <c r="I697" s="880"/>
      <c r="J697" s="880"/>
      <c r="K697" s="880"/>
      <c r="L697" s="881"/>
      <c r="M697" s="880"/>
      <c r="N697" s="873"/>
      <c r="O697" s="880"/>
      <c r="P697" s="873"/>
      <c r="Q697" s="884"/>
      <c r="R697" s="880"/>
      <c r="S697" s="880"/>
      <c r="T697" s="882"/>
      <c r="U697" s="882"/>
      <c r="V697" s="883"/>
      <c r="W697" s="883"/>
      <c r="X697" s="883"/>
      <c r="Y697" s="883"/>
      <c r="Z697" s="883"/>
      <c r="AA697" s="883"/>
      <c r="AB697" s="883"/>
      <c r="AC697" s="883"/>
      <c r="AD697" s="883"/>
      <c r="AE697" s="883"/>
      <c r="AF697" s="883"/>
      <c r="AG697" s="883"/>
    </row>
    <row r="698" spans="1:34" s="3" customFormat="1" ht="15.95" customHeight="1">
      <c r="A698" s="7"/>
      <c r="B698" s="10"/>
      <c r="C698" s="12"/>
      <c r="D698" s="880"/>
      <c r="E698" s="880"/>
      <c r="F698" s="880"/>
      <c r="G698" s="880"/>
      <c r="H698" s="880"/>
      <c r="I698" s="880"/>
      <c r="J698" s="880"/>
      <c r="K698" s="880"/>
      <c r="L698" s="881"/>
      <c r="M698" s="880"/>
      <c r="N698" s="873"/>
      <c r="O698" s="880"/>
      <c r="P698" s="873"/>
      <c r="Q698" s="884"/>
      <c r="R698" s="880"/>
      <c r="S698" s="880"/>
      <c r="T698" s="882"/>
      <c r="U698" s="882"/>
      <c r="V698" s="883"/>
      <c r="W698" s="883"/>
      <c r="X698" s="883"/>
      <c r="Y698" s="883"/>
      <c r="Z698" s="883"/>
      <c r="AA698" s="883"/>
      <c r="AB698" s="883"/>
      <c r="AC698" s="883"/>
      <c r="AD698" s="883"/>
      <c r="AE698" s="883"/>
      <c r="AF698" s="883"/>
      <c r="AG698" s="883"/>
    </row>
    <row r="699" spans="1:34" s="3" customFormat="1" ht="15.95" customHeight="1">
      <c r="A699" s="7"/>
      <c r="B699" s="10"/>
      <c r="C699" s="12"/>
      <c r="D699" s="880"/>
      <c r="E699" s="880"/>
      <c r="F699" s="880"/>
      <c r="G699" s="880"/>
      <c r="H699" s="880"/>
      <c r="I699" s="880"/>
      <c r="J699" s="880"/>
      <c r="K699" s="880"/>
      <c r="L699" s="881"/>
      <c r="M699" s="880"/>
      <c r="N699" s="873"/>
      <c r="O699" s="880"/>
      <c r="P699" s="873"/>
      <c r="Q699" s="884"/>
      <c r="R699" s="880"/>
      <c r="S699" s="880"/>
      <c r="T699" s="882"/>
      <c r="U699" s="882"/>
      <c r="V699" s="883"/>
      <c r="W699" s="883"/>
      <c r="X699" s="883"/>
      <c r="Y699" s="883"/>
      <c r="Z699" s="883"/>
      <c r="AA699" s="883"/>
      <c r="AB699" s="883"/>
      <c r="AC699" s="883"/>
      <c r="AD699" s="883"/>
      <c r="AE699" s="883"/>
      <c r="AF699" s="883"/>
      <c r="AG699" s="883"/>
    </row>
    <row r="700" spans="1:34" s="3" customFormat="1" ht="15.95" customHeight="1">
      <c r="A700" s="7"/>
      <c r="B700" s="10"/>
      <c r="C700" s="12"/>
      <c r="D700" s="880"/>
      <c r="E700" s="880"/>
      <c r="F700" s="880"/>
      <c r="G700" s="880"/>
      <c r="H700" s="880"/>
      <c r="I700" s="880"/>
      <c r="J700" s="880"/>
      <c r="K700" s="880"/>
      <c r="L700" s="881"/>
      <c r="M700" s="880"/>
      <c r="N700" s="873"/>
      <c r="O700" s="880"/>
      <c r="P700" s="873"/>
      <c r="Q700" s="884"/>
      <c r="R700" s="880"/>
      <c r="S700" s="880"/>
      <c r="T700" s="882"/>
      <c r="U700" s="882"/>
      <c r="V700" s="883"/>
      <c r="W700" s="883"/>
      <c r="X700" s="883"/>
      <c r="Y700" s="883"/>
      <c r="Z700" s="883"/>
      <c r="AA700" s="883"/>
      <c r="AB700" s="883"/>
      <c r="AC700" s="883"/>
      <c r="AD700" s="883"/>
      <c r="AE700" s="883"/>
      <c r="AF700" s="883"/>
      <c r="AG700" s="883"/>
    </row>
    <row r="701" spans="1:34" s="3" customFormat="1" ht="15.95" customHeight="1">
      <c r="A701" s="7"/>
      <c r="B701" s="10"/>
      <c r="C701" s="12"/>
      <c r="D701" s="880"/>
      <c r="E701" s="880"/>
      <c r="F701" s="880"/>
      <c r="G701" s="880"/>
      <c r="H701" s="880"/>
      <c r="I701" s="880"/>
      <c r="J701" s="880"/>
      <c r="K701" s="880"/>
      <c r="L701" s="881"/>
      <c r="M701" s="880"/>
      <c r="N701" s="873"/>
      <c r="O701" s="880"/>
      <c r="P701" s="873"/>
      <c r="Q701" s="884"/>
      <c r="R701" s="880"/>
      <c r="S701" s="880"/>
      <c r="T701" s="882"/>
      <c r="U701" s="882"/>
      <c r="V701" s="883"/>
      <c r="W701" s="883"/>
      <c r="X701" s="883"/>
      <c r="Y701" s="883"/>
      <c r="Z701" s="883"/>
      <c r="AA701" s="883"/>
      <c r="AB701" s="883"/>
      <c r="AC701" s="883"/>
      <c r="AD701" s="883"/>
      <c r="AE701" s="883"/>
      <c r="AF701" s="883"/>
      <c r="AG701" s="883"/>
    </row>
    <row r="702" spans="1:34" s="3" customFormat="1" ht="15.95" customHeight="1">
      <c r="A702" s="46"/>
      <c r="B702" s="33"/>
      <c r="C702" s="33"/>
      <c r="D702" s="34"/>
      <c r="E702" s="34"/>
      <c r="F702" s="35"/>
      <c r="G702" s="34"/>
      <c r="H702" s="35"/>
      <c r="I702" s="35"/>
      <c r="J702" s="34"/>
      <c r="K702" s="34"/>
      <c r="L702" s="288"/>
      <c r="M702" s="35"/>
      <c r="N702" s="35"/>
      <c r="O702" s="34"/>
      <c r="P702" s="35"/>
      <c r="Q702" s="35"/>
      <c r="R702" s="34"/>
      <c r="S702" s="35"/>
      <c r="T702" s="34"/>
      <c r="U702" s="34"/>
      <c r="V702" s="36"/>
      <c r="W702" s="36"/>
      <c r="X702" s="36"/>
      <c r="Y702" s="36"/>
      <c r="Z702" s="36"/>
      <c r="AA702" s="36"/>
      <c r="AB702" s="36"/>
      <c r="AC702" s="36"/>
      <c r="AD702" s="36"/>
      <c r="AE702" s="36"/>
      <c r="AF702" s="36"/>
      <c r="AG702" s="36"/>
    </row>
    <row r="703" spans="1:34" s="3" customFormat="1"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66"/>
      <c r="T703" s="867" t="str">
        <f>'$REV-DB'!$T$34</f>
        <v>UD1</v>
      </c>
      <c r="U703" s="867" t="str">
        <f>'$REV-DB'!$U$34</f>
        <v>UD2</v>
      </c>
      <c r="V703" s="867" t="str">
        <f>'$REV-DB'!$V$34</f>
        <v>UD3</v>
      </c>
      <c r="W703" s="867" t="str">
        <f>'$REV-DB'!$W$34</f>
        <v>UD4</v>
      </c>
      <c r="X703" s="867" t="str">
        <f>'$REV-DB'!$X$34</f>
        <v>UD5</v>
      </c>
      <c r="Y703" s="867" t="str">
        <f>'$REV-DB'!$Y$34</f>
        <v>UD6</v>
      </c>
      <c r="Z703" s="867" t="str">
        <f>'$REV-DB'!$Z$34</f>
        <v>UD7</v>
      </c>
      <c r="AA703" s="867" t="str">
        <f>'$REV-DB'!$AA$34</f>
        <v>UD8</v>
      </c>
      <c r="AB703" s="867" t="str">
        <f>'$REV-DB'!$AB$34</f>
        <v>UD9</v>
      </c>
      <c r="AC703" s="867" t="str">
        <f>'$REV-DB'!$AC$34</f>
        <v>UD10</v>
      </c>
      <c r="AD703" s="867" t="str">
        <f>'$REV-DB'!$AD$34</f>
        <v>UD11</v>
      </c>
      <c r="AE703" s="867" t="str">
        <f>'$REV-DB'!$AE$34</f>
        <v>UD12</v>
      </c>
      <c r="AF703" s="867" t="str">
        <f>'$REV-DB'!$AF$34</f>
        <v>UD13</v>
      </c>
      <c r="AG703" s="867" t="str">
        <f>'$REV-DB'!$AG$34</f>
        <v>UD14</v>
      </c>
    </row>
    <row r="704" spans="1:34" s="3" customFormat="1" ht="15.95" customHeight="1" thickTop="1" thickBot="1">
      <c r="A704" s="7"/>
      <c r="B704" s="20" t="s">
        <v>175</v>
      </c>
      <c r="C704" s="15"/>
      <c r="D704" s="861" t="s">
        <v>186</v>
      </c>
      <c r="E704" s="861" t="s">
        <v>187</v>
      </c>
      <c r="F704" s="861" t="s">
        <v>188</v>
      </c>
      <c r="G704" s="861" t="s">
        <v>189</v>
      </c>
      <c r="H704" s="861" t="s">
        <v>11</v>
      </c>
      <c r="I704" s="861" t="s">
        <v>190</v>
      </c>
      <c r="J704" s="861" t="s">
        <v>191</v>
      </c>
      <c r="K704" s="861" t="s">
        <v>192</v>
      </c>
      <c r="L704" s="861" t="s">
        <v>203</v>
      </c>
      <c r="M704" s="861" t="s">
        <v>42</v>
      </c>
      <c r="N704" s="861" t="s">
        <v>148</v>
      </c>
      <c r="O704" s="861" t="s">
        <v>193</v>
      </c>
      <c r="P704" s="861" t="s">
        <v>142</v>
      </c>
      <c r="Q704" s="861" t="s">
        <v>194</v>
      </c>
      <c r="R704" s="112" t="s">
        <v>141</v>
      </c>
      <c r="S704" s="112" t="s">
        <v>672</v>
      </c>
      <c r="T704" s="861" t="s">
        <v>541</v>
      </c>
      <c r="U704" s="861" t="s">
        <v>542</v>
      </c>
      <c r="V704" s="861" t="s">
        <v>543</v>
      </c>
      <c r="W704" s="861" t="s">
        <v>544</v>
      </c>
      <c r="X704" s="861" t="s">
        <v>545</v>
      </c>
      <c r="Y704" s="861" t="s">
        <v>546</v>
      </c>
      <c r="Z704" s="861" t="s">
        <v>547</v>
      </c>
      <c r="AA704" s="861" t="s">
        <v>548</v>
      </c>
      <c r="AB704" s="861" t="s">
        <v>549</v>
      </c>
      <c r="AC704" s="861" t="s">
        <v>550</v>
      </c>
      <c r="AD704" s="861" t="s">
        <v>551</v>
      </c>
      <c r="AE704" s="861" t="s">
        <v>552</v>
      </c>
      <c r="AF704" s="861" t="s">
        <v>553</v>
      </c>
      <c r="AG704" s="861" t="s">
        <v>554</v>
      </c>
      <c r="AH704" s="6"/>
    </row>
    <row r="705" spans="1:34" s="3" customFormat="1" ht="15.95" customHeight="1" thickTop="1">
      <c r="A705" s="7"/>
      <c r="B705" s="19" t="s">
        <v>150</v>
      </c>
      <c r="C705" s="12"/>
      <c r="D705" s="200"/>
      <c r="E705" s="200"/>
      <c r="F705" s="199"/>
      <c r="G705" s="200"/>
      <c r="H705" s="199"/>
      <c r="I705" s="199"/>
      <c r="J705" s="200"/>
      <c r="K705" s="200"/>
      <c r="L705" s="289" t="s">
        <v>34</v>
      </c>
      <c r="M705" s="199"/>
      <c r="N705" s="40" t="str">
        <f>J$6</f>
        <v>FY2010-11</v>
      </c>
      <c r="O705" s="40" t="s">
        <v>155</v>
      </c>
      <c r="P705" s="40" t="s">
        <v>147</v>
      </c>
      <c r="Q705" s="40" t="s">
        <v>140</v>
      </c>
      <c r="R705" s="200"/>
      <c r="S705" s="199" t="s">
        <v>611</v>
      </c>
      <c r="T705" s="200"/>
      <c r="U705" s="200"/>
      <c r="V705" s="201"/>
      <c r="W705" s="201"/>
      <c r="X705" s="201"/>
      <c r="Y705" s="201"/>
      <c r="Z705" s="201"/>
      <c r="AA705" s="201"/>
      <c r="AB705" s="201"/>
      <c r="AC705" s="201"/>
      <c r="AD705" s="201"/>
      <c r="AE705" s="201"/>
      <c r="AF705" s="201"/>
      <c r="AG705" s="201"/>
      <c r="AH705" s="6"/>
    </row>
    <row r="706" spans="1:34" s="3" customFormat="1" ht="15.95" customHeight="1">
      <c r="A706" s="7"/>
      <c r="B706" s="16">
        <f>DSUM('$REV-DB'!D35:AG67,"AMOUNT",D704:AG705)</f>
        <v>0</v>
      </c>
      <c r="C706" s="12"/>
      <c r="D706" s="880"/>
      <c r="E706" s="880"/>
      <c r="F706" s="880"/>
      <c r="G706" s="880"/>
      <c r="H706" s="880"/>
      <c r="I706" s="880"/>
      <c r="J706" s="880"/>
      <c r="K706" s="880"/>
      <c r="L706" s="881"/>
      <c r="M706" s="880"/>
      <c r="N706" s="873"/>
      <c r="O706" s="880"/>
      <c r="P706" s="873"/>
      <c r="Q706" s="884"/>
      <c r="R706" s="880"/>
      <c r="S706" s="880"/>
      <c r="T706" s="882"/>
      <c r="U706" s="882"/>
      <c r="V706" s="883"/>
      <c r="W706" s="883"/>
      <c r="X706" s="883"/>
      <c r="Y706" s="883"/>
      <c r="Z706" s="883"/>
      <c r="AA706" s="883"/>
      <c r="AB706" s="883"/>
      <c r="AC706" s="883"/>
      <c r="AD706" s="883"/>
      <c r="AE706" s="883"/>
      <c r="AF706" s="883"/>
      <c r="AG706" s="883"/>
      <c r="AH706" s="6"/>
    </row>
    <row r="707" spans="1:34" s="3" customFormat="1" ht="15.95" customHeight="1">
      <c r="A707" s="7"/>
      <c r="B707" s="10"/>
      <c r="C707" s="12"/>
      <c r="D707" s="880"/>
      <c r="E707" s="880"/>
      <c r="F707" s="880"/>
      <c r="G707" s="880"/>
      <c r="H707" s="880"/>
      <c r="I707" s="880"/>
      <c r="J707" s="880"/>
      <c r="K707" s="880"/>
      <c r="L707" s="881"/>
      <c r="M707" s="880"/>
      <c r="N707" s="873"/>
      <c r="O707" s="880"/>
      <c r="P707" s="873"/>
      <c r="Q707" s="884"/>
      <c r="R707" s="880"/>
      <c r="S707" s="880"/>
      <c r="T707" s="882"/>
      <c r="U707" s="882"/>
      <c r="V707" s="883"/>
      <c r="W707" s="883"/>
      <c r="X707" s="883"/>
      <c r="Y707" s="883"/>
      <c r="Z707" s="883"/>
      <c r="AA707" s="883"/>
      <c r="AB707" s="883"/>
      <c r="AC707" s="883"/>
      <c r="AD707" s="883"/>
      <c r="AE707" s="883"/>
      <c r="AF707" s="883"/>
      <c r="AG707" s="883"/>
    </row>
    <row r="708" spans="1:34" s="3" customFormat="1" ht="15.95" customHeight="1">
      <c r="A708" s="7"/>
      <c r="B708" s="10"/>
      <c r="C708" s="12"/>
      <c r="D708" s="880"/>
      <c r="E708" s="880"/>
      <c r="F708" s="880"/>
      <c r="G708" s="880"/>
      <c r="H708" s="880"/>
      <c r="I708" s="880"/>
      <c r="J708" s="880"/>
      <c r="K708" s="880"/>
      <c r="L708" s="881"/>
      <c r="M708" s="880"/>
      <c r="N708" s="873"/>
      <c r="O708" s="880"/>
      <c r="P708" s="873"/>
      <c r="Q708" s="884"/>
      <c r="R708" s="880"/>
      <c r="S708" s="880"/>
      <c r="T708" s="882"/>
      <c r="U708" s="882"/>
      <c r="V708" s="883"/>
      <c r="W708" s="883"/>
      <c r="X708" s="883"/>
      <c r="Y708" s="883"/>
      <c r="Z708" s="883"/>
      <c r="AA708" s="883"/>
      <c r="AB708" s="883"/>
      <c r="AC708" s="883"/>
      <c r="AD708" s="883"/>
      <c r="AE708" s="883"/>
      <c r="AF708" s="883"/>
      <c r="AG708" s="883"/>
    </row>
    <row r="709" spans="1:34" s="3" customFormat="1" ht="15.95" customHeight="1">
      <c r="A709" s="7"/>
      <c r="B709" s="10"/>
      <c r="C709" s="12"/>
      <c r="D709" s="880"/>
      <c r="E709" s="880"/>
      <c r="F709" s="880"/>
      <c r="G709" s="880"/>
      <c r="H709" s="880"/>
      <c r="I709" s="880"/>
      <c r="J709" s="880"/>
      <c r="K709" s="880"/>
      <c r="L709" s="881"/>
      <c r="M709" s="880"/>
      <c r="N709" s="873"/>
      <c r="O709" s="880"/>
      <c r="P709" s="873"/>
      <c r="Q709" s="884"/>
      <c r="R709" s="880"/>
      <c r="S709" s="880"/>
      <c r="T709" s="882"/>
      <c r="U709" s="882"/>
      <c r="V709" s="883"/>
      <c r="W709" s="883"/>
      <c r="X709" s="883"/>
      <c r="Y709" s="883"/>
      <c r="Z709" s="883"/>
      <c r="AA709" s="883"/>
      <c r="AB709" s="883"/>
      <c r="AC709" s="883"/>
      <c r="AD709" s="883"/>
      <c r="AE709" s="883"/>
      <c r="AF709" s="883"/>
      <c r="AG709" s="883"/>
    </row>
    <row r="710" spans="1:34" s="3" customFormat="1" ht="15.95" customHeight="1">
      <c r="A710" s="7"/>
      <c r="B710" s="10"/>
      <c r="C710" s="12"/>
      <c r="D710" s="880"/>
      <c r="E710" s="880"/>
      <c r="F710" s="880"/>
      <c r="G710" s="880"/>
      <c r="H710" s="880"/>
      <c r="I710" s="880"/>
      <c r="J710" s="880"/>
      <c r="K710" s="880"/>
      <c r="L710" s="881"/>
      <c r="M710" s="880"/>
      <c r="N710" s="873"/>
      <c r="O710" s="880"/>
      <c r="P710" s="873"/>
      <c r="Q710" s="884"/>
      <c r="R710" s="880"/>
      <c r="S710" s="880"/>
      <c r="T710" s="882"/>
      <c r="U710" s="882"/>
      <c r="V710" s="883"/>
      <c r="W710" s="883"/>
      <c r="X710" s="883"/>
      <c r="Y710" s="883"/>
      <c r="Z710" s="883"/>
      <c r="AA710" s="883"/>
      <c r="AB710" s="883"/>
      <c r="AC710" s="883"/>
      <c r="AD710" s="883"/>
      <c r="AE710" s="883"/>
      <c r="AF710" s="883"/>
      <c r="AG710" s="883"/>
    </row>
    <row r="711" spans="1:34" s="3" customFormat="1" ht="15.95" customHeight="1">
      <c r="A711" s="7"/>
      <c r="B711" s="10"/>
      <c r="C711" s="12"/>
      <c r="D711" s="880"/>
      <c r="E711" s="880"/>
      <c r="F711" s="880"/>
      <c r="G711" s="880"/>
      <c r="H711" s="880"/>
      <c r="I711" s="880"/>
      <c r="J711" s="880"/>
      <c r="K711" s="880"/>
      <c r="L711" s="881"/>
      <c r="M711" s="880"/>
      <c r="N711" s="873"/>
      <c r="O711" s="880"/>
      <c r="P711" s="873"/>
      <c r="Q711" s="884"/>
      <c r="R711" s="880"/>
      <c r="S711" s="880"/>
      <c r="T711" s="882"/>
      <c r="U711" s="882"/>
      <c r="V711" s="883"/>
      <c r="W711" s="883"/>
      <c r="X711" s="883"/>
      <c r="Y711" s="883"/>
      <c r="Z711" s="883"/>
      <c r="AA711" s="883"/>
      <c r="AB711" s="883"/>
      <c r="AC711" s="883"/>
      <c r="AD711" s="883"/>
      <c r="AE711" s="883"/>
      <c r="AF711" s="883"/>
      <c r="AG711" s="883"/>
    </row>
    <row r="712" spans="1:34" s="3" customFormat="1" ht="15.95" customHeight="1">
      <c r="A712" s="44"/>
      <c r="B712" s="41"/>
      <c r="C712" s="41"/>
      <c r="D712" s="42"/>
      <c r="E712" s="42"/>
      <c r="F712" s="43"/>
      <c r="G712" s="42"/>
      <c r="H712" s="43"/>
      <c r="I712" s="43"/>
      <c r="J712" s="42"/>
      <c r="K712" s="42"/>
      <c r="L712" s="290"/>
      <c r="M712" s="43"/>
      <c r="N712" s="43"/>
      <c r="O712" s="42"/>
      <c r="P712" s="43"/>
      <c r="Q712" s="43"/>
      <c r="R712" s="42"/>
      <c r="S712" s="43"/>
      <c r="T712" s="42"/>
      <c r="U712" s="42"/>
      <c r="V712" s="44"/>
      <c r="W712" s="44"/>
      <c r="X712" s="44"/>
      <c r="Y712" s="44"/>
      <c r="Z712" s="44"/>
      <c r="AA712" s="44"/>
      <c r="AB712" s="44"/>
      <c r="AC712" s="44"/>
      <c r="AD712" s="44"/>
      <c r="AE712" s="44"/>
      <c r="AF712" s="44"/>
      <c r="AG712" s="44"/>
    </row>
    <row r="713" spans="1:34" s="3" customFormat="1"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66"/>
      <c r="T713" s="867" t="str">
        <f>'$REV-DB'!$T$34</f>
        <v>UD1</v>
      </c>
      <c r="U713" s="867" t="str">
        <f>'$REV-DB'!$U$34</f>
        <v>UD2</v>
      </c>
      <c r="V713" s="867" t="str">
        <f>'$REV-DB'!$V$34</f>
        <v>UD3</v>
      </c>
      <c r="W713" s="867" t="str">
        <f>'$REV-DB'!$W$34</f>
        <v>UD4</v>
      </c>
      <c r="X713" s="867" t="str">
        <f>'$REV-DB'!$X$34</f>
        <v>UD5</v>
      </c>
      <c r="Y713" s="867" t="str">
        <f>'$REV-DB'!$Y$34</f>
        <v>UD6</v>
      </c>
      <c r="Z713" s="867" t="str">
        <f>'$REV-DB'!$Z$34</f>
        <v>UD7</v>
      </c>
      <c r="AA713" s="867" t="str">
        <f>'$REV-DB'!$AA$34</f>
        <v>UD8</v>
      </c>
      <c r="AB713" s="867" t="str">
        <f>'$REV-DB'!$AB$34</f>
        <v>UD9</v>
      </c>
      <c r="AC713" s="867" t="str">
        <f>'$REV-DB'!$AC$34</f>
        <v>UD10</v>
      </c>
      <c r="AD713" s="867" t="str">
        <f>'$REV-DB'!$AD$34</f>
        <v>UD11</v>
      </c>
      <c r="AE713" s="867" t="str">
        <f>'$REV-DB'!$AE$34</f>
        <v>UD12</v>
      </c>
      <c r="AF713" s="867" t="str">
        <f>'$REV-DB'!$AF$34</f>
        <v>UD13</v>
      </c>
      <c r="AG713" s="867" t="str">
        <f>'$REV-DB'!$AG$34</f>
        <v>UD14</v>
      </c>
    </row>
    <row r="714" spans="1:34" s="3" customFormat="1" ht="15.95" customHeight="1" thickTop="1" thickBot="1">
      <c r="A714" s="7"/>
      <c r="B714" s="20" t="s">
        <v>4</v>
      </c>
      <c r="C714" s="15"/>
      <c r="D714" s="861" t="s">
        <v>186</v>
      </c>
      <c r="E714" s="861" t="s">
        <v>187</v>
      </c>
      <c r="F714" s="861" t="s">
        <v>188</v>
      </c>
      <c r="G714" s="861" t="s">
        <v>189</v>
      </c>
      <c r="H714" s="861" t="s">
        <v>11</v>
      </c>
      <c r="I714" s="861" t="s">
        <v>190</v>
      </c>
      <c r="J714" s="861" t="s">
        <v>191</v>
      </c>
      <c r="K714" s="861" t="s">
        <v>192</v>
      </c>
      <c r="L714" s="861" t="s">
        <v>203</v>
      </c>
      <c r="M714" s="861" t="s">
        <v>42</v>
      </c>
      <c r="N714" s="861" t="s">
        <v>148</v>
      </c>
      <c r="O714" s="861" t="s">
        <v>193</v>
      </c>
      <c r="P714" s="861" t="s">
        <v>142</v>
      </c>
      <c r="Q714" s="861" t="s">
        <v>194</v>
      </c>
      <c r="R714" s="112" t="s">
        <v>141</v>
      </c>
      <c r="S714" s="112" t="s">
        <v>672</v>
      </c>
      <c r="T714" s="861" t="s">
        <v>541</v>
      </c>
      <c r="U714" s="861" t="s">
        <v>542</v>
      </c>
      <c r="V714" s="861" t="s">
        <v>543</v>
      </c>
      <c r="W714" s="861" t="s">
        <v>544</v>
      </c>
      <c r="X714" s="861" t="s">
        <v>545</v>
      </c>
      <c r="Y714" s="861" t="s">
        <v>546</v>
      </c>
      <c r="Z714" s="861" t="s">
        <v>547</v>
      </c>
      <c r="AA714" s="861" t="s">
        <v>548</v>
      </c>
      <c r="AB714" s="861" t="s">
        <v>549</v>
      </c>
      <c r="AC714" s="861" t="s">
        <v>550</v>
      </c>
      <c r="AD714" s="861" t="s">
        <v>551</v>
      </c>
      <c r="AE714" s="861" t="s">
        <v>552</v>
      </c>
      <c r="AF714" s="861" t="s">
        <v>553</v>
      </c>
      <c r="AG714" s="861" t="s">
        <v>554</v>
      </c>
      <c r="AH714" s="6"/>
    </row>
    <row r="715" spans="1:34" s="3" customFormat="1" ht="15.95" customHeight="1" thickTop="1">
      <c r="A715" s="7"/>
      <c r="B715" s="19" t="s">
        <v>146</v>
      </c>
      <c r="C715" s="12"/>
      <c r="D715" s="202"/>
      <c r="E715" s="202"/>
      <c r="F715" s="202"/>
      <c r="G715" s="202"/>
      <c r="H715" s="202"/>
      <c r="I715" s="202"/>
      <c r="J715" s="202"/>
      <c r="K715" s="202"/>
      <c r="L715" s="291" t="s">
        <v>34</v>
      </c>
      <c r="M715" s="202"/>
      <c r="N715" s="45" t="str">
        <f>J$6</f>
        <v>FY2010-11</v>
      </c>
      <c r="O715" s="45" t="s">
        <v>156</v>
      </c>
      <c r="P715" s="45" t="s">
        <v>138</v>
      </c>
      <c r="Q715" s="202"/>
      <c r="R715" s="202"/>
      <c r="S715" s="202"/>
      <c r="T715" s="203"/>
      <c r="U715" s="203"/>
      <c r="V715" s="204"/>
      <c r="W715" s="204"/>
      <c r="X715" s="204"/>
      <c r="Y715" s="204"/>
      <c r="Z715" s="204"/>
      <c r="AA715" s="204"/>
      <c r="AB715" s="204"/>
      <c r="AC715" s="204"/>
      <c r="AD715" s="204"/>
      <c r="AE715" s="204"/>
      <c r="AF715" s="204"/>
      <c r="AG715" s="204"/>
      <c r="AH715" s="6"/>
    </row>
    <row r="716" spans="1:34" s="3" customFormat="1" ht="15.95" customHeight="1">
      <c r="A716" s="7"/>
      <c r="B716" s="16">
        <f>DSUM('$REV-DB'!D35:AG67,"AMOUNT",D714:AG716)</f>
        <v>0</v>
      </c>
      <c r="C716" s="12"/>
      <c r="D716" s="202"/>
      <c r="E716" s="202"/>
      <c r="F716" s="202"/>
      <c r="G716" s="202"/>
      <c r="H716" s="202"/>
      <c r="I716" s="202"/>
      <c r="J716" s="202"/>
      <c r="K716" s="202"/>
      <c r="L716" s="291" t="s">
        <v>34</v>
      </c>
      <c r="M716" s="202"/>
      <c r="N716" s="45" t="str">
        <f>J$6</f>
        <v>FY2010-11</v>
      </c>
      <c r="O716" s="45" t="s">
        <v>156</v>
      </c>
      <c r="P716" s="45" t="s">
        <v>147</v>
      </c>
      <c r="Q716" s="202"/>
      <c r="R716" s="202"/>
      <c r="S716" s="202" t="s">
        <v>103</v>
      </c>
      <c r="T716" s="203"/>
      <c r="U716" s="203"/>
      <c r="V716" s="204"/>
      <c r="W716" s="204"/>
      <c r="X716" s="204"/>
      <c r="Y716" s="204"/>
      <c r="Z716" s="204"/>
      <c r="AA716" s="204"/>
      <c r="AB716" s="204"/>
      <c r="AC716" s="204"/>
      <c r="AD716" s="204"/>
      <c r="AE716" s="204"/>
      <c r="AF716" s="204"/>
      <c r="AG716" s="204"/>
      <c r="AH716" s="6"/>
    </row>
    <row r="717" spans="1:34" s="3" customFormat="1" ht="15.95" customHeight="1">
      <c r="A717" s="7"/>
      <c r="B717" s="10"/>
      <c r="C717" s="12"/>
      <c r="D717" s="880"/>
      <c r="E717" s="880"/>
      <c r="F717" s="880"/>
      <c r="G717" s="880"/>
      <c r="H717" s="880"/>
      <c r="I717" s="880"/>
      <c r="J717" s="880"/>
      <c r="K717" s="880"/>
      <c r="L717" s="881"/>
      <c r="M717" s="880"/>
      <c r="N717" s="873"/>
      <c r="O717" s="873"/>
      <c r="P717" s="873"/>
      <c r="Q717" s="880"/>
      <c r="R717" s="880"/>
      <c r="S717" s="880"/>
      <c r="T717" s="882"/>
      <c r="U717" s="882"/>
      <c r="V717" s="883"/>
      <c r="W717" s="883"/>
      <c r="X717" s="883"/>
      <c r="Y717" s="883"/>
      <c r="Z717" s="883"/>
      <c r="AA717" s="883"/>
      <c r="AB717" s="883"/>
      <c r="AC717" s="883"/>
      <c r="AD717" s="883"/>
      <c r="AE717" s="883"/>
      <c r="AF717" s="883"/>
      <c r="AG717" s="883"/>
    </row>
    <row r="718" spans="1:34" s="3" customFormat="1" ht="15.95" customHeight="1">
      <c r="A718" s="7"/>
      <c r="B718" s="10"/>
      <c r="C718" s="12"/>
      <c r="D718" s="880"/>
      <c r="E718" s="880"/>
      <c r="F718" s="880"/>
      <c r="G718" s="880"/>
      <c r="H718" s="880"/>
      <c r="I718" s="880"/>
      <c r="J718" s="880"/>
      <c r="K718" s="880"/>
      <c r="L718" s="881"/>
      <c r="M718" s="880"/>
      <c r="N718" s="873"/>
      <c r="O718" s="873"/>
      <c r="P718" s="873"/>
      <c r="Q718" s="880"/>
      <c r="R718" s="880"/>
      <c r="S718" s="880"/>
      <c r="T718" s="882"/>
      <c r="U718" s="882"/>
      <c r="V718" s="883"/>
      <c r="W718" s="883"/>
      <c r="X718" s="883"/>
      <c r="Y718" s="883"/>
      <c r="Z718" s="883"/>
      <c r="AA718" s="883"/>
      <c r="AB718" s="883"/>
      <c r="AC718" s="883"/>
      <c r="AD718" s="883"/>
      <c r="AE718" s="883"/>
      <c r="AF718" s="883"/>
      <c r="AG718" s="883"/>
    </row>
    <row r="719" spans="1:34" s="3" customFormat="1" ht="15.95" customHeight="1">
      <c r="A719" s="7"/>
      <c r="B719" s="10"/>
      <c r="C719" s="12"/>
      <c r="D719" s="880"/>
      <c r="E719" s="880"/>
      <c r="F719" s="880"/>
      <c r="G719" s="880"/>
      <c r="H719" s="880"/>
      <c r="I719" s="880"/>
      <c r="J719" s="880"/>
      <c r="K719" s="880"/>
      <c r="L719" s="881"/>
      <c r="M719" s="880"/>
      <c r="N719" s="873"/>
      <c r="O719" s="873"/>
      <c r="P719" s="873"/>
      <c r="Q719" s="880"/>
      <c r="R719" s="880"/>
      <c r="S719" s="880"/>
      <c r="T719" s="882"/>
      <c r="U719" s="882"/>
      <c r="V719" s="883"/>
      <c r="W719" s="883"/>
      <c r="X719" s="883"/>
      <c r="Y719" s="883"/>
      <c r="Z719" s="883"/>
      <c r="AA719" s="883"/>
      <c r="AB719" s="883"/>
      <c r="AC719" s="883"/>
      <c r="AD719" s="883"/>
      <c r="AE719" s="883"/>
      <c r="AF719" s="883"/>
      <c r="AG719" s="883"/>
    </row>
    <row r="720" spans="1:34" s="3" customFormat="1" ht="15.95" customHeight="1">
      <c r="A720" s="7"/>
      <c r="B720" s="10"/>
      <c r="C720" s="12"/>
      <c r="D720" s="880"/>
      <c r="E720" s="880"/>
      <c r="F720" s="880"/>
      <c r="G720" s="880"/>
      <c r="H720" s="880"/>
      <c r="I720" s="880"/>
      <c r="J720" s="880"/>
      <c r="K720" s="880"/>
      <c r="L720" s="881"/>
      <c r="M720" s="880"/>
      <c r="N720" s="873"/>
      <c r="O720" s="873"/>
      <c r="P720" s="873"/>
      <c r="Q720" s="880"/>
      <c r="R720" s="880"/>
      <c r="S720" s="880"/>
      <c r="T720" s="882"/>
      <c r="U720" s="882"/>
      <c r="V720" s="883"/>
      <c r="W720" s="883"/>
      <c r="X720" s="883"/>
      <c r="Y720" s="883"/>
      <c r="Z720" s="883"/>
      <c r="AA720" s="883"/>
      <c r="AB720" s="883"/>
      <c r="AC720" s="883"/>
      <c r="AD720" s="883"/>
      <c r="AE720" s="883"/>
      <c r="AF720" s="883"/>
      <c r="AG720" s="883"/>
    </row>
    <row r="721" spans="1:34" s="3" customFormat="1" ht="15.95" customHeight="1">
      <c r="A721" s="7"/>
      <c r="B721" s="10"/>
      <c r="C721" s="12"/>
      <c r="D721" s="880"/>
      <c r="E721" s="880"/>
      <c r="F721" s="880"/>
      <c r="G721" s="880"/>
      <c r="H721" s="880"/>
      <c r="I721" s="880"/>
      <c r="J721" s="880"/>
      <c r="K721" s="880"/>
      <c r="L721" s="881"/>
      <c r="M721" s="880"/>
      <c r="N721" s="873"/>
      <c r="O721" s="873"/>
      <c r="P721" s="873"/>
      <c r="Q721" s="880"/>
      <c r="R721" s="880"/>
      <c r="S721" s="880"/>
      <c r="T721" s="882"/>
      <c r="U721" s="882"/>
      <c r="V721" s="883"/>
      <c r="W721" s="883"/>
      <c r="X721" s="883"/>
      <c r="Y721" s="883"/>
      <c r="Z721" s="883"/>
      <c r="AA721" s="883"/>
      <c r="AB721" s="883"/>
      <c r="AC721" s="883"/>
      <c r="AD721" s="883"/>
      <c r="AE721" s="883"/>
      <c r="AF721" s="883"/>
      <c r="AG721" s="883"/>
    </row>
    <row r="722" spans="1:34" s="3" customFormat="1" ht="15.95" customHeight="1">
      <c r="A722" s="44"/>
      <c r="B722" s="41"/>
      <c r="C722" s="41"/>
      <c r="D722" s="42"/>
      <c r="E722" s="42"/>
      <c r="F722" s="43"/>
      <c r="G722" s="42"/>
      <c r="H722" s="43"/>
      <c r="I722" s="43"/>
      <c r="J722" s="42"/>
      <c r="K722" s="42"/>
      <c r="L722" s="290"/>
      <c r="M722" s="43"/>
      <c r="N722" s="43"/>
      <c r="O722" s="42"/>
      <c r="P722" s="43"/>
      <c r="Q722" s="43"/>
      <c r="R722" s="42"/>
      <c r="S722" s="43"/>
      <c r="T722" s="42"/>
      <c r="U722" s="42"/>
      <c r="V722" s="44"/>
      <c r="W722" s="44"/>
      <c r="X722" s="44"/>
      <c r="Y722" s="44"/>
      <c r="Z722" s="44"/>
      <c r="AA722" s="44"/>
      <c r="AB722" s="44"/>
      <c r="AC722" s="44"/>
      <c r="AD722" s="44"/>
      <c r="AE722" s="44"/>
      <c r="AF722" s="44"/>
      <c r="AG722" s="44"/>
    </row>
    <row r="723" spans="1:34" s="3" customFormat="1"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66"/>
      <c r="T723" s="867" t="str">
        <f>'$REV-DB'!$T$34</f>
        <v>UD1</v>
      </c>
      <c r="U723" s="867" t="str">
        <f>'$REV-DB'!$U$34</f>
        <v>UD2</v>
      </c>
      <c r="V723" s="867" t="str">
        <f>'$REV-DB'!$V$34</f>
        <v>UD3</v>
      </c>
      <c r="W723" s="867" t="str">
        <f>'$REV-DB'!$W$34</f>
        <v>UD4</v>
      </c>
      <c r="X723" s="867" t="str">
        <f>'$REV-DB'!$X$34</f>
        <v>UD5</v>
      </c>
      <c r="Y723" s="867" t="str">
        <f>'$REV-DB'!$Y$34</f>
        <v>UD6</v>
      </c>
      <c r="Z723" s="867" t="str">
        <f>'$REV-DB'!$Z$34</f>
        <v>UD7</v>
      </c>
      <c r="AA723" s="867" t="str">
        <f>'$REV-DB'!$AA$34</f>
        <v>UD8</v>
      </c>
      <c r="AB723" s="867" t="str">
        <f>'$REV-DB'!$AB$34</f>
        <v>UD9</v>
      </c>
      <c r="AC723" s="867" t="str">
        <f>'$REV-DB'!$AC$34</f>
        <v>UD10</v>
      </c>
      <c r="AD723" s="867" t="str">
        <f>'$REV-DB'!$AD$34</f>
        <v>UD11</v>
      </c>
      <c r="AE723" s="867" t="str">
        <f>'$REV-DB'!$AE$34</f>
        <v>UD12</v>
      </c>
      <c r="AF723" s="867" t="str">
        <f>'$REV-DB'!$AF$34</f>
        <v>UD13</v>
      </c>
      <c r="AG723" s="867" t="str">
        <f>'$REV-DB'!$AG$34</f>
        <v>UD14</v>
      </c>
    </row>
    <row r="724" spans="1:34" s="3" customFormat="1" ht="15.95" customHeight="1" thickTop="1" thickBot="1">
      <c r="A724" s="7"/>
      <c r="B724" s="20" t="s">
        <v>4</v>
      </c>
      <c r="C724" s="15"/>
      <c r="D724" s="861" t="s">
        <v>186</v>
      </c>
      <c r="E724" s="861" t="s">
        <v>187</v>
      </c>
      <c r="F724" s="861" t="s">
        <v>188</v>
      </c>
      <c r="G724" s="861" t="s">
        <v>189</v>
      </c>
      <c r="H724" s="861" t="s">
        <v>11</v>
      </c>
      <c r="I724" s="861" t="s">
        <v>190</v>
      </c>
      <c r="J724" s="861" t="s">
        <v>191</v>
      </c>
      <c r="K724" s="861" t="s">
        <v>192</v>
      </c>
      <c r="L724" s="861" t="s">
        <v>203</v>
      </c>
      <c r="M724" s="861" t="s">
        <v>42</v>
      </c>
      <c r="N724" s="861" t="s">
        <v>148</v>
      </c>
      <c r="O724" s="861" t="s">
        <v>193</v>
      </c>
      <c r="P724" s="861" t="s">
        <v>142</v>
      </c>
      <c r="Q724" s="861" t="s">
        <v>194</v>
      </c>
      <c r="R724" s="112" t="s">
        <v>141</v>
      </c>
      <c r="S724" s="112" t="s">
        <v>672</v>
      </c>
      <c r="T724" s="861" t="s">
        <v>541</v>
      </c>
      <c r="U724" s="861" t="s">
        <v>542</v>
      </c>
      <c r="V724" s="861" t="s">
        <v>543</v>
      </c>
      <c r="W724" s="861" t="s">
        <v>544</v>
      </c>
      <c r="X724" s="861" t="s">
        <v>545</v>
      </c>
      <c r="Y724" s="861" t="s">
        <v>546</v>
      </c>
      <c r="Z724" s="861" t="s">
        <v>547</v>
      </c>
      <c r="AA724" s="861" t="s">
        <v>548</v>
      </c>
      <c r="AB724" s="861" t="s">
        <v>549</v>
      </c>
      <c r="AC724" s="861" t="s">
        <v>550</v>
      </c>
      <c r="AD724" s="861" t="s">
        <v>551</v>
      </c>
      <c r="AE724" s="861" t="s">
        <v>552</v>
      </c>
      <c r="AF724" s="861" t="s">
        <v>553</v>
      </c>
      <c r="AG724" s="861" t="s">
        <v>554</v>
      </c>
      <c r="AH724" s="6"/>
    </row>
    <row r="725" spans="1:34" s="3" customFormat="1" ht="15.95" customHeight="1" thickTop="1">
      <c r="A725" s="7"/>
      <c r="B725" s="19" t="s">
        <v>145</v>
      </c>
      <c r="C725" s="12"/>
      <c r="D725" s="203"/>
      <c r="E725" s="203"/>
      <c r="F725" s="202"/>
      <c r="G725" s="203"/>
      <c r="H725" s="202"/>
      <c r="I725" s="202"/>
      <c r="J725" s="203"/>
      <c r="K725" s="203"/>
      <c r="L725" s="291" t="s">
        <v>34</v>
      </c>
      <c r="M725" s="202"/>
      <c r="N725" s="45" t="str">
        <f>J$6</f>
        <v>FY2010-11</v>
      </c>
      <c r="O725" s="45" t="s">
        <v>156</v>
      </c>
      <c r="P725" s="45" t="s">
        <v>138</v>
      </c>
      <c r="Q725" s="45" t="s">
        <v>180</v>
      </c>
      <c r="R725" s="203"/>
      <c r="S725" s="202"/>
      <c r="T725" s="203"/>
      <c r="U725" s="203"/>
      <c r="V725" s="204"/>
      <c r="W725" s="204"/>
      <c r="X725" s="204"/>
      <c r="Y725" s="204"/>
      <c r="Z725" s="204"/>
      <c r="AA725" s="204"/>
      <c r="AB725" s="204"/>
      <c r="AC725" s="204"/>
      <c r="AD725" s="204"/>
      <c r="AE725" s="204"/>
      <c r="AF725" s="204"/>
      <c r="AG725" s="204"/>
      <c r="AH725" s="6"/>
    </row>
    <row r="726" spans="1:34" s="3" customFormat="1" ht="15.95" customHeight="1">
      <c r="A726" s="7"/>
      <c r="B726" s="16">
        <f>DSUM('$REV-DB'!D35:AG67,"AMOUNT",D724:AG726)</f>
        <v>0</v>
      </c>
      <c r="C726" s="12"/>
      <c r="D726" s="203"/>
      <c r="E726" s="203"/>
      <c r="F726" s="202"/>
      <c r="G726" s="203"/>
      <c r="H726" s="202"/>
      <c r="I726" s="202"/>
      <c r="J726" s="203"/>
      <c r="K726" s="203"/>
      <c r="L726" s="291" t="s">
        <v>34</v>
      </c>
      <c r="M726" s="202"/>
      <c r="N726" s="45" t="str">
        <f>J$6</f>
        <v>FY2010-11</v>
      </c>
      <c r="O726" s="45" t="s">
        <v>156</v>
      </c>
      <c r="P726" s="45" t="s">
        <v>147</v>
      </c>
      <c r="Q726" s="45" t="s">
        <v>180</v>
      </c>
      <c r="R726" s="203"/>
      <c r="S726" s="202" t="s">
        <v>103</v>
      </c>
      <c r="T726" s="203"/>
      <c r="U726" s="203"/>
      <c r="V726" s="204"/>
      <c r="W726" s="204"/>
      <c r="X726" s="204"/>
      <c r="Y726" s="204"/>
      <c r="Z726" s="204"/>
      <c r="AA726" s="204"/>
      <c r="AB726" s="204"/>
      <c r="AC726" s="204"/>
      <c r="AD726" s="204"/>
      <c r="AE726" s="204"/>
      <c r="AF726" s="204"/>
      <c r="AG726" s="204"/>
      <c r="AH726" s="6"/>
    </row>
    <row r="727" spans="1:34" s="3" customFormat="1" ht="15.95" customHeight="1">
      <c r="A727" s="7"/>
      <c r="B727" s="10"/>
      <c r="C727" s="12"/>
      <c r="D727" s="880"/>
      <c r="E727" s="880"/>
      <c r="F727" s="880"/>
      <c r="G727" s="880"/>
      <c r="H727" s="880"/>
      <c r="I727" s="880"/>
      <c r="J727" s="880"/>
      <c r="K727" s="880"/>
      <c r="L727" s="881"/>
      <c r="M727" s="880"/>
      <c r="N727" s="873"/>
      <c r="O727" s="873"/>
      <c r="P727" s="873"/>
      <c r="Q727" s="880"/>
      <c r="R727" s="880"/>
      <c r="S727" s="880"/>
      <c r="T727" s="882"/>
      <c r="U727" s="882"/>
      <c r="V727" s="883"/>
      <c r="W727" s="883"/>
      <c r="X727" s="883"/>
      <c r="Y727" s="883"/>
      <c r="Z727" s="883"/>
      <c r="AA727" s="883"/>
      <c r="AB727" s="883"/>
      <c r="AC727" s="883"/>
      <c r="AD727" s="883"/>
      <c r="AE727" s="883"/>
      <c r="AF727" s="883"/>
      <c r="AG727" s="883"/>
    </row>
    <row r="728" spans="1:34" s="3" customFormat="1" ht="15.95" customHeight="1">
      <c r="A728" s="7"/>
      <c r="B728" s="10"/>
      <c r="C728" s="12"/>
      <c r="D728" s="880"/>
      <c r="E728" s="880"/>
      <c r="F728" s="880"/>
      <c r="G728" s="880"/>
      <c r="H728" s="880"/>
      <c r="I728" s="880"/>
      <c r="J728" s="880"/>
      <c r="K728" s="880"/>
      <c r="L728" s="881"/>
      <c r="M728" s="880"/>
      <c r="N728" s="873"/>
      <c r="O728" s="873"/>
      <c r="P728" s="873"/>
      <c r="Q728" s="880"/>
      <c r="R728" s="880"/>
      <c r="S728" s="880"/>
      <c r="T728" s="882"/>
      <c r="U728" s="882"/>
      <c r="V728" s="883"/>
      <c r="W728" s="883"/>
      <c r="X728" s="883"/>
      <c r="Y728" s="883"/>
      <c r="Z728" s="883"/>
      <c r="AA728" s="883"/>
      <c r="AB728" s="883"/>
      <c r="AC728" s="883"/>
      <c r="AD728" s="883"/>
      <c r="AE728" s="883"/>
      <c r="AF728" s="883"/>
      <c r="AG728" s="883"/>
    </row>
    <row r="729" spans="1:34" s="3" customFormat="1" ht="15.95" customHeight="1">
      <c r="A729" s="7"/>
      <c r="B729" s="10"/>
      <c r="C729" s="12"/>
      <c r="D729" s="880"/>
      <c r="E729" s="880"/>
      <c r="F729" s="880"/>
      <c r="G729" s="880"/>
      <c r="H729" s="880"/>
      <c r="I729" s="880"/>
      <c r="J729" s="880"/>
      <c r="K729" s="880"/>
      <c r="L729" s="881"/>
      <c r="M729" s="880"/>
      <c r="N729" s="873"/>
      <c r="O729" s="873"/>
      <c r="P729" s="873"/>
      <c r="Q729" s="880"/>
      <c r="R729" s="880"/>
      <c r="S729" s="880"/>
      <c r="T729" s="882"/>
      <c r="U729" s="882"/>
      <c r="V729" s="883"/>
      <c r="W729" s="883"/>
      <c r="X729" s="883"/>
      <c r="Y729" s="883"/>
      <c r="Z729" s="883"/>
      <c r="AA729" s="883"/>
      <c r="AB729" s="883"/>
      <c r="AC729" s="883"/>
      <c r="AD729" s="883"/>
      <c r="AE729" s="883"/>
      <c r="AF729" s="883"/>
      <c r="AG729" s="883"/>
    </row>
    <row r="730" spans="1:34" s="3" customFormat="1" ht="15.95" customHeight="1">
      <c r="A730" s="7"/>
      <c r="B730" s="10"/>
      <c r="C730" s="12"/>
      <c r="D730" s="880"/>
      <c r="E730" s="880"/>
      <c r="F730" s="880"/>
      <c r="G730" s="880"/>
      <c r="H730" s="880"/>
      <c r="I730" s="880"/>
      <c r="J730" s="880"/>
      <c r="K730" s="880"/>
      <c r="L730" s="881"/>
      <c r="M730" s="880"/>
      <c r="N730" s="873"/>
      <c r="O730" s="873"/>
      <c r="P730" s="873"/>
      <c r="Q730" s="880"/>
      <c r="R730" s="880"/>
      <c r="S730" s="880"/>
      <c r="T730" s="882"/>
      <c r="U730" s="882"/>
      <c r="V730" s="883"/>
      <c r="W730" s="883"/>
      <c r="X730" s="883"/>
      <c r="Y730" s="883"/>
      <c r="Z730" s="883"/>
      <c r="AA730" s="883"/>
      <c r="AB730" s="883"/>
      <c r="AC730" s="883"/>
      <c r="AD730" s="883"/>
      <c r="AE730" s="883"/>
      <c r="AF730" s="883"/>
      <c r="AG730" s="883"/>
    </row>
    <row r="731" spans="1:34" s="3" customFormat="1" ht="15.95" customHeight="1">
      <c r="A731" s="7"/>
      <c r="B731" s="10"/>
      <c r="C731" s="12"/>
      <c r="D731" s="880"/>
      <c r="E731" s="880"/>
      <c r="F731" s="880"/>
      <c r="G731" s="880"/>
      <c r="H731" s="880"/>
      <c r="I731" s="880"/>
      <c r="J731" s="880"/>
      <c r="K731" s="880"/>
      <c r="L731" s="881"/>
      <c r="M731" s="880"/>
      <c r="N731" s="873"/>
      <c r="O731" s="873"/>
      <c r="P731" s="873"/>
      <c r="Q731" s="880"/>
      <c r="R731" s="880"/>
      <c r="S731" s="880"/>
      <c r="T731" s="882"/>
      <c r="U731" s="882"/>
      <c r="V731" s="883"/>
      <c r="W731" s="883"/>
      <c r="X731" s="883"/>
      <c r="Y731" s="883"/>
      <c r="Z731" s="883"/>
      <c r="AA731" s="883"/>
      <c r="AB731" s="883"/>
      <c r="AC731" s="883"/>
      <c r="AD731" s="883"/>
      <c r="AE731" s="883"/>
      <c r="AF731" s="883"/>
      <c r="AG731" s="883"/>
    </row>
    <row r="732" spans="1:34" s="3" customFormat="1" ht="15.95" customHeight="1">
      <c r="A732" s="44"/>
      <c r="B732" s="41"/>
      <c r="C732" s="41"/>
      <c r="D732" s="42"/>
      <c r="E732" s="42"/>
      <c r="F732" s="43"/>
      <c r="G732" s="42"/>
      <c r="H732" s="43"/>
      <c r="I732" s="43"/>
      <c r="J732" s="42"/>
      <c r="K732" s="42"/>
      <c r="L732" s="290"/>
      <c r="M732" s="43"/>
      <c r="N732" s="43"/>
      <c r="O732" s="42"/>
      <c r="P732" s="43"/>
      <c r="Q732" s="43"/>
      <c r="R732" s="42"/>
      <c r="S732" s="43"/>
      <c r="T732" s="42"/>
      <c r="U732" s="42"/>
      <c r="V732" s="44"/>
      <c r="W732" s="44"/>
      <c r="X732" s="44"/>
      <c r="Y732" s="44"/>
      <c r="Z732" s="44"/>
      <c r="AA732" s="44"/>
      <c r="AB732" s="44"/>
      <c r="AC732" s="44"/>
      <c r="AD732" s="44"/>
      <c r="AE732" s="44"/>
      <c r="AF732" s="44"/>
      <c r="AG732" s="44"/>
    </row>
    <row r="733" spans="1:34" s="3" customFormat="1"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66"/>
      <c r="T733" s="867" t="str">
        <f>'$REV-DB'!$T$34</f>
        <v>UD1</v>
      </c>
      <c r="U733" s="867" t="str">
        <f>'$REV-DB'!$U$34</f>
        <v>UD2</v>
      </c>
      <c r="V733" s="867" t="str">
        <f>'$REV-DB'!$V$34</f>
        <v>UD3</v>
      </c>
      <c r="W733" s="867" t="str">
        <f>'$REV-DB'!$W$34</f>
        <v>UD4</v>
      </c>
      <c r="X733" s="867" t="str">
        <f>'$REV-DB'!$X$34</f>
        <v>UD5</v>
      </c>
      <c r="Y733" s="867" t="str">
        <f>'$REV-DB'!$Y$34</f>
        <v>UD6</v>
      </c>
      <c r="Z733" s="867" t="str">
        <f>'$REV-DB'!$Z$34</f>
        <v>UD7</v>
      </c>
      <c r="AA733" s="867" t="str">
        <f>'$REV-DB'!$AA$34</f>
        <v>UD8</v>
      </c>
      <c r="AB733" s="867" t="str">
        <f>'$REV-DB'!$AB$34</f>
        <v>UD9</v>
      </c>
      <c r="AC733" s="867" t="str">
        <f>'$REV-DB'!$AC$34</f>
        <v>UD10</v>
      </c>
      <c r="AD733" s="867" t="str">
        <f>'$REV-DB'!$AD$34</f>
        <v>UD11</v>
      </c>
      <c r="AE733" s="867" t="str">
        <f>'$REV-DB'!$AE$34</f>
        <v>UD12</v>
      </c>
      <c r="AF733" s="867" t="str">
        <f>'$REV-DB'!$AF$34</f>
        <v>UD13</v>
      </c>
      <c r="AG733" s="867" t="str">
        <f>'$REV-DB'!$AG$34</f>
        <v>UD14</v>
      </c>
    </row>
    <row r="734" spans="1:34" s="3" customFormat="1" ht="15.95" customHeight="1" thickTop="1" thickBot="1">
      <c r="A734" s="7"/>
      <c r="B734" s="20" t="s">
        <v>4</v>
      </c>
      <c r="C734" s="15"/>
      <c r="D734" s="861" t="s">
        <v>186</v>
      </c>
      <c r="E734" s="861" t="s">
        <v>187</v>
      </c>
      <c r="F734" s="861" t="s">
        <v>188</v>
      </c>
      <c r="G734" s="861" t="s">
        <v>189</v>
      </c>
      <c r="H734" s="861" t="s">
        <v>11</v>
      </c>
      <c r="I734" s="861" t="s">
        <v>190</v>
      </c>
      <c r="J734" s="861" t="s">
        <v>191</v>
      </c>
      <c r="K734" s="861" t="s">
        <v>192</v>
      </c>
      <c r="L734" s="861" t="s">
        <v>203</v>
      </c>
      <c r="M734" s="861" t="s">
        <v>42</v>
      </c>
      <c r="N734" s="861" t="s">
        <v>148</v>
      </c>
      <c r="O734" s="861" t="s">
        <v>193</v>
      </c>
      <c r="P734" s="861" t="s">
        <v>142</v>
      </c>
      <c r="Q734" s="861" t="s">
        <v>194</v>
      </c>
      <c r="R734" s="112" t="s">
        <v>141</v>
      </c>
      <c r="S734" s="112" t="s">
        <v>672</v>
      </c>
      <c r="T734" s="861" t="s">
        <v>541</v>
      </c>
      <c r="U734" s="861" t="s">
        <v>542</v>
      </c>
      <c r="V734" s="861" t="s">
        <v>543</v>
      </c>
      <c r="W734" s="861" t="s">
        <v>544</v>
      </c>
      <c r="X734" s="861" t="s">
        <v>545</v>
      </c>
      <c r="Y734" s="861" t="s">
        <v>546</v>
      </c>
      <c r="Z734" s="861" t="s">
        <v>547</v>
      </c>
      <c r="AA734" s="861" t="s">
        <v>548</v>
      </c>
      <c r="AB734" s="861" t="s">
        <v>549</v>
      </c>
      <c r="AC734" s="861" t="s">
        <v>550</v>
      </c>
      <c r="AD734" s="861" t="s">
        <v>551</v>
      </c>
      <c r="AE734" s="861" t="s">
        <v>552</v>
      </c>
      <c r="AF734" s="861" t="s">
        <v>553</v>
      </c>
      <c r="AG734" s="861" t="s">
        <v>554</v>
      </c>
      <c r="AH734" s="6"/>
    </row>
    <row r="735" spans="1:34" s="3" customFormat="1" ht="15.95" customHeight="1" thickTop="1">
      <c r="A735" s="7"/>
      <c r="B735" s="19" t="s">
        <v>144</v>
      </c>
      <c r="C735" s="12"/>
      <c r="D735" s="203"/>
      <c r="E735" s="203"/>
      <c r="F735" s="202"/>
      <c r="G735" s="203"/>
      <c r="H735" s="202"/>
      <c r="I735" s="202"/>
      <c r="J735" s="203"/>
      <c r="K735" s="203"/>
      <c r="L735" s="291" t="s">
        <v>34</v>
      </c>
      <c r="M735" s="202"/>
      <c r="N735" s="45" t="str">
        <f>J$6</f>
        <v>FY2010-11</v>
      </c>
      <c r="O735" s="45" t="s">
        <v>156</v>
      </c>
      <c r="P735" s="45" t="s">
        <v>138</v>
      </c>
      <c r="Q735" s="45" t="s">
        <v>139</v>
      </c>
      <c r="R735" s="203"/>
      <c r="S735" s="202"/>
      <c r="T735" s="203"/>
      <c r="U735" s="203"/>
      <c r="V735" s="204"/>
      <c r="W735" s="204"/>
      <c r="X735" s="204"/>
      <c r="Y735" s="204"/>
      <c r="Z735" s="204"/>
      <c r="AA735" s="204"/>
      <c r="AB735" s="204"/>
      <c r="AC735" s="204"/>
      <c r="AD735" s="204"/>
      <c r="AE735" s="204"/>
      <c r="AF735" s="204"/>
      <c r="AG735" s="204"/>
      <c r="AH735" s="6"/>
    </row>
    <row r="736" spans="1:34" s="3" customFormat="1" ht="15.95" customHeight="1">
      <c r="A736" s="7"/>
      <c r="B736" s="16">
        <f>DSUM('$REV-DB'!D35:AG67,"AMOUNT",D734:AG736)</f>
        <v>0</v>
      </c>
      <c r="C736" s="12"/>
      <c r="D736" s="203"/>
      <c r="E736" s="203"/>
      <c r="F736" s="202"/>
      <c r="G736" s="203"/>
      <c r="H736" s="202"/>
      <c r="I736" s="202"/>
      <c r="J736" s="203"/>
      <c r="K736" s="203"/>
      <c r="L736" s="291" t="s">
        <v>34</v>
      </c>
      <c r="M736" s="202"/>
      <c r="N736" s="45" t="str">
        <f>J$6</f>
        <v>FY2010-11</v>
      </c>
      <c r="O736" s="45" t="s">
        <v>156</v>
      </c>
      <c r="P736" s="45" t="s">
        <v>147</v>
      </c>
      <c r="Q736" s="45" t="s">
        <v>139</v>
      </c>
      <c r="R736" s="203"/>
      <c r="S736" s="202" t="s">
        <v>103</v>
      </c>
      <c r="T736" s="203"/>
      <c r="U736" s="203"/>
      <c r="V736" s="204"/>
      <c r="W736" s="204"/>
      <c r="X736" s="204"/>
      <c r="Y736" s="204"/>
      <c r="Z736" s="204"/>
      <c r="AA736" s="204"/>
      <c r="AB736" s="204"/>
      <c r="AC736" s="204"/>
      <c r="AD736" s="204"/>
      <c r="AE736" s="204"/>
      <c r="AF736" s="204"/>
      <c r="AG736" s="204"/>
      <c r="AH736" s="6"/>
    </row>
    <row r="737" spans="1:34" s="3" customFormat="1" ht="15.95" customHeight="1">
      <c r="A737" s="7"/>
      <c r="B737" s="10"/>
      <c r="C737" s="12"/>
      <c r="D737" s="880"/>
      <c r="E737" s="880"/>
      <c r="F737" s="880"/>
      <c r="G737" s="880"/>
      <c r="H737" s="880"/>
      <c r="I737" s="880"/>
      <c r="J737" s="880"/>
      <c r="K737" s="880"/>
      <c r="L737" s="881"/>
      <c r="M737" s="880"/>
      <c r="N737" s="873"/>
      <c r="O737" s="873"/>
      <c r="P737" s="873"/>
      <c r="Q737" s="880"/>
      <c r="R737" s="880"/>
      <c r="S737" s="880"/>
      <c r="T737" s="882"/>
      <c r="U737" s="882"/>
      <c r="V737" s="883"/>
      <c r="W737" s="883"/>
      <c r="X737" s="883"/>
      <c r="Y737" s="883"/>
      <c r="Z737" s="883"/>
      <c r="AA737" s="883"/>
      <c r="AB737" s="883"/>
      <c r="AC737" s="883"/>
      <c r="AD737" s="883"/>
      <c r="AE737" s="883"/>
      <c r="AF737" s="883"/>
      <c r="AG737" s="883"/>
    </row>
    <row r="738" spans="1:34" s="3" customFormat="1" ht="15.95" customHeight="1">
      <c r="A738" s="7"/>
      <c r="B738" s="10"/>
      <c r="C738" s="12"/>
      <c r="D738" s="880"/>
      <c r="E738" s="880"/>
      <c r="F738" s="880"/>
      <c r="G738" s="880"/>
      <c r="H738" s="880"/>
      <c r="I738" s="880"/>
      <c r="J738" s="880"/>
      <c r="K738" s="880"/>
      <c r="L738" s="881"/>
      <c r="M738" s="880"/>
      <c r="N738" s="873"/>
      <c r="O738" s="873"/>
      <c r="P738" s="873"/>
      <c r="Q738" s="880"/>
      <c r="R738" s="880"/>
      <c r="S738" s="880"/>
      <c r="T738" s="882"/>
      <c r="U738" s="882"/>
      <c r="V738" s="883"/>
      <c r="W738" s="883"/>
      <c r="X738" s="883"/>
      <c r="Y738" s="883"/>
      <c r="Z738" s="883"/>
      <c r="AA738" s="883"/>
      <c r="AB738" s="883"/>
      <c r="AC738" s="883"/>
      <c r="AD738" s="883"/>
      <c r="AE738" s="883"/>
      <c r="AF738" s="883"/>
      <c r="AG738" s="883"/>
    </row>
    <row r="739" spans="1:34" s="3" customFormat="1" ht="15.95" customHeight="1">
      <c r="A739" s="7"/>
      <c r="B739" s="10"/>
      <c r="C739" s="12"/>
      <c r="D739" s="880"/>
      <c r="E739" s="880"/>
      <c r="F739" s="880"/>
      <c r="G739" s="880"/>
      <c r="H739" s="880"/>
      <c r="I739" s="880"/>
      <c r="J739" s="880"/>
      <c r="K739" s="880"/>
      <c r="L739" s="881"/>
      <c r="M739" s="880"/>
      <c r="N739" s="873"/>
      <c r="O739" s="873"/>
      <c r="P739" s="873"/>
      <c r="Q739" s="880"/>
      <c r="R739" s="880"/>
      <c r="S739" s="880"/>
      <c r="T739" s="882"/>
      <c r="U739" s="882"/>
      <c r="V739" s="883"/>
      <c r="W739" s="883"/>
      <c r="X739" s="883"/>
      <c r="Y739" s="883"/>
      <c r="Z739" s="883"/>
      <c r="AA739" s="883"/>
      <c r="AB739" s="883"/>
      <c r="AC739" s="883"/>
      <c r="AD739" s="883"/>
      <c r="AE739" s="883"/>
      <c r="AF739" s="883"/>
      <c r="AG739" s="883"/>
    </row>
    <row r="740" spans="1:34" s="3" customFormat="1" ht="15.95" customHeight="1">
      <c r="A740" s="7"/>
      <c r="B740" s="10"/>
      <c r="C740" s="12"/>
      <c r="D740" s="880"/>
      <c r="E740" s="880"/>
      <c r="F740" s="880"/>
      <c r="G740" s="880"/>
      <c r="H740" s="880"/>
      <c r="I740" s="880"/>
      <c r="J740" s="880"/>
      <c r="K740" s="880"/>
      <c r="L740" s="881"/>
      <c r="M740" s="880"/>
      <c r="N740" s="873"/>
      <c r="O740" s="873"/>
      <c r="P740" s="873"/>
      <c r="Q740" s="880"/>
      <c r="R740" s="880"/>
      <c r="S740" s="880"/>
      <c r="T740" s="882"/>
      <c r="U740" s="882"/>
      <c r="V740" s="883"/>
      <c r="W740" s="883"/>
      <c r="X740" s="883"/>
      <c r="Y740" s="883"/>
      <c r="Z740" s="883"/>
      <c r="AA740" s="883"/>
      <c r="AB740" s="883"/>
      <c r="AC740" s="883"/>
      <c r="AD740" s="883"/>
      <c r="AE740" s="883"/>
      <c r="AF740" s="883"/>
      <c r="AG740" s="883"/>
    </row>
    <row r="741" spans="1:34" s="3" customFormat="1" ht="15.95" customHeight="1">
      <c r="A741" s="7"/>
      <c r="B741" s="10"/>
      <c r="C741" s="12"/>
      <c r="D741" s="880"/>
      <c r="E741" s="880"/>
      <c r="F741" s="880"/>
      <c r="G741" s="880"/>
      <c r="H741" s="880"/>
      <c r="I741" s="880"/>
      <c r="J741" s="880"/>
      <c r="K741" s="880"/>
      <c r="L741" s="881"/>
      <c r="M741" s="880"/>
      <c r="N741" s="873"/>
      <c r="O741" s="873"/>
      <c r="P741" s="873"/>
      <c r="Q741" s="880"/>
      <c r="R741" s="880"/>
      <c r="S741" s="880"/>
      <c r="T741" s="882"/>
      <c r="U741" s="882"/>
      <c r="V741" s="883"/>
      <c r="W741" s="883"/>
      <c r="X741" s="883"/>
      <c r="Y741" s="883"/>
      <c r="Z741" s="883"/>
      <c r="AA741" s="883"/>
      <c r="AB741" s="883"/>
      <c r="AC741" s="883"/>
      <c r="AD741" s="883"/>
      <c r="AE741" s="883"/>
      <c r="AF741" s="883"/>
      <c r="AG741" s="883"/>
    </row>
    <row r="742" spans="1:34" s="3" customFormat="1" ht="15.95" customHeight="1">
      <c r="A742" s="44"/>
      <c r="B742" s="41"/>
      <c r="C742" s="41"/>
      <c r="D742" s="42"/>
      <c r="E742" s="42"/>
      <c r="F742" s="43"/>
      <c r="G742" s="42"/>
      <c r="H742" s="43"/>
      <c r="I742" s="43"/>
      <c r="J742" s="42"/>
      <c r="K742" s="42"/>
      <c r="L742" s="290"/>
      <c r="M742" s="43"/>
      <c r="N742" s="43"/>
      <c r="O742" s="42"/>
      <c r="P742" s="43"/>
      <c r="Q742" s="43"/>
      <c r="R742" s="42"/>
      <c r="S742" s="43"/>
      <c r="T742" s="42"/>
      <c r="U742" s="42"/>
      <c r="V742" s="44"/>
      <c r="W742" s="44"/>
      <c r="X742" s="44"/>
      <c r="Y742" s="44"/>
      <c r="Z742" s="44"/>
      <c r="AA742" s="44"/>
      <c r="AB742" s="44"/>
      <c r="AC742" s="44"/>
      <c r="AD742" s="44"/>
      <c r="AE742" s="44"/>
      <c r="AF742" s="44"/>
      <c r="AG742" s="44"/>
    </row>
    <row r="743" spans="1:34" s="3" customFormat="1"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66"/>
      <c r="T743" s="867" t="str">
        <f>'$REV-DB'!$T$34</f>
        <v>UD1</v>
      </c>
      <c r="U743" s="867" t="str">
        <f>'$REV-DB'!$U$34</f>
        <v>UD2</v>
      </c>
      <c r="V743" s="867" t="str">
        <f>'$REV-DB'!$V$34</f>
        <v>UD3</v>
      </c>
      <c r="W743" s="867" t="str">
        <f>'$REV-DB'!$W$34</f>
        <v>UD4</v>
      </c>
      <c r="X743" s="867" t="str">
        <f>'$REV-DB'!$X$34</f>
        <v>UD5</v>
      </c>
      <c r="Y743" s="867" t="str">
        <f>'$REV-DB'!$Y$34</f>
        <v>UD6</v>
      </c>
      <c r="Z743" s="867" t="str">
        <f>'$REV-DB'!$Z$34</f>
        <v>UD7</v>
      </c>
      <c r="AA743" s="867" t="str">
        <f>'$REV-DB'!$AA$34</f>
        <v>UD8</v>
      </c>
      <c r="AB743" s="867" t="str">
        <f>'$REV-DB'!$AB$34</f>
        <v>UD9</v>
      </c>
      <c r="AC743" s="867" t="str">
        <f>'$REV-DB'!$AC$34</f>
        <v>UD10</v>
      </c>
      <c r="AD743" s="867" t="str">
        <f>'$REV-DB'!$AD$34</f>
        <v>UD11</v>
      </c>
      <c r="AE743" s="867" t="str">
        <f>'$REV-DB'!$AE$34</f>
        <v>UD12</v>
      </c>
      <c r="AF743" s="867" t="str">
        <f>'$REV-DB'!$AF$34</f>
        <v>UD13</v>
      </c>
      <c r="AG743" s="867" t="str">
        <f>'$REV-DB'!$AG$34</f>
        <v>UD14</v>
      </c>
    </row>
    <row r="744" spans="1:34" s="3" customFormat="1" ht="15.95" customHeight="1" thickTop="1" thickBot="1">
      <c r="A744" s="7"/>
      <c r="B744" s="20" t="s">
        <v>4</v>
      </c>
      <c r="C744" s="15"/>
      <c r="D744" s="861" t="s">
        <v>186</v>
      </c>
      <c r="E744" s="861" t="s">
        <v>187</v>
      </c>
      <c r="F744" s="861" t="s">
        <v>188</v>
      </c>
      <c r="G744" s="861" t="s">
        <v>189</v>
      </c>
      <c r="H744" s="861" t="s">
        <v>11</v>
      </c>
      <c r="I744" s="861" t="s">
        <v>190</v>
      </c>
      <c r="J744" s="861" t="s">
        <v>191</v>
      </c>
      <c r="K744" s="861" t="s">
        <v>192</v>
      </c>
      <c r="L744" s="861" t="s">
        <v>203</v>
      </c>
      <c r="M744" s="861" t="s">
        <v>42</v>
      </c>
      <c r="N744" s="861" t="s">
        <v>148</v>
      </c>
      <c r="O744" s="861" t="s">
        <v>193</v>
      </c>
      <c r="P744" s="861" t="s">
        <v>142</v>
      </c>
      <c r="Q744" s="861" t="s">
        <v>194</v>
      </c>
      <c r="R744" s="112" t="s">
        <v>141</v>
      </c>
      <c r="S744" s="112" t="s">
        <v>672</v>
      </c>
      <c r="T744" s="861" t="s">
        <v>541</v>
      </c>
      <c r="U744" s="861" t="s">
        <v>542</v>
      </c>
      <c r="V744" s="861" t="s">
        <v>543</v>
      </c>
      <c r="W744" s="861" t="s">
        <v>544</v>
      </c>
      <c r="X744" s="861" t="s">
        <v>545</v>
      </c>
      <c r="Y744" s="861" t="s">
        <v>546</v>
      </c>
      <c r="Z744" s="861" t="s">
        <v>547</v>
      </c>
      <c r="AA744" s="861" t="s">
        <v>548</v>
      </c>
      <c r="AB744" s="861" t="s">
        <v>549</v>
      </c>
      <c r="AC744" s="861" t="s">
        <v>550</v>
      </c>
      <c r="AD744" s="861" t="s">
        <v>551</v>
      </c>
      <c r="AE744" s="861" t="s">
        <v>552</v>
      </c>
      <c r="AF744" s="861" t="s">
        <v>553</v>
      </c>
      <c r="AG744" s="861" t="s">
        <v>554</v>
      </c>
      <c r="AH744" s="6"/>
    </row>
    <row r="745" spans="1:34" s="3" customFormat="1" ht="15.95" customHeight="1" thickTop="1">
      <c r="A745" s="7"/>
      <c r="B745" s="19" t="s">
        <v>143</v>
      </c>
      <c r="C745" s="12"/>
      <c r="D745" s="203"/>
      <c r="E745" s="203"/>
      <c r="F745" s="202"/>
      <c r="G745" s="203"/>
      <c r="H745" s="202"/>
      <c r="I745" s="202"/>
      <c r="J745" s="203"/>
      <c r="K745" s="203"/>
      <c r="L745" s="291" t="s">
        <v>34</v>
      </c>
      <c r="M745" s="202"/>
      <c r="N745" s="45" t="str">
        <f>J$6</f>
        <v>FY2010-11</v>
      </c>
      <c r="O745" s="45" t="s">
        <v>156</v>
      </c>
      <c r="P745" s="45" t="s">
        <v>138</v>
      </c>
      <c r="Q745" s="45" t="s">
        <v>179</v>
      </c>
      <c r="R745" s="203"/>
      <c r="S745" s="202"/>
      <c r="T745" s="203"/>
      <c r="U745" s="203"/>
      <c r="V745" s="204"/>
      <c r="W745" s="204"/>
      <c r="X745" s="204"/>
      <c r="Y745" s="204"/>
      <c r="Z745" s="204"/>
      <c r="AA745" s="204"/>
      <c r="AB745" s="204"/>
      <c r="AC745" s="204"/>
      <c r="AD745" s="204"/>
      <c r="AE745" s="204"/>
      <c r="AF745" s="204"/>
      <c r="AG745" s="204"/>
      <c r="AH745" s="6"/>
    </row>
    <row r="746" spans="1:34" s="3" customFormat="1" ht="15.95" customHeight="1">
      <c r="A746" s="7"/>
      <c r="B746" s="16">
        <f>DSUM('$REV-DB'!D35:AG67,"AMOUNT",D744:AG746)</f>
        <v>0</v>
      </c>
      <c r="C746" s="12"/>
      <c r="D746" s="203"/>
      <c r="E746" s="203"/>
      <c r="F746" s="202"/>
      <c r="G746" s="203"/>
      <c r="H746" s="202"/>
      <c r="I746" s="202"/>
      <c r="J746" s="203"/>
      <c r="K746" s="203"/>
      <c r="L746" s="291" t="s">
        <v>34</v>
      </c>
      <c r="M746" s="202"/>
      <c r="N746" s="45" t="str">
        <f>J$6</f>
        <v>FY2010-11</v>
      </c>
      <c r="O746" s="45" t="s">
        <v>156</v>
      </c>
      <c r="P746" s="45" t="s">
        <v>147</v>
      </c>
      <c r="Q746" s="45" t="s">
        <v>179</v>
      </c>
      <c r="R746" s="203"/>
      <c r="S746" s="202" t="s">
        <v>103</v>
      </c>
      <c r="T746" s="203"/>
      <c r="U746" s="203"/>
      <c r="V746" s="204"/>
      <c r="W746" s="204"/>
      <c r="X746" s="204"/>
      <c r="Y746" s="204"/>
      <c r="Z746" s="204"/>
      <c r="AA746" s="204"/>
      <c r="AB746" s="204"/>
      <c r="AC746" s="204"/>
      <c r="AD746" s="204"/>
      <c r="AE746" s="204"/>
      <c r="AF746" s="204"/>
      <c r="AG746" s="204"/>
      <c r="AH746" s="6"/>
    </row>
    <row r="747" spans="1:34" s="3" customFormat="1" ht="15.95" customHeight="1">
      <c r="A747" s="7"/>
      <c r="B747" s="10"/>
      <c r="C747" s="12"/>
      <c r="D747" s="880"/>
      <c r="E747" s="880"/>
      <c r="F747" s="880"/>
      <c r="G747" s="880"/>
      <c r="H747" s="880"/>
      <c r="I747" s="880"/>
      <c r="J747" s="880"/>
      <c r="K747" s="880"/>
      <c r="L747" s="881"/>
      <c r="M747" s="880"/>
      <c r="N747" s="873"/>
      <c r="O747" s="873"/>
      <c r="P747" s="873"/>
      <c r="Q747" s="880"/>
      <c r="R747" s="880"/>
      <c r="S747" s="880"/>
      <c r="T747" s="882"/>
      <c r="U747" s="882"/>
      <c r="V747" s="883"/>
      <c r="W747" s="883"/>
      <c r="X747" s="883"/>
      <c r="Y747" s="883"/>
      <c r="Z747" s="883"/>
      <c r="AA747" s="883"/>
      <c r="AB747" s="883"/>
      <c r="AC747" s="883"/>
      <c r="AD747" s="883"/>
      <c r="AE747" s="883"/>
      <c r="AF747" s="883"/>
      <c r="AG747" s="883"/>
    </row>
    <row r="748" spans="1:34" s="3" customFormat="1" ht="15.95" customHeight="1">
      <c r="A748" s="7"/>
      <c r="B748" s="10"/>
      <c r="C748" s="12"/>
      <c r="D748" s="880"/>
      <c r="E748" s="880"/>
      <c r="F748" s="880"/>
      <c r="G748" s="880"/>
      <c r="H748" s="880"/>
      <c r="I748" s="880"/>
      <c r="J748" s="880"/>
      <c r="K748" s="880"/>
      <c r="L748" s="881"/>
      <c r="M748" s="880"/>
      <c r="N748" s="873"/>
      <c r="O748" s="873"/>
      <c r="P748" s="873"/>
      <c r="Q748" s="880"/>
      <c r="R748" s="880"/>
      <c r="S748" s="880"/>
      <c r="T748" s="882"/>
      <c r="U748" s="882"/>
      <c r="V748" s="883"/>
      <c r="W748" s="883"/>
      <c r="X748" s="883"/>
      <c r="Y748" s="883"/>
      <c r="Z748" s="883"/>
      <c r="AA748" s="883"/>
      <c r="AB748" s="883"/>
      <c r="AC748" s="883"/>
      <c r="AD748" s="883"/>
      <c r="AE748" s="883"/>
      <c r="AF748" s="883"/>
      <c r="AG748" s="883"/>
    </row>
    <row r="749" spans="1:34" s="3" customFormat="1" ht="15.95" customHeight="1">
      <c r="A749" s="7"/>
      <c r="B749" s="10"/>
      <c r="C749" s="12"/>
      <c r="D749" s="880"/>
      <c r="E749" s="880"/>
      <c r="F749" s="880"/>
      <c r="G749" s="880"/>
      <c r="H749" s="880"/>
      <c r="I749" s="880"/>
      <c r="J749" s="880"/>
      <c r="K749" s="880"/>
      <c r="L749" s="881"/>
      <c r="M749" s="880"/>
      <c r="N749" s="873"/>
      <c r="O749" s="873"/>
      <c r="P749" s="873"/>
      <c r="Q749" s="880"/>
      <c r="R749" s="880"/>
      <c r="S749" s="880"/>
      <c r="T749" s="882"/>
      <c r="U749" s="882"/>
      <c r="V749" s="883"/>
      <c r="W749" s="883"/>
      <c r="X749" s="883"/>
      <c r="Y749" s="883"/>
      <c r="Z749" s="883"/>
      <c r="AA749" s="883"/>
      <c r="AB749" s="883"/>
      <c r="AC749" s="883"/>
      <c r="AD749" s="883"/>
      <c r="AE749" s="883"/>
      <c r="AF749" s="883"/>
      <c r="AG749" s="883"/>
    </row>
    <row r="750" spans="1:34" s="3" customFormat="1" ht="15.95" customHeight="1">
      <c r="A750" s="7"/>
      <c r="B750" s="10"/>
      <c r="C750" s="12"/>
      <c r="D750" s="880"/>
      <c r="E750" s="880"/>
      <c r="F750" s="880"/>
      <c r="G750" s="880"/>
      <c r="H750" s="880"/>
      <c r="I750" s="880"/>
      <c r="J750" s="880"/>
      <c r="K750" s="880"/>
      <c r="L750" s="881"/>
      <c r="M750" s="880"/>
      <c r="N750" s="873"/>
      <c r="O750" s="873"/>
      <c r="P750" s="873"/>
      <c r="Q750" s="880"/>
      <c r="R750" s="880"/>
      <c r="S750" s="880"/>
      <c r="T750" s="882"/>
      <c r="U750" s="882"/>
      <c r="V750" s="883"/>
      <c r="W750" s="883"/>
      <c r="X750" s="883"/>
      <c r="Y750" s="883"/>
      <c r="Z750" s="883"/>
      <c r="AA750" s="883"/>
      <c r="AB750" s="883"/>
      <c r="AC750" s="883"/>
      <c r="AD750" s="883"/>
      <c r="AE750" s="883"/>
      <c r="AF750" s="883"/>
      <c r="AG750" s="883"/>
    </row>
    <row r="751" spans="1:34" s="3" customFormat="1" ht="15.95" customHeight="1">
      <c r="A751" s="7"/>
      <c r="B751" s="10"/>
      <c r="C751" s="12"/>
      <c r="D751" s="880"/>
      <c r="E751" s="880"/>
      <c r="F751" s="880"/>
      <c r="G751" s="880"/>
      <c r="H751" s="880"/>
      <c r="I751" s="880"/>
      <c r="J751" s="880"/>
      <c r="K751" s="880"/>
      <c r="L751" s="881"/>
      <c r="M751" s="880"/>
      <c r="N751" s="873"/>
      <c r="O751" s="873"/>
      <c r="P751" s="873"/>
      <c r="Q751" s="880"/>
      <c r="R751" s="880"/>
      <c r="S751" s="880"/>
      <c r="T751" s="882"/>
      <c r="U751" s="882"/>
      <c r="V751" s="883"/>
      <c r="W751" s="883"/>
      <c r="X751" s="883"/>
      <c r="Y751" s="883"/>
      <c r="Z751" s="883"/>
      <c r="AA751" s="883"/>
      <c r="AB751" s="883"/>
      <c r="AC751" s="883"/>
      <c r="AD751" s="883"/>
      <c r="AE751" s="883"/>
      <c r="AF751" s="883"/>
      <c r="AG751" s="883"/>
    </row>
    <row r="752" spans="1:34" s="3" customFormat="1" ht="15.95" customHeight="1">
      <c r="A752" s="44"/>
      <c r="B752" s="41"/>
      <c r="C752" s="41"/>
      <c r="D752" s="42"/>
      <c r="E752" s="42"/>
      <c r="F752" s="43"/>
      <c r="G752" s="42"/>
      <c r="H752" s="43"/>
      <c r="I752" s="43"/>
      <c r="J752" s="42"/>
      <c r="K752" s="42"/>
      <c r="L752" s="290"/>
      <c r="M752" s="43"/>
      <c r="N752" s="43"/>
      <c r="O752" s="42"/>
      <c r="P752" s="43"/>
      <c r="Q752" s="43"/>
      <c r="R752" s="42"/>
      <c r="S752" s="43"/>
      <c r="T752" s="42"/>
      <c r="U752" s="42"/>
      <c r="V752" s="44"/>
      <c r="W752" s="44"/>
      <c r="X752" s="44"/>
      <c r="Y752" s="44"/>
      <c r="Z752" s="44"/>
      <c r="AA752" s="44"/>
      <c r="AB752" s="44"/>
      <c r="AC752" s="44"/>
      <c r="AD752" s="44"/>
      <c r="AE752" s="44"/>
      <c r="AF752" s="44"/>
      <c r="AG752" s="44"/>
    </row>
    <row r="753" spans="1:34" s="3" customFormat="1"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66"/>
      <c r="T753" s="867" t="str">
        <f>'$REV-DB'!$T$34</f>
        <v>UD1</v>
      </c>
      <c r="U753" s="867" t="str">
        <f>'$REV-DB'!$U$34</f>
        <v>UD2</v>
      </c>
      <c r="V753" s="867" t="str">
        <f>'$REV-DB'!$V$34</f>
        <v>UD3</v>
      </c>
      <c r="W753" s="867" t="str">
        <f>'$REV-DB'!$W$34</f>
        <v>UD4</v>
      </c>
      <c r="X753" s="867" t="str">
        <f>'$REV-DB'!$X$34</f>
        <v>UD5</v>
      </c>
      <c r="Y753" s="867" t="str">
        <f>'$REV-DB'!$Y$34</f>
        <v>UD6</v>
      </c>
      <c r="Z753" s="867" t="str">
        <f>'$REV-DB'!$Z$34</f>
        <v>UD7</v>
      </c>
      <c r="AA753" s="867" t="str">
        <f>'$REV-DB'!$AA$34</f>
        <v>UD8</v>
      </c>
      <c r="AB753" s="867" t="str">
        <f>'$REV-DB'!$AB$34</f>
        <v>UD9</v>
      </c>
      <c r="AC753" s="867" t="str">
        <f>'$REV-DB'!$AC$34</f>
        <v>UD10</v>
      </c>
      <c r="AD753" s="867" t="str">
        <f>'$REV-DB'!$AD$34</f>
        <v>UD11</v>
      </c>
      <c r="AE753" s="867" t="str">
        <f>'$REV-DB'!$AE$34</f>
        <v>UD12</v>
      </c>
      <c r="AF753" s="867" t="str">
        <f>'$REV-DB'!$AF$34</f>
        <v>UD13</v>
      </c>
      <c r="AG753" s="867" t="str">
        <f>'$REV-DB'!$AG$34</f>
        <v>UD14</v>
      </c>
    </row>
    <row r="754" spans="1:34" s="3" customFormat="1" ht="15.95" customHeight="1" thickTop="1" thickBot="1">
      <c r="A754" s="7"/>
      <c r="B754" s="20" t="s">
        <v>4</v>
      </c>
      <c r="C754" s="15"/>
      <c r="D754" s="861" t="s">
        <v>186</v>
      </c>
      <c r="E754" s="861" t="s">
        <v>187</v>
      </c>
      <c r="F754" s="861" t="s">
        <v>188</v>
      </c>
      <c r="G754" s="861" t="s">
        <v>189</v>
      </c>
      <c r="H754" s="861" t="s">
        <v>11</v>
      </c>
      <c r="I754" s="861" t="s">
        <v>190</v>
      </c>
      <c r="J754" s="861" t="s">
        <v>191</v>
      </c>
      <c r="K754" s="861" t="s">
        <v>192</v>
      </c>
      <c r="L754" s="861" t="s">
        <v>203</v>
      </c>
      <c r="M754" s="861" t="s">
        <v>42</v>
      </c>
      <c r="N754" s="861" t="s">
        <v>148</v>
      </c>
      <c r="O754" s="861" t="s">
        <v>193</v>
      </c>
      <c r="P754" s="861" t="s">
        <v>142</v>
      </c>
      <c r="Q754" s="861" t="s">
        <v>194</v>
      </c>
      <c r="R754" s="112" t="s">
        <v>141</v>
      </c>
      <c r="S754" s="112" t="s">
        <v>672</v>
      </c>
      <c r="T754" s="861" t="s">
        <v>541</v>
      </c>
      <c r="U754" s="861" t="s">
        <v>542</v>
      </c>
      <c r="V754" s="861" t="s">
        <v>543</v>
      </c>
      <c r="W754" s="861" t="s">
        <v>544</v>
      </c>
      <c r="X754" s="861" t="s">
        <v>545</v>
      </c>
      <c r="Y754" s="861" t="s">
        <v>546</v>
      </c>
      <c r="Z754" s="861" t="s">
        <v>547</v>
      </c>
      <c r="AA754" s="861" t="s">
        <v>548</v>
      </c>
      <c r="AB754" s="861" t="s">
        <v>549</v>
      </c>
      <c r="AC754" s="861" t="s">
        <v>550</v>
      </c>
      <c r="AD754" s="861" t="s">
        <v>551</v>
      </c>
      <c r="AE754" s="861" t="s">
        <v>552</v>
      </c>
      <c r="AF754" s="861" t="s">
        <v>553</v>
      </c>
      <c r="AG754" s="861" t="s">
        <v>554</v>
      </c>
      <c r="AH754" s="6"/>
    </row>
    <row r="755" spans="1:34" s="3" customFormat="1" ht="15.95" customHeight="1" thickTop="1">
      <c r="A755" s="7"/>
      <c r="B755" s="19" t="s">
        <v>149</v>
      </c>
      <c r="C755" s="12"/>
      <c r="D755" s="203"/>
      <c r="E755" s="203"/>
      <c r="F755" s="202"/>
      <c r="G755" s="203"/>
      <c r="H755" s="202"/>
      <c r="I755" s="202"/>
      <c r="J755" s="203"/>
      <c r="K755" s="203"/>
      <c r="L755" s="291" t="s">
        <v>34</v>
      </c>
      <c r="M755" s="202"/>
      <c r="N755" s="45" t="str">
        <f>J$6</f>
        <v>FY2010-11</v>
      </c>
      <c r="O755" s="45" t="s">
        <v>156</v>
      </c>
      <c r="P755" s="45" t="s">
        <v>138</v>
      </c>
      <c r="Q755" s="45" t="s">
        <v>2</v>
      </c>
      <c r="R755" s="203"/>
      <c r="S755" s="202"/>
      <c r="T755" s="203"/>
      <c r="U755" s="203"/>
      <c r="V755" s="204"/>
      <c r="W755" s="204"/>
      <c r="X755" s="204"/>
      <c r="Y755" s="204"/>
      <c r="Z755" s="204"/>
      <c r="AA755" s="204"/>
      <c r="AB755" s="204"/>
      <c r="AC755" s="204"/>
      <c r="AD755" s="204"/>
      <c r="AE755" s="204"/>
      <c r="AF755" s="204"/>
      <c r="AG755" s="204"/>
      <c r="AH755" s="6"/>
    </row>
    <row r="756" spans="1:34" s="3" customFormat="1" ht="15.95" customHeight="1">
      <c r="A756" s="7"/>
      <c r="B756" s="16">
        <f>DSUM('$REV-DB'!D35:AG67,"AMOUNT",D754:AG756)</f>
        <v>0</v>
      </c>
      <c r="C756" s="12"/>
      <c r="D756" s="203"/>
      <c r="E756" s="203"/>
      <c r="F756" s="202"/>
      <c r="G756" s="203"/>
      <c r="H756" s="202"/>
      <c r="I756" s="202"/>
      <c r="J756" s="203"/>
      <c r="K756" s="203"/>
      <c r="L756" s="291" t="s">
        <v>34</v>
      </c>
      <c r="M756" s="202"/>
      <c r="N756" s="45" t="str">
        <f>J$6</f>
        <v>FY2010-11</v>
      </c>
      <c r="O756" s="45" t="s">
        <v>156</v>
      </c>
      <c r="P756" s="45" t="s">
        <v>147</v>
      </c>
      <c r="Q756" s="45" t="s">
        <v>2</v>
      </c>
      <c r="R756" s="203"/>
      <c r="S756" s="202" t="s">
        <v>103</v>
      </c>
      <c r="T756" s="203"/>
      <c r="U756" s="203"/>
      <c r="V756" s="204"/>
      <c r="W756" s="204"/>
      <c r="X756" s="204"/>
      <c r="Y756" s="204"/>
      <c r="Z756" s="204"/>
      <c r="AA756" s="204"/>
      <c r="AB756" s="204"/>
      <c r="AC756" s="204"/>
      <c r="AD756" s="204"/>
      <c r="AE756" s="204"/>
      <c r="AF756" s="204"/>
      <c r="AG756" s="204"/>
      <c r="AH756" s="6"/>
    </row>
    <row r="757" spans="1:34" s="3" customFormat="1" ht="15.95" customHeight="1">
      <c r="A757" s="7"/>
      <c r="B757" s="10"/>
      <c r="C757" s="12"/>
      <c r="D757" s="880"/>
      <c r="E757" s="880"/>
      <c r="F757" s="880"/>
      <c r="G757" s="880"/>
      <c r="H757" s="880"/>
      <c r="I757" s="880"/>
      <c r="J757" s="880"/>
      <c r="K757" s="880"/>
      <c r="L757" s="881"/>
      <c r="M757" s="880"/>
      <c r="N757" s="873"/>
      <c r="O757" s="873"/>
      <c r="P757" s="873"/>
      <c r="Q757" s="880"/>
      <c r="R757" s="880"/>
      <c r="S757" s="880"/>
      <c r="T757" s="882"/>
      <c r="U757" s="882"/>
      <c r="V757" s="883"/>
      <c r="W757" s="883"/>
      <c r="X757" s="883"/>
      <c r="Y757" s="883"/>
      <c r="Z757" s="883"/>
      <c r="AA757" s="883"/>
      <c r="AB757" s="883"/>
      <c r="AC757" s="883"/>
      <c r="AD757" s="883"/>
      <c r="AE757" s="883"/>
      <c r="AF757" s="883"/>
      <c r="AG757" s="883"/>
    </row>
    <row r="758" spans="1:34" s="3" customFormat="1" ht="15.95" customHeight="1">
      <c r="A758" s="7"/>
      <c r="B758" s="10"/>
      <c r="C758" s="12"/>
      <c r="D758" s="880"/>
      <c r="E758" s="880"/>
      <c r="F758" s="880"/>
      <c r="G758" s="880"/>
      <c r="H758" s="880"/>
      <c r="I758" s="880"/>
      <c r="J758" s="880"/>
      <c r="K758" s="880"/>
      <c r="L758" s="881"/>
      <c r="M758" s="880"/>
      <c r="N758" s="873"/>
      <c r="O758" s="873"/>
      <c r="P758" s="873"/>
      <c r="Q758" s="880"/>
      <c r="R758" s="880"/>
      <c r="S758" s="880"/>
      <c r="T758" s="882"/>
      <c r="U758" s="882"/>
      <c r="V758" s="883"/>
      <c r="W758" s="883"/>
      <c r="X758" s="883"/>
      <c r="Y758" s="883"/>
      <c r="Z758" s="883"/>
      <c r="AA758" s="883"/>
      <c r="AB758" s="883"/>
      <c r="AC758" s="883"/>
      <c r="AD758" s="883"/>
      <c r="AE758" s="883"/>
      <c r="AF758" s="883"/>
      <c r="AG758" s="883"/>
    </row>
    <row r="759" spans="1:34" s="3" customFormat="1" ht="15.95" customHeight="1">
      <c r="A759" s="7"/>
      <c r="B759" s="10"/>
      <c r="C759" s="12"/>
      <c r="D759" s="880"/>
      <c r="E759" s="880"/>
      <c r="F759" s="880"/>
      <c r="G759" s="880"/>
      <c r="H759" s="880"/>
      <c r="I759" s="880"/>
      <c r="J759" s="880"/>
      <c r="K759" s="880"/>
      <c r="L759" s="881"/>
      <c r="M759" s="880"/>
      <c r="N759" s="873"/>
      <c r="O759" s="873"/>
      <c r="P759" s="873"/>
      <c r="Q759" s="880"/>
      <c r="R759" s="880"/>
      <c r="S759" s="880"/>
      <c r="T759" s="882"/>
      <c r="U759" s="882"/>
      <c r="V759" s="883"/>
      <c r="W759" s="883"/>
      <c r="X759" s="883"/>
      <c r="Y759" s="883"/>
      <c r="Z759" s="883"/>
      <c r="AA759" s="883"/>
      <c r="AB759" s="883"/>
      <c r="AC759" s="883"/>
      <c r="AD759" s="883"/>
      <c r="AE759" s="883"/>
      <c r="AF759" s="883"/>
      <c r="AG759" s="883"/>
    </row>
    <row r="760" spans="1:34" s="3" customFormat="1" ht="15.95" customHeight="1">
      <c r="A760" s="7"/>
      <c r="B760" s="10"/>
      <c r="C760" s="12"/>
      <c r="D760" s="880"/>
      <c r="E760" s="880"/>
      <c r="F760" s="880"/>
      <c r="G760" s="880"/>
      <c r="H760" s="880"/>
      <c r="I760" s="880"/>
      <c r="J760" s="880"/>
      <c r="K760" s="880"/>
      <c r="L760" s="881"/>
      <c r="M760" s="880"/>
      <c r="N760" s="873"/>
      <c r="O760" s="873"/>
      <c r="P760" s="873"/>
      <c r="Q760" s="880"/>
      <c r="R760" s="880"/>
      <c r="S760" s="880"/>
      <c r="T760" s="882"/>
      <c r="U760" s="882"/>
      <c r="V760" s="883"/>
      <c r="W760" s="883"/>
      <c r="X760" s="883"/>
      <c r="Y760" s="883"/>
      <c r="Z760" s="883"/>
      <c r="AA760" s="883"/>
      <c r="AB760" s="883"/>
      <c r="AC760" s="883"/>
      <c r="AD760" s="883"/>
      <c r="AE760" s="883"/>
      <c r="AF760" s="883"/>
      <c r="AG760" s="883"/>
    </row>
    <row r="761" spans="1:34" s="3" customFormat="1" ht="15.95" customHeight="1">
      <c r="A761" s="7"/>
      <c r="B761" s="10"/>
      <c r="C761" s="12"/>
      <c r="D761" s="880"/>
      <c r="E761" s="880"/>
      <c r="F761" s="880"/>
      <c r="G761" s="880"/>
      <c r="H761" s="880"/>
      <c r="I761" s="880"/>
      <c r="J761" s="880"/>
      <c r="K761" s="880"/>
      <c r="L761" s="881"/>
      <c r="M761" s="880"/>
      <c r="N761" s="873"/>
      <c r="O761" s="873"/>
      <c r="P761" s="873"/>
      <c r="Q761" s="880"/>
      <c r="R761" s="880"/>
      <c r="S761" s="880"/>
      <c r="T761" s="882"/>
      <c r="U761" s="882"/>
      <c r="V761" s="883"/>
      <c r="W761" s="883"/>
      <c r="X761" s="883"/>
      <c r="Y761" s="883"/>
      <c r="Z761" s="883"/>
      <c r="AA761" s="883"/>
      <c r="AB761" s="883"/>
      <c r="AC761" s="883"/>
      <c r="AD761" s="883"/>
      <c r="AE761" s="883"/>
      <c r="AF761" s="883"/>
      <c r="AG761" s="883"/>
    </row>
    <row r="762" spans="1:34" s="3" customFormat="1" ht="15.95" customHeight="1">
      <c r="A762" s="44"/>
      <c r="B762" s="41"/>
      <c r="C762" s="41"/>
      <c r="D762" s="42"/>
      <c r="E762" s="42"/>
      <c r="F762" s="43"/>
      <c r="G762" s="42"/>
      <c r="H762" s="43"/>
      <c r="I762" s="43"/>
      <c r="J762" s="42"/>
      <c r="K762" s="42"/>
      <c r="L762" s="290"/>
      <c r="M762" s="43"/>
      <c r="N762" s="43"/>
      <c r="O762" s="42"/>
      <c r="P762" s="43"/>
      <c r="Q762" s="43"/>
      <c r="R762" s="42"/>
      <c r="S762" s="43"/>
      <c r="T762" s="42"/>
      <c r="U762" s="42"/>
      <c r="V762" s="44"/>
      <c r="W762" s="44"/>
      <c r="X762" s="44"/>
      <c r="Y762" s="44"/>
      <c r="Z762" s="44"/>
      <c r="AA762" s="44"/>
      <c r="AB762" s="44"/>
      <c r="AC762" s="44"/>
      <c r="AD762" s="44"/>
      <c r="AE762" s="44"/>
      <c r="AF762" s="44"/>
      <c r="AG762" s="44"/>
    </row>
    <row r="763" spans="1:34" s="3" customFormat="1"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66"/>
      <c r="T763" s="867" t="str">
        <f>'$REV-DB'!$T$34</f>
        <v>UD1</v>
      </c>
      <c r="U763" s="867" t="str">
        <f>'$REV-DB'!$U$34</f>
        <v>UD2</v>
      </c>
      <c r="V763" s="867" t="str">
        <f>'$REV-DB'!$V$34</f>
        <v>UD3</v>
      </c>
      <c r="W763" s="867" t="str">
        <f>'$REV-DB'!$W$34</f>
        <v>UD4</v>
      </c>
      <c r="X763" s="867" t="str">
        <f>'$REV-DB'!$X$34</f>
        <v>UD5</v>
      </c>
      <c r="Y763" s="867" t="str">
        <f>'$REV-DB'!$Y$34</f>
        <v>UD6</v>
      </c>
      <c r="Z763" s="867" t="str">
        <f>'$REV-DB'!$Z$34</f>
        <v>UD7</v>
      </c>
      <c r="AA763" s="867" t="str">
        <f>'$REV-DB'!$AA$34</f>
        <v>UD8</v>
      </c>
      <c r="AB763" s="867" t="str">
        <f>'$REV-DB'!$AB$34</f>
        <v>UD9</v>
      </c>
      <c r="AC763" s="867" t="str">
        <f>'$REV-DB'!$AC$34</f>
        <v>UD10</v>
      </c>
      <c r="AD763" s="867" t="str">
        <f>'$REV-DB'!$AD$34</f>
        <v>UD11</v>
      </c>
      <c r="AE763" s="867" t="str">
        <f>'$REV-DB'!$AE$34</f>
        <v>UD12</v>
      </c>
      <c r="AF763" s="867" t="str">
        <f>'$REV-DB'!$AF$34</f>
        <v>UD13</v>
      </c>
      <c r="AG763" s="867" t="str">
        <f>'$REV-DB'!$AG$34</f>
        <v>UD14</v>
      </c>
    </row>
    <row r="764" spans="1:34" s="3" customFormat="1" ht="15.95" customHeight="1" thickTop="1" thickBot="1">
      <c r="A764" s="7"/>
      <c r="B764" s="20" t="s">
        <v>4</v>
      </c>
      <c r="C764" s="15"/>
      <c r="D764" s="861" t="s">
        <v>186</v>
      </c>
      <c r="E764" s="861" t="s">
        <v>187</v>
      </c>
      <c r="F764" s="861" t="s">
        <v>188</v>
      </c>
      <c r="G764" s="861" t="s">
        <v>189</v>
      </c>
      <c r="H764" s="861" t="s">
        <v>11</v>
      </c>
      <c r="I764" s="861" t="s">
        <v>190</v>
      </c>
      <c r="J764" s="861" t="s">
        <v>191</v>
      </c>
      <c r="K764" s="861" t="s">
        <v>192</v>
      </c>
      <c r="L764" s="861" t="s">
        <v>203</v>
      </c>
      <c r="M764" s="861" t="s">
        <v>42</v>
      </c>
      <c r="N764" s="861" t="s">
        <v>148</v>
      </c>
      <c r="O764" s="861" t="s">
        <v>193</v>
      </c>
      <c r="P764" s="861" t="s">
        <v>142</v>
      </c>
      <c r="Q764" s="861" t="s">
        <v>194</v>
      </c>
      <c r="R764" s="112" t="s">
        <v>141</v>
      </c>
      <c r="S764" s="112" t="s">
        <v>672</v>
      </c>
      <c r="T764" s="861" t="s">
        <v>541</v>
      </c>
      <c r="U764" s="861" t="s">
        <v>542</v>
      </c>
      <c r="V764" s="861" t="s">
        <v>543</v>
      </c>
      <c r="W764" s="861" t="s">
        <v>544</v>
      </c>
      <c r="X764" s="861" t="s">
        <v>545</v>
      </c>
      <c r="Y764" s="861" t="s">
        <v>546</v>
      </c>
      <c r="Z764" s="861" t="s">
        <v>547</v>
      </c>
      <c r="AA764" s="861" t="s">
        <v>548</v>
      </c>
      <c r="AB764" s="861" t="s">
        <v>549</v>
      </c>
      <c r="AC764" s="861" t="s">
        <v>550</v>
      </c>
      <c r="AD764" s="861" t="s">
        <v>551</v>
      </c>
      <c r="AE764" s="861" t="s">
        <v>552</v>
      </c>
      <c r="AF764" s="861" t="s">
        <v>553</v>
      </c>
      <c r="AG764" s="861" t="s">
        <v>554</v>
      </c>
      <c r="AH764" s="6"/>
    </row>
    <row r="765" spans="1:34" s="3" customFormat="1" ht="15.95" customHeight="1" thickTop="1">
      <c r="A765" s="7"/>
      <c r="B765" s="19" t="s">
        <v>364</v>
      </c>
      <c r="C765" s="12"/>
      <c r="D765" s="203"/>
      <c r="E765" s="203"/>
      <c r="F765" s="202"/>
      <c r="G765" s="203"/>
      <c r="H765" s="202"/>
      <c r="I765" s="202"/>
      <c r="J765" s="203"/>
      <c r="K765" s="203"/>
      <c r="L765" s="291" t="s">
        <v>34</v>
      </c>
      <c r="M765" s="202"/>
      <c r="N765" s="45" t="str">
        <f>J$6</f>
        <v>FY2010-11</v>
      </c>
      <c r="O765" s="45" t="s">
        <v>156</v>
      </c>
      <c r="P765" s="45" t="s">
        <v>138</v>
      </c>
      <c r="Q765" s="45" t="s">
        <v>70</v>
      </c>
      <c r="R765" s="203"/>
      <c r="S765" s="202"/>
      <c r="T765" s="203"/>
      <c r="U765" s="203"/>
      <c r="V765" s="204"/>
      <c r="W765" s="204"/>
      <c r="X765" s="204"/>
      <c r="Y765" s="204"/>
      <c r="Z765" s="204"/>
      <c r="AA765" s="204"/>
      <c r="AB765" s="204"/>
      <c r="AC765" s="204"/>
      <c r="AD765" s="204"/>
      <c r="AE765" s="204"/>
      <c r="AF765" s="204"/>
      <c r="AG765" s="204"/>
      <c r="AH765" s="6"/>
    </row>
    <row r="766" spans="1:34" s="3" customFormat="1" ht="15.95" customHeight="1">
      <c r="A766" s="7"/>
      <c r="B766" s="16">
        <f>DSUM('$REV-DB'!D35:AG67,"AMOUNT",D764:AG766)</f>
        <v>0</v>
      </c>
      <c r="C766" s="12"/>
      <c r="D766" s="203"/>
      <c r="E766" s="203"/>
      <c r="F766" s="202"/>
      <c r="G766" s="203"/>
      <c r="H766" s="202"/>
      <c r="I766" s="202"/>
      <c r="J766" s="203"/>
      <c r="K766" s="203"/>
      <c r="L766" s="291" t="s">
        <v>34</v>
      </c>
      <c r="M766" s="202"/>
      <c r="N766" s="45" t="str">
        <f>J$6</f>
        <v>FY2010-11</v>
      </c>
      <c r="O766" s="45" t="s">
        <v>156</v>
      </c>
      <c r="P766" s="45" t="s">
        <v>147</v>
      </c>
      <c r="Q766" s="45" t="s">
        <v>70</v>
      </c>
      <c r="R766" s="203"/>
      <c r="S766" s="202" t="s">
        <v>103</v>
      </c>
      <c r="T766" s="203"/>
      <c r="U766" s="203"/>
      <c r="V766" s="204"/>
      <c r="W766" s="204"/>
      <c r="X766" s="204"/>
      <c r="Y766" s="204"/>
      <c r="Z766" s="204"/>
      <c r="AA766" s="204"/>
      <c r="AB766" s="204"/>
      <c r="AC766" s="204"/>
      <c r="AD766" s="204"/>
      <c r="AE766" s="204"/>
      <c r="AF766" s="204"/>
      <c r="AG766" s="204"/>
      <c r="AH766" s="6"/>
    </row>
    <row r="767" spans="1:34" s="3" customFormat="1" ht="15.95" customHeight="1">
      <c r="A767" s="7"/>
      <c r="B767" s="10"/>
      <c r="C767" s="12"/>
      <c r="D767" s="880"/>
      <c r="E767" s="880"/>
      <c r="F767" s="880"/>
      <c r="G767" s="880"/>
      <c r="H767" s="880"/>
      <c r="I767" s="880"/>
      <c r="J767" s="880"/>
      <c r="K767" s="880"/>
      <c r="L767" s="881"/>
      <c r="M767" s="880"/>
      <c r="N767" s="873"/>
      <c r="O767" s="873"/>
      <c r="P767" s="873"/>
      <c r="Q767" s="880"/>
      <c r="R767" s="880"/>
      <c r="S767" s="880"/>
      <c r="T767" s="882"/>
      <c r="U767" s="882"/>
      <c r="V767" s="883"/>
      <c r="W767" s="883"/>
      <c r="X767" s="883"/>
      <c r="Y767" s="883"/>
      <c r="Z767" s="883"/>
      <c r="AA767" s="883"/>
      <c r="AB767" s="883"/>
      <c r="AC767" s="883"/>
      <c r="AD767" s="883"/>
      <c r="AE767" s="883"/>
      <c r="AF767" s="883"/>
      <c r="AG767" s="883"/>
    </row>
    <row r="768" spans="1:34" s="3" customFormat="1" ht="15.95" customHeight="1">
      <c r="A768" s="7"/>
      <c r="B768" s="10"/>
      <c r="C768" s="12"/>
      <c r="D768" s="880"/>
      <c r="E768" s="880"/>
      <c r="F768" s="880"/>
      <c r="G768" s="880"/>
      <c r="H768" s="880"/>
      <c r="I768" s="880"/>
      <c r="J768" s="880"/>
      <c r="K768" s="880"/>
      <c r="L768" s="881"/>
      <c r="M768" s="880"/>
      <c r="N768" s="873"/>
      <c r="O768" s="873"/>
      <c r="P768" s="873"/>
      <c r="Q768" s="880"/>
      <c r="R768" s="880"/>
      <c r="S768" s="880"/>
      <c r="T768" s="882"/>
      <c r="U768" s="882"/>
      <c r="V768" s="883"/>
      <c r="W768" s="883"/>
      <c r="X768" s="883"/>
      <c r="Y768" s="883"/>
      <c r="Z768" s="883"/>
      <c r="AA768" s="883"/>
      <c r="AB768" s="883"/>
      <c r="AC768" s="883"/>
      <c r="AD768" s="883"/>
      <c r="AE768" s="883"/>
      <c r="AF768" s="883"/>
      <c r="AG768" s="883"/>
    </row>
    <row r="769" spans="1:34" s="3" customFormat="1" ht="15.95" customHeight="1">
      <c r="A769" s="7"/>
      <c r="B769" s="10"/>
      <c r="C769" s="12"/>
      <c r="D769" s="880"/>
      <c r="E769" s="880"/>
      <c r="F769" s="880"/>
      <c r="G769" s="880"/>
      <c r="H769" s="880"/>
      <c r="I769" s="880"/>
      <c r="J769" s="880"/>
      <c r="K769" s="880"/>
      <c r="L769" s="881"/>
      <c r="M769" s="880"/>
      <c r="N769" s="873"/>
      <c r="O769" s="873"/>
      <c r="P769" s="873"/>
      <c r="Q769" s="880"/>
      <c r="R769" s="880"/>
      <c r="S769" s="880"/>
      <c r="T769" s="882"/>
      <c r="U769" s="882"/>
      <c r="V769" s="883"/>
      <c r="W769" s="883"/>
      <c r="X769" s="883"/>
      <c r="Y769" s="883"/>
      <c r="Z769" s="883"/>
      <c r="AA769" s="883"/>
      <c r="AB769" s="883"/>
      <c r="AC769" s="883"/>
      <c r="AD769" s="883"/>
      <c r="AE769" s="883"/>
      <c r="AF769" s="883"/>
      <c r="AG769" s="883"/>
    </row>
    <row r="770" spans="1:34" s="3" customFormat="1" ht="15.95" customHeight="1">
      <c r="A770" s="7"/>
      <c r="B770" s="10"/>
      <c r="C770" s="12"/>
      <c r="D770" s="880"/>
      <c r="E770" s="880"/>
      <c r="F770" s="880"/>
      <c r="G770" s="880"/>
      <c r="H770" s="880"/>
      <c r="I770" s="880"/>
      <c r="J770" s="880"/>
      <c r="K770" s="880"/>
      <c r="L770" s="881"/>
      <c r="M770" s="880"/>
      <c r="N770" s="873"/>
      <c r="O770" s="873"/>
      <c r="P770" s="873"/>
      <c r="Q770" s="880"/>
      <c r="R770" s="880"/>
      <c r="S770" s="880"/>
      <c r="T770" s="882"/>
      <c r="U770" s="882"/>
      <c r="V770" s="883"/>
      <c r="W770" s="883"/>
      <c r="X770" s="883"/>
      <c r="Y770" s="883"/>
      <c r="Z770" s="883"/>
      <c r="AA770" s="883"/>
      <c r="AB770" s="883"/>
      <c r="AC770" s="883"/>
      <c r="AD770" s="883"/>
      <c r="AE770" s="883"/>
      <c r="AF770" s="883"/>
      <c r="AG770" s="883"/>
    </row>
    <row r="771" spans="1:34" s="3" customFormat="1" ht="15.95" customHeight="1">
      <c r="A771" s="7"/>
      <c r="B771" s="10"/>
      <c r="C771" s="12"/>
      <c r="D771" s="880"/>
      <c r="E771" s="880"/>
      <c r="F771" s="880"/>
      <c r="G771" s="880"/>
      <c r="H771" s="880"/>
      <c r="I771" s="880"/>
      <c r="J771" s="880"/>
      <c r="K771" s="880"/>
      <c r="L771" s="881"/>
      <c r="M771" s="880"/>
      <c r="N771" s="873"/>
      <c r="O771" s="873"/>
      <c r="P771" s="873"/>
      <c r="Q771" s="880"/>
      <c r="R771" s="880"/>
      <c r="S771" s="880"/>
      <c r="T771" s="882"/>
      <c r="U771" s="882"/>
      <c r="V771" s="883"/>
      <c r="W771" s="883"/>
      <c r="X771" s="883"/>
      <c r="Y771" s="883"/>
      <c r="Z771" s="883"/>
      <c r="AA771" s="883"/>
      <c r="AB771" s="883"/>
      <c r="AC771" s="883"/>
      <c r="AD771" s="883"/>
      <c r="AE771" s="883"/>
      <c r="AF771" s="883"/>
      <c r="AG771" s="883"/>
    </row>
    <row r="772" spans="1:34" s="3" customFormat="1" ht="15.95" customHeight="1">
      <c r="A772" s="44"/>
      <c r="B772" s="41"/>
      <c r="C772" s="41"/>
      <c r="D772" s="42"/>
      <c r="E772" s="42"/>
      <c r="F772" s="43"/>
      <c r="G772" s="42"/>
      <c r="H772" s="43"/>
      <c r="I772" s="43"/>
      <c r="J772" s="42"/>
      <c r="K772" s="42"/>
      <c r="L772" s="290"/>
      <c r="M772" s="43"/>
      <c r="N772" s="43"/>
      <c r="O772" s="42"/>
      <c r="P772" s="43"/>
      <c r="Q772" s="43"/>
      <c r="R772" s="42"/>
      <c r="S772" s="43"/>
      <c r="T772" s="42"/>
      <c r="U772" s="42"/>
      <c r="V772" s="44"/>
      <c r="W772" s="44"/>
      <c r="X772" s="44"/>
      <c r="Y772" s="44"/>
      <c r="Z772" s="44"/>
      <c r="AA772" s="44"/>
      <c r="AB772" s="44"/>
      <c r="AC772" s="44"/>
      <c r="AD772" s="44"/>
      <c r="AE772" s="44"/>
      <c r="AF772" s="44"/>
      <c r="AG772" s="44"/>
    </row>
    <row r="773" spans="1:34" s="3" customFormat="1"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66"/>
      <c r="T773" s="867" t="str">
        <f>'$REV-DB'!$T$34</f>
        <v>UD1</v>
      </c>
      <c r="U773" s="867" t="str">
        <f>'$REV-DB'!$U$34</f>
        <v>UD2</v>
      </c>
      <c r="V773" s="867" t="str">
        <f>'$REV-DB'!$V$34</f>
        <v>UD3</v>
      </c>
      <c r="W773" s="867" t="str">
        <f>'$REV-DB'!$W$34</f>
        <v>UD4</v>
      </c>
      <c r="X773" s="867" t="str">
        <f>'$REV-DB'!$X$34</f>
        <v>UD5</v>
      </c>
      <c r="Y773" s="867" t="str">
        <f>'$REV-DB'!$Y$34</f>
        <v>UD6</v>
      </c>
      <c r="Z773" s="867" t="str">
        <f>'$REV-DB'!$Z$34</f>
        <v>UD7</v>
      </c>
      <c r="AA773" s="867" t="str">
        <f>'$REV-DB'!$AA$34</f>
        <v>UD8</v>
      </c>
      <c r="AB773" s="867" t="str">
        <f>'$REV-DB'!$AB$34</f>
        <v>UD9</v>
      </c>
      <c r="AC773" s="867" t="str">
        <f>'$REV-DB'!$AC$34</f>
        <v>UD10</v>
      </c>
      <c r="AD773" s="867" t="str">
        <f>'$REV-DB'!$AD$34</f>
        <v>UD11</v>
      </c>
      <c r="AE773" s="867" t="str">
        <f>'$REV-DB'!$AE$34</f>
        <v>UD12</v>
      </c>
      <c r="AF773" s="867" t="str">
        <f>'$REV-DB'!$AF$34</f>
        <v>UD13</v>
      </c>
      <c r="AG773" s="867" t="str">
        <f>'$REV-DB'!$AG$34</f>
        <v>UD14</v>
      </c>
    </row>
    <row r="774" spans="1:34" s="3" customFormat="1" ht="15.95" customHeight="1" thickTop="1" thickBot="1">
      <c r="A774" s="7"/>
      <c r="B774" s="20" t="s">
        <v>4</v>
      </c>
      <c r="C774" s="15"/>
      <c r="D774" s="861" t="s">
        <v>186</v>
      </c>
      <c r="E774" s="861" t="s">
        <v>187</v>
      </c>
      <c r="F774" s="861" t="s">
        <v>188</v>
      </c>
      <c r="G774" s="861" t="s">
        <v>189</v>
      </c>
      <c r="H774" s="861" t="s">
        <v>11</v>
      </c>
      <c r="I774" s="861" t="s">
        <v>190</v>
      </c>
      <c r="J774" s="861" t="s">
        <v>191</v>
      </c>
      <c r="K774" s="861" t="s">
        <v>192</v>
      </c>
      <c r="L774" s="861" t="s">
        <v>203</v>
      </c>
      <c r="M774" s="861" t="s">
        <v>42</v>
      </c>
      <c r="N774" s="861" t="s">
        <v>148</v>
      </c>
      <c r="O774" s="861" t="s">
        <v>193</v>
      </c>
      <c r="P774" s="861" t="s">
        <v>142</v>
      </c>
      <c r="Q774" s="861" t="s">
        <v>194</v>
      </c>
      <c r="R774" s="112" t="s">
        <v>141</v>
      </c>
      <c r="S774" s="112" t="s">
        <v>672</v>
      </c>
      <c r="T774" s="861" t="s">
        <v>541</v>
      </c>
      <c r="U774" s="861" t="s">
        <v>542</v>
      </c>
      <c r="V774" s="861" t="s">
        <v>543</v>
      </c>
      <c r="W774" s="861" t="s">
        <v>544</v>
      </c>
      <c r="X774" s="861" t="s">
        <v>545</v>
      </c>
      <c r="Y774" s="861" t="s">
        <v>546</v>
      </c>
      <c r="Z774" s="861" t="s">
        <v>547</v>
      </c>
      <c r="AA774" s="861" t="s">
        <v>548</v>
      </c>
      <c r="AB774" s="861" t="s">
        <v>549</v>
      </c>
      <c r="AC774" s="861" t="s">
        <v>550</v>
      </c>
      <c r="AD774" s="861" t="s">
        <v>551</v>
      </c>
      <c r="AE774" s="861" t="s">
        <v>552</v>
      </c>
      <c r="AF774" s="861" t="s">
        <v>553</v>
      </c>
      <c r="AG774" s="861" t="s">
        <v>554</v>
      </c>
      <c r="AH774" s="6"/>
    </row>
    <row r="775" spans="1:34" s="3" customFormat="1" ht="15.95" customHeight="1" thickTop="1">
      <c r="A775" s="7"/>
      <c r="B775" s="19" t="s">
        <v>150</v>
      </c>
      <c r="C775" s="12"/>
      <c r="D775" s="203"/>
      <c r="E775" s="203"/>
      <c r="F775" s="202"/>
      <c r="G775" s="203"/>
      <c r="H775" s="202"/>
      <c r="I775" s="202"/>
      <c r="J775" s="203"/>
      <c r="K775" s="203"/>
      <c r="L775" s="291" t="s">
        <v>34</v>
      </c>
      <c r="M775" s="202"/>
      <c r="N775" s="45" t="str">
        <f>J$6</f>
        <v>FY2010-11</v>
      </c>
      <c r="O775" s="45" t="s">
        <v>156</v>
      </c>
      <c r="P775" s="45" t="s">
        <v>138</v>
      </c>
      <c r="Q775" s="45" t="s">
        <v>140</v>
      </c>
      <c r="R775" s="203"/>
      <c r="S775" s="202"/>
      <c r="T775" s="203"/>
      <c r="U775" s="203"/>
      <c r="V775" s="204"/>
      <c r="W775" s="204"/>
      <c r="X775" s="204"/>
      <c r="Y775" s="204"/>
      <c r="Z775" s="204"/>
      <c r="AA775" s="204"/>
      <c r="AB775" s="204"/>
      <c r="AC775" s="204"/>
      <c r="AD775" s="204"/>
      <c r="AE775" s="204"/>
      <c r="AF775" s="204"/>
      <c r="AG775" s="204"/>
      <c r="AH775" s="6"/>
    </row>
    <row r="776" spans="1:34" s="3" customFormat="1" ht="15.95" customHeight="1">
      <c r="A776" s="7"/>
      <c r="B776" s="16">
        <f>DSUM('$REV-DB'!D35:AG67,"AMOUNT",D774:AG776)</f>
        <v>0</v>
      </c>
      <c r="C776" s="12"/>
      <c r="D776" s="203"/>
      <c r="E776" s="203"/>
      <c r="F776" s="202"/>
      <c r="G776" s="203"/>
      <c r="H776" s="202"/>
      <c r="I776" s="202"/>
      <c r="J776" s="203"/>
      <c r="K776" s="203"/>
      <c r="L776" s="291" t="s">
        <v>34</v>
      </c>
      <c r="M776" s="202"/>
      <c r="N776" s="45" t="str">
        <f>J$6</f>
        <v>FY2010-11</v>
      </c>
      <c r="O776" s="45" t="s">
        <v>156</v>
      </c>
      <c r="P776" s="45" t="s">
        <v>147</v>
      </c>
      <c r="Q776" s="45" t="s">
        <v>140</v>
      </c>
      <c r="R776" s="203"/>
      <c r="S776" s="202" t="s">
        <v>103</v>
      </c>
      <c r="T776" s="203"/>
      <c r="U776" s="203"/>
      <c r="V776" s="204"/>
      <c r="W776" s="204"/>
      <c r="X776" s="204"/>
      <c r="Y776" s="204"/>
      <c r="Z776" s="204"/>
      <c r="AA776" s="204"/>
      <c r="AB776" s="204"/>
      <c r="AC776" s="204"/>
      <c r="AD776" s="204"/>
      <c r="AE776" s="204"/>
      <c r="AF776" s="204"/>
      <c r="AG776" s="204"/>
      <c r="AH776" s="6"/>
    </row>
    <row r="777" spans="1:34" s="3" customFormat="1" ht="15.95" customHeight="1">
      <c r="A777" s="7"/>
      <c r="B777" s="10"/>
      <c r="C777" s="12"/>
      <c r="D777" s="880"/>
      <c r="E777" s="880"/>
      <c r="F777" s="880"/>
      <c r="G777" s="880"/>
      <c r="H777" s="880"/>
      <c r="I777" s="880"/>
      <c r="J777" s="880"/>
      <c r="K777" s="880"/>
      <c r="L777" s="881"/>
      <c r="M777" s="880"/>
      <c r="N777" s="873"/>
      <c r="O777" s="873"/>
      <c r="P777" s="873"/>
      <c r="Q777" s="880"/>
      <c r="R777" s="880"/>
      <c r="S777" s="880"/>
      <c r="T777" s="882"/>
      <c r="U777" s="882"/>
      <c r="V777" s="883"/>
      <c r="W777" s="883"/>
      <c r="X777" s="883"/>
      <c r="Y777" s="883"/>
      <c r="Z777" s="883"/>
      <c r="AA777" s="883"/>
      <c r="AB777" s="883"/>
      <c r="AC777" s="883"/>
      <c r="AD777" s="883"/>
      <c r="AE777" s="883"/>
      <c r="AF777" s="883"/>
      <c r="AG777" s="883"/>
    </row>
    <row r="778" spans="1:34" s="3" customFormat="1" ht="15.95" customHeight="1">
      <c r="A778" s="7"/>
      <c r="B778" s="10"/>
      <c r="C778" s="12"/>
      <c r="D778" s="880"/>
      <c r="E778" s="880"/>
      <c r="F778" s="880"/>
      <c r="G778" s="880"/>
      <c r="H778" s="880"/>
      <c r="I778" s="880"/>
      <c r="J778" s="880"/>
      <c r="K778" s="880"/>
      <c r="L778" s="881"/>
      <c r="M778" s="880"/>
      <c r="N778" s="873"/>
      <c r="O778" s="873"/>
      <c r="P778" s="873"/>
      <c r="Q778" s="880"/>
      <c r="R778" s="880"/>
      <c r="S778" s="880"/>
      <c r="T778" s="882"/>
      <c r="U778" s="882"/>
      <c r="V778" s="883"/>
      <c r="W778" s="883"/>
      <c r="X778" s="883"/>
      <c r="Y778" s="883"/>
      <c r="Z778" s="883"/>
      <c r="AA778" s="883"/>
      <c r="AB778" s="883"/>
      <c r="AC778" s="883"/>
      <c r="AD778" s="883"/>
      <c r="AE778" s="883"/>
      <c r="AF778" s="883"/>
      <c r="AG778" s="883"/>
    </row>
    <row r="779" spans="1:34" s="3" customFormat="1" ht="15.95" customHeight="1">
      <c r="A779" s="7"/>
      <c r="B779" s="10"/>
      <c r="C779" s="12"/>
      <c r="D779" s="880"/>
      <c r="E779" s="880"/>
      <c r="F779" s="880"/>
      <c r="G779" s="880"/>
      <c r="H779" s="880"/>
      <c r="I779" s="880"/>
      <c r="J779" s="880"/>
      <c r="K779" s="880"/>
      <c r="L779" s="881"/>
      <c r="M779" s="880"/>
      <c r="N779" s="873"/>
      <c r="O779" s="873"/>
      <c r="P779" s="873"/>
      <c r="Q779" s="880"/>
      <c r="R779" s="880"/>
      <c r="S779" s="880"/>
      <c r="T779" s="882"/>
      <c r="U779" s="882"/>
      <c r="V779" s="883"/>
      <c r="W779" s="883"/>
      <c r="X779" s="883"/>
      <c r="Y779" s="883"/>
      <c r="Z779" s="883"/>
      <c r="AA779" s="883"/>
      <c r="AB779" s="883"/>
      <c r="AC779" s="883"/>
      <c r="AD779" s="883"/>
      <c r="AE779" s="883"/>
      <c r="AF779" s="883"/>
      <c r="AG779" s="883"/>
    </row>
    <row r="780" spans="1:34" s="3" customFormat="1" ht="15.95" customHeight="1">
      <c r="A780" s="7"/>
      <c r="B780" s="10"/>
      <c r="C780" s="12"/>
      <c r="D780" s="880"/>
      <c r="E780" s="880"/>
      <c r="F780" s="880"/>
      <c r="G780" s="880"/>
      <c r="H780" s="880"/>
      <c r="I780" s="880"/>
      <c r="J780" s="880"/>
      <c r="K780" s="880"/>
      <c r="L780" s="881"/>
      <c r="M780" s="880"/>
      <c r="N780" s="873"/>
      <c r="O780" s="873"/>
      <c r="P780" s="873"/>
      <c r="Q780" s="880"/>
      <c r="R780" s="880"/>
      <c r="S780" s="880"/>
      <c r="T780" s="882"/>
      <c r="U780" s="882"/>
      <c r="V780" s="883"/>
      <c r="W780" s="883"/>
      <c r="X780" s="883"/>
      <c r="Y780" s="883"/>
      <c r="Z780" s="883"/>
      <c r="AA780" s="883"/>
      <c r="AB780" s="883"/>
      <c r="AC780" s="883"/>
      <c r="AD780" s="883"/>
      <c r="AE780" s="883"/>
      <c r="AF780" s="883"/>
      <c r="AG780" s="883"/>
    </row>
    <row r="781" spans="1:34" s="3" customFormat="1" ht="15.95" customHeight="1">
      <c r="A781" s="7"/>
      <c r="B781" s="10"/>
      <c r="C781" s="12"/>
      <c r="D781" s="880"/>
      <c r="E781" s="880"/>
      <c r="F781" s="880"/>
      <c r="G781" s="880"/>
      <c r="H781" s="880"/>
      <c r="I781" s="880"/>
      <c r="J781" s="880"/>
      <c r="K781" s="880"/>
      <c r="L781" s="881"/>
      <c r="M781" s="880"/>
      <c r="N781" s="873"/>
      <c r="O781" s="873"/>
      <c r="P781" s="873"/>
      <c r="Q781" s="880"/>
      <c r="R781" s="880"/>
      <c r="S781" s="880"/>
      <c r="T781" s="882"/>
      <c r="U781" s="882"/>
      <c r="V781" s="883"/>
      <c r="W781" s="883"/>
      <c r="X781" s="883"/>
      <c r="Y781" s="883"/>
      <c r="Z781" s="883"/>
      <c r="AA781" s="883"/>
      <c r="AB781" s="883"/>
      <c r="AC781" s="883"/>
      <c r="AD781" s="883"/>
      <c r="AE781" s="883"/>
      <c r="AF781" s="883"/>
      <c r="AG781" s="883"/>
    </row>
    <row r="782" spans="1:34" s="3" customFormat="1" ht="15.95" customHeight="1">
      <c r="A782" s="44"/>
      <c r="B782" s="41"/>
      <c r="C782" s="41"/>
      <c r="D782" s="42"/>
      <c r="E782" s="42"/>
      <c r="F782" s="43"/>
      <c r="G782" s="42"/>
      <c r="H782" s="43"/>
      <c r="I782" s="43"/>
      <c r="J782" s="42"/>
      <c r="K782" s="42"/>
      <c r="L782" s="290"/>
      <c r="M782" s="43"/>
      <c r="N782" s="43"/>
      <c r="O782" s="42"/>
      <c r="P782" s="43"/>
      <c r="Q782" s="43"/>
      <c r="R782" s="42"/>
      <c r="S782" s="43"/>
      <c r="T782" s="42"/>
      <c r="U782" s="42"/>
      <c r="V782" s="44"/>
      <c r="W782" s="44"/>
      <c r="X782" s="44"/>
      <c r="Y782" s="44"/>
      <c r="Z782" s="44"/>
      <c r="AA782" s="44"/>
      <c r="AB782" s="44"/>
      <c r="AC782" s="44"/>
      <c r="AD782" s="44"/>
      <c r="AE782" s="44"/>
      <c r="AF782" s="44"/>
      <c r="AG782" s="44"/>
    </row>
    <row r="783" spans="1:34" s="3" customFormat="1"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66"/>
      <c r="T783" s="867" t="str">
        <f>'$REV-DB'!$T$34</f>
        <v>UD1</v>
      </c>
      <c r="U783" s="867" t="str">
        <f>'$REV-DB'!$U$34</f>
        <v>UD2</v>
      </c>
      <c r="V783" s="867" t="str">
        <f>'$REV-DB'!$V$34</f>
        <v>UD3</v>
      </c>
      <c r="W783" s="867" t="str">
        <f>'$REV-DB'!$W$34</f>
        <v>UD4</v>
      </c>
      <c r="X783" s="867" t="str">
        <f>'$REV-DB'!$X$34</f>
        <v>UD5</v>
      </c>
      <c r="Y783" s="867" t="str">
        <f>'$REV-DB'!$Y$34</f>
        <v>UD6</v>
      </c>
      <c r="Z783" s="867" t="str">
        <f>'$REV-DB'!$Z$34</f>
        <v>UD7</v>
      </c>
      <c r="AA783" s="867" t="str">
        <f>'$REV-DB'!$AA$34</f>
        <v>UD8</v>
      </c>
      <c r="AB783" s="867" t="str">
        <f>'$REV-DB'!$AB$34</f>
        <v>UD9</v>
      </c>
      <c r="AC783" s="867" t="str">
        <f>'$REV-DB'!$AC$34</f>
        <v>UD10</v>
      </c>
      <c r="AD783" s="867" t="str">
        <f>'$REV-DB'!$AD$34</f>
        <v>UD11</v>
      </c>
      <c r="AE783" s="867" t="str">
        <f>'$REV-DB'!$AE$34</f>
        <v>UD12</v>
      </c>
      <c r="AF783" s="867" t="str">
        <f>'$REV-DB'!$AF$34</f>
        <v>UD13</v>
      </c>
      <c r="AG783" s="867" t="str">
        <f>'$REV-DB'!$AG$34</f>
        <v>UD14</v>
      </c>
    </row>
    <row r="784" spans="1:34" s="3" customFormat="1" ht="15.95" customHeight="1" thickTop="1" thickBot="1">
      <c r="A784" s="7"/>
      <c r="B784" s="20" t="s">
        <v>175</v>
      </c>
      <c r="C784" s="15"/>
      <c r="D784" s="861" t="s">
        <v>186</v>
      </c>
      <c r="E784" s="861" t="s">
        <v>187</v>
      </c>
      <c r="F784" s="861" t="s">
        <v>188</v>
      </c>
      <c r="G784" s="861" t="s">
        <v>189</v>
      </c>
      <c r="H784" s="861" t="s">
        <v>11</v>
      </c>
      <c r="I784" s="861" t="s">
        <v>190</v>
      </c>
      <c r="J784" s="861" t="s">
        <v>191</v>
      </c>
      <c r="K784" s="861" t="s">
        <v>192</v>
      </c>
      <c r="L784" s="861" t="s">
        <v>203</v>
      </c>
      <c r="M784" s="861" t="s">
        <v>42</v>
      </c>
      <c r="N784" s="861" t="s">
        <v>148</v>
      </c>
      <c r="O784" s="861" t="s">
        <v>193</v>
      </c>
      <c r="P784" s="861" t="s">
        <v>142</v>
      </c>
      <c r="Q784" s="861" t="s">
        <v>194</v>
      </c>
      <c r="R784" s="112" t="s">
        <v>141</v>
      </c>
      <c r="S784" s="112" t="s">
        <v>672</v>
      </c>
      <c r="T784" s="861" t="s">
        <v>541</v>
      </c>
      <c r="U784" s="861" t="s">
        <v>542</v>
      </c>
      <c r="V784" s="861" t="s">
        <v>543</v>
      </c>
      <c r="W784" s="861" t="s">
        <v>544</v>
      </c>
      <c r="X784" s="861" t="s">
        <v>545</v>
      </c>
      <c r="Y784" s="861" t="s">
        <v>546</v>
      </c>
      <c r="Z784" s="861" t="s">
        <v>547</v>
      </c>
      <c r="AA784" s="861" t="s">
        <v>548</v>
      </c>
      <c r="AB784" s="861" t="s">
        <v>549</v>
      </c>
      <c r="AC784" s="861" t="s">
        <v>550</v>
      </c>
      <c r="AD784" s="861" t="s">
        <v>551</v>
      </c>
      <c r="AE784" s="861" t="s">
        <v>552</v>
      </c>
      <c r="AF784" s="861" t="s">
        <v>553</v>
      </c>
      <c r="AG784" s="861" t="s">
        <v>554</v>
      </c>
      <c r="AH784" s="6"/>
    </row>
    <row r="785" spans="1:34" s="3" customFormat="1" ht="15.95" customHeight="1" thickTop="1">
      <c r="A785" s="7"/>
      <c r="B785" s="19" t="s">
        <v>146</v>
      </c>
      <c r="C785" s="12"/>
      <c r="D785" s="203"/>
      <c r="E785" s="203"/>
      <c r="F785" s="202"/>
      <c r="G785" s="203"/>
      <c r="H785" s="202"/>
      <c r="I785" s="202"/>
      <c r="J785" s="203"/>
      <c r="K785" s="203"/>
      <c r="L785" s="291" t="s">
        <v>34</v>
      </c>
      <c r="M785" s="202"/>
      <c r="N785" s="45" t="str">
        <f>J$6</f>
        <v>FY2010-11</v>
      </c>
      <c r="O785" s="45" t="s">
        <v>156</v>
      </c>
      <c r="P785" s="45" t="s">
        <v>147</v>
      </c>
      <c r="Q785" s="45"/>
      <c r="R785" s="203"/>
      <c r="S785" s="202" t="s">
        <v>611</v>
      </c>
      <c r="T785" s="203"/>
      <c r="U785" s="203"/>
      <c r="V785" s="204"/>
      <c r="W785" s="204"/>
      <c r="X785" s="204"/>
      <c r="Y785" s="204"/>
      <c r="Z785" s="204"/>
      <c r="AA785" s="204"/>
      <c r="AB785" s="204"/>
      <c r="AC785" s="204"/>
      <c r="AD785" s="204"/>
      <c r="AE785" s="204"/>
      <c r="AF785" s="204"/>
      <c r="AG785" s="204"/>
      <c r="AH785" s="6"/>
    </row>
    <row r="786" spans="1:34" s="3" customFormat="1" ht="15.95" customHeight="1">
      <c r="A786" s="7"/>
      <c r="B786" s="16">
        <f>DSUM('$REV-DB'!D35:AG67,"AMOUNT",D784:AG785)</f>
        <v>0</v>
      </c>
      <c r="C786" s="12"/>
      <c r="D786" s="880"/>
      <c r="E786" s="880"/>
      <c r="F786" s="880"/>
      <c r="G786" s="880"/>
      <c r="H786" s="880"/>
      <c r="I786" s="880"/>
      <c r="J786" s="880"/>
      <c r="K786" s="880"/>
      <c r="L786" s="881"/>
      <c r="M786" s="880"/>
      <c r="N786" s="873"/>
      <c r="O786" s="880"/>
      <c r="P786" s="873"/>
      <c r="Q786" s="884"/>
      <c r="R786" s="880"/>
      <c r="S786" s="880"/>
      <c r="T786" s="882"/>
      <c r="U786" s="882"/>
      <c r="V786" s="883"/>
      <c r="W786" s="883"/>
      <c r="X786" s="883"/>
      <c r="Y786" s="883"/>
      <c r="Z786" s="883"/>
      <c r="AA786" s="883"/>
      <c r="AB786" s="883"/>
      <c r="AC786" s="883"/>
      <c r="AD786" s="883"/>
      <c r="AE786" s="883"/>
      <c r="AF786" s="883"/>
      <c r="AG786" s="883"/>
      <c r="AH786" s="6"/>
    </row>
    <row r="787" spans="1:34" s="3" customFormat="1" ht="15.95" customHeight="1">
      <c r="A787" s="7"/>
      <c r="B787" s="10"/>
      <c r="C787" s="12"/>
      <c r="D787" s="880"/>
      <c r="E787" s="880"/>
      <c r="F787" s="880"/>
      <c r="G787" s="880"/>
      <c r="H787" s="880"/>
      <c r="I787" s="880"/>
      <c r="J787" s="880"/>
      <c r="K787" s="880"/>
      <c r="L787" s="881"/>
      <c r="M787" s="880"/>
      <c r="N787" s="873"/>
      <c r="O787" s="880"/>
      <c r="P787" s="873"/>
      <c r="Q787" s="884"/>
      <c r="R787" s="880"/>
      <c r="S787" s="880"/>
      <c r="T787" s="882"/>
      <c r="U787" s="882"/>
      <c r="V787" s="883"/>
      <c r="W787" s="883"/>
      <c r="X787" s="883"/>
      <c r="Y787" s="883"/>
      <c r="Z787" s="883"/>
      <c r="AA787" s="883"/>
      <c r="AB787" s="883"/>
      <c r="AC787" s="883"/>
      <c r="AD787" s="883"/>
      <c r="AE787" s="883"/>
      <c r="AF787" s="883"/>
      <c r="AG787" s="883"/>
    </row>
    <row r="788" spans="1:34" s="3" customFormat="1" ht="15.95" customHeight="1">
      <c r="A788" s="7"/>
      <c r="B788" s="10"/>
      <c r="C788" s="12"/>
      <c r="D788" s="880"/>
      <c r="E788" s="880"/>
      <c r="F788" s="880"/>
      <c r="G788" s="880"/>
      <c r="H788" s="880"/>
      <c r="I788" s="880"/>
      <c r="J788" s="880"/>
      <c r="K788" s="880"/>
      <c r="L788" s="881"/>
      <c r="M788" s="880"/>
      <c r="N788" s="873"/>
      <c r="O788" s="880"/>
      <c r="P788" s="873"/>
      <c r="Q788" s="884"/>
      <c r="R788" s="880"/>
      <c r="S788" s="880"/>
      <c r="T788" s="882"/>
      <c r="U788" s="882"/>
      <c r="V788" s="883"/>
      <c r="W788" s="883"/>
      <c r="X788" s="883"/>
      <c r="Y788" s="883"/>
      <c r="Z788" s="883"/>
      <c r="AA788" s="883"/>
      <c r="AB788" s="883"/>
      <c r="AC788" s="883"/>
      <c r="AD788" s="883"/>
      <c r="AE788" s="883"/>
      <c r="AF788" s="883"/>
      <c r="AG788" s="883"/>
    </row>
    <row r="789" spans="1:34" s="3" customFormat="1" ht="15.95" customHeight="1">
      <c r="A789" s="7"/>
      <c r="B789" s="10"/>
      <c r="C789" s="12"/>
      <c r="D789" s="880"/>
      <c r="E789" s="880"/>
      <c r="F789" s="880"/>
      <c r="G789" s="880"/>
      <c r="H789" s="880"/>
      <c r="I789" s="880"/>
      <c r="J789" s="880"/>
      <c r="K789" s="880"/>
      <c r="L789" s="881"/>
      <c r="M789" s="880"/>
      <c r="N789" s="873"/>
      <c r="O789" s="880"/>
      <c r="P789" s="873"/>
      <c r="Q789" s="884"/>
      <c r="R789" s="880"/>
      <c r="S789" s="880"/>
      <c r="T789" s="882"/>
      <c r="U789" s="882"/>
      <c r="V789" s="883"/>
      <c r="W789" s="883"/>
      <c r="X789" s="883"/>
      <c r="Y789" s="883"/>
      <c r="Z789" s="883"/>
      <c r="AA789" s="883"/>
      <c r="AB789" s="883"/>
      <c r="AC789" s="883"/>
      <c r="AD789" s="883"/>
      <c r="AE789" s="883"/>
      <c r="AF789" s="883"/>
      <c r="AG789" s="883"/>
    </row>
    <row r="790" spans="1:34" s="3" customFormat="1" ht="15.95" customHeight="1">
      <c r="A790" s="7"/>
      <c r="B790" s="10"/>
      <c r="C790" s="12"/>
      <c r="D790" s="880"/>
      <c r="E790" s="880"/>
      <c r="F790" s="880"/>
      <c r="G790" s="880"/>
      <c r="H790" s="880"/>
      <c r="I790" s="880"/>
      <c r="J790" s="880"/>
      <c r="K790" s="880"/>
      <c r="L790" s="881"/>
      <c r="M790" s="880"/>
      <c r="N790" s="873"/>
      <c r="O790" s="880"/>
      <c r="P790" s="873"/>
      <c r="Q790" s="884"/>
      <c r="R790" s="880"/>
      <c r="S790" s="880"/>
      <c r="T790" s="882"/>
      <c r="U790" s="882"/>
      <c r="V790" s="883"/>
      <c r="W790" s="883"/>
      <c r="X790" s="883"/>
      <c r="Y790" s="883"/>
      <c r="Z790" s="883"/>
      <c r="AA790" s="883"/>
      <c r="AB790" s="883"/>
      <c r="AC790" s="883"/>
      <c r="AD790" s="883"/>
      <c r="AE790" s="883"/>
      <c r="AF790" s="883"/>
      <c r="AG790" s="883"/>
    </row>
    <row r="791" spans="1:34" s="3" customFormat="1" ht="15.95" customHeight="1">
      <c r="A791" s="7"/>
      <c r="B791" s="10"/>
      <c r="C791" s="12"/>
      <c r="D791" s="880"/>
      <c r="E791" s="880"/>
      <c r="F791" s="880"/>
      <c r="G791" s="880"/>
      <c r="H791" s="880"/>
      <c r="I791" s="880"/>
      <c r="J791" s="880"/>
      <c r="K791" s="880"/>
      <c r="L791" s="881"/>
      <c r="M791" s="880"/>
      <c r="N791" s="873"/>
      <c r="O791" s="880"/>
      <c r="P791" s="873"/>
      <c r="Q791" s="884"/>
      <c r="R791" s="880"/>
      <c r="S791" s="880"/>
      <c r="T791" s="882"/>
      <c r="U791" s="882"/>
      <c r="V791" s="883"/>
      <c r="W791" s="883"/>
      <c r="X791" s="883"/>
      <c r="Y791" s="883"/>
      <c r="Z791" s="883"/>
      <c r="AA791" s="883"/>
      <c r="AB791" s="883"/>
      <c r="AC791" s="883"/>
      <c r="AD791" s="883"/>
      <c r="AE791" s="883"/>
      <c r="AF791" s="883"/>
      <c r="AG791" s="883"/>
    </row>
    <row r="792" spans="1:34" s="3" customFormat="1" ht="15.95" customHeight="1">
      <c r="A792" s="44"/>
      <c r="B792" s="41"/>
      <c r="C792" s="41"/>
      <c r="D792" s="42"/>
      <c r="E792" s="42"/>
      <c r="F792" s="43"/>
      <c r="G792" s="42"/>
      <c r="H792" s="43"/>
      <c r="I792" s="43"/>
      <c r="J792" s="42"/>
      <c r="K792" s="42"/>
      <c r="L792" s="290"/>
      <c r="M792" s="43"/>
      <c r="N792" s="43"/>
      <c r="O792" s="42"/>
      <c r="P792" s="43"/>
      <c r="Q792" s="43"/>
      <c r="R792" s="42"/>
      <c r="S792" s="43"/>
      <c r="T792" s="42"/>
      <c r="U792" s="42"/>
      <c r="V792" s="44"/>
      <c r="W792" s="44"/>
      <c r="X792" s="44"/>
      <c r="Y792" s="44"/>
      <c r="Z792" s="44"/>
      <c r="AA792" s="44"/>
      <c r="AB792" s="44"/>
      <c r="AC792" s="44"/>
      <c r="AD792" s="44"/>
      <c r="AE792" s="44"/>
      <c r="AF792" s="44"/>
      <c r="AG792" s="44"/>
    </row>
    <row r="793" spans="1:34" s="3" customFormat="1"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66"/>
      <c r="T793" s="867" t="str">
        <f>'$REV-DB'!$T$34</f>
        <v>UD1</v>
      </c>
      <c r="U793" s="867" t="str">
        <f>'$REV-DB'!$U$34</f>
        <v>UD2</v>
      </c>
      <c r="V793" s="867" t="str">
        <f>'$REV-DB'!$V$34</f>
        <v>UD3</v>
      </c>
      <c r="W793" s="867" t="str">
        <f>'$REV-DB'!$W$34</f>
        <v>UD4</v>
      </c>
      <c r="X793" s="867" t="str">
        <f>'$REV-DB'!$X$34</f>
        <v>UD5</v>
      </c>
      <c r="Y793" s="867" t="str">
        <f>'$REV-DB'!$Y$34</f>
        <v>UD6</v>
      </c>
      <c r="Z793" s="867" t="str">
        <f>'$REV-DB'!$Z$34</f>
        <v>UD7</v>
      </c>
      <c r="AA793" s="867" t="str">
        <f>'$REV-DB'!$AA$34</f>
        <v>UD8</v>
      </c>
      <c r="AB793" s="867" t="str">
        <f>'$REV-DB'!$AB$34</f>
        <v>UD9</v>
      </c>
      <c r="AC793" s="867" t="str">
        <f>'$REV-DB'!$AC$34</f>
        <v>UD10</v>
      </c>
      <c r="AD793" s="867" t="str">
        <f>'$REV-DB'!$AD$34</f>
        <v>UD11</v>
      </c>
      <c r="AE793" s="867" t="str">
        <f>'$REV-DB'!$AE$34</f>
        <v>UD12</v>
      </c>
      <c r="AF793" s="867" t="str">
        <f>'$REV-DB'!$AF$34</f>
        <v>UD13</v>
      </c>
      <c r="AG793" s="867" t="str">
        <f>'$REV-DB'!$AG$34</f>
        <v>UD14</v>
      </c>
    </row>
    <row r="794" spans="1:34" s="3" customFormat="1" ht="15.95" customHeight="1" thickTop="1" thickBot="1">
      <c r="A794" s="7"/>
      <c r="B794" s="20" t="s">
        <v>175</v>
      </c>
      <c r="C794" s="15"/>
      <c r="D794" s="861" t="s">
        <v>186</v>
      </c>
      <c r="E794" s="861" t="s">
        <v>187</v>
      </c>
      <c r="F794" s="861" t="s">
        <v>188</v>
      </c>
      <c r="G794" s="861" t="s">
        <v>189</v>
      </c>
      <c r="H794" s="861" t="s">
        <v>11</v>
      </c>
      <c r="I794" s="861" t="s">
        <v>190</v>
      </c>
      <c r="J794" s="861" t="s">
        <v>191</v>
      </c>
      <c r="K794" s="861" t="s">
        <v>192</v>
      </c>
      <c r="L794" s="861" t="s">
        <v>203</v>
      </c>
      <c r="M794" s="861" t="s">
        <v>42</v>
      </c>
      <c r="N794" s="861" t="s">
        <v>148</v>
      </c>
      <c r="O794" s="861" t="s">
        <v>193</v>
      </c>
      <c r="P794" s="861" t="s">
        <v>142</v>
      </c>
      <c r="Q794" s="861" t="s">
        <v>194</v>
      </c>
      <c r="R794" s="112" t="s">
        <v>141</v>
      </c>
      <c r="S794" s="112" t="s">
        <v>672</v>
      </c>
      <c r="T794" s="861" t="s">
        <v>541</v>
      </c>
      <c r="U794" s="861" t="s">
        <v>542</v>
      </c>
      <c r="V794" s="861" t="s">
        <v>543</v>
      </c>
      <c r="W794" s="861" t="s">
        <v>544</v>
      </c>
      <c r="X794" s="861" t="s">
        <v>545</v>
      </c>
      <c r="Y794" s="861" t="s">
        <v>546</v>
      </c>
      <c r="Z794" s="861" t="s">
        <v>547</v>
      </c>
      <c r="AA794" s="861" t="s">
        <v>548</v>
      </c>
      <c r="AB794" s="861" t="s">
        <v>549</v>
      </c>
      <c r="AC794" s="861" t="s">
        <v>550</v>
      </c>
      <c r="AD794" s="861" t="s">
        <v>551</v>
      </c>
      <c r="AE794" s="861" t="s">
        <v>552</v>
      </c>
      <c r="AF794" s="861" t="s">
        <v>553</v>
      </c>
      <c r="AG794" s="861" t="s">
        <v>554</v>
      </c>
      <c r="AH794" s="6"/>
    </row>
    <row r="795" spans="1:34" s="3" customFormat="1" ht="15.95" customHeight="1" thickTop="1">
      <c r="A795" s="7"/>
      <c r="B795" s="19" t="s">
        <v>145</v>
      </c>
      <c r="C795" s="12"/>
      <c r="D795" s="203"/>
      <c r="E795" s="203"/>
      <c r="F795" s="202"/>
      <c r="G795" s="203"/>
      <c r="H795" s="202"/>
      <c r="I795" s="202"/>
      <c r="J795" s="203"/>
      <c r="K795" s="203"/>
      <c r="L795" s="291" t="s">
        <v>34</v>
      </c>
      <c r="M795" s="202"/>
      <c r="N795" s="45" t="str">
        <f>J$6</f>
        <v>FY2010-11</v>
      </c>
      <c r="O795" s="45" t="s">
        <v>156</v>
      </c>
      <c r="P795" s="45" t="s">
        <v>147</v>
      </c>
      <c r="Q795" s="45" t="s">
        <v>180</v>
      </c>
      <c r="R795" s="203"/>
      <c r="S795" s="202" t="s">
        <v>611</v>
      </c>
      <c r="T795" s="203"/>
      <c r="U795" s="203"/>
      <c r="V795" s="204"/>
      <c r="W795" s="204"/>
      <c r="X795" s="204"/>
      <c r="Y795" s="204"/>
      <c r="Z795" s="204"/>
      <c r="AA795" s="204"/>
      <c r="AB795" s="204"/>
      <c r="AC795" s="204"/>
      <c r="AD795" s="204"/>
      <c r="AE795" s="204"/>
      <c r="AF795" s="204"/>
      <c r="AG795" s="204"/>
      <c r="AH795" s="6"/>
    </row>
    <row r="796" spans="1:34" s="3" customFormat="1" ht="15.95" customHeight="1">
      <c r="A796" s="7"/>
      <c r="B796" s="16">
        <f>DSUM('$REV-DB'!D35:AG67,"AMOUNT",D794:AG795)</f>
        <v>0</v>
      </c>
      <c r="C796" s="12"/>
      <c r="D796" s="880"/>
      <c r="E796" s="880"/>
      <c r="F796" s="880"/>
      <c r="G796" s="880"/>
      <c r="H796" s="880"/>
      <c r="I796" s="880"/>
      <c r="J796" s="880"/>
      <c r="K796" s="880"/>
      <c r="L796" s="881"/>
      <c r="M796" s="880"/>
      <c r="N796" s="873"/>
      <c r="O796" s="880"/>
      <c r="P796" s="873"/>
      <c r="Q796" s="884"/>
      <c r="R796" s="880"/>
      <c r="S796" s="880"/>
      <c r="T796" s="882"/>
      <c r="U796" s="882"/>
      <c r="V796" s="883"/>
      <c r="W796" s="883"/>
      <c r="X796" s="883"/>
      <c r="Y796" s="883"/>
      <c r="Z796" s="883"/>
      <c r="AA796" s="883"/>
      <c r="AB796" s="883"/>
      <c r="AC796" s="883"/>
      <c r="AD796" s="883"/>
      <c r="AE796" s="883"/>
      <c r="AF796" s="883"/>
      <c r="AG796" s="883"/>
      <c r="AH796" s="6"/>
    </row>
    <row r="797" spans="1:34" s="3" customFormat="1" ht="15.95" customHeight="1">
      <c r="A797" s="7"/>
      <c r="B797" s="10"/>
      <c r="C797" s="12"/>
      <c r="D797" s="880"/>
      <c r="E797" s="880"/>
      <c r="F797" s="880"/>
      <c r="G797" s="880"/>
      <c r="H797" s="880"/>
      <c r="I797" s="880"/>
      <c r="J797" s="880"/>
      <c r="K797" s="880"/>
      <c r="L797" s="881"/>
      <c r="M797" s="880"/>
      <c r="N797" s="873"/>
      <c r="O797" s="880"/>
      <c r="P797" s="873"/>
      <c r="Q797" s="884"/>
      <c r="R797" s="880"/>
      <c r="S797" s="880"/>
      <c r="T797" s="882"/>
      <c r="U797" s="882"/>
      <c r="V797" s="883"/>
      <c r="W797" s="883"/>
      <c r="X797" s="883"/>
      <c r="Y797" s="883"/>
      <c r="Z797" s="883"/>
      <c r="AA797" s="883"/>
      <c r="AB797" s="883"/>
      <c r="AC797" s="883"/>
      <c r="AD797" s="883"/>
      <c r="AE797" s="883"/>
      <c r="AF797" s="883"/>
      <c r="AG797" s="883"/>
    </row>
    <row r="798" spans="1:34" s="3" customFormat="1" ht="15.95" customHeight="1">
      <c r="A798" s="7"/>
      <c r="B798" s="10"/>
      <c r="C798" s="12"/>
      <c r="D798" s="880"/>
      <c r="E798" s="880"/>
      <c r="F798" s="880"/>
      <c r="G798" s="880"/>
      <c r="H798" s="880"/>
      <c r="I798" s="880"/>
      <c r="J798" s="880"/>
      <c r="K798" s="880"/>
      <c r="L798" s="881"/>
      <c r="M798" s="880"/>
      <c r="N798" s="873"/>
      <c r="O798" s="880"/>
      <c r="P798" s="873"/>
      <c r="Q798" s="884"/>
      <c r="R798" s="880"/>
      <c r="S798" s="880"/>
      <c r="T798" s="882"/>
      <c r="U798" s="882"/>
      <c r="V798" s="883"/>
      <c r="W798" s="883"/>
      <c r="X798" s="883"/>
      <c r="Y798" s="883"/>
      <c r="Z798" s="883"/>
      <c r="AA798" s="883"/>
      <c r="AB798" s="883"/>
      <c r="AC798" s="883"/>
      <c r="AD798" s="883"/>
      <c r="AE798" s="883"/>
      <c r="AF798" s="883"/>
      <c r="AG798" s="883"/>
    </row>
    <row r="799" spans="1:34" s="3" customFormat="1" ht="15.95" customHeight="1">
      <c r="A799" s="7"/>
      <c r="B799" s="10"/>
      <c r="C799" s="12"/>
      <c r="D799" s="880"/>
      <c r="E799" s="880"/>
      <c r="F799" s="880"/>
      <c r="G799" s="880"/>
      <c r="H799" s="880"/>
      <c r="I799" s="880"/>
      <c r="J799" s="880"/>
      <c r="K799" s="880"/>
      <c r="L799" s="881"/>
      <c r="M799" s="880"/>
      <c r="N799" s="873"/>
      <c r="O799" s="880"/>
      <c r="P799" s="873"/>
      <c r="Q799" s="884"/>
      <c r="R799" s="880"/>
      <c r="S799" s="880"/>
      <c r="T799" s="882"/>
      <c r="U799" s="882"/>
      <c r="V799" s="883"/>
      <c r="W799" s="883"/>
      <c r="X799" s="883"/>
      <c r="Y799" s="883"/>
      <c r="Z799" s="883"/>
      <c r="AA799" s="883"/>
      <c r="AB799" s="883"/>
      <c r="AC799" s="883"/>
      <c r="AD799" s="883"/>
      <c r="AE799" s="883"/>
      <c r="AF799" s="883"/>
      <c r="AG799" s="883"/>
    </row>
    <row r="800" spans="1:34" s="3" customFormat="1" ht="15.95" customHeight="1">
      <c r="A800" s="7"/>
      <c r="B800" s="10"/>
      <c r="C800" s="12"/>
      <c r="D800" s="880"/>
      <c r="E800" s="880"/>
      <c r="F800" s="880"/>
      <c r="G800" s="880"/>
      <c r="H800" s="880"/>
      <c r="I800" s="880"/>
      <c r="J800" s="880"/>
      <c r="K800" s="880"/>
      <c r="L800" s="881"/>
      <c r="M800" s="880"/>
      <c r="N800" s="873"/>
      <c r="O800" s="880"/>
      <c r="P800" s="873"/>
      <c r="Q800" s="884"/>
      <c r="R800" s="880"/>
      <c r="S800" s="880"/>
      <c r="T800" s="882"/>
      <c r="U800" s="882"/>
      <c r="V800" s="883"/>
      <c r="W800" s="883"/>
      <c r="X800" s="883"/>
      <c r="Y800" s="883"/>
      <c r="Z800" s="883"/>
      <c r="AA800" s="883"/>
      <c r="AB800" s="883"/>
      <c r="AC800" s="883"/>
      <c r="AD800" s="883"/>
      <c r="AE800" s="883"/>
      <c r="AF800" s="883"/>
      <c r="AG800" s="883"/>
    </row>
    <row r="801" spans="1:34" s="3" customFormat="1" ht="15.95" customHeight="1">
      <c r="A801" s="7"/>
      <c r="B801" s="10"/>
      <c r="C801" s="12"/>
      <c r="D801" s="880"/>
      <c r="E801" s="880"/>
      <c r="F801" s="880"/>
      <c r="G801" s="880"/>
      <c r="H801" s="880"/>
      <c r="I801" s="880"/>
      <c r="J801" s="880"/>
      <c r="K801" s="880"/>
      <c r="L801" s="881"/>
      <c r="M801" s="880"/>
      <c r="N801" s="873"/>
      <c r="O801" s="880"/>
      <c r="P801" s="873"/>
      <c r="Q801" s="884"/>
      <c r="R801" s="880"/>
      <c r="S801" s="880"/>
      <c r="T801" s="882"/>
      <c r="U801" s="882"/>
      <c r="V801" s="883"/>
      <c r="W801" s="883"/>
      <c r="X801" s="883"/>
      <c r="Y801" s="883"/>
      <c r="Z801" s="883"/>
      <c r="AA801" s="883"/>
      <c r="AB801" s="883"/>
      <c r="AC801" s="883"/>
      <c r="AD801" s="883"/>
      <c r="AE801" s="883"/>
      <c r="AF801" s="883"/>
      <c r="AG801" s="883"/>
    </row>
    <row r="802" spans="1:34" s="3" customFormat="1" ht="15.95" customHeight="1">
      <c r="A802" s="44"/>
      <c r="B802" s="41"/>
      <c r="C802" s="41"/>
      <c r="D802" s="42"/>
      <c r="E802" s="42"/>
      <c r="F802" s="43"/>
      <c r="G802" s="42"/>
      <c r="H802" s="43"/>
      <c r="I802" s="43"/>
      <c r="J802" s="42"/>
      <c r="K802" s="42"/>
      <c r="L802" s="290"/>
      <c r="M802" s="43"/>
      <c r="N802" s="43"/>
      <c r="O802" s="42"/>
      <c r="P802" s="43"/>
      <c r="Q802" s="43"/>
      <c r="R802" s="42"/>
      <c r="S802" s="43"/>
      <c r="T802" s="42"/>
      <c r="U802" s="42"/>
      <c r="V802" s="44"/>
      <c r="W802" s="44"/>
      <c r="X802" s="44"/>
      <c r="Y802" s="44"/>
      <c r="Z802" s="44"/>
      <c r="AA802" s="44"/>
      <c r="AB802" s="44"/>
      <c r="AC802" s="44"/>
      <c r="AD802" s="44"/>
      <c r="AE802" s="44"/>
      <c r="AF802" s="44"/>
      <c r="AG802" s="44"/>
    </row>
    <row r="803" spans="1:34" s="3" customFormat="1"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66"/>
      <c r="T803" s="867" t="str">
        <f>'$REV-DB'!$T$34</f>
        <v>UD1</v>
      </c>
      <c r="U803" s="867" t="str">
        <f>'$REV-DB'!$U$34</f>
        <v>UD2</v>
      </c>
      <c r="V803" s="867" t="str">
        <f>'$REV-DB'!$V$34</f>
        <v>UD3</v>
      </c>
      <c r="W803" s="867" t="str">
        <f>'$REV-DB'!$W$34</f>
        <v>UD4</v>
      </c>
      <c r="X803" s="867" t="str">
        <f>'$REV-DB'!$X$34</f>
        <v>UD5</v>
      </c>
      <c r="Y803" s="867" t="str">
        <f>'$REV-DB'!$Y$34</f>
        <v>UD6</v>
      </c>
      <c r="Z803" s="867" t="str">
        <f>'$REV-DB'!$Z$34</f>
        <v>UD7</v>
      </c>
      <c r="AA803" s="867" t="str">
        <f>'$REV-DB'!$AA$34</f>
        <v>UD8</v>
      </c>
      <c r="AB803" s="867" t="str">
        <f>'$REV-DB'!$AB$34</f>
        <v>UD9</v>
      </c>
      <c r="AC803" s="867" t="str">
        <f>'$REV-DB'!$AC$34</f>
        <v>UD10</v>
      </c>
      <c r="AD803" s="867" t="str">
        <f>'$REV-DB'!$AD$34</f>
        <v>UD11</v>
      </c>
      <c r="AE803" s="867" t="str">
        <f>'$REV-DB'!$AE$34</f>
        <v>UD12</v>
      </c>
      <c r="AF803" s="867" t="str">
        <f>'$REV-DB'!$AF$34</f>
        <v>UD13</v>
      </c>
      <c r="AG803" s="867" t="str">
        <f>'$REV-DB'!$AG$34</f>
        <v>UD14</v>
      </c>
    </row>
    <row r="804" spans="1:34" s="3" customFormat="1" ht="15.95" customHeight="1" thickTop="1" thickBot="1">
      <c r="A804" s="7"/>
      <c r="B804" s="20" t="s">
        <v>175</v>
      </c>
      <c r="C804" s="15"/>
      <c r="D804" s="861" t="s">
        <v>186</v>
      </c>
      <c r="E804" s="861" t="s">
        <v>187</v>
      </c>
      <c r="F804" s="861" t="s">
        <v>188</v>
      </c>
      <c r="G804" s="861" t="s">
        <v>189</v>
      </c>
      <c r="H804" s="861" t="s">
        <v>11</v>
      </c>
      <c r="I804" s="861" t="s">
        <v>190</v>
      </c>
      <c r="J804" s="861" t="s">
        <v>191</v>
      </c>
      <c r="K804" s="861" t="s">
        <v>192</v>
      </c>
      <c r="L804" s="861" t="s">
        <v>203</v>
      </c>
      <c r="M804" s="861" t="s">
        <v>42</v>
      </c>
      <c r="N804" s="861" t="s">
        <v>148</v>
      </c>
      <c r="O804" s="861" t="s">
        <v>193</v>
      </c>
      <c r="P804" s="861" t="s">
        <v>142</v>
      </c>
      <c r="Q804" s="861" t="s">
        <v>194</v>
      </c>
      <c r="R804" s="112" t="s">
        <v>141</v>
      </c>
      <c r="S804" s="112" t="s">
        <v>672</v>
      </c>
      <c r="T804" s="861" t="s">
        <v>541</v>
      </c>
      <c r="U804" s="861" t="s">
        <v>542</v>
      </c>
      <c r="V804" s="861" t="s">
        <v>543</v>
      </c>
      <c r="W804" s="861" t="s">
        <v>544</v>
      </c>
      <c r="X804" s="861" t="s">
        <v>545</v>
      </c>
      <c r="Y804" s="861" t="s">
        <v>546</v>
      </c>
      <c r="Z804" s="861" t="s">
        <v>547</v>
      </c>
      <c r="AA804" s="861" t="s">
        <v>548</v>
      </c>
      <c r="AB804" s="861" t="s">
        <v>549</v>
      </c>
      <c r="AC804" s="861" t="s">
        <v>550</v>
      </c>
      <c r="AD804" s="861" t="s">
        <v>551</v>
      </c>
      <c r="AE804" s="861" t="s">
        <v>552</v>
      </c>
      <c r="AF804" s="861" t="s">
        <v>553</v>
      </c>
      <c r="AG804" s="861" t="s">
        <v>554</v>
      </c>
      <c r="AH804" s="6"/>
    </row>
    <row r="805" spans="1:34" s="3" customFormat="1" ht="15.95" customHeight="1" thickTop="1">
      <c r="A805" s="7"/>
      <c r="B805" s="19" t="s">
        <v>144</v>
      </c>
      <c r="C805" s="12"/>
      <c r="D805" s="203"/>
      <c r="E805" s="203"/>
      <c r="F805" s="202"/>
      <c r="G805" s="203"/>
      <c r="H805" s="202"/>
      <c r="I805" s="202"/>
      <c r="J805" s="203"/>
      <c r="K805" s="203"/>
      <c r="L805" s="291" t="s">
        <v>34</v>
      </c>
      <c r="M805" s="202"/>
      <c r="N805" s="45" t="str">
        <f>J$6</f>
        <v>FY2010-11</v>
      </c>
      <c r="O805" s="45" t="s">
        <v>156</v>
      </c>
      <c r="P805" s="45" t="s">
        <v>147</v>
      </c>
      <c r="Q805" s="45" t="s">
        <v>139</v>
      </c>
      <c r="R805" s="203"/>
      <c r="S805" s="202" t="s">
        <v>611</v>
      </c>
      <c r="T805" s="203"/>
      <c r="U805" s="203"/>
      <c r="V805" s="204"/>
      <c r="W805" s="204"/>
      <c r="X805" s="204"/>
      <c r="Y805" s="204"/>
      <c r="Z805" s="204"/>
      <c r="AA805" s="204"/>
      <c r="AB805" s="204"/>
      <c r="AC805" s="204"/>
      <c r="AD805" s="204"/>
      <c r="AE805" s="204"/>
      <c r="AF805" s="204"/>
      <c r="AG805" s="204"/>
      <c r="AH805" s="6"/>
    </row>
    <row r="806" spans="1:34" s="3" customFormat="1" ht="15.95" customHeight="1">
      <c r="A806" s="7"/>
      <c r="B806" s="16">
        <f>DSUM('$REV-DB'!D35:AG67,"AMOUNT",D804:AG805)</f>
        <v>0</v>
      </c>
      <c r="C806" s="12"/>
      <c r="D806" s="880"/>
      <c r="E806" s="880"/>
      <c r="F806" s="880"/>
      <c r="G806" s="880"/>
      <c r="H806" s="880"/>
      <c r="I806" s="880"/>
      <c r="J806" s="880"/>
      <c r="K806" s="880"/>
      <c r="L806" s="881"/>
      <c r="M806" s="880"/>
      <c r="N806" s="873"/>
      <c r="O806" s="880"/>
      <c r="P806" s="873"/>
      <c r="Q806" s="884"/>
      <c r="R806" s="880"/>
      <c r="S806" s="880"/>
      <c r="T806" s="882"/>
      <c r="U806" s="882"/>
      <c r="V806" s="883"/>
      <c r="W806" s="883"/>
      <c r="X806" s="883"/>
      <c r="Y806" s="883"/>
      <c r="Z806" s="883"/>
      <c r="AA806" s="883"/>
      <c r="AB806" s="883"/>
      <c r="AC806" s="883"/>
      <c r="AD806" s="883"/>
      <c r="AE806" s="883"/>
      <c r="AF806" s="883"/>
      <c r="AG806" s="883"/>
      <c r="AH806" s="6"/>
    </row>
    <row r="807" spans="1:34" s="3" customFormat="1" ht="15.95" customHeight="1">
      <c r="A807" s="7"/>
      <c r="B807" s="10"/>
      <c r="C807" s="12"/>
      <c r="D807" s="880"/>
      <c r="E807" s="880"/>
      <c r="F807" s="880"/>
      <c r="G807" s="880"/>
      <c r="H807" s="880"/>
      <c r="I807" s="880"/>
      <c r="J807" s="880"/>
      <c r="K807" s="880"/>
      <c r="L807" s="881"/>
      <c r="M807" s="880"/>
      <c r="N807" s="873"/>
      <c r="O807" s="880"/>
      <c r="P807" s="873"/>
      <c r="Q807" s="884"/>
      <c r="R807" s="880"/>
      <c r="S807" s="880"/>
      <c r="T807" s="882"/>
      <c r="U807" s="882"/>
      <c r="V807" s="883"/>
      <c r="W807" s="883"/>
      <c r="X807" s="883"/>
      <c r="Y807" s="883"/>
      <c r="Z807" s="883"/>
      <c r="AA807" s="883"/>
      <c r="AB807" s="883"/>
      <c r="AC807" s="883"/>
      <c r="AD807" s="883"/>
      <c r="AE807" s="883"/>
      <c r="AF807" s="883"/>
      <c r="AG807" s="883"/>
    </row>
    <row r="808" spans="1:34" s="3" customFormat="1" ht="15.95" customHeight="1">
      <c r="A808" s="7"/>
      <c r="B808" s="10"/>
      <c r="C808" s="12"/>
      <c r="D808" s="880"/>
      <c r="E808" s="880"/>
      <c r="F808" s="880"/>
      <c r="G808" s="880"/>
      <c r="H808" s="880"/>
      <c r="I808" s="880"/>
      <c r="J808" s="880"/>
      <c r="K808" s="880"/>
      <c r="L808" s="881"/>
      <c r="M808" s="880"/>
      <c r="N808" s="873"/>
      <c r="O808" s="880"/>
      <c r="P808" s="873"/>
      <c r="Q808" s="884"/>
      <c r="R808" s="880"/>
      <c r="S808" s="880"/>
      <c r="T808" s="882"/>
      <c r="U808" s="882"/>
      <c r="V808" s="883"/>
      <c r="W808" s="883"/>
      <c r="X808" s="883"/>
      <c r="Y808" s="883"/>
      <c r="Z808" s="883"/>
      <c r="AA808" s="883"/>
      <c r="AB808" s="883"/>
      <c r="AC808" s="883"/>
      <c r="AD808" s="883"/>
      <c r="AE808" s="883"/>
      <c r="AF808" s="883"/>
      <c r="AG808" s="883"/>
    </row>
    <row r="809" spans="1:34" s="3" customFormat="1" ht="15.95" customHeight="1">
      <c r="A809" s="7"/>
      <c r="B809" s="10"/>
      <c r="C809" s="12"/>
      <c r="D809" s="880"/>
      <c r="E809" s="880"/>
      <c r="F809" s="880"/>
      <c r="G809" s="880"/>
      <c r="H809" s="880"/>
      <c r="I809" s="880"/>
      <c r="J809" s="880"/>
      <c r="K809" s="880"/>
      <c r="L809" s="881"/>
      <c r="M809" s="880"/>
      <c r="N809" s="873"/>
      <c r="O809" s="880"/>
      <c r="P809" s="873"/>
      <c r="Q809" s="884"/>
      <c r="R809" s="880"/>
      <c r="S809" s="880"/>
      <c r="T809" s="882"/>
      <c r="U809" s="882"/>
      <c r="V809" s="883"/>
      <c r="W809" s="883"/>
      <c r="X809" s="883"/>
      <c r="Y809" s="883"/>
      <c r="Z809" s="883"/>
      <c r="AA809" s="883"/>
      <c r="AB809" s="883"/>
      <c r="AC809" s="883"/>
      <c r="AD809" s="883"/>
      <c r="AE809" s="883"/>
      <c r="AF809" s="883"/>
      <c r="AG809" s="883"/>
    </row>
    <row r="810" spans="1:34" s="3" customFormat="1" ht="15.95" customHeight="1">
      <c r="A810" s="7"/>
      <c r="B810" s="10"/>
      <c r="C810" s="12"/>
      <c r="D810" s="880"/>
      <c r="E810" s="880"/>
      <c r="F810" s="880"/>
      <c r="G810" s="880"/>
      <c r="H810" s="880"/>
      <c r="I810" s="880"/>
      <c r="J810" s="880"/>
      <c r="K810" s="880"/>
      <c r="L810" s="881"/>
      <c r="M810" s="880"/>
      <c r="N810" s="873"/>
      <c r="O810" s="880"/>
      <c r="P810" s="873"/>
      <c r="Q810" s="884"/>
      <c r="R810" s="880"/>
      <c r="S810" s="880"/>
      <c r="T810" s="882"/>
      <c r="U810" s="882"/>
      <c r="V810" s="883"/>
      <c r="W810" s="883"/>
      <c r="X810" s="883"/>
      <c r="Y810" s="883"/>
      <c r="Z810" s="883"/>
      <c r="AA810" s="883"/>
      <c r="AB810" s="883"/>
      <c r="AC810" s="883"/>
      <c r="AD810" s="883"/>
      <c r="AE810" s="883"/>
      <c r="AF810" s="883"/>
      <c r="AG810" s="883"/>
    </row>
    <row r="811" spans="1:34" s="3" customFormat="1" ht="15.95" customHeight="1">
      <c r="A811" s="7"/>
      <c r="B811" s="10"/>
      <c r="C811" s="12"/>
      <c r="D811" s="880"/>
      <c r="E811" s="880"/>
      <c r="F811" s="880"/>
      <c r="G811" s="880"/>
      <c r="H811" s="880"/>
      <c r="I811" s="880"/>
      <c r="J811" s="880"/>
      <c r="K811" s="880"/>
      <c r="L811" s="881"/>
      <c r="M811" s="880"/>
      <c r="N811" s="873"/>
      <c r="O811" s="880"/>
      <c r="P811" s="873"/>
      <c r="Q811" s="884"/>
      <c r="R811" s="880"/>
      <c r="S811" s="880"/>
      <c r="T811" s="882"/>
      <c r="U811" s="882"/>
      <c r="V811" s="883"/>
      <c r="W811" s="883"/>
      <c r="X811" s="883"/>
      <c r="Y811" s="883"/>
      <c r="Z811" s="883"/>
      <c r="AA811" s="883"/>
      <c r="AB811" s="883"/>
      <c r="AC811" s="883"/>
      <c r="AD811" s="883"/>
      <c r="AE811" s="883"/>
      <c r="AF811" s="883"/>
      <c r="AG811" s="883"/>
    </row>
    <row r="812" spans="1:34" s="3" customFormat="1" ht="15.95" customHeight="1">
      <c r="A812" s="44"/>
      <c r="B812" s="41"/>
      <c r="C812" s="41"/>
      <c r="D812" s="42"/>
      <c r="E812" s="42"/>
      <c r="F812" s="43"/>
      <c r="G812" s="42"/>
      <c r="H812" s="43"/>
      <c r="I812" s="43"/>
      <c r="J812" s="42"/>
      <c r="K812" s="42"/>
      <c r="L812" s="290"/>
      <c r="M812" s="43"/>
      <c r="N812" s="43"/>
      <c r="O812" s="42"/>
      <c r="P812" s="43"/>
      <c r="Q812" s="43"/>
      <c r="R812" s="42"/>
      <c r="S812" s="43"/>
      <c r="T812" s="42"/>
      <c r="U812" s="42"/>
      <c r="V812" s="44"/>
      <c r="W812" s="44"/>
      <c r="X812" s="44"/>
      <c r="Y812" s="44"/>
      <c r="Z812" s="44"/>
      <c r="AA812" s="44"/>
      <c r="AB812" s="44"/>
      <c r="AC812" s="44"/>
      <c r="AD812" s="44"/>
      <c r="AE812" s="44"/>
      <c r="AF812" s="44"/>
      <c r="AG812" s="44"/>
    </row>
    <row r="813" spans="1:34" s="3" customFormat="1"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66"/>
      <c r="T813" s="867" t="str">
        <f>'$REV-DB'!$T$34</f>
        <v>UD1</v>
      </c>
      <c r="U813" s="867" t="str">
        <f>'$REV-DB'!$U$34</f>
        <v>UD2</v>
      </c>
      <c r="V813" s="867" t="str">
        <f>'$REV-DB'!$V$34</f>
        <v>UD3</v>
      </c>
      <c r="W813" s="867" t="str">
        <f>'$REV-DB'!$W$34</f>
        <v>UD4</v>
      </c>
      <c r="X813" s="867" t="str">
        <f>'$REV-DB'!$X$34</f>
        <v>UD5</v>
      </c>
      <c r="Y813" s="867" t="str">
        <f>'$REV-DB'!$Y$34</f>
        <v>UD6</v>
      </c>
      <c r="Z813" s="867" t="str">
        <f>'$REV-DB'!$Z$34</f>
        <v>UD7</v>
      </c>
      <c r="AA813" s="867" t="str">
        <f>'$REV-DB'!$AA$34</f>
        <v>UD8</v>
      </c>
      <c r="AB813" s="867" t="str">
        <f>'$REV-DB'!$AB$34</f>
        <v>UD9</v>
      </c>
      <c r="AC813" s="867" t="str">
        <f>'$REV-DB'!$AC$34</f>
        <v>UD10</v>
      </c>
      <c r="AD813" s="867" t="str">
        <f>'$REV-DB'!$AD$34</f>
        <v>UD11</v>
      </c>
      <c r="AE813" s="867" t="str">
        <f>'$REV-DB'!$AE$34</f>
        <v>UD12</v>
      </c>
      <c r="AF813" s="867" t="str">
        <f>'$REV-DB'!$AF$34</f>
        <v>UD13</v>
      </c>
      <c r="AG813" s="867" t="str">
        <f>'$REV-DB'!$AG$34</f>
        <v>UD14</v>
      </c>
    </row>
    <row r="814" spans="1:34" s="3" customFormat="1" ht="15.95" customHeight="1" thickTop="1" thickBot="1">
      <c r="A814" s="7"/>
      <c r="B814" s="20" t="s">
        <v>175</v>
      </c>
      <c r="C814" s="15"/>
      <c r="D814" s="861" t="s">
        <v>186</v>
      </c>
      <c r="E814" s="861" t="s">
        <v>187</v>
      </c>
      <c r="F814" s="861" t="s">
        <v>188</v>
      </c>
      <c r="G814" s="861" t="s">
        <v>189</v>
      </c>
      <c r="H814" s="861" t="s">
        <v>11</v>
      </c>
      <c r="I814" s="861" t="s">
        <v>190</v>
      </c>
      <c r="J814" s="861" t="s">
        <v>191</v>
      </c>
      <c r="K814" s="861" t="s">
        <v>192</v>
      </c>
      <c r="L814" s="861" t="s">
        <v>203</v>
      </c>
      <c r="M814" s="861" t="s">
        <v>42</v>
      </c>
      <c r="N814" s="861" t="s">
        <v>148</v>
      </c>
      <c r="O814" s="861" t="s">
        <v>193</v>
      </c>
      <c r="P814" s="861" t="s">
        <v>142</v>
      </c>
      <c r="Q814" s="861" t="s">
        <v>194</v>
      </c>
      <c r="R814" s="112" t="s">
        <v>141</v>
      </c>
      <c r="S814" s="112" t="s">
        <v>672</v>
      </c>
      <c r="T814" s="861" t="s">
        <v>541</v>
      </c>
      <c r="U814" s="861" t="s">
        <v>542</v>
      </c>
      <c r="V814" s="861" t="s">
        <v>543</v>
      </c>
      <c r="W814" s="861" t="s">
        <v>544</v>
      </c>
      <c r="X814" s="861" t="s">
        <v>545</v>
      </c>
      <c r="Y814" s="861" t="s">
        <v>546</v>
      </c>
      <c r="Z814" s="861" t="s">
        <v>547</v>
      </c>
      <c r="AA814" s="861" t="s">
        <v>548</v>
      </c>
      <c r="AB814" s="861" t="s">
        <v>549</v>
      </c>
      <c r="AC814" s="861" t="s">
        <v>550</v>
      </c>
      <c r="AD814" s="861" t="s">
        <v>551</v>
      </c>
      <c r="AE814" s="861" t="s">
        <v>552</v>
      </c>
      <c r="AF814" s="861" t="s">
        <v>553</v>
      </c>
      <c r="AG814" s="861" t="s">
        <v>554</v>
      </c>
      <c r="AH814" s="6"/>
    </row>
    <row r="815" spans="1:34" s="3" customFormat="1" ht="15.95" customHeight="1" thickTop="1">
      <c r="A815" s="7"/>
      <c r="B815" s="19" t="s">
        <v>143</v>
      </c>
      <c r="C815" s="12"/>
      <c r="D815" s="203"/>
      <c r="E815" s="203"/>
      <c r="F815" s="202"/>
      <c r="G815" s="203"/>
      <c r="H815" s="202"/>
      <c r="I815" s="202"/>
      <c r="J815" s="203"/>
      <c r="K815" s="203"/>
      <c r="L815" s="291" t="s">
        <v>34</v>
      </c>
      <c r="M815" s="202"/>
      <c r="N815" s="45" t="str">
        <f>J$6</f>
        <v>FY2010-11</v>
      </c>
      <c r="O815" s="45" t="s">
        <v>156</v>
      </c>
      <c r="P815" s="45" t="s">
        <v>147</v>
      </c>
      <c r="Q815" s="45" t="s">
        <v>179</v>
      </c>
      <c r="R815" s="203"/>
      <c r="S815" s="202" t="s">
        <v>611</v>
      </c>
      <c r="T815" s="203"/>
      <c r="U815" s="203"/>
      <c r="V815" s="204"/>
      <c r="W815" s="204"/>
      <c r="X815" s="204"/>
      <c r="Y815" s="204"/>
      <c r="Z815" s="204"/>
      <c r="AA815" s="204"/>
      <c r="AB815" s="204"/>
      <c r="AC815" s="204"/>
      <c r="AD815" s="204"/>
      <c r="AE815" s="204"/>
      <c r="AF815" s="204"/>
      <c r="AG815" s="204"/>
      <c r="AH815" s="6"/>
    </row>
    <row r="816" spans="1:34" s="3" customFormat="1" ht="15.95" customHeight="1">
      <c r="A816" s="7"/>
      <c r="B816" s="16">
        <f>DSUM('$REV-DB'!D35:AG67,"AMOUNT",D814:AG815)</f>
        <v>0</v>
      </c>
      <c r="C816" s="12"/>
      <c r="D816" s="880"/>
      <c r="E816" s="880"/>
      <c r="F816" s="880"/>
      <c r="G816" s="880"/>
      <c r="H816" s="880"/>
      <c r="I816" s="880"/>
      <c r="J816" s="880"/>
      <c r="K816" s="880"/>
      <c r="L816" s="881"/>
      <c r="M816" s="880"/>
      <c r="N816" s="873"/>
      <c r="O816" s="880"/>
      <c r="P816" s="873"/>
      <c r="Q816" s="884"/>
      <c r="R816" s="880"/>
      <c r="S816" s="880"/>
      <c r="T816" s="882"/>
      <c r="U816" s="882"/>
      <c r="V816" s="883"/>
      <c r="W816" s="883"/>
      <c r="X816" s="883"/>
      <c r="Y816" s="883"/>
      <c r="Z816" s="883"/>
      <c r="AA816" s="883"/>
      <c r="AB816" s="883"/>
      <c r="AC816" s="883"/>
      <c r="AD816" s="883"/>
      <c r="AE816" s="883"/>
      <c r="AF816" s="883"/>
      <c r="AG816" s="883"/>
      <c r="AH816" s="6"/>
    </row>
    <row r="817" spans="1:34" s="3" customFormat="1" ht="15.95" customHeight="1">
      <c r="A817" s="7"/>
      <c r="B817" s="10"/>
      <c r="C817" s="12"/>
      <c r="D817" s="880"/>
      <c r="E817" s="880"/>
      <c r="F817" s="880"/>
      <c r="G817" s="880"/>
      <c r="H817" s="880"/>
      <c r="I817" s="880"/>
      <c r="J817" s="880"/>
      <c r="K817" s="880"/>
      <c r="L817" s="881"/>
      <c r="M817" s="880"/>
      <c r="N817" s="873"/>
      <c r="O817" s="880"/>
      <c r="P817" s="873"/>
      <c r="Q817" s="884"/>
      <c r="R817" s="880"/>
      <c r="S817" s="880"/>
      <c r="T817" s="882"/>
      <c r="U817" s="882"/>
      <c r="V817" s="883"/>
      <c r="W817" s="883"/>
      <c r="X817" s="883"/>
      <c r="Y817" s="883"/>
      <c r="Z817" s="883"/>
      <c r="AA817" s="883"/>
      <c r="AB817" s="883"/>
      <c r="AC817" s="883"/>
      <c r="AD817" s="883"/>
      <c r="AE817" s="883"/>
      <c r="AF817" s="883"/>
      <c r="AG817" s="883"/>
    </row>
    <row r="818" spans="1:34" s="3" customFormat="1" ht="15.95" customHeight="1">
      <c r="A818" s="7"/>
      <c r="B818" s="10"/>
      <c r="C818" s="12"/>
      <c r="D818" s="880"/>
      <c r="E818" s="880"/>
      <c r="F818" s="880"/>
      <c r="G818" s="880"/>
      <c r="H818" s="880"/>
      <c r="I818" s="880"/>
      <c r="J818" s="880"/>
      <c r="K818" s="880"/>
      <c r="L818" s="881"/>
      <c r="M818" s="880"/>
      <c r="N818" s="873"/>
      <c r="O818" s="880"/>
      <c r="P818" s="873"/>
      <c r="Q818" s="884"/>
      <c r="R818" s="880"/>
      <c r="S818" s="880"/>
      <c r="T818" s="882"/>
      <c r="U818" s="882"/>
      <c r="V818" s="883"/>
      <c r="W818" s="883"/>
      <c r="X818" s="883"/>
      <c r="Y818" s="883"/>
      <c r="Z818" s="883"/>
      <c r="AA818" s="883"/>
      <c r="AB818" s="883"/>
      <c r="AC818" s="883"/>
      <c r="AD818" s="883"/>
      <c r="AE818" s="883"/>
      <c r="AF818" s="883"/>
      <c r="AG818" s="883"/>
    </row>
    <row r="819" spans="1:34" s="3" customFormat="1" ht="15.95" customHeight="1">
      <c r="A819" s="7"/>
      <c r="B819" s="10"/>
      <c r="C819" s="12"/>
      <c r="D819" s="880"/>
      <c r="E819" s="880"/>
      <c r="F819" s="880"/>
      <c r="G819" s="880"/>
      <c r="H819" s="880"/>
      <c r="I819" s="880"/>
      <c r="J819" s="880"/>
      <c r="K819" s="880"/>
      <c r="L819" s="881"/>
      <c r="M819" s="880"/>
      <c r="N819" s="873"/>
      <c r="O819" s="880"/>
      <c r="P819" s="873"/>
      <c r="Q819" s="884"/>
      <c r="R819" s="880"/>
      <c r="S819" s="880"/>
      <c r="T819" s="882"/>
      <c r="U819" s="882"/>
      <c r="V819" s="883"/>
      <c r="W819" s="883"/>
      <c r="X819" s="883"/>
      <c r="Y819" s="883"/>
      <c r="Z819" s="883"/>
      <c r="AA819" s="883"/>
      <c r="AB819" s="883"/>
      <c r="AC819" s="883"/>
      <c r="AD819" s="883"/>
      <c r="AE819" s="883"/>
      <c r="AF819" s="883"/>
      <c r="AG819" s="883"/>
    </row>
    <row r="820" spans="1:34" s="3" customFormat="1" ht="15.95" customHeight="1">
      <c r="A820" s="7"/>
      <c r="B820" s="10"/>
      <c r="C820" s="12"/>
      <c r="D820" s="880"/>
      <c r="E820" s="880"/>
      <c r="F820" s="880"/>
      <c r="G820" s="880"/>
      <c r="H820" s="880"/>
      <c r="I820" s="880"/>
      <c r="J820" s="880"/>
      <c r="K820" s="880"/>
      <c r="L820" s="881"/>
      <c r="M820" s="880"/>
      <c r="N820" s="873"/>
      <c r="O820" s="880"/>
      <c r="P820" s="873"/>
      <c r="Q820" s="884"/>
      <c r="R820" s="880"/>
      <c r="S820" s="880"/>
      <c r="T820" s="882"/>
      <c r="U820" s="882"/>
      <c r="V820" s="883"/>
      <c r="W820" s="883"/>
      <c r="X820" s="883"/>
      <c r="Y820" s="883"/>
      <c r="Z820" s="883"/>
      <c r="AA820" s="883"/>
      <c r="AB820" s="883"/>
      <c r="AC820" s="883"/>
      <c r="AD820" s="883"/>
      <c r="AE820" s="883"/>
      <c r="AF820" s="883"/>
      <c r="AG820" s="883"/>
    </row>
    <row r="821" spans="1:34" s="3" customFormat="1" ht="15.95" customHeight="1">
      <c r="A821" s="7"/>
      <c r="B821" s="10"/>
      <c r="C821" s="12"/>
      <c r="D821" s="880"/>
      <c r="E821" s="880"/>
      <c r="F821" s="880"/>
      <c r="G821" s="880"/>
      <c r="H821" s="880"/>
      <c r="I821" s="880"/>
      <c r="J821" s="880"/>
      <c r="K821" s="880"/>
      <c r="L821" s="881"/>
      <c r="M821" s="880"/>
      <c r="N821" s="873"/>
      <c r="O821" s="880"/>
      <c r="P821" s="873"/>
      <c r="Q821" s="884"/>
      <c r="R821" s="880"/>
      <c r="S821" s="880"/>
      <c r="T821" s="882"/>
      <c r="U821" s="882"/>
      <c r="V821" s="883"/>
      <c r="W821" s="883"/>
      <c r="X821" s="883"/>
      <c r="Y821" s="883"/>
      <c r="Z821" s="883"/>
      <c r="AA821" s="883"/>
      <c r="AB821" s="883"/>
      <c r="AC821" s="883"/>
      <c r="AD821" s="883"/>
      <c r="AE821" s="883"/>
      <c r="AF821" s="883"/>
      <c r="AG821" s="883"/>
    </row>
    <row r="822" spans="1:34" s="3" customFormat="1" ht="15.95" customHeight="1">
      <c r="A822" s="44"/>
      <c r="B822" s="41"/>
      <c r="C822" s="41"/>
      <c r="D822" s="42"/>
      <c r="E822" s="42"/>
      <c r="F822" s="43"/>
      <c r="G822" s="42"/>
      <c r="H822" s="43"/>
      <c r="I822" s="43"/>
      <c r="J822" s="42"/>
      <c r="K822" s="42"/>
      <c r="L822" s="290"/>
      <c r="M822" s="43"/>
      <c r="N822" s="43"/>
      <c r="O822" s="42"/>
      <c r="P822" s="43"/>
      <c r="Q822" s="43"/>
      <c r="R822" s="42"/>
      <c r="S822" s="43"/>
      <c r="T822" s="42"/>
      <c r="U822" s="42"/>
      <c r="V822" s="44"/>
      <c r="W822" s="44"/>
      <c r="X822" s="44"/>
      <c r="Y822" s="44"/>
      <c r="Z822" s="44"/>
      <c r="AA822" s="44"/>
      <c r="AB822" s="44"/>
      <c r="AC822" s="44"/>
      <c r="AD822" s="44"/>
      <c r="AE822" s="44"/>
      <c r="AF822" s="44"/>
      <c r="AG822" s="44"/>
    </row>
    <row r="823" spans="1:34" s="3" customFormat="1"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66"/>
      <c r="T823" s="867" t="str">
        <f>'$REV-DB'!$T$34</f>
        <v>UD1</v>
      </c>
      <c r="U823" s="867" t="str">
        <f>'$REV-DB'!$U$34</f>
        <v>UD2</v>
      </c>
      <c r="V823" s="867" t="str">
        <f>'$REV-DB'!$V$34</f>
        <v>UD3</v>
      </c>
      <c r="W823" s="867" t="str">
        <f>'$REV-DB'!$W$34</f>
        <v>UD4</v>
      </c>
      <c r="X823" s="867" t="str">
        <f>'$REV-DB'!$X$34</f>
        <v>UD5</v>
      </c>
      <c r="Y823" s="867" t="str">
        <f>'$REV-DB'!$Y$34</f>
        <v>UD6</v>
      </c>
      <c r="Z823" s="867" t="str">
        <f>'$REV-DB'!$Z$34</f>
        <v>UD7</v>
      </c>
      <c r="AA823" s="867" t="str">
        <f>'$REV-DB'!$AA$34</f>
        <v>UD8</v>
      </c>
      <c r="AB823" s="867" t="str">
        <f>'$REV-DB'!$AB$34</f>
        <v>UD9</v>
      </c>
      <c r="AC823" s="867" t="str">
        <f>'$REV-DB'!$AC$34</f>
        <v>UD10</v>
      </c>
      <c r="AD823" s="867" t="str">
        <f>'$REV-DB'!$AD$34</f>
        <v>UD11</v>
      </c>
      <c r="AE823" s="867" t="str">
        <f>'$REV-DB'!$AE$34</f>
        <v>UD12</v>
      </c>
      <c r="AF823" s="867" t="str">
        <f>'$REV-DB'!$AF$34</f>
        <v>UD13</v>
      </c>
      <c r="AG823" s="867" t="str">
        <f>'$REV-DB'!$AG$34</f>
        <v>UD14</v>
      </c>
    </row>
    <row r="824" spans="1:34" s="3" customFormat="1" ht="15.95" customHeight="1" thickTop="1" thickBot="1">
      <c r="A824" s="7"/>
      <c r="B824" s="20" t="s">
        <v>175</v>
      </c>
      <c r="C824" s="15"/>
      <c r="D824" s="861" t="s">
        <v>186</v>
      </c>
      <c r="E824" s="861" t="s">
        <v>187</v>
      </c>
      <c r="F824" s="861" t="s">
        <v>188</v>
      </c>
      <c r="G824" s="861" t="s">
        <v>189</v>
      </c>
      <c r="H824" s="861" t="s">
        <v>11</v>
      </c>
      <c r="I824" s="861" t="s">
        <v>190</v>
      </c>
      <c r="J824" s="861" t="s">
        <v>191</v>
      </c>
      <c r="K824" s="861" t="s">
        <v>192</v>
      </c>
      <c r="L824" s="861" t="s">
        <v>203</v>
      </c>
      <c r="M824" s="861" t="s">
        <v>42</v>
      </c>
      <c r="N824" s="861" t="s">
        <v>148</v>
      </c>
      <c r="O824" s="861" t="s">
        <v>193</v>
      </c>
      <c r="P824" s="861" t="s">
        <v>142</v>
      </c>
      <c r="Q824" s="861" t="s">
        <v>194</v>
      </c>
      <c r="R824" s="112" t="s">
        <v>141</v>
      </c>
      <c r="S824" s="112" t="s">
        <v>672</v>
      </c>
      <c r="T824" s="861" t="s">
        <v>541</v>
      </c>
      <c r="U824" s="861" t="s">
        <v>542</v>
      </c>
      <c r="V824" s="861" t="s">
        <v>543</v>
      </c>
      <c r="W824" s="861" t="s">
        <v>544</v>
      </c>
      <c r="X824" s="861" t="s">
        <v>545</v>
      </c>
      <c r="Y824" s="861" t="s">
        <v>546</v>
      </c>
      <c r="Z824" s="861" t="s">
        <v>547</v>
      </c>
      <c r="AA824" s="861" t="s">
        <v>548</v>
      </c>
      <c r="AB824" s="861" t="s">
        <v>549</v>
      </c>
      <c r="AC824" s="861" t="s">
        <v>550</v>
      </c>
      <c r="AD824" s="861" t="s">
        <v>551</v>
      </c>
      <c r="AE824" s="861" t="s">
        <v>552</v>
      </c>
      <c r="AF824" s="861" t="s">
        <v>553</v>
      </c>
      <c r="AG824" s="861" t="s">
        <v>554</v>
      </c>
      <c r="AH824" s="6"/>
    </row>
    <row r="825" spans="1:34" s="3" customFormat="1" ht="15.95" customHeight="1" thickTop="1">
      <c r="A825" s="7"/>
      <c r="B825" s="19" t="s">
        <v>149</v>
      </c>
      <c r="C825" s="12"/>
      <c r="D825" s="203"/>
      <c r="E825" s="203"/>
      <c r="F825" s="202"/>
      <c r="G825" s="203"/>
      <c r="H825" s="202"/>
      <c r="I825" s="202"/>
      <c r="J825" s="203"/>
      <c r="K825" s="203"/>
      <c r="L825" s="291" t="s">
        <v>34</v>
      </c>
      <c r="M825" s="202"/>
      <c r="N825" s="45" t="str">
        <f>J$6</f>
        <v>FY2010-11</v>
      </c>
      <c r="O825" s="45" t="s">
        <v>156</v>
      </c>
      <c r="P825" s="45" t="s">
        <v>147</v>
      </c>
      <c r="Q825" s="45" t="s">
        <v>2</v>
      </c>
      <c r="R825" s="203"/>
      <c r="S825" s="202" t="s">
        <v>611</v>
      </c>
      <c r="T825" s="203"/>
      <c r="U825" s="203"/>
      <c r="V825" s="204"/>
      <c r="W825" s="204"/>
      <c r="X825" s="204"/>
      <c r="Y825" s="204"/>
      <c r="Z825" s="204"/>
      <c r="AA825" s="204"/>
      <c r="AB825" s="204"/>
      <c r="AC825" s="204"/>
      <c r="AD825" s="204"/>
      <c r="AE825" s="204"/>
      <c r="AF825" s="204"/>
      <c r="AG825" s="204"/>
      <c r="AH825" s="6"/>
    </row>
    <row r="826" spans="1:34" s="3" customFormat="1" ht="15.95" customHeight="1">
      <c r="A826" s="7"/>
      <c r="B826" s="16">
        <f>DSUM('$REV-DB'!D35:AG67,"AMOUNT",D824:AG825)</f>
        <v>0</v>
      </c>
      <c r="C826" s="12"/>
      <c r="D826" s="880"/>
      <c r="E826" s="880"/>
      <c r="F826" s="880"/>
      <c r="G826" s="880"/>
      <c r="H826" s="880"/>
      <c r="I826" s="880"/>
      <c r="J826" s="880"/>
      <c r="K826" s="880"/>
      <c r="L826" s="881"/>
      <c r="M826" s="880"/>
      <c r="N826" s="873"/>
      <c r="O826" s="880"/>
      <c r="P826" s="873"/>
      <c r="Q826" s="884"/>
      <c r="R826" s="880"/>
      <c r="S826" s="880"/>
      <c r="T826" s="882"/>
      <c r="U826" s="882"/>
      <c r="V826" s="883"/>
      <c r="W826" s="883"/>
      <c r="X826" s="883"/>
      <c r="Y826" s="883"/>
      <c r="Z826" s="883"/>
      <c r="AA826" s="883"/>
      <c r="AB826" s="883"/>
      <c r="AC826" s="883"/>
      <c r="AD826" s="883"/>
      <c r="AE826" s="883"/>
      <c r="AF826" s="883"/>
      <c r="AG826" s="883"/>
      <c r="AH826" s="6"/>
    </row>
    <row r="827" spans="1:34" s="3" customFormat="1" ht="15.95" customHeight="1">
      <c r="A827" s="7"/>
      <c r="B827" s="10"/>
      <c r="C827" s="12"/>
      <c r="D827" s="880"/>
      <c r="E827" s="880"/>
      <c r="F827" s="880"/>
      <c r="G827" s="880"/>
      <c r="H827" s="880"/>
      <c r="I827" s="880"/>
      <c r="J827" s="880"/>
      <c r="K827" s="880"/>
      <c r="L827" s="881"/>
      <c r="M827" s="880"/>
      <c r="N827" s="873"/>
      <c r="O827" s="880"/>
      <c r="P827" s="873"/>
      <c r="Q827" s="884"/>
      <c r="R827" s="880"/>
      <c r="S827" s="880"/>
      <c r="T827" s="882"/>
      <c r="U827" s="882"/>
      <c r="V827" s="883"/>
      <c r="W827" s="883"/>
      <c r="X827" s="883"/>
      <c r="Y827" s="883"/>
      <c r="Z827" s="883"/>
      <c r="AA827" s="883"/>
      <c r="AB827" s="883"/>
      <c r="AC827" s="883"/>
      <c r="AD827" s="883"/>
      <c r="AE827" s="883"/>
      <c r="AF827" s="883"/>
      <c r="AG827" s="883"/>
    </row>
    <row r="828" spans="1:34" s="3" customFormat="1" ht="15.95" customHeight="1">
      <c r="A828" s="7"/>
      <c r="B828" s="10"/>
      <c r="C828" s="12"/>
      <c r="D828" s="880"/>
      <c r="E828" s="880"/>
      <c r="F828" s="880"/>
      <c r="G828" s="880"/>
      <c r="H828" s="880"/>
      <c r="I828" s="880"/>
      <c r="J828" s="880"/>
      <c r="K828" s="880"/>
      <c r="L828" s="881"/>
      <c r="M828" s="880"/>
      <c r="N828" s="873"/>
      <c r="O828" s="880"/>
      <c r="P828" s="873"/>
      <c r="Q828" s="884"/>
      <c r="R828" s="880"/>
      <c r="S828" s="880"/>
      <c r="T828" s="882"/>
      <c r="U828" s="882"/>
      <c r="V828" s="883"/>
      <c r="W828" s="883"/>
      <c r="X828" s="883"/>
      <c r="Y828" s="883"/>
      <c r="Z828" s="883"/>
      <c r="AA828" s="883"/>
      <c r="AB828" s="883"/>
      <c r="AC828" s="883"/>
      <c r="AD828" s="883"/>
      <c r="AE828" s="883"/>
      <c r="AF828" s="883"/>
      <c r="AG828" s="883"/>
    </row>
    <row r="829" spans="1:34" s="3" customFormat="1" ht="15.95" customHeight="1">
      <c r="A829" s="7"/>
      <c r="B829" s="10"/>
      <c r="C829" s="12"/>
      <c r="D829" s="880"/>
      <c r="E829" s="880"/>
      <c r="F829" s="880"/>
      <c r="G829" s="880"/>
      <c r="H829" s="880"/>
      <c r="I829" s="880"/>
      <c r="J829" s="880"/>
      <c r="K829" s="880"/>
      <c r="L829" s="881"/>
      <c r="M829" s="880"/>
      <c r="N829" s="873"/>
      <c r="O829" s="880"/>
      <c r="P829" s="873"/>
      <c r="Q829" s="884"/>
      <c r="R829" s="880"/>
      <c r="S829" s="880"/>
      <c r="T829" s="882"/>
      <c r="U829" s="882"/>
      <c r="V829" s="883"/>
      <c r="W829" s="883"/>
      <c r="X829" s="883"/>
      <c r="Y829" s="883"/>
      <c r="Z829" s="883"/>
      <c r="AA829" s="883"/>
      <c r="AB829" s="883"/>
      <c r="AC829" s="883"/>
      <c r="AD829" s="883"/>
      <c r="AE829" s="883"/>
      <c r="AF829" s="883"/>
      <c r="AG829" s="883"/>
    </row>
    <row r="830" spans="1:34" s="3" customFormat="1" ht="15.95" customHeight="1">
      <c r="A830" s="7"/>
      <c r="B830" s="10"/>
      <c r="C830" s="12"/>
      <c r="D830" s="880"/>
      <c r="E830" s="880"/>
      <c r="F830" s="880"/>
      <c r="G830" s="880"/>
      <c r="H830" s="880"/>
      <c r="I830" s="880"/>
      <c r="J830" s="880"/>
      <c r="K830" s="880"/>
      <c r="L830" s="881"/>
      <c r="M830" s="880"/>
      <c r="N830" s="873"/>
      <c r="O830" s="880"/>
      <c r="P830" s="873"/>
      <c r="Q830" s="884"/>
      <c r="R830" s="880"/>
      <c r="S830" s="880"/>
      <c r="T830" s="882"/>
      <c r="U830" s="882"/>
      <c r="V830" s="883"/>
      <c r="W830" s="883"/>
      <c r="X830" s="883"/>
      <c r="Y830" s="883"/>
      <c r="Z830" s="883"/>
      <c r="AA830" s="883"/>
      <c r="AB830" s="883"/>
      <c r="AC830" s="883"/>
      <c r="AD830" s="883"/>
      <c r="AE830" s="883"/>
      <c r="AF830" s="883"/>
      <c r="AG830" s="883"/>
    </row>
    <row r="831" spans="1:34" s="3" customFormat="1" ht="15.95" customHeight="1">
      <c r="A831" s="7"/>
      <c r="B831" s="10"/>
      <c r="C831" s="12"/>
      <c r="D831" s="880"/>
      <c r="E831" s="880"/>
      <c r="F831" s="880"/>
      <c r="G831" s="880"/>
      <c r="H831" s="880"/>
      <c r="I831" s="880"/>
      <c r="J831" s="880"/>
      <c r="K831" s="880"/>
      <c r="L831" s="881"/>
      <c r="M831" s="880"/>
      <c r="N831" s="873"/>
      <c r="O831" s="880"/>
      <c r="P831" s="873"/>
      <c r="Q831" s="884"/>
      <c r="R831" s="880"/>
      <c r="S831" s="880"/>
      <c r="T831" s="882"/>
      <c r="U831" s="882"/>
      <c r="V831" s="883"/>
      <c r="W831" s="883"/>
      <c r="X831" s="883"/>
      <c r="Y831" s="883"/>
      <c r="Z831" s="883"/>
      <c r="AA831" s="883"/>
      <c r="AB831" s="883"/>
      <c r="AC831" s="883"/>
      <c r="AD831" s="883"/>
      <c r="AE831" s="883"/>
      <c r="AF831" s="883"/>
      <c r="AG831" s="883"/>
    </row>
    <row r="832" spans="1:34" s="3" customFormat="1" ht="15.95" customHeight="1">
      <c r="A832" s="44"/>
      <c r="B832" s="41"/>
      <c r="C832" s="41"/>
      <c r="D832" s="42"/>
      <c r="E832" s="42"/>
      <c r="F832" s="43"/>
      <c r="G832" s="42"/>
      <c r="H832" s="43"/>
      <c r="I832" s="43"/>
      <c r="J832" s="42"/>
      <c r="K832" s="42"/>
      <c r="L832" s="290"/>
      <c r="M832" s="43"/>
      <c r="N832" s="43"/>
      <c r="O832" s="42"/>
      <c r="P832" s="43"/>
      <c r="Q832" s="43"/>
      <c r="R832" s="42"/>
      <c r="S832" s="43"/>
      <c r="T832" s="42"/>
      <c r="U832" s="42"/>
      <c r="V832" s="44"/>
      <c r="W832" s="44"/>
      <c r="X832" s="44"/>
      <c r="Y832" s="44"/>
      <c r="Z832" s="44"/>
      <c r="AA832" s="44"/>
      <c r="AB832" s="44"/>
      <c r="AC832" s="44"/>
      <c r="AD832" s="44"/>
      <c r="AE832" s="44"/>
      <c r="AF832" s="44"/>
      <c r="AG832" s="44"/>
    </row>
    <row r="833" spans="1:34" s="3" customFormat="1"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66"/>
      <c r="T833" s="867" t="str">
        <f>'$REV-DB'!$T$34</f>
        <v>UD1</v>
      </c>
      <c r="U833" s="867" t="str">
        <f>'$REV-DB'!$U$34</f>
        <v>UD2</v>
      </c>
      <c r="V833" s="867" t="str">
        <f>'$REV-DB'!$V$34</f>
        <v>UD3</v>
      </c>
      <c r="W833" s="867" t="str">
        <f>'$REV-DB'!$W$34</f>
        <v>UD4</v>
      </c>
      <c r="X833" s="867" t="str">
        <f>'$REV-DB'!$X$34</f>
        <v>UD5</v>
      </c>
      <c r="Y833" s="867" t="str">
        <f>'$REV-DB'!$Y$34</f>
        <v>UD6</v>
      </c>
      <c r="Z833" s="867" t="str">
        <f>'$REV-DB'!$Z$34</f>
        <v>UD7</v>
      </c>
      <c r="AA833" s="867" t="str">
        <f>'$REV-DB'!$AA$34</f>
        <v>UD8</v>
      </c>
      <c r="AB833" s="867" t="str">
        <f>'$REV-DB'!$AB$34</f>
        <v>UD9</v>
      </c>
      <c r="AC833" s="867" t="str">
        <f>'$REV-DB'!$AC$34</f>
        <v>UD10</v>
      </c>
      <c r="AD833" s="867" t="str">
        <f>'$REV-DB'!$AD$34</f>
        <v>UD11</v>
      </c>
      <c r="AE833" s="867" t="str">
        <f>'$REV-DB'!$AE$34</f>
        <v>UD12</v>
      </c>
      <c r="AF833" s="867" t="str">
        <f>'$REV-DB'!$AF$34</f>
        <v>UD13</v>
      </c>
      <c r="AG833" s="867" t="str">
        <f>'$REV-DB'!$AG$34</f>
        <v>UD14</v>
      </c>
    </row>
    <row r="834" spans="1:34" s="3" customFormat="1" ht="15.95" customHeight="1" thickTop="1" thickBot="1">
      <c r="A834" s="7"/>
      <c r="B834" s="20" t="s">
        <v>175</v>
      </c>
      <c r="C834" s="15"/>
      <c r="D834" s="861" t="s">
        <v>186</v>
      </c>
      <c r="E834" s="861" t="s">
        <v>187</v>
      </c>
      <c r="F834" s="861" t="s">
        <v>188</v>
      </c>
      <c r="G834" s="861" t="s">
        <v>189</v>
      </c>
      <c r="H834" s="861" t="s">
        <v>11</v>
      </c>
      <c r="I834" s="861" t="s">
        <v>190</v>
      </c>
      <c r="J834" s="861" t="s">
        <v>191</v>
      </c>
      <c r="K834" s="861" t="s">
        <v>192</v>
      </c>
      <c r="L834" s="861" t="s">
        <v>203</v>
      </c>
      <c r="M834" s="861" t="s">
        <v>42</v>
      </c>
      <c r="N834" s="861" t="s">
        <v>148</v>
      </c>
      <c r="O834" s="861" t="s">
        <v>193</v>
      </c>
      <c r="P834" s="861" t="s">
        <v>142</v>
      </c>
      <c r="Q834" s="861" t="s">
        <v>194</v>
      </c>
      <c r="R834" s="112" t="s">
        <v>141</v>
      </c>
      <c r="S834" s="112" t="s">
        <v>672</v>
      </c>
      <c r="T834" s="861" t="s">
        <v>541</v>
      </c>
      <c r="U834" s="861" t="s">
        <v>542</v>
      </c>
      <c r="V834" s="861" t="s">
        <v>543</v>
      </c>
      <c r="W834" s="861" t="s">
        <v>544</v>
      </c>
      <c r="X834" s="861" t="s">
        <v>545</v>
      </c>
      <c r="Y834" s="861" t="s">
        <v>546</v>
      </c>
      <c r="Z834" s="861" t="s">
        <v>547</v>
      </c>
      <c r="AA834" s="861" t="s">
        <v>548</v>
      </c>
      <c r="AB834" s="861" t="s">
        <v>549</v>
      </c>
      <c r="AC834" s="861" t="s">
        <v>550</v>
      </c>
      <c r="AD834" s="861" t="s">
        <v>551</v>
      </c>
      <c r="AE834" s="861" t="s">
        <v>552</v>
      </c>
      <c r="AF834" s="861" t="s">
        <v>553</v>
      </c>
      <c r="AG834" s="861" t="s">
        <v>554</v>
      </c>
      <c r="AH834" s="6"/>
    </row>
    <row r="835" spans="1:34" s="3" customFormat="1" ht="15.95" customHeight="1" thickTop="1">
      <c r="A835" s="7"/>
      <c r="B835" s="19" t="s">
        <v>364</v>
      </c>
      <c r="C835" s="12"/>
      <c r="D835" s="203"/>
      <c r="E835" s="203"/>
      <c r="F835" s="202"/>
      <c r="G835" s="203"/>
      <c r="H835" s="202"/>
      <c r="I835" s="202"/>
      <c r="J835" s="203"/>
      <c r="K835" s="203"/>
      <c r="L835" s="291" t="s">
        <v>34</v>
      </c>
      <c r="M835" s="202"/>
      <c r="N835" s="45" t="str">
        <f>J$6</f>
        <v>FY2010-11</v>
      </c>
      <c r="O835" s="45" t="s">
        <v>156</v>
      </c>
      <c r="P835" s="45" t="s">
        <v>147</v>
      </c>
      <c r="Q835" s="45" t="s">
        <v>70</v>
      </c>
      <c r="R835" s="203"/>
      <c r="S835" s="202" t="s">
        <v>611</v>
      </c>
      <c r="T835" s="203"/>
      <c r="U835" s="203"/>
      <c r="V835" s="204"/>
      <c r="W835" s="204"/>
      <c r="X835" s="204"/>
      <c r="Y835" s="204"/>
      <c r="Z835" s="204"/>
      <c r="AA835" s="204"/>
      <c r="AB835" s="204"/>
      <c r="AC835" s="204"/>
      <c r="AD835" s="204"/>
      <c r="AE835" s="204"/>
      <c r="AF835" s="204"/>
      <c r="AG835" s="204"/>
      <c r="AH835" s="6"/>
    </row>
    <row r="836" spans="1:34" s="3" customFormat="1" ht="15.95" customHeight="1">
      <c r="A836" s="7"/>
      <c r="B836" s="16">
        <f>DSUM('$REV-DB'!D35:AG67,"AMOUNT",D834:AG835)</f>
        <v>0</v>
      </c>
      <c r="C836" s="12"/>
      <c r="D836" s="880"/>
      <c r="E836" s="880"/>
      <c r="F836" s="880"/>
      <c r="G836" s="880"/>
      <c r="H836" s="880"/>
      <c r="I836" s="880"/>
      <c r="J836" s="880"/>
      <c r="K836" s="880"/>
      <c r="L836" s="881"/>
      <c r="M836" s="880"/>
      <c r="N836" s="873"/>
      <c r="O836" s="880"/>
      <c r="P836" s="873"/>
      <c r="Q836" s="884"/>
      <c r="R836" s="880"/>
      <c r="S836" s="880"/>
      <c r="T836" s="882"/>
      <c r="U836" s="882"/>
      <c r="V836" s="883"/>
      <c r="W836" s="883"/>
      <c r="X836" s="883"/>
      <c r="Y836" s="883"/>
      <c r="Z836" s="883"/>
      <c r="AA836" s="883"/>
      <c r="AB836" s="883"/>
      <c r="AC836" s="883"/>
      <c r="AD836" s="883"/>
      <c r="AE836" s="883"/>
      <c r="AF836" s="883"/>
      <c r="AG836" s="883"/>
      <c r="AH836" s="6"/>
    </row>
    <row r="837" spans="1:34" s="3" customFormat="1" ht="15.95" customHeight="1">
      <c r="A837" s="7"/>
      <c r="B837" s="10"/>
      <c r="C837" s="12"/>
      <c r="D837" s="880"/>
      <c r="E837" s="880"/>
      <c r="F837" s="880"/>
      <c r="G837" s="880"/>
      <c r="H837" s="880"/>
      <c r="I837" s="880"/>
      <c r="J837" s="880"/>
      <c r="K837" s="880"/>
      <c r="L837" s="881"/>
      <c r="M837" s="880"/>
      <c r="N837" s="873"/>
      <c r="O837" s="880"/>
      <c r="P837" s="873"/>
      <c r="Q837" s="884"/>
      <c r="R837" s="880"/>
      <c r="S837" s="880"/>
      <c r="T837" s="882"/>
      <c r="U837" s="882"/>
      <c r="V837" s="883"/>
      <c r="W837" s="883"/>
      <c r="X837" s="883"/>
      <c r="Y837" s="883"/>
      <c r="Z837" s="883"/>
      <c r="AA837" s="883"/>
      <c r="AB837" s="883"/>
      <c r="AC837" s="883"/>
      <c r="AD837" s="883"/>
      <c r="AE837" s="883"/>
      <c r="AF837" s="883"/>
      <c r="AG837" s="883"/>
    </row>
    <row r="838" spans="1:34" s="3" customFormat="1" ht="15.95" customHeight="1">
      <c r="A838" s="7"/>
      <c r="B838" s="10"/>
      <c r="C838" s="12"/>
      <c r="D838" s="880"/>
      <c r="E838" s="880"/>
      <c r="F838" s="880"/>
      <c r="G838" s="880"/>
      <c r="H838" s="880"/>
      <c r="I838" s="880"/>
      <c r="J838" s="880"/>
      <c r="K838" s="880"/>
      <c r="L838" s="881"/>
      <c r="M838" s="880"/>
      <c r="N838" s="873"/>
      <c r="O838" s="880"/>
      <c r="P838" s="873"/>
      <c r="Q838" s="884"/>
      <c r="R838" s="880"/>
      <c r="S838" s="880"/>
      <c r="T838" s="882"/>
      <c r="U838" s="882"/>
      <c r="V838" s="883"/>
      <c r="W838" s="883"/>
      <c r="X838" s="883"/>
      <c r="Y838" s="883"/>
      <c r="Z838" s="883"/>
      <c r="AA838" s="883"/>
      <c r="AB838" s="883"/>
      <c r="AC838" s="883"/>
      <c r="AD838" s="883"/>
      <c r="AE838" s="883"/>
      <c r="AF838" s="883"/>
      <c r="AG838" s="883"/>
    </row>
    <row r="839" spans="1:34" s="3" customFormat="1" ht="15.95" customHeight="1">
      <c r="A839" s="7"/>
      <c r="B839" s="10"/>
      <c r="C839" s="12"/>
      <c r="D839" s="880"/>
      <c r="E839" s="880"/>
      <c r="F839" s="880"/>
      <c r="G839" s="880"/>
      <c r="H839" s="880"/>
      <c r="I839" s="880"/>
      <c r="J839" s="880"/>
      <c r="K839" s="880"/>
      <c r="L839" s="881"/>
      <c r="M839" s="880"/>
      <c r="N839" s="873"/>
      <c r="O839" s="880"/>
      <c r="P839" s="873"/>
      <c r="Q839" s="884"/>
      <c r="R839" s="880"/>
      <c r="S839" s="880"/>
      <c r="T839" s="882"/>
      <c r="U839" s="882"/>
      <c r="V839" s="883"/>
      <c r="W839" s="883"/>
      <c r="X839" s="883"/>
      <c r="Y839" s="883"/>
      <c r="Z839" s="883"/>
      <c r="AA839" s="883"/>
      <c r="AB839" s="883"/>
      <c r="AC839" s="883"/>
      <c r="AD839" s="883"/>
      <c r="AE839" s="883"/>
      <c r="AF839" s="883"/>
      <c r="AG839" s="883"/>
    </row>
    <row r="840" spans="1:34" s="3" customFormat="1" ht="15.95" customHeight="1">
      <c r="A840" s="7"/>
      <c r="B840" s="10"/>
      <c r="C840" s="12"/>
      <c r="D840" s="880"/>
      <c r="E840" s="880"/>
      <c r="F840" s="880"/>
      <c r="G840" s="880"/>
      <c r="H840" s="880"/>
      <c r="I840" s="880"/>
      <c r="J840" s="880"/>
      <c r="K840" s="880"/>
      <c r="L840" s="881"/>
      <c r="M840" s="880"/>
      <c r="N840" s="873"/>
      <c r="O840" s="880"/>
      <c r="P840" s="873"/>
      <c r="Q840" s="884"/>
      <c r="R840" s="880"/>
      <c r="S840" s="880"/>
      <c r="T840" s="882"/>
      <c r="U840" s="882"/>
      <c r="V840" s="883"/>
      <c r="W840" s="883"/>
      <c r="X840" s="883"/>
      <c r="Y840" s="883"/>
      <c r="Z840" s="883"/>
      <c r="AA840" s="883"/>
      <c r="AB840" s="883"/>
      <c r="AC840" s="883"/>
      <c r="AD840" s="883"/>
      <c r="AE840" s="883"/>
      <c r="AF840" s="883"/>
      <c r="AG840" s="883"/>
    </row>
    <row r="841" spans="1:34" s="3" customFormat="1" ht="15.95" customHeight="1">
      <c r="A841" s="7"/>
      <c r="B841" s="10"/>
      <c r="C841" s="12"/>
      <c r="D841" s="880"/>
      <c r="E841" s="880"/>
      <c r="F841" s="880"/>
      <c r="G841" s="880"/>
      <c r="H841" s="880"/>
      <c r="I841" s="880"/>
      <c r="J841" s="880"/>
      <c r="K841" s="880"/>
      <c r="L841" s="881"/>
      <c r="M841" s="880"/>
      <c r="N841" s="873"/>
      <c r="O841" s="880"/>
      <c r="P841" s="873"/>
      <c r="Q841" s="884"/>
      <c r="R841" s="880"/>
      <c r="S841" s="880"/>
      <c r="T841" s="882"/>
      <c r="U841" s="882"/>
      <c r="V841" s="883"/>
      <c r="W841" s="883"/>
      <c r="X841" s="883"/>
      <c r="Y841" s="883"/>
      <c r="Z841" s="883"/>
      <c r="AA841" s="883"/>
      <c r="AB841" s="883"/>
      <c r="AC841" s="883"/>
      <c r="AD841" s="883"/>
      <c r="AE841" s="883"/>
      <c r="AF841" s="883"/>
      <c r="AG841" s="883"/>
    </row>
    <row r="842" spans="1:34" s="3" customFormat="1" ht="15.95" customHeight="1">
      <c r="A842" s="44"/>
      <c r="B842" s="41"/>
      <c r="C842" s="41"/>
      <c r="D842" s="42"/>
      <c r="E842" s="42"/>
      <c r="F842" s="43"/>
      <c r="G842" s="42"/>
      <c r="H842" s="43"/>
      <c r="I842" s="43"/>
      <c r="J842" s="42"/>
      <c r="K842" s="42"/>
      <c r="L842" s="290"/>
      <c r="M842" s="43"/>
      <c r="N842" s="43"/>
      <c r="O842" s="42"/>
      <c r="P842" s="43"/>
      <c r="Q842" s="43"/>
      <c r="R842" s="42"/>
      <c r="S842" s="43"/>
      <c r="T842" s="42"/>
      <c r="U842" s="42"/>
      <c r="V842" s="44"/>
      <c r="W842" s="44"/>
      <c r="X842" s="44"/>
      <c r="Y842" s="44"/>
      <c r="Z842" s="44"/>
      <c r="AA842" s="44"/>
      <c r="AB842" s="44"/>
      <c r="AC842" s="44"/>
      <c r="AD842" s="44"/>
      <c r="AE842" s="44"/>
      <c r="AF842" s="44"/>
      <c r="AG842" s="44"/>
    </row>
    <row r="843" spans="1:34" s="3" customFormat="1"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66"/>
      <c r="T843" s="867" t="str">
        <f>'$REV-DB'!$T$34</f>
        <v>UD1</v>
      </c>
      <c r="U843" s="867" t="str">
        <f>'$REV-DB'!$U$34</f>
        <v>UD2</v>
      </c>
      <c r="V843" s="867" t="str">
        <f>'$REV-DB'!$V$34</f>
        <v>UD3</v>
      </c>
      <c r="W843" s="867" t="str">
        <f>'$REV-DB'!$W$34</f>
        <v>UD4</v>
      </c>
      <c r="X843" s="867" t="str">
        <f>'$REV-DB'!$X$34</f>
        <v>UD5</v>
      </c>
      <c r="Y843" s="867" t="str">
        <f>'$REV-DB'!$Y$34</f>
        <v>UD6</v>
      </c>
      <c r="Z843" s="867" t="str">
        <f>'$REV-DB'!$Z$34</f>
        <v>UD7</v>
      </c>
      <c r="AA843" s="867" t="str">
        <f>'$REV-DB'!$AA$34</f>
        <v>UD8</v>
      </c>
      <c r="AB843" s="867" t="str">
        <f>'$REV-DB'!$AB$34</f>
        <v>UD9</v>
      </c>
      <c r="AC843" s="867" t="str">
        <f>'$REV-DB'!$AC$34</f>
        <v>UD10</v>
      </c>
      <c r="AD843" s="867" t="str">
        <f>'$REV-DB'!$AD$34</f>
        <v>UD11</v>
      </c>
      <c r="AE843" s="867" t="str">
        <f>'$REV-DB'!$AE$34</f>
        <v>UD12</v>
      </c>
      <c r="AF843" s="867" t="str">
        <f>'$REV-DB'!$AF$34</f>
        <v>UD13</v>
      </c>
      <c r="AG843" s="867" t="str">
        <f>'$REV-DB'!$AG$34</f>
        <v>UD14</v>
      </c>
    </row>
    <row r="844" spans="1:34" s="3" customFormat="1" ht="15.95" customHeight="1" thickTop="1" thickBot="1">
      <c r="A844" s="7"/>
      <c r="B844" s="20" t="s">
        <v>175</v>
      </c>
      <c r="C844" s="15"/>
      <c r="D844" s="861" t="s">
        <v>186</v>
      </c>
      <c r="E844" s="861" t="s">
        <v>187</v>
      </c>
      <c r="F844" s="861" t="s">
        <v>188</v>
      </c>
      <c r="G844" s="861" t="s">
        <v>189</v>
      </c>
      <c r="H844" s="861" t="s">
        <v>11</v>
      </c>
      <c r="I844" s="861" t="s">
        <v>190</v>
      </c>
      <c r="J844" s="861" t="s">
        <v>191</v>
      </c>
      <c r="K844" s="861" t="s">
        <v>192</v>
      </c>
      <c r="L844" s="861" t="s">
        <v>203</v>
      </c>
      <c r="M844" s="861" t="s">
        <v>42</v>
      </c>
      <c r="N844" s="861" t="s">
        <v>148</v>
      </c>
      <c r="O844" s="861" t="s">
        <v>193</v>
      </c>
      <c r="P844" s="861" t="s">
        <v>142</v>
      </c>
      <c r="Q844" s="861" t="s">
        <v>194</v>
      </c>
      <c r="R844" s="112" t="s">
        <v>141</v>
      </c>
      <c r="S844" s="112" t="s">
        <v>672</v>
      </c>
      <c r="T844" s="861" t="s">
        <v>541</v>
      </c>
      <c r="U844" s="861" t="s">
        <v>542</v>
      </c>
      <c r="V844" s="861" t="s">
        <v>543</v>
      </c>
      <c r="W844" s="861" t="s">
        <v>544</v>
      </c>
      <c r="X844" s="861" t="s">
        <v>545</v>
      </c>
      <c r="Y844" s="861" t="s">
        <v>546</v>
      </c>
      <c r="Z844" s="861" t="s">
        <v>547</v>
      </c>
      <c r="AA844" s="861" t="s">
        <v>548</v>
      </c>
      <c r="AB844" s="861" t="s">
        <v>549</v>
      </c>
      <c r="AC844" s="861" t="s">
        <v>550</v>
      </c>
      <c r="AD844" s="861" t="s">
        <v>551</v>
      </c>
      <c r="AE844" s="861" t="s">
        <v>552</v>
      </c>
      <c r="AF844" s="861" t="s">
        <v>553</v>
      </c>
      <c r="AG844" s="861" t="s">
        <v>554</v>
      </c>
      <c r="AH844" s="6"/>
    </row>
    <row r="845" spans="1:34" s="3" customFormat="1" ht="15.95" customHeight="1" thickTop="1">
      <c r="A845" s="7"/>
      <c r="B845" s="19" t="s">
        <v>150</v>
      </c>
      <c r="C845" s="12"/>
      <c r="D845" s="203"/>
      <c r="E845" s="203"/>
      <c r="F845" s="202"/>
      <c r="G845" s="203"/>
      <c r="H845" s="202"/>
      <c r="I845" s="202"/>
      <c r="J845" s="203"/>
      <c r="K845" s="203"/>
      <c r="L845" s="291" t="s">
        <v>34</v>
      </c>
      <c r="M845" s="202"/>
      <c r="N845" s="45" t="str">
        <f>J$6</f>
        <v>FY2010-11</v>
      </c>
      <c r="O845" s="45" t="s">
        <v>156</v>
      </c>
      <c r="P845" s="45" t="s">
        <v>147</v>
      </c>
      <c r="Q845" s="45" t="s">
        <v>140</v>
      </c>
      <c r="R845" s="203"/>
      <c r="S845" s="202" t="s">
        <v>611</v>
      </c>
      <c r="T845" s="203"/>
      <c r="U845" s="203"/>
      <c r="V845" s="204"/>
      <c r="W845" s="204"/>
      <c r="X845" s="204"/>
      <c r="Y845" s="204"/>
      <c r="Z845" s="204"/>
      <c r="AA845" s="204"/>
      <c r="AB845" s="204"/>
      <c r="AC845" s="204"/>
      <c r="AD845" s="204"/>
      <c r="AE845" s="204"/>
      <c r="AF845" s="204"/>
      <c r="AG845" s="204"/>
      <c r="AH845" s="6"/>
    </row>
    <row r="846" spans="1:34" s="3" customFormat="1" ht="15.95" customHeight="1">
      <c r="A846" s="7"/>
      <c r="B846" s="16">
        <f>DSUM('$REV-DB'!D35:AG67,"AMOUNT",D844:AG845)</f>
        <v>0</v>
      </c>
      <c r="C846" s="12"/>
      <c r="D846" s="880"/>
      <c r="E846" s="880"/>
      <c r="F846" s="880"/>
      <c r="G846" s="880"/>
      <c r="H846" s="880"/>
      <c r="I846" s="880"/>
      <c r="J846" s="880"/>
      <c r="K846" s="880"/>
      <c r="L846" s="881"/>
      <c r="M846" s="880"/>
      <c r="N846" s="873"/>
      <c r="O846" s="880"/>
      <c r="P846" s="873"/>
      <c r="Q846" s="884"/>
      <c r="R846" s="880"/>
      <c r="S846" s="880"/>
      <c r="T846" s="882"/>
      <c r="U846" s="882"/>
      <c r="V846" s="883"/>
      <c r="W846" s="883"/>
      <c r="X846" s="883"/>
      <c r="Y846" s="883"/>
      <c r="Z846" s="883"/>
      <c r="AA846" s="883"/>
      <c r="AB846" s="883"/>
      <c r="AC846" s="883"/>
      <c r="AD846" s="883"/>
      <c r="AE846" s="883"/>
      <c r="AF846" s="883"/>
      <c r="AG846" s="883"/>
      <c r="AH846" s="6"/>
    </row>
    <row r="847" spans="1:34" s="3" customFormat="1" ht="15.95" customHeight="1">
      <c r="A847" s="7"/>
      <c r="B847" s="10"/>
      <c r="C847" s="12"/>
      <c r="D847" s="880"/>
      <c r="E847" s="880"/>
      <c r="F847" s="880"/>
      <c r="G847" s="880"/>
      <c r="H847" s="880"/>
      <c r="I847" s="880"/>
      <c r="J847" s="880"/>
      <c r="K847" s="880"/>
      <c r="L847" s="881"/>
      <c r="M847" s="880"/>
      <c r="N847" s="873"/>
      <c r="O847" s="880"/>
      <c r="P847" s="873"/>
      <c r="Q847" s="884"/>
      <c r="R847" s="880"/>
      <c r="S847" s="880"/>
      <c r="T847" s="882"/>
      <c r="U847" s="882"/>
      <c r="V847" s="883"/>
      <c r="W847" s="883"/>
      <c r="X847" s="883"/>
      <c r="Y847" s="883"/>
      <c r="Z847" s="883"/>
      <c r="AA847" s="883"/>
      <c r="AB847" s="883"/>
      <c r="AC847" s="883"/>
      <c r="AD847" s="883"/>
      <c r="AE847" s="883"/>
      <c r="AF847" s="883"/>
      <c r="AG847" s="883"/>
    </row>
    <row r="848" spans="1:34" s="3" customFormat="1" ht="15.95" customHeight="1">
      <c r="A848" s="7"/>
      <c r="B848" s="10"/>
      <c r="C848" s="12"/>
      <c r="D848" s="880"/>
      <c r="E848" s="880"/>
      <c r="F848" s="880"/>
      <c r="G848" s="880"/>
      <c r="H848" s="880"/>
      <c r="I848" s="880"/>
      <c r="J848" s="880"/>
      <c r="K848" s="880"/>
      <c r="L848" s="881"/>
      <c r="M848" s="880"/>
      <c r="N848" s="873"/>
      <c r="O848" s="880"/>
      <c r="P848" s="873"/>
      <c r="Q848" s="884"/>
      <c r="R848" s="880"/>
      <c r="S848" s="880"/>
      <c r="T848" s="882"/>
      <c r="U848" s="882"/>
      <c r="V848" s="883"/>
      <c r="W848" s="883"/>
      <c r="X848" s="883"/>
      <c r="Y848" s="883"/>
      <c r="Z848" s="883"/>
      <c r="AA848" s="883"/>
      <c r="AB848" s="883"/>
      <c r="AC848" s="883"/>
      <c r="AD848" s="883"/>
      <c r="AE848" s="883"/>
      <c r="AF848" s="883"/>
      <c r="AG848" s="883"/>
    </row>
    <row r="849" spans="1:34" s="3" customFormat="1" ht="15.95" customHeight="1">
      <c r="A849" s="7"/>
      <c r="B849" s="10"/>
      <c r="C849" s="12"/>
      <c r="D849" s="880"/>
      <c r="E849" s="880"/>
      <c r="F849" s="880"/>
      <c r="G849" s="880"/>
      <c r="H849" s="880"/>
      <c r="I849" s="880"/>
      <c r="J849" s="880"/>
      <c r="K849" s="880"/>
      <c r="L849" s="881"/>
      <c r="M849" s="880"/>
      <c r="N849" s="873"/>
      <c r="O849" s="880"/>
      <c r="P849" s="873"/>
      <c r="Q849" s="884"/>
      <c r="R849" s="880"/>
      <c r="S849" s="880"/>
      <c r="T849" s="882"/>
      <c r="U849" s="882"/>
      <c r="V849" s="883"/>
      <c r="W849" s="883"/>
      <c r="X849" s="883"/>
      <c r="Y849" s="883"/>
      <c r="Z849" s="883"/>
      <c r="AA849" s="883"/>
      <c r="AB849" s="883"/>
      <c r="AC849" s="883"/>
      <c r="AD849" s="883"/>
      <c r="AE849" s="883"/>
      <c r="AF849" s="883"/>
      <c r="AG849" s="883"/>
    </row>
    <row r="850" spans="1:34" s="3" customFormat="1" ht="15.95" customHeight="1">
      <c r="A850" s="7"/>
      <c r="B850" s="10"/>
      <c r="C850" s="12"/>
      <c r="D850" s="880"/>
      <c r="E850" s="880"/>
      <c r="F850" s="880"/>
      <c r="G850" s="880"/>
      <c r="H850" s="880"/>
      <c r="I850" s="880"/>
      <c r="J850" s="880"/>
      <c r="K850" s="880"/>
      <c r="L850" s="881"/>
      <c r="M850" s="880"/>
      <c r="N850" s="873"/>
      <c r="O850" s="880"/>
      <c r="P850" s="873"/>
      <c r="Q850" s="884"/>
      <c r="R850" s="880"/>
      <c r="S850" s="880"/>
      <c r="T850" s="882"/>
      <c r="U850" s="882"/>
      <c r="V850" s="883"/>
      <c r="W850" s="883"/>
      <c r="X850" s="883"/>
      <c r="Y850" s="883"/>
      <c r="Z850" s="883"/>
      <c r="AA850" s="883"/>
      <c r="AB850" s="883"/>
      <c r="AC850" s="883"/>
      <c r="AD850" s="883"/>
      <c r="AE850" s="883"/>
      <c r="AF850" s="883"/>
      <c r="AG850" s="883"/>
    </row>
    <row r="851" spans="1:34" s="3" customFormat="1" ht="15.95" customHeight="1">
      <c r="A851" s="7"/>
      <c r="B851" s="10"/>
      <c r="C851" s="12"/>
      <c r="D851" s="880"/>
      <c r="E851" s="880"/>
      <c r="F851" s="880"/>
      <c r="G851" s="880"/>
      <c r="H851" s="880"/>
      <c r="I851" s="880"/>
      <c r="J851" s="880"/>
      <c r="K851" s="880"/>
      <c r="L851" s="881"/>
      <c r="M851" s="880"/>
      <c r="N851" s="873"/>
      <c r="O851" s="880"/>
      <c r="P851" s="873"/>
      <c r="Q851" s="884"/>
      <c r="R851" s="880"/>
      <c r="S851" s="880"/>
      <c r="T851" s="882"/>
      <c r="U851" s="882"/>
      <c r="V851" s="883"/>
      <c r="W851" s="883"/>
      <c r="X851" s="883"/>
      <c r="Y851" s="883"/>
      <c r="Z851" s="883"/>
      <c r="AA851" s="883"/>
      <c r="AB851" s="883"/>
      <c r="AC851" s="883"/>
      <c r="AD851" s="883"/>
      <c r="AE851" s="883"/>
      <c r="AF851" s="883"/>
      <c r="AG851" s="883"/>
    </row>
    <row r="852" spans="1:34" s="3" customFormat="1" ht="15.95" customHeight="1">
      <c r="A852" s="44"/>
      <c r="B852" s="41"/>
      <c r="C852" s="41"/>
      <c r="D852" s="42"/>
      <c r="E852" s="42"/>
      <c r="F852" s="43"/>
      <c r="G852" s="42"/>
      <c r="H852" s="43"/>
      <c r="I852" s="43"/>
      <c r="J852" s="42"/>
      <c r="K852" s="42"/>
      <c r="L852" s="290"/>
      <c r="M852" s="43"/>
      <c r="N852" s="43"/>
      <c r="O852" s="42"/>
      <c r="P852" s="43"/>
      <c r="Q852" s="43"/>
      <c r="R852" s="42"/>
      <c r="S852" s="43"/>
      <c r="T852" s="42"/>
      <c r="U852" s="42"/>
      <c r="V852" s="44"/>
      <c r="W852" s="44"/>
      <c r="X852" s="44"/>
      <c r="Y852" s="44"/>
      <c r="Z852" s="44"/>
      <c r="AA852" s="44"/>
      <c r="AB852" s="44"/>
      <c r="AC852" s="44"/>
      <c r="AD852" s="44"/>
      <c r="AE852" s="44"/>
      <c r="AF852" s="44"/>
      <c r="AG852" s="44"/>
    </row>
    <row r="853" spans="1:34" s="3" customFormat="1" ht="15.95" customHeight="1" thickBot="1">
      <c r="A853" s="317"/>
      <c r="B853" s="318" t="s">
        <v>403</v>
      </c>
      <c r="C853" s="317"/>
      <c r="D853" s="322"/>
      <c r="E853" s="322"/>
      <c r="F853" s="323"/>
      <c r="G853" s="322"/>
      <c r="H853" s="323"/>
      <c r="I853" s="323"/>
      <c r="J853" s="322"/>
      <c r="K853" s="322"/>
      <c r="L853" s="324"/>
      <c r="M853" s="323"/>
      <c r="N853" s="323"/>
      <c r="O853" s="322"/>
      <c r="P853" s="323"/>
      <c r="Q853" s="323"/>
      <c r="R853" s="322"/>
      <c r="S853" s="866"/>
      <c r="T853" s="867" t="str">
        <f>'$REV-DB'!$T$34</f>
        <v>UD1</v>
      </c>
      <c r="U853" s="867" t="str">
        <f>'$REV-DB'!$U$34</f>
        <v>UD2</v>
      </c>
      <c r="V853" s="867" t="str">
        <f>'$REV-DB'!$V$34</f>
        <v>UD3</v>
      </c>
      <c r="W853" s="867" t="str">
        <f>'$REV-DB'!$W$34</f>
        <v>UD4</v>
      </c>
      <c r="X853" s="867" t="str">
        <f>'$REV-DB'!$X$34</f>
        <v>UD5</v>
      </c>
      <c r="Y853" s="867" t="str">
        <f>'$REV-DB'!$Y$34</f>
        <v>UD6</v>
      </c>
      <c r="Z853" s="867" t="str">
        <f>'$REV-DB'!$Z$34</f>
        <v>UD7</v>
      </c>
      <c r="AA853" s="867" t="str">
        <f>'$REV-DB'!$AA$34</f>
        <v>UD8</v>
      </c>
      <c r="AB853" s="867" t="str">
        <f>'$REV-DB'!$AB$34</f>
        <v>UD9</v>
      </c>
      <c r="AC853" s="867" t="str">
        <f>'$REV-DB'!$AC$34</f>
        <v>UD10</v>
      </c>
      <c r="AD853" s="867" t="str">
        <f>'$REV-DB'!$AD$34</f>
        <v>UD11</v>
      </c>
      <c r="AE853" s="867" t="str">
        <f>'$REV-DB'!$AE$34</f>
        <v>UD12</v>
      </c>
      <c r="AF853" s="867" t="str">
        <f>'$REV-DB'!$AF$34</f>
        <v>UD13</v>
      </c>
      <c r="AG853" s="867" t="str">
        <f>'$REV-DB'!$AG$34</f>
        <v>UD14</v>
      </c>
    </row>
    <row r="854" spans="1:34" s="3" customFormat="1" ht="15.95" customHeight="1" thickTop="1" thickBot="1">
      <c r="A854" s="317"/>
      <c r="B854" s="319" t="s">
        <v>404</v>
      </c>
      <c r="C854" s="325"/>
      <c r="D854" s="326" t="s">
        <v>186</v>
      </c>
      <c r="E854" s="326" t="s">
        <v>187</v>
      </c>
      <c r="F854" s="326" t="s">
        <v>188</v>
      </c>
      <c r="G854" s="326" t="s">
        <v>189</v>
      </c>
      <c r="H854" s="326" t="s">
        <v>11</v>
      </c>
      <c r="I854" s="326" t="s">
        <v>190</v>
      </c>
      <c r="J854" s="326" t="s">
        <v>191</v>
      </c>
      <c r="K854" s="326" t="s">
        <v>192</v>
      </c>
      <c r="L854" s="326" t="s">
        <v>203</v>
      </c>
      <c r="M854" s="326" t="s">
        <v>42</v>
      </c>
      <c r="N854" s="326" t="s">
        <v>148</v>
      </c>
      <c r="O854" s="326" t="s">
        <v>193</v>
      </c>
      <c r="P854" s="326" t="s">
        <v>142</v>
      </c>
      <c r="Q854" s="326" t="s">
        <v>194</v>
      </c>
      <c r="R854" s="327" t="s">
        <v>141</v>
      </c>
      <c r="S854" s="112" t="s">
        <v>672</v>
      </c>
      <c r="T854" s="861" t="s">
        <v>541</v>
      </c>
      <c r="U854" s="861" t="s">
        <v>542</v>
      </c>
      <c r="V854" s="861" t="s">
        <v>543</v>
      </c>
      <c r="W854" s="861" t="s">
        <v>544</v>
      </c>
      <c r="X854" s="861" t="s">
        <v>545</v>
      </c>
      <c r="Y854" s="861" t="s">
        <v>546</v>
      </c>
      <c r="Z854" s="861" t="s">
        <v>547</v>
      </c>
      <c r="AA854" s="861" t="s">
        <v>548</v>
      </c>
      <c r="AB854" s="861" t="s">
        <v>549</v>
      </c>
      <c r="AC854" s="861" t="s">
        <v>550</v>
      </c>
      <c r="AD854" s="861" t="s">
        <v>551</v>
      </c>
      <c r="AE854" s="861" t="s">
        <v>552</v>
      </c>
      <c r="AF854" s="861" t="s">
        <v>553</v>
      </c>
      <c r="AG854" s="861" t="s">
        <v>554</v>
      </c>
      <c r="AH854" s="6"/>
    </row>
    <row r="855" spans="1:34" s="3" customFormat="1" ht="15.95" customHeight="1" thickTop="1">
      <c r="A855" s="317"/>
      <c r="B855" s="318" t="s">
        <v>408</v>
      </c>
      <c r="C855" s="328"/>
      <c r="D855" s="203"/>
      <c r="E855" s="203"/>
      <c r="F855" s="202"/>
      <c r="G855" s="203"/>
      <c r="H855" s="202"/>
      <c r="I855" s="202"/>
      <c r="J855" s="203"/>
      <c r="K855" s="203"/>
      <c r="L855" s="291" t="s">
        <v>102</v>
      </c>
      <c r="M855" s="202"/>
      <c r="N855" s="45" t="str">
        <f>J$6</f>
        <v>FY2010-11</v>
      </c>
      <c r="O855" s="45"/>
      <c r="P855" s="45"/>
      <c r="Q855" s="45"/>
      <c r="R855" s="203"/>
      <c r="S855" s="202"/>
      <c r="T855" s="203"/>
      <c r="U855" s="203"/>
      <c r="V855" s="204"/>
      <c r="W855" s="204"/>
      <c r="X855" s="204"/>
      <c r="Y855" s="204"/>
      <c r="Z855" s="204"/>
      <c r="AA855" s="204"/>
      <c r="AB855" s="204"/>
      <c r="AC855" s="204"/>
      <c r="AD855" s="204"/>
      <c r="AE855" s="204"/>
      <c r="AF855" s="204"/>
      <c r="AG855" s="204"/>
      <c r="AH855" s="6"/>
    </row>
    <row r="856" spans="1:34" s="3" customFormat="1" ht="15.95" customHeight="1">
      <c r="A856" s="317"/>
      <c r="B856" s="320">
        <f>DSUM('$REV-DB'!D35:AG67,"AMOUNT",D854:AG861)</f>
        <v>0</v>
      </c>
      <c r="C856" s="328"/>
      <c r="D856" s="203"/>
      <c r="E856" s="203"/>
      <c r="F856" s="202"/>
      <c r="G856" s="203"/>
      <c r="H856" s="202"/>
      <c r="I856" s="202"/>
      <c r="J856" s="203"/>
      <c r="K856" s="203"/>
      <c r="L856" s="291" t="s">
        <v>102</v>
      </c>
      <c r="M856" s="202"/>
      <c r="N856" s="45" t="str">
        <f t="shared" ref="N856:N861" si="0">J$6</f>
        <v>FY2010-11</v>
      </c>
      <c r="O856" s="45"/>
      <c r="P856" s="45"/>
      <c r="Q856" s="45"/>
      <c r="R856" s="203"/>
      <c r="S856" s="202"/>
      <c r="T856" s="203"/>
      <c r="U856" s="203"/>
      <c r="V856" s="204"/>
      <c r="W856" s="204"/>
      <c r="X856" s="204"/>
      <c r="Y856" s="204"/>
      <c r="Z856" s="204"/>
      <c r="AA856" s="204"/>
      <c r="AB856" s="204"/>
      <c r="AC856" s="204"/>
      <c r="AD856" s="204"/>
      <c r="AE856" s="204"/>
      <c r="AF856" s="204"/>
      <c r="AG856" s="204"/>
      <c r="AH856" s="6"/>
    </row>
    <row r="857" spans="1:34" s="3" customFormat="1" ht="15.95" customHeight="1">
      <c r="A857" s="317"/>
      <c r="B857" s="321"/>
      <c r="C857" s="328"/>
      <c r="D857" s="203"/>
      <c r="E857" s="203"/>
      <c r="F857" s="202"/>
      <c r="G857" s="203"/>
      <c r="H857" s="202"/>
      <c r="I857" s="202"/>
      <c r="J857" s="203"/>
      <c r="K857" s="203"/>
      <c r="L857" s="291" t="s">
        <v>102</v>
      </c>
      <c r="M857" s="202"/>
      <c r="N857" s="45" t="str">
        <f t="shared" si="0"/>
        <v>FY2010-11</v>
      </c>
      <c r="O857" s="45"/>
      <c r="P857" s="45"/>
      <c r="Q857" s="45"/>
      <c r="R857" s="203"/>
      <c r="S857" s="202"/>
      <c r="T857" s="203"/>
      <c r="U857" s="203"/>
      <c r="V857" s="204"/>
      <c r="W857" s="204"/>
      <c r="X857" s="204"/>
      <c r="Y857" s="204"/>
      <c r="Z857" s="204"/>
      <c r="AA857" s="204"/>
      <c r="AB857" s="204"/>
      <c r="AC857" s="204"/>
      <c r="AD857" s="204"/>
      <c r="AE857" s="204"/>
      <c r="AF857" s="204"/>
      <c r="AG857" s="204"/>
    </row>
    <row r="858" spans="1:34" s="3" customFormat="1" ht="15.95" customHeight="1">
      <c r="A858" s="317"/>
      <c r="B858" s="333" t="s">
        <v>405</v>
      </c>
      <c r="C858" s="328"/>
      <c r="D858" s="203"/>
      <c r="E858" s="203"/>
      <c r="F858" s="202"/>
      <c r="G858" s="203"/>
      <c r="H858" s="202"/>
      <c r="I858" s="202"/>
      <c r="J858" s="203"/>
      <c r="K858" s="203"/>
      <c r="L858" s="291" t="s">
        <v>102</v>
      </c>
      <c r="M858" s="202"/>
      <c r="N858" s="45" t="str">
        <f t="shared" si="0"/>
        <v>FY2010-11</v>
      </c>
      <c r="O858" s="45"/>
      <c r="P858" s="45"/>
      <c r="Q858" s="45"/>
      <c r="R858" s="203"/>
      <c r="S858" s="202"/>
      <c r="T858" s="203"/>
      <c r="U858" s="203"/>
      <c r="V858" s="204"/>
      <c r="W858" s="204"/>
      <c r="X858" s="204"/>
      <c r="Y858" s="204"/>
      <c r="Z858" s="204"/>
      <c r="AA858" s="204"/>
      <c r="AB858" s="204"/>
      <c r="AC858" s="204"/>
      <c r="AD858" s="204"/>
      <c r="AE858" s="204"/>
      <c r="AF858" s="204"/>
      <c r="AG858" s="204"/>
    </row>
    <row r="859" spans="1:34" s="3" customFormat="1" ht="15.95" customHeight="1">
      <c r="A859" s="317"/>
      <c r="B859" s="333" t="s">
        <v>406</v>
      </c>
      <c r="C859" s="328"/>
      <c r="D859" s="203"/>
      <c r="E859" s="203"/>
      <c r="F859" s="202"/>
      <c r="G859" s="203"/>
      <c r="H859" s="202"/>
      <c r="I859" s="202"/>
      <c r="J859" s="203"/>
      <c r="K859" s="203"/>
      <c r="L859" s="291" t="s">
        <v>102</v>
      </c>
      <c r="M859" s="202"/>
      <c r="N859" s="45" t="str">
        <f t="shared" si="0"/>
        <v>FY2010-11</v>
      </c>
      <c r="O859" s="45"/>
      <c r="P859" s="45"/>
      <c r="Q859" s="45"/>
      <c r="R859" s="203"/>
      <c r="S859" s="202"/>
      <c r="T859" s="203"/>
      <c r="U859" s="203"/>
      <c r="V859" s="204"/>
      <c r="W859" s="204"/>
      <c r="X859" s="204"/>
      <c r="Y859" s="204"/>
      <c r="Z859" s="204"/>
      <c r="AA859" s="204"/>
      <c r="AB859" s="204"/>
      <c r="AC859" s="204"/>
      <c r="AD859" s="204"/>
      <c r="AE859" s="204"/>
      <c r="AF859" s="204"/>
      <c r="AG859" s="204"/>
    </row>
    <row r="860" spans="1:34" s="3" customFormat="1" ht="15.95" customHeight="1">
      <c r="A860" s="317"/>
      <c r="B860" s="333" t="s">
        <v>407</v>
      </c>
      <c r="C860" s="328"/>
      <c r="D860" s="203"/>
      <c r="E860" s="203"/>
      <c r="F860" s="202"/>
      <c r="G860" s="203"/>
      <c r="H860" s="202"/>
      <c r="I860" s="202"/>
      <c r="J860" s="203"/>
      <c r="K860" s="203"/>
      <c r="L860" s="291" t="s">
        <v>102</v>
      </c>
      <c r="M860" s="202"/>
      <c r="N860" s="45" t="str">
        <f t="shared" si="0"/>
        <v>FY2010-11</v>
      </c>
      <c r="O860" s="45"/>
      <c r="P860" s="45"/>
      <c r="Q860" s="45"/>
      <c r="R860" s="203"/>
      <c r="S860" s="202"/>
      <c r="T860" s="203"/>
      <c r="U860" s="203"/>
      <c r="V860" s="204"/>
      <c r="W860" s="204"/>
      <c r="X860" s="204"/>
      <c r="Y860" s="204"/>
      <c r="Z860" s="204"/>
      <c r="AA860" s="204"/>
      <c r="AB860" s="204"/>
      <c r="AC860" s="204"/>
      <c r="AD860" s="204"/>
      <c r="AE860" s="204"/>
      <c r="AF860" s="204"/>
      <c r="AG860" s="204"/>
    </row>
    <row r="861" spans="1:34" s="3" customFormat="1" ht="15.95" customHeight="1">
      <c r="A861" s="317"/>
      <c r="B861" s="333"/>
      <c r="C861" s="328"/>
      <c r="D861" s="203"/>
      <c r="E861" s="203"/>
      <c r="F861" s="202"/>
      <c r="G861" s="203"/>
      <c r="H861" s="202"/>
      <c r="I861" s="202"/>
      <c r="J861" s="203"/>
      <c r="K861" s="203"/>
      <c r="L861" s="291" t="s">
        <v>102</v>
      </c>
      <c r="M861" s="202"/>
      <c r="N861" s="45" t="str">
        <f t="shared" si="0"/>
        <v>FY2010-11</v>
      </c>
      <c r="O861" s="45"/>
      <c r="P861" s="45"/>
      <c r="Q861" s="45"/>
      <c r="R861" s="203"/>
      <c r="S861" s="202"/>
      <c r="T861" s="203"/>
      <c r="U861" s="203"/>
      <c r="V861" s="204"/>
      <c r="W861" s="204"/>
      <c r="X861" s="204"/>
      <c r="Y861" s="204"/>
      <c r="Z861" s="204"/>
      <c r="AA861" s="204"/>
      <c r="AB861" s="204"/>
      <c r="AC861" s="204"/>
      <c r="AD861" s="204"/>
      <c r="AE861" s="204"/>
      <c r="AF861" s="204"/>
      <c r="AG861" s="204"/>
    </row>
    <row r="862" spans="1:34" s="3" customFormat="1" ht="15.95" customHeight="1">
      <c r="A862" s="329"/>
      <c r="B862" s="328"/>
      <c r="C862" s="328"/>
      <c r="D862" s="330"/>
      <c r="E862" s="330"/>
      <c r="F862" s="331"/>
      <c r="G862" s="330"/>
      <c r="H862" s="331"/>
      <c r="I862" s="331"/>
      <c r="J862" s="330"/>
      <c r="K862" s="330"/>
      <c r="L862" s="332"/>
      <c r="M862" s="331"/>
      <c r="N862" s="331"/>
      <c r="O862" s="330"/>
      <c r="P862" s="331"/>
      <c r="Q862" s="331"/>
      <c r="R862" s="330"/>
      <c r="S862" s="331"/>
      <c r="T862" s="330"/>
      <c r="U862" s="330"/>
      <c r="V862" s="329"/>
      <c r="W862" s="329"/>
      <c r="X862" s="329"/>
      <c r="Y862" s="329"/>
      <c r="Z862" s="329"/>
      <c r="AA862" s="329"/>
      <c r="AB862" s="329"/>
      <c r="AC862" s="329"/>
      <c r="AD862" s="329"/>
      <c r="AE862" s="329"/>
      <c r="AF862" s="329"/>
      <c r="AG862" s="329"/>
    </row>
    <row r="863" spans="1:34" s="3" customFormat="1" ht="15.95" customHeight="1" thickBot="1">
      <c r="A863" s="317"/>
      <c r="B863" s="318" t="s">
        <v>289</v>
      </c>
      <c r="C863" s="317"/>
      <c r="D863" s="322"/>
      <c r="E863" s="322"/>
      <c r="F863" s="323"/>
      <c r="G863" s="322"/>
      <c r="H863" s="323"/>
      <c r="I863" s="323"/>
      <c r="J863" s="322"/>
      <c r="K863" s="322"/>
      <c r="L863" s="324"/>
      <c r="M863" s="323"/>
      <c r="N863" s="323"/>
      <c r="O863" s="322"/>
      <c r="P863" s="323"/>
      <c r="Q863" s="323"/>
      <c r="R863" s="322"/>
      <c r="S863" s="866"/>
      <c r="T863" s="867" t="str">
        <f>'$REV-DB'!$T$34</f>
        <v>UD1</v>
      </c>
      <c r="U863" s="867" t="str">
        <f>'$REV-DB'!$U$34</f>
        <v>UD2</v>
      </c>
      <c r="V863" s="867" t="str">
        <f>'$REV-DB'!$V$34</f>
        <v>UD3</v>
      </c>
      <c r="W863" s="867" t="str">
        <f>'$REV-DB'!$W$34</f>
        <v>UD4</v>
      </c>
      <c r="X863" s="867" t="str">
        <f>'$REV-DB'!$X$34</f>
        <v>UD5</v>
      </c>
      <c r="Y863" s="867" t="str">
        <f>'$REV-DB'!$Y$34</f>
        <v>UD6</v>
      </c>
      <c r="Z863" s="867" t="str">
        <f>'$REV-DB'!$Z$34</f>
        <v>UD7</v>
      </c>
      <c r="AA863" s="867" t="str">
        <f>'$REV-DB'!$AA$34</f>
        <v>UD8</v>
      </c>
      <c r="AB863" s="867" t="str">
        <f>'$REV-DB'!$AB$34</f>
        <v>UD9</v>
      </c>
      <c r="AC863" s="867" t="str">
        <f>'$REV-DB'!$AC$34</f>
        <v>UD10</v>
      </c>
      <c r="AD863" s="867" t="str">
        <f>'$REV-DB'!$AD$34</f>
        <v>UD11</v>
      </c>
      <c r="AE863" s="867" t="str">
        <f>'$REV-DB'!$AE$34</f>
        <v>UD12</v>
      </c>
      <c r="AF863" s="867" t="str">
        <f>'$REV-DB'!$AF$34</f>
        <v>UD13</v>
      </c>
      <c r="AG863" s="867" t="str">
        <f>'$REV-DB'!$AG$34</f>
        <v>UD14</v>
      </c>
    </row>
    <row r="864" spans="1:34" s="3" customFormat="1" ht="15.95" customHeight="1" thickTop="1" thickBot="1">
      <c r="A864" s="317"/>
      <c r="B864" s="319" t="s">
        <v>412</v>
      </c>
      <c r="C864" s="325"/>
      <c r="D864" s="326" t="s">
        <v>186</v>
      </c>
      <c r="E864" s="326" t="s">
        <v>187</v>
      </c>
      <c r="F864" s="326" t="s">
        <v>188</v>
      </c>
      <c r="G864" s="326" t="s">
        <v>189</v>
      </c>
      <c r="H864" s="326" t="s">
        <v>11</v>
      </c>
      <c r="I864" s="326" t="s">
        <v>190</v>
      </c>
      <c r="J864" s="326" t="s">
        <v>191</v>
      </c>
      <c r="K864" s="326" t="s">
        <v>192</v>
      </c>
      <c r="L864" s="326" t="s">
        <v>203</v>
      </c>
      <c r="M864" s="326" t="s">
        <v>42</v>
      </c>
      <c r="N864" s="326" t="s">
        <v>148</v>
      </c>
      <c r="O864" s="326" t="s">
        <v>193</v>
      </c>
      <c r="P864" s="326" t="s">
        <v>142</v>
      </c>
      <c r="Q864" s="326" t="s">
        <v>194</v>
      </c>
      <c r="R864" s="327" t="s">
        <v>141</v>
      </c>
      <c r="S864" s="112" t="s">
        <v>672</v>
      </c>
      <c r="T864" s="861" t="s">
        <v>541</v>
      </c>
      <c r="U864" s="861" t="s">
        <v>542</v>
      </c>
      <c r="V864" s="861" t="s">
        <v>543</v>
      </c>
      <c r="W864" s="861" t="s">
        <v>544</v>
      </c>
      <c r="X864" s="861" t="s">
        <v>545</v>
      </c>
      <c r="Y864" s="861" t="s">
        <v>546</v>
      </c>
      <c r="Z864" s="861" t="s">
        <v>547</v>
      </c>
      <c r="AA864" s="861" t="s">
        <v>548</v>
      </c>
      <c r="AB864" s="861" t="s">
        <v>549</v>
      </c>
      <c r="AC864" s="861" t="s">
        <v>550</v>
      </c>
      <c r="AD864" s="861" t="s">
        <v>551</v>
      </c>
      <c r="AE864" s="861" t="s">
        <v>552</v>
      </c>
      <c r="AF864" s="861" t="s">
        <v>553</v>
      </c>
      <c r="AG864" s="861" t="s">
        <v>554</v>
      </c>
      <c r="AH864" s="6"/>
    </row>
    <row r="865" spans="1:34" s="3" customFormat="1" ht="15.95" customHeight="1" thickTop="1">
      <c r="A865" s="317"/>
      <c r="B865" s="318" t="s">
        <v>290</v>
      </c>
      <c r="C865" s="328"/>
      <c r="D865" s="203"/>
      <c r="E865" s="203"/>
      <c r="F865" s="202"/>
      <c r="G865" s="203"/>
      <c r="H865" s="202"/>
      <c r="I865" s="202"/>
      <c r="J865" s="203"/>
      <c r="K865" s="203"/>
      <c r="L865" s="291"/>
      <c r="M865" s="202"/>
      <c r="N865" s="45" t="str">
        <f>J$6</f>
        <v>FY2010-11</v>
      </c>
      <c r="O865" s="45"/>
      <c r="P865" s="45"/>
      <c r="Q865" s="45"/>
      <c r="R865" s="203"/>
      <c r="S865" s="202"/>
      <c r="T865" s="203"/>
      <c r="U865" s="203"/>
      <c r="V865" s="204"/>
      <c r="W865" s="204"/>
      <c r="X865" s="204"/>
      <c r="Y865" s="204"/>
      <c r="Z865" s="204"/>
      <c r="AA865" s="204"/>
      <c r="AB865" s="204"/>
      <c r="AC865" s="204"/>
      <c r="AD865" s="204"/>
      <c r="AE865" s="204"/>
      <c r="AF865" s="204"/>
      <c r="AG865" s="204"/>
      <c r="AH865" s="6"/>
    </row>
    <row r="866" spans="1:34" s="3" customFormat="1" ht="15.95" customHeight="1">
      <c r="A866" s="317"/>
      <c r="B866" s="320">
        <f>DSUM('$REV-DB'!D35:AG67,"AMOUNT",D864:AG871)</f>
        <v>18208778769.749996</v>
      </c>
      <c r="C866" s="328"/>
      <c r="D866" s="203"/>
      <c r="E866" s="203"/>
      <c r="F866" s="202"/>
      <c r="G866" s="203"/>
      <c r="H866" s="202"/>
      <c r="I866" s="202"/>
      <c r="J866" s="203"/>
      <c r="K866" s="203"/>
      <c r="L866" s="291"/>
      <c r="M866" s="202"/>
      <c r="N866" s="45" t="str">
        <f t="shared" ref="N866:N871" si="1">J$6</f>
        <v>FY2010-11</v>
      </c>
      <c r="O866" s="45"/>
      <c r="P866" s="45"/>
      <c r="Q866" s="45"/>
      <c r="R866" s="203"/>
      <c r="S866" s="202"/>
      <c r="T866" s="203"/>
      <c r="U866" s="203"/>
      <c r="V866" s="204"/>
      <c r="W866" s="204"/>
      <c r="X866" s="204"/>
      <c r="Y866" s="204"/>
      <c r="Z866" s="204"/>
      <c r="AA866" s="204"/>
      <c r="AB866" s="204"/>
      <c r="AC866" s="204"/>
      <c r="AD866" s="204"/>
      <c r="AE866" s="204"/>
      <c r="AF866" s="204"/>
      <c r="AG866" s="204"/>
      <c r="AH866" s="6"/>
    </row>
    <row r="867" spans="1:34" s="3" customFormat="1" ht="15.95" customHeight="1">
      <c r="A867" s="317"/>
      <c r="B867" s="321"/>
      <c r="C867" s="328"/>
      <c r="D867" s="203"/>
      <c r="E867" s="203"/>
      <c r="F867" s="202"/>
      <c r="G867" s="203"/>
      <c r="H867" s="202"/>
      <c r="I867" s="202"/>
      <c r="J867" s="203"/>
      <c r="K867" s="203"/>
      <c r="L867" s="291"/>
      <c r="M867" s="202"/>
      <c r="N867" s="45" t="str">
        <f t="shared" si="1"/>
        <v>FY2010-11</v>
      </c>
      <c r="O867" s="45"/>
      <c r="P867" s="45"/>
      <c r="Q867" s="45"/>
      <c r="R867" s="203"/>
      <c r="S867" s="202"/>
      <c r="T867" s="203"/>
      <c r="U867" s="203"/>
      <c r="V867" s="204"/>
      <c r="W867" s="204"/>
      <c r="X867" s="204"/>
      <c r="Y867" s="204"/>
      <c r="Z867" s="204"/>
      <c r="AA867" s="204"/>
      <c r="AB867" s="204"/>
      <c r="AC867" s="204"/>
      <c r="AD867" s="204"/>
      <c r="AE867" s="204"/>
      <c r="AF867" s="204"/>
      <c r="AG867" s="204"/>
    </row>
    <row r="868" spans="1:34" s="3" customFormat="1" ht="15.95" customHeight="1">
      <c r="A868" s="317"/>
      <c r="B868" s="333" t="s">
        <v>405</v>
      </c>
      <c r="C868" s="328"/>
      <c r="D868" s="203"/>
      <c r="E868" s="203"/>
      <c r="F868" s="202"/>
      <c r="G868" s="203"/>
      <c r="H868" s="202"/>
      <c r="I868" s="202"/>
      <c r="J868" s="203"/>
      <c r="K868" s="203"/>
      <c r="L868" s="291"/>
      <c r="M868" s="202"/>
      <c r="N868" s="45" t="str">
        <f t="shared" si="1"/>
        <v>FY2010-11</v>
      </c>
      <c r="O868" s="45"/>
      <c r="P868" s="45"/>
      <c r="Q868" s="45"/>
      <c r="R868" s="203"/>
      <c r="S868" s="202"/>
      <c r="T868" s="203"/>
      <c r="U868" s="203"/>
      <c r="V868" s="204"/>
      <c r="W868" s="204"/>
      <c r="X868" s="204"/>
      <c r="Y868" s="204"/>
      <c r="Z868" s="204"/>
      <c r="AA868" s="204"/>
      <c r="AB868" s="204"/>
      <c r="AC868" s="204"/>
      <c r="AD868" s="204"/>
      <c r="AE868" s="204"/>
      <c r="AF868" s="204"/>
      <c r="AG868" s="204"/>
    </row>
    <row r="869" spans="1:34" s="3" customFormat="1" ht="15.95" customHeight="1">
      <c r="A869" s="317"/>
      <c r="B869" s="333" t="s">
        <v>406</v>
      </c>
      <c r="C869" s="328"/>
      <c r="D869" s="203"/>
      <c r="E869" s="203"/>
      <c r="F869" s="202"/>
      <c r="G869" s="203"/>
      <c r="H869" s="202"/>
      <c r="I869" s="202"/>
      <c r="J869" s="203"/>
      <c r="K869" s="203"/>
      <c r="L869" s="291"/>
      <c r="M869" s="202"/>
      <c r="N869" s="45" t="str">
        <f t="shared" si="1"/>
        <v>FY2010-11</v>
      </c>
      <c r="O869" s="45"/>
      <c r="P869" s="45"/>
      <c r="Q869" s="45"/>
      <c r="R869" s="203"/>
      <c r="S869" s="202"/>
      <c r="T869" s="203"/>
      <c r="U869" s="203"/>
      <c r="V869" s="204"/>
      <c r="W869" s="204"/>
      <c r="X869" s="204"/>
      <c r="Y869" s="204"/>
      <c r="Z869" s="204"/>
      <c r="AA869" s="204"/>
      <c r="AB869" s="204"/>
      <c r="AC869" s="204"/>
      <c r="AD869" s="204"/>
      <c r="AE869" s="204"/>
      <c r="AF869" s="204"/>
      <c r="AG869" s="204"/>
    </row>
    <row r="870" spans="1:34" s="3" customFormat="1" ht="15.95" customHeight="1">
      <c r="A870" s="317"/>
      <c r="B870" s="333" t="s">
        <v>407</v>
      </c>
      <c r="C870" s="328"/>
      <c r="D870" s="203"/>
      <c r="E870" s="203"/>
      <c r="F870" s="202"/>
      <c r="G870" s="203"/>
      <c r="H870" s="202"/>
      <c r="I870" s="202"/>
      <c r="J870" s="203"/>
      <c r="K870" s="203"/>
      <c r="L870" s="291"/>
      <c r="M870" s="202"/>
      <c r="N870" s="45" t="str">
        <f t="shared" si="1"/>
        <v>FY2010-11</v>
      </c>
      <c r="O870" s="45"/>
      <c r="P870" s="45"/>
      <c r="Q870" s="45"/>
      <c r="R870" s="203"/>
      <c r="S870" s="202"/>
      <c r="T870" s="203"/>
      <c r="U870" s="203"/>
      <c r="V870" s="204"/>
      <c r="W870" s="204"/>
      <c r="X870" s="204"/>
      <c r="Y870" s="204"/>
      <c r="Z870" s="204"/>
      <c r="AA870" s="204"/>
      <c r="AB870" s="204"/>
      <c r="AC870" s="204"/>
      <c r="AD870" s="204"/>
      <c r="AE870" s="204"/>
      <c r="AF870" s="204"/>
      <c r="AG870" s="204"/>
    </row>
    <row r="871" spans="1:34" s="3" customFormat="1" ht="15.95" customHeight="1">
      <c r="A871" s="317"/>
      <c r="B871" s="333"/>
      <c r="C871" s="328"/>
      <c r="D871" s="203"/>
      <c r="E871" s="203"/>
      <c r="F871" s="202"/>
      <c r="G871" s="203"/>
      <c r="H871" s="202"/>
      <c r="I871" s="202"/>
      <c r="J871" s="203"/>
      <c r="K871" s="203"/>
      <c r="L871" s="291"/>
      <c r="M871" s="202"/>
      <c r="N871" s="45" t="str">
        <f t="shared" si="1"/>
        <v>FY2010-11</v>
      </c>
      <c r="O871" s="45"/>
      <c r="P871" s="45"/>
      <c r="Q871" s="45"/>
      <c r="R871" s="203"/>
      <c r="S871" s="202"/>
      <c r="T871" s="203"/>
      <c r="U871" s="203"/>
      <c r="V871" s="204"/>
      <c r="W871" s="204"/>
      <c r="X871" s="204"/>
      <c r="Y871" s="204"/>
      <c r="Z871" s="204"/>
      <c r="AA871" s="204"/>
      <c r="AB871" s="204"/>
      <c r="AC871" s="204"/>
      <c r="AD871" s="204"/>
      <c r="AE871" s="204"/>
      <c r="AF871" s="204"/>
      <c r="AG871" s="204"/>
    </row>
    <row r="872" spans="1:34" s="3" customFormat="1" ht="15.95" customHeight="1">
      <c r="A872" s="44"/>
      <c r="B872" s="41"/>
      <c r="C872" s="41"/>
      <c r="D872" s="42"/>
      <c r="E872" s="42"/>
      <c r="F872" s="43"/>
      <c r="G872" s="42"/>
      <c r="H872" s="43"/>
      <c r="I872" s="43"/>
      <c r="J872" s="42"/>
      <c r="K872" s="42"/>
      <c r="L872" s="290"/>
      <c r="M872" s="43"/>
      <c r="N872" s="43"/>
      <c r="O872" s="42"/>
      <c r="P872" s="43"/>
      <c r="Q872" s="43"/>
      <c r="R872" s="42"/>
      <c r="S872" s="43"/>
      <c r="T872" s="42"/>
      <c r="U872" s="42"/>
      <c r="V872" s="44"/>
      <c r="W872" s="44"/>
      <c r="X872" s="44"/>
      <c r="Y872" s="44"/>
      <c r="Z872" s="44"/>
      <c r="AA872" s="44"/>
      <c r="AB872" s="44"/>
      <c r="AC872" s="44"/>
      <c r="AD872" s="44"/>
      <c r="AE872" s="44"/>
      <c r="AF872" s="44"/>
      <c r="AG872" s="44"/>
    </row>
    <row r="873" spans="1:34" s="3" customFormat="1" ht="15.95" customHeight="1" thickBot="1">
      <c r="A873" s="7"/>
      <c r="B873" s="19" t="s">
        <v>41</v>
      </c>
      <c r="C873" s="7"/>
      <c r="D873" s="17"/>
      <c r="E873" s="17"/>
      <c r="F873" s="18"/>
      <c r="G873" s="17"/>
      <c r="H873" s="18"/>
      <c r="I873" s="18"/>
      <c r="J873" s="17"/>
      <c r="K873" s="17"/>
      <c r="L873" s="281"/>
      <c r="M873" s="18"/>
      <c r="N873" s="9"/>
      <c r="O873" s="17"/>
      <c r="P873" s="18"/>
      <c r="Q873" s="18"/>
      <c r="R873" s="17"/>
      <c r="S873" s="866"/>
      <c r="T873" s="867" t="str">
        <f>'$REV-DB'!$T$34</f>
        <v>UD1</v>
      </c>
      <c r="U873" s="867" t="str">
        <f>'$REV-DB'!$U$34</f>
        <v>UD2</v>
      </c>
      <c r="V873" s="867" t="str">
        <f>'$REV-DB'!$V$34</f>
        <v>UD3</v>
      </c>
      <c r="W873" s="867" t="str">
        <f>'$REV-DB'!$W$34</f>
        <v>UD4</v>
      </c>
      <c r="X873" s="867" t="str">
        <f>'$REV-DB'!$X$34</f>
        <v>UD5</v>
      </c>
      <c r="Y873" s="867" t="str">
        <f>'$REV-DB'!$Y$34</f>
        <v>UD6</v>
      </c>
      <c r="Z873" s="867" t="str">
        <f>'$REV-DB'!$Z$34</f>
        <v>UD7</v>
      </c>
      <c r="AA873" s="867" t="str">
        <f>'$REV-DB'!$AA$34</f>
        <v>UD8</v>
      </c>
      <c r="AB873" s="867" t="str">
        <f>'$REV-DB'!$AB$34</f>
        <v>UD9</v>
      </c>
      <c r="AC873" s="867" t="str">
        <f>'$REV-DB'!$AC$34</f>
        <v>UD10</v>
      </c>
      <c r="AD873" s="867" t="str">
        <f>'$REV-DB'!$AD$34</f>
        <v>UD11</v>
      </c>
      <c r="AE873" s="867" t="str">
        <f>'$REV-DB'!$AE$34</f>
        <v>UD12</v>
      </c>
      <c r="AF873" s="867" t="str">
        <f>'$REV-DB'!$AF$34</f>
        <v>UD13</v>
      </c>
      <c r="AG873" s="867" t="str">
        <f>'$REV-DB'!$AG$34</f>
        <v>UD14</v>
      </c>
    </row>
    <row r="874" spans="1:34" s="3" customFormat="1" ht="15.95" customHeight="1" thickTop="1" thickBot="1">
      <c r="A874" s="7"/>
      <c r="B874" s="20" t="s">
        <v>4</v>
      </c>
      <c r="C874" s="15"/>
      <c r="D874" s="923" t="s">
        <v>186</v>
      </c>
      <c r="E874" s="923" t="s">
        <v>187</v>
      </c>
      <c r="F874" s="923" t="s">
        <v>188</v>
      </c>
      <c r="G874" s="923" t="s">
        <v>189</v>
      </c>
      <c r="H874" s="923" t="s">
        <v>11</v>
      </c>
      <c r="I874" s="923" t="s">
        <v>190</v>
      </c>
      <c r="J874" s="923" t="s">
        <v>191</v>
      </c>
      <c r="K874" s="923" t="s">
        <v>192</v>
      </c>
      <c r="L874" s="923" t="s">
        <v>203</v>
      </c>
      <c r="M874" s="923" t="s">
        <v>42</v>
      </c>
      <c r="N874" s="923" t="s">
        <v>148</v>
      </c>
      <c r="O874" s="923" t="s">
        <v>193</v>
      </c>
      <c r="P874" s="923" t="s">
        <v>142</v>
      </c>
      <c r="Q874" s="923" t="s">
        <v>194</v>
      </c>
      <c r="R874" s="112" t="s">
        <v>141</v>
      </c>
      <c r="S874" s="112" t="s">
        <v>672</v>
      </c>
      <c r="T874" s="923" t="s">
        <v>541</v>
      </c>
      <c r="U874" s="923" t="s">
        <v>542</v>
      </c>
      <c r="V874" s="923" t="s">
        <v>543</v>
      </c>
      <c r="W874" s="923" t="s">
        <v>544</v>
      </c>
      <c r="X874" s="923" t="s">
        <v>545</v>
      </c>
      <c r="Y874" s="923" t="s">
        <v>546</v>
      </c>
      <c r="Z874" s="923" t="s">
        <v>547</v>
      </c>
      <c r="AA874" s="923" t="s">
        <v>548</v>
      </c>
      <c r="AB874" s="923" t="s">
        <v>549</v>
      </c>
      <c r="AC874" s="923" t="s">
        <v>550</v>
      </c>
      <c r="AD874" s="923" t="s">
        <v>551</v>
      </c>
      <c r="AE874" s="923" t="s">
        <v>552</v>
      </c>
      <c r="AF874" s="923" t="s">
        <v>553</v>
      </c>
      <c r="AG874" s="923" t="s">
        <v>554</v>
      </c>
      <c r="AH874" s="6"/>
    </row>
    <row r="875" spans="1:34" s="3" customFormat="1" ht="15.95" customHeight="1" thickTop="1">
      <c r="A875" s="7"/>
      <c r="B875" s="19" t="s">
        <v>146</v>
      </c>
      <c r="C875" s="12"/>
      <c r="D875" s="202"/>
      <c r="E875" s="202"/>
      <c r="F875" s="202"/>
      <c r="G875" s="202"/>
      <c r="H875" s="202"/>
      <c r="I875" s="202"/>
      <c r="J875" s="202"/>
      <c r="K875" s="202"/>
      <c r="L875" s="291" t="s">
        <v>34</v>
      </c>
      <c r="M875" s="202"/>
      <c r="N875" s="45" t="str">
        <f>J$6</f>
        <v>FY2010-11</v>
      </c>
      <c r="O875" s="45" t="s">
        <v>41</v>
      </c>
      <c r="P875" s="45" t="s">
        <v>138</v>
      </c>
      <c r="Q875" s="202"/>
      <c r="R875" s="202"/>
      <c r="S875" s="202"/>
      <c r="T875" s="203"/>
      <c r="U875" s="203"/>
      <c r="V875" s="204"/>
      <c r="W875" s="204"/>
      <c r="X875" s="204"/>
      <c r="Y875" s="204"/>
      <c r="Z875" s="204"/>
      <c r="AA875" s="204"/>
      <c r="AB875" s="204"/>
      <c r="AC875" s="204"/>
      <c r="AD875" s="204"/>
      <c r="AE875" s="204"/>
      <c r="AF875" s="204"/>
      <c r="AG875" s="204"/>
      <c r="AH875" s="6"/>
    </row>
    <row r="876" spans="1:34" s="3" customFormat="1" ht="15.95" customHeight="1">
      <c r="A876" s="7"/>
      <c r="B876" s="16">
        <f>DSUM('$REV-DB'!D35:AG67,"AMOUNT",D874:AG876)</f>
        <v>16061969544.449997</v>
      </c>
      <c r="C876" s="12"/>
      <c r="D876" s="202"/>
      <c r="E876" s="202"/>
      <c r="F876" s="202"/>
      <c r="G876" s="202"/>
      <c r="H876" s="202"/>
      <c r="I876" s="202"/>
      <c r="J876" s="202"/>
      <c r="K876" s="202"/>
      <c r="L876" s="291" t="s">
        <v>34</v>
      </c>
      <c r="M876" s="202"/>
      <c r="N876" s="45" t="str">
        <f>J$6</f>
        <v>FY2010-11</v>
      </c>
      <c r="O876" s="45" t="s">
        <v>41</v>
      </c>
      <c r="P876" s="45" t="s">
        <v>147</v>
      </c>
      <c r="Q876" s="202"/>
      <c r="R876" s="202"/>
      <c r="S876" s="202" t="s">
        <v>103</v>
      </c>
      <c r="T876" s="203"/>
      <c r="U876" s="203"/>
      <c r="V876" s="204"/>
      <c r="W876" s="204"/>
      <c r="X876" s="204"/>
      <c r="Y876" s="204"/>
      <c r="Z876" s="204"/>
      <c r="AA876" s="204"/>
      <c r="AB876" s="204"/>
      <c r="AC876" s="204"/>
      <c r="AD876" s="204"/>
      <c r="AE876" s="204"/>
      <c r="AF876" s="204"/>
      <c r="AG876" s="204"/>
      <c r="AH876" s="6"/>
    </row>
    <row r="877" spans="1:34" s="3" customFormat="1" ht="15.95" customHeight="1">
      <c r="A877" s="7"/>
      <c r="B877" s="10"/>
      <c r="C877" s="12"/>
      <c r="D877" s="880"/>
      <c r="E877" s="880"/>
      <c r="F877" s="880"/>
      <c r="G877" s="880"/>
      <c r="H877" s="880"/>
      <c r="I877" s="880"/>
      <c r="J877" s="880"/>
      <c r="K877" s="880"/>
      <c r="L877" s="881"/>
      <c r="M877" s="880"/>
      <c r="N877" s="873"/>
      <c r="O877" s="873"/>
      <c r="P877" s="873"/>
      <c r="Q877" s="880"/>
      <c r="R877" s="880"/>
      <c r="S877" s="880"/>
      <c r="T877" s="882"/>
      <c r="U877" s="882"/>
      <c r="V877" s="883"/>
      <c r="W877" s="883"/>
      <c r="X877" s="883"/>
      <c r="Y877" s="883"/>
      <c r="Z877" s="883"/>
      <c r="AA877" s="883"/>
      <c r="AB877" s="883"/>
      <c r="AC877" s="883"/>
      <c r="AD877" s="883"/>
      <c r="AE877" s="883"/>
      <c r="AF877" s="883"/>
      <c r="AG877" s="883"/>
    </row>
    <row r="878" spans="1:34" s="3" customFormat="1" ht="15.95" customHeight="1">
      <c r="A878" s="7"/>
      <c r="B878" s="10"/>
      <c r="C878" s="12"/>
      <c r="D878" s="880"/>
      <c r="E878" s="880"/>
      <c r="F878" s="880"/>
      <c r="G878" s="880"/>
      <c r="H878" s="880"/>
      <c r="I878" s="880"/>
      <c r="J878" s="880"/>
      <c r="K878" s="880"/>
      <c r="L878" s="881"/>
      <c r="M878" s="880"/>
      <c r="N878" s="873"/>
      <c r="O878" s="873"/>
      <c r="P878" s="873"/>
      <c r="Q878" s="880"/>
      <c r="R878" s="880"/>
      <c r="S878" s="880"/>
      <c r="T878" s="882"/>
      <c r="U878" s="882"/>
      <c r="V878" s="883"/>
      <c r="W878" s="883"/>
      <c r="X878" s="883"/>
      <c r="Y878" s="883"/>
      <c r="Z878" s="883"/>
      <c r="AA878" s="883"/>
      <c r="AB878" s="883"/>
      <c r="AC878" s="883"/>
      <c r="AD878" s="883"/>
      <c r="AE878" s="883"/>
      <c r="AF878" s="883"/>
      <c r="AG878" s="883"/>
    </row>
    <row r="879" spans="1:34" s="3" customFormat="1" ht="15.95" customHeight="1">
      <c r="A879" s="7"/>
      <c r="B879" s="10"/>
      <c r="C879" s="12"/>
      <c r="D879" s="880"/>
      <c r="E879" s="880"/>
      <c r="F879" s="880"/>
      <c r="G879" s="880"/>
      <c r="H879" s="880"/>
      <c r="I879" s="880"/>
      <c r="J879" s="880"/>
      <c r="K879" s="880"/>
      <c r="L879" s="881"/>
      <c r="M879" s="880"/>
      <c r="N879" s="873"/>
      <c r="O879" s="873"/>
      <c r="P879" s="873"/>
      <c r="Q879" s="880"/>
      <c r="R879" s="880"/>
      <c r="S879" s="880"/>
      <c r="T879" s="882"/>
      <c r="U879" s="882"/>
      <c r="V879" s="883"/>
      <c r="W879" s="883"/>
      <c r="X879" s="883"/>
      <c r="Y879" s="883"/>
      <c r="Z879" s="883"/>
      <c r="AA879" s="883"/>
      <c r="AB879" s="883"/>
      <c r="AC879" s="883"/>
      <c r="AD879" s="883"/>
      <c r="AE879" s="883"/>
      <c r="AF879" s="883"/>
      <c r="AG879" s="883"/>
    </row>
    <row r="880" spans="1:34" s="3" customFormat="1" ht="15.95" customHeight="1">
      <c r="A880" s="7"/>
      <c r="B880" s="10"/>
      <c r="C880" s="12"/>
      <c r="D880" s="880"/>
      <c r="E880" s="880"/>
      <c r="F880" s="880"/>
      <c r="G880" s="880"/>
      <c r="H880" s="880"/>
      <c r="I880" s="880"/>
      <c r="J880" s="880"/>
      <c r="K880" s="880"/>
      <c r="L880" s="881"/>
      <c r="M880" s="880"/>
      <c r="N880" s="873"/>
      <c r="O880" s="873"/>
      <c r="P880" s="873"/>
      <c r="Q880" s="880"/>
      <c r="R880" s="880"/>
      <c r="S880" s="880"/>
      <c r="T880" s="882"/>
      <c r="U880" s="882"/>
      <c r="V880" s="883"/>
      <c r="W880" s="883"/>
      <c r="X880" s="883"/>
      <c r="Y880" s="883"/>
      <c r="Z880" s="883"/>
      <c r="AA880" s="883"/>
      <c r="AB880" s="883"/>
      <c r="AC880" s="883"/>
      <c r="AD880" s="883"/>
      <c r="AE880" s="883"/>
      <c r="AF880" s="883"/>
      <c r="AG880" s="883"/>
    </row>
    <row r="881" spans="1:34" s="3" customFormat="1" ht="15.95" customHeight="1">
      <c r="A881" s="7"/>
      <c r="B881" s="10"/>
      <c r="C881" s="12"/>
      <c r="D881" s="880"/>
      <c r="E881" s="880"/>
      <c r="F881" s="880"/>
      <c r="G881" s="880"/>
      <c r="H881" s="880"/>
      <c r="I881" s="880"/>
      <c r="J881" s="880"/>
      <c r="K881" s="880"/>
      <c r="L881" s="881"/>
      <c r="M881" s="880"/>
      <c r="N881" s="873"/>
      <c r="O881" s="873"/>
      <c r="P881" s="873"/>
      <c r="Q881" s="880"/>
      <c r="R881" s="880"/>
      <c r="S881" s="880"/>
      <c r="T881" s="882"/>
      <c r="U881" s="882"/>
      <c r="V881" s="883"/>
      <c r="W881" s="883"/>
      <c r="X881" s="883"/>
      <c r="Y881" s="883"/>
      <c r="Z881" s="883"/>
      <c r="AA881" s="883"/>
      <c r="AB881" s="883"/>
      <c r="AC881" s="883"/>
      <c r="AD881" s="883"/>
      <c r="AE881" s="883"/>
      <c r="AF881" s="883"/>
      <c r="AG881" s="883"/>
    </row>
    <row r="882" spans="1:34" s="3" customFormat="1" ht="15.95" customHeight="1">
      <c r="A882" s="44"/>
      <c r="B882" s="41"/>
      <c r="C882" s="41"/>
      <c r="D882" s="42"/>
      <c r="E882" s="42"/>
      <c r="F882" s="43"/>
      <c r="G882" s="42"/>
      <c r="H882" s="43"/>
      <c r="I882" s="43"/>
      <c r="J882" s="42"/>
      <c r="K882" s="42"/>
      <c r="L882" s="290"/>
      <c r="M882" s="43"/>
      <c r="N882" s="43"/>
      <c r="O882" s="42"/>
      <c r="P882" s="43"/>
      <c r="Q882" s="43"/>
      <c r="R882" s="42"/>
      <c r="S882" s="43"/>
      <c r="T882" s="42"/>
      <c r="U882" s="42"/>
      <c r="V882" s="44"/>
      <c r="W882" s="44"/>
      <c r="X882" s="44"/>
      <c r="Y882" s="44"/>
      <c r="Z882" s="44"/>
      <c r="AA882" s="44"/>
      <c r="AB882" s="44"/>
      <c r="AC882" s="44"/>
      <c r="AD882" s="44"/>
      <c r="AE882" s="44"/>
      <c r="AF882" s="44"/>
      <c r="AG882" s="44"/>
    </row>
    <row r="883" spans="1:34" s="3" customFormat="1" ht="15.95" customHeight="1" thickBot="1">
      <c r="A883" s="7"/>
      <c r="B883" s="19" t="s">
        <v>41</v>
      </c>
      <c r="C883" s="7"/>
      <c r="D883" s="17"/>
      <c r="E883" s="17"/>
      <c r="F883" s="18"/>
      <c r="G883" s="17"/>
      <c r="H883" s="18"/>
      <c r="I883" s="18"/>
      <c r="J883" s="17"/>
      <c r="K883" s="17"/>
      <c r="L883" s="281"/>
      <c r="M883" s="18"/>
      <c r="N883" s="9"/>
      <c r="O883" s="17"/>
      <c r="P883" s="18"/>
      <c r="Q883" s="18"/>
      <c r="R883" s="17"/>
      <c r="S883" s="866"/>
      <c r="T883" s="867" t="str">
        <f>'$REV-DB'!$T$34</f>
        <v>UD1</v>
      </c>
      <c r="U883" s="867" t="str">
        <f>'$REV-DB'!$U$34</f>
        <v>UD2</v>
      </c>
      <c r="V883" s="867" t="str">
        <f>'$REV-DB'!$V$34</f>
        <v>UD3</v>
      </c>
      <c r="W883" s="867" t="str">
        <f>'$REV-DB'!$W$34</f>
        <v>UD4</v>
      </c>
      <c r="X883" s="867" t="str">
        <f>'$REV-DB'!$X$34</f>
        <v>UD5</v>
      </c>
      <c r="Y883" s="867" t="str">
        <f>'$REV-DB'!$Y$34</f>
        <v>UD6</v>
      </c>
      <c r="Z883" s="867" t="str">
        <f>'$REV-DB'!$Z$34</f>
        <v>UD7</v>
      </c>
      <c r="AA883" s="867" t="str">
        <f>'$REV-DB'!$AA$34</f>
        <v>UD8</v>
      </c>
      <c r="AB883" s="867" t="str">
        <f>'$REV-DB'!$AB$34</f>
        <v>UD9</v>
      </c>
      <c r="AC883" s="867" t="str">
        <f>'$REV-DB'!$AC$34</f>
        <v>UD10</v>
      </c>
      <c r="AD883" s="867" t="str">
        <f>'$REV-DB'!$AD$34</f>
        <v>UD11</v>
      </c>
      <c r="AE883" s="867" t="str">
        <f>'$REV-DB'!$AE$34</f>
        <v>UD12</v>
      </c>
      <c r="AF883" s="867" t="str">
        <f>'$REV-DB'!$AF$34</f>
        <v>UD13</v>
      </c>
      <c r="AG883" s="867" t="str">
        <f>'$REV-DB'!$AG$34</f>
        <v>UD14</v>
      </c>
    </row>
    <row r="884" spans="1:34" s="3" customFormat="1" ht="15.95" customHeight="1" thickTop="1" thickBot="1">
      <c r="A884" s="7"/>
      <c r="B884" s="20" t="s">
        <v>175</v>
      </c>
      <c r="C884" s="15"/>
      <c r="D884" s="923" t="s">
        <v>186</v>
      </c>
      <c r="E884" s="923" t="s">
        <v>187</v>
      </c>
      <c r="F884" s="923" t="s">
        <v>188</v>
      </c>
      <c r="G884" s="923" t="s">
        <v>189</v>
      </c>
      <c r="H884" s="923" t="s">
        <v>11</v>
      </c>
      <c r="I884" s="923" t="s">
        <v>190</v>
      </c>
      <c r="J884" s="923" t="s">
        <v>191</v>
      </c>
      <c r="K884" s="923" t="s">
        <v>192</v>
      </c>
      <c r="L884" s="923" t="s">
        <v>203</v>
      </c>
      <c r="M884" s="923" t="s">
        <v>42</v>
      </c>
      <c r="N884" s="923" t="s">
        <v>148</v>
      </c>
      <c r="O884" s="923" t="s">
        <v>193</v>
      </c>
      <c r="P884" s="923" t="s">
        <v>142</v>
      </c>
      <c r="Q884" s="923" t="s">
        <v>194</v>
      </c>
      <c r="R884" s="112" t="s">
        <v>141</v>
      </c>
      <c r="S884" s="112" t="s">
        <v>672</v>
      </c>
      <c r="T884" s="923" t="s">
        <v>541</v>
      </c>
      <c r="U884" s="923" t="s">
        <v>542</v>
      </c>
      <c r="V884" s="923" t="s">
        <v>543</v>
      </c>
      <c r="W884" s="923" t="s">
        <v>544</v>
      </c>
      <c r="X884" s="923" t="s">
        <v>545</v>
      </c>
      <c r="Y884" s="923" t="s">
        <v>546</v>
      </c>
      <c r="Z884" s="923" t="s">
        <v>547</v>
      </c>
      <c r="AA884" s="923" t="s">
        <v>548</v>
      </c>
      <c r="AB884" s="923" t="s">
        <v>549</v>
      </c>
      <c r="AC884" s="923" t="s">
        <v>550</v>
      </c>
      <c r="AD884" s="923" t="s">
        <v>551</v>
      </c>
      <c r="AE884" s="923" t="s">
        <v>552</v>
      </c>
      <c r="AF884" s="923" t="s">
        <v>553</v>
      </c>
      <c r="AG884" s="923" t="s">
        <v>554</v>
      </c>
      <c r="AH884" s="6"/>
    </row>
    <row r="885" spans="1:34" s="3" customFormat="1" ht="15.95" customHeight="1" thickTop="1">
      <c r="A885" s="7"/>
      <c r="B885" s="19" t="s">
        <v>146</v>
      </c>
      <c r="C885" s="12"/>
      <c r="D885" s="203"/>
      <c r="E885" s="203"/>
      <c r="F885" s="202"/>
      <c r="G885" s="203"/>
      <c r="H885" s="202"/>
      <c r="I885" s="202"/>
      <c r="J885" s="203"/>
      <c r="K885" s="203"/>
      <c r="L885" s="291" t="s">
        <v>34</v>
      </c>
      <c r="M885" s="202"/>
      <c r="N885" s="45" t="str">
        <f>J$6</f>
        <v>FY2010-11</v>
      </c>
      <c r="O885" s="45" t="s">
        <v>41</v>
      </c>
      <c r="P885" s="45" t="s">
        <v>147</v>
      </c>
      <c r="Q885" s="45"/>
      <c r="R885" s="203"/>
      <c r="S885" s="202" t="s">
        <v>611</v>
      </c>
      <c r="T885" s="203"/>
      <c r="U885" s="203"/>
      <c r="V885" s="204"/>
      <c r="W885" s="204"/>
      <c r="X885" s="204"/>
      <c r="Y885" s="204"/>
      <c r="Z885" s="204"/>
      <c r="AA885" s="204"/>
      <c r="AB885" s="204"/>
      <c r="AC885" s="204"/>
      <c r="AD885" s="204"/>
      <c r="AE885" s="204"/>
      <c r="AF885" s="204"/>
      <c r="AG885" s="204"/>
      <c r="AH885" s="6"/>
    </row>
    <row r="886" spans="1:34" s="3" customFormat="1" ht="15.95" customHeight="1">
      <c r="A886" s="7"/>
      <c r="B886" s="16">
        <f>DSUM('$REV-DB'!D35:AG67,"AMOUNT",D884:AG885)</f>
        <v>104546061.00000001</v>
      </c>
      <c r="C886" s="12"/>
      <c r="D886" s="880"/>
      <c r="E886" s="880"/>
      <c r="F886" s="880"/>
      <c r="G886" s="880"/>
      <c r="H886" s="880"/>
      <c r="I886" s="880"/>
      <c r="J886" s="880"/>
      <c r="K886" s="880"/>
      <c r="L886" s="881"/>
      <c r="M886" s="880"/>
      <c r="N886" s="873"/>
      <c r="O886" s="880"/>
      <c r="P886" s="873"/>
      <c r="Q886" s="884"/>
      <c r="R886" s="880"/>
      <c r="S886" s="880"/>
      <c r="T886" s="882"/>
      <c r="U886" s="882"/>
      <c r="V886" s="883"/>
      <c r="W886" s="883"/>
      <c r="X886" s="883"/>
      <c r="Y886" s="883"/>
      <c r="Z886" s="883"/>
      <c r="AA886" s="883"/>
      <c r="AB886" s="883"/>
      <c r="AC886" s="883"/>
      <c r="AD886" s="883"/>
      <c r="AE886" s="883"/>
      <c r="AF886" s="883"/>
      <c r="AG886" s="883"/>
      <c r="AH886" s="6"/>
    </row>
    <row r="887" spans="1:34" s="3" customFormat="1" ht="15.95" customHeight="1">
      <c r="A887" s="7"/>
      <c r="B887" s="10"/>
      <c r="C887" s="12"/>
      <c r="D887" s="880"/>
      <c r="E887" s="880"/>
      <c r="F887" s="880"/>
      <c r="G887" s="880"/>
      <c r="H887" s="880"/>
      <c r="I887" s="880"/>
      <c r="J887" s="880"/>
      <c r="K887" s="880"/>
      <c r="L887" s="881"/>
      <c r="M887" s="880"/>
      <c r="N887" s="873"/>
      <c r="O887" s="880"/>
      <c r="P887" s="873"/>
      <c r="Q887" s="884"/>
      <c r="R887" s="880"/>
      <c r="S887" s="880"/>
      <c r="T887" s="882"/>
      <c r="U887" s="882"/>
      <c r="V887" s="883"/>
      <c r="W887" s="883"/>
      <c r="X887" s="883"/>
      <c r="Y887" s="883"/>
      <c r="Z887" s="883"/>
      <c r="AA887" s="883"/>
      <c r="AB887" s="883"/>
      <c r="AC887" s="883"/>
      <c r="AD887" s="883"/>
      <c r="AE887" s="883"/>
      <c r="AF887" s="883"/>
      <c r="AG887" s="883"/>
    </row>
    <row r="888" spans="1:34" s="3" customFormat="1" ht="15.95" customHeight="1">
      <c r="A888" s="7"/>
      <c r="B888" s="10"/>
      <c r="C888" s="12"/>
      <c r="D888" s="880"/>
      <c r="E888" s="880"/>
      <c r="F888" s="880"/>
      <c r="G888" s="880"/>
      <c r="H888" s="880"/>
      <c r="I888" s="880"/>
      <c r="J888" s="880"/>
      <c r="K888" s="880"/>
      <c r="L888" s="881"/>
      <c r="M888" s="880"/>
      <c r="N888" s="873"/>
      <c r="O888" s="880"/>
      <c r="P888" s="873"/>
      <c r="Q888" s="884"/>
      <c r="R888" s="880"/>
      <c r="S888" s="880"/>
      <c r="T888" s="882"/>
      <c r="U888" s="882"/>
      <c r="V888" s="883"/>
      <c r="W888" s="883"/>
      <c r="X888" s="883"/>
      <c r="Y888" s="883"/>
      <c r="Z888" s="883"/>
      <c r="AA888" s="883"/>
      <c r="AB888" s="883"/>
      <c r="AC888" s="883"/>
      <c r="AD888" s="883"/>
      <c r="AE888" s="883"/>
      <c r="AF888" s="883"/>
      <c r="AG888" s="883"/>
    </row>
    <row r="889" spans="1:34" s="3" customFormat="1" ht="15.95" customHeight="1">
      <c r="A889" s="7"/>
      <c r="B889" s="10"/>
      <c r="C889" s="12"/>
      <c r="D889" s="880"/>
      <c r="E889" s="880"/>
      <c r="F889" s="880"/>
      <c r="G889" s="880"/>
      <c r="H889" s="880"/>
      <c r="I889" s="880"/>
      <c r="J889" s="880"/>
      <c r="K889" s="880"/>
      <c r="L889" s="881"/>
      <c r="M889" s="880"/>
      <c r="N889" s="873"/>
      <c r="O889" s="880"/>
      <c r="P889" s="873"/>
      <c r="Q889" s="884"/>
      <c r="R889" s="880"/>
      <c r="S889" s="880"/>
      <c r="T889" s="882"/>
      <c r="U889" s="882"/>
      <c r="V889" s="883"/>
      <c r="W889" s="883"/>
      <c r="X889" s="883"/>
      <c r="Y889" s="883"/>
      <c r="Z889" s="883"/>
      <c r="AA889" s="883"/>
      <c r="AB889" s="883"/>
      <c r="AC889" s="883"/>
      <c r="AD889" s="883"/>
      <c r="AE889" s="883"/>
      <c r="AF889" s="883"/>
      <c r="AG889" s="883"/>
    </row>
    <row r="890" spans="1:34" s="3" customFormat="1" ht="15.95" customHeight="1">
      <c r="A890" s="7"/>
      <c r="B890" s="10"/>
      <c r="C890" s="12"/>
      <c r="D890" s="880"/>
      <c r="E890" s="880"/>
      <c r="F890" s="880"/>
      <c r="G890" s="880"/>
      <c r="H890" s="880"/>
      <c r="I890" s="880"/>
      <c r="J890" s="880"/>
      <c r="K890" s="880"/>
      <c r="L890" s="881"/>
      <c r="M890" s="880"/>
      <c r="N890" s="873"/>
      <c r="O890" s="880"/>
      <c r="P890" s="873"/>
      <c r="Q890" s="884"/>
      <c r="R890" s="880"/>
      <c r="S890" s="880"/>
      <c r="T890" s="882"/>
      <c r="U890" s="882"/>
      <c r="V890" s="883"/>
      <c r="W890" s="883"/>
      <c r="X890" s="883"/>
      <c r="Y890" s="883"/>
      <c r="Z890" s="883"/>
      <c r="AA890" s="883"/>
      <c r="AB890" s="883"/>
      <c r="AC890" s="883"/>
      <c r="AD890" s="883"/>
      <c r="AE890" s="883"/>
      <c r="AF890" s="883"/>
      <c r="AG890" s="883"/>
    </row>
    <row r="891" spans="1:34" s="3" customFormat="1" ht="15.95" customHeight="1">
      <c r="A891" s="7"/>
      <c r="B891" s="10"/>
      <c r="C891" s="12"/>
      <c r="D891" s="880"/>
      <c r="E891" s="880"/>
      <c r="F891" s="880"/>
      <c r="G891" s="880"/>
      <c r="H891" s="880"/>
      <c r="I891" s="880"/>
      <c r="J891" s="880"/>
      <c r="K891" s="880"/>
      <c r="L891" s="881"/>
      <c r="M891" s="880"/>
      <c r="N891" s="873"/>
      <c r="O891" s="880"/>
      <c r="P891" s="873"/>
      <c r="Q891" s="884"/>
      <c r="R891" s="880"/>
      <c r="S891" s="880"/>
      <c r="T891" s="882"/>
      <c r="U891" s="882"/>
      <c r="V891" s="883"/>
      <c r="W891" s="883"/>
      <c r="X891" s="883"/>
      <c r="Y891" s="883"/>
      <c r="Z891" s="883"/>
      <c r="AA891" s="883"/>
      <c r="AB891" s="883"/>
      <c r="AC891" s="883"/>
      <c r="AD891" s="883"/>
      <c r="AE891" s="883"/>
      <c r="AF891" s="883"/>
      <c r="AG891" s="883"/>
    </row>
    <row r="892" spans="1:34" s="3" customFormat="1" ht="15.95" customHeight="1">
      <c r="A892" s="44"/>
      <c r="B892" s="41"/>
      <c r="C892" s="41"/>
      <c r="D892" s="42"/>
      <c r="E892" s="42"/>
      <c r="F892" s="43"/>
      <c r="G892" s="42"/>
      <c r="H892" s="43"/>
      <c r="I892" s="43"/>
      <c r="J892" s="42"/>
      <c r="K892" s="42"/>
      <c r="L892" s="290"/>
      <c r="M892" s="43"/>
      <c r="N892" s="43"/>
      <c r="O892" s="42"/>
      <c r="P892" s="43"/>
      <c r="Q892" s="43"/>
      <c r="R892" s="42"/>
      <c r="S892" s="43"/>
      <c r="T892" s="42"/>
      <c r="U892" s="42"/>
      <c r="V892" s="44"/>
      <c r="W892" s="44"/>
      <c r="X892" s="44"/>
      <c r="Y892" s="44"/>
      <c r="Z892" s="44"/>
      <c r="AA892" s="44"/>
      <c r="AB892" s="44"/>
      <c r="AC892" s="44"/>
      <c r="AD892" s="44"/>
      <c r="AE892" s="44"/>
      <c r="AF892" s="44"/>
      <c r="AG892" s="44"/>
    </row>
    <row r="893" spans="1:34" s="3" customFormat="1" ht="15.95" customHeight="1" thickBot="1">
      <c r="A893" s="7"/>
      <c r="B893" s="19" t="s">
        <v>668</v>
      </c>
      <c r="C893" s="7"/>
      <c r="D893" s="17"/>
      <c r="E893" s="17"/>
      <c r="F893" s="18"/>
      <c r="G893" s="17"/>
      <c r="H893" s="18"/>
      <c r="I893" s="18"/>
      <c r="J893" s="17"/>
      <c r="K893" s="17"/>
      <c r="L893" s="281"/>
      <c r="M893" s="18"/>
      <c r="N893" s="9"/>
      <c r="O893" s="17"/>
      <c r="P893" s="18"/>
      <c r="Q893" s="18"/>
      <c r="R893" s="17"/>
      <c r="S893" s="866"/>
      <c r="T893" s="867" t="str">
        <f>'$REV-DB'!$T$34</f>
        <v>UD1</v>
      </c>
      <c r="U893" s="867" t="str">
        <f>'$REV-DB'!$U$34</f>
        <v>UD2</v>
      </c>
      <c r="V893" s="867" t="str">
        <f>'$REV-DB'!$V$34</f>
        <v>UD3</v>
      </c>
      <c r="W893" s="867" t="str">
        <f>'$REV-DB'!$W$34</f>
        <v>UD4</v>
      </c>
      <c r="X893" s="867" t="str">
        <f>'$REV-DB'!$X$34</f>
        <v>UD5</v>
      </c>
      <c r="Y893" s="867" t="str">
        <f>'$REV-DB'!$Y$34</f>
        <v>UD6</v>
      </c>
      <c r="Z893" s="867" t="str">
        <f>'$REV-DB'!$Z$34</f>
        <v>UD7</v>
      </c>
      <c r="AA893" s="867" t="str">
        <f>'$REV-DB'!$AA$34</f>
        <v>UD8</v>
      </c>
      <c r="AB893" s="867" t="str">
        <f>'$REV-DB'!$AB$34</f>
        <v>UD9</v>
      </c>
      <c r="AC893" s="867" t="str">
        <f>'$REV-DB'!$AC$34</f>
        <v>UD10</v>
      </c>
      <c r="AD893" s="867" t="str">
        <f>'$REV-DB'!$AD$34</f>
        <v>UD11</v>
      </c>
      <c r="AE893" s="867" t="str">
        <f>'$REV-DB'!$AE$34</f>
        <v>UD12</v>
      </c>
      <c r="AF893" s="867" t="str">
        <f>'$REV-DB'!$AF$34</f>
        <v>UD13</v>
      </c>
      <c r="AG893" s="867" t="str">
        <f>'$REV-DB'!$AG$34</f>
        <v>UD14</v>
      </c>
    </row>
    <row r="894" spans="1:34" s="3" customFormat="1" ht="15.95" customHeight="1" thickTop="1" thickBot="1">
      <c r="A894" s="7"/>
      <c r="B894" s="20" t="s">
        <v>4</v>
      </c>
      <c r="C894" s="15"/>
      <c r="D894" s="923" t="s">
        <v>186</v>
      </c>
      <c r="E894" s="923" t="s">
        <v>187</v>
      </c>
      <c r="F894" s="923" t="s">
        <v>188</v>
      </c>
      <c r="G894" s="923" t="s">
        <v>189</v>
      </c>
      <c r="H894" s="923" t="s">
        <v>11</v>
      </c>
      <c r="I894" s="923" t="s">
        <v>190</v>
      </c>
      <c r="J894" s="923" t="s">
        <v>191</v>
      </c>
      <c r="K894" s="923" t="s">
        <v>192</v>
      </c>
      <c r="L894" s="923" t="s">
        <v>203</v>
      </c>
      <c r="M894" s="923" t="s">
        <v>42</v>
      </c>
      <c r="N894" s="923" t="s">
        <v>148</v>
      </c>
      <c r="O894" s="923" t="s">
        <v>193</v>
      </c>
      <c r="P894" s="923" t="s">
        <v>142</v>
      </c>
      <c r="Q894" s="923" t="s">
        <v>194</v>
      </c>
      <c r="R894" s="112" t="s">
        <v>141</v>
      </c>
      <c r="S894" s="112" t="s">
        <v>672</v>
      </c>
      <c r="T894" s="923" t="s">
        <v>541</v>
      </c>
      <c r="U894" s="923" t="s">
        <v>542</v>
      </c>
      <c r="V894" s="923" t="s">
        <v>543</v>
      </c>
      <c r="W894" s="923" t="s">
        <v>544</v>
      </c>
      <c r="X894" s="923" t="s">
        <v>545</v>
      </c>
      <c r="Y894" s="923" t="s">
        <v>546</v>
      </c>
      <c r="Z894" s="923" t="s">
        <v>547</v>
      </c>
      <c r="AA894" s="923" t="s">
        <v>548</v>
      </c>
      <c r="AB894" s="923" t="s">
        <v>549</v>
      </c>
      <c r="AC894" s="923" t="s">
        <v>550</v>
      </c>
      <c r="AD894" s="923" t="s">
        <v>551</v>
      </c>
      <c r="AE894" s="923" t="s">
        <v>552</v>
      </c>
      <c r="AF894" s="923" t="s">
        <v>553</v>
      </c>
      <c r="AG894" s="923" t="s">
        <v>554</v>
      </c>
      <c r="AH894" s="6"/>
    </row>
    <row r="895" spans="1:34" s="3" customFormat="1" ht="15.95" customHeight="1" thickTop="1">
      <c r="A895" s="7"/>
      <c r="B895" s="19" t="s">
        <v>146</v>
      </c>
      <c r="C895" s="12"/>
      <c r="D895" s="202"/>
      <c r="E895" s="202"/>
      <c r="F895" s="202"/>
      <c r="G895" s="202"/>
      <c r="H895" s="202"/>
      <c r="I895" s="202"/>
      <c r="J895" s="202"/>
      <c r="K895" s="202"/>
      <c r="L895" s="291" t="s">
        <v>34</v>
      </c>
      <c r="M895" s="202"/>
      <c r="N895" s="45" t="str">
        <f>J$6</f>
        <v>FY2010-11</v>
      </c>
      <c r="O895" s="45" t="s">
        <v>669</v>
      </c>
      <c r="P895" s="45" t="s">
        <v>138</v>
      </c>
      <c r="Q895" s="202"/>
      <c r="R895" s="202"/>
      <c r="S895" s="202"/>
      <c r="T895" s="203"/>
      <c r="U895" s="203"/>
      <c r="V895" s="204"/>
      <c r="W895" s="204"/>
      <c r="X895" s="204"/>
      <c r="Y895" s="204"/>
      <c r="Z895" s="204"/>
      <c r="AA895" s="204"/>
      <c r="AB895" s="204"/>
      <c r="AC895" s="204"/>
      <c r="AD895" s="204"/>
      <c r="AE895" s="204"/>
      <c r="AF895" s="204"/>
      <c r="AG895" s="204"/>
      <c r="AH895" s="6"/>
    </row>
    <row r="896" spans="1:34" s="3" customFormat="1" ht="15.95" customHeight="1">
      <c r="A896" s="7"/>
      <c r="B896" s="16">
        <f>DSUM('$REV-DB'!D35:AG67,"AMOUNT",D894:AG896)</f>
        <v>1952590093.3</v>
      </c>
      <c r="C896" s="12"/>
      <c r="D896" s="202"/>
      <c r="E896" s="202"/>
      <c r="F896" s="202"/>
      <c r="G896" s="202"/>
      <c r="H896" s="202"/>
      <c r="I896" s="202"/>
      <c r="J896" s="202"/>
      <c r="K896" s="202"/>
      <c r="L896" s="291" t="s">
        <v>34</v>
      </c>
      <c r="M896" s="202"/>
      <c r="N896" s="45" t="str">
        <f>J$6</f>
        <v>FY2010-11</v>
      </c>
      <c r="O896" s="45" t="s">
        <v>669</v>
      </c>
      <c r="P896" s="45" t="s">
        <v>147</v>
      </c>
      <c r="Q896" s="202"/>
      <c r="R896" s="202"/>
      <c r="S896" s="202" t="s">
        <v>103</v>
      </c>
      <c r="T896" s="203"/>
      <c r="U896" s="203"/>
      <c r="V896" s="204"/>
      <c r="W896" s="204"/>
      <c r="X896" s="204"/>
      <c r="Y896" s="204"/>
      <c r="Z896" s="204"/>
      <c r="AA896" s="204"/>
      <c r="AB896" s="204"/>
      <c r="AC896" s="204"/>
      <c r="AD896" s="204"/>
      <c r="AE896" s="204"/>
      <c r="AF896" s="204"/>
      <c r="AG896" s="204"/>
      <c r="AH896" s="6"/>
    </row>
    <row r="897" spans="1:34" s="3" customFormat="1" ht="15.95" customHeight="1">
      <c r="A897" s="7"/>
      <c r="B897" s="10"/>
      <c r="C897" s="12"/>
      <c r="D897" s="880"/>
      <c r="E897" s="880"/>
      <c r="F897" s="880"/>
      <c r="G897" s="880"/>
      <c r="H897" s="880"/>
      <c r="I897" s="880"/>
      <c r="J897" s="880"/>
      <c r="K897" s="880"/>
      <c r="L897" s="881"/>
      <c r="M897" s="880"/>
      <c r="N897" s="873"/>
      <c r="O897" s="873"/>
      <c r="P897" s="873"/>
      <c r="Q897" s="880"/>
      <c r="R897" s="880"/>
      <c r="S897" s="880"/>
      <c r="T897" s="882"/>
      <c r="U897" s="882"/>
      <c r="V897" s="883"/>
      <c r="W897" s="883"/>
      <c r="X897" s="883"/>
      <c r="Y897" s="883"/>
      <c r="Z897" s="883"/>
      <c r="AA897" s="883"/>
      <c r="AB897" s="883"/>
      <c r="AC897" s="883"/>
      <c r="AD897" s="883"/>
      <c r="AE897" s="883"/>
      <c r="AF897" s="883"/>
      <c r="AG897" s="883"/>
    </row>
    <row r="898" spans="1:34" s="3" customFormat="1" ht="15.95" customHeight="1">
      <c r="A898" s="7"/>
      <c r="B898" s="10"/>
      <c r="C898" s="12"/>
      <c r="D898" s="880"/>
      <c r="E898" s="880"/>
      <c r="F898" s="880"/>
      <c r="G898" s="880"/>
      <c r="H898" s="880"/>
      <c r="I898" s="880"/>
      <c r="J898" s="880"/>
      <c r="K898" s="880"/>
      <c r="L898" s="881"/>
      <c r="M898" s="880"/>
      <c r="N898" s="873"/>
      <c r="O898" s="873"/>
      <c r="P898" s="873"/>
      <c r="Q898" s="880"/>
      <c r="R898" s="880"/>
      <c r="S898" s="880"/>
      <c r="T898" s="882"/>
      <c r="U898" s="882"/>
      <c r="V898" s="883"/>
      <c r="W898" s="883"/>
      <c r="X898" s="883"/>
      <c r="Y898" s="883"/>
      <c r="Z898" s="883"/>
      <c r="AA898" s="883"/>
      <c r="AB898" s="883"/>
      <c r="AC898" s="883"/>
      <c r="AD898" s="883"/>
      <c r="AE898" s="883"/>
      <c r="AF898" s="883"/>
      <c r="AG898" s="883"/>
    </row>
    <row r="899" spans="1:34" s="3" customFormat="1" ht="15.95" customHeight="1">
      <c r="A899" s="7"/>
      <c r="B899" s="10"/>
      <c r="C899" s="12"/>
      <c r="D899" s="880"/>
      <c r="E899" s="880"/>
      <c r="F899" s="880"/>
      <c r="G899" s="880"/>
      <c r="H899" s="880"/>
      <c r="I899" s="880"/>
      <c r="J899" s="880"/>
      <c r="K899" s="880"/>
      <c r="L899" s="881"/>
      <c r="M899" s="880"/>
      <c r="N899" s="873"/>
      <c r="O899" s="873"/>
      <c r="P899" s="873"/>
      <c r="Q899" s="880"/>
      <c r="R899" s="880"/>
      <c r="S899" s="880"/>
      <c r="T899" s="882"/>
      <c r="U899" s="882"/>
      <c r="V899" s="883"/>
      <c r="W899" s="883"/>
      <c r="X899" s="883"/>
      <c r="Y899" s="883"/>
      <c r="Z899" s="883"/>
      <c r="AA899" s="883"/>
      <c r="AB899" s="883"/>
      <c r="AC899" s="883"/>
      <c r="AD899" s="883"/>
      <c r="AE899" s="883"/>
      <c r="AF899" s="883"/>
      <c r="AG899" s="883"/>
    </row>
    <row r="900" spans="1:34" s="3" customFormat="1" ht="15.95" customHeight="1">
      <c r="A900" s="7"/>
      <c r="B900" s="10"/>
      <c r="C900" s="12"/>
      <c r="D900" s="880"/>
      <c r="E900" s="880"/>
      <c r="F900" s="880"/>
      <c r="G900" s="880"/>
      <c r="H900" s="880"/>
      <c r="I900" s="880"/>
      <c r="J900" s="880"/>
      <c r="K900" s="880"/>
      <c r="L900" s="881"/>
      <c r="M900" s="880"/>
      <c r="N900" s="873"/>
      <c r="O900" s="873"/>
      <c r="P900" s="873"/>
      <c r="Q900" s="880"/>
      <c r="R900" s="880"/>
      <c r="S900" s="880"/>
      <c r="T900" s="882"/>
      <c r="U900" s="882"/>
      <c r="V900" s="883"/>
      <c r="W900" s="883"/>
      <c r="X900" s="883"/>
      <c r="Y900" s="883"/>
      <c r="Z900" s="883"/>
      <c r="AA900" s="883"/>
      <c r="AB900" s="883"/>
      <c r="AC900" s="883"/>
      <c r="AD900" s="883"/>
      <c r="AE900" s="883"/>
      <c r="AF900" s="883"/>
      <c r="AG900" s="883"/>
    </row>
    <row r="901" spans="1:34" s="3" customFormat="1" ht="15.95" customHeight="1">
      <c r="A901" s="7"/>
      <c r="B901" s="10"/>
      <c r="C901" s="12"/>
      <c r="D901" s="880"/>
      <c r="E901" s="880"/>
      <c r="F901" s="880"/>
      <c r="G901" s="880"/>
      <c r="H901" s="880"/>
      <c r="I901" s="880"/>
      <c r="J901" s="880"/>
      <c r="K901" s="880"/>
      <c r="L901" s="881"/>
      <c r="M901" s="880"/>
      <c r="N901" s="873"/>
      <c r="O901" s="873"/>
      <c r="P901" s="873"/>
      <c r="Q901" s="880"/>
      <c r="R901" s="880"/>
      <c r="S901" s="880"/>
      <c r="T901" s="882"/>
      <c r="U901" s="882"/>
      <c r="V901" s="883"/>
      <c r="W901" s="883"/>
      <c r="X901" s="883"/>
      <c r="Y901" s="883"/>
      <c r="Z901" s="883"/>
      <c r="AA901" s="883"/>
      <c r="AB901" s="883"/>
      <c r="AC901" s="883"/>
      <c r="AD901" s="883"/>
      <c r="AE901" s="883"/>
      <c r="AF901" s="883"/>
      <c r="AG901" s="883"/>
    </row>
    <row r="902" spans="1:34" s="3" customFormat="1" ht="15.95" customHeight="1">
      <c r="A902" s="44"/>
      <c r="B902" s="41"/>
      <c r="C902" s="41"/>
      <c r="D902" s="42"/>
      <c r="E902" s="42"/>
      <c r="F902" s="43"/>
      <c r="G902" s="42"/>
      <c r="H902" s="43"/>
      <c r="I902" s="43"/>
      <c r="J902" s="42"/>
      <c r="K902" s="42"/>
      <c r="L902" s="290"/>
      <c r="M902" s="43"/>
      <c r="N902" s="43"/>
      <c r="O902" s="42"/>
      <c r="P902" s="43"/>
      <c r="Q902" s="43"/>
      <c r="R902" s="42"/>
      <c r="S902" s="43"/>
      <c r="T902" s="42"/>
      <c r="U902" s="42"/>
      <c r="V902" s="44"/>
      <c r="W902" s="44"/>
      <c r="X902" s="44"/>
      <c r="Y902" s="44"/>
      <c r="Z902" s="44"/>
      <c r="AA902" s="44"/>
      <c r="AB902" s="44"/>
      <c r="AC902" s="44"/>
      <c r="AD902" s="44"/>
      <c r="AE902" s="44"/>
      <c r="AF902" s="44"/>
      <c r="AG902" s="44"/>
    </row>
    <row r="903" spans="1:34" s="3" customFormat="1" ht="15.95" customHeight="1" thickBot="1">
      <c r="A903" s="7"/>
      <c r="B903" s="19" t="s">
        <v>668</v>
      </c>
      <c r="C903" s="7"/>
      <c r="D903" s="17"/>
      <c r="E903" s="17"/>
      <c r="F903" s="18"/>
      <c r="G903" s="17"/>
      <c r="H903" s="18"/>
      <c r="I903" s="18"/>
      <c r="J903" s="17"/>
      <c r="K903" s="17"/>
      <c r="L903" s="281"/>
      <c r="M903" s="18"/>
      <c r="N903" s="9"/>
      <c r="O903" s="17"/>
      <c r="P903" s="18"/>
      <c r="Q903" s="18"/>
      <c r="R903" s="17"/>
      <c r="S903" s="866"/>
      <c r="T903" s="867" t="str">
        <f>'$REV-DB'!$T$34</f>
        <v>UD1</v>
      </c>
      <c r="U903" s="867" t="str">
        <f>'$REV-DB'!$U$34</f>
        <v>UD2</v>
      </c>
      <c r="V903" s="867" t="str">
        <f>'$REV-DB'!$V$34</f>
        <v>UD3</v>
      </c>
      <c r="W903" s="867" t="str">
        <f>'$REV-DB'!$W$34</f>
        <v>UD4</v>
      </c>
      <c r="X903" s="867" t="str">
        <f>'$REV-DB'!$X$34</f>
        <v>UD5</v>
      </c>
      <c r="Y903" s="867" t="str">
        <f>'$REV-DB'!$Y$34</f>
        <v>UD6</v>
      </c>
      <c r="Z903" s="867" t="str">
        <f>'$REV-DB'!$Z$34</f>
        <v>UD7</v>
      </c>
      <c r="AA903" s="867" t="str">
        <f>'$REV-DB'!$AA$34</f>
        <v>UD8</v>
      </c>
      <c r="AB903" s="867" t="str">
        <f>'$REV-DB'!$AB$34</f>
        <v>UD9</v>
      </c>
      <c r="AC903" s="867" t="str">
        <f>'$REV-DB'!$AC$34</f>
        <v>UD10</v>
      </c>
      <c r="AD903" s="867" t="str">
        <f>'$REV-DB'!$AD$34</f>
        <v>UD11</v>
      </c>
      <c r="AE903" s="867" t="str">
        <f>'$REV-DB'!$AE$34</f>
        <v>UD12</v>
      </c>
      <c r="AF903" s="867" t="str">
        <f>'$REV-DB'!$AF$34</f>
        <v>UD13</v>
      </c>
      <c r="AG903" s="867" t="str">
        <f>'$REV-DB'!$AG$34</f>
        <v>UD14</v>
      </c>
    </row>
    <row r="904" spans="1:34" s="3" customFormat="1" ht="15.95" customHeight="1" thickTop="1" thickBot="1">
      <c r="A904" s="7"/>
      <c r="B904" s="20" t="s">
        <v>175</v>
      </c>
      <c r="C904" s="15"/>
      <c r="D904" s="923" t="s">
        <v>186</v>
      </c>
      <c r="E904" s="923" t="s">
        <v>187</v>
      </c>
      <c r="F904" s="923" t="s">
        <v>188</v>
      </c>
      <c r="G904" s="923" t="s">
        <v>189</v>
      </c>
      <c r="H904" s="923" t="s">
        <v>11</v>
      </c>
      <c r="I904" s="923" t="s">
        <v>190</v>
      </c>
      <c r="J904" s="923" t="s">
        <v>191</v>
      </c>
      <c r="K904" s="923" t="s">
        <v>192</v>
      </c>
      <c r="L904" s="923" t="s">
        <v>203</v>
      </c>
      <c r="M904" s="923" t="s">
        <v>42</v>
      </c>
      <c r="N904" s="923" t="s">
        <v>148</v>
      </c>
      <c r="O904" s="923" t="s">
        <v>193</v>
      </c>
      <c r="P904" s="923" t="s">
        <v>142</v>
      </c>
      <c r="Q904" s="923" t="s">
        <v>194</v>
      </c>
      <c r="R904" s="112" t="s">
        <v>141</v>
      </c>
      <c r="S904" s="112" t="s">
        <v>672</v>
      </c>
      <c r="T904" s="923" t="s">
        <v>541</v>
      </c>
      <c r="U904" s="923" t="s">
        <v>542</v>
      </c>
      <c r="V904" s="923" t="s">
        <v>543</v>
      </c>
      <c r="W904" s="923" t="s">
        <v>544</v>
      </c>
      <c r="X904" s="923" t="s">
        <v>545</v>
      </c>
      <c r="Y904" s="923" t="s">
        <v>546</v>
      </c>
      <c r="Z904" s="923" t="s">
        <v>547</v>
      </c>
      <c r="AA904" s="923" t="s">
        <v>548</v>
      </c>
      <c r="AB904" s="923" t="s">
        <v>549</v>
      </c>
      <c r="AC904" s="923" t="s">
        <v>550</v>
      </c>
      <c r="AD904" s="923" t="s">
        <v>551</v>
      </c>
      <c r="AE904" s="923" t="s">
        <v>552</v>
      </c>
      <c r="AF904" s="923" t="s">
        <v>553</v>
      </c>
      <c r="AG904" s="923" t="s">
        <v>554</v>
      </c>
      <c r="AH904" s="6"/>
    </row>
    <row r="905" spans="1:34" s="3" customFormat="1" ht="15.95" customHeight="1" thickTop="1">
      <c r="A905" s="7"/>
      <c r="B905" s="19" t="s">
        <v>146</v>
      </c>
      <c r="C905" s="12"/>
      <c r="D905" s="203"/>
      <c r="E905" s="203"/>
      <c r="F905" s="202"/>
      <c r="G905" s="203"/>
      <c r="H905" s="202"/>
      <c r="I905" s="202"/>
      <c r="J905" s="203"/>
      <c r="K905" s="203"/>
      <c r="L905" s="291" t="s">
        <v>34</v>
      </c>
      <c r="M905" s="202"/>
      <c r="N905" s="45" t="str">
        <f>J$6</f>
        <v>FY2010-11</v>
      </c>
      <c r="O905" s="45" t="s">
        <v>669</v>
      </c>
      <c r="P905" s="45" t="s">
        <v>147</v>
      </c>
      <c r="Q905" s="45"/>
      <c r="R905" s="203"/>
      <c r="S905" s="202" t="s">
        <v>611</v>
      </c>
      <c r="T905" s="203"/>
      <c r="U905" s="203"/>
      <c r="V905" s="204"/>
      <c r="W905" s="204"/>
      <c r="X905" s="204"/>
      <c r="Y905" s="204"/>
      <c r="Z905" s="204"/>
      <c r="AA905" s="204"/>
      <c r="AB905" s="204"/>
      <c r="AC905" s="204"/>
      <c r="AD905" s="204"/>
      <c r="AE905" s="204"/>
      <c r="AF905" s="204"/>
      <c r="AG905" s="204"/>
      <c r="AH905" s="6"/>
    </row>
    <row r="906" spans="1:34" s="3" customFormat="1" ht="15.95" customHeight="1">
      <c r="A906" s="7"/>
      <c r="B906" s="16">
        <f>DSUM('$REV-DB'!D35:AG67,"AMOUNT",D904:AG905)</f>
        <v>89673071</v>
      </c>
      <c r="C906" s="12"/>
      <c r="D906" s="880"/>
      <c r="E906" s="880"/>
      <c r="F906" s="880"/>
      <c r="G906" s="880"/>
      <c r="H906" s="880"/>
      <c r="I906" s="880"/>
      <c r="J906" s="880"/>
      <c r="K906" s="880"/>
      <c r="L906" s="881"/>
      <c r="M906" s="880"/>
      <c r="N906" s="873"/>
      <c r="O906" s="880"/>
      <c r="P906" s="873"/>
      <c r="Q906" s="884"/>
      <c r="R906" s="880"/>
      <c r="S906" s="880"/>
      <c r="T906" s="882"/>
      <c r="U906" s="882"/>
      <c r="V906" s="883"/>
      <c r="W906" s="883"/>
      <c r="X906" s="883"/>
      <c r="Y906" s="883"/>
      <c r="Z906" s="883"/>
      <c r="AA906" s="883"/>
      <c r="AB906" s="883"/>
      <c r="AC906" s="883"/>
      <c r="AD906" s="883"/>
      <c r="AE906" s="883"/>
      <c r="AF906" s="883"/>
      <c r="AG906" s="883"/>
      <c r="AH906" s="6"/>
    </row>
    <row r="907" spans="1:34" s="3" customFormat="1" ht="15.95" customHeight="1">
      <c r="A907" s="7"/>
      <c r="B907" s="10"/>
      <c r="C907" s="12"/>
      <c r="D907" s="880"/>
      <c r="E907" s="880"/>
      <c r="F907" s="880"/>
      <c r="G907" s="880"/>
      <c r="H907" s="880"/>
      <c r="I907" s="880"/>
      <c r="J907" s="880"/>
      <c r="K907" s="880"/>
      <c r="L907" s="881"/>
      <c r="M907" s="880"/>
      <c r="N907" s="873"/>
      <c r="O907" s="880"/>
      <c r="P907" s="873"/>
      <c r="Q907" s="884"/>
      <c r="R907" s="880"/>
      <c r="S907" s="880"/>
      <c r="T907" s="882"/>
      <c r="U907" s="882"/>
      <c r="V907" s="883"/>
      <c r="W907" s="883"/>
      <c r="X907" s="883"/>
      <c r="Y907" s="883"/>
      <c r="Z907" s="883"/>
      <c r="AA907" s="883"/>
      <c r="AB907" s="883"/>
      <c r="AC907" s="883"/>
      <c r="AD907" s="883"/>
      <c r="AE907" s="883"/>
      <c r="AF907" s="883"/>
      <c r="AG907" s="883"/>
    </row>
    <row r="908" spans="1:34" s="3" customFormat="1" ht="15.95" customHeight="1">
      <c r="A908" s="7"/>
      <c r="B908" s="10"/>
      <c r="C908" s="12"/>
      <c r="D908" s="880"/>
      <c r="E908" s="880"/>
      <c r="F908" s="880"/>
      <c r="G908" s="880"/>
      <c r="H908" s="880"/>
      <c r="I908" s="880"/>
      <c r="J908" s="880"/>
      <c r="K908" s="880"/>
      <c r="L908" s="881"/>
      <c r="M908" s="880"/>
      <c r="N908" s="873"/>
      <c r="O908" s="880"/>
      <c r="P908" s="873"/>
      <c r="Q908" s="884"/>
      <c r="R908" s="880"/>
      <c r="S908" s="880"/>
      <c r="T908" s="882"/>
      <c r="U908" s="882"/>
      <c r="V908" s="883"/>
      <c r="W908" s="883"/>
      <c r="X908" s="883"/>
      <c r="Y908" s="883"/>
      <c r="Z908" s="883"/>
      <c r="AA908" s="883"/>
      <c r="AB908" s="883"/>
      <c r="AC908" s="883"/>
      <c r="AD908" s="883"/>
      <c r="AE908" s="883"/>
      <c r="AF908" s="883"/>
      <c r="AG908" s="883"/>
    </row>
    <row r="909" spans="1:34" s="3" customFormat="1" ht="15.95" customHeight="1">
      <c r="A909" s="7"/>
      <c r="B909" s="10"/>
      <c r="C909" s="12"/>
      <c r="D909" s="880"/>
      <c r="E909" s="880"/>
      <c r="F909" s="880"/>
      <c r="G909" s="880"/>
      <c r="H909" s="880"/>
      <c r="I909" s="880"/>
      <c r="J909" s="880"/>
      <c r="K909" s="880"/>
      <c r="L909" s="881"/>
      <c r="M909" s="880"/>
      <c r="N909" s="873"/>
      <c r="O909" s="880"/>
      <c r="P909" s="873"/>
      <c r="Q909" s="884"/>
      <c r="R909" s="880"/>
      <c r="S909" s="880"/>
      <c r="T909" s="882"/>
      <c r="U909" s="882"/>
      <c r="V909" s="883"/>
      <c r="W909" s="883"/>
      <c r="X909" s="883"/>
      <c r="Y909" s="883"/>
      <c r="Z909" s="883"/>
      <c r="AA909" s="883"/>
      <c r="AB909" s="883"/>
      <c r="AC909" s="883"/>
      <c r="AD909" s="883"/>
      <c r="AE909" s="883"/>
      <c r="AF909" s="883"/>
      <c r="AG909" s="883"/>
    </row>
    <row r="910" spans="1:34" s="3" customFormat="1" ht="15.95" customHeight="1">
      <c r="A910" s="7"/>
      <c r="B910" s="10"/>
      <c r="C910" s="12"/>
      <c r="D910" s="880"/>
      <c r="E910" s="880"/>
      <c r="F910" s="880"/>
      <c r="G910" s="880"/>
      <c r="H910" s="880"/>
      <c r="I910" s="880"/>
      <c r="J910" s="880"/>
      <c r="K910" s="880"/>
      <c r="L910" s="881"/>
      <c r="M910" s="880"/>
      <c r="N910" s="873"/>
      <c r="O910" s="880"/>
      <c r="P910" s="873"/>
      <c r="Q910" s="884"/>
      <c r="R910" s="880"/>
      <c r="S910" s="880"/>
      <c r="T910" s="882"/>
      <c r="U910" s="882"/>
      <c r="V910" s="883"/>
      <c r="W910" s="883"/>
      <c r="X910" s="883"/>
      <c r="Y910" s="883"/>
      <c r="Z910" s="883"/>
      <c r="AA910" s="883"/>
      <c r="AB910" s="883"/>
      <c r="AC910" s="883"/>
      <c r="AD910" s="883"/>
      <c r="AE910" s="883"/>
      <c r="AF910" s="883"/>
      <c r="AG910" s="883"/>
    </row>
    <row r="911" spans="1:34" s="3" customFormat="1" ht="15.95" customHeight="1">
      <c r="A911" s="7"/>
      <c r="B911" s="10"/>
      <c r="C911" s="12"/>
      <c r="D911" s="880"/>
      <c r="E911" s="880"/>
      <c r="F911" s="880"/>
      <c r="G911" s="880"/>
      <c r="H911" s="880"/>
      <c r="I911" s="880"/>
      <c r="J911" s="880"/>
      <c r="K911" s="880"/>
      <c r="L911" s="881"/>
      <c r="M911" s="880"/>
      <c r="N911" s="873"/>
      <c r="O911" s="880"/>
      <c r="P911" s="873"/>
      <c r="Q911" s="884"/>
      <c r="R911" s="880"/>
      <c r="S911" s="880"/>
      <c r="T911" s="882"/>
      <c r="U911" s="882"/>
      <c r="V911" s="883"/>
      <c r="W911" s="883"/>
      <c r="X911" s="883"/>
      <c r="Y911" s="883"/>
      <c r="Z911" s="883"/>
      <c r="AA911" s="883"/>
      <c r="AB911" s="883"/>
      <c r="AC911" s="883"/>
      <c r="AD911" s="883"/>
      <c r="AE911" s="883"/>
      <c r="AF911" s="883"/>
      <c r="AG911" s="883"/>
    </row>
    <row r="912" spans="1:34" s="3" customFormat="1" ht="15.95" customHeight="1">
      <c r="A912" s="44"/>
      <c r="B912" s="41"/>
      <c r="C912" s="41"/>
      <c r="D912" s="42"/>
      <c r="E912" s="42"/>
      <c r="F912" s="43"/>
      <c r="G912" s="42"/>
      <c r="H912" s="43"/>
      <c r="I912" s="43"/>
      <c r="J912" s="42"/>
      <c r="K912" s="42"/>
      <c r="L912" s="290"/>
      <c r="M912" s="43"/>
      <c r="N912" s="43"/>
      <c r="O912" s="42"/>
      <c r="P912" s="43"/>
      <c r="Q912" s="43"/>
      <c r="R912" s="42"/>
      <c r="S912" s="43"/>
      <c r="T912" s="42"/>
      <c r="U912" s="42"/>
      <c r="V912" s="44"/>
      <c r="W912" s="44"/>
      <c r="X912" s="44"/>
      <c r="Y912" s="44"/>
      <c r="Z912" s="44"/>
      <c r="AA912" s="44"/>
      <c r="AB912" s="44"/>
      <c r="AC912" s="44"/>
      <c r="AD912" s="44"/>
      <c r="AE912" s="44"/>
      <c r="AF912" s="44"/>
      <c r="AG912" s="44"/>
    </row>
    <row r="913" spans="1:33" s="1036" customFormat="1" ht="15.95" customHeight="1" thickBot="1">
      <c r="A913" s="7"/>
      <c r="B913" s="19" t="s">
        <v>728</v>
      </c>
      <c r="C913" s="7"/>
      <c r="D913" s="17"/>
      <c r="E913" s="17"/>
      <c r="F913" s="18"/>
      <c r="G913" s="17"/>
      <c r="H913" s="18"/>
      <c r="I913" s="18"/>
      <c r="J913" s="17"/>
      <c r="K913" s="17"/>
      <c r="L913" s="281"/>
      <c r="M913" s="18"/>
      <c r="N913" s="9"/>
      <c r="O913" s="17"/>
      <c r="P913" s="18"/>
      <c r="Q913" s="18"/>
      <c r="R913" s="17"/>
      <c r="S913" s="866"/>
      <c r="T913" s="867" t="str">
        <f>'[1]$REV-DB'!$T$34</f>
        <v>UD1</v>
      </c>
      <c r="U913" s="867" t="str">
        <f>'[1]$REV-DB'!$U$34</f>
        <v>UD2</v>
      </c>
      <c r="V913" s="867" t="str">
        <f>'[1]$REV-DB'!$V$34</f>
        <v>UD3</v>
      </c>
      <c r="W913" s="867" t="str">
        <f>'[1]$REV-DB'!$W$34</f>
        <v>UD4</v>
      </c>
      <c r="X913" s="867" t="str">
        <f>'[1]$REV-DB'!$X$34</f>
        <v>UD5</v>
      </c>
      <c r="Y913" s="867" t="str">
        <f>'[1]$REV-DB'!$Y$34</f>
        <v>UD6</v>
      </c>
      <c r="Z913" s="867" t="str">
        <f>'[1]$REV-DB'!$Z$34</f>
        <v>UD7</v>
      </c>
      <c r="AA913" s="867" t="str">
        <f>'[1]$REV-DB'!$AA$34</f>
        <v>UD8</v>
      </c>
      <c r="AB913" s="867" t="str">
        <f>'[1]$REV-DB'!$AB$34</f>
        <v>UD9</v>
      </c>
      <c r="AC913" s="867" t="str">
        <f>'[1]$REV-DB'!$AC$34</f>
        <v>UD10</v>
      </c>
      <c r="AD913" s="867" t="str">
        <f>'[1]$REV-DB'!$AD$34</f>
        <v>UD11</v>
      </c>
      <c r="AE913" s="867" t="str">
        <f>'[1]$REV-DB'!$AE$34</f>
        <v>UD12</v>
      </c>
      <c r="AF913" s="867" t="str">
        <f>'[1]$REV-DB'!$AF$34</f>
        <v>UD13</v>
      </c>
      <c r="AG913" s="867" t="str">
        <f>'[1]$REV-DB'!$AG$34</f>
        <v>UD14</v>
      </c>
    </row>
    <row r="914" spans="1:33" s="1036" customFormat="1" ht="15.95" customHeight="1" thickTop="1" thickBot="1">
      <c r="A914" s="7"/>
      <c r="B914" s="20" t="s">
        <v>604</v>
      </c>
      <c r="C914" s="15"/>
      <c r="D914" s="974" t="s">
        <v>186</v>
      </c>
      <c r="E914" s="974" t="s">
        <v>187</v>
      </c>
      <c r="F914" s="974" t="s">
        <v>188</v>
      </c>
      <c r="G914" s="974" t="s">
        <v>189</v>
      </c>
      <c r="H914" s="974" t="s">
        <v>11</v>
      </c>
      <c r="I914" s="974" t="s">
        <v>190</v>
      </c>
      <c r="J914" s="974" t="s">
        <v>191</v>
      </c>
      <c r="K914" s="974" t="s">
        <v>192</v>
      </c>
      <c r="L914" s="974" t="s">
        <v>203</v>
      </c>
      <c r="M914" s="974" t="s">
        <v>42</v>
      </c>
      <c r="N914" s="974" t="s">
        <v>148</v>
      </c>
      <c r="O914" s="974" t="s">
        <v>193</v>
      </c>
      <c r="P914" s="974" t="s">
        <v>142</v>
      </c>
      <c r="Q914" s="974" t="s">
        <v>194</v>
      </c>
      <c r="R914" s="112" t="s">
        <v>141</v>
      </c>
      <c r="S914" s="112" t="s">
        <v>672</v>
      </c>
      <c r="T914" s="974" t="s">
        <v>541</v>
      </c>
      <c r="U914" s="974" t="s">
        <v>542</v>
      </c>
      <c r="V914" s="974" t="s">
        <v>543</v>
      </c>
      <c r="W914" s="974" t="s">
        <v>544</v>
      </c>
      <c r="X914" s="974" t="s">
        <v>545</v>
      </c>
      <c r="Y914" s="974" t="s">
        <v>546</v>
      </c>
      <c r="Z914" s="974" t="s">
        <v>547</v>
      </c>
      <c r="AA914" s="974" t="s">
        <v>548</v>
      </c>
      <c r="AB914" s="974" t="s">
        <v>549</v>
      </c>
      <c r="AC914" s="974" t="s">
        <v>550</v>
      </c>
      <c r="AD914" s="974" t="s">
        <v>551</v>
      </c>
      <c r="AE914" s="974" t="s">
        <v>552</v>
      </c>
      <c r="AF914" s="974" t="s">
        <v>553</v>
      </c>
      <c r="AG914" s="974" t="s">
        <v>554</v>
      </c>
    </row>
    <row r="915" spans="1:33" s="1036" customFormat="1" ht="15.95" customHeight="1" thickTop="1">
      <c r="A915" s="7"/>
      <c r="B915" s="19" t="s">
        <v>146</v>
      </c>
      <c r="C915" s="12"/>
      <c r="D915" s="203"/>
      <c r="E915" s="203"/>
      <c r="F915" s="202"/>
      <c r="G915" s="203"/>
      <c r="H915" s="202"/>
      <c r="I915" s="202"/>
      <c r="J915" s="203"/>
      <c r="K915" s="203"/>
      <c r="L915" s="291" t="s">
        <v>34</v>
      </c>
      <c r="M915" s="202"/>
      <c r="N915" s="45" t="str">
        <f>J$6</f>
        <v>FY2010-11</v>
      </c>
      <c r="O915" s="45"/>
      <c r="P915" s="45" t="s">
        <v>147</v>
      </c>
      <c r="Q915" s="45"/>
      <c r="R915" s="203"/>
      <c r="S915" s="202" t="s">
        <v>103</v>
      </c>
      <c r="T915" s="203"/>
      <c r="U915" s="203"/>
      <c r="V915" s="204"/>
      <c r="W915" s="204"/>
      <c r="X915" s="204"/>
      <c r="Y915" s="204"/>
      <c r="Z915" s="204"/>
      <c r="AA915" s="204"/>
      <c r="AB915" s="204"/>
      <c r="AC915" s="204"/>
      <c r="AD915" s="204"/>
      <c r="AE915" s="204"/>
      <c r="AF915" s="204"/>
      <c r="AG915" s="204"/>
    </row>
    <row r="916" spans="1:33" s="1036" customFormat="1" ht="15.95" customHeight="1">
      <c r="A916" s="7"/>
      <c r="B916" s="16">
        <f>DSUM('$REV-DB'!D35:AG67,"AMOUNT",D914:AG915)</f>
        <v>0</v>
      </c>
      <c r="C916" s="12"/>
      <c r="D916" s="880"/>
      <c r="E916" s="880"/>
      <c r="F916" s="880"/>
      <c r="G916" s="880"/>
      <c r="H916" s="880"/>
      <c r="I916" s="880"/>
      <c r="J916" s="880"/>
      <c r="K916" s="880"/>
      <c r="L916" s="881"/>
      <c r="M916" s="880"/>
      <c r="N916" s="873"/>
      <c r="O916" s="880"/>
      <c r="P916" s="873"/>
      <c r="Q916" s="884"/>
      <c r="R916" s="880"/>
      <c r="S916" s="880"/>
      <c r="T916" s="882"/>
      <c r="U916" s="882"/>
      <c r="V916" s="883"/>
      <c r="W916" s="883"/>
      <c r="X916" s="883"/>
      <c r="Y916" s="883"/>
      <c r="Z916" s="883"/>
      <c r="AA916" s="883"/>
      <c r="AB916" s="883"/>
      <c r="AC916" s="883"/>
      <c r="AD916" s="883"/>
      <c r="AE916" s="883"/>
      <c r="AF916" s="883"/>
      <c r="AG916" s="883"/>
    </row>
    <row r="917" spans="1:33" s="1036" customFormat="1" ht="15.95" customHeight="1">
      <c r="A917" s="7"/>
      <c r="B917" s="10"/>
      <c r="C917" s="12"/>
      <c r="D917" s="880"/>
      <c r="E917" s="880"/>
      <c r="F917" s="880"/>
      <c r="G917" s="880"/>
      <c r="H917" s="880"/>
      <c r="I917" s="880"/>
      <c r="J917" s="880"/>
      <c r="K917" s="880"/>
      <c r="L917" s="881"/>
      <c r="M917" s="880"/>
      <c r="N917" s="873"/>
      <c r="O917" s="880"/>
      <c r="P917" s="873"/>
      <c r="Q917" s="884"/>
      <c r="R917" s="880"/>
      <c r="S917" s="880"/>
      <c r="T917" s="882"/>
      <c r="U917" s="882"/>
      <c r="V917" s="883"/>
      <c r="W917" s="883"/>
      <c r="X917" s="883"/>
      <c r="Y917" s="883"/>
      <c r="Z917" s="883"/>
      <c r="AA917" s="883"/>
      <c r="AB917" s="883"/>
      <c r="AC917" s="883"/>
      <c r="AD917" s="883"/>
      <c r="AE917" s="883"/>
      <c r="AF917" s="883"/>
      <c r="AG917" s="883"/>
    </row>
    <row r="918" spans="1:33" s="1036" customFormat="1" ht="15.95" customHeight="1">
      <c r="A918" s="7"/>
      <c r="B918" s="10"/>
      <c r="C918" s="12"/>
      <c r="D918" s="880"/>
      <c r="E918" s="880"/>
      <c r="F918" s="880"/>
      <c r="G918" s="880"/>
      <c r="H918" s="880"/>
      <c r="I918" s="880"/>
      <c r="J918" s="880"/>
      <c r="K918" s="880"/>
      <c r="L918" s="881"/>
      <c r="M918" s="880"/>
      <c r="N918" s="873"/>
      <c r="O918" s="880"/>
      <c r="P918" s="873"/>
      <c r="Q918" s="884"/>
      <c r="R918" s="880"/>
      <c r="S918" s="880"/>
      <c r="T918" s="882"/>
      <c r="U918" s="882"/>
      <c r="V918" s="883"/>
      <c r="W918" s="883"/>
      <c r="X918" s="883"/>
      <c r="Y918" s="883"/>
      <c r="Z918" s="883"/>
      <c r="AA918" s="883"/>
      <c r="AB918" s="883"/>
      <c r="AC918" s="883"/>
      <c r="AD918" s="883"/>
      <c r="AE918" s="883"/>
      <c r="AF918" s="883"/>
      <c r="AG918" s="883"/>
    </row>
    <row r="919" spans="1:33" s="1036" customFormat="1" ht="15.95" customHeight="1">
      <c r="A919" s="7"/>
      <c r="B919" s="10"/>
      <c r="C919" s="12"/>
      <c r="D919" s="880"/>
      <c r="E919" s="880"/>
      <c r="F919" s="880"/>
      <c r="G919" s="880"/>
      <c r="H919" s="880"/>
      <c r="I919" s="880"/>
      <c r="J919" s="880"/>
      <c r="K919" s="880"/>
      <c r="L919" s="881"/>
      <c r="M919" s="880"/>
      <c r="N919" s="873"/>
      <c r="O919" s="880"/>
      <c r="P919" s="873"/>
      <c r="Q919" s="884"/>
      <c r="R919" s="880"/>
      <c r="S919" s="880"/>
      <c r="T919" s="882"/>
      <c r="U919" s="882"/>
      <c r="V919" s="883"/>
      <c r="W919" s="883"/>
      <c r="X919" s="883"/>
      <c r="Y919" s="883"/>
      <c r="Z919" s="883"/>
      <c r="AA919" s="883"/>
      <c r="AB919" s="883"/>
      <c r="AC919" s="883"/>
      <c r="AD919" s="883"/>
      <c r="AE919" s="883"/>
      <c r="AF919" s="883"/>
      <c r="AG919" s="883"/>
    </row>
    <row r="920" spans="1:33" s="1036" customFormat="1" ht="15.95" customHeight="1">
      <c r="A920" s="7"/>
      <c r="B920" s="10"/>
      <c r="C920" s="12"/>
      <c r="D920" s="880"/>
      <c r="E920" s="880"/>
      <c r="F920" s="880"/>
      <c r="G920" s="880"/>
      <c r="H920" s="880"/>
      <c r="I920" s="880"/>
      <c r="J920" s="880"/>
      <c r="K920" s="880"/>
      <c r="L920" s="881"/>
      <c r="M920" s="880"/>
      <c r="N920" s="873"/>
      <c r="O920" s="880"/>
      <c r="P920" s="873"/>
      <c r="Q920" s="884"/>
      <c r="R920" s="880"/>
      <c r="S920" s="880"/>
      <c r="T920" s="882"/>
      <c r="U920" s="882"/>
      <c r="V920" s="883"/>
      <c r="W920" s="883"/>
      <c r="X920" s="883"/>
      <c r="Y920" s="883"/>
      <c r="Z920" s="883"/>
      <c r="AA920" s="883"/>
      <c r="AB920" s="883"/>
      <c r="AC920" s="883"/>
      <c r="AD920" s="883"/>
      <c r="AE920" s="883"/>
      <c r="AF920" s="883"/>
      <c r="AG920" s="883"/>
    </row>
    <row r="921" spans="1:33" s="1036" customFormat="1" ht="15.95" customHeight="1">
      <c r="A921" s="7"/>
      <c r="B921" s="10"/>
      <c r="C921" s="12"/>
      <c r="D921" s="880"/>
      <c r="E921" s="880"/>
      <c r="F921" s="880"/>
      <c r="G921" s="880"/>
      <c r="H921" s="880"/>
      <c r="I921" s="880"/>
      <c r="J921" s="880"/>
      <c r="K921" s="880"/>
      <c r="L921" s="881"/>
      <c r="M921" s="880"/>
      <c r="N921" s="873"/>
      <c r="O921" s="880"/>
      <c r="P921" s="873"/>
      <c r="Q921" s="884"/>
      <c r="R921" s="880"/>
      <c r="S921" s="880"/>
      <c r="T921" s="882"/>
      <c r="U921" s="882"/>
      <c r="V921" s="883"/>
      <c r="W921" s="883"/>
      <c r="X921" s="883"/>
      <c r="Y921" s="883"/>
      <c r="Z921" s="883"/>
      <c r="AA921" s="883"/>
      <c r="AB921" s="883"/>
      <c r="AC921" s="883"/>
      <c r="AD921" s="883"/>
      <c r="AE921" s="883"/>
      <c r="AF921" s="883"/>
      <c r="AG921" s="883"/>
    </row>
    <row r="922" spans="1:33" s="3" customFormat="1" ht="15.95" customHeight="1">
      <c r="A922" s="44"/>
      <c r="B922" s="41"/>
      <c r="C922" s="41"/>
      <c r="D922" s="42"/>
      <c r="E922" s="42"/>
      <c r="F922" s="43"/>
      <c r="G922" s="42"/>
      <c r="H922" s="43"/>
      <c r="I922" s="43"/>
      <c r="J922" s="42"/>
      <c r="K922" s="42"/>
      <c r="L922" s="290"/>
      <c r="M922" s="43"/>
      <c r="N922" s="43"/>
      <c r="O922" s="42"/>
      <c r="P922" s="43"/>
      <c r="Q922" s="43"/>
      <c r="R922" s="42"/>
      <c r="S922" s="43"/>
      <c r="T922" s="42"/>
      <c r="U922" s="42"/>
      <c r="V922" s="44"/>
      <c r="W922" s="44"/>
      <c r="X922" s="44"/>
      <c r="Y922" s="44"/>
      <c r="Z922" s="44"/>
      <c r="AA922" s="44"/>
      <c r="AB922" s="44"/>
      <c r="AC922" s="44"/>
      <c r="AD922" s="44"/>
      <c r="AE922" s="44"/>
      <c r="AF922" s="44"/>
      <c r="AG922" s="44"/>
    </row>
    <row r="923" spans="1:33" s="1036" customFormat="1" ht="15.95" customHeight="1" thickBot="1">
      <c r="A923" s="7"/>
      <c r="B923" s="19" t="s">
        <v>728</v>
      </c>
      <c r="C923" s="7"/>
      <c r="D923" s="17"/>
      <c r="E923" s="17"/>
      <c r="F923" s="18"/>
      <c r="G923" s="17"/>
      <c r="H923" s="18"/>
      <c r="I923" s="18"/>
      <c r="J923" s="17"/>
      <c r="K923" s="17"/>
      <c r="L923" s="281"/>
      <c r="M923" s="18"/>
      <c r="N923" s="9"/>
      <c r="O923" s="17"/>
      <c r="P923" s="18"/>
      <c r="Q923" s="18"/>
      <c r="R923" s="17"/>
      <c r="S923" s="866"/>
      <c r="T923" s="867" t="str">
        <f>'[1]$REV-DB'!$T$34</f>
        <v>UD1</v>
      </c>
      <c r="U923" s="867" t="str">
        <f>'[1]$REV-DB'!$U$34</f>
        <v>UD2</v>
      </c>
      <c r="V923" s="867" t="str">
        <f>'[1]$REV-DB'!$V$34</f>
        <v>UD3</v>
      </c>
      <c r="W923" s="867" t="str">
        <f>'[1]$REV-DB'!$W$34</f>
        <v>UD4</v>
      </c>
      <c r="X923" s="867" t="str">
        <f>'[1]$REV-DB'!$X$34</f>
        <v>UD5</v>
      </c>
      <c r="Y923" s="867" t="str">
        <f>'[1]$REV-DB'!$Y$34</f>
        <v>UD6</v>
      </c>
      <c r="Z923" s="867" t="str">
        <f>'[1]$REV-DB'!$Z$34</f>
        <v>UD7</v>
      </c>
      <c r="AA923" s="867" t="str">
        <f>'[1]$REV-DB'!$AA$34</f>
        <v>UD8</v>
      </c>
      <c r="AB923" s="867" t="str">
        <f>'[1]$REV-DB'!$AB$34</f>
        <v>UD9</v>
      </c>
      <c r="AC923" s="867" t="str">
        <f>'[1]$REV-DB'!$AC$34</f>
        <v>UD10</v>
      </c>
      <c r="AD923" s="867" t="str">
        <f>'[1]$REV-DB'!$AD$34</f>
        <v>UD11</v>
      </c>
      <c r="AE923" s="867" t="str">
        <f>'[1]$REV-DB'!$AE$34</f>
        <v>UD12</v>
      </c>
      <c r="AF923" s="867" t="str">
        <f>'[1]$REV-DB'!$AF$34</f>
        <v>UD13</v>
      </c>
      <c r="AG923" s="867" t="str">
        <f>'[1]$REV-DB'!$AG$34</f>
        <v>UD14</v>
      </c>
    </row>
    <row r="924" spans="1:33" s="1036" customFormat="1" ht="15.95" customHeight="1" thickTop="1" thickBot="1">
      <c r="A924" s="7"/>
      <c r="B924" s="20" t="s">
        <v>604</v>
      </c>
      <c r="C924" s="15"/>
      <c r="D924" s="974" t="s">
        <v>186</v>
      </c>
      <c r="E924" s="974" t="s">
        <v>187</v>
      </c>
      <c r="F924" s="974" t="s">
        <v>188</v>
      </c>
      <c r="G924" s="974" t="s">
        <v>189</v>
      </c>
      <c r="H924" s="974" t="s">
        <v>11</v>
      </c>
      <c r="I924" s="974" t="s">
        <v>190</v>
      </c>
      <c r="J924" s="974" t="s">
        <v>191</v>
      </c>
      <c r="K924" s="974" t="s">
        <v>192</v>
      </c>
      <c r="L924" s="974" t="s">
        <v>203</v>
      </c>
      <c r="M924" s="974" t="s">
        <v>42</v>
      </c>
      <c r="N924" s="974" t="s">
        <v>148</v>
      </c>
      <c r="O924" s="974" t="s">
        <v>193</v>
      </c>
      <c r="P924" s="974" t="s">
        <v>142</v>
      </c>
      <c r="Q924" s="974" t="s">
        <v>194</v>
      </c>
      <c r="R924" s="112" t="s">
        <v>141</v>
      </c>
      <c r="S924" s="112" t="s">
        <v>672</v>
      </c>
      <c r="T924" s="974" t="s">
        <v>541</v>
      </c>
      <c r="U924" s="974" t="s">
        <v>542</v>
      </c>
      <c r="V924" s="974" t="s">
        <v>543</v>
      </c>
      <c r="W924" s="974" t="s">
        <v>544</v>
      </c>
      <c r="X924" s="974" t="s">
        <v>545</v>
      </c>
      <c r="Y924" s="974" t="s">
        <v>546</v>
      </c>
      <c r="Z924" s="974" t="s">
        <v>547</v>
      </c>
      <c r="AA924" s="974" t="s">
        <v>548</v>
      </c>
      <c r="AB924" s="974" t="s">
        <v>549</v>
      </c>
      <c r="AC924" s="974" t="s">
        <v>550</v>
      </c>
      <c r="AD924" s="974" t="s">
        <v>551</v>
      </c>
      <c r="AE924" s="974" t="s">
        <v>552</v>
      </c>
      <c r="AF924" s="974" t="s">
        <v>553</v>
      </c>
      <c r="AG924" s="974" t="s">
        <v>554</v>
      </c>
    </row>
    <row r="925" spans="1:33" s="1036" customFormat="1" ht="15.95" customHeight="1" thickTop="1">
      <c r="A925" s="7"/>
      <c r="B925" s="19" t="s">
        <v>145</v>
      </c>
      <c r="C925" s="12"/>
      <c r="D925" s="203"/>
      <c r="E925" s="203"/>
      <c r="F925" s="202"/>
      <c r="G925" s="203"/>
      <c r="H925" s="202"/>
      <c r="I925" s="202"/>
      <c r="J925" s="203"/>
      <c r="K925" s="203"/>
      <c r="L925" s="291" t="s">
        <v>34</v>
      </c>
      <c r="M925" s="202"/>
      <c r="N925" s="45" t="str">
        <f>J$6</f>
        <v>FY2010-11</v>
      </c>
      <c r="O925" s="45"/>
      <c r="P925" s="45" t="s">
        <v>147</v>
      </c>
      <c r="Q925" s="45" t="s">
        <v>180</v>
      </c>
      <c r="R925" s="203"/>
      <c r="S925" s="202" t="s">
        <v>103</v>
      </c>
      <c r="T925" s="203"/>
      <c r="U925" s="203"/>
      <c r="V925" s="204"/>
      <c r="W925" s="204"/>
      <c r="X925" s="204"/>
      <c r="Y925" s="204"/>
      <c r="Z925" s="204"/>
      <c r="AA925" s="204"/>
      <c r="AB925" s="204"/>
      <c r="AC925" s="204"/>
      <c r="AD925" s="204"/>
      <c r="AE925" s="204"/>
      <c r="AF925" s="204"/>
      <c r="AG925" s="204"/>
    </row>
    <row r="926" spans="1:33" s="1036" customFormat="1" ht="15.95" customHeight="1">
      <c r="A926" s="7"/>
      <c r="B926" s="16">
        <f>DSUM('$REV-DB'!D35:AG67,"AMOUNT",D924:AG925)</f>
        <v>0</v>
      </c>
      <c r="C926" s="12"/>
      <c r="D926" s="880"/>
      <c r="E926" s="880"/>
      <c r="F926" s="880"/>
      <c r="G926" s="880"/>
      <c r="H926" s="880"/>
      <c r="I926" s="880"/>
      <c r="J926" s="880"/>
      <c r="K926" s="880"/>
      <c r="L926" s="881"/>
      <c r="M926" s="880"/>
      <c r="N926" s="873"/>
      <c r="O926" s="880"/>
      <c r="P926" s="873"/>
      <c r="Q926" s="884"/>
      <c r="R926" s="880"/>
      <c r="S926" s="880"/>
      <c r="T926" s="882"/>
      <c r="U926" s="882"/>
      <c r="V926" s="883"/>
      <c r="W926" s="883"/>
      <c r="X926" s="883"/>
      <c r="Y926" s="883"/>
      <c r="Z926" s="883"/>
      <c r="AA926" s="883"/>
      <c r="AB926" s="883"/>
      <c r="AC926" s="883"/>
      <c r="AD926" s="883"/>
      <c r="AE926" s="883"/>
      <c r="AF926" s="883"/>
      <c r="AG926" s="883"/>
    </row>
    <row r="927" spans="1:33" s="1036" customFormat="1" ht="15.95" customHeight="1">
      <c r="A927" s="7"/>
      <c r="B927" s="10"/>
      <c r="C927" s="12"/>
      <c r="D927" s="880"/>
      <c r="E927" s="880"/>
      <c r="F927" s="880"/>
      <c r="G927" s="880"/>
      <c r="H927" s="880"/>
      <c r="I927" s="880"/>
      <c r="J927" s="880"/>
      <c r="K927" s="880"/>
      <c r="L927" s="881"/>
      <c r="M927" s="880"/>
      <c r="N927" s="873"/>
      <c r="O927" s="880"/>
      <c r="P927" s="873"/>
      <c r="Q927" s="884"/>
      <c r="R927" s="880"/>
      <c r="S927" s="880"/>
      <c r="T927" s="882"/>
      <c r="U927" s="882"/>
      <c r="V927" s="883"/>
      <c r="W927" s="883"/>
      <c r="X927" s="883"/>
      <c r="Y927" s="883"/>
      <c r="Z927" s="883"/>
      <c r="AA927" s="883"/>
      <c r="AB927" s="883"/>
      <c r="AC927" s="883"/>
      <c r="AD927" s="883"/>
      <c r="AE927" s="883"/>
      <c r="AF927" s="883"/>
      <c r="AG927" s="883"/>
    </row>
    <row r="928" spans="1:33" s="1036" customFormat="1" ht="15.95" customHeight="1">
      <c r="A928" s="7"/>
      <c r="B928" s="10"/>
      <c r="C928" s="12"/>
      <c r="D928" s="880"/>
      <c r="E928" s="880"/>
      <c r="F928" s="880"/>
      <c r="G928" s="880"/>
      <c r="H928" s="880"/>
      <c r="I928" s="880"/>
      <c r="J928" s="880"/>
      <c r="K928" s="880"/>
      <c r="L928" s="881"/>
      <c r="M928" s="880"/>
      <c r="N928" s="873"/>
      <c r="O928" s="880"/>
      <c r="P928" s="873"/>
      <c r="Q928" s="884"/>
      <c r="R928" s="880"/>
      <c r="S928" s="880"/>
      <c r="T928" s="882"/>
      <c r="U928" s="882"/>
      <c r="V928" s="883"/>
      <c r="W928" s="883"/>
      <c r="X928" s="883"/>
      <c r="Y928" s="883"/>
      <c r="Z928" s="883"/>
      <c r="AA928" s="883"/>
      <c r="AB928" s="883"/>
      <c r="AC928" s="883"/>
      <c r="AD928" s="883"/>
      <c r="AE928" s="883"/>
      <c r="AF928" s="883"/>
      <c r="AG928" s="883"/>
    </row>
    <row r="929" spans="1:33" s="1036" customFormat="1" ht="15.95" customHeight="1">
      <c r="A929" s="7"/>
      <c r="B929" s="10"/>
      <c r="C929" s="12"/>
      <c r="D929" s="880"/>
      <c r="E929" s="880"/>
      <c r="F929" s="880"/>
      <c r="G929" s="880"/>
      <c r="H929" s="880"/>
      <c r="I929" s="880"/>
      <c r="J929" s="880"/>
      <c r="K929" s="880"/>
      <c r="L929" s="881"/>
      <c r="M929" s="880"/>
      <c r="N929" s="873"/>
      <c r="O929" s="880"/>
      <c r="P929" s="873"/>
      <c r="Q929" s="884"/>
      <c r="R929" s="880"/>
      <c r="S929" s="880"/>
      <c r="T929" s="882"/>
      <c r="U929" s="882"/>
      <c r="V929" s="883"/>
      <c r="W929" s="883"/>
      <c r="X929" s="883"/>
      <c r="Y929" s="883"/>
      <c r="Z929" s="883"/>
      <c r="AA929" s="883"/>
      <c r="AB929" s="883"/>
      <c r="AC929" s="883"/>
      <c r="AD929" s="883"/>
      <c r="AE929" s="883"/>
      <c r="AF929" s="883"/>
      <c r="AG929" s="883"/>
    </row>
    <row r="930" spans="1:33" s="1036" customFormat="1" ht="15.95" customHeight="1">
      <c r="A930" s="7"/>
      <c r="B930" s="10"/>
      <c r="C930" s="12"/>
      <c r="D930" s="880"/>
      <c r="E930" s="880"/>
      <c r="F930" s="880"/>
      <c r="G930" s="880"/>
      <c r="H930" s="880"/>
      <c r="I930" s="880"/>
      <c r="J930" s="880"/>
      <c r="K930" s="880"/>
      <c r="L930" s="881"/>
      <c r="M930" s="880"/>
      <c r="N930" s="873"/>
      <c r="O930" s="880"/>
      <c r="P930" s="873"/>
      <c r="Q930" s="884"/>
      <c r="R930" s="880"/>
      <c r="S930" s="880"/>
      <c r="T930" s="882"/>
      <c r="U930" s="882"/>
      <c r="V930" s="883"/>
      <c r="W930" s="883"/>
      <c r="X930" s="883"/>
      <c r="Y930" s="883"/>
      <c r="Z930" s="883"/>
      <c r="AA930" s="883"/>
      <c r="AB930" s="883"/>
      <c r="AC930" s="883"/>
      <c r="AD930" s="883"/>
      <c r="AE930" s="883"/>
      <c r="AF930" s="883"/>
      <c r="AG930" s="883"/>
    </row>
    <row r="931" spans="1:33" s="1036" customFormat="1" ht="15.95" customHeight="1">
      <c r="A931" s="7"/>
      <c r="B931" s="10"/>
      <c r="C931" s="12"/>
      <c r="D931" s="880"/>
      <c r="E931" s="880"/>
      <c r="F931" s="880"/>
      <c r="G931" s="880"/>
      <c r="H931" s="880"/>
      <c r="I931" s="880"/>
      <c r="J931" s="880"/>
      <c r="K931" s="880"/>
      <c r="L931" s="881"/>
      <c r="M931" s="880"/>
      <c r="N931" s="873"/>
      <c r="O931" s="880"/>
      <c r="P931" s="873"/>
      <c r="Q931" s="884"/>
      <c r="R931" s="880"/>
      <c r="S931" s="880"/>
      <c r="T931" s="882"/>
      <c r="U931" s="882"/>
      <c r="V931" s="883"/>
      <c r="W931" s="883"/>
      <c r="X931" s="883"/>
      <c r="Y931" s="883"/>
      <c r="Z931" s="883"/>
      <c r="AA931" s="883"/>
      <c r="AB931" s="883"/>
      <c r="AC931" s="883"/>
      <c r="AD931" s="883"/>
      <c r="AE931" s="883"/>
      <c r="AF931" s="883"/>
      <c r="AG931" s="883"/>
    </row>
    <row r="932" spans="1:33" s="1036" customFormat="1" ht="15.95" customHeight="1">
      <c r="A932" s="44"/>
      <c r="B932" s="41"/>
      <c r="C932" s="41"/>
      <c r="D932" s="42"/>
      <c r="E932" s="42"/>
      <c r="F932" s="43"/>
      <c r="G932" s="42"/>
      <c r="H932" s="43"/>
      <c r="I932" s="43"/>
      <c r="J932" s="42"/>
      <c r="K932" s="42"/>
      <c r="L932" s="290"/>
      <c r="M932" s="43"/>
      <c r="N932" s="43"/>
      <c r="O932" s="42"/>
      <c r="P932" s="43"/>
      <c r="Q932" s="43"/>
      <c r="R932" s="42"/>
      <c r="S932" s="43"/>
      <c r="T932" s="42"/>
      <c r="U932" s="42"/>
      <c r="V932" s="44"/>
      <c r="W932" s="44"/>
      <c r="X932" s="44"/>
      <c r="Y932" s="44"/>
      <c r="Z932" s="44"/>
      <c r="AA932" s="44"/>
      <c r="AB932" s="44"/>
      <c r="AC932" s="44"/>
      <c r="AD932" s="44"/>
      <c r="AE932" s="44"/>
      <c r="AF932" s="44"/>
      <c r="AG932" s="44"/>
    </row>
    <row r="933" spans="1:33" s="1036" customFormat="1" ht="15.95" customHeight="1" thickBot="1">
      <c r="A933" s="7"/>
      <c r="B933" s="19" t="s">
        <v>728</v>
      </c>
      <c r="C933" s="7"/>
      <c r="D933" s="17"/>
      <c r="E933" s="17"/>
      <c r="F933" s="18"/>
      <c r="G933" s="17"/>
      <c r="H933" s="18"/>
      <c r="I933" s="18"/>
      <c r="J933" s="17"/>
      <c r="K933" s="17"/>
      <c r="L933" s="281"/>
      <c r="M933" s="18"/>
      <c r="N933" s="9"/>
      <c r="O933" s="17"/>
      <c r="P933" s="18"/>
      <c r="Q933" s="18"/>
      <c r="R933" s="17"/>
      <c r="S933" s="866"/>
      <c r="T933" s="867" t="str">
        <f>'[1]$REV-DB'!$T$34</f>
        <v>UD1</v>
      </c>
      <c r="U933" s="867" t="str">
        <f>'[1]$REV-DB'!$U$34</f>
        <v>UD2</v>
      </c>
      <c r="V933" s="867" t="str">
        <f>'[1]$REV-DB'!$V$34</f>
        <v>UD3</v>
      </c>
      <c r="W933" s="867" t="str">
        <f>'[1]$REV-DB'!$W$34</f>
        <v>UD4</v>
      </c>
      <c r="X933" s="867" t="str">
        <f>'[1]$REV-DB'!$X$34</f>
        <v>UD5</v>
      </c>
      <c r="Y933" s="867" t="str">
        <f>'[1]$REV-DB'!$Y$34</f>
        <v>UD6</v>
      </c>
      <c r="Z933" s="867" t="str">
        <f>'[1]$REV-DB'!$Z$34</f>
        <v>UD7</v>
      </c>
      <c r="AA933" s="867" t="str">
        <f>'[1]$REV-DB'!$AA$34</f>
        <v>UD8</v>
      </c>
      <c r="AB933" s="867" t="str">
        <f>'[1]$REV-DB'!$AB$34</f>
        <v>UD9</v>
      </c>
      <c r="AC933" s="867" t="str">
        <f>'[1]$REV-DB'!$AC$34</f>
        <v>UD10</v>
      </c>
      <c r="AD933" s="867" t="str">
        <f>'[1]$REV-DB'!$AD$34</f>
        <v>UD11</v>
      </c>
      <c r="AE933" s="867" t="str">
        <f>'[1]$REV-DB'!$AE$34</f>
        <v>UD12</v>
      </c>
      <c r="AF933" s="867" t="str">
        <f>'[1]$REV-DB'!$AF$34</f>
        <v>UD13</v>
      </c>
      <c r="AG933" s="867" t="str">
        <f>'[1]$REV-DB'!$AG$34</f>
        <v>UD14</v>
      </c>
    </row>
    <row r="934" spans="1:33" s="1036" customFormat="1" ht="15.95" customHeight="1" thickTop="1" thickBot="1">
      <c r="A934" s="7"/>
      <c r="B934" s="20" t="s">
        <v>604</v>
      </c>
      <c r="C934" s="15"/>
      <c r="D934" s="974" t="s">
        <v>186</v>
      </c>
      <c r="E934" s="974" t="s">
        <v>187</v>
      </c>
      <c r="F934" s="974" t="s">
        <v>188</v>
      </c>
      <c r="G934" s="974" t="s">
        <v>189</v>
      </c>
      <c r="H934" s="974" t="s">
        <v>11</v>
      </c>
      <c r="I934" s="974" t="s">
        <v>190</v>
      </c>
      <c r="J934" s="974" t="s">
        <v>191</v>
      </c>
      <c r="K934" s="974" t="s">
        <v>192</v>
      </c>
      <c r="L934" s="974" t="s">
        <v>203</v>
      </c>
      <c r="M934" s="974" t="s">
        <v>42</v>
      </c>
      <c r="N934" s="974" t="s">
        <v>148</v>
      </c>
      <c r="O934" s="974" t="s">
        <v>193</v>
      </c>
      <c r="P934" s="974" t="s">
        <v>142</v>
      </c>
      <c r="Q934" s="974" t="s">
        <v>194</v>
      </c>
      <c r="R934" s="112" t="s">
        <v>141</v>
      </c>
      <c r="S934" s="112" t="s">
        <v>672</v>
      </c>
      <c r="T934" s="974" t="s">
        <v>541</v>
      </c>
      <c r="U934" s="974" t="s">
        <v>542</v>
      </c>
      <c r="V934" s="974" t="s">
        <v>543</v>
      </c>
      <c r="W934" s="974" t="s">
        <v>544</v>
      </c>
      <c r="X934" s="974" t="s">
        <v>545</v>
      </c>
      <c r="Y934" s="974" t="s">
        <v>546</v>
      </c>
      <c r="Z934" s="974" t="s">
        <v>547</v>
      </c>
      <c r="AA934" s="974" t="s">
        <v>548</v>
      </c>
      <c r="AB934" s="974" t="s">
        <v>549</v>
      </c>
      <c r="AC934" s="974" t="s">
        <v>550</v>
      </c>
      <c r="AD934" s="974" t="s">
        <v>551</v>
      </c>
      <c r="AE934" s="974" t="s">
        <v>552</v>
      </c>
      <c r="AF934" s="974" t="s">
        <v>553</v>
      </c>
      <c r="AG934" s="974" t="s">
        <v>554</v>
      </c>
    </row>
    <row r="935" spans="1:33" s="1036" customFormat="1" ht="15.95" customHeight="1" thickTop="1">
      <c r="A935" s="7"/>
      <c r="B935" s="19" t="s">
        <v>144</v>
      </c>
      <c r="C935" s="12"/>
      <c r="D935" s="203"/>
      <c r="E935" s="203"/>
      <c r="F935" s="202"/>
      <c r="G935" s="203"/>
      <c r="H935" s="202"/>
      <c r="I935" s="202"/>
      <c r="J935" s="203"/>
      <c r="K935" s="203"/>
      <c r="L935" s="291" t="s">
        <v>34</v>
      </c>
      <c r="M935" s="202"/>
      <c r="N935" s="45" t="str">
        <f>J$6</f>
        <v>FY2010-11</v>
      </c>
      <c r="O935" s="45"/>
      <c r="P935" s="45" t="s">
        <v>147</v>
      </c>
      <c r="Q935" s="45" t="s">
        <v>139</v>
      </c>
      <c r="R935" s="203"/>
      <c r="S935" s="202" t="s">
        <v>103</v>
      </c>
      <c r="T935" s="203"/>
      <c r="U935" s="203"/>
      <c r="V935" s="204"/>
      <c r="W935" s="204"/>
      <c r="X935" s="204"/>
      <c r="Y935" s="204"/>
      <c r="Z935" s="204"/>
      <c r="AA935" s="204"/>
      <c r="AB935" s="204"/>
      <c r="AC935" s="204"/>
      <c r="AD935" s="204"/>
      <c r="AE935" s="204"/>
      <c r="AF935" s="204"/>
      <c r="AG935" s="204"/>
    </row>
    <row r="936" spans="1:33" s="1036" customFormat="1" ht="15.95" customHeight="1">
      <c r="A936" s="7"/>
      <c r="B936" s="16">
        <f>DSUM('$REV-DB'!D35:AG67,"AMOUNT",D934:AG935)</f>
        <v>0</v>
      </c>
      <c r="C936" s="12"/>
      <c r="D936" s="880"/>
      <c r="E936" s="880"/>
      <c r="F936" s="880"/>
      <c r="G936" s="880"/>
      <c r="H936" s="880"/>
      <c r="I936" s="880"/>
      <c r="J936" s="880"/>
      <c r="K936" s="880"/>
      <c r="L936" s="881"/>
      <c r="M936" s="880"/>
      <c r="N936" s="873"/>
      <c r="O936" s="880"/>
      <c r="P936" s="873"/>
      <c r="Q936" s="884"/>
      <c r="R936" s="880"/>
      <c r="S936" s="880"/>
      <c r="T936" s="882"/>
      <c r="U936" s="882"/>
      <c r="V936" s="883"/>
      <c r="W936" s="883"/>
      <c r="X936" s="883"/>
      <c r="Y936" s="883"/>
      <c r="Z936" s="883"/>
      <c r="AA936" s="883"/>
      <c r="AB936" s="883"/>
      <c r="AC936" s="883"/>
      <c r="AD936" s="883"/>
      <c r="AE936" s="883"/>
      <c r="AF936" s="883"/>
      <c r="AG936" s="883"/>
    </row>
    <row r="937" spans="1:33" s="1036" customFormat="1" ht="15.95" customHeight="1">
      <c r="A937" s="7"/>
      <c r="B937" s="10"/>
      <c r="C937" s="12"/>
      <c r="D937" s="880"/>
      <c r="E937" s="880"/>
      <c r="F937" s="880"/>
      <c r="G937" s="880"/>
      <c r="H937" s="880"/>
      <c r="I937" s="880"/>
      <c r="J937" s="880"/>
      <c r="K937" s="880"/>
      <c r="L937" s="881"/>
      <c r="M937" s="880"/>
      <c r="N937" s="873"/>
      <c r="O937" s="880"/>
      <c r="P937" s="873"/>
      <c r="Q937" s="884"/>
      <c r="R937" s="880"/>
      <c r="S937" s="880"/>
      <c r="T937" s="882"/>
      <c r="U937" s="882"/>
      <c r="V937" s="883"/>
      <c r="W937" s="883"/>
      <c r="X937" s="883"/>
      <c r="Y937" s="883"/>
      <c r="Z937" s="883"/>
      <c r="AA937" s="883"/>
      <c r="AB937" s="883"/>
      <c r="AC937" s="883"/>
      <c r="AD937" s="883"/>
      <c r="AE937" s="883"/>
      <c r="AF937" s="883"/>
      <c r="AG937" s="883"/>
    </row>
    <row r="938" spans="1:33" s="1036" customFormat="1" ht="15.95" customHeight="1">
      <c r="A938" s="7"/>
      <c r="B938" s="10"/>
      <c r="C938" s="12"/>
      <c r="D938" s="880"/>
      <c r="E938" s="880"/>
      <c r="F938" s="880"/>
      <c r="G938" s="880"/>
      <c r="H938" s="880"/>
      <c r="I938" s="880"/>
      <c r="J938" s="880"/>
      <c r="K938" s="880"/>
      <c r="L938" s="881"/>
      <c r="M938" s="880"/>
      <c r="N938" s="873"/>
      <c r="O938" s="880"/>
      <c r="P938" s="873"/>
      <c r="Q938" s="884"/>
      <c r="R938" s="880"/>
      <c r="S938" s="880"/>
      <c r="T938" s="882"/>
      <c r="U938" s="882"/>
      <c r="V938" s="883"/>
      <c r="W938" s="883"/>
      <c r="X938" s="883"/>
      <c r="Y938" s="883"/>
      <c r="Z938" s="883"/>
      <c r="AA938" s="883"/>
      <c r="AB938" s="883"/>
      <c r="AC938" s="883"/>
      <c r="AD938" s="883"/>
      <c r="AE938" s="883"/>
      <c r="AF938" s="883"/>
      <c r="AG938" s="883"/>
    </row>
    <row r="939" spans="1:33" s="1036" customFormat="1" ht="15.95" customHeight="1">
      <c r="A939" s="7"/>
      <c r="B939" s="10"/>
      <c r="C939" s="12"/>
      <c r="D939" s="880"/>
      <c r="E939" s="880"/>
      <c r="F939" s="880"/>
      <c r="G939" s="880"/>
      <c r="H939" s="880"/>
      <c r="I939" s="880"/>
      <c r="J939" s="880"/>
      <c r="K939" s="880"/>
      <c r="L939" s="881"/>
      <c r="M939" s="880"/>
      <c r="N939" s="873"/>
      <c r="O939" s="880"/>
      <c r="P939" s="873"/>
      <c r="Q939" s="884"/>
      <c r="R939" s="880"/>
      <c r="S939" s="880"/>
      <c r="T939" s="882"/>
      <c r="U939" s="882"/>
      <c r="V939" s="883"/>
      <c r="W939" s="883"/>
      <c r="X939" s="883"/>
      <c r="Y939" s="883"/>
      <c r="Z939" s="883"/>
      <c r="AA939" s="883"/>
      <c r="AB939" s="883"/>
      <c r="AC939" s="883"/>
      <c r="AD939" s="883"/>
      <c r="AE939" s="883"/>
      <c r="AF939" s="883"/>
      <c r="AG939" s="883"/>
    </row>
    <row r="940" spans="1:33" s="1036" customFormat="1" ht="15.95" customHeight="1">
      <c r="A940" s="7"/>
      <c r="B940" s="10"/>
      <c r="C940" s="12"/>
      <c r="D940" s="880"/>
      <c r="E940" s="880"/>
      <c r="F940" s="880"/>
      <c r="G940" s="880"/>
      <c r="H940" s="880"/>
      <c r="I940" s="880"/>
      <c r="J940" s="880"/>
      <c r="K940" s="880"/>
      <c r="L940" s="881"/>
      <c r="M940" s="880"/>
      <c r="N940" s="873"/>
      <c r="O940" s="880"/>
      <c r="P940" s="873"/>
      <c r="Q940" s="884"/>
      <c r="R940" s="880"/>
      <c r="S940" s="880"/>
      <c r="T940" s="882"/>
      <c r="U940" s="882"/>
      <c r="V940" s="883"/>
      <c r="W940" s="883"/>
      <c r="X940" s="883"/>
      <c r="Y940" s="883"/>
      <c r="Z940" s="883"/>
      <c r="AA940" s="883"/>
      <c r="AB940" s="883"/>
      <c r="AC940" s="883"/>
      <c r="AD940" s="883"/>
      <c r="AE940" s="883"/>
      <c r="AF940" s="883"/>
      <c r="AG940" s="883"/>
    </row>
    <row r="941" spans="1:33" s="1036" customFormat="1" ht="15.95" customHeight="1">
      <c r="A941" s="7"/>
      <c r="B941" s="10"/>
      <c r="C941" s="12"/>
      <c r="D941" s="880"/>
      <c r="E941" s="880"/>
      <c r="F941" s="880"/>
      <c r="G941" s="880"/>
      <c r="H941" s="880"/>
      <c r="I941" s="880"/>
      <c r="J941" s="880"/>
      <c r="K941" s="880"/>
      <c r="L941" s="881"/>
      <c r="M941" s="880"/>
      <c r="N941" s="873"/>
      <c r="O941" s="880"/>
      <c r="P941" s="873"/>
      <c r="Q941" s="884"/>
      <c r="R941" s="880"/>
      <c r="S941" s="880"/>
      <c r="T941" s="882"/>
      <c r="U941" s="882"/>
      <c r="V941" s="883"/>
      <c r="W941" s="883"/>
      <c r="X941" s="883"/>
      <c r="Y941" s="883"/>
      <c r="Z941" s="883"/>
      <c r="AA941" s="883"/>
      <c r="AB941" s="883"/>
      <c r="AC941" s="883"/>
      <c r="AD941" s="883"/>
      <c r="AE941" s="883"/>
      <c r="AF941" s="883"/>
      <c r="AG941" s="883"/>
    </row>
    <row r="942" spans="1:33" s="1036" customFormat="1" ht="15.95" customHeight="1">
      <c r="A942" s="44"/>
      <c r="B942" s="41"/>
      <c r="C942" s="41"/>
      <c r="D942" s="42"/>
      <c r="E942" s="42"/>
      <c r="F942" s="43"/>
      <c r="G942" s="42"/>
      <c r="H942" s="43"/>
      <c r="I942" s="43"/>
      <c r="J942" s="42"/>
      <c r="K942" s="42"/>
      <c r="L942" s="290"/>
      <c r="M942" s="43"/>
      <c r="N942" s="43"/>
      <c r="O942" s="42"/>
      <c r="P942" s="43"/>
      <c r="Q942" s="43"/>
      <c r="R942" s="42"/>
      <c r="S942" s="43"/>
      <c r="T942" s="42"/>
      <c r="U942" s="42"/>
      <c r="V942" s="44"/>
      <c r="W942" s="44"/>
      <c r="X942" s="44"/>
      <c r="Y942" s="44"/>
      <c r="Z942" s="44"/>
      <c r="AA942" s="44"/>
      <c r="AB942" s="44"/>
      <c r="AC942" s="44"/>
      <c r="AD942" s="44"/>
      <c r="AE942" s="44"/>
      <c r="AF942" s="44"/>
      <c r="AG942" s="44"/>
    </row>
    <row r="943" spans="1:33" s="1036" customFormat="1" ht="15.95" customHeight="1" thickBot="1">
      <c r="A943" s="7"/>
      <c r="B943" s="19" t="s">
        <v>728</v>
      </c>
      <c r="C943" s="7"/>
      <c r="D943" s="17"/>
      <c r="E943" s="17"/>
      <c r="F943" s="18"/>
      <c r="G943" s="17"/>
      <c r="H943" s="18"/>
      <c r="I943" s="18"/>
      <c r="J943" s="17"/>
      <c r="K943" s="17"/>
      <c r="L943" s="281"/>
      <c r="M943" s="18"/>
      <c r="N943" s="9"/>
      <c r="O943" s="17"/>
      <c r="P943" s="18"/>
      <c r="Q943" s="18"/>
      <c r="R943" s="17"/>
      <c r="S943" s="866"/>
      <c r="T943" s="867" t="str">
        <f>'[1]$REV-DB'!$T$34</f>
        <v>UD1</v>
      </c>
      <c r="U943" s="867" t="str">
        <f>'[1]$REV-DB'!$U$34</f>
        <v>UD2</v>
      </c>
      <c r="V943" s="867" t="str">
        <f>'[1]$REV-DB'!$V$34</f>
        <v>UD3</v>
      </c>
      <c r="W943" s="867" t="str">
        <f>'[1]$REV-DB'!$W$34</f>
        <v>UD4</v>
      </c>
      <c r="X943" s="867" t="str">
        <f>'[1]$REV-DB'!$X$34</f>
        <v>UD5</v>
      </c>
      <c r="Y943" s="867" t="str">
        <f>'[1]$REV-DB'!$Y$34</f>
        <v>UD6</v>
      </c>
      <c r="Z943" s="867" t="str">
        <f>'[1]$REV-DB'!$Z$34</f>
        <v>UD7</v>
      </c>
      <c r="AA943" s="867" t="str">
        <f>'[1]$REV-DB'!$AA$34</f>
        <v>UD8</v>
      </c>
      <c r="AB943" s="867" t="str">
        <f>'[1]$REV-DB'!$AB$34</f>
        <v>UD9</v>
      </c>
      <c r="AC943" s="867" t="str">
        <f>'[1]$REV-DB'!$AC$34</f>
        <v>UD10</v>
      </c>
      <c r="AD943" s="867" t="str">
        <f>'[1]$REV-DB'!$AD$34</f>
        <v>UD11</v>
      </c>
      <c r="AE943" s="867" t="str">
        <f>'[1]$REV-DB'!$AE$34</f>
        <v>UD12</v>
      </c>
      <c r="AF943" s="867" t="str">
        <f>'[1]$REV-DB'!$AF$34</f>
        <v>UD13</v>
      </c>
      <c r="AG943" s="867" t="str">
        <f>'[1]$REV-DB'!$AG$34</f>
        <v>UD14</v>
      </c>
    </row>
    <row r="944" spans="1:33" s="1036" customFormat="1" ht="15.95" customHeight="1" thickTop="1" thickBot="1">
      <c r="A944" s="7"/>
      <c r="B944" s="20" t="s">
        <v>604</v>
      </c>
      <c r="C944" s="15"/>
      <c r="D944" s="974" t="s">
        <v>186</v>
      </c>
      <c r="E944" s="974" t="s">
        <v>187</v>
      </c>
      <c r="F944" s="974" t="s">
        <v>188</v>
      </c>
      <c r="G944" s="974" t="s">
        <v>189</v>
      </c>
      <c r="H944" s="974" t="s">
        <v>11</v>
      </c>
      <c r="I944" s="974" t="s">
        <v>190</v>
      </c>
      <c r="J944" s="974" t="s">
        <v>191</v>
      </c>
      <c r="K944" s="974" t="s">
        <v>192</v>
      </c>
      <c r="L944" s="974" t="s">
        <v>203</v>
      </c>
      <c r="M944" s="974" t="s">
        <v>42</v>
      </c>
      <c r="N944" s="974" t="s">
        <v>148</v>
      </c>
      <c r="O944" s="974" t="s">
        <v>193</v>
      </c>
      <c r="P944" s="974" t="s">
        <v>142</v>
      </c>
      <c r="Q944" s="974" t="s">
        <v>194</v>
      </c>
      <c r="R944" s="112" t="s">
        <v>141</v>
      </c>
      <c r="S944" s="112" t="s">
        <v>672</v>
      </c>
      <c r="T944" s="974" t="s">
        <v>541</v>
      </c>
      <c r="U944" s="974" t="s">
        <v>542</v>
      </c>
      <c r="V944" s="974" t="s">
        <v>543</v>
      </c>
      <c r="W944" s="974" t="s">
        <v>544</v>
      </c>
      <c r="X944" s="974" t="s">
        <v>545</v>
      </c>
      <c r="Y944" s="974" t="s">
        <v>546</v>
      </c>
      <c r="Z944" s="974" t="s">
        <v>547</v>
      </c>
      <c r="AA944" s="974" t="s">
        <v>548</v>
      </c>
      <c r="AB944" s="974" t="s">
        <v>549</v>
      </c>
      <c r="AC944" s="974" t="s">
        <v>550</v>
      </c>
      <c r="AD944" s="974" t="s">
        <v>551</v>
      </c>
      <c r="AE944" s="974" t="s">
        <v>552</v>
      </c>
      <c r="AF944" s="974" t="s">
        <v>553</v>
      </c>
      <c r="AG944" s="974" t="s">
        <v>554</v>
      </c>
    </row>
    <row r="945" spans="1:33" s="1036" customFormat="1" ht="15.95" customHeight="1" thickTop="1">
      <c r="A945" s="7"/>
      <c r="B945" s="19" t="s">
        <v>143</v>
      </c>
      <c r="C945" s="12"/>
      <c r="D945" s="203"/>
      <c r="E945" s="203"/>
      <c r="F945" s="202"/>
      <c r="G945" s="203"/>
      <c r="H945" s="202"/>
      <c r="I945" s="202"/>
      <c r="J945" s="203"/>
      <c r="K945" s="203"/>
      <c r="L945" s="291" t="s">
        <v>34</v>
      </c>
      <c r="M945" s="202"/>
      <c r="N945" s="45" t="str">
        <f>J$6</f>
        <v>FY2010-11</v>
      </c>
      <c r="O945" s="45"/>
      <c r="P945" s="45" t="s">
        <v>147</v>
      </c>
      <c r="Q945" s="45" t="s">
        <v>179</v>
      </c>
      <c r="R945" s="203"/>
      <c r="S945" s="202" t="s">
        <v>103</v>
      </c>
      <c r="T945" s="203"/>
      <c r="U945" s="203"/>
      <c r="V945" s="204"/>
      <c r="W945" s="204"/>
      <c r="X945" s="204"/>
      <c r="Y945" s="204"/>
      <c r="Z945" s="204"/>
      <c r="AA945" s="204"/>
      <c r="AB945" s="204"/>
      <c r="AC945" s="204"/>
      <c r="AD945" s="204"/>
      <c r="AE945" s="204"/>
      <c r="AF945" s="204"/>
      <c r="AG945" s="204"/>
    </row>
    <row r="946" spans="1:33" s="1036" customFormat="1" ht="15.95" customHeight="1">
      <c r="A946" s="7"/>
      <c r="B946" s="16">
        <f>DSUM('$REV-DB'!D35:AG67,"AMOUNT",D944:AG945)</f>
        <v>0</v>
      </c>
      <c r="C946" s="12"/>
      <c r="D946" s="880"/>
      <c r="E946" s="880"/>
      <c r="F946" s="880"/>
      <c r="G946" s="880"/>
      <c r="H946" s="880"/>
      <c r="I946" s="880"/>
      <c r="J946" s="880"/>
      <c r="K946" s="880"/>
      <c r="L946" s="881"/>
      <c r="M946" s="880"/>
      <c r="N946" s="873"/>
      <c r="O946" s="880"/>
      <c r="P946" s="873"/>
      <c r="Q946" s="884"/>
      <c r="R946" s="880"/>
      <c r="S946" s="880"/>
      <c r="T946" s="882"/>
      <c r="U946" s="882"/>
      <c r="V946" s="883"/>
      <c r="W946" s="883"/>
      <c r="X946" s="883"/>
      <c r="Y946" s="883"/>
      <c r="Z946" s="883"/>
      <c r="AA946" s="883"/>
      <c r="AB946" s="883"/>
      <c r="AC946" s="883"/>
      <c r="AD946" s="883"/>
      <c r="AE946" s="883"/>
      <c r="AF946" s="883"/>
      <c r="AG946" s="883"/>
    </row>
    <row r="947" spans="1:33" s="1036" customFormat="1" ht="15.95" customHeight="1">
      <c r="A947" s="7"/>
      <c r="B947" s="10"/>
      <c r="C947" s="12"/>
      <c r="D947" s="880"/>
      <c r="E947" s="880"/>
      <c r="F947" s="880"/>
      <c r="G947" s="880"/>
      <c r="H947" s="880"/>
      <c r="I947" s="880"/>
      <c r="J947" s="880"/>
      <c r="K947" s="880"/>
      <c r="L947" s="881"/>
      <c r="M947" s="880"/>
      <c r="N947" s="873"/>
      <c r="O947" s="880"/>
      <c r="P947" s="873"/>
      <c r="Q947" s="884"/>
      <c r="R947" s="880"/>
      <c r="S947" s="880"/>
      <c r="T947" s="882"/>
      <c r="U947" s="882"/>
      <c r="V947" s="883"/>
      <c r="W947" s="883"/>
      <c r="X947" s="883"/>
      <c r="Y947" s="883"/>
      <c r="Z947" s="883"/>
      <c r="AA947" s="883"/>
      <c r="AB947" s="883"/>
      <c r="AC947" s="883"/>
      <c r="AD947" s="883"/>
      <c r="AE947" s="883"/>
      <c r="AF947" s="883"/>
      <c r="AG947" s="883"/>
    </row>
    <row r="948" spans="1:33" s="1036" customFormat="1" ht="15.95" customHeight="1">
      <c r="A948" s="7"/>
      <c r="B948" s="10"/>
      <c r="C948" s="12"/>
      <c r="D948" s="880"/>
      <c r="E948" s="880"/>
      <c r="F948" s="880"/>
      <c r="G948" s="880"/>
      <c r="H948" s="880"/>
      <c r="I948" s="880"/>
      <c r="J948" s="880"/>
      <c r="K948" s="880"/>
      <c r="L948" s="881"/>
      <c r="M948" s="880"/>
      <c r="N948" s="873"/>
      <c r="O948" s="880"/>
      <c r="P948" s="873"/>
      <c r="Q948" s="884"/>
      <c r="R948" s="880"/>
      <c r="S948" s="880"/>
      <c r="T948" s="882"/>
      <c r="U948" s="882"/>
      <c r="V948" s="883"/>
      <c r="W948" s="883"/>
      <c r="X948" s="883"/>
      <c r="Y948" s="883"/>
      <c r="Z948" s="883"/>
      <c r="AA948" s="883"/>
      <c r="AB948" s="883"/>
      <c r="AC948" s="883"/>
      <c r="AD948" s="883"/>
      <c r="AE948" s="883"/>
      <c r="AF948" s="883"/>
      <c r="AG948" s="883"/>
    </row>
    <row r="949" spans="1:33" s="1036" customFormat="1" ht="15.95" customHeight="1">
      <c r="A949" s="7"/>
      <c r="B949" s="10"/>
      <c r="C949" s="12"/>
      <c r="D949" s="880"/>
      <c r="E949" s="880"/>
      <c r="F949" s="880"/>
      <c r="G949" s="880"/>
      <c r="H949" s="880"/>
      <c r="I949" s="880"/>
      <c r="J949" s="880"/>
      <c r="K949" s="880"/>
      <c r="L949" s="881"/>
      <c r="M949" s="880"/>
      <c r="N949" s="873"/>
      <c r="O949" s="880"/>
      <c r="P949" s="873"/>
      <c r="Q949" s="884"/>
      <c r="R949" s="880"/>
      <c r="S949" s="880"/>
      <c r="T949" s="882"/>
      <c r="U949" s="882"/>
      <c r="V949" s="883"/>
      <c r="W949" s="883"/>
      <c r="X949" s="883"/>
      <c r="Y949" s="883"/>
      <c r="Z949" s="883"/>
      <c r="AA949" s="883"/>
      <c r="AB949" s="883"/>
      <c r="AC949" s="883"/>
      <c r="AD949" s="883"/>
      <c r="AE949" s="883"/>
      <c r="AF949" s="883"/>
      <c r="AG949" s="883"/>
    </row>
    <row r="950" spans="1:33" s="1036" customFormat="1" ht="15.95" customHeight="1">
      <c r="A950" s="7"/>
      <c r="B950" s="10"/>
      <c r="C950" s="12"/>
      <c r="D950" s="880"/>
      <c r="E950" s="880"/>
      <c r="F950" s="880"/>
      <c r="G950" s="880"/>
      <c r="H950" s="880"/>
      <c r="I950" s="880"/>
      <c r="J950" s="880"/>
      <c r="K950" s="880"/>
      <c r="L950" s="881"/>
      <c r="M950" s="880"/>
      <c r="N950" s="873"/>
      <c r="O950" s="880"/>
      <c r="P950" s="873"/>
      <c r="Q950" s="884"/>
      <c r="R950" s="880"/>
      <c r="S950" s="880"/>
      <c r="T950" s="882"/>
      <c r="U950" s="882"/>
      <c r="V950" s="883"/>
      <c r="W950" s="883"/>
      <c r="X950" s="883"/>
      <c r="Y950" s="883"/>
      <c r="Z950" s="883"/>
      <c r="AA950" s="883"/>
      <c r="AB950" s="883"/>
      <c r="AC950" s="883"/>
      <c r="AD950" s="883"/>
      <c r="AE950" s="883"/>
      <c r="AF950" s="883"/>
      <c r="AG950" s="883"/>
    </row>
    <row r="951" spans="1:33" s="1036" customFormat="1" ht="15.95" customHeight="1">
      <c r="A951" s="7"/>
      <c r="B951" s="10"/>
      <c r="C951" s="12"/>
      <c r="D951" s="880"/>
      <c r="E951" s="880"/>
      <c r="F951" s="880"/>
      <c r="G951" s="880"/>
      <c r="H951" s="880"/>
      <c r="I951" s="880"/>
      <c r="J951" s="880"/>
      <c r="K951" s="880"/>
      <c r="L951" s="881"/>
      <c r="M951" s="880"/>
      <c r="N951" s="873"/>
      <c r="O951" s="880"/>
      <c r="P951" s="873"/>
      <c r="Q951" s="884"/>
      <c r="R951" s="880"/>
      <c r="S951" s="880"/>
      <c r="T951" s="882"/>
      <c r="U951" s="882"/>
      <c r="V951" s="883"/>
      <c r="W951" s="883"/>
      <c r="X951" s="883"/>
      <c r="Y951" s="883"/>
      <c r="Z951" s="883"/>
      <c r="AA951" s="883"/>
      <c r="AB951" s="883"/>
      <c r="AC951" s="883"/>
      <c r="AD951" s="883"/>
      <c r="AE951" s="883"/>
      <c r="AF951" s="883"/>
      <c r="AG951" s="883"/>
    </row>
    <row r="952" spans="1:33" s="1036" customFormat="1" ht="15.95" customHeight="1">
      <c r="A952" s="44"/>
      <c r="B952" s="41"/>
      <c r="C952" s="41"/>
      <c r="D952" s="42"/>
      <c r="E952" s="42"/>
      <c r="F952" s="43"/>
      <c r="G952" s="42"/>
      <c r="H952" s="43"/>
      <c r="I952" s="43"/>
      <c r="J952" s="42"/>
      <c r="K952" s="42"/>
      <c r="L952" s="290"/>
      <c r="M952" s="43"/>
      <c r="N952" s="43"/>
      <c r="O952" s="42"/>
      <c r="P952" s="43"/>
      <c r="Q952" s="43"/>
      <c r="R952" s="42"/>
      <c r="S952" s="43"/>
      <c r="T952" s="42"/>
      <c r="U952" s="42"/>
      <c r="V952" s="44"/>
      <c r="W952" s="44"/>
      <c r="X952" s="44"/>
      <c r="Y952" s="44"/>
      <c r="Z952" s="44"/>
      <c r="AA952" s="44"/>
      <c r="AB952" s="44"/>
      <c r="AC952" s="44"/>
      <c r="AD952" s="44"/>
      <c r="AE952" s="44"/>
      <c r="AF952" s="44"/>
      <c r="AG952" s="44"/>
    </row>
    <row r="953" spans="1:33" s="1036" customFormat="1" ht="15.95" customHeight="1" thickBot="1">
      <c r="A953" s="7"/>
      <c r="B953" s="19" t="s">
        <v>728</v>
      </c>
      <c r="C953" s="7"/>
      <c r="D953" s="17"/>
      <c r="E953" s="17"/>
      <c r="F953" s="18"/>
      <c r="G953" s="17"/>
      <c r="H953" s="18"/>
      <c r="I953" s="18"/>
      <c r="J953" s="17"/>
      <c r="K953" s="17"/>
      <c r="L953" s="281"/>
      <c r="M953" s="18"/>
      <c r="N953" s="9"/>
      <c r="O953" s="17"/>
      <c r="P953" s="18"/>
      <c r="Q953" s="18"/>
      <c r="R953" s="17"/>
      <c r="S953" s="866"/>
      <c r="T953" s="867" t="str">
        <f>'[1]$REV-DB'!$T$34</f>
        <v>UD1</v>
      </c>
      <c r="U953" s="867" t="str">
        <f>'[1]$REV-DB'!$U$34</f>
        <v>UD2</v>
      </c>
      <c r="V953" s="867" t="str">
        <f>'[1]$REV-DB'!$V$34</f>
        <v>UD3</v>
      </c>
      <c r="W953" s="867" t="str">
        <f>'[1]$REV-DB'!$W$34</f>
        <v>UD4</v>
      </c>
      <c r="X953" s="867" t="str">
        <f>'[1]$REV-DB'!$X$34</f>
        <v>UD5</v>
      </c>
      <c r="Y953" s="867" t="str">
        <f>'[1]$REV-DB'!$Y$34</f>
        <v>UD6</v>
      </c>
      <c r="Z953" s="867" t="str">
        <f>'[1]$REV-DB'!$Z$34</f>
        <v>UD7</v>
      </c>
      <c r="AA953" s="867" t="str">
        <f>'[1]$REV-DB'!$AA$34</f>
        <v>UD8</v>
      </c>
      <c r="AB953" s="867" t="str">
        <f>'[1]$REV-DB'!$AB$34</f>
        <v>UD9</v>
      </c>
      <c r="AC953" s="867" t="str">
        <f>'[1]$REV-DB'!$AC$34</f>
        <v>UD10</v>
      </c>
      <c r="AD953" s="867" t="str">
        <f>'[1]$REV-DB'!$AD$34</f>
        <v>UD11</v>
      </c>
      <c r="AE953" s="867" t="str">
        <f>'[1]$REV-DB'!$AE$34</f>
        <v>UD12</v>
      </c>
      <c r="AF953" s="867" t="str">
        <f>'[1]$REV-DB'!$AF$34</f>
        <v>UD13</v>
      </c>
      <c r="AG953" s="867" t="str">
        <f>'[1]$REV-DB'!$AG$34</f>
        <v>UD14</v>
      </c>
    </row>
    <row r="954" spans="1:33" s="1036" customFormat="1" ht="15.95" customHeight="1" thickTop="1" thickBot="1">
      <c r="A954" s="7"/>
      <c r="B954" s="20" t="s">
        <v>604</v>
      </c>
      <c r="C954" s="15"/>
      <c r="D954" s="974" t="s">
        <v>186</v>
      </c>
      <c r="E954" s="974" t="s">
        <v>187</v>
      </c>
      <c r="F954" s="974" t="s">
        <v>188</v>
      </c>
      <c r="G954" s="974" t="s">
        <v>189</v>
      </c>
      <c r="H954" s="974" t="s">
        <v>11</v>
      </c>
      <c r="I954" s="974" t="s">
        <v>190</v>
      </c>
      <c r="J954" s="974" t="s">
        <v>191</v>
      </c>
      <c r="K954" s="974" t="s">
        <v>192</v>
      </c>
      <c r="L954" s="974" t="s">
        <v>203</v>
      </c>
      <c r="M954" s="974" t="s">
        <v>42</v>
      </c>
      <c r="N954" s="974" t="s">
        <v>148</v>
      </c>
      <c r="O954" s="974" t="s">
        <v>193</v>
      </c>
      <c r="P954" s="974" t="s">
        <v>142</v>
      </c>
      <c r="Q954" s="974" t="s">
        <v>194</v>
      </c>
      <c r="R954" s="112" t="s">
        <v>141</v>
      </c>
      <c r="S954" s="112" t="s">
        <v>672</v>
      </c>
      <c r="T954" s="974" t="s">
        <v>541</v>
      </c>
      <c r="U954" s="974" t="s">
        <v>542</v>
      </c>
      <c r="V954" s="974" t="s">
        <v>543</v>
      </c>
      <c r="W954" s="974" t="s">
        <v>544</v>
      </c>
      <c r="X954" s="974" t="s">
        <v>545</v>
      </c>
      <c r="Y954" s="974" t="s">
        <v>546</v>
      </c>
      <c r="Z954" s="974" t="s">
        <v>547</v>
      </c>
      <c r="AA954" s="974" t="s">
        <v>548</v>
      </c>
      <c r="AB954" s="974" t="s">
        <v>549</v>
      </c>
      <c r="AC954" s="974" t="s">
        <v>550</v>
      </c>
      <c r="AD954" s="974" t="s">
        <v>551</v>
      </c>
      <c r="AE954" s="974" t="s">
        <v>552</v>
      </c>
      <c r="AF954" s="974" t="s">
        <v>553</v>
      </c>
      <c r="AG954" s="974" t="s">
        <v>554</v>
      </c>
    </row>
    <row r="955" spans="1:33" s="1036" customFormat="1" ht="15.95" customHeight="1" thickTop="1">
      <c r="A955" s="7"/>
      <c r="B955" s="19" t="s">
        <v>149</v>
      </c>
      <c r="C955" s="12"/>
      <c r="D955" s="203"/>
      <c r="E955" s="203"/>
      <c r="F955" s="202"/>
      <c r="G955" s="203"/>
      <c r="H955" s="202"/>
      <c r="I955" s="202"/>
      <c r="J955" s="203"/>
      <c r="K955" s="203"/>
      <c r="L955" s="291" t="s">
        <v>34</v>
      </c>
      <c r="M955" s="202"/>
      <c r="N955" s="45" t="str">
        <f>J$6</f>
        <v>FY2010-11</v>
      </c>
      <c r="O955" s="45"/>
      <c r="P955" s="45" t="s">
        <v>147</v>
      </c>
      <c r="Q955" s="45" t="s">
        <v>2</v>
      </c>
      <c r="R955" s="203"/>
      <c r="S955" s="202" t="s">
        <v>103</v>
      </c>
      <c r="T955" s="203"/>
      <c r="U955" s="203"/>
      <c r="V955" s="204"/>
      <c r="W955" s="204"/>
      <c r="X955" s="204"/>
      <c r="Y955" s="204"/>
      <c r="Z955" s="204"/>
      <c r="AA955" s="204"/>
      <c r="AB955" s="204"/>
      <c r="AC955" s="204"/>
      <c r="AD955" s="204"/>
      <c r="AE955" s="204"/>
      <c r="AF955" s="204"/>
      <c r="AG955" s="204"/>
    </row>
    <row r="956" spans="1:33" s="1036" customFormat="1" ht="15.95" customHeight="1">
      <c r="A956" s="7"/>
      <c r="B956" s="16">
        <f>DSUM('$REV-DB'!D35:AG67,"AMOUNT",D954:AG955)</f>
        <v>0</v>
      </c>
      <c r="C956" s="12"/>
      <c r="D956" s="880"/>
      <c r="E956" s="880"/>
      <c r="F956" s="880"/>
      <c r="G956" s="880"/>
      <c r="H956" s="880"/>
      <c r="I956" s="880"/>
      <c r="J956" s="880"/>
      <c r="K956" s="880"/>
      <c r="L956" s="881"/>
      <c r="M956" s="880"/>
      <c r="N956" s="873"/>
      <c r="O956" s="880"/>
      <c r="P956" s="873"/>
      <c r="Q956" s="884"/>
      <c r="R956" s="880"/>
      <c r="S956" s="880"/>
      <c r="T956" s="882"/>
      <c r="U956" s="882"/>
      <c r="V956" s="883"/>
      <c r="W956" s="883"/>
      <c r="X956" s="883"/>
      <c r="Y956" s="883"/>
      <c r="Z956" s="883"/>
      <c r="AA956" s="883"/>
      <c r="AB956" s="883"/>
      <c r="AC956" s="883"/>
      <c r="AD956" s="883"/>
      <c r="AE956" s="883"/>
      <c r="AF956" s="883"/>
      <c r="AG956" s="883"/>
    </row>
    <row r="957" spans="1:33" s="1036" customFormat="1" ht="15.95" customHeight="1">
      <c r="A957" s="7"/>
      <c r="B957" s="10"/>
      <c r="C957" s="12"/>
      <c r="D957" s="880"/>
      <c r="E957" s="880"/>
      <c r="F957" s="880"/>
      <c r="G957" s="880"/>
      <c r="H957" s="880"/>
      <c r="I957" s="880"/>
      <c r="J957" s="880"/>
      <c r="K957" s="880"/>
      <c r="L957" s="881"/>
      <c r="M957" s="880"/>
      <c r="N957" s="873"/>
      <c r="O957" s="880"/>
      <c r="P957" s="873"/>
      <c r="Q957" s="884"/>
      <c r="R957" s="880"/>
      <c r="S957" s="880"/>
      <c r="T957" s="882"/>
      <c r="U957" s="882"/>
      <c r="V957" s="883"/>
      <c r="W957" s="883"/>
      <c r="X957" s="883"/>
      <c r="Y957" s="883"/>
      <c r="Z957" s="883"/>
      <c r="AA957" s="883"/>
      <c r="AB957" s="883"/>
      <c r="AC957" s="883"/>
      <c r="AD957" s="883"/>
      <c r="AE957" s="883"/>
      <c r="AF957" s="883"/>
      <c r="AG957" s="883"/>
    </row>
    <row r="958" spans="1:33" s="1036" customFormat="1" ht="15.95" customHeight="1">
      <c r="A958" s="7"/>
      <c r="B958" s="10"/>
      <c r="C958" s="12"/>
      <c r="D958" s="880"/>
      <c r="E958" s="880"/>
      <c r="F958" s="880"/>
      <c r="G958" s="880"/>
      <c r="H958" s="880"/>
      <c r="I958" s="880"/>
      <c r="J958" s="880"/>
      <c r="K958" s="880"/>
      <c r="L958" s="881"/>
      <c r="M958" s="880"/>
      <c r="N958" s="873"/>
      <c r="O958" s="880"/>
      <c r="P958" s="873"/>
      <c r="Q958" s="884"/>
      <c r="R958" s="880"/>
      <c r="S958" s="880"/>
      <c r="T958" s="882"/>
      <c r="U958" s="882"/>
      <c r="V958" s="883"/>
      <c r="W958" s="883"/>
      <c r="X958" s="883"/>
      <c r="Y958" s="883"/>
      <c r="Z958" s="883"/>
      <c r="AA958" s="883"/>
      <c r="AB958" s="883"/>
      <c r="AC958" s="883"/>
      <c r="AD958" s="883"/>
      <c r="AE958" s="883"/>
      <c r="AF958" s="883"/>
      <c r="AG958" s="883"/>
    </row>
    <row r="959" spans="1:33" s="1036" customFormat="1" ht="15.95" customHeight="1">
      <c r="A959" s="7"/>
      <c r="B959" s="10"/>
      <c r="C959" s="12"/>
      <c r="D959" s="880"/>
      <c r="E959" s="880"/>
      <c r="F959" s="880"/>
      <c r="G959" s="880"/>
      <c r="H959" s="880"/>
      <c r="I959" s="880"/>
      <c r="J959" s="880"/>
      <c r="K959" s="880"/>
      <c r="L959" s="881"/>
      <c r="M959" s="880"/>
      <c r="N959" s="873"/>
      <c r="O959" s="880"/>
      <c r="P959" s="873"/>
      <c r="Q959" s="884"/>
      <c r="R959" s="880"/>
      <c r="S959" s="880"/>
      <c r="T959" s="882"/>
      <c r="U959" s="882"/>
      <c r="V959" s="883"/>
      <c r="W959" s="883"/>
      <c r="X959" s="883"/>
      <c r="Y959" s="883"/>
      <c r="Z959" s="883"/>
      <c r="AA959" s="883"/>
      <c r="AB959" s="883"/>
      <c r="AC959" s="883"/>
      <c r="AD959" s="883"/>
      <c r="AE959" s="883"/>
      <c r="AF959" s="883"/>
      <c r="AG959" s="883"/>
    </row>
    <row r="960" spans="1:33" s="1036" customFormat="1" ht="15.95" customHeight="1">
      <c r="A960" s="7"/>
      <c r="B960" s="10"/>
      <c r="C960" s="12"/>
      <c r="D960" s="880"/>
      <c r="E960" s="880"/>
      <c r="F960" s="880"/>
      <c r="G960" s="880"/>
      <c r="H960" s="880"/>
      <c r="I960" s="880"/>
      <c r="J960" s="880"/>
      <c r="K960" s="880"/>
      <c r="L960" s="881"/>
      <c r="M960" s="880"/>
      <c r="N960" s="873"/>
      <c r="O960" s="880"/>
      <c r="P960" s="873"/>
      <c r="Q960" s="884"/>
      <c r="R960" s="880"/>
      <c r="S960" s="880"/>
      <c r="T960" s="882"/>
      <c r="U960" s="882"/>
      <c r="V960" s="883"/>
      <c r="W960" s="883"/>
      <c r="X960" s="883"/>
      <c r="Y960" s="883"/>
      <c r="Z960" s="883"/>
      <c r="AA960" s="883"/>
      <c r="AB960" s="883"/>
      <c r="AC960" s="883"/>
      <c r="AD960" s="883"/>
      <c r="AE960" s="883"/>
      <c r="AF960" s="883"/>
      <c r="AG960" s="883"/>
    </row>
    <row r="961" spans="1:33" s="1036" customFormat="1" ht="15.95" customHeight="1">
      <c r="A961" s="7"/>
      <c r="B961" s="10"/>
      <c r="C961" s="12"/>
      <c r="D961" s="880"/>
      <c r="E961" s="880"/>
      <c r="F961" s="880"/>
      <c r="G961" s="880"/>
      <c r="H961" s="880"/>
      <c r="I961" s="880"/>
      <c r="J961" s="880"/>
      <c r="K961" s="880"/>
      <c r="L961" s="881"/>
      <c r="M961" s="880"/>
      <c r="N961" s="873"/>
      <c r="O961" s="880"/>
      <c r="P961" s="873"/>
      <c r="Q961" s="884"/>
      <c r="R961" s="880"/>
      <c r="S961" s="880"/>
      <c r="T961" s="882"/>
      <c r="U961" s="882"/>
      <c r="V961" s="883"/>
      <c r="W961" s="883"/>
      <c r="X961" s="883"/>
      <c r="Y961" s="883"/>
      <c r="Z961" s="883"/>
      <c r="AA961" s="883"/>
      <c r="AB961" s="883"/>
      <c r="AC961" s="883"/>
      <c r="AD961" s="883"/>
      <c r="AE961" s="883"/>
      <c r="AF961" s="883"/>
      <c r="AG961" s="883"/>
    </row>
    <row r="962" spans="1:33" s="1036" customFormat="1" ht="15.95" customHeight="1">
      <c r="A962" s="44"/>
      <c r="B962" s="41"/>
      <c r="C962" s="41"/>
      <c r="D962" s="42"/>
      <c r="E962" s="42"/>
      <c r="F962" s="43"/>
      <c r="G962" s="42"/>
      <c r="H962" s="43"/>
      <c r="I962" s="43"/>
      <c r="J962" s="42"/>
      <c r="K962" s="42"/>
      <c r="L962" s="290"/>
      <c r="M962" s="43"/>
      <c r="N962" s="43"/>
      <c r="O962" s="42"/>
      <c r="P962" s="43"/>
      <c r="Q962" s="43"/>
      <c r="R962" s="42"/>
      <c r="S962" s="43"/>
      <c r="T962" s="42"/>
      <c r="U962" s="42"/>
      <c r="V962" s="44"/>
      <c r="W962" s="44"/>
      <c r="X962" s="44"/>
      <c r="Y962" s="44"/>
      <c r="Z962" s="44"/>
      <c r="AA962" s="44"/>
      <c r="AB962" s="44"/>
      <c r="AC962" s="44"/>
      <c r="AD962" s="44"/>
      <c r="AE962" s="44"/>
      <c r="AF962" s="44"/>
      <c r="AG962" s="44"/>
    </row>
    <row r="963" spans="1:33" s="1036" customFormat="1" ht="15.95" customHeight="1" thickBot="1">
      <c r="A963" s="7"/>
      <c r="B963" s="19" t="s">
        <v>728</v>
      </c>
      <c r="C963" s="7"/>
      <c r="D963" s="17"/>
      <c r="E963" s="17"/>
      <c r="F963" s="18"/>
      <c r="G963" s="17"/>
      <c r="H963" s="18"/>
      <c r="I963" s="18"/>
      <c r="J963" s="17"/>
      <c r="K963" s="17"/>
      <c r="L963" s="281"/>
      <c r="M963" s="18"/>
      <c r="N963" s="9"/>
      <c r="O963" s="17"/>
      <c r="P963" s="18"/>
      <c r="Q963" s="18"/>
      <c r="R963" s="17"/>
      <c r="S963" s="866"/>
      <c r="T963" s="867" t="str">
        <f>'[1]$REV-DB'!$T$34</f>
        <v>UD1</v>
      </c>
      <c r="U963" s="867" t="str">
        <f>'[1]$REV-DB'!$U$34</f>
        <v>UD2</v>
      </c>
      <c r="V963" s="867" t="str">
        <f>'[1]$REV-DB'!$V$34</f>
        <v>UD3</v>
      </c>
      <c r="W963" s="867" t="str">
        <f>'[1]$REV-DB'!$W$34</f>
        <v>UD4</v>
      </c>
      <c r="X963" s="867" t="str">
        <f>'[1]$REV-DB'!$X$34</f>
        <v>UD5</v>
      </c>
      <c r="Y963" s="867" t="str">
        <f>'[1]$REV-DB'!$Y$34</f>
        <v>UD6</v>
      </c>
      <c r="Z963" s="867" t="str">
        <f>'[1]$REV-DB'!$Z$34</f>
        <v>UD7</v>
      </c>
      <c r="AA963" s="867" t="str">
        <f>'[1]$REV-DB'!$AA$34</f>
        <v>UD8</v>
      </c>
      <c r="AB963" s="867" t="str">
        <f>'[1]$REV-DB'!$AB$34</f>
        <v>UD9</v>
      </c>
      <c r="AC963" s="867" t="str">
        <f>'[1]$REV-DB'!$AC$34</f>
        <v>UD10</v>
      </c>
      <c r="AD963" s="867" t="str">
        <f>'[1]$REV-DB'!$AD$34</f>
        <v>UD11</v>
      </c>
      <c r="AE963" s="867" t="str">
        <f>'[1]$REV-DB'!$AE$34</f>
        <v>UD12</v>
      </c>
      <c r="AF963" s="867" t="str">
        <f>'[1]$REV-DB'!$AF$34</f>
        <v>UD13</v>
      </c>
      <c r="AG963" s="867" t="str">
        <f>'[1]$REV-DB'!$AG$34</f>
        <v>UD14</v>
      </c>
    </row>
    <row r="964" spans="1:33" s="1036" customFormat="1" ht="15.95" customHeight="1" thickTop="1" thickBot="1">
      <c r="A964" s="7"/>
      <c r="B964" s="20" t="s">
        <v>604</v>
      </c>
      <c r="C964" s="15"/>
      <c r="D964" s="974" t="s">
        <v>186</v>
      </c>
      <c r="E964" s="974" t="s">
        <v>187</v>
      </c>
      <c r="F964" s="974" t="s">
        <v>188</v>
      </c>
      <c r="G964" s="974" t="s">
        <v>189</v>
      </c>
      <c r="H964" s="974" t="s">
        <v>11</v>
      </c>
      <c r="I964" s="974" t="s">
        <v>190</v>
      </c>
      <c r="J964" s="974" t="s">
        <v>191</v>
      </c>
      <c r="K964" s="974" t="s">
        <v>192</v>
      </c>
      <c r="L964" s="974" t="s">
        <v>203</v>
      </c>
      <c r="M964" s="974" t="s">
        <v>42</v>
      </c>
      <c r="N964" s="974" t="s">
        <v>148</v>
      </c>
      <c r="O964" s="974" t="s">
        <v>193</v>
      </c>
      <c r="P964" s="974" t="s">
        <v>142</v>
      </c>
      <c r="Q964" s="974" t="s">
        <v>194</v>
      </c>
      <c r="R964" s="112" t="s">
        <v>141</v>
      </c>
      <c r="S964" s="112" t="s">
        <v>672</v>
      </c>
      <c r="T964" s="974" t="s">
        <v>541</v>
      </c>
      <c r="U964" s="974" t="s">
        <v>542</v>
      </c>
      <c r="V964" s="974" t="s">
        <v>543</v>
      </c>
      <c r="W964" s="974" t="s">
        <v>544</v>
      </c>
      <c r="X964" s="974" t="s">
        <v>545</v>
      </c>
      <c r="Y964" s="974" t="s">
        <v>546</v>
      </c>
      <c r="Z964" s="974" t="s">
        <v>547</v>
      </c>
      <c r="AA964" s="974" t="s">
        <v>548</v>
      </c>
      <c r="AB964" s="974" t="s">
        <v>549</v>
      </c>
      <c r="AC964" s="974" t="s">
        <v>550</v>
      </c>
      <c r="AD964" s="974" t="s">
        <v>551</v>
      </c>
      <c r="AE964" s="974" t="s">
        <v>552</v>
      </c>
      <c r="AF964" s="974" t="s">
        <v>553</v>
      </c>
      <c r="AG964" s="974" t="s">
        <v>554</v>
      </c>
    </row>
    <row r="965" spans="1:33" s="1036" customFormat="1" ht="15.95" customHeight="1" thickTop="1">
      <c r="A965" s="7"/>
      <c r="B965" s="19" t="s">
        <v>729</v>
      </c>
      <c r="C965" s="12"/>
      <c r="D965" s="203"/>
      <c r="E965" s="203"/>
      <c r="F965" s="202"/>
      <c r="G965" s="203"/>
      <c r="H965" s="202"/>
      <c r="I965" s="202"/>
      <c r="J965" s="203"/>
      <c r="K965" s="203"/>
      <c r="L965" s="291" t="s">
        <v>34</v>
      </c>
      <c r="M965" s="202"/>
      <c r="N965" s="45" t="str">
        <f>J$6</f>
        <v>FY2010-11</v>
      </c>
      <c r="O965" s="45"/>
      <c r="P965" s="45" t="s">
        <v>147</v>
      </c>
      <c r="Q965" s="45" t="s">
        <v>70</v>
      </c>
      <c r="R965" s="203"/>
      <c r="S965" s="202" t="s">
        <v>103</v>
      </c>
      <c r="T965" s="203"/>
      <c r="U965" s="203"/>
      <c r="V965" s="204"/>
      <c r="W965" s="204"/>
      <c r="X965" s="204"/>
      <c r="Y965" s="204"/>
      <c r="Z965" s="204"/>
      <c r="AA965" s="204"/>
      <c r="AB965" s="204"/>
      <c r="AC965" s="204"/>
      <c r="AD965" s="204"/>
      <c r="AE965" s="204"/>
      <c r="AF965" s="204"/>
      <c r="AG965" s="204"/>
    </row>
    <row r="966" spans="1:33" s="1036" customFormat="1" ht="15.95" customHeight="1">
      <c r="A966" s="7"/>
      <c r="B966" s="16">
        <f>DSUM('$REV-DB'!D35:AG67,"AMOUNT",D964:AG965)</f>
        <v>0</v>
      </c>
      <c r="C966" s="12"/>
      <c r="D966" s="880"/>
      <c r="E966" s="880"/>
      <c r="F966" s="880"/>
      <c r="G966" s="880"/>
      <c r="H966" s="880"/>
      <c r="I966" s="880"/>
      <c r="J966" s="880"/>
      <c r="K966" s="880"/>
      <c r="L966" s="881"/>
      <c r="M966" s="880"/>
      <c r="N966" s="873"/>
      <c r="O966" s="880"/>
      <c r="P966" s="873"/>
      <c r="Q966" s="884"/>
      <c r="R966" s="880"/>
      <c r="S966" s="880"/>
      <c r="T966" s="882"/>
      <c r="U966" s="882"/>
      <c r="V966" s="883"/>
      <c r="W966" s="883"/>
      <c r="X966" s="883"/>
      <c r="Y966" s="883"/>
      <c r="Z966" s="883"/>
      <c r="AA966" s="883"/>
      <c r="AB966" s="883"/>
      <c r="AC966" s="883"/>
      <c r="AD966" s="883"/>
      <c r="AE966" s="883"/>
      <c r="AF966" s="883"/>
      <c r="AG966" s="883"/>
    </row>
    <row r="967" spans="1:33" s="1036" customFormat="1" ht="15.95" customHeight="1">
      <c r="A967" s="7"/>
      <c r="B967" s="10"/>
      <c r="C967" s="12"/>
      <c r="D967" s="880"/>
      <c r="E967" s="880"/>
      <c r="F967" s="880"/>
      <c r="G967" s="880"/>
      <c r="H967" s="880"/>
      <c r="I967" s="880"/>
      <c r="J967" s="880"/>
      <c r="K967" s="880"/>
      <c r="L967" s="881"/>
      <c r="M967" s="880"/>
      <c r="N967" s="873"/>
      <c r="O967" s="880"/>
      <c r="P967" s="873"/>
      <c r="Q967" s="884"/>
      <c r="R967" s="880"/>
      <c r="S967" s="880"/>
      <c r="T967" s="882"/>
      <c r="U967" s="882"/>
      <c r="V967" s="883"/>
      <c r="W967" s="883"/>
      <c r="X967" s="883"/>
      <c r="Y967" s="883"/>
      <c r="Z967" s="883"/>
      <c r="AA967" s="883"/>
      <c r="AB967" s="883"/>
      <c r="AC967" s="883"/>
      <c r="AD967" s="883"/>
      <c r="AE967" s="883"/>
      <c r="AF967" s="883"/>
      <c r="AG967" s="883"/>
    </row>
    <row r="968" spans="1:33" s="1036" customFormat="1" ht="15.95" customHeight="1">
      <c r="A968" s="7"/>
      <c r="B968" s="10"/>
      <c r="C968" s="12"/>
      <c r="D968" s="880"/>
      <c r="E968" s="880"/>
      <c r="F968" s="880"/>
      <c r="G968" s="880"/>
      <c r="H968" s="880"/>
      <c r="I968" s="880"/>
      <c r="J968" s="880"/>
      <c r="K968" s="880"/>
      <c r="L968" s="881"/>
      <c r="M968" s="880"/>
      <c r="N968" s="873"/>
      <c r="O968" s="880"/>
      <c r="P968" s="873"/>
      <c r="Q968" s="884"/>
      <c r="R968" s="880"/>
      <c r="S968" s="880"/>
      <c r="T968" s="882"/>
      <c r="U968" s="882"/>
      <c r="V968" s="883"/>
      <c r="W968" s="883"/>
      <c r="X968" s="883"/>
      <c r="Y968" s="883"/>
      <c r="Z968" s="883"/>
      <c r="AA968" s="883"/>
      <c r="AB968" s="883"/>
      <c r="AC968" s="883"/>
      <c r="AD968" s="883"/>
      <c r="AE968" s="883"/>
      <c r="AF968" s="883"/>
      <c r="AG968" s="883"/>
    </row>
    <row r="969" spans="1:33" s="1036" customFormat="1" ht="15.95" customHeight="1">
      <c r="A969" s="7"/>
      <c r="B969" s="10"/>
      <c r="C969" s="12"/>
      <c r="D969" s="880"/>
      <c r="E969" s="880"/>
      <c r="F969" s="880"/>
      <c r="G969" s="880"/>
      <c r="H969" s="880"/>
      <c r="I969" s="880"/>
      <c r="J969" s="880"/>
      <c r="K969" s="880"/>
      <c r="L969" s="881"/>
      <c r="M969" s="880"/>
      <c r="N969" s="873"/>
      <c r="O969" s="880"/>
      <c r="P969" s="873"/>
      <c r="Q969" s="884"/>
      <c r="R969" s="880"/>
      <c r="S969" s="880"/>
      <c r="T969" s="882"/>
      <c r="U969" s="882"/>
      <c r="V969" s="883"/>
      <c r="W969" s="883"/>
      <c r="X969" s="883"/>
      <c r="Y969" s="883"/>
      <c r="Z969" s="883"/>
      <c r="AA969" s="883"/>
      <c r="AB969" s="883"/>
      <c r="AC969" s="883"/>
      <c r="AD969" s="883"/>
      <c r="AE969" s="883"/>
      <c r="AF969" s="883"/>
      <c r="AG969" s="883"/>
    </row>
    <row r="970" spans="1:33" s="1036" customFormat="1" ht="15.95" customHeight="1">
      <c r="A970" s="7"/>
      <c r="B970" s="10"/>
      <c r="C970" s="12"/>
      <c r="D970" s="880"/>
      <c r="E970" s="880"/>
      <c r="F970" s="880"/>
      <c r="G970" s="880"/>
      <c r="H970" s="880"/>
      <c r="I970" s="880"/>
      <c r="J970" s="880"/>
      <c r="K970" s="880"/>
      <c r="L970" s="881"/>
      <c r="M970" s="880"/>
      <c r="N970" s="873"/>
      <c r="O970" s="880"/>
      <c r="P970" s="873"/>
      <c r="Q970" s="884"/>
      <c r="R970" s="880"/>
      <c r="S970" s="880"/>
      <c r="T970" s="882"/>
      <c r="U970" s="882"/>
      <c r="V970" s="883"/>
      <c r="W970" s="883"/>
      <c r="X970" s="883"/>
      <c r="Y970" s="883"/>
      <c r="Z970" s="883"/>
      <c r="AA970" s="883"/>
      <c r="AB970" s="883"/>
      <c r="AC970" s="883"/>
      <c r="AD970" s="883"/>
      <c r="AE970" s="883"/>
      <c r="AF970" s="883"/>
      <c r="AG970" s="883"/>
    </row>
    <row r="971" spans="1:33" s="1036" customFormat="1" ht="15.95" customHeight="1">
      <c r="A971" s="7"/>
      <c r="B971" s="10"/>
      <c r="C971" s="12"/>
      <c r="D971" s="880"/>
      <c r="E971" s="880"/>
      <c r="F971" s="880"/>
      <c r="G971" s="880"/>
      <c r="H971" s="880"/>
      <c r="I971" s="880"/>
      <c r="J971" s="880"/>
      <c r="K971" s="880"/>
      <c r="L971" s="881"/>
      <c r="M971" s="880"/>
      <c r="N971" s="873"/>
      <c r="O971" s="880"/>
      <c r="P971" s="873"/>
      <c r="Q971" s="884"/>
      <c r="R971" s="880"/>
      <c r="S971" s="880"/>
      <c r="T971" s="882"/>
      <c r="U971" s="882"/>
      <c r="V971" s="883"/>
      <c r="W971" s="883"/>
      <c r="X971" s="883"/>
      <c r="Y971" s="883"/>
      <c r="Z971" s="883"/>
      <c r="AA971" s="883"/>
      <c r="AB971" s="883"/>
      <c r="AC971" s="883"/>
      <c r="AD971" s="883"/>
      <c r="AE971" s="883"/>
      <c r="AF971" s="883"/>
      <c r="AG971" s="883"/>
    </row>
    <row r="972" spans="1:33" s="1036" customFormat="1" ht="15.95" customHeight="1">
      <c r="A972" s="44"/>
      <c r="B972" s="41"/>
      <c r="C972" s="41"/>
      <c r="D972" s="42"/>
      <c r="E972" s="42"/>
      <c r="F972" s="43"/>
      <c r="G972" s="42"/>
      <c r="H972" s="43"/>
      <c r="I972" s="43"/>
      <c r="J972" s="42"/>
      <c r="K972" s="42"/>
      <c r="L972" s="290"/>
      <c r="M972" s="43"/>
      <c r="N972" s="43"/>
      <c r="O972" s="42"/>
      <c r="P972" s="43"/>
      <c r="Q972" s="43"/>
      <c r="R972" s="42"/>
      <c r="S972" s="43"/>
      <c r="T972" s="42"/>
      <c r="U972" s="42"/>
      <c r="V972" s="44"/>
      <c r="W972" s="44"/>
      <c r="X972" s="44"/>
      <c r="Y972" s="44"/>
      <c r="Z972" s="44"/>
      <c r="AA972" s="44"/>
      <c r="AB972" s="44"/>
      <c r="AC972" s="44"/>
      <c r="AD972" s="44"/>
      <c r="AE972" s="44"/>
      <c r="AF972" s="44"/>
      <c r="AG972" s="44"/>
    </row>
    <row r="973" spans="1:33" s="1036" customFormat="1" ht="15.95" customHeight="1" thickBot="1">
      <c r="A973" s="7"/>
      <c r="B973" s="19" t="s">
        <v>728</v>
      </c>
      <c r="C973" s="7"/>
      <c r="D973" s="17"/>
      <c r="E973" s="17"/>
      <c r="F973" s="18"/>
      <c r="G973" s="17"/>
      <c r="H973" s="18"/>
      <c r="I973" s="18"/>
      <c r="J973" s="17"/>
      <c r="K973" s="17"/>
      <c r="L973" s="281"/>
      <c r="M973" s="18"/>
      <c r="N973" s="9"/>
      <c r="O973" s="17"/>
      <c r="P973" s="18"/>
      <c r="Q973" s="18"/>
      <c r="R973" s="17"/>
      <c r="S973" s="866"/>
      <c r="T973" s="867" t="str">
        <f>'[1]$REV-DB'!$T$34</f>
        <v>UD1</v>
      </c>
      <c r="U973" s="867" t="str">
        <f>'[1]$REV-DB'!$U$34</f>
        <v>UD2</v>
      </c>
      <c r="V973" s="867" t="str">
        <f>'[1]$REV-DB'!$V$34</f>
        <v>UD3</v>
      </c>
      <c r="W973" s="867" t="str">
        <f>'[1]$REV-DB'!$W$34</f>
        <v>UD4</v>
      </c>
      <c r="X973" s="867" t="str">
        <f>'[1]$REV-DB'!$X$34</f>
        <v>UD5</v>
      </c>
      <c r="Y973" s="867" t="str">
        <f>'[1]$REV-DB'!$Y$34</f>
        <v>UD6</v>
      </c>
      <c r="Z973" s="867" t="str">
        <f>'[1]$REV-DB'!$Z$34</f>
        <v>UD7</v>
      </c>
      <c r="AA973" s="867" t="str">
        <f>'[1]$REV-DB'!$AA$34</f>
        <v>UD8</v>
      </c>
      <c r="AB973" s="867" t="str">
        <f>'[1]$REV-DB'!$AB$34</f>
        <v>UD9</v>
      </c>
      <c r="AC973" s="867" t="str">
        <f>'[1]$REV-DB'!$AC$34</f>
        <v>UD10</v>
      </c>
      <c r="AD973" s="867" t="str">
        <f>'[1]$REV-DB'!$AD$34</f>
        <v>UD11</v>
      </c>
      <c r="AE973" s="867" t="str">
        <f>'[1]$REV-DB'!$AE$34</f>
        <v>UD12</v>
      </c>
      <c r="AF973" s="867" t="str">
        <f>'[1]$REV-DB'!$AF$34</f>
        <v>UD13</v>
      </c>
      <c r="AG973" s="867" t="str">
        <f>'[1]$REV-DB'!$AG$34</f>
        <v>UD14</v>
      </c>
    </row>
    <row r="974" spans="1:33" s="1036" customFormat="1" ht="15.95" customHeight="1" thickTop="1" thickBot="1">
      <c r="A974" s="7"/>
      <c r="B974" s="20" t="s">
        <v>604</v>
      </c>
      <c r="C974" s="15"/>
      <c r="D974" s="974" t="s">
        <v>186</v>
      </c>
      <c r="E974" s="974" t="s">
        <v>187</v>
      </c>
      <c r="F974" s="974" t="s">
        <v>188</v>
      </c>
      <c r="G974" s="974" t="s">
        <v>189</v>
      </c>
      <c r="H974" s="974" t="s">
        <v>11</v>
      </c>
      <c r="I974" s="974" t="s">
        <v>190</v>
      </c>
      <c r="J974" s="974" t="s">
        <v>191</v>
      </c>
      <c r="K974" s="974" t="s">
        <v>192</v>
      </c>
      <c r="L974" s="974" t="s">
        <v>203</v>
      </c>
      <c r="M974" s="974" t="s">
        <v>42</v>
      </c>
      <c r="N974" s="974" t="s">
        <v>148</v>
      </c>
      <c r="O974" s="974" t="s">
        <v>193</v>
      </c>
      <c r="P974" s="974" t="s">
        <v>142</v>
      </c>
      <c r="Q974" s="974" t="s">
        <v>194</v>
      </c>
      <c r="R974" s="112" t="s">
        <v>141</v>
      </c>
      <c r="S974" s="112" t="s">
        <v>672</v>
      </c>
      <c r="T974" s="974" t="s">
        <v>541</v>
      </c>
      <c r="U974" s="974" t="s">
        <v>542</v>
      </c>
      <c r="V974" s="974" t="s">
        <v>543</v>
      </c>
      <c r="W974" s="974" t="s">
        <v>544</v>
      </c>
      <c r="X974" s="974" t="s">
        <v>545</v>
      </c>
      <c r="Y974" s="974" t="s">
        <v>546</v>
      </c>
      <c r="Z974" s="974" t="s">
        <v>547</v>
      </c>
      <c r="AA974" s="974" t="s">
        <v>548</v>
      </c>
      <c r="AB974" s="974" t="s">
        <v>549</v>
      </c>
      <c r="AC974" s="974" t="s">
        <v>550</v>
      </c>
      <c r="AD974" s="974" t="s">
        <v>551</v>
      </c>
      <c r="AE974" s="974" t="s">
        <v>552</v>
      </c>
      <c r="AF974" s="974" t="s">
        <v>553</v>
      </c>
      <c r="AG974" s="974" t="s">
        <v>554</v>
      </c>
    </row>
    <row r="975" spans="1:33" s="1036" customFormat="1" ht="15.95" customHeight="1" thickTop="1">
      <c r="A975" s="7"/>
      <c r="B975" s="19" t="s">
        <v>150</v>
      </c>
      <c r="C975" s="12"/>
      <c r="D975" s="203"/>
      <c r="E975" s="203"/>
      <c r="F975" s="202"/>
      <c r="G975" s="203"/>
      <c r="H975" s="202"/>
      <c r="I975" s="202"/>
      <c r="J975" s="203"/>
      <c r="K975" s="203"/>
      <c r="L975" s="291" t="s">
        <v>34</v>
      </c>
      <c r="M975" s="202"/>
      <c r="N975" s="45" t="str">
        <f>J$6</f>
        <v>FY2010-11</v>
      </c>
      <c r="O975" s="45"/>
      <c r="P975" s="45" t="s">
        <v>147</v>
      </c>
      <c r="Q975" s="45" t="s">
        <v>140</v>
      </c>
      <c r="R975" s="203"/>
      <c r="S975" s="202" t="s">
        <v>103</v>
      </c>
      <c r="T975" s="203"/>
      <c r="U975" s="203"/>
      <c r="V975" s="204"/>
      <c r="W975" s="204"/>
      <c r="X975" s="204"/>
      <c r="Y975" s="204"/>
      <c r="Z975" s="204"/>
      <c r="AA975" s="204"/>
      <c r="AB975" s="204"/>
      <c r="AC975" s="204"/>
      <c r="AD975" s="204"/>
      <c r="AE975" s="204"/>
      <c r="AF975" s="204"/>
      <c r="AG975" s="204"/>
    </row>
    <row r="976" spans="1:33" s="1036" customFormat="1" ht="15.95" customHeight="1">
      <c r="A976" s="7"/>
      <c r="B976" s="16">
        <f>DSUM('$REV-DB'!D35:AG67,"AMOUNT",D974:AG975)</f>
        <v>0</v>
      </c>
      <c r="C976" s="12"/>
      <c r="D976" s="880"/>
      <c r="E976" s="880"/>
      <c r="F976" s="880"/>
      <c r="G976" s="880"/>
      <c r="H976" s="880"/>
      <c r="I976" s="880"/>
      <c r="J976" s="880"/>
      <c r="K976" s="880"/>
      <c r="L976" s="881"/>
      <c r="M976" s="880"/>
      <c r="N976" s="873"/>
      <c r="O976" s="880"/>
      <c r="P976" s="873"/>
      <c r="Q976" s="884"/>
      <c r="R976" s="880"/>
      <c r="S976" s="880"/>
      <c r="T976" s="882"/>
      <c r="U976" s="882"/>
      <c r="V976" s="883"/>
      <c r="W976" s="883"/>
      <c r="X976" s="883"/>
      <c r="Y976" s="883"/>
      <c r="Z976" s="883"/>
      <c r="AA976" s="883"/>
      <c r="AB976" s="883"/>
      <c r="AC976" s="883"/>
      <c r="AD976" s="883"/>
      <c r="AE976" s="883"/>
      <c r="AF976" s="883"/>
      <c r="AG976" s="883"/>
    </row>
    <row r="977" spans="1:33" s="1036" customFormat="1" ht="15.95" customHeight="1">
      <c r="A977" s="7"/>
      <c r="B977" s="10"/>
      <c r="C977" s="12"/>
      <c r="D977" s="880"/>
      <c r="E977" s="880"/>
      <c r="F977" s="880"/>
      <c r="G977" s="880"/>
      <c r="H977" s="880"/>
      <c r="I977" s="880"/>
      <c r="J977" s="880"/>
      <c r="K977" s="880"/>
      <c r="L977" s="881"/>
      <c r="M977" s="880"/>
      <c r="N977" s="873"/>
      <c r="O977" s="880"/>
      <c r="P977" s="873"/>
      <c r="Q977" s="884"/>
      <c r="R977" s="880"/>
      <c r="S977" s="880"/>
      <c r="T977" s="882"/>
      <c r="U977" s="882"/>
      <c r="V977" s="883"/>
      <c r="W977" s="883"/>
      <c r="X977" s="883"/>
      <c r="Y977" s="883"/>
      <c r="Z977" s="883"/>
      <c r="AA977" s="883"/>
      <c r="AB977" s="883"/>
      <c r="AC977" s="883"/>
      <c r="AD977" s="883"/>
      <c r="AE977" s="883"/>
      <c r="AF977" s="883"/>
      <c r="AG977" s="883"/>
    </row>
    <row r="978" spans="1:33" s="1036" customFormat="1" ht="15.95" customHeight="1">
      <c r="A978" s="7"/>
      <c r="B978" s="10"/>
      <c r="C978" s="12"/>
      <c r="D978" s="880"/>
      <c r="E978" s="880"/>
      <c r="F978" s="880"/>
      <c r="G978" s="880"/>
      <c r="H978" s="880"/>
      <c r="I978" s="880"/>
      <c r="J978" s="880"/>
      <c r="K978" s="880"/>
      <c r="L978" s="881"/>
      <c r="M978" s="880"/>
      <c r="N978" s="873"/>
      <c r="O978" s="880"/>
      <c r="P978" s="873"/>
      <c r="Q978" s="884"/>
      <c r="R978" s="880"/>
      <c r="S978" s="880"/>
      <c r="T978" s="882"/>
      <c r="U978" s="882"/>
      <c r="V978" s="883"/>
      <c r="W978" s="883"/>
      <c r="X978" s="883"/>
      <c r="Y978" s="883"/>
      <c r="Z978" s="883"/>
      <c r="AA978" s="883"/>
      <c r="AB978" s="883"/>
      <c r="AC978" s="883"/>
      <c r="AD978" s="883"/>
      <c r="AE978" s="883"/>
      <c r="AF978" s="883"/>
      <c r="AG978" s="883"/>
    </row>
    <row r="979" spans="1:33" s="1036" customFormat="1" ht="15.95" customHeight="1">
      <c r="A979" s="7"/>
      <c r="B979" s="10"/>
      <c r="C979" s="12"/>
      <c r="D979" s="880"/>
      <c r="E979" s="880"/>
      <c r="F979" s="880"/>
      <c r="G979" s="880"/>
      <c r="H979" s="880"/>
      <c r="I979" s="880"/>
      <c r="J979" s="880"/>
      <c r="K979" s="880"/>
      <c r="L979" s="881"/>
      <c r="M979" s="880"/>
      <c r="N979" s="873"/>
      <c r="O979" s="880"/>
      <c r="P979" s="873"/>
      <c r="Q979" s="884"/>
      <c r="R979" s="880"/>
      <c r="S979" s="880"/>
      <c r="T979" s="882"/>
      <c r="U979" s="882"/>
      <c r="V979" s="883"/>
      <c r="W979" s="883"/>
      <c r="X979" s="883"/>
      <c r="Y979" s="883"/>
      <c r="Z979" s="883"/>
      <c r="AA979" s="883"/>
      <c r="AB979" s="883"/>
      <c r="AC979" s="883"/>
      <c r="AD979" s="883"/>
      <c r="AE979" s="883"/>
      <c r="AF979" s="883"/>
      <c r="AG979" s="883"/>
    </row>
    <row r="980" spans="1:33" s="1036" customFormat="1" ht="15.95" customHeight="1">
      <c r="A980" s="7"/>
      <c r="B980" s="10"/>
      <c r="C980" s="12"/>
      <c r="D980" s="880"/>
      <c r="E980" s="880"/>
      <c r="F980" s="880"/>
      <c r="G980" s="880"/>
      <c r="H980" s="880"/>
      <c r="I980" s="880"/>
      <c r="J980" s="880"/>
      <c r="K980" s="880"/>
      <c r="L980" s="881"/>
      <c r="M980" s="880"/>
      <c r="N980" s="873"/>
      <c r="O980" s="880"/>
      <c r="P980" s="873"/>
      <c r="Q980" s="884"/>
      <c r="R980" s="880"/>
      <c r="S980" s="880"/>
      <c r="T980" s="882"/>
      <c r="U980" s="882"/>
      <c r="V980" s="883"/>
      <c r="W980" s="883"/>
      <c r="X980" s="883"/>
      <c r="Y980" s="883"/>
      <c r="Z980" s="883"/>
      <c r="AA980" s="883"/>
      <c r="AB980" s="883"/>
      <c r="AC980" s="883"/>
      <c r="AD980" s="883"/>
      <c r="AE980" s="883"/>
      <c r="AF980" s="883"/>
      <c r="AG980" s="883"/>
    </row>
    <row r="981" spans="1:33" s="1036" customFormat="1" ht="15.95" customHeight="1">
      <c r="A981" s="7"/>
      <c r="B981" s="10"/>
      <c r="C981" s="12"/>
      <c r="D981" s="880"/>
      <c r="E981" s="880"/>
      <c r="F981" s="880"/>
      <c r="G981" s="880"/>
      <c r="H981" s="880"/>
      <c r="I981" s="880"/>
      <c r="J981" s="880"/>
      <c r="K981" s="880"/>
      <c r="L981" s="881"/>
      <c r="M981" s="880"/>
      <c r="N981" s="873"/>
      <c r="O981" s="880"/>
      <c r="P981" s="873"/>
      <c r="Q981" s="884"/>
      <c r="R981" s="880"/>
      <c r="S981" s="880"/>
      <c r="T981" s="882"/>
      <c r="U981" s="882"/>
      <c r="V981" s="883"/>
      <c r="W981" s="883"/>
      <c r="X981" s="883"/>
      <c r="Y981" s="883"/>
      <c r="Z981" s="883"/>
      <c r="AA981" s="883"/>
      <c r="AB981" s="883"/>
      <c r="AC981" s="883"/>
      <c r="AD981" s="883"/>
      <c r="AE981" s="883"/>
      <c r="AF981" s="883"/>
      <c r="AG981" s="883"/>
    </row>
    <row r="982" spans="1:33" s="1036" customFormat="1" ht="15.95" customHeight="1">
      <c r="A982" s="44"/>
      <c r="B982" s="41"/>
      <c r="C982" s="41"/>
      <c r="D982" s="42"/>
      <c r="E982" s="42"/>
      <c r="F982" s="43"/>
      <c r="G982" s="42"/>
      <c r="H982" s="43"/>
      <c r="I982" s="43"/>
      <c r="J982" s="42"/>
      <c r="K982" s="42"/>
      <c r="L982" s="290"/>
      <c r="M982" s="43"/>
      <c r="N982" s="43"/>
      <c r="O982" s="42"/>
      <c r="P982" s="43"/>
      <c r="Q982" s="43"/>
      <c r="R982" s="42"/>
      <c r="S982" s="43"/>
      <c r="T982" s="42"/>
      <c r="U982" s="42"/>
      <c r="V982" s="44"/>
      <c r="W982" s="44"/>
      <c r="X982" s="44"/>
      <c r="Y982" s="44"/>
      <c r="Z982" s="44"/>
      <c r="AA982" s="44"/>
      <c r="AB982" s="44"/>
      <c r="AC982" s="44"/>
      <c r="AD982" s="44"/>
      <c r="AE982" s="44"/>
      <c r="AF982" s="44"/>
      <c r="AG982" s="44"/>
    </row>
  </sheetData>
  <mergeCells count="8">
    <mergeCell ref="B18:B21"/>
    <mergeCell ref="I1:L4"/>
    <mergeCell ref="P1:Q1"/>
    <mergeCell ref="I8:L8"/>
    <mergeCell ref="I9:L9"/>
    <mergeCell ref="I10:L10"/>
    <mergeCell ref="I11:AG12"/>
    <mergeCell ref="A11:H12"/>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X101"/>
  <sheetViews>
    <sheetView workbookViewId="0"/>
  </sheetViews>
  <sheetFormatPr defaultColWidth="8.83203125" defaultRowHeight="15.95" customHeight="1"/>
  <cols>
    <col min="1" max="1" width="14" style="142" customWidth="1"/>
    <col min="2" max="2" width="20.83203125" style="142" customWidth="1"/>
    <col min="3" max="3" width="14.83203125" style="142" customWidth="1"/>
    <col min="4" max="5" width="24.83203125" style="142" customWidth="1"/>
    <col min="6" max="6" width="24.6640625" style="142" customWidth="1"/>
    <col min="7" max="7" width="8.83203125" style="142"/>
    <col min="8" max="8" width="37.1640625" style="142" customWidth="1"/>
    <col min="9" max="16384" width="8.83203125" style="142"/>
  </cols>
  <sheetData>
    <row r="1" spans="1:76" ht="15.95" customHeight="1">
      <c r="A1" s="171"/>
      <c r="B1" s="171"/>
      <c r="C1" s="171"/>
      <c r="D1" s="171"/>
      <c r="E1" s="171"/>
      <c r="F1" s="171"/>
      <c r="G1" s="171"/>
      <c r="H1" s="171"/>
      <c r="I1" s="171"/>
    </row>
    <row r="2" spans="1:76" ht="15.95" customHeight="1">
      <c r="A2" s="171"/>
      <c r="B2" s="1910" t="s">
        <v>603</v>
      </c>
      <c r="C2" s="1910"/>
      <c r="D2" s="1910"/>
      <c r="E2" s="1910"/>
      <c r="F2" s="1910"/>
      <c r="G2" s="171"/>
      <c r="H2" s="171"/>
      <c r="I2" s="171"/>
    </row>
    <row r="3" spans="1:76" ht="15.95" customHeight="1">
      <c r="A3" s="171"/>
      <c r="B3" s="1911" t="s">
        <v>136</v>
      </c>
      <c r="C3" s="1911"/>
      <c r="D3" s="1911"/>
      <c r="E3" s="1911"/>
      <c r="F3" s="1911"/>
      <c r="G3" s="162"/>
      <c r="H3" s="162"/>
      <c r="I3" s="162"/>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912" t="s">
        <v>331</v>
      </c>
      <c r="C4" s="1912"/>
      <c r="D4" s="1912"/>
      <c r="E4" s="1912"/>
      <c r="F4" s="1912"/>
      <c r="G4" s="162"/>
      <c r="H4" s="162"/>
      <c r="I4" s="16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912"/>
      <c r="C5" s="1912"/>
      <c r="D5" s="1912"/>
      <c r="E5" s="1912"/>
      <c r="F5" s="1912"/>
      <c r="G5" s="162"/>
      <c r="H5" s="162"/>
      <c r="I5" s="162"/>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909" t="str">
        <f>'FIG3'!W49</f>
        <v>GA</v>
      </c>
      <c r="C6" s="1909"/>
      <c r="D6" s="153"/>
      <c r="E6" s="153"/>
      <c r="F6" s="153"/>
      <c r="G6" s="162"/>
      <c r="H6" s="1908"/>
      <c r="I6" s="162"/>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909" t="str">
        <f>'FIG3'!W50</f>
        <v>FY2010-11</v>
      </c>
      <c r="C7" s="1909"/>
      <c r="D7" s="153"/>
      <c r="E7" s="153"/>
      <c r="F7" s="153"/>
      <c r="G7" s="162"/>
      <c r="H7" s="1908"/>
      <c r="I7" s="162"/>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135</v>
      </c>
      <c r="C8" s="153"/>
      <c r="D8" s="153"/>
      <c r="E8" s="153"/>
      <c r="F8" s="153"/>
      <c r="G8" s="162"/>
      <c r="H8" s="1908"/>
      <c r="I8" s="162"/>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124</v>
      </c>
      <c r="C9" s="144" t="s">
        <v>123</v>
      </c>
      <c r="D9" s="376" t="s">
        <v>121</v>
      </c>
      <c r="E9" s="376" t="s">
        <v>122</v>
      </c>
      <c r="F9" s="145" t="s">
        <v>171</v>
      </c>
      <c r="G9" s="162"/>
      <c r="H9" s="1908"/>
      <c r="I9" s="16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thickBot="1">
      <c r="A10" s="171"/>
      <c r="B10" s="154">
        <f>'FIG3'!V57</f>
        <v>0</v>
      </c>
      <c r="C10" s="148" t="str">
        <f>'$REV-DSUM'!B15</f>
        <v>Total</v>
      </c>
      <c r="D10" s="844">
        <f>'$REV-DSUM'!B16</f>
        <v>18014559637.749996</v>
      </c>
      <c r="E10" s="844">
        <f>'$REV-DB'!AD23</f>
        <v>18014559637.749996</v>
      </c>
      <c r="F10" s="227">
        <f>D10-E10</f>
        <v>0</v>
      </c>
      <c r="G10" s="162"/>
      <c r="H10" s="1908"/>
      <c r="I10" s="162"/>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thickTop="1">
      <c r="A11" s="171"/>
      <c r="B11" s="155" t="s">
        <v>4</v>
      </c>
      <c r="C11" s="146" t="str">
        <f>'$REV-DSUM'!B25</f>
        <v>Federal</v>
      </c>
      <c r="D11" s="845">
        <f>'$REV-DSUM'!B26</f>
        <v>2309847075.6000004</v>
      </c>
      <c r="E11" s="845">
        <f>'$REV-DB'!X23</f>
        <v>2309847075.6000004</v>
      </c>
      <c r="F11" s="228">
        <f t="shared" ref="F11:F85" si="0">D11-E11</f>
        <v>0</v>
      </c>
      <c r="G11" s="162"/>
      <c r="H11" s="1908"/>
      <c r="I11" s="162"/>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c r="C12" s="146" t="str">
        <f>'$REV-DSUM'!B35</f>
        <v>State</v>
      </c>
      <c r="D12" s="845">
        <f>'$REV-DSUM'!B36</f>
        <v>7247915948.8899965</v>
      </c>
      <c r="E12" s="845">
        <f>'$REV-DB'!Y23</f>
        <v>7247915948.8899965</v>
      </c>
      <c r="F12" s="228">
        <f t="shared" si="0"/>
        <v>0</v>
      </c>
      <c r="G12" s="162"/>
      <c r="H12" s="1908"/>
      <c r="I12" s="162"/>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5"/>
      <c r="C13" s="146" t="str">
        <f>'$REV-DSUM'!B45</f>
        <v>Local</v>
      </c>
      <c r="D13" s="845">
        <f>'$REV-DSUM'!B46</f>
        <v>7397378170.6699982</v>
      </c>
      <c r="E13" s="845">
        <f>'$REV-DB'!Z23</f>
        <v>7397378170.6699982</v>
      </c>
      <c r="F13" s="228">
        <f t="shared" si="0"/>
        <v>0</v>
      </c>
      <c r="G13" s="162"/>
      <c r="H13" s="162"/>
      <c r="I13" s="162"/>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c r="C14" s="146" t="str">
        <f>'$REV-DSUM'!B55</f>
        <v>Other</v>
      </c>
      <c r="D14" s="845">
        <f>'$REV-DSUM'!B56</f>
        <v>1059418442.5899998</v>
      </c>
      <c r="E14" s="845">
        <f>'$REV-DB'!AA23</f>
        <v>1059418442.5899998</v>
      </c>
      <c r="F14" s="228">
        <f t="shared" si="0"/>
        <v>0</v>
      </c>
      <c r="G14" s="162"/>
      <c r="H14" s="162"/>
      <c r="I14" s="162"/>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5"/>
      <c r="C15" s="146" t="s">
        <v>363</v>
      </c>
      <c r="D15" s="845">
        <f>'$REV-DSUM'!B66</f>
        <v>0</v>
      </c>
      <c r="E15" s="845">
        <f>'$REV-DB'!AB23</f>
        <v>0</v>
      </c>
      <c r="F15" s="228">
        <f t="shared" si="0"/>
        <v>0</v>
      </c>
      <c r="G15" s="162"/>
      <c r="H15" s="162"/>
      <c r="I15" s="162"/>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6"/>
      <c r="C16" s="147" t="str">
        <f>'$REV-DSUM'!B75</f>
        <v>Indeterminate</v>
      </c>
      <c r="D16" s="846">
        <f>'$REV-DSUM'!B76</f>
        <v>0</v>
      </c>
      <c r="E16" s="846">
        <f>'$REV-DB'!AC23</f>
        <v>0</v>
      </c>
      <c r="F16" s="229">
        <f t="shared" si="0"/>
        <v>0</v>
      </c>
      <c r="G16" s="162"/>
      <c r="H16" s="162"/>
      <c r="I16" s="162"/>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thickBot="1">
      <c r="A17" s="171"/>
      <c r="B17" s="154">
        <f>'FIG3'!V57</f>
        <v>0</v>
      </c>
      <c r="C17" s="149" t="s">
        <v>146</v>
      </c>
      <c r="D17" s="844">
        <f>'$REV-DSUM'!B86</f>
        <v>194219132.00000003</v>
      </c>
      <c r="E17" s="844">
        <f>'$REV-DB'!AD24</f>
        <v>194219132</v>
      </c>
      <c r="F17" s="227">
        <f>D17-E17</f>
        <v>0</v>
      </c>
      <c r="G17" s="162"/>
      <c r="H17" s="162"/>
      <c r="I17" s="162"/>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thickTop="1">
      <c r="A18" s="171"/>
      <c r="B18" s="155" t="s">
        <v>175</v>
      </c>
      <c r="C18" s="146" t="s">
        <v>145</v>
      </c>
      <c r="D18" s="845">
        <f>'$REV-DSUM'!B96</f>
        <v>17198745.100000001</v>
      </c>
      <c r="E18" s="845">
        <f>'$REV-DB'!X24</f>
        <v>17198745.100000001</v>
      </c>
      <c r="F18" s="228">
        <f t="shared" si="0"/>
        <v>0</v>
      </c>
      <c r="G18" s="162"/>
      <c r="H18" s="162"/>
      <c r="I18" s="162"/>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5"/>
      <c r="C19" s="146" t="s">
        <v>144</v>
      </c>
      <c r="D19" s="845">
        <f>'$REV-DSUM'!B106</f>
        <v>109110317</v>
      </c>
      <c r="E19" s="845">
        <f>'$REV-DB'!Y24</f>
        <v>109110317</v>
      </c>
      <c r="F19" s="228">
        <f t="shared" si="0"/>
        <v>0</v>
      </c>
      <c r="G19" s="162"/>
      <c r="H19" s="162"/>
      <c r="I19" s="162"/>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c r="C20" s="146" t="s">
        <v>143</v>
      </c>
      <c r="D20" s="845">
        <f>'$REV-DSUM'!B116</f>
        <v>48038874.900000006</v>
      </c>
      <c r="E20" s="845">
        <f>'$REV-DB'!Z24</f>
        <v>48038874.900000006</v>
      </c>
      <c r="F20" s="228">
        <f t="shared" si="0"/>
        <v>0</v>
      </c>
      <c r="G20" s="162"/>
      <c r="H20" s="162"/>
      <c r="I20" s="162"/>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5"/>
      <c r="C21" s="146" t="s">
        <v>149</v>
      </c>
      <c r="D21" s="845">
        <f>'$REV-DSUM'!B126</f>
        <v>17398996</v>
      </c>
      <c r="E21" s="845">
        <f>'$REV-DB'!AA24</f>
        <v>17398996</v>
      </c>
      <c r="F21" s="228">
        <f t="shared" si="0"/>
        <v>0</v>
      </c>
      <c r="G21" s="162"/>
      <c r="H21" s="162"/>
      <c r="I21" s="162"/>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55"/>
      <c r="C22" s="146" t="s">
        <v>363</v>
      </c>
      <c r="D22" s="845">
        <f>'$REV-DSUM'!B136</f>
        <v>2472199</v>
      </c>
      <c r="E22" s="845">
        <f>'$REV-DB'!AB24</f>
        <v>2472199</v>
      </c>
      <c r="F22" s="228">
        <f t="shared" si="0"/>
        <v>0</v>
      </c>
      <c r="G22" s="162"/>
      <c r="H22" s="162"/>
      <c r="I22" s="162"/>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row>
    <row r="23" spans="1:76" ht="15.95" customHeight="1">
      <c r="A23" s="171"/>
      <c r="B23" s="156"/>
      <c r="C23" s="147" t="s">
        <v>150</v>
      </c>
      <c r="D23" s="846">
        <f>'$REV-DSUM'!B146</f>
        <v>0</v>
      </c>
      <c r="E23" s="846">
        <f>'$REV-DB'!AC24</f>
        <v>0</v>
      </c>
      <c r="F23" s="229">
        <f t="shared" si="0"/>
        <v>0</v>
      </c>
      <c r="G23" s="162"/>
      <c r="H23" s="162"/>
      <c r="I23" s="162"/>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row>
    <row r="24" spans="1:76" ht="15.95" customHeight="1" thickBot="1">
      <c r="A24" s="171"/>
      <c r="B24" s="154" t="str">
        <f>'FIG3'!V52</f>
        <v>FA1</v>
      </c>
      <c r="C24" s="149" t="s">
        <v>146</v>
      </c>
      <c r="D24" s="844">
        <f>'$REV-DSUM'!B156</f>
        <v>1103446703.78</v>
      </c>
      <c r="E24" s="844">
        <f>'$REV-DB'!AD9</f>
        <v>1103446703.78</v>
      </c>
      <c r="F24" s="227">
        <f>D24-E24</f>
        <v>0</v>
      </c>
      <c r="G24" s="162"/>
      <c r="H24" s="162"/>
      <c r="I24" s="162"/>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ht="15.95" customHeight="1" thickTop="1">
      <c r="A25" s="171"/>
      <c r="B25" s="155" t="str">
        <f>'FIG3'!W52</f>
        <v>Fulton County</v>
      </c>
      <c r="C25" s="146" t="s">
        <v>145</v>
      </c>
      <c r="D25" s="845">
        <f>'$REV-DSUM'!B166</f>
        <v>95153963.870000005</v>
      </c>
      <c r="E25" s="845">
        <f>'$REV-DB'!X9</f>
        <v>95153963.870000005</v>
      </c>
      <c r="F25" s="228">
        <f t="shared" si="0"/>
        <v>0</v>
      </c>
      <c r="G25" s="162"/>
      <c r="H25" s="162"/>
      <c r="I25" s="162"/>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ht="15.95" customHeight="1">
      <c r="A26" s="171"/>
      <c r="B26" s="155" t="str">
        <f>'FIG3'!X52</f>
        <v>District</v>
      </c>
      <c r="C26" s="146" t="s">
        <v>144</v>
      </c>
      <c r="D26" s="845">
        <f>'$REV-DSUM'!B176</f>
        <v>291439281.51000005</v>
      </c>
      <c r="E26" s="845">
        <f>'$REV-DB'!Y9</f>
        <v>291439281.51000005</v>
      </c>
      <c r="F26" s="228">
        <f t="shared" si="0"/>
        <v>0</v>
      </c>
      <c r="G26" s="162"/>
      <c r="H26" s="162"/>
      <c r="I26" s="162"/>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row>
    <row r="27" spans="1:76" ht="15.95" customHeight="1">
      <c r="A27" s="171"/>
      <c r="B27" s="155" t="s">
        <v>4</v>
      </c>
      <c r="C27" s="146" t="s">
        <v>143</v>
      </c>
      <c r="D27" s="845">
        <f>'$REV-DSUM'!B186</f>
        <v>654059954.54000008</v>
      </c>
      <c r="E27" s="845">
        <f>'$REV-DB'!Z9</f>
        <v>654059954.54000008</v>
      </c>
      <c r="F27" s="228">
        <f t="shared" si="0"/>
        <v>0</v>
      </c>
      <c r="G27" s="162"/>
      <c r="H27" s="162"/>
      <c r="I27" s="162"/>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row>
    <row r="28" spans="1:76" ht="15.95" customHeight="1">
      <c r="A28" s="171"/>
      <c r="B28" s="155"/>
      <c r="C28" s="146" t="s">
        <v>149</v>
      </c>
      <c r="D28" s="845">
        <f>'$REV-DSUM'!B196</f>
        <v>62793503.859999999</v>
      </c>
      <c r="E28" s="845">
        <f>'$REV-DB'!AA9</f>
        <v>62793503.859999999</v>
      </c>
      <c r="F28" s="228">
        <f t="shared" si="0"/>
        <v>0</v>
      </c>
      <c r="G28" s="162"/>
      <c r="H28" s="162"/>
      <c r="I28" s="162"/>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row>
    <row r="29" spans="1:76" ht="15.95" customHeight="1">
      <c r="A29" s="171"/>
      <c r="B29" s="155"/>
      <c r="C29" s="146" t="s">
        <v>363</v>
      </c>
      <c r="D29" s="845">
        <f>'$REV-DSUM'!B206</f>
        <v>0</v>
      </c>
      <c r="E29" s="845">
        <f>'$REV-DB'!AB9</f>
        <v>0</v>
      </c>
      <c r="F29" s="228">
        <f t="shared" si="0"/>
        <v>0</v>
      </c>
      <c r="G29" s="162"/>
      <c r="H29" s="162"/>
      <c r="I29" s="162"/>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row>
    <row r="30" spans="1:76" ht="15.95" customHeight="1">
      <c r="A30" s="171"/>
      <c r="B30" s="156"/>
      <c r="C30" s="147" t="s">
        <v>150</v>
      </c>
      <c r="D30" s="846">
        <f>'$REV-DSUM'!B216</f>
        <v>0</v>
      </c>
      <c r="E30" s="846">
        <f>'$REV-DB'!AC9</f>
        <v>0</v>
      </c>
      <c r="F30" s="229">
        <f t="shared" si="0"/>
        <v>0</v>
      </c>
      <c r="G30" s="162"/>
      <c r="H30" s="162"/>
      <c r="I30" s="162"/>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row>
    <row r="31" spans="1:76" ht="15.95" customHeight="1" thickBot="1">
      <c r="A31" s="171"/>
      <c r="B31" s="154" t="str">
        <f>B24</f>
        <v>FA1</v>
      </c>
      <c r="C31" s="149" t="s">
        <v>146</v>
      </c>
      <c r="D31" s="844">
        <f>'$REV-DSUM'!B226</f>
        <v>33142729</v>
      </c>
      <c r="E31" s="844">
        <f>'$REV-DB'!AD10</f>
        <v>33142729</v>
      </c>
      <c r="F31" s="227">
        <f>D31-E31</f>
        <v>0</v>
      </c>
      <c r="G31" s="162"/>
      <c r="H31" s="162"/>
      <c r="I31" s="162"/>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row>
    <row r="32" spans="1:76" ht="15.95" customHeight="1" thickTop="1">
      <c r="A32" s="171"/>
      <c r="B32" s="155" t="str">
        <f>B25</f>
        <v>Fulton County</v>
      </c>
      <c r="C32" s="146" t="s">
        <v>145</v>
      </c>
      <c r="D32" s="845">
        <f>'$REV-DSUM'!B236</f>
        <v>3396216.2</v>
      </c>
      <c r="E32" s="845">
        <f>'$REV-DB'!X10</f>
        <v>3396216.2</v>
      </c>
      <c r="F32" s="228">
        <f t="shared" si="0"/>
        <v>0</v>
      </c>
      <c r="G32" s="162"/>
      <c r="H32" s="162"/>
      <c r="I32" s="162"/>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row>
    <row r="33" spans="1:76" ht="15.95" customHeight="1">
      <c r="A33" s="171"/>
      <c r="B33" s="155" t="str">
        <f>B26</f>
        <v>District</v>
      </c>
      <c r="C33" s="146" t="s">
        <v>144</v>
      </c>
      <c r="D33" s="845">
        <f>'$REV-DSUM'!B246</f>
        <v>14853407</v>
      </c>
      <c r="E33" s="845">
        <f>'$REV-DB'!Y10</f>
        <v>14853407</v>
      </c>
      <c r="F33" s="228">
        <f t="shared" si="0"/>
        <v>0</v>
      </c>
      <c r="G33" s="162"/>
      <c r="H33" s="162"/>
      <c r="I33" s="162"/>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row>
    <row r="34" spans="1:76" ht="15.95" customHeight="1">
      <c r="A34" s="171"/>
      <c r="B34" s="155" t="s">
        <v>175</v>
      </c>
      <c r="C34" s="146" t="s">
        <v>143</v>
      </c>
      <c r="D34" s="845">
        <f>'$REV-DSUM'!B256</f>
        <v>11277156.800000001</v>
      </c>
      <c r="E34" s="845">
        <f>'$REV-DB'!Z10</f>
        <v>11277156.800000001</v>
      </c>
      <c r="F34" s="228">
        <f t="shared" si="0"/>
        <v>0</v>
      </c>
      <c r="G34" s="162"/>
      <c r="H34" s="162"/>
      <c r="I34" s="162"/>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row>
    <row r="35" spans="1:76" ht="15.95" customHeight="1">
      <c r="A35" s="171"/>
      <c r="B35" s="155"/>
      <c r="C35" s="146" t="s">
        <v>149</v>
      </c>
      <c r="D35" s="845">
        <f>'$REV-DSUM'!B266</f>
        <v>3352145</v>
      </c>
      <c r="E35" s="845">
        <f>'$REV-DB'!AA10</f>
        <v>3352145</v>
      </c>
      <c r="F35" s="228">
        <f t="shared" si="0"/>
        <v>0</v>
      </c>
      <c r="G35" s="162"/>
      <c r="H35" s="162"/>
      <c r="I35" s="162"/>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row>
    <row r="36" spans="1:76" ht="15.95" customHeight="1">
      <c r="A36" s="171"/>
      <c r="B36" s="155"/>
      <c r="C36" s="146" t="s">
        <v>363</v>
      </c>
      <c r="D36" s="845">
        <f>'$REV-DSUM'!B276</f>
        <v>263804</v>
      </c>
      <c r="E36" s="845">
        <f>'$REV-DB'!AB10</f>
        <v>263804</v>
      </c>
      <c r="F36" s="228">
        <f t="shared" si="0"/>
        <v>0</v>
      </c>
      <c r="G36" s="162"/>
      <c r="H36" s="162"/>
      <c r="I36" s="162"/>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row>
    <row r="37" spans="1:76" ht="15.95" customHeight="1">
      <c r="A37" s="171"/>
      <c r="B37" s="156"/>
      <c r="C37" s="147" t="s">
        <v>150</v>
      </c>
      <c r="D37" s="846">
        <f>'$REV-DSUM'!B286</f>
        <v>0</v>
      </c>
      <c r="E37" s="846">
        <f>'$REV-DB'!AC10</f>
        <v>0</v>
      </c>
      <c r="F37" s="229">
        <f t="shared" si="0"/>
        <v>0</v>
      </c>
      <c r="G37" s="162"/>
      <c r="H37" s="162"/>
      <c r="I37" s="162"/>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row>
    <row r="38" spans="1:76" ht="15.95" customHeight="1" thickBot="1">
      <c r="A38" s="171"/>
      <c r="B38" s="157" t="str">
        <f>'FIG3'!V53</f>
        <v>FA2</v>
      </c>
      <c r="C38" s="150" t="s">
        <v>146</v>
      </c>
      <c r="D38" s="844">
        <f>'$REV-DSUM'!B296</f>
        <v>849143389.51999998</v>
      </c>
      <c r="E38" s="844">
        <f>'$REV-DB'!AD11</f>
        <v>849143389.51999998</v>
      </c>
      <c r="F38" s="227">
        <f>D38-E38</f>
        <v>0</v>
      </c>
      <c r="G38" s="162"/>
      <c r="H38" s="162"/>
      <c r="I38" s="162"/>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row>
    <row r="39" spans="1:76" ht="15.95" customHeight="1" thickTop="1">
      <c r="A39" s="171"/>
      <c r="B39" s="158" t="str">
        <f>'FIG3'!W53</f>
        <v>Atlanta Public</v>
      </c>
      <c r="C39" s="151" t="s">
        <v>145</v>
      </c>
      <c r="D39" s="845">
        <f>'$REV-DSUM'!B306</f>
        <v>102172098.02000001</v>
      </c>
      <c r="E39" s="845">
        <f>'$REV-DB'!X11</f>
        <v>102172098.02000001</v>
      </c>
      <c r="F39" s="228">
        <f t="shared" si="0"/>
        <v>0</v>
      </c>
      <c r="G39" s="162"/>
      <c r="H39" s="162"/>
      <c r="I39" s="162"/>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row>
    <row r="40" spans="1:76" ht="15.95" customHeight="1">
      <c r="A40" s="171"/>
      <c r="B40" s="158" t="str">
        <f>'FIG3'!X53</f>
        <v>Schools</v>
      </c>
      <c r="C40" s="151" t="s">
        <v>144</v>
      </c>
      <c r="D40" s="845">
        <f>'$REV-DSUM'!B316</f>
        <v>113767349.19000001</v>
      </c>
      <c r="E40" s="845">
        <f>'$REV-DB'!Y11</f>
        <v>113767349.19000001</v>
      </c>
      <c r="F40" s="228">
        <f t="shared" si="0"/>
        <v>0</v>
      </c>
      <c r="G40" s="162"/>
      <c r="H40" s="162"/>
      <c r="I40" s="162"/>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row>
    <row r="41" spans="1:76" ht="15.95" customHeight="1">
      <c r="A41" s="171"/>
      <c r="B41" s="158" t="s">
        <v>4</v>
      </c>
      <c r="C41" s="151" t="s">
        <v>143</v>
      </c>
      <c r="D41" s="845">
        <f>'$REV-DSUM'!B326</f>
        <v>481458463.28000003</v>
      </c>
      <c r="E41" s="845">
        <f>'$REV-DB'!Z11</f>
        <v>481458463.28000003</v>
      </c>
      <c r="F41" s="228">
        <f t="shared" si="0"/>
        <v>0</v>
      </c>
      <c r="G41" s="162"/>
      <c r="H41" s="162"/>
      <c r="I41" s="162"/>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row>
    <row r="42" spans="1:76" ht="15.95" customHeight="1">
      <c r="A42" s="171"/>
      <c r="B42" s="158"/>
      <c r="C42" s="151" t="s">
        <v>149</v>
      </c>
      <c r="D42" s="845">
        <f>'$REV-DSUM'!B336</f>
        <v>151745479.02999997</v>
      </c>
      <c r="E42" s="845">
        <f>'$REV-DB'!AA11</f>
        <v>151745479.02999997</v>
      </c>
      <c r="F42" s="228">
        <f t="shared" si="0"/>
        <v>0</v>
      </c>
      <c r="G42" s="162"/>
      <c r="H42" s="162"/>
      <c r="I42" s="162"/>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row>
    <row r="43" spans="1:76" ht="15.95" customHeight="1">
      <c r="A43" s="171"/>
      <c r="B43" s="158"/>
      <c r="C43" s="146" t="s">
        <v>363</v>
      </c>
      <c r="D43" s="845">
        <f>'$REV-DSUM'!B346</f>
        <v>0</v>
      </c>
      <c r="E43" s="845">
        <f>'$REV-DB'!AB11</f>
        <v>0</v>
      </c>
      <c r="F43" s="228">
        <f t="shared" si="0"/>
        <v>0</v>
      </c>
      <c r="G43" s="162"/>
      <c r="H43" s="162"/>
      <c r="I43" s="162"/>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row>
    <row r="44" spans="1:76" ht="15.95" customHeight="1">
      <c r="A44" s="171"/>
      <c r="B44" s="159"/>
      <c r="C44" s="152" t="s">
        <v>150</v>
      </c>
      <c r="D44" s="846">
        <f>'$REV-DSUM'!B356</f>
        <v>0</v>
      </c>
      <c r="E44" s="846">
        <f>'$REV-DB'!AC11</f>
        <v>0</v>
      </c>
      <c r="F44" s="229">
        <f t="shared" si="0"/>
        <v>0</v>
      </c>
      <c r="G44" s="162"/>
      <c r="H44" s="162"/>
      <c r="I44" s="162"/>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row>
    <row r="45" spans="1:76" ht="15.95" customHeight="1" thickBot="1">
      <c r="A45" s="171"/>
      <c r="B45" s="157" t="str">
        <f>B38</f>
        <v>FA2</v>
      </c>
      <c r="C45" s="150" t="s">
        <v>146</v>
      </c>
      <c r="D45" s="844">
        <f>'$REV-DSUM'!B366</f>
        <v>56530342</v>
      </c>
      <c r="E45" s="844">
        <f>'$REV-DB'!AD12</f>
        <v>56530342</v>
      </c>
      <c r="F45" s="227">
        <f>D45-E45</f>
        <v>0</v>
      </c>
      <c r="G45" s="162"/>
      <c r="H45" s="162"/>
      <c r="I45" s="162"/>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row>
    <row r="46" spans="1:76" ht="15.95" customHeight="1" thickTop="1">
      <c r="A46" s="171"/>
      <c r="B46" s="158" t="str">
        <f>B39</f>
        <v>Atlanta Public</v>
      </c>
      <c r="C46" s="151" t="s">
        <v>145</v>
      </c>
      <c r="D46" s="845">
        <f>'$REV-DSUM'!B376</f>
        <v>4412328.3599999994</v>
      </c>
      <c r="E46" s="845">
        <f>'$REV-DB'!X12</f>
        <v>4412328.3599999994</v>
      </c>
      <c r="F46" s="228">
        <f t="shared" si="0"/>
        <v>0</v>
      </c>
      <c r="G46" s="162"/>
      <c r="H46" s="162"/>
      <c r="I46" s="162"/>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row>
    <row r="47" spans="1:76" ht="15.95" customHeight="1">
      <c r="A47" s="171"/>
      <c r="B47" s="158" t="str">
        <f>B40</f>
        <v>Schools</v>
      </c>
      <c r="C47" s="151" t="s">
        <v>144</v>
      </c>
      <c r="D47" s="845">
        <f>'$REV-DSUM'!B386</f>
        <v>23160878</v>
      </c>
      <c r="E47" s="845">
        <f>'$REV-DB'!Y12</f>
        <v>23160878</v>
      </c>
      <c r="F47" s="228">
        <f t="shared" si="0"/>
        <v>0</v>
      </c>
      <c r="G47" s="162"/>
      <c r="H47" s="162"/>
      <c r="I47" s="162"/>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row>
    <row r="48" spans="1:76" ht="15.95" customHeight="1">
      <c r="A48" s="171"/>
      <c r="B48" s="158" t="s">
        <v>175</v>
      </c>
      <c r="C48" s="151" t="s">
        <v>143</v>
      </c>
      <c r="D48" s="845">
        <f>'$REV-DSUM'!B396</f>
        <v>21032144.640000001</v>
      </c>
      <c r="E48" s="845">
        <f>'$REV-DB'!Z12</f>
        <v>21032144.640000001</v>
      </c>
      <c r="F48" s="228">
        <f t="shared" si="0"/>
        <v>0</v>
      </c>
      <c r="G48" s="162"/>
      <c r="H48" s="162"/>
      <c r="I48" s="162"/>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row>
    <row r="49" spans="1:76" ht="15.95" customHeight="1">
      <c r="A49" s="171"/>
      <c r="B49" s="158"/>
      <c r="C49" s="151" t="s">
        <v>149</v>
      </c>
      <c r="D49" s="845">
        <f>'$REV-DSUM'!B406</f>
        <v>6582336</v>
      </c>
      <c r="E49" s="845">
        <f>'$REV-DB'!AA12</f>
        <v>6582336</v>
      </c>
      <c r="F49" s="228">
        <f t="shared" si="0"/>
        <v>0</v>
      </c>
      <c r="G49" s="162"/>
      <c r="H49" s="162"/>
      <c r="I49" s="162"/>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row>
    <row r="50" spans="1:76" ht="15.95" customHeight="1">
      <c r="A50" s="171"/>
      <c r="B50" s="158"/>
      <c r="C50" s="146" t="s">
        <v>363</v>
      </c>
      <c r="D50" s="845">
        <f>'$REV-DSUM'!B416</f>
        <v>1342655</v>
      </c>
      <c r="E50" s="845">
        <f>'$REV-DB'!AB12</f>
        <v>1342655</v>
      </c>
      <c r="F50" s="228">
        <f t="shared" si="0"/>
        <v>0</v>
      </c>
      <c r="G50" s="162"/>
      <c r="H50" s="162"/>
      <c r="I50" s="162"/>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row>
    <row r="51" spans="1:76" ht="15.95" customHeight="1">
      <c r="A51" s="171"/>
      <c r="B51" s="159"/>
      <c r="C51" s="152" t="s">
        <v>150</v>
      </c>
      <c r="D51" s="846">
        <f>'$REV-DSUM'!B426</f>
        <v>0</v>
      </c>
      <c r="E51" s="846">
        <f>'$REV-DB'!AC12</f>
        <v>0</v>
      </c>
      <c r="F51" s="229">
        <f t="shared" si="0"/>
        <v>0</v>
      </c>
      <c r="G51" s="162"/>
      <c r="H51" s="162"/>
      <c r="I51" s="162"/>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row>
    <row r="52" spans="1:76" ht="15.95" customHeight="1" thickBot="1">
      <c r="A52" s="171"/>
      <c r="B52" s="157" t="str">
        <f>'FIG3'!V54</f>
        <v>FA3</v>
      </c>
      <c r="C52" s="150" t="s">
        <v>146</v>
      </c>
      <c r="D52" s="844">
        <f>'$REV-DSUM'!B436</f>
        <v>0</v>
      </c>
      <c r="E52" s="844">
        <f>'$REV-DB'!AD13</f>
        <v>0</v>
      </c>
      <c r="F52" s="227">
        <f>D52-E52</f>
        <v>0</v>
      </c>
      <c r="G52" s="162"/>
      <c r="H52" s="162"/>
      <c r="I52" s="162"/>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row>
    <row r="53" spans="1:76" ht="15.95" customHeight="1" thickTop="1">
      <c r="A53" s="171"/>
      <c r="B53" s="158" t="str">
        <f>'FIG3'!W54</f>
        <v>FA3L1</v>
      </c>
      <c r="C53" s="151" t="s">
        <v>145</v>
      </c>
      <c r="D53" s="845">
        <f>'$REV-DSUM'!B446</f>
        <v>0</v>
      </c>
      <c r="E53" s="845">
        <f>'$REV-DB'!X13</f>
        <v>0</v>
      </c>
      <c r="F53" s="228">
        <f t="shared" si="0"/>
        <v>0</v>
      </c>
      <c r="G53" s="162"/>
      <c r="H53" s="162"/>
      <c r="I53" s="162"/>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t="15.95" customHeight="1">
      <c r="A54" s="171"/>
      <c r="B54" s="158" t="str">
        <f>'FIG3'!X54</f>
        <v>FA3L2</v>
      </c>
      <c r="C54" s="151" t="s">
        <v>144</v>
      </c>
      <c r="D54" s="845">
        <f>'$REV-DSUM'!B456</f>
        <v>0</v>
      </c>
      <c r="E54" s="845">
        <f>'$REV-DB'!Y13</f>
        <v>0</v>
      </c>
      <c r="F54" s="228">
        <f t="shared" si="0"/>
        <v>0</v>
      </c>
      <c r="G54" s="162"/>
      <c r="H54" s="162"/>
      <c r="I54" s="162"/>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row>
    <row r="55" spans="1:76" ht="15.95" customHeight="1">
      <c r="A55" s="171"/>
      <c r="B55" s="158" t="s">
        <v>4</v>
      </c>
      <c r="C55" s="151" t="s">
        <v>143</v>
      </c>
      <c r="D55" s="845">
        <f>'$REV-DSUM'!B466</f>
        <v>0</v>
      </c>
      <c r="E55" s="845">
        <f>'$REV-DB'!Z13</f>
        <v>0</v>
      </c>
      <c r="F55" s="228">
        <f t="shared" si="0"/>
        <v>0</v>
      </c>
      <c r="G55" s="162"/>
      <c r="H55" s="162"/>
      <c r="I55" s="162"/>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row>
    <row r="56" spans="1:76" ht="15.95" customHeight="1">
      <c r="A56" s="171"/>
      <c r="B56" s="158"/>
      <c r="C56" s="151" t="s">
        <v>149</v>
      </c>
      <c r="D56" s="845">
        <f>'$REV-DSUM'!B476</f>
        <v>0</v>
      </c>
      <c r="E56" s="845">
        <f>'$REV-DB'!AA13</f>
        <v>0</v>
      </c>
      <c r="F56" s="228">
        <f t="shared" si="0"/>
        <v>0</v>
      </c>
      <c r="G56" s="162"/>
      <c r="H56" s="162"/>
      <c r="I56" s="162"/>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row>
    <row r="57" spans="1:76" ht="15.95" customHeight="1">
      <c r="A57" s="171"/>
      <c r="B57" s="158"/>
      <c r="C57" s="146" t="s">
        <v>363</v>
      </c>
      <c r="D57" s="845">
        <f>'$REV-DSUM'!B486</f>
        <v>0</v>
      </c>
      <c r="E57" s="845">
        <f>'$REV-DB'!AB13</f>
        <v>0</v>
      </c>
      <c r="F57" s="228">
        <f t="shared" si="0"/>
        <v>0</v>
      </c>
      <c r="G57" s="162"/>
      <c r="H57" s="162"/>
      <c r="I57" s="162"/>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row>
    <row r="58" spans="1:76" ht="15.95" customHeight="1">
      <c r="A58" s="171"/>
      <c r="B58" s="159"/>
      <c r="C58" s="152" t="s">
        <v>150</v>
      </c>
      <c r="D58" s="846">
        <f>'$REV-DSUM'!B496</f>
        <v>0</v>
      </c>
      <c r="E58" s="846">
        <f>'$REV-DB'!AC13</f>
        <v>0</v>
      </c>
      <c r="F58" s="229">
        <f t="shared" si="0"/>
        <v>0</v>
      </c>
      <c r="G58" s="162"/>
      <c r="H58" s="162"/>
      <c r="I58" s="162"/>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row>
    <row r="59" spans="1:76" ht="15.95" customHeight="1" thickBot="1">
      <c r="A59" s="171"/>
      <c r="B59" s="157" t="str">
        <f>B52</f>
        <v>FA3</v>
      </c>
      <c r="C59" s="150" t="s">
        <v>146</v>
      </c>
      <c r="D59" s="844">
        <f>'$REV-DSUM'!B506</f>
        <v>0</v>
      </c>
      <c r="E59" s="844">
        <f>'$REV-DB'!AD14</f>
        <v>0</v>
      </c>
      <c r="F59" s="227">
        <f>D59-E59</f>
        <v>0</v>
      </c>
      <c r="G59" s="162"/>
      <c r="H59" s="162"/>
      <c r="I59" s="162"/>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row>
    <row r="60" spans="1:76" ht="15.95" customHeight="1" thickTop="1">
      <c r="A60" s="171"/>
      <c r="B60" s="158" t="str">
        <f>B53</f>
        <v>FA3L1</v>
      </c>
      <c r="C60" s="151" t="s">
        <v>145</v>
      </c>
      <c r="D60" s="845">
        <f>'$REV-DSUM'!B516</f>
        <v>0</v>
      </c>
      <c r="E60" s="845">
        <f>'$REV-DB'!X14</f>
        <v>0</v>
      </c>
      <c r="F60" s="228">
        <f t="shared" si="0"/>
        <v>0</v>
      </c>
      <c r="G60" s="162"/>
      <c r="H60" s="162"/>
      <c r="I60" s="162"/>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row>
    <row r="61" spans="1:76" ht="15.95" customHeight="1">
      <c r="A61" s="171"/>
      <c r="B61" s="158" t="str">
        <f>B54</f>
        <v>FA3L2</v>
      </c>
      <c r="C61" s="151" t="s">
        <v>144</v>
      </c>
      <c r="D61" s="845">
        <f>'$REV-DSUM'!B526</f>
        <v>0</v>
      </c>
      <c r="E61" s="845">
        <f>'$REV-DB'!Y14</f>
        <v>0</v>
      </c>
      <c r="F61" s="228">
        <f t="shared" si="0"/>
        <v>0</v>
      </c>
      <c r="G61" s="162"/>
      <c r="H61" s="162"/>
      <c r="I61" s="162"/>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row>
    <row r="62" spans="1:76" ht="15.95" customHeight="1">
      <c r="A62" s="171"/>
      <c r="B62" s="158" t="s">
        <v>175</v>
      </c>
      <c r="C62" s="151" t="s">
        <v>143</v>
      </c>
      <c r="D62" s="845">
        <f>'$REV-DSUM'!B536</f>
        <v>0</v>
      </c>
      <c r="E62" s="845">
        <f>'$REV-DB'!Z14</f>
        <v>0</v>
      </c>
      <c r="F62" s="228">
        <f t="shared" si="0"/>
        <v>0</v>
      </c>
      <c r="G62" s="162"/>
      <c r="H62" s="162"/>
      <c r="I62" s="162"/>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row>
    <row r="63" spans="1:76" ht="15.95" customHeight="1">
      <c r="A63" s="171"/>
      <c r="B63" s="158"/>
      <c r="C63" s="151" t="s">
        <v>149</v>
      </c>
      <c r="D63" s="845">
        <f>'$REV-DSUM'!B546</f>
        <v>0</v>
      </c>
      <c r="E63" s="845">
        <f>'$REV-DB'!AA14</f>
        <v>0</v>
      </c>
      <c r="F63" s="228">
        <f t="shared" si="0"/>
        <v>0</v>
      </c>
      <c r="G63" s="162"/>
      <c r="H63" s="162"/>
      <c r="I63" s="162"/>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row>
    <row r="64" spans="1:76" ht="15.95" customHeight="1">
      <c r="A64" s="171"/>
      <c r="B64" s="158"/>
      <c r="C64" s="146" t="s">
        <v>363</v>
      </c>
      <c r="D64" s="845">
        <f>'$REV-DSUM'!B556</f>
        <v>0</v>
      </c>
      <c r="E64" s="845">
        <f>'$REV-DB'!AB14</f>
        <v>0</v>
      </c>
      <c r="F64" s="228">
        <f t="shared" si="0"/>
        <v>0</v>
      </c>
      <c r="G64" s="162"/>
      <c r="H64" s="162"/>
      <c r="I64" s="162"/>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row>
    <row r="65" spans="1:76" ht="15.95" customHeight="1">
      <c r="A65" s="171"/>
      <c r="B65" s="159"/>
      <c r="C65" s="152" t="s">
        <v>150</v>
      </c>
      <c r="D65" s="846">
        <f>'$REV-DSUM'!B566</f>
        <v>0</v>
      </c>
      <c r="E65" s="846">
        <f>'$REV-DB'!AC14</f>
        <v>0</v>
      </c>
      <c r="F65" s="229">
        <f t="shared" si="0"/>
        <v>0</v>
      </c>
      <c r="G65" s="162"/>
      <c r="H65" s="162"/>
      <c r="I65" s="162"/>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row>
    <row r="66" spans="1:76" ht="15.95" customHeight="1" thickBot="1">
      <c r="A66" s="171"/>
      <c r="B66" s="157" t="str">
        <f>'FIG3'!V55</f>
        <v>FA4</v>
      </c>
      <c r="C66" s="150" t="s">
        <v>146</v>
      </c>
      <c r="D66" s="844">
        <f>'$REV-DSUM'!B576</f>
        <v>0</v>
      </c>
      <c r="E66" s="844">
        <f>'$REV-DB'!AD15</f>
        <v>0</v>
      </c>
      <c r="F66" s="227">
        <f>D66-E66</f>
        <v>0</v>
      </c>
      <c r="G66" s="162"/>
      <c r="H66" s="162"/>
      <c r="I66" s="162"/>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row>
    <row r="67" spans="1:76" ht="15.95" customHeight="1" thickTop="1">
      <c r="A67" s="171"/>
      <c r="B67" s="158" t="str">
        <f>'FIG3'!W55</f>
        <v>FA4L1</v>
      </c>
      <c r="C67" s="151" t="s">
        <v>145</v>
      </c>
      <c r="D67" s="845">
        <f>'$REV-DSUM'!B586</f>
        <v>0</v>
      </c>
      <c r="E67" s="845">
        <f>'$REV-DB'!X15</f>
        <v>0</v>
      </c>
      <c r="F67" s="228">
        <f t="shared" si="0"/>
        <v>0</v>
      </c>
      <c r="G67" s="162"/>
      <c r="H67" s="162"/>
      <c r="I67" s="162"/>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row>
    <row r="68" spans="1:76" ht="15.95" customHeight="1">
      <c r="A68" s="171"/>
      <c r="B68" s="158" t="str">
        <f>'FIG3'!X55</f>
        <v>FA4L2</v>
      </c>
      <c r="C68" s="151" t="s">
        <v>144</v>
      </c>
      <c r="D68" s="845">
        <f>'$REV-DSUM'!B596</f>
        <v>0</v>
      </c>
      <c r="E68" s="845">
        <f>'$REV-DB'!Y15</f>
        <v>0</v>
      </c>
      <c r="F68" s="228">
        <f t="shared" si="0"/>
        <v>0</v>
      </c>
      <c r="G68" s="162"/>
      <c r="H68" s="162"/>
      <c r="I68" s="162"/>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row>
    <row r="69" spans="1:76" ht="15.95" customHeight="1">
      <c r="A69" s="171"/>
      <c r="B69" s="158" t="s">
        <v>4</v>
      </c>
      <c r="C69" s="151" t="s">
        <v>143</v>
      </c>
      <c r="D69" s="845">
        <f>'$REV-DSUM'!B606</f>
        <v>0</v>
      </c>
      <c r="E69" s="845">
        <f>'$REV-DB'!Z15</f>
        <v>0</v>
      </c>
      <c r="F69" s="228">
        <f t="shared" si="0"/>
        <v>0</v>
      </c>
      <c r="G69" s="162"/>
      <c r="H69" s="162"/>
      <c r="I69" s="162"/>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row>
    <row r="70" spans="1:76" ht="15.95" customHeight="1">
      <c r="A70" s="171"/>
      <c r="B70" s="158"/>
      <c r="C70" s="151" t="s">
        <v>149</v>
      </c>
      <c r="D70" s="845">
        <f>'$REV-DSUM'!B616</f>
        <v>0</v>
      </c>
      <c r="E70" s="845">
        <f>'$REV-DB'!AA15</f>
        <v>0</v>
      </c>
      <c r="F70" s="228">
        <f t="shared" si="0"/>
        <v>0</v>
      </c>
      <c r="G70" s="162"/>
      <c r="H70" s="162"/>
      <c r="I70" s="162"/>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row>
    <row r="71" spans="1:76" ht="15.95" customHeight="1">
      <c r="A71" s="171"/>
      <c r="B71" s="158"/>
      <c r="C71" s="146" t="s">
        <v>363</v>
      </c>
      <c r="D71" s="845">
        <f>'$REV-DSUM'!B626</f>
        <v>0</v>
      </c>
      <c r="E71" s="845">
        <f>'$REV-DB'!AB15</f>
        <v>0</v>
      </c>
      <c r="F71" s="228">
        <f t="shared" si="0"/>
        <v>0</v>
      </c>
      <c r="G71" s="162"/>
      <c r="H71" s="162"/>
      <c r="I71" s="162"/>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row>
    <row r="72" spans="1:76" ht="15.95" customHeight="1">
      <c r="A72" s="171"/>
      <c r="B72" s="159"/>
      <c r="C72" s="152" t="s">
        <v>150</v>
      </c>
      <c r="D72" s="846">
        <f>'$REV-DSUM'!B636</f>
        <v>0</v>
      </c>
      <c r="E72" s="846">
        <f>'$REV-DB'!AC15</f>
        <v>0</v>
      </c>
      <c r="F72" s="229">
        <f t="shared" si="0"/>
        <v>0</v>
      </c>
      <c r="G72" s="162"/>
      <c r="H72" s="162"/>
      <c r="I72" s="162"/>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row>
    <row r="73" spans="1:76" ht="15.95" customHeight="1" thickBot="1">
      <c r="A73" s="171"/>
      <c r="B73" s="157" t="str">
        <f>B66</f>
        <v>FA4</v>
      </c>
      <c r="C73" s="150" t="s">
        <v>146</v>
      </c>
      <c r="D73" s="844">
        <f>'$REV-DSUM'!B646</f>
        <v>0</v>
      </c>
      <c r="E73" s="844">
        <f>'$REV-DB'!AD16</f>
        <v>0</v>
      </c>
      <c r="F73" s="227">
        <f>D73-E73</f>
        <v>0</v>
      </c>
      <c r="G73" s="162"/>
      <c r="H73" s="162"/>
      <c r="I73" s="162"/>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row>
    <row r="74" spans="1:76" ht="15.95" customHeight="1" thickTop="1">
      <c r="A74" s="171"/>
      <c r="B74" s="158" t="str">
        <f>B67</f>
        <v>FA4L1</v>
      </c>
      <c r="C74" s="151" t="s">
        <v>145</v>
      </c>
      <c r="D74" s="845">
        <f>'$REV-DSUM'!B656</f>
        <v>0</v>
      </c>
      <c r="E74" s="845">
        <f>'$REV-DB'!X16</f>
        <v>0</v>
      </c>
      <c r="F74" s="228">
        <f t="shared" si="0"/>
        <v>0</v>
      </c>
      <c r="G74" s="162"/>
      <c r="H74" s="162"/>
      <c r="I74" s="162"/>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row>
    <row r="75" spans="1:76" ht="15.95" customHeight="1">
      <c r="A75" s="171"/>
      <c r="B75" s="158" t="str">
        <f>B68</f>
        <v>FA4L2</v>
      </c>
      <c r="C75" s="151" t="s">
        <v>144</v>
      </c>
      <c r="D75" s="845">
        <f>'$REV-DSUM'!B666</f>
        <v>0</v>
      </c>
      <c r="E75" s="845">
        <f>'$REV-DB'!Y16</f>
        <v>0</v>
      </c>
      <c r="F75" s="228">
        <f t="shared" si="0"/>
        <v>0</v>
      </c>
      <c r="G75" s="162"/>
      <c r="H75" s="162"/>
      <c r="I75" s="162"/>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row>
    <row r="76" spans="1:76" ht="15.95" customHeight="1">
      <c r="A76" s="171"/>
      <c r="B76" s="158" t="s">
        <v>175</v>
      </c>
      <c r="C76" s="151" t="s">
        <v>143</v>
      </c>
      <c r="D76" s="845">
        <f>'$REV-DSUM'!B676</f>
        <v>0</v>
      </c>
      <c r="E76" s="845">
        <f>'$REV-DB'!Z16</f>
        <v>0</v>
      </c>
      <c r="F76" s="228">
        <f t="shared" si="0"/>
        <v>0</v>
      </c>
      <c r="G76" s="162"/>
      <c r="H76" s="162"/>
      <c r="I76" s="162"/>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row>
    <row r="77" spans="1:76" ht="15.95" customHeight="1">
      <c r="A77" s="171"/>
      <c r="B77" s="158"/>
      <c r="C77" s="151" t="s">
        <v>149</v>
      </c>
      <c r="D77" s="845">
        <f>'$REV-DSUM'!B686</f>
        <v>0</v>
      </c>
      <c r="E77" s="845">
        <f>'$REV-DB'!AA16</f>
        <v>0</v>
      </c>
      <c r="F77" s="228">
        <f t="shared" si="0"/>
        <v>0</v>
      </c>
      <c r="G77" s="162"/>
      <c r="H77" s="162"/>
      <c r="I77" s="162"/>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row>
    <row r="78" spans="1:76" ht="15.95" customHeight="1">
      <c r="A78" s="171"/>
      <c r="B78" s="158"/>
      <c r="C78" s="146" t="s">
        <v>363</v>
      </c>
      <c r="D78" s="845">
        <f>'$REV-DSUM'!B696</f>
        <v>0</v>
      </c>
      <c r="E78" s="845">
        <f>'$REV-DB'!AB16</f>
        <v>0</v>
      </c>
      <c r="F78" s="228">
        <f t="shared" si="0"/>
        <v>0</v>
      </c>
      <c r="G78" s="162"/>
      <c r="H78" s="162"/>
      <c r="I78" s="162"/>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row>
    <row r="79" spans="1:76" ht="15.95" customHeight="1">
      <c r="A79" s="171"/>
      <c r="B79" s="159"/>
      <c r="C79" s="152" t="s">
        <v>150</v>
      </c>
      <c r="D79" s="846">
        <f>'$REV-DSUM'!B706</f>
        <v>0</v>
      </c>
      <c r="E79" s="846">
        <f>'$REV-DB'!AC16</f>
        <v>0</v>
      </c>
      <c r="F79" s="229">
        <f t="shared" si="0"/>
        <v>0</v>
      </c>
      <c r="G79" s="162"/>
      <c r="H79" s="162"/>
      <c r="I79" s="162"/>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row>
    <row r="80" spans="1:76" ht="15.95" customHeight="1" thickBot="1">
      <c r="A80" s="171"/>
      <c r="B80" s="157" t="str">
        <f>'FIG3'!V56</f>
        <v>FA5</v>
      </c>
      <c r="C80" s="150" t="s">
        <v>146</v>
      </c>
      <c r="D80" s="844">
        <f>'$REV-DSUM'!B716</f>
        <v>0</v>
      </c>
      <c r="E80" s="844">
        <f>'$REV-DB'!AD17</f>
        <v>0</v>
      </c>
      <c r="F80" s="227">
        <f>D80-E80</f>
        <v>0</v>
      </c>
      <c r="G80" s="162"/>
      <c r="H80" s="162"/>
      <c r="I80" s="162"/>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row>
    <row r="81" spans="1:76" ht="15.95" customHeight="1" thickTop="1">
      <c r="A81" s="171"/>
      <c r="B81" s="158" t="str">
        <f>'FIG3'!W56</f>
        <v>FA5L1</v>
      </c>
      <c r="C81" s="151" t="s">
        <v>145</v>
      </c>
      <c r="D81" s="845">
        <f>'$REV-DSUM'!B726</f>
        <v>0</v>
      </c>
      <c r="E81" s="845">
        <f>'$REV-DB'!X17</f>
        <v>0</v>
      </c>
      <c r="F81" s="228">
        <f t="shared" si="0"/>
        <v>0</v>
      </c>
      <c r="G81" s="162"/>
      <c r="H81" s="162"/>
      <c r="I81" s="162"/>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row>
    <row r="82" spans="1:76" ht="15.95" customHeight="1">
      <c r="A82" s="171"/>
      <c r="B82" s="158" t="str">
        <f>'FIG3'!X56</f>
        <v>FA5L2</v>
      </c>
      <c r="C82" s="151" t="s">
        <v>144</v>
      </c>
      <c r="D82" s="845">
        <f>'$REV-DSUM'!B736</f>
        <v>0</v>
      </c>
      <c r="E82" s="845">
        <f>'$REV-DB'!Y17</f>
        <v>0</v>
      </c>
      <c r="F82" s="228">
        <f t="shared" si="0"/>
        <v>0</v>
      </c>
      <c r="G82" s="162"/>
      <c r="H82" s="162"/>
      <c r="I82" s="162"/>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row>
    <row r="83" spans="1:76" ht="15.95" customHeight="1">
      <c r="A83" s="171"/>
      <c r="B83" s="158" t="s">
        <v>4</v>
      </c>
      <c r="C83" s="151" t="s">
        <v>143</v>
      </c>
      <c r="D83" s="845">
        <f>'$REV-DSUM'!B746</f>
        <v>0</v>
      </c>
      <c r="E83" s="845">
        <f>'$REV-DB'!Z17</f>
        <v>0</v>
      </c>
      <c r="F83" s="228">
        <f t="shared" si="0"/>
        <v>0</v>
      </c>
      <c r="G83" s="162"/>
      <c r="H83" s="162"/>
      <c r="I83" s="162"/>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row>
    <row r="84" spans="1:76" ht="15.95" customHeight="1">
      <c r="A84" s="171"/>
      <c r="B84" s="158"/>
      <c r="C84" s="151" t="s">
        <v>149</v>
      </c>
      <c r="D84" s="845">
        <f>'$REV-DSUM'!B756</f>
        <v>0</v>
      </c>
      <c r="E84" s="845">
        <f>'$REV-DB'!AA17</f>
        <v>0</v>
      </c>
      <c r="F84" s="228">
        <f t="shared" si="0"/>
        <v>0</v>
      </c>
      <c r="G84" s="162"/>
      <c r="H84" s="162"/>
      <c r="I84" s="162"/>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row>
    <row r="85" spans="1:76" ht="15.95" customHeight="1">
      <c r="A85" s="171"/>
      <c r="B85" s="158"/>
      <c r="C85" s="146" t="s">
        <v>363</v>
      </c>
      <c r="D85" s="845">
        <f>'$REV-DSUM'!B766</f>
        <v>0</v>
      </c>
      <c r="E85" s="845">
        <f>'$REV-DB'!AB17</f>
        <v>0</v>
      </c>
      <c r="F85" s="228">
        <f t="shared" si="0"/>
        <v>0</v>
      </c>
      <c r="G85" s="162"/>
      <c r="H85" s="162"/>
      <c r="I85" s="162"/>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row>
    <row r="86" spans="1:76" ht="15.95" customHeight="1">
      <c r="A86" s="171"/>
      <c r="B86" s="159"/>
      <c r="C86" s="152" t="s">
        <v>150</v>
      </c>
      <c r="D86" s="846">
        <f>'$REV-DSUM'!B776</f>
        <v>0</v>
      </c>
      <c r="E86" s="846">
        <f>'$REV-DB'!AC17</f>
        <v>0</v>
      </c>
      <c r="F86" s="229">
        <f>D86-E86</f>
        <v>0</v>
      </c>
      <c r="G86" s="162"/>
      <c r="H86" s="162"/>
      <c r="I86" s="162"/>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row>
    <row r="87" spans="1:76" ht="15.95" customHeight="1" thickBot="1">
      <c r="A87" s="171"/>
      <c r="B87" s="157" t="str">
        <f>B80</f>
        <v>FA5</v>
      </c>
      <c r="C87" s="150" t="s">
        <v>146</v>
      </c>
      <c r="D87" s="844">
        <f>'$REV-DSUM'!B786</f>
        <v>0</v>
      </c>
      <c r="E87" s="844">
        <f>'$REV-DB'!AD18</f>
        <v>0</v>
      </c>
      <c r="F87" s="227">
        <f>D87-E87</f>
        <v>0</v>
      </c>
      <c r="G87" s="162"/>
      <c r="H87" s="162"/>
      <c r="I87" s="162"/>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row>
    <row r="88" spans="1:76" ht="15.95" customHeight="1" thickTop="1">
      <c r="A88" s="171"/>
      <c r="B88" s="158" t="str">
        <f>B81</f>
        <v>FA5L1</v>
      </c>
      <c r="C88" s="151" t="s">
        <v>145</v>
      </c>
      <c r="D88" s="845">
        <f>'$REV-DSUM'!B796</f>
        <v>0</v>
      </c>
      <c r="E88" s="845">
        <f>'$REV-DB'!X18</f>
        <v>0</v>
      </c>
      <c r="F88" s="228">
        <f t="shared" ref="F88:F93" si="1">D88-E88</f>
        <v>0</v>
      </c>
      <c r="G88" s="162"/>
      <c r="H88" s="162"/>
      <c r="I88" s="162"/>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row>
    <row r="89" spans="1:76" ht="15.95" customHeight="1">
      <c r="A89" s="171"/>
      <c r="B89" s="158" t="str">
        <f>B82</f>
        <v>FA5L2</v>
      </c>
      <c r="C89" s="151" t="s">
        <v>144</v>
      </c>
      <c r="D89" s="845">
        <f>'$REV-DSUM'!B806</f>
        <v>0</v>
      </c>
      <c r="E89" s="845">
        <f>'$REV-DB'!Y18</f>
        <v>0</v>
      </c>
      <c r="F89" s="228">
        <f t="shared" si="1"/>
        <v>0</v>
      </c>
      <c r="G89" s="162"/>
      <c r="H89" s="162"/>
      <c r="I89" s="162"/>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row>
    <row r="90" spans="1:76" ht="15.95" customHeight="1">
      <c r="A90" s="171"/>
      <c r="B90" s="158" t="s">
        <v>175</v>
      </c>
      <c r="C90" s="151" t="s">
        <v>143</v>
      </c>
      <c r="D90" s="845">
        <f>'$REV-DSUM'!B816</f>
        <v>0</v>
      </c>
      <c r="E90" s="845">
        <f>'$REV-DB'!Z18</f>
        <v>0</v>
      </c>
      <c r="F90" s="228">
        <f t="shared" si="1"/>
        <v>0</v>
      </c>
      <c r="G90" s="162"/>
      <c r="H90" s="162"/>
      <c r="I90" s="162"/>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row>
    <row r="91" spans="1:76" ht="15.95" customHeight="1">
      <c r="A91" s="171"/>
      <c r="B91" s="158"/>
      <c r="C91" s="151" t="s">
        <v>149</v>
      </c>
      <c r="D91" s="845">
        <f>'$REV-DSUM'!B826</f>
        <v>0</v>
      </c>
      <c r="E91" s="845">
        <f>'$REV-DB'!AA18</f>
        <v>0</v>
      </c>
      <c r="F91" s="228">
        <f t="shared" si="1"/>
        <v>0</v>
      </c>
      <c r="G91" s="162"/>
      <c r="H91" s="162"/>
      <c r="I91" s="162"/>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row>
    <row r="92" spans="1:76" ht="15.95" customHeight="1">
      <c r="A92" s="171"/>
      <c r="B92" s="158"/>
      <c r="C92" s="146" t="s">
        <v>363</v>
      </c>
      <c r="D92" s="845">
        <f>'$REV-DSUM'!B836</f>
        <v>0</v>
      </c>
      <c r="E92" s="845">
        <f>'$REV-DB'!AB18</f>
        <v>0</v>
      </c>
      <c r="F92" s="228">
        <f t="shared" si="1"/>
        <v>0</v>
      </c>
      <c r="G92" s="162"/>
      <c r="H92" s="162"/>
      <c r="I92" s="162"/>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row>
    <row r="93" spans="1:76" ht="15.95" customHeight="1">
      <c r="A93" s="171"/>
      <c r="B93" s="159"/>
      <c r="C93" s="152" t="s">
        <v>150</v>
      </c>
      <c r="D93" s="846">
        <f>'$REV-DSUM'!B846</f>
        <v>0</v>
      </c>
      <c r="E93" s="846">
        <f>'$REV-DB'!AC18</f>
        <v>0</v>
      </c>
      <c r="F93" s="229">
        <f t="shared" si="1"/>
        <v>0</v>
      </c>
      <c r="G93" s="162"/>
      <c r="H93" s="162"/>
      <c r="I93" s="162"/>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row>
    <row r="94" spans="1:76" ht="15.95" customHeight="1">
      <c r="A94" s="171"/>
      <c r="B94" s="171"/>
      <c r="C94" s="171"/>
      <c r="D94" s="171"/>
      <c r="E94" s="171"/>
      <c r="F94" s="171"/>
      <c r="G94" s="171"/>
      <c r="H94" s="171"/>
      <c r="I94" s="171"/>
    </row>
    <row r="95" spans="1:76" ht="15.95" customHeight="1">
      <c r="A95" s="171"/>
      <c r="B95" s="171"/>
      <c r="C95" s="171"/>
      <c r="D95" s="171"/>
      <c r="E95" s="171"/>
      <c r="F95" s="171"/>
      <c r="G95" s="171"/>
      <c r="H95" s="171"/>
      <c r="I95" s="171"/>
    </row>
    <row r="96" spans="1:76" ht="15.95" customHeight="1">
      <c r="A96" s="171"/>
      <c r="B96" s="171"/>
      <c r="C96" s="171"/>
      <c r="D96" s="171"/>
      <c r="E96" s="171"/>
      <c r="F96" s="171"/>
      <c r="G96" s="171"/>
      <c r="H96" s="171"/>
      <c r="I96" s="171"/>
    </row>
    <row r="98" spans="5:7" ht="15.95" customHeight="1">
      <c r="E98" s="160"/>
      <c r="F98" s="160"/>
      <c r="G98" s="160"/>
    </row>
    <row r="99" spans="5:7" ht="15.95" customHeight="1">
      <c r="E99" s="160"/>
      <c r="F99" s="161"/>
      <c r="G99" s="160"/>
    </row>
    <row r="100" spans="5:7" ht="15.95" customHeight="1">
      <c r="E100" s="160"/>
      <c r="F100" s="160"/>
      <c r="G100" s="160"/>
    </row>
    <row r="101" spans="5:7" ht="15.95" customHeight="1">
      <c r="E101" s="160"/>
      <c r="F101" s="160"/>
      <c r="G101" s="160"/>
    </row>
  </sheetData>
  <mergeCells count="7">
    <mergeCell ref="H6:H12"/>
    <mergeCell ref="B6:C6"/>
    <mergeCell ref="B7:C7"/>
    <mergeCell ref="B2:F2"/>
    <mergeCell ref="B3:F3"/>
    <mergeCell ref="B5:F5"/>
    <mergeCell ref="B4:F4"/>
  </mergeCells>
  <conditionalFormatting sqref="F10:F93">
    <cfRule type="cellIs" dxfId="15" priority="2" operator="between">
      <formula>-0.005</formula>
      <formula>0.005</formula>
    </cfRule>
  </conditionalFormatting>
  <conditionalFormatting sqref="F99">
    <cfRule type="cellIs" dxfId="14" priority="1" operator="notEqual">
      <formula>0</formula>
    </cfRule>
  </conditionalFormatting>
  <pageMargins left="0.7" right="0.7" top="1" bottom="0.5" header="0.3" footer="0.3"/>
  <rowBreaks count="1" manualBreakCount="1">
    <brk id="51" max="16383" man="1"/>
  </rowBreaks>
  <colBreaks count="1" manualBreakCount="1">
    <brk id="6" max="1048575" man="1"/>
  </col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CI12"/>
  <sheetViews>
    <sheetView workbookViewId="0"/>
  </sheetViews>
  <sheetFormatPr defaultColWidth="8.83203125" defaultRowHeight="11.25"/>
  <cols>
    <col min="1" max="3" width="5.83203125" customWidth="1"/>
    <col min="5" max="5" width="15.1640625" customWidth="1"/>
    <col min="6" max="6" width="14.1640625" customWidth="1"/>
    <col min="7" max="7" width="20.83203125" customWidth="1"/>
    <col min="8" max="9" width="10.83203125" customWidth="1"/>
    <col min="10" max="10" width="15.5" customWidth="1"/>
    <col min="11" max="11" width="10.83203125" customWidth="1"/>
    <col min="12" max="12" width="14.83203125" customWidth="1"/>
    <col min="13" max="13" width="10.83203125" customWidth="1"/>
    <col min="14" max="14" width="14.5" customWidth="1"/>
    <col min="15" max="15" width="16.5" customWidth="1"/>
    <col min="16" max="18" width="10.83203125" customWidth="1"/>
    <col min="19" max="19" width="22.83203125" customWidth="1"/>
    <col min="20" max="22" width="10.83203125" customWidth="1"/>
    <col min="23" max="23" width="14.1640625" customWidth="1"/>
    <col min="24" max="24" width="15.1640625" customWidth="1"/>
    <col min="25" max="25" width="19.5" customWidth="1"/>
    <col min="26" max="26" width="15.1640625" customWidth="1"/>
    <col min="27" max="27" width="18.83203125" customWidth="1"/>
    <col min="28" max="28" width="11.83203125" customWidth="1"/>
    <col min="29" max="29" width="17.5" customWidth="1"/>
    <col min="30" max="30" width="10.83203125" customWidth="1"/>
    <col min="31" max="31" width="16.5" customWidth="1"/>
    <col min="32" max="32" width="10.83203125" customWidth="1"/>
    <col min="33" max="33" width="15.33203125" customWidth="1"/>
  </cols>
  <sheetData>
    <row r="1" spans="1:87" ht="20.100000000000001" customHeight="1" thickTop="1" thickBot="1">
      <c r="A1" s="296" t="s">
        <v>206</v>
      </c>
      <c r="B1" s="185"/>
      <c r="C1" s="185"/>
      <c r="D1" s="185"/>
      <c r="E1" s="175" t="str">
        <f>'FIG3'!W50</f>
        <v>FY2010-11</v>
      </c>
      <c r="F1" s="138"/>
      <c r="G1" s="173" t="s">
        <v>343</v>
      </c>
      <c r="H1" s="174" t="s">
        <v>332</v>
      </c>
      <c r="I1" s="175" t="s">
        <v>19</v>
      </c>
      <c r="J1" s="174" t="s">
        <v>333</v>
      </c>
      <c r="K1" s="175" t="s">
        <v>20</v>
      </c>
      <c r="L1" s="174" t="s">
        <v>334</v>
      </c>
      <c r="M1" s="175" t="s">
        <v>165</v>
      </c>
      <c r="N1" s="174" t="s">
        <v>335</v>
      </c>
      <c r="O1" s="175" t="s">
        <v>167</v>
      </c>
      <c r="P1" s="174" t="s">
        <v>336</v>
      </c>
      <c r="Q1" s="178" t="s">
        <v>337</v>
      </c>
      <c r="R1" s="175"/>
      <c r="S1" s="174" t="s">
        <v>338</v>
      </c>
      <c r="T1" s="175" t="s">
        <v>144</v>
      </c>
      <c r="U1" s="174" t="s">
        <v>339</v>
      </c>
      <c r="V1" s="179" t="s">
        <v>149</v>
      </c>
      <c r="W1" s="174" t="s">
        <v>340</v>
      </c>
      <c r="X1" s="183" t="s">
        <v>341</v>
      </c>
      <c r="Y1" s="184"/>
      <c r="Z1" s="176"/>
      <c r="AA1" s="177"/>
      <c r="AB1" s="177"/>
      <c r="AC1" s="177"/>
      <c r="AD1" s="177"/>
      <c r="AE1" s="177"/>
      <c r="AF1" s="172"/>
      <c r="AG1" s="172"/>
      <c r="AH1" s="136"/>
    </row>
    <row r="2" spans="1:87" ht="20.100000000000001" customHeight="1" thickTop="1" thickBot="1">
      <c r="A2" s="296" t="s">
        <v>207</v>
      </c>
      <c r="B2" s="294"/>
      <c r="C2" s="294"/>
      <c r="D2" s="294"/>
      <c r="E2" s="295"/>
      <c r="F2" s="136"/>
      <c r="G2" s="173" t="s">
        <v>128</v>
      </c>
      <c r="H2" s="180" t="s">
        <v>342</v>
      </c>
      <c r="I2" s="178"/>
      <c r="J2" s="178"/>
      <c r="K2" s="178"/>
      <c r="L2" s="178"/>
      <c r="M2" s="175"/>
      <c r="N2" s="181" t="s">
        <v>344</v>
      </c>
      <c r="O2" s="182"/>
      <c r="P2" s="174" t="s">
        <v>346</v>
      </c>
      <c r="Q2" s="175" t="s">
        <v>145</v>
      </c>
      <c r="R2" s="174" t="s">
        <v>347</v>
      </c>
      <c r="S2" s="175" t="s">
        <v>144</v>
      </c>
      <c r="T2" s="174" t="s">
        <v>345</v>
      </c>
      <c r="U2" s="175" t="s">
        <v>143</v>
      </c>
      <c r="V2" s="174" t="s">
        <v>348</v>
      </c>
      <c r="W2" s="175" t="s">
        <v>149</v>
      </c>
      <c r="X2" s="174"/>
      <c r="Y2" s="293" t="s">
        <v>201</v>
      </c>
      <c r="Z2" s="175"/>
      <c r="AA2" s="180"/>
      <c r="AB2" s="293" t="s">
        <v>26</v>
      </c>
      <c r="AC2" s="175"/>
      <c r="AD2" s="176"/>
      <c r="AE2" s="177"/>
      <c r="AF2" s="172"/>
      <c r="AG2" s="172"/>
      <c r="AH2" s="136"/>
    </row>
    <row r="3" spans="1:87" ht="14.25" thickTop="1" thickBot="1">
      <c r="A3" s="136"/>
      <c r="B3" s="136"/>
      <c r="C3" s="136"/>
      <c r="D3" s="136"/>
      <c r="E3" s="136"/>
      <c r="F3" s="136"/>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36"/>
    </row>
    <row r="4" spans="1:87" s="3" customFormat="1" ht="15.95" customHeight="1" thickTop="1" thickBot="1">
      <c r="A4" s="1232" t="s">
        <v>137</v>
      </c>
      <c r="B4" s="1232" t="s">
        <v>30</v>
      </c>
      <c r="C4" s="1232" t="s">
        <v>147</v>
      </c>
      <c r="D4" s="1102" t="s">
        <v>138</v>
      </c>
      <c r="E4" s="1102" t="s">
        <v>31</v>
      </c>
      <c r="F4" s="1102" t="s">
        <v>180</v>
      </c>
      <c r="G4" s="1102" t="s">
        <v>32</v>
      </c>
      <c r="H4" s="1102" t="s">
        <v>33</v>
      </c>
      <c r="I4" s="1102" t="s">
        <v>34</v>
      </c>
      <c r="J4" s="1102" t="s">
        <v>35</v>
      </c>
      <c r="K4" s="1103" t="s">
        <v>36</v>
      </c>
      <c r="L4" s="1233" t="s">
        <v>179</v>
      </c>
      <c r="M4" s="1233" t="s">
        <v>37</v>
      </c>
      <c r="N4" s="1233" t="s">
        <v>140</v>
      </c>
      <c r="O4" s="1233" t="s">
        <v>2</v>
      </c>
      <c r="P4" s="1233" t="s">
        <v>70</v>
      </c>
      <c r="Q4" s="1233" t="s">
        <v>71</v>
      </c>
      <c r="R4" s="1233" t="s">
        <v>97</v>
      </c>
      <c r="S4" s="1234" t="s">
        <v>139</v>
      </c>
      <c r="T4" s="1048" t="s">
        <v>98</v>
      </c>
      <c r="U4" s="1102" t="s">
        <v>99</v>
      </c>
      <c r="V4" s="1102" t="s">
        <v>100</v>
      </c>
      <c r="W4" s="1102" t="s">
        <v>101</v>
      </c>
      <c r="X4" s="1102" t="s">
        <v>102</v>
      </c>
      <c r="Y4" s="1102" t="s">
        <v>103</v>
      </c>
      <c r="Z4" s="1102" t="s">
        <v>104</v>
      </c>
      <c r="AA4" s="1102" t="s">
        <v>105</v>
      </c>
      <c r="AB4" s="1102" t="s">
        <v>106</v>
      </c>
      <c r="AC4" s="1102" t="s">
        <v>107</v>
      </c>
      <c r="AD4" s="1102" t="s">
        <v>108</v>
      </c>
      <c r="AE4" s="1102" t="s">
        <v>109</v>
      </c>
      <c r="AF4" s="1102" t="s">
        <v>110</v>
      </c>
      <c r="AG4" s="1102" t="s">
        <v>205</v>
      </c>
      <c r="AH4" s="1038"/>
      <c r="AI4" s="1038"/>
      <c r="AJ4" s="1226"/>
      <c r="AK4" s="1226"/>
      <c r="AL4" s="1226"/>
      <c r="AM4" s="1226"/>
      <c r="AN4" s="1226"/>
      <c r="AO4" s="1226"/>
      <c r="AP4" s="1226"/>
      <c r="AQ4" s="1226"/>
      <c r="AR4" s="1226"/>
      <c r="AS4" s="1226"/>
      <c r="AT4" s="1226"/>
      <c r="AU4" s="1038"/>
      <c r="AV4" s="1038"/>
      <c r="AW4" s="1038"/>
      <c r="AX4" s="1038"/>
      <c r="AY4" s="1038"/>
      <c r="AZ4" s="1038"/>
      <c r="BA4" s="1038"/>
      <c r="BB4" s="1038"/>
      <c r="BC4" s="1038"/>
      <c r="BD4" s="1038"/>
      <c r="BE4" s="1038"/>
      <c r="BF4" s="1038"/>
      <c r="BG4" s="1038"/>
      <c r="BH4" s="1038"/>
      <c r="BI4" s="1038"/>
      <c r="BJ4" s="1038"/>
      <c r="BK4" s="1038"/>
      <c r="BL4" s="1038"/>
      <c r="BM4" s="1038"/>
      <c r="BN4" s="1038"/>
      <c r="BO4" s="1038"/>
      <c r="BP4" s="1038"/>
      <c r="BQ4" s="1038"/>
      <c r="BR4" s="1038"/>
      <c r="BS4" s="1038"/>
      <c r="BT4" s="1038"/>
      <c r="BU4" s="1038"/>
      <c r="BV4" s="1038"/>
      <c r="BW4" s="36"/>
      <c r="BX4" s="36"/>
      <c r="BY4" s="36"/>
      <c r="BZ4" s="36"/>
      <c r="CA4" s="36"/>
      <c r="CB4" s="36"/>
      <c r="CC4" s="36"/>
      <c r="CD4" s="36"/>
      <c r="CE4" s="36"/>
      <c r="CF4" s="36"/>
      <c r="CG4" s="36"/>
      <c r="CH4" s="36"/>
      <c r="CI4" s="36"/>
    </row>
    <row r="5" spans="1:87" s="3" customFormat="1" ht="15.95" customHeight="1" thickTop="1" thickBot="1">
      <c r="A5" s="1235" t="s">
        <v>96</v>
      </c>
      <c r="B5" s="1236"/>
      <c r="C5" s="1237"/>
      <c r="D5" s="1238">
        <f t="shared" ref="D5:AG5" si="0">COUNTBLANK(D8:D9)-2</f>
        <v>0</v>
      </c>
      <c r="E5" s="1238">
        <f t="shared" si="0"/>
        <v>0</v>
      </c>
      <c r="F5" s="1238">
        <f t="shared" si="0"/>
        <v>0</v>
      </c>
      <c r="G5" s="1238">
        <f t="shared" si="0"/>
        <v>0</v>
      </c>
      <c r="H5" s="1238">
        <f t="shared" si="0"/>
        <v>0</v>
      </c>
      <c r="I5" s="1238">
        <f>COUNTBLANK(I8:I9)</f>
        <v>2</v>
      </c>
      <c r="J5" s="1238">
        <f>COUNTBLANK(J8:J9)</f>
        <v>2</v>
      </c>
      <c r="K5" s="1239">
        <f t="shared" si="0"/>
        <v>0</v>
      </c>
      <c r="L5" s="1240">
        <f t="shared" si="0"/>
        <v>0</v>
      </c>
      <c r="M5" s="1240">
        <f t="shared" si="0"/>
        <v>0</v>
      </c>
      <c r="N5" s="1240">
        <f t="shared" si="0"/>
        <v>0</v>
      </c>
      <c r="O5" s="1240">
        <f t="shared" si="0"/>
        <v>0</v>
      </c>
      <c r="P5" s="1240">
        <f t="shared" si="0"/>
        <v>0</v>
      </c>
      <c r="Q5" s="1240">
        <f t="shared" si="0"/>
        <v>0</v>
      </c>
      <c r="R5" s="1240">
        <f t="shared" si="0"/>
        <v>0</v>
      </c>
      <c r="S5" s="1241">
        <f t="shared" si="0"/>
        <v>0</v>
      </c>
      <c r="T5" s="1242">
        <f t="shared" si="0"/>
        <v>0</v>
      </c>
      <c r="U5" s="1238">
        <f t="shared" si="0"/>
        <v>0</v>
      </c>
      <c r="V5" s="1238">
        <f t="shared" si="0"/>
        <v>0</v>
      </c>
      <c r="W5" s="1238">
        <f t="shared" si="0"/>
        <v>0</v>
      </c>
      <c r="X5" s="1238">
        <f t="shared" si="0"/>
        <v>0</v>
      </c>
      <c r="Y5" s="1238">
        <f t="shared" si="0"/>
        <v>0</v>
      </c>
      <c r="Z5" s="1238">
        <f t="shared" si="0"/>
        <v>0</v>
      </c>
      <c r="AA5" s="1238">
        <f t="shared" si="0"/>
        <v>0</v>
      </c>
      <c r="AB5" s="1238">
        <f t="shared" si="0"/>
        <v>0</v>
      </c>
      <c r="AC5" s="1238">
        <f t="shared" si="0"/>
        <v>0</v>
      </c>
      <c r="AD5" s="1238">
        <f t="shared" si="0"/>
        <v>0</v>
      </c>
      <c r="AE5" s="1238">
        <f t="shared" si="0"/>
        <v>0</v>
      </c>
      <c r="AF5" s="1238">
        <f t="shared" si="0"/>
        <v>0</v>
      </c>
      <c r="AG5" s="1238">
        <f t="shared" si="0"/>
        <v>0</v>
      </c>
      <c r="AH5" s="1038"/>
      <c r="AI5" s="1038"/>
      <c r="AJ5" s="1226"/>
      <c r="AK5" s="1226"/>
      <c r="AL5" s="1226"/>
      <c r="AM5" s="1226"/>
      <c r="AN5" s="1226"/>
      <c r="AO5" s="1226"/>
      <c r="AP5" s="1226"/>
      <c r="AQ5" s="1226"/>
      <c r="AR5" s="1226"/>
      <c r="AS5" s="1226"/>
      <c r="AT5" s="1038"/>
      <c r="AU5" s="1038"/>
      <c r="AV5" s="1038"/>
      <c r="AW5" s="1038"/>
      <c r="AX5" s="1038"/>
      <c r="AY5" s="1038"/>
      <c r="AZ5" s="1038"/>
      <c r="BA5" s="1038"/>
      <c r="BB5" s="1038"/>
      <c r="BC5" s="1038"/>
      <c r="BD5" s="1038"/>
      <c r="BE5" s="1038"/>
      <c r="BF5" s="1038"/>
      <c r="BG5" s="1038"/>
      <c r="BH5" s="1038"/>
      <c r="BI5" s="1038"/>
      <c r="BJ5" s="1038"/>
      <c r="BK5" s="1038"/>
      <c r="BL5" s="1038"/>
      <c r="BM5" s="1038"/>
      <c r="BN5" s="1038"/>
      <c r="BO5" s="1038"/>
      <c r="BP5" s="1038"/>
      <c r="BQ5" s="1038"/>
      <c r="BR5" s="1038"/>
      <c r="BS5" s="1038"/>
      <c r="BT5" s="1038"/>
      <c r="BU5" s="1038"/>
      <c r="BV5" s="1038"/>
      <c r="BW5" s="36"/>
      <c r="BX5" s="36"/>
      <c r="BY5" s="36"/>
      <c r="BZ5" s="36"/>
      <c r="CA5" s="36"/>
      <c r="CB5" s="36"/>
      <c r="CC5" s="36"/>
      <c r="CD5" s="36"/>
      <c r="CE5" s="36"/>
      <c r="CF5" s="36"/>
      <c r="CG5" s="36"/>
      <c r="CH5" s="36"/>
      <c r="CI5" s="36"/>
    </row>
    <row r="6" spans="1:87" s="3" customFormat="1" ht="15.95" customHeight="1" thickTop="1" thickBot="1">
      <c r="A6" s="1205"/>
      <c r="B6" s="1060" t="s">
        <v>204</v>
      </c>
      <c r="C6" s="1205"/>
      <c r="D6" s="1819" t="s">
        <v>185</v>
      </c>
      <c r="E6" s="1819"/>
      <c r="F6" s="1819"/>
      <c r="G6" s="1819"/>
      <c r="H6" s="1819" t="s">
        <v>181</v>
      </c>
      <c r="I6" s="1819"/>
      <c r="J6" s="1819"/>
      <c r="K6" s="1820"/>
      <c r="L6" s="1821" t="s">
        <v>202</v>
      </c>
      <c r="M6" s="1822"/>
      <c r="N6" s="1822"/>
      <c r="O6" s="1822"/>
      <c r="P6" s="1822"/>
      <c r="Q6" s="1822"/>
      <c r="R6" s="1822"/>
      <c r="S6" s="1823"/>
      <c r="T6" s="1243" t="s">
        <v>541</v>
      </c>
      <c r="U6" s="1243" t="s">
        <v>542</v>
      </c>
      <c r="V6" s="1243" t="s">
        <v>543</v>
      </c>
      <c r="W6" s="1243" t="s">
        <v>544</v>
      </c>
      <c r="X6" s="1243" t="s">
        <v>545</v>
      </c>
      <c r="Y6" s="1243" t="s">
        <v>546</v>
      </c>
      <c r="Z6" s="1243" t="s">
        <v>547</v>
      </c>
      <c r="AA6" s="1243" t="s">
        <v>548</v>
      </c>
      <c r="AB6" s="1243" t="s">
        <v>549</v>
      </c>
      <c r="AC6" s="1243" t="s">
        <v>550</v>
      </c>
      <c r="AD6" s="1243" t="s">
        <v>551</v>
      </c>
      <c r="AE6" s="1243" t="s">
        <v>552</v>
      </c>
      <c r="AF6" s="1243" t="s">
        <v>553</v>
      </c>
      <c r="AG6" s="1243" t="s">
        <v>554</v>
      </c>
      <c r="AH6" s="1038"/>
      <c r="AI6" s="1038"/>
      <c r="AJ6" s="1226"/>
      <c r="AK6" s="1226"/>
      <c r="AL6" s="1226"/>
      <c r="AM6" s="1226"/>
      <c r="AN6" s="1226"/>
      <c r="AO6" s="1226"/>
      <c r="AP6" s="1226"/>
      <c r="AQ6" s="1226"/>
      <c r="AR6" s="1226"/>
      <c r="AS6" s="1226"/>
      <c r="AT6" s="1038"/>
      <c r="AU6" s="1038"/>
      <c r="AV6" s="1038"/>
      <c r="AW6" s="1038"/>
      <c r="AX6" s="1038"/>
      <c r="AY6" s="1038"/>
      <c r="AZ6" s="1038"/>
      <c r="BA6" s="1038"/>
      <c r="BB6" s="1038"/>
      <c r="BC6" s="1038"/>
      <c r="BD6" s="1038"/>
      <c r="BE6" s="1038"/>
      <c r="BF6" s="1038"/>
      <c r="BG6" s="1038"/>
      <c r="BH6" s="1038"/>
      <c r="BI6" s="1038"/>
      <c r="BJ6" s="1038"/>
      <c r="BK6" s="1038"/>
      <c r="BL6" s="1038"/>
      <c r="BM6" s="1038"/>
      <c r="BN6" s="1038"/>
      <c r="BO6" s="1038"/>
      <c r="BP6" s="1038"/>
      <c r="BQ6" s="1038"/>
      <c r="BR6" s="1038"/>
      <c r="BS6" s="1038"/>
      <c r="BT6" s="1038"/>
      <c r="BU6" s="1038"/>
      <c r="BV6" s="1038"/>
      <c r="BW6" s="36"/>
      <c r="BX6" s="36"/>
      <c r="BY6" s="36"/>
      <c r="BZ6" s="36"/>
      <c r="CA6" s="36"/>
      <c r="CB6" s="36"/>
      <c r="CC6" s="36"/>
      <c r="CD6" s="36"/>
      <c r="CE6" s="36"/>
      <c r="CF6" s="36"/>
      <c r="CG6" s="36"/>
      <c r="CH6" s="36"/>
      <c r="CI6" s="36"/>
    </row>
    <row r="7" spans="1:87" s="3" customFormat="1" ht="15.95" customHeight="1" thickTop="1" thickBot="1">
      <c r="A7" s="1244" t="s">
        <v>137</v>
      </c>
      <c r="B7" s="1244" t="s">
        <v>30</v>
      </c>
      <c r="C7" s="1244" t="s">
        <v>147</v>
      </c>
      <c r="D7" s="1245" t="s">
        <v>186</v>
      </c>
      <c r="E7" s="1245" t="s">
        <v>187</v>
      </c>
      <c r="F7" s="1245" t="s">
        <v>188</v>
      </c>
      <c r="G7" s="1245" t="s">
        <v>189</v>
      </c>
      <c r="H7" s="1245" t="s">
        <v>11</v>
      </c>
      <c r="I7" s="1245" t="s">
        <v>190</v>
      </c>
      <c r="J7" s="1245" t="s">
        <v>191</v>
      </c>
      <c r="K7" s="1246" t="s">
        <v>192</v>
      </c>
      <c r="L7" s="1247" t="s">
        <v>203</v>
      </c>
      <c r="M7" s="1247" t="s">
        <v>42</v>
      </c>
      <c r="N7" s="1247" t="s">
        <v>148</v>
      </c>
      <c r="O7" s="1247" t="s">
        <v>193</v>
      </c>
      <c r="P7" s="1247" t="s">
        <v>142</v>
      </c>
      <c r="Q7" s="1247" t="s">
        <v>194</v>
      </c>
      <c r="R7" s="1248" t="s">
        <v>141</v>
      </c>
      <c r="S7" s="1249" t="s">
        <v>672</v>
      </c>
      <c r="T7" s="1048" t="s">
        <v>541</v>
      </c>
      <c r="U7" s="1102" t="s">
        <v>542</v>
      </c>
      <c r="V7" s="1102" t="s">
        <v>543</v>
      </c>
      <c r="W7" s="1102" t="s">
        <v>544</v>
      </c>
      <c r="X7" s="1102" t="s">
        <v>545</v>
      </c>
      <c r="Y7" s="1102" t="s">
        <v>546</v>
      </c>
      <c r="Z7" s="1102" t="s">
        <v>547</v>
      </c>
      <c r="AA7" s="1102" t="s">
        <v>548</v>
      </c>
      <c r="AB7" s="1102" t="s">
        <v>549</v>
      </c>
      <c r="AC7" s="1102" t="s">
        <v>550</v>
      </c>
      <c r="AD7" s="1102" t="s">
        <v>551</v>
      </c>
      <c r="AE7" s="1102" t="s">
        <v>552</v>
      </c>
      <c r="AF7" s="1102" t="s">
        <v>553</v>
      </c>
      <c r="AG7" s="1102" t="s">
        <v>554</v>
      </c>
      <c r="AH7" s="1038"/>
      <c r="AI7" s="1038"/>
      <c r="AJ7" s="1226"/>
      <c r="AK7" s="1226"/>
      <c r="AL7" s="1226"/>
      <c r="AM7" s="1226"/>
      <c r="AN7" s="1226"/>
      <c r="AO7" s="1226"/>
      <c r="AP7" s="1226"/>
      <c r="AQ7" s="1226"/>
      <c r="AR7" s="1226"/>
      <c r="AS7" s="1226"/>
      <c r="AT7" s="1038"/>
      <c r="AU7" s="1038"/>
      <c r="AV7" s="1038"/>
      <c r="AW7" s="1038"/>
      <c r="AX7" s="1038"/>
      <c r="AY7" s="1038"/>
      <c r="AZ7" s="1038"/>
      <c r="BA7" s="1038"/>
      <c r="BB7" s="1038"/>
      <c r="BC7" s="1038"/>
      <c r="BD7" s="1038"/>
      <c r="BE7" s="1038"/>
      <c r="BF7" s="1038"/>
      <c r="BG7" s="1038"/>
      <c r="BH7" s="1038"/>
      <c r="BI7" s="1038"/>
      <c r="BJ7" s="1038"/>
      <c r="BK7" s="1038"/>
      <c r="BL7" s="1038"/>
      <c r="BM7" s="1038"/>
      <c r="BN7" s="1038"/>
      <c r="BO7" s="1038"/>
      <c r="BP7" s="1038"/>
      <c r="BQ7" s="1038"/>
      <c r="BR7" s="1038"/>
      <c r="BS7" s="1038"/>
      <c r="BT7" s="1038"/>
      <c r="BU7" s="1038"/>
      <c r="BV7" s="1038"/>
      <c r="BW7" s="36"/>
      <c r="BX7" s="36"/>
      <c r="BY7" s="36"/>
      <c r="BZ7" s="36"/>
      <c r="CA7" s="36"/>
      <c r="CB7" s="36"/>
      <c r="CC7" s="36"/>
      <c r="CD7" s="36"/>
      <c r="CE7" s="36"/>
      <c r="CF7" s="36"/>
      <c r="CG7" s="36"/>
      <c r="CH7" s="36"/>
      <c r="CI7" s="36"/>
    </row>
    <row r="8" spans="1:87" ht="12" thickTop="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row>
    <row r="9" spans="1:87" ht="23.25"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row>
    <row r="10" spans="1:87">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row>
    <row r="11" spans="1:87" ht="18">
      <c r="A11" s="136"/>
      <c r="B11" s="136"/>
      <c r="C11" s="136"/>
      <c r="D11" s="137" t="s">
        <v>244</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row>
    <row r="12" spans="1:87">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row>
  </sheetData>
  <mergeCells count="3">
    <mergeCell ref="D6:G6"/>
    <mergeCell ref="H6:K6"/>
    <mergeCell ref="L6:S6"/>
  </mergeCells>
  <conditionalFormatting sqref="D5:AG5">
    <cfRule type="cellIs" dxfId="13" priority="1" operator="notBetween">
      <formula>-0.01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I549"/>
  <sheetViews>
    <sheetView tabSelected="1" workbookViewId="0">
      <selection activeCell="I28" sqref="I28"/>
    </sheetView>
  </sheetViews>
  <sheetFormatPr defaultColWidth="8.83203125" defaultRowHeight="11.25"/>
  <cols>
    <col min="1" max="1" width="4.83203125" style="277" customWidth="1"/>
    <col min="2" max="2" width="9.83203125" style="277" customWidth="1"/>
    <col min="3" max="11" width="9.83203125" customWidth="1"/>
    <col min="12" max="12" width="4.83203125" customWidth="1"/>
    <col min="13" max="13" width="6.83203125" customWidth="1"/>
    <col min="14" max="14" width="10.1640625" customWidth="1"/>
    <col min="15" max="15" width="14.83203125" customWidth="1"/>
    <col min="16" max="16" width="14.83203125" style="499" customWidth="1"/>
    <col min="17" max="17" width="15.83203125" customWidth="1"/>
    <col min="18" max="18" width="9.83203125" customWidth="1"/>
    <col min="19" max="19" width="4.83203125" customWidth="1"/>
    <col min="20" max="20" width="5.5" customWidth="1"/>
    <col min="21" max="21" width="7.1640625" customWidth="1"/>
    <col min="22" max="22" width="6.83203125" customWidth="1"/>
    <col min="23" max="33" width="9.83203125" customWidth="1"/>
    <col min="34" max="34" width="13.1640625" customWidth="1"/>
    <col min="35" max="35" width="9.83203125" style="499" customWidth="1"/>
    <col min="36" max="43" width="9.83203125" customWidth="1"/>
  </cols>
  <sheetData>
    <row r="1" spans="1:35" s="372" customFormat="1" ht="18" customHeight="1">
      <c r="A1" s="390"/>
      <c r="B1" s="1515" t="s">
        <v>376</v>
      </c>
      <c r="C1" s="1515"/>
      <c r="D1" s="1515"/>
      <c r="E1" s="1515"/>
      <c r="F1" s="1515"/>
      <c r="G1" s="1515"/>
      <c r="H1" s="1515"/>
      <c r="I1" s="1515"/>
      <c r="J1" s="1515"/>
      <c r="K1" s="1515"/>
      <c r="L1" s="390"/>
      <c r="M1" s="1522"/>
      <c r="N1" s="1523"/>
      <c r="O1" s="1523"/>
      <c r="P1" s="1523"/>
      <c r="Q1" s="1523"/>
      <c r="R1" s="1523"/>
      <c r="S1" s="1523"/>
      <c r="T1" s="1523"/>
      <c r="U1" s="1523"/>
      <c r="V1" s="1524"/>
      <c r="AI1" s="499"/>
    </row>
    <row r="2" spans="1:35" ht="20.100000000000001" customHeight="1">
      <c r="A2" s="1529" t="s">
        <v>376</v>
      </c>
      <c r="B2" s="1530" t="s">
        <v>208</v>
      </c>
      <c r="C2" s="1530"/>
      <c r="D2" s="1530"/>
      <c r="E2" s="1530"/>
      <c r="F2" s="1530"/>
      <c r="G2" s="1530"/>
      <c r="H2" s="1530"/>
      <c r="I2" s="1530"/>
      <c r="J2" s="1530"/>
      <c r="K2" s="1530"/>
      <c r="L2" s="1529" t="s">
        <v>376</v>
      </c>
      <c r="M2" s="397" t="str">
        <f>N40</f>
        <v>GA</v>
      </c>
      <c r="N2" s="1525" t="s">
        <v>217</v>
      </c>
      <c r="O2" s="1525"/>
      <c r="P2" s="1525"/>
      <c r="Q2" s="1525"/>
      <c r="R2" s="1525"/>
      <c r="S2" s="1525"/>
      <c r="T2" s="1525"/>
      <c r="U2" s="1525"/>
      <c r="V2" s="398"/>
    </row>
    <row r="3" spans="1:35" ht="15.95" customHeight="1">
      <c r="A3" s="1529"/>
      <c r="B3" s="391"/>
      <c r="C3" s="391"/>
      <c r="D3" s="391"/>
      <c r="E3" s="391"/>
      <c r="F3" s="391"/>
      <c r="G3" s="391"/>
      <c r="H3" s="391"/>
      <c r="I3" s="391"/>
      <c r="J3" s="391"/>
      <c r="K3" s="391"/>
      <c r="L3" s="1529"/>
      <c r="M3" s="1499" t="s">
        <v>380</v>
      </c>
      <c r="N3" s="1500"/>
      <c r="O3" s="1500"/>
      <c r="P3" s="1500"/>
      <c r="Q3" s="1500"/>
      <c r="R3" s="1500"/>
      <c r="S3" s="1500"/>
      <c r="T3" s="1500"/>
      <c r="U3" s="1500"/>
      <c r="V3" s="1501"/>
    </row>
    <row r="4" spans="1:35" s="372" customFormat="1" ht="15.95" customHeight="1">
      <c r="A4" s="1529"/>
      <c r="B4" s="391"/>
      <c r="C4" s="514" t="s">
        <v>468</v>
      </c>
      <c r="D4" s="391"/>
      <c r="E4" s="391"/>
      <c r="F4" s="391"/>
      <c r="G4" s="391"/>
      <c r="H4" s="391"/>
      <c r="I4" s="391"/>
      <c r="J4" s="391"/>
      <c r="K4" s="391"/>
      <c r="L4" s="1529"/>
      <c r="M4" s="1502"/>
      <c r="N4" s="1503"/>
      <c r="O4" s="1503"/>
      <c r="P4" s="1503"/>
      <c r="Q4" s="1503"/>
      <c r="R4" s="1503"/>
      <c r="S4" s="1503"/>
      <c r="T4" s="1503"/>
      <c r="U4" s="1503"/>
      <c r="V4" s="1504"/>
      <c r="AI4" s="499"/>
    </row>
    <row r="5" spans="1:35" s="372" customFormat="1" ht="15.95" customHeight="1">
      <c r="A5" s="1529"/>
      <c r="B5" s="391"/>
      <c r="C5" s="514" t="s">
        <v>469</v>
      </c>
      <c r="D5" s="391"/>
      <c r="E5" s="391"/>
      <c r="F5" s="391"/>
      <c r="G5" s="391"/>
      <c r="H5" s="391"/>
      <c r="I5" s="391"/>
      <c r="J5" s="391"/>
      <c r="K5" s="391"/>
      <c r="L5" s="1529"/>
      <c r="M5" s="1502"/>
      <c r="N5" s="1503"/>
      <c r="O5" s="1503"/>
      <c r="P5" s="1503"/>
      <c r="Q5" s="1503"/>
      <c r="R5" s="1503"/>
      <c r="S5" s="1503"/>
      <c r="T5" s="1503"/>
      <c r="U5" s="1503"/>
      <c r="V5" s="1504"/>
      <c r="AI5" s="499"/>
    </row>
    <row r="6" spans="1:35" s="372" customFormat="1" ht="15.95" customHeight="1">
      <c r="A6" s="1529"/>
      <c r="B6" s="391"/>
      <c r="C6" s="391"/>
      <c r="D6" s="391"/>
      <c r="E6" s="391"/>
      <c r="F6" s="391"/>
      <c r="G6" s="391"/>
      <c r="H6" s="391"/>
      <c r="I6" s="391"/>
      <c r="J6" s="391"/>
      <c r="K6" s="391"/>
      <c r="L6" s="1529"/>
      <c r="M6" s="1502"/>
      <c r="N6" s="1503"/>
      <c r="O6" s="1503"/>
      <c r="P6" s="1503"/>
      <c r="Q6" s="1503"/>
      <c r="R6" s="1503"/>
      <c r="S6" s="1503"/>
      <c r="T6" s="1503"/>
      <c r="U6" s="1503"/>
      <c r="V6" s="1504"/>
      <c r="AI6" s="499"/>
    </row>
    <row r="7" spans="1:35" ht="15.95" customHeight="1">
      <c r="A7" s="1529"/>
      <c r="B7" s="391"/>
      <c r="C7" s="391"/>
      <c r="D7" s="391"/>
      <c r="E7" s="391"/>
      <c r="F7" s="391"/>
      <c r="G7" s="391"/>
      <c r="H7" s="391"/>
      <c r="I7" s="391"/>
      <c r="J7" s="391"/>
      <c r="K7" s="391"/>
      <c r="L7" s="1529"/>
      <c r="M7" s="1502"/>
      <c r="N7" s="1503"/>
      <c r="O7" s="1503"/>
      <c r="P7" s="1503"/>
      <c r="Q7" s="1503"/>
      <c r="R7" s="1503"/>
      <c r="S7" s="1503"/>
      <c r="T7" s="1503"/>
      <c r="U7" s="1503"/>
      <c r="V7" s="1504"/>
    </row>
    <row r="8" spans="1:35" ht="15.95" customHeight="1">
      <c r="A8" s="1529"/>
      <c r="B8" s="391"/>
      <c r="C8" s="391"/>
      <c r="D8" s="391"/>
      <c r="E8" s="391"/>
      <c r="F8" s="391"/>
      <c r="G8" s="391"/>
      <c r="H8" s="391"/>
      <c r="I8" s="391"/>
      <c r="J8" s="391"/>
      <c r="K8" s="391"/>
      <c r="L8" s="1529"/>
      <c r="M8" s="1502"/>
      <c r="N8" s="1503"/>
      <c r="O8" s="1503"/>
      <c r="P8" s="1503"/>
      <c r="Q8" s="1503"/>
      <c r="R8" s="1503"/>
      <c r="S8" s="1503"/>
      <c r="T8" s="1503"/>
      <c r="U8" s="1503"/>
      <c r="V8" s="1504"/>
    </row>
    <row r="9" spans="1:35" ht="15.95" customHeight="1">
      <c r="A9" s="1529"/>
      <c r="B9" s="391"/>
      <c r="C9" s="391"/>
      <c r="D9" s="391"/>
      <c r="E9" s="391"/>
      <c r="F9" s="391"/>
      <c r="G9" s="391"/>
      <c r="H9" s="391"/>
      <c r="I9" s="391"/>
      <c r="J9" s="391"/>
      <c r="K9" s="391"/>
      <c r="L9" s="1529"/>
      <c r="M9" s="1505"/>
      <c r="N9" s="1506"/>
      <c r="O9" s="1506"/>
      <c r="P9" s="1506"/>
      <c r="Q9" s="1506"/>
      <c r="R9" s="1506"/>
      <c r="S9" s="1506"/>
      <c r="T9" s="1506"/>
      <c r="U9" s="1506"/>
      <c r="V9" s="1507"/>
    </row>
    <row r="10" spans="1:35" ht="15.95" customHeight="1">
      <c r="A10" s="1529"/>
      <c r="B10" s="391"/>
      <c r="C10" s="391"/>
      <c r="D10" s="391"/>
      <c r="E10" s="391"/>
      <c r="F10" s="391"/>
      <c r="G10" s="391"/>
      <c r="H10" s="391"/>
      <c r="I10" s="391"/>
      <c r="J10" s="391"/>
      <c r="K10" s="391"/>
      <c r="L10" s="1529"/>
      <c r="M10" s="1508"/>
      <c r="N10" s="1509"/>
      <c r="O10" s="1509"/>
      <c r="P10" s="1509"/>
      <c r="Q10" s="1509"/>
      <c r="R10" s="1509"/>
      <c r="S10" s="1509"/>
      <c r="T10" s="1509"/>
      <c r="U10" s="1509"/>
      <c r="V10" s="1510"/>
    </row>
    <row r="11" spans="1:35" ht="15.95" customHeight="1">
      <c r="A11" s="1529"/>
      <c r="B11" s="391"/>
      <c r="C11" s="391"/>
      <c r="D11" s="391"/>
      <c r="E11" s="391"/>
      <c r="F11" s="391"/>
      <c r="G11" s="391"/>
      <c r="H11" s="391"/>
      <c r="I11" s="391"/>
      <c r="J11" s="391"/>
      <c r="K11" s="391"/>
      <c r="L11" s="1529"/>
      <c r="M11" s="1502"/>
      <c r="N11" s="1503"/>
      <c r="O11" s="1503"/>
      <c r="P11" s="1503"/>
      <c r="Q11" s="1503"/>
      <c r="R11" s="1503"/>
      <c r="S11" s="1503"/>
      <c r="T11" s="1503"/>
      <c r="U11" s="1503"/>
      <c r="V11" s="1504"/>
    </row>
    <row r="12" spans="1:35" s="372" customFormat="1" ht="15.95" customHeight="1">
      <c r="A12" s="1529"/>
      <c r="B12" s="391"/>
      <c r="C12" s="391"/>
      <c r="D12" s="391"/>
      <c r="E12" s="391"/>
      <c r="F12" s="391"/>
      <c r="G12" s="391"/>
      <c r="H12" s="391"/>
      <c r="I12" s="391"/>
      <c r="J12" s="391"/>
      <c r="K12" s="391"/>
      <c r="L12" s="1529"/>
      <c r="M12" s="1502"/>
      <c r="N12" s="1503"/>
      <c r="O12" s="1503"/>
      <c r="P12" s="1503"/>
      <c r="Q12" s="1503"/>
      <c r="R12" s="1503"/>
      <c r="S12" s="1503"/>
      <c r="T12" s="1503"/>
      <c r="U12" s="1503"/>
      <c r="V12" s="1504"/>
      <c r="AI12" s="499"/>
    </row>
    <row r="13" spans="1:35" s="372" customFormat="1" ht="15.95" customHeight="1">
      <c r="A13" s="1529"/>
      <c r="B13" s="391"/>
      <c r="C13" s="391"/>
      <c r="D13" s="391"/>
      <c r="E13" s="391"/>
      <c r="F13" s="391"/>
      <c r="G13" s="391"/>
      <c r="H13" s="391"/>
      <c r="I13" s="391"/>
      <c r="J13" s="391"/>
      <c r="K13" s="391"/>
      <c r="L13" s="1529"/>
      <c r="M13" s="1502"/>
      <c r="N13" s="1503"/>
      <c r="O13" s="1503"/>
      <c r="P13" s="1503"/>
      <c r="Q13" s="1503"/>
      <c r="R13" s="1503"/>
      <c r="S13" s="1503"/>
      <c r="T13" s="1503"/>
      <c r="U13" s="1503"/>
      <c r="V13" s="1504"/>
      <c r="AI13" s="499"/>
    </row>
    <row r="14" spans="1:35" s="372" customFormat="1" ht="15.95" customHeight="1">
      <c r="A14" s="1529"/>
      <c r="B14" s="391"/>
      <c r="C14" s="391"/>
      <c r="D14" s="391"/>
      <c r="E14" s="391"/>
      <c r="F14" s="391"/>
      <c r="G14" s="391"/>
      <c r="H14" s="391"/>
      <c r="I14" s="391"/>
      <c r="J14" s="391"/>
      <c r="K14" s="391"/>
      <c r="L14" s="1529"/>
      <c r="M14" s="1502"/>
      <c r="N14" s="1503"/>
      <c r="O14" s="1503"/>
      <c r="P14" s="1503"/>
      <c r="Q14" s="1503"/>
      <c r="R14" s="1503"/>
      <c r="S14" s="1503"/>
      <c r="T14" s="1503"/>
      <c r="U14" s="1503"/>
      <c r="V14" s="1504"/>
      <c r="AI14" s="499"/>
    </row>
    <row r="15" spans="1:35" ht="15.95" customHeight="1">
      <c r="A15" s="1529"/>
      <c r="B15" s="391"/>
      <c r="C15" s="391"/>
      <c r="D15" s="391"/>
      <c r="E15" s="391"/>
      <c r="F15" s="391"/>
      <c r="G15" s="391"/>
      <c r="H15" s="391"/>
      <c r="I15" s="391"/>
      <c r="J15" s="391"/>
      <c r="K15" s="391"/>
      <c r="L15" s="1529"/>
      <c r="M15" s="1502"/>
      <c r="N15" s="1503"/>
      <c r="O15" s="1503"/>
      <c r="P15" s="1503"/>
      <c r="Q15" s="1503"/>
      <c r="R15" s="1503"/>
      <c r="S15" s="1503"/>
      <c r="T15" s="1503"/>
      <c r="U15" s="1503"/>
      <c r="V15" s="1504"/>
    </row>
    <row r="16" spans="1:35" ht="15.95" customHeight="1">
      <c r="A16" s="1529"/>
      <c r="B16" s="391"/>
      <c r="C16" s="391"/>
      <c r="D16" s="391"/>
      <c r="E16" s="391"/>
      <c r="F16" s="391"/>
      <c r="G16" s="391"/>
      <c r="H16" s="391"/>
      <c r="I16" s="391"/>
      <c r="J16" s="391"/>
      <c r="K16" s="391"/>
      <c r="L16" s="1529"/>
      <c r="M16" s="1511"/>
      <c r="N16" s="1512"/>
      <c r="O16" s="1512"/>
      <c r="P16" s="1512"/>
      <c r="Q16" s="1512"/>
      <c r="R16" s="1512"/>
      <c r="S16" s="1512"/>
      <c r="T16" s="1512"/>
      <c r="U16" s="1512"/>
      <c r="V16" s="1513"/>
    </row>
    <row r="17" spans="1:33" ht="15.95" customHeight="1">
      <c r="A17" s="1529"/>
      <c r="B17" s="391"/>
      <c r="C17" s="391"/>
      <c r="D17" s="391"/>
      <c r="E17" s="391"/>
      <c r="F17" s="391"/>
      <c r="G17" s="391"/>
      <c r="H17" s="391"/>
      <c r="I17" s="391"/>
      <c r="J17" s="391"/>
      <c r="K17" s="391"/>
      <c r="L17" s="1529"/>
      <c r="M17" s="1488"/>
      <c r="N17" s="1489"/>
      <c r="O17" s="1489"/>
      <c r="P17" s="1489"/>
      <c r="Q17" s="1489"/>
      <c r="R17" s="1489"/>
      <c r="S17" s="1489"/>
      <c r="T17" s="1489"/>
      <c r="U17" s="1489"/>
      <c r="V17" s="1490"/>
    </row>
    <row r="18" spans="1:33" ht="15.95" customHeight="1">
      <c r="A18" s="1529"/>
      <c r="B18" s="391"/>
      <c r="C18" s="391"/>
      <c r="D18" s="391"/>
      <c r="E18" s="391"/>
      <c r="F18" s="391"/>
      <c r="G18" s="391"/>
      <c r="H18" s="391"/>
      <c r="I18" s="391"/>
      <c r="J18" s="391"/>
      <c r="K18" s="391"/>
      <c r="L18" s="1529"/>
      <c r="M18" s="1491"/>
      <c r="N18" s="1492"/>
      <c r="O18" s="1492"/>
      <c r="P18" s="1492"/>
      <c r="Q18" s="1492"/>
      <c r="R18" s="1492"/>
      <c r="S18" s="1492"/>
      <c r="T18" s="1492"/>
      <c r="U18" s="1492"/>
      <c r="V18" s="1493"/>
    </row>
    <row r="19" spans="1:33" ht="15.95" customHeight="1">
      <c r="A19" s="1529"/>
      <c r="B19" s="391"/>
      <c r="C19" s="391"/>
      <c r="D19" s="391"/>
      <c r="E19" s="391"/>
      <c r="F19" s="391"/>
      <c r="G19" s="391"/>
      <c r="H19" s="391"/>
      <c r="I19" s="391"/>
      <c r="J19" s="391"/>
      <c r="K19" s="391"/>
      <c r="L19" s="1529"/>
      <c r="M19" s="1491"/>
      <c r="N19" s="1492"/>
      <c r="O19" s="1492"/>
      <c r="P19" s="1492"/>
      <c r="Q19" s="1492"/>
      <c r="R19" s="1492"/>
      <c r="S19" s="1492"/>
      <c r="T19" s="1492"/>
      <c r="U19" s="1492"/>
      <c r="V19" s="1493"/>
    </row>
    <row r="20" spans="1:33" ht="15.95" customHeight="1">
      <c r="A20" s="1529"/>
      <c r="B20" s="391"/>
      <c r="C20" s="514" t="s">
        <v>470</v>
      </c>
      <c r="D20" s="391"/>
      <c r="E20" s="391"/>
      <c r="F20" s="391"/>
      <c r="G20" s="391"/>
      <c r="H20" s="391"/>
      <c r="I20" s="391"/>
      <c r="J20" s="391"/>
      <c r="K20" s="391"/>
      <c r="L20" s="1529"/>
      <c r="M20" s="1491"/>
      <c r="N20" s="1492"/>
      <c r="O20" s="1492"/>
      <c r="P20" s="1492"/>
      <c r="Q20" s="1492"/>
      <c r="R20" s="1492"/>
      <c r="S20" s="1492"/>
      <c r="T20" s="1492"/>
      <c r="U20" s="1492"/>
      <c r="V20" s="1493"/>
    </row>
    <row r="21" spans="1:33" ht="15.95" customHeight="1">
      <c r="A21" s="1529"/>
      <c r="B21" s="391"/>
      <c r="C21" s="514" t="s">
        <v>471</v>
      </c>
      <c r="D21" s="391"/>
      <c r="E21" s="391"/>
      <c r="F21" s="391"/>
      <c r="G21" s="391"/>
      <c r="H21" s="391"/>
      <c r="I21" s="391"/>
      <c r="J21" s="391"/>
      <c r="K21" s="391"/>
      <c r="L21" s="1529"/>
      <c r="M21" s="1491"/>
      <c r="N21" s="1492"/>
      <c r="O21" s="1492"/>
      <c r="P21" s="1492"/>
      <c r="Q21" s="1492"/>
      <c r="R21" s="1492"/>
      <c r="S21" s="1492"/>
      <c r="T21" s="1492"/>
      <c r="U21" s="1492"/>
      <c r="V21" s="1493"/>
    </row>
    <row r="22" spans="1:33" ht="15.95" customHeight="1">
      <c r="A22" s="1529"/>
      <c r="B22" s="391"/>
      <c r="C22" s="514" t="s">
        <v>472</v>
      </c>
      <c r="D22" s="391"/>
      <c r="E22" s="391"/>
      <c r="F22" s="391"/>
      <c r="G22" s="391"/>
      <c r="H22" s="391"/>
      <c r="I22" s="391"/>
      <c r="J22" s="391"/>
      <c r="K22" s="391"/>
      <c r="L22" s="1529"/>
      <c r="M22" s="1491"/>
      <c r="N22" s="1492"/>
      <c r="O22" s="1492"/>
      <c r="P22" s="1492"/>
      <c r="Q22" s="1492"/>
      <c r="R22" s="1492"/>
      <c r="S22" s="1492"/>
      <c r="T22" s="1492"/>
      <c r="U22" s="1492"/>
      <c r="V22" s="1493"/>
    </row>
    <row r="23" spans="1:33" ht="15.95" customHeight="1">
      <c r="A23" s="1529"/>
      <c r="B23" s="391"/>
      <c r="C23" s="391"/>
      <c r="D23" s="391"/>
      <c r="E23" s="391"/>
      <c r="F23" s="391"/>
      <c r="G23" s="391"/>
      <c r="H23" s="391"/>
      <c r="I23" s="391"/>
      <c r="J23" s="391"/>
      <c r="K23" s="391"/>
      <c r="L23" s="1529"/>
      <c r="M23" s="1491"/>
      <c r="N23" s="1492"/>
      <c r="O23" s="1492"/>
      <c r="P23" s="1492"/>
      <c r="Q23" s="1492"/>
      <c r="R23" s="1492"/>
      <c r="S23" s="1492"/>
      <c r="T23" s="1492"/>
      <c r="U23" s="1492"/>
      <c r="V23" s="1493"/>
    </row>
    <row r="24" spans="1:33" ht="15.95" customHeight="1">
      <c r="A24" s="1529"/>
      <c r="B24" s="391"/>
      <c r="C24" s="391"/>
      <c r="D24" s="391"/>
      <c r="E24" s="391"/>
      <c r="F24" s="391"/>
      <c r="G24" s="391"/>
      <c r="H24" s="391"/>
      <c r="I24" s="391"/>
      <c r="J24" s="391"/>
      <c r="K24" s="391"/>
      <c r="L24" s="1529"/>
      <c r="M24" s="1491"/>
      <c r="N24" s="1492"/>
      <c r="O24" s="1492"/>
      <c r="P24" s="1492"/>
      <c r="Q24" s="1492"/>
      <c r="R24" s="1492"/>
      <c r="S24" s="1492"/>
      <c r="T24" s="1492"/>
      <c r="U24" s="1492"/>
      <c r="V24" s="1493"/>
      <c r="X24" s="377"/>
      <c r="Y24" s="377"/>
      <c r="Z24" s="377"/>
      <c r="AA24" s="377"/>
      <c r="AB24" s="377"/>
      <c r="AC24" s="377"/>
      <c r="AD24" s="377"/>
      <c r="AE24" s="377"/>
      <c r="AF24" s="377"/>
      <c r="AG24" s="499"/>
    </row>
    <row r="25" spans="1:33" ht="15.95" customHeight="1">
      <c r="A25" s="1529"/>
      <c r="B25" s="391"/>
      <c r="C25" s="391"/>
      <c r="D25" s="391"/>
      <c r="E25" s="391"/>
      <c r="F25" s="391"/>
      <c r="G25" s="391"/>
      <c r="H25" s="391"/>
      <c r="I25" s="391"/>
      <c r="J25" s="391"/>
      <c r="K25" s="391"/>
      <c r="L25" s="1529"/>
      <c r="M25" s="1491"/>
      <c r="N25" s="1492"/>
      <c r="O25" s="1492"/>
      <c r="P25" s="1492"/>
      <c r="Q25" s="1492"/>
      <c r="R25" s="1492"/>
      <c r="S25" s="1492"/>
      <c r="T25" s="1492"/>
      <c r="U25" s="1492"/>
      <c r="V25" s="1493"/>
      <c r="X25" s="509"/>
      <c r="Y25" s="510"/>
      <c r="Z25" s="510"/>
      <c r="AA25" s="510"/>
      <c r="AB25" s="377"/>
      <c r="AC25" s="377"/>
      <c r="AD25" s="377"/>
      <c r="AE25" s="377"/>
      <c r="AF25" s="377"/>
      <c r="AG25" s="499"/>
    </row>
    <row r="26" spans="1:33" ht="15.95" customHeight="1">
      <c r="A26" s="1529"/>
      <c r="B26" s="391"/>
      <c r="C26" s="391"/>
      <c r="D26" s="391"/>
      <c r="E26" s="391"/>
      <c r="F26" s="391"/>
      <c r="G26" s="391"/>
      <c r="H26" s="391"/>
      <c r="I26" s="391"/>
      <c r="J26" s="391"/>
      <c r="K26" s="391"/>
      <c r="L26" s="1529"/>
      <c r="M26" s="1491"/>
      <c r="N26" s="1492"/>
      <c r="O26" s="1492"/>
      <c r="P26" s="1492"/>
      <c r="Q26" s="1492"/>
      <c r="R26" s="1492"/>
      <c r="S26" s="1492"/>
      <c r="T26" s="1492"/>
      <c r="U26" s="1492"/>
      <c r="V26" s="1493"/>
      <c r="X26" s="509"/>
      <c r="Y26" s="510"/>
      <c r="Z26" s="510"/>
      <c r="AA26" s="510"/>
      <c r="AB26" s="377"/>
      <c r="AC26" s="377"/>
      <c r="AD26" s="377"/>
      <c r="AE26" s="377"/>
      <c r="AF26" s="377"/>
      <c r="AG26" s="499"/>
    </row>
    <row r="27" spans="1:33" s="372" customFormat="1" ht="15.95" customHeight="1">
      <c r="A27" s="1529"/>
      <c r="B27" s="391"/>
      <c r="C27" s="508"/>
      <c r="D27" s="508"/>
      <c r="E27" s="508"/>
      <c r="F27" s="508"/>
      <c r="G27" s="508"/>
      <c r="H27" s="508"/>
      <c r="I27" s="508"/>
      <c r="J27" s="508"/>
      <c r="K27" s="391"/>
      <c r="L27" s="1529"/>
      <c r="M27" s="1491"/>
      <c r="N27" s="1492"/>
      <c r="O27" s="1492"/>
      <c r="P27" s="1492"/>
      <c r="Q27" s="1492"/>
      <c r="R27" s="1492"/>
      <c r="S27" s="1492"/>
      <c r="T27" s="1492"/>
      <c r="U27" s="1492"/>
      <c r="V27" s="1493"/>
      <c r="X27" s="511"/>
      <c r="Y27" s="512"/>
      <c r="Z27" s="512"/>
      <c r="AA27" s="513"/>
      <c r="AB27" s="377"/>
      <c r="AC27" s="377"/>
      <c r="AD27" s="377"/>
      <c r="AE27" s="377"/>
      <c r="AF27" s="377"/>
    </row>
    <row r="28" spans="1:33" s="372" customFormat="1" ht="15.95" customHeight="1">
      <c r="A28" s="1529"/>
      <c r="B28" s="391"/>
      <c r="C28" s="508"/>
      <c r="D28" s="508"/>
      <c r="E28" s="508"/>
      <c r="F28" s="508"/>
      <c r="G28" s="508"/>
      <c r="H28" s="508"/>
      <c r="I28" s="508"/>
      <c r="J28" s="508"/>
      <c r="K28" s="391"/>
      <c r="L28" s="1529"/>
      <c r="M28" s="1494"/>
      <c r="N28" s="1495"/>
      <c r="O28" s="1495"/>
      <c r="P28" s="1495"/>
      <c r="Q28" s="1495"/>
      <c r="R28" s="1495"/>
      <c r="S28" s="1495"/>
      <c r="T28" s="1495"/>
      <c r="U28" s="1495"/>
      <c r="V28" s="1496"/>
      <c r="X28" s="511"/>
      <c r="Y28" s="512"/>
      <c r="Z28" s="512"/>
      <c r="AA28" s="513"/>
      <c r="AB28" s="377"/>
      <c r="AC28" s="377"/>
      <c r="AD28" s="377"/>
      <c r="AE28" s="377"/>
      <c r="AF28" s="377"/>
    </row>
    <row r="29" spans="1:33" s="372" customFormat="1" ht="15.95" customHeight="1">
      <c r="A29" s="1529"/>
      <c r="B29" s="391"/>
      <c r="C29" s="508"/>
      <c r="D29" s="508"/>
      <c r="E29" s="508"/>
      <c r="F29" s="508"/>
      <c r="G29" s="508"/>
      <c r="H29" s="508"/>
      <c r="I29" s="508"/>
      <c r="J29" s="508"/>
      <c r="K29" s="391"/>
      <c r="L29" s="1529"/>
      <c r="M29" s="1526" t="s">
        <v>418</v>
      </c>
      <c r="N29" s="1527"/>
      <c r="O29" s="1527"/>
      <c r="P29" s="1527"/>
      <c r="Q29" s="1527"/>
      <c r="R29" s="1527"/>
      <c r="S29" s="1527"/>
      <c r="T29" s="1527"/>
      <c r="U29" s="1527"/>
      <c r="V29" s="1528"/>
      <c r="X29" s="511"/>
      <c r="Y29" s="512"/>
      <c r="Z29" s="512"/>
      <c r="AA29" s="513"/>
      <c r="AB29" s="377"/>
      <c r="AC29" s="377"/>
      <c r="AD29" s="377"/>
      <c r="AE29" s="377"/>
      <c r="AF29" s="377"/>
    </row>
    <row r="30" spans="1:33" s="372" customFormat="1" ht="15.95" customHeight="1">
      <c r="A30" s="1529"/>
      <c r="B30" s="391"/>
      <c r="C30" s="508"/>
      <c r="D30" s="508"/>
      <c r="E30" s="508"/>
      <c r="F30" s="508"/>
      <c r="G30" s="508"/>
      <c r="H30" s="508"/>
      <c r="I30" s="508"/>
      <c r="J30" s="508"/>
      <c r="K30" s="391"/>
      <c r="L30" s="1529"/>
      <c r="M30" s="1516"/>
      <c r="N30" s="1517"/>
      <c r="O30" s="1517"/>
      <c r="P30" s="1517"/>
      <c r="Q30" s="1517"/>
      <c r="R30" s="1517"/>
      <c r="S30" s="1517"/>
      <c r="T30" s="1517"/>
      <c r="U30" s="1517"/>
      <c r="V30" s="1518"/>
      <c r="X30" s="377"/>
      <c r="Y30" s="377"/>
      <c r="Z30" s="377"/>
      <c r="AA30" s="377"/>
      <c r="AB30" s="377"/>
      <c r="AC30" s="377"/>
      <c r="AD30" s="377"/>
      <c r="AE30" s="377"/>
      <c r="AF30" s="377"/>
    </row>
    <row r="31" spans="1:33" ht="15.95" customHeight="1">
      <c r="A31" s="1529"/>
      <c r="B31" s="391"/>
      <c r="C31" s="508"/>
      <c r="D31" s="508"/>
      <c r="E31" s="508"/>
      <c r="F31" s="508"/>
      <c r="G31" s="508"/>
      <c r="H31" s="508"/>
      <c r="I31" s="508"/>
      <c r="J31" s="508"/>
      <c r="K31" s="391"/>
      <c r="L31" s="1529"/>
      <c r="M31" s="1516"/>
      <c r="N31" s="1517"/>
      <c r="O31" s="1517"/>
      <c r="P31" s="1517"/>
      <c r="Q31" s="1517"/>
      <c r="R31" s="1517"/>
      <c r="S31" s="1517"/>
      <c r="T31" s="1517"/>
      <c r="U31" s="1517"/>
      <c r="V31" s="1518"/>
      <c r="X31" s="377"/>
      <c r="Y31" s="377"/>
      <c r="Z31" s="377"/>
      <c r="AA31" s="377"/>
      <c r="AB31" s="377"/>
      <c r="AC31" s="377"/>
      <c r="AD31" s="377"/>
      <c r="AE31" s="377"/>
      <c r="AF31" s="377"/>
    </row>
    <row r="32" spans="1:33" ht="15.95" customHeight="1">
      <c r="A32" s="1529"/>
      <c r="B32" s="391"/>
      <c r="C32" s="508"/>
      <c r="D32" s="508"/>
      <c r="E32" s="508"/>
      <c r="F32" s="508"/>
      <c r="G32" s="508"/>
      <c r="H32" s="508"/>
      <c r="I32" s="508"/>
      <c r="J32" s="508"/>
      <c r="K32" s="391"/>
      <c r="L32" s="1529"/>
      <c r="M32" s="1516"/>
      <c r="N32" s="1517"/>
      <c r="O32" s="1517"/>
      <c r="P32" s="1517"/>
      <c r="Q32" s="1517"/>
      <c r="R32" s="1517"/>
      <c r="S32" s="1517"/>
      <c r="T32" s="1517"/>
      <c r="U32" s="1517"/>
      <c r="V32" s="1518"/>
      <c r="X32" s="377"/>
      <c r="Y32" s="377"/>
      <c r="Z32" s="377"/>
      <c r="AA32" s="377"/>
      <c r="AB32" s="377"/>
      <c r="AC32" s="377"/>
      <c r="AD32" s="377"/>
      <c r="AE32" s="377"/>
      <c r="AF32" s="377"/>
    </row>
    <row r="33" spans="1:32" ht="15.95" customHeight="1">
      <c r="A33" s="1529"/>
      <c r="B33" s="391"/>
      <c r="C33" s="508"/>
      <c r="D33" s="508"/>
      <c r="E33" s="508"/>
      <c r="F33" s="508"/>
      <c r="G33" s="508"/>
      <c r="H33" s="508"/>
      <c r="I33" s="508"/>
      <c r="J33" s="508"/>
      <c r="K33" s="391"/>
      <c r="L33" s="1529"/>
      <c r="M33" s="482"/>
      <c r="N33" s="483"/>
      <c r="O33" s="483"/>
      <c r="P33" s="483"/>
      <c r="Q33" s="483"/>
      <c r="R33" s="483"/>
      <c r="S33" s="483"/>
      <c r="T33" s="483"/>
      <c r="U33" s="483"/>
      <c r="V33" s="484"/>
      <c r="X33" s="377"/>
      <c r="Y33" s="377"/>
      <c r="Z33" s="377"/>
      <c r="AA33" s="377"/>
      <c r="AB33" s="377"/>
      <c r="AC33" s="377"/>
      <c r="AD33" s="377"/>
      <c r="AE33" s="377"/>
      <c r="AF33" s="377"/>
    </row>
    <row r="34" spans="1:32" ht="15.95" customHeight="1">
      <c r="A34" s="1529"/>
      <c r="B34" s="391"/>
      <c r="C34" s="508"/>
      <c r="D34" s="508"/>
      <c r="E34" s="508"/>
      <c r="F34" s="508"/>
      <c r="G34" s="508"/>
      <c r="H34" s="508"/>
      <c r="I34" s="508"/>
      <c r="J34" s="508"/>
      <c r="K34" s="391"/>
      <c r="L34" s="1529"/>
      <c r="M34" s="1519"/>
      <c r="N34" s="1520"/>
      <c r="O34" s="1520"/>
      <c r="P34" s="1520"/>
      <c r="Q34" s="1520"/>
      <c r="R34" s="1520"/>
      <c r="S34" s="1520"/>
      <c r="T34" s="1520"/>
      <c r="U34" s="1520"/>
      <c r="V34" s="1521"/>
      <c r="X34" s="377"/>
      <c r="Y34" s="377"/>
      <c r="Z34" s="377"/>
      <c r="AA34" s="377"/>
      <c r="AB34" s="377"/>
      <c r="AC34" s="377"/>
      <c r="AD34" s="377"/>
      <c r="AE34" s="377"/>
      <c r="AF34" s="377"/>
    </row>
    <row r="35" spans="1:32" ht="15.95" customHeight="1">
      <c r="A35" s="1529"/>
      <c r="B35" s="391"/>
      <c r="C35" s="391"/>
      <c r="D35" s="391"/>
      <c r="E35" s="391"/>
      <c r="F35" s="391"/>
      <c r="G35" s="391"/>
      <c r="H35" s="391"/>
      <c r="I35" s="391"/>
      <c r="J35" s="391"/>
      <c r="K35" s="391"/>
      <c r="L35" s="1529"/>
      <c r="M35" s="1519"/>
      <c r="N35" s="1520"/>
      <c r="O35" s="1520"/>
      <c r="P35" s="1520"/>
      <c r="Q35" s="1520"/>
      <c r="R35" s="1520"/>
      <c r="S35" s="1520"/>
      <c r="T35" s="1520"/>
      <c r="U35" s="1520"/>
      <c r="V35" s="1521"/>
      <c r="X35" s="377"/>
      <c r="Y35" s="377"/>
      <c r="Z35" s="377"/>
      <c r="AA35" s="377"/>
      <c r="AB35" s="377"/>
      <c r="AC35" s="377"/>
      <c r="AD35" s="377"/>
      <c r="AE35" s="377"/>
      <c r="AF35" s="377"/>
    </row>
    <row r="36" spans="1:32" ht="20.100000000000001" customHeight="1">
      <c r="A36" s="1529"/>
      <c r="B36" s="1530" t="s">
        <v>208</v>
      </c>
      <c r="C36" s="1530"/>
      <c r="D36" s="1530"/>
      <c r="E36" s="1530"/>
      <c r="F36" s="1530"/>
      <c r="G36" s="1530"/>
      <c r="H36" s="1530"/>
      <c r="I36" s="1530"/>
      <c r="J36" s="1530"/>
      <c r="K36" s="1530"/>
      <c r="L36" s="1529"/>
      <c r="M36" s="395" t="str">
        <f>N40</f>
        <v>GA</v>
      </c>
      <c r="N36" s="1531" t="s">
        <v>209</v>
      </c>
      <c r="O36" s="1531"/>
      <c r="P36" s="1531"/>
      <c r="Q36" s="1531"/>
      <c r="R36" s="1531"/>
      <c r="S36" s="1531"/>
      <c r="T36" s="1531"/>
      <c r="U36" s="1531"/>
      <c r="V36" s="395"/>
      <c r="X36" s="377"/>
      <c r="Y36" s="377"/>
      <c r="Z36" s="377"/>
      <c r="AA36" s="377"/>
      <c r="AB36" s="377"/>
      <c r="AC36" s="377"/>
      <c r="AD36" s="377"/>
      <c r="AE36" s="377"/>
      <c r="AF36" s="377"/>
    </row>
    <row r="37" spans="1:32" ht="18" customHeight="1">
      <c r="A37" s="390"/>
      <c r="B37" s="1515" t="s">
        <v>376</v>
      </c>
      <c r="C37" s="1515"/>
      <c r="D37" s="1515"/>
      <c r="E37" s="1515"/>
      <c r="F37" s="1515"/>
      <c r="G37" s="1515"/>
      <c r="H37" s="1515"/>
      <c r="I37" s="1515"/>
      <c r="J37" s="1515"/>
      <c r="K37" s="1515"/>
      <c r="L37" s="390"/>
      <c r="M37" s="1487" t="s">
        <v>473</v>
      </c>
      <c r="N37" s="1487"/>
      <c r="O37" s="1487"/>
      <c r="P37" s="1487"/>
      <c r="Q37" s="1487"/>
      <c r="R37" s="1487"/>
      <c r="S37" s="1487"/>
      <c r="T37" s="1487"/>
      <c r="U37" s="1487"/>
      <c r="V37" s="1487"/>
      <c r="X37" s="377"/>
      <c r="Y37" s="377"/>
      <c r="Z37" s="377"/>
      <c r="AA37" s="377"/>
      <c r="AB37" s="377"/>
      <c r="AC37" s="377"/>
      <c r="AD37" s="377"/>
      <c r="AE37" s="377"/>
      <c r="AF37" s="377"/>
    </row>
    <row r="38" spans="1:32" ht="15.95" customHeight="1">
      <c r="A38" s="446"/>
      <c r="B38" s="446"/>
      <c r="C38" s="446"/>
      <c r="D38" s="446"/>
      <c r="E38" s="446"/>
      <c r="F38" s="446"/>
      <c r="G38" s="446"/>
      <c r="H38" s="446"/>
      <c r="I38" s="446"/>
      <c r="J38" s="446"/>
      <c r="K38" s="446"/>
      <c r="L38" s="392"/>
      <c r="M38" s="393"/>
      <c r="N38" s="394"/>
      <c r="O38" s="394"/>
      <c r="P38" s="394"/>
      <c r="Q38" s="394"/>
      <c r="R38" s="393"/>
      <c r="S38" s="393"/>
      <c r="T38" s="393"/>
      <c r="U38" s="393"/>
      <c r="V38" s="393"/>
      <c r="X38" s="377"/>
      <c r="Y38" s="377"/>
      <c r="Z38" s="377"/>
      <c r="AA38" s="377"/>
      <c r="AB38" s="377"/>
      <c r="AC38" s="377"/>
      <c r="AD38" s="377"/>
      <c r="AE38" s="377"/>
      <c r="AF38" s="377"/>
    </row>
    <row r="39" spans="1:32" ht="15.95" customHeight="1">
      <c r="A39" s="446"/>
      <c r="B39" s="446"/>
      <c r="C39" s="446"/>
      <c r="D39" s="446"/>
      <c r="E39" s="446"/>
      <c r="F39" s="446"/>
      <c r="G39" s="446"/>
      <c r="H39" s="446"/>
      <c r="I39" s="446"/>
      <c r="J39" s="446"/>
      <c r="K39" s="446"/>
      <c r="L39" s="392"/>
      <c r="M39" s="393"/>
      <c r="N39" s="394"/>
      <c r="O39" s="394"/>
      <c r="P39" s="394"/>
      <c r="Q39" s="394"/>
      <c r="R39" s="393"/>
      <c r="S39" s="393"/>
      <c r="T39" s="393"/>
      <c r="U39" s="393"/>
      <c r="V39" s="393"/>
      <c r="X39" s="377"/>
      <c r="Y39" s="377"/>
      <c r="Z39" s="377"/>
      <c r="AA39" s="377"/>
      <c r="AB39" s="377"/>
      <c r="AC39" s="377"/>
      <c r="AD39" s="377"/>
      <c r="AE39" s="377"/>
      <c r="AF39" s="377"/>
    </row>
    <row r="40" spans="1:32" ht="15.95" customHeight="1">
      <c r="A40" s="446"/>
      <c r="B40" s="446"/>
      <c r="C40" s="1514" t="s">
        <v>479</v>
      </c>
      <c r="D40" s="1514"/>
      <c r="E40" s="1514"/>
      <c r="F40" s="1514"/>
      <c r="G40" s="1514"/>
      <c r="H40" s="1514"/>
      <c r="I40" s="1514"/>
      <c r="J40" s="1514"/>
      <c r="K40" s="446"/>
      <c r="L40" s="392"/>
      <c r="M40" s="393"/>
      <c r="N40" s="593" t="str">
        <f>'FIG3'!W49</f>
        <v>GA</v>
      </c>
      <c r="O40" s="586" t="s">
        <v>151</v>
      </c>
      <c r="P40" s="586"/>
      <c r="Q40" s="586" t="s">
        <v>211</v>
      </c>
      <c r="R40" s="393"/>
      <c r="S40" s="393"/>
      <c r="T40" s="393"/>
      <c r="U40" s="393"/>
      <c r="V40" s="393"/>
      <c r="X40" s="377"/>
      <c r="Y40" s="377"/>
      <c r="Z40" s="377"/>
      <c r="AA40" s="377"/>
      <c r="AB40" s="377"/>
      <c r="AC40" s="377"/>
      <c r="AD40" s="377"/>
      <c r="AE40" s="377"/>
      <c r="AF40" s="377"/>
    </row>
    <row r="41" spans="1:32" ht="15.95" customHeight="1">
      <c r="A41" s="446"/>
      <c r="B41" s="446"/>
      <c r="C41" s="1514"/>
      <c r="D41" s="1514"/>
      <c r="E41" s="1514"/>
      <c r="F41" s="1514"/>
      <c r="G41" s="1514"/>
      <c r="H41" s="1514"/>
      <c r="I41" s="1514"/>
      <c r="J41" s="1514"/>
      <c r="K41" s="446"/>
      <c r="L41" s="392"/>
      <c r="M41" s="393"/>
      <c r="N41" s="585"/>
      <c r="O41" s="586" t="s">
        <v>212</v>
      </c>
      <c r="P41" s="586" t="s">
        <v>211</v>
      </c>
      <c r="Q41" s="586" t="s">
        <v>172</v>
      </c>
      <c r="R41" s="393"/>
      <c r="S41" s="393"/>
      <c r="T41" s="393"/>
      <c r="U41" s="393"/>
      <c r="V41" s="393"/>
      <c r="X41" s="377"/>
      <c r="Y41" s="377"/>
      <c r="Z41" s="377"/>
      <c r="AA41" s="377"/>
      <c r="AB41" s="377"/>
      <c r="AC41" s="377"/>
      <c r="AD41" s="377"/>
      <c r="AE41" s="377"/>
      <c r="AF41" s="377"/>
    </row>
    <row r="42" spans="1:32" ht="15.95" customHeight="1">
      <c r="A42" s="446"/>
      <c r="B42" s="446"/>
      <c r="C42" s="1514"/>
      <c r="D42" s="1514"/>
      <c r="E42" s="1514"/>
      <c r="F42" s="1514"/>
      <c r="G42" s="1514"/>
      <c r="H42" s="1514"/>
      <c r="I42" s="1514"/>
      <c r="J42" s="1514"/>
      <c r="K42" s="446"/>
      <c r="L42" s="392"/>
      <c r="M42" s="393"/>
      <c r="N42" s="590" t="s">
        <v>165</v>
      </c>
      <c r="O42" s="591">
        <f>'FIG3'!F8</f>
        <v>11741.223774848462</v>
      </c>
      <c r="P42" s="591"/>
      <c r="Q42" s="587"/>
      <c r="R42" s="393"/>
      <c r="S42" s="393"/>
      <c r="T42" s="393"/>
      <c r="U42" s="393"/>
      <c r="V42" s="393"/>
      <c r="X42" s="377"/>
      <c r="Y42" s="377"/>
      <c r="Z42" s="377"/>
      <c r="AA42" s="377"/>
      <c r="AB42" s="377"/>
      <c r="AC42" s="377"/>
      <c r="AD42" s="377"/>
      <c r="AE42" s="512"/>
      <c r="AF42" s="377"/>
    </row>
    <row r="43" spans="1:32" ht="15.95" customHeight="1">
      <c r="A43" s="446"/>
      <c r="B43" s="446"/>
      <c r="C43" s="1514"/>
      <c r="D43" s="1514"/>
      <c r="E43" s="1514"/>
      <c r="F43" s="1514"/>
      <c r="G43" s="1514"/>
      <c r="H43" s="1514"/>
      <c r="I43" s="1514"/>
      <c r="J43" s="1514"/>
      <c r="K43" s="446"/>
      <c r="L43" s="392"/>
      <c r="M43" s="393"/>
      <c r="N43" s="590" t="s">
        <v>164</v>
      </c>
      <c r="O43" s="591">
        <f>'FIG3'!F9</f>
        <v>8471.9359651035993</v>
      </c>
      <c r="P43" s="591">
        <f>(O42-O43)</f>
        <v>3269.2878097448629</v>
      </c>
      <c r="Q43" s="587">
        <f>P43/O42*-1</f>
        <v>-0.2784452347078325</v>
      </c>
      <c r="R43" s="393"/>
      <c r="S43" s="393"/>
      <c r="T43" s="393"/>
      <c r="U43" s="393"/>
      <c r="V43" s="393"/>
      <c r="X43" s="377"/>
      <c r="Y43" s="377"/>
      <c r="Z43" s="377"/>
      <c r="AA43" s="377"/>
      <c r="AB43" s="377"/>
      <c r="AC43" s="377"/>
      <c r="AD43" s="377"/>
      <c r="AE43" s="512"/>
      <c r="AF43" s="377"/>
    </row>
    <row r="44" spans="1:32" ht="15.95" customHeight="1">
      <c r="A44" s="446"/>
      <c r="B44" s="446"/>
      <c r="C44" s="1514"/>
      <c r="D44" s="1514"/>
      <c r="E44" s="1514"/>
      <c r="F44" s="1514"/>
      <c r="G44" s="1514"/>
      <c r="H44" s="1514"/>
      <c r="I44" s="1514"/>
      <c r="J44" s="1514"/>
      <c r="K44" s="446"/>
      <c r="L44" s="392"/>
      <c r="M44" s="393"/>
      <c r="N44" s="585"/>
      <c r="O44" s="588"/>
      <c r="P44" s="588"/>
      <c r="Q44" s="587"/>
      <c r="R44" s="393"/>
      <c r="S44" s="393"/>
      <c r="T44" s="393"/>
      <c r="U44" s="393"/>
      <c r="V44" s="393"/>
      <c r="X44" s="377"/>
      <c r="Y44" s="377"/>
      <c r="Z44" s="377"/>
      <c r="AA44" s="377"/>
      <c r="AB44" s="377"/>
      <c r="AC44" s="377"/>
      <c r="AD44" s="377"/>
      <c r="AE44" s="377"/>
      <c r="AF44" s="377"/>
    </row>
    <row r="45" spans="1:32" ht="15.95" customHeight="1">
      <c r="A45" s="446"/>
      <c r="B45" s="446"/>
      <c r="C45" s="1514"/>
      <c r="D45" s="1514"/>
      <c r="E45" s="1514"/>
      <c r="F45" s="1514"/>
      <c r="G45" s="1514"/>
      <c r="H45" s="1514"/>
      <c r="I45" s="1514"/>
      <c r="J45" s="1514"/>
      <c r="K45" s="446"/>
      <c r="L45" s="392"/>
      <c r="M45" s="393"/>
      <c r="N45" s="589"/>
      <c r="O45" s="589"/>
      <c r="P45" s="589"/>
      <c r="Q45" s="589"/>
      <c r="R45" s="393"/>
      <c r="S45" s="393"/>
      <c r="T45" s="393"/>
      <c r="U45" s="393"/>
      <c r="V45" s="393"/>
      <c r="X45" s="377"/>
      <c r="Y45" s="377"/>
      <c r="Z45" s="377"/>
      <c r="AA45" s="377"/>
      <c r="AB45" s="377"/>
      <c r="AC45" s="377"/>
      <c r="AD45" s="377"/>
      <c r="AE45" s="377"/>
      <c r="AF45" s="377"/>
    </row>
    <row r="46" spans="1:32" ht="15.95" customHeight="1">
      <c r="A46" s="446"/>
      <c r="B46" s="446"/>
      <c r="C46" s="1514"/>
      <c r="D46" s="1514"/>
      <c r="E46" s="1514"/>
      <c r="F46" s="1514"/>
      <c r="G46" s="1514"/>
      <c r="H46" s="1514"/>
      <c r="I46" s="1514"/>
      <c r="J46" s="1514"/>
      <c r="K46" s="446"/>
      <c r="L46" s="392"/>
      <c r="M46" s="393"/>
      <c r="N46" s="1497" t="s">
        <v>474</v>
      </c>
      <c r="O46" s="1497"/>
      <c r="P46" s="1497"/>
      <c r="Q46" s="1497"/>
      <c r="R46" s="1497"/>
      <c r="S46" s="1497"/>
      <c r="T46" s="1497"/>
      <c r="U46" s="1497"/>
      <c r="V46" s="393"/>
      <c r="X46" s="377"/>
      <c r="Y46" s="377"/>
      <c r="Z46" s="377"/>
      <c r="AA46" s="377"/>
      <c r="AB46" s="377"/>
      <c r="AC46" s="377"/>
      <c r="AD46" s="377"/>
      <c r="AE46" s="377"/>
      <c r="AF46" s="377"/>
    </row>
    <row r="47" spans="1:32" ht="15.95" customHeight="1">
      <c r="A47" s="446"/>
      <c r="B47" s="446"/>
      <c r="C47" s="446"/>
      <c r="D47" s="446"/>
      <c r="E47" s="446"/>
      <c r="F47" s="446"/>
      <c r="G47" s="446"/>
      <c r="H47" s="446"/>
      <c r="I47" s="446"/>
      <c r="J47" s="446"/>
      <c r="K47" s="446"/>
      <c r="L47" s="392"/>
      <c r="M47" s="393"/>
      <c r="N47" s="393"/>
      <c r="O47" s="393"/>
      <c r="P47" s="393"/>
      <c r="Q47" s="393"/>
      <c r="R47" s="393"/>
      <c r="S47" s="393"/>
      <c r="T47" s="393"/>
      <c r="U47" s="393"/>
      <c r="V47" s="393"/>
      <c r="X47" s="377"/>
      <c r="Y47" s="377"/>
      <c r="Z47" s="377"/>
      <c r="AA47" s="377"/>
      <c r="AB47" s="377"/>
      <c r="AC47" s="377"/>
      <c r="AD47" s="377"/>
      <c r="AE47" s="377"/>
      <c r="AF47" s="377"/>
    </row>
    <row r="48" spans="1:32" ht="15.95" customHeight="1">
      <c r="A48" s="446"/>
      <c r="B48" s="446"/>
      <c r="C48" s="446"/>
      <c r="D48" s="446"/>
      <c r="E48" s="446"/>
      <c r="F48" s="446"/>
      <c r="G48" s="446"/>
      <c r="H48" s="446"/>
      <c r="I48" s="446"/>
      <c r="J48" s="446"/>
      <c r="K48" s="446"/>
      <c r="L48" s="392"/>
      <c r="M48" s="393"/>
      <c r="N48" s="393"/>
      <c r="O48" s="393"/>
      <c r="P48" s="393"/>
      <c r="Q48" s="393"/>
      <c r="R48" s="393"/>
      <c r="S48" s="393"/>
      <c r="T48" s="393"/>
      <c r="U48" s="393"/>
      <c r="V48" s="393"/>
      <c r="X48" s="377"/>
      <c r="Y48" s="377"/>
      <c r="Z48" s="377"/>
      <c r="AA48" s="377"/>
      <c r="AB48" s="377"/>
      <c r="AC48" s="377"/>
      <c r="AD48" s="377"/>
      <c r="AE48" s="377"/>
      <c r="AF48" s="377"/>
    </row>
    <row r="49" spans="1:32" ht="15.95" customHeight="1">
      <c r="A49" s="446"/>
      <c r="B49" s="446"/>
      <c r="C49" s="1498" t="s">
        <v>381</v>
      </c>
      <c r="D49" s="1498"/>
      <c r="E49" s="1498"/>
      <c r="F49" s="1498"/>
      <c r="G49" s="1498"/>
      <c r="H49" s="1498"/>
      <c r="I49" s="1498"/>
      <c r="J49" s="1498"/>
      <c r="K49" s="446"/>
      <c r="L49" s="392"/>
      <c r="M49" s="393"/>
      <c r="N49" s="593" t="s">
        <v>467</v>
      </c>
      <c r="O49" s="586" t="s">
        <v>151</v>
      </c>
      <c r="P49" s="586"/>
      <c r="Q49" s="586" t="s">
        <v>211</v>
      </c>
      <c r="R49" s="393"/>
      <c r="S49" s="393"/>
      <c r="T49" s="393"/>
      <c r="U49" s="393"/>
      <c r="V49" s="393"/>
      <c r="X49" s="377"/>
      <c r="Y49" s="377"/>
      <c r="Z49" s="377"/>
      <c r="AA49" s="377"/>
      <c r="AB49" s="377"/>
      <c r="AC49" s="377"/>
      <c r="AD49" s="377"/>
      <c r="AE49" s="377"/>
      <c r="AF49" s="377"/>
    </row>
    <row r="50" spans="1:32" ht="15.95" customHeight="1">
      <c r="A50" s="446"/>
      <c r="B50" s="446"/>
      <c r="C50" s="1498"/>
      <c r="D50" s="1498"/>
      <c r="E50" s="1498"/>
      <c r="F50" s="1498"/>
      <c r="G50" s="1498"/>
      <c r="H50" s="1498"/>
      <c r="I50" s="1498"/>
      <c r="J50" s="1498"/>
      <c r="K50" s="446"/>
      <c r="L50" s="392"/>
      <c r="M50" s="393"/>
      <c r="N50" s="585"/>
      <c r="O50" s="586" t="s">
        <v>212</v>
      </c>
      <c r="P50" s="586" t="s">
        <v>211</v>
      </c>
      <c r="Q50" s="586" t="s">
        <v>172</v>
      </c>
      <c r="R50" s="393"/>
      <c r="S50" s="393"/>
      <c r="T50" s="393"/>
      <c r="U50" s="393"/>
      <c r="V50" s="393"/>
      <c r="X50" s="377"/>
      <c r="Y50" s="377"/>
      <c r="Z50" s="377"/>
      <c r="AA50" s="377"/>
      <c r="AB50" s="377"/>
      <c r="AC50" s="377"/>
      <c r="AD50" s="377"/>
      <c r="AE50" s="377"/>
      <c r="AF50" s="377"/>
    </row>
    <row r="51" spans="1:32" ht="15.95" customHeight="1">
      <c r="A51" s="446"/>
      <c r="B51" s="446"/>
      <c r="C51" s="1498"/>
      <c r="D51" s="1498"/>
      <c r="E51" s="1498"/>
      <c r="F51" s="1498"/>
      <c r="G51" s="1498"/>
      <c r="H51" s="1498"/>
      <c r="I51" s="1498"/>
      <c r="J51" s="1498"/>
      <c r="K51" s="446"/>
      <c r="L51" s="392"/>
      <c r="M51" s="393"/>
      <c r="N51" s="590" t="s">
        <v>165</v>
      </c>
      <c r="O51" s="591">
        <f>'FIG3'!F8</f>
        <v>11741.223774848462</v>
      </c>
      <c r="P51" s="591">
        <f>(O52-O51)</f>
        <v>-3269.2878097448629</v>
      </c>
      <c r="Q51" s="587">
        <v>-0.1</v>
      </c>
      <c r="R51" s="393"/>
      <c r="S51" s="393"/>
      <c r="T51" s="393"/>
      <c r="U51" s="393"/>
      <c r="V51" s="393"/>
      <c r="X51" s="506"/>
      <c r="Y51" s="377"/>
      <c r="Z51" s="377"/>
      <c r="AA51" s="377"/>
      <c r="AB51" s="377"/>
      <c r="AC51" s="377"/>
      <c r="AD51" s="377"/>
      <c r="AE51" s="377"/>
      <c r="AF51" s="377"/>
    </row>
    <row r="52" spans="1:32" ht="15.95" customHeight="1">
      <c r="A52" s="446"/>
      <c r="B52" s="446"/>
      <c r="C52" s="1498"/>
      <c r="D52" s="1498"/>
      <c r="E52" s="1498"/>
      <c r="F52" s="1498"/>
      <c r="G52" s="1498"/>
      <c r="H52" s="1498"/>
      <c r="I52" s="1498"/>
      <c r="J52" s="1498"/>
      <c r="K52" s="446"/>
      <c r="L52" s="392"/>
      <c r="M52" s="393"/>
      <c r="N52" s="590" t="s">
        <v>164</v>
      </c>
      <c r="O52" s="591">
        <f>'FIG3'!F9</f>
        <v>8471.9359651035993</v>
      </c>
      <c r="P52" s="591"/>
      <c r="Q52" s="709"/>
      <c r="R52" s="393"/>
      <c r="S52" s="393"/>
      <c r="T52" s="393"/>
      <c r="U52" s="393"/>
      <c r="V52" s="393"/>
      <c r="X52" s="506"/>
      <c r="Y52" s="377"/>
      <c r="Z52" s="377"/>
      <c r="AA52" s="377"/>
      <c r="AB52" s="377"/>
      <c r="AC52" s="377"/>
      <c r="AD52" s="377"/>
      <c r="AE52" s="377"/>
      <c r="AF52" s="377"/>
    </row>
    <row r="53" spans="1:32" ht="15.95" customHeight="1">
      <c r="A53" s="446"/>
      <c r="B53" s="446"/>
      <c r="C53" s="1498"/>
      <c r="D53" s="1498"/>
      <c r="E53" s="1498"/>
      <c r="F53" s="1498"/>
      <c r="G53" s="1498"/>
      <c r="H53" s="1498"/>
      <c r="I53" s="1498"/>
      <c r="J53" s="1498"/>
      <c r="K53" s="446"/>
      <c r="L53" s="392"/>
      <c r="M53" s="393"/>
      <c r="N53" s="585"/>
      <c r="O53" s="588"/>
      <c r="P53" s="588"/>
      <c r="Q53" s="587"/>
      <c r="R53" s="393"/>
      <c r="S53" s="393"/>
      <c r="T53" s="393"/>
      <c r="U53" s="393"/>
      <c r="V53" s="393"/>
      <c r="X53" s="512"/>
      <c r="Y53" s="377"/>
      <c r="Z53" s="377"/>
      <c r="AA53" s="377"/>
      <c r="AB53" s="377"/>
      <c r="AC53" s="377"/>
      <c r="AD53" s="377"/>
      <c r="AE53" s="377"/>
      <c r="AF53" s="377"/>
    </row>
    <row r="54" spans="1:32" ht="15.95" customHeight="1">
      <c r="A54" s="446"/>
      <c r="B54" s="446"/>
      <c r="C54" s="1498"/>
      <c r="D54" s="1498"/>
      <c r="E54" s="1498"/>
      <c r="F54" s="1498"/>
      <c r="G54" s="1498"/>
      <c r="H54" s="1498"/>
      <c r="I54" s="1498"/>
      <c r="J54" s="1498"/>
      <c r="K54" s="446"/>
      <c r="L54" s="392"/>
      <c r="M54" s="393"/>
      <c r="N54" s="589"/>
      <c r="O54" s="589"/>
      <c r="P54" s="589"/>
      <c r="Q54" s="589"/>
      <c r="R54" s="393"/>
      <c r="S54" s="393"/>
      <c r="T54" s="393"/>
      <c r="U54" s="393"/>
      <c r="V54" s="393"/>
      <c r="X54" s="512"/>
      <c r="Y54" s="377"/>
      <c r="Z54" s="377"/>
      <c r="AA54" s="377"/>
      <c r="AB54" s="377"/>
      <c r="AC54" s="377"/>
      <c r="AD54" s="377"/>
      <c r="AE54" s="377"/>
      <c r="AF54" s="377"/>
    </row>
    <row r="55" spans="1:32" ht="15.95" customHeight="1">
      <c r="A55" s="446"/>
      <c r="B55" s="446"/>
      <c r="C55" s="1498"/>
      <c r="D55" s="1498"/>
      <c r="E55" s="1498"/>
      <c r="F55" s="1498"/>
      <c r="G55" s="1498"/>
      <c r="H55" s="1498"/>
      <c r="I55" s="1498"/>
      <c r="J55" s="1498"/>
      <c r="K55" s="446"/>
      <c r="L55" s="392"/>
      <c r="M55" s="393"/>
      <c r="N55" s="1497" t="s">
        <v>474</v>
      </c>
      <c r="O55" s="1497"/>
      <c r="P55" s="1497"/>
      <c r="Q55" s="1497"/>
      <c r="R55" s="1497"/>
      <c r="S55" s="1497"/>
      <c r="T55" s="1497"/>
      <c r="U55" s="1497"/>
      <c r="V55" s="393"/>
      <c r="X55" s="377"/>
      <c r="Y55" s="377"/>
      <c r="Z55" s="377"/>
      <c r="AA55" s="377"/>
      <c r="AB55" s="377"/>
      <c r="AC55" s="377"/>
      <c r="AD55" s="377"/>
      <c r="AE55" s="377"/>
      <c r="AF55" s="377"/>
    </row>
    <row r="56" spans="1:32" ht="15.95" customHeight="1">
      <c r="A56" s="446"/>
      <c r="B56" s="446"/>
      <c r="C56" s="418"/>
      <c r="D56" s="418"/>
      <c r="E56" s="418"/>
      <c r="F56" s="418"/>
      <c r="G56" s="418"/>
      <c r="H56" s="418"/>
      <c r="I56" s="418"/>
      <c r="J56" s="418"/>
      <c r="K56" s="446"/>
      <c r="L56" s="392"/>
      <c r="M56" s="393"/>
      <c r="N56" s="393"/>
      <c r="O56" s="393"/>
      <c r="P56" s="393"/>
      <c r="Q56" s="393"/>
      <c r="R56" s="393"/>
      <c r="S56" s="393"/>
      <c r="T56" s="393"/>
      <c r="U56" s="393"/>
      <c r="V56" s="393"/>
      <c r="X56" s="377"/>
      <c r="Y56" s="377"/>
      <c r="Z56" s="377"/>
      <c r="AA56" s="377"/>
      <c r="AB56" s="377"/>
      <c r="AC56" s="377"/>
      <c r="AD56" s="377"/>
      <c r="AE56" s="377"/>
      <c r="AF56" s="377"/>
    </row>
    <row r="57" spans="1:32" ht="15.95" customHeight="1">
      <c r="A57" s="446"/>
      <c r="B57" s="446"/>
      <c r="C57" s="446"/>
      <c r="D57" s="446"/>
      <c r="E57" s="446"/>
      <c r="F57" s="446"/>
      <c r="G57" s="446"/>
      <c r="H57" s="446"/>
      <c r="I57" s="446"/>
      <c r="J57" s="446"/>
      <c r="K57" s="446"/>
      <c r="L57" s="392"/>
      <c r="M57" s="394"/>
      <c r="N57" s="394"/>
      <c r="O57" s="394"/>
      <c r="P57" s="394"/>
      <c r="Q57" s="394"/>
      <c r="R57" s="394"/>
      <c r="S57" s="394"/>
      <c r="T57" s="394"/>
      <c r="U57" s="394"/>
      <c r="V57" s="394"/>
      <c r="X57" s="377"/>
      <c r="Y57" s="377"/>
      <c r="Z57" s="377"/>
      <c r="AA57" s="377"/>
      <c r="AB57" s="377"/>
      <c r="AC57" s="377"/>
      <c r="AD57" s="377"/>
      <c r="AE57" s="377"/>
      <c r="AF57" s="377"/>
    </row>
    <row r="58" spans="1:32" ht="12.95" customHeight="1">
      <c r="X58" s="377"/>
      <c r="Y58" s="377"/>
      <c r="Z58" s="377"/>
      <c r="AA58" s="377"/>
      <c r="AB58" s="377"/>
      <c r="AC58" s="377"/>
      <c r="AD58" s="377"/>
      <c r="AE58" s="377"/>
      <c r="AF58" s="377"/>
    </row>
    <row r="59" spans="1:32" ht="12.95" customHeight="1">
      <c r="X59" s="377"/>
      <c r="Y59" s="377"/>
      <c r="Z59" s="377"/>
      <c r="AA59" s="377"/>
      <c r="AB59" s="377"/>
      <c r="AC59" s="377"/>
      <c r="AD59" s="377"/>
      <c r="AE59" s="377"/>
      <c r="AF59" s="377"/>
    </row>
    <row r="60" spans="1:32" ht="12.95" customHeight="1">
      <c r="X60" s="377"/>
      <c r="Y60" s="377"/>
      <c r="Z60" s="377"/>
      <c r="AA60" s="377"/>
      <c r="AB60" s="377"/>
      <c r="AC60" s="377"/>
      <c r="AD60" s="377"/>
      <c r="AE60" s="377"/>
      <c r="AF60" s="377"/>
    </row>
    <row r="61" spans="1:32" ht="12.95" customHeight="1">
      <c r="X61" s="377"/>
      <c r="Y61" s="377"/>
      <c r="Z61" s="377"/>
      <c r="AA61" s="377"/>
      <c r="AB61" s="377"/>
      <c r="AC61" s="377"/>
      <c r="AD61" s="377"/>
      <c r="AE61" s="377"/>
      <c r="AF61" s="377"/>
    </row>
    <row r="62" spans="1:32" ht="12.95" customHeight="1"/>
    <row r="63" spans="1:32" ht="12.95" customHeight="1"/>
    <row r="64" spans="1:3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A2:A36"/>
    <mergeCell ref="L2:L36"/>
    <mergeCell ref="B36:K36"/>
    <mergeCell ref="B2:K2"/>
    <mergeCell ref="M35:V35"/>
    <mergeCell ref="N36:U36"/>
    <mergeCell ref="B1:K1"/>
    <mergeCell ref="M30:V30"/>
    <mergeCell ref="M31:V31"/>
    <mergeCell ref="M32:V32"/>
    <mergeCell ref="M34:V34"/>
    <mergeCell ref="M1:V1"/>
    <mergeCell ref="N2:U2"/>
    <mergeCell ref="M29:V29"/>
    <mergeCell ref="M37:V37"/>
    <mergeCell ref="M17:V28"/>
    <mergeCell ref="N55:U55"/>
    <mergeCell ref="C49:J55"/>
    <mergeCell ref="M3:V9"/>
    <mergeCell ref="M10:V16"/>
    <mergeCell ref="C40:J46"/>
    <mergeCell ref="N46:U46"/>
    <mergeCell ref="B37:K37"/>
  </mergeCells>
  <phoneticPr fontId="146" type="noConversion"/>
  <pageMargins left="1.25" right="1.25" top="1.25" bottom="1.25" header="0.3" footer="0.3"/>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sheetPr>
  <dimension ref="A1:BY156"/>
  <sheetViews>
    <sheetView workbookViewId="0">
      <selection activeCell="A13" sqref="A13:XFD13"/>
    </sheetView>
  </sheetViews>
  <sheetFormatPr defaultColWidth="8.83203125" defaultRowHeight="11.25"/>
  <cols>
    <col min="1" max="1" width="30" style="1297" customWidth="1"/>
    <col min="2" max="2" width="21" style="1297" customWidth="1"/>
    <col min="3" max="3" width="18" style="1297" customWidth="1"/>
    <col min="4" max="4" width="12" style="1297" customWidth="1"/>
    <col min="5" max="7" width="15" style="1297" customWidth="1"/>
    <col min="8" max="10" width="12" style="1297" customWidth="1"/>
    <col min="11" max="70" width="18" style="1297" customWidth="1"/>
    <col min="71" max="77" width="30" style="1297" customWidth="1"/>
    <col min="78" max="16384" width="8.83203125" style="1297"/>
  </cols>
  <sheetData>
    <row r="1" spans="1:77" ht="12.75">
      <c r="A1" s="1915" t="s">
        <v>733</v>
      </c>
      <c r="B1" s="1298" t="s">
        <v>734</v>
      </c>
      <c r="C1" s="1915" t="s">
        <v>735</v>
      </c>
      <c r="D1" s="1299"/>
      <c r="E1" s="1913" t="s">
        <v>736</v>
      </c>
      <c r="F1" s="1913" t="s">
        <v>737</v>
      </c>
      <c r="G1" s="1914" t="s">
        <v>174</v>
      </c>
      <c r="H1" s="1915" t="s">
        <v>738</v>
      </c>
      <c r="I1" s="1915" t="s">
        <v>739</v>
      </c>
      <c r="J1" s="1915" t="s">
        <v>740</v>
      </c>
      <c r="K1" s="1915" t="s">
        <v>741</v>
      </c>
      <c r="L1" s="1914" t="s">
        <v>742</v>
      </c>
      <c r="M1" s="1928" t="s">
        <v>743</v>
      </c>
      <c r="N1" s="1929"/>
      <c r="O1" s="1929"/>
      <c r="P1" s="1929"/>
      <c r="Q1" s="1930"/>
      <c r="R1" s="1931" t="s">
        <v>744</v>
      </c>
      <c r="S1" s="1932"/>
      <c r="T1" s="1932"/>
      <c r="U1" s="1300" t="s">
        <v>150</v>
      </c>
      <c r="V1" s="1300"/>
      <c r="W1" s="1301"/>
      <c r="X1" s="1918" t="s">
        <v>149</v>
      </c>
      <c r="Y1" s="1919"/>
      <c r="Z1" s="1919"/>
      <c r="AA1" s="1919"/>
      <c r="AB1" s="1919"/>
      <c r="AC1" s="1919"/>
      <c r="AD1" s="1919"/>
      <c r="AE1" s="1919"/>
      <c r="AF1" s="1919"/>
      <c r="AG1" s="1919"/>
      <c r="AH1" s="1919"/>
      <c r="AI1" s="1919"/>
      <c r="AJ1" s="1919"/>
      <c r="AK1" s="1919"/>
      <c r="AL1" s="1920"/>
      <c r="AM1" s="1302"/>
      <c r="AN1" s="1921" t="s">
        <v>745</v>
      </c>
      <c r="AO1" s="1922"/>
      <c r="AP1" s="1922"/>
      <c r="AQ1" s="1922"/>
      <c r="AR1" s="1922"/>
      <c r="AS1" s="1922"/>
      <c r="AT1" s="1922"/>
      <c r="AU1" s="1922"/>
      <c r="AV1" s="1922"/>
      <c r="AW1" s="1922"/>
      <c r="AX1" s="1922"/>
      <c r="AY1" s="1923"/>
      <c r="AZ1" s="1303"/>
      <c r="BA1" s="1924" t="s">
        <v>746</v>
      </c>
      <c r="BB1" s="1925"/>
      <c r="BC1" s="1925"/>
      <c r="BD1" s="1925"/>
      <c r="BE1" s="1925"/>
      <c r="BF1" s="1925"/>
      <c r="BG1" s="1925"/>
      <c r="BH1" s="1925"/>
      <c r="BI1" s="1925"/>
      <c r="BJ1" s="1925"/>
      <c r="BK1" s="1925"/>
      <c r="BL1" s="1926"/>
      <c r="BM1" s="1304"/>
      <c r="BN1" s="1305"/>
      <c r="BO1" s="1305"/>
      <c r="BP1" s="1306"/>
      <c r="BQ1" s="1306"/>
      <c r="BR1" s="1306"/>
      <c r="BS1" s="1306"/>
      <c r="BT1" s="1306"/>
      <c r="BU1" s="1306"/>
      <c r="BV1" s="1306"/>
      <c r="BW1" s="1306"/>
      <c r="BX1" s="1306"/>
      <c r="BY1" s="1306"/>
    </row>
    <row r="2" spans="1:77" ht="36" customHeight="1">
      <c r="A2" s="1915"/>
      <c r="B2" s="1307" t="s">
        <v>621</v>
      </c>
      <c r="C2" s="1915"/>
      <c r="D2" s="1299" t="s">
        <v>622</v>
      </c>
      <c r="E2" s="1913"/>
      <c r="F2" s="1913"/>
      <c r="G2" s="1914"/>
      <c r="H2" s="1915"/>
      <c r="I2" s="1915"/>
      <c r="J2" s="1915"/>
      <c r="K2" s="1915"/>
      <c r="L2" s="1914"/>
      <c r="M2" s="1308" t="s">
        <v>623</v>
      </c>
      <c r="N2" s="1308" t="s">
        <v>624</v>
      </c>
      <c r="O2" s="1308" t="s">
        <v>625</v>
      </c>
      <c r="P2" s="1309" t="s">
        <v>626</v>
      </c>
      <c r="Q2" s="1310" t="s">
        <v>627</v>
      </c>
      <c r="R2" s="1311" t="s">
        <v>628</v>
      </c>
      <c r="S2" s="1311" t="s">
        <v>743</v>
      </c>
      <c r="T2" s="1312" t="s">
        <v>629</v>
      </c>
      <c r="U2" s="1312" t="s">
        <v>630</v>
      </c>
      <c r="V2" s="1312" t="s">
        <v>631</v>
      </c>
      <c r="W2" s="1313" t="s">
        <v>632</v>
      </c>
      <c r="X2" s="1314" t="s">
        <v>633</v>
      </c>
      <c r="Y2" s="1314" t="s">
        <v>634</v>
      </c>
      <c r="Z2" s="1314" t="s">
        <v>635</v>
      </c>
      <c r="AA2" s="1314" t="s">
        <v>636</v>
      </c>
      <c r="AB2" s="1314" t="s">
        <v>637</v>
      </c>
      <c r="AC2" s="1314" t="s">
        <v>638</v>
      </c>
      <c r="AD2" s="1314" t="s">
        <v>639</v>
      </c>
      <c r="AE2" s="1314" t="s">
        <v>640</v>
      </c>
      <c r="AF2" s="1314" t="s">
        <v>641</v>
      </c>
      <c r="AG2" s="1315" t="s">
        <v>642</v>
      </c>
      <c r="AH2" s="1314" t="s">
        <v>643</v>
      </c>
      <c r="AI2" s="1314" t="s">
        <v>644</v>
      </c>
      <c r="AJ2" s="1314" t="s">
        <v>645</v>
      </c>
      <c r="AK2" s="1314" t="s">
        <v>646</v>
      </c>
      <c r="AL2" s="1314" t="s">
        <v>647</v>
      </c>
      <c r="AM2" s="1316" t="s">
        <v>648</v>
      </c>
      <c r="AN2" s="1317" t="s">
        <v>649</v>
      </c>
      <c r="AO2" s="1317" t="s">
        <v>650</v>
      </c>
      <c r="AP2" s="1317" t="s">
        <v>651</v>
      </c>
      <c r="AQ2" s="1317" t="s">
        <v>652</v>
      </c>
      <c r="AR2" s="1317" t="s">
        <v>653</v>
      </c>
      <c r="AS2" s="1317" t="s">
        <v>654</v>
      </c>
      <c r="AT2" s="1317" t="s">
        <v>655</v>
      </c>
      <c r="AU2" s="1317" t="s">
        <v>656</v>
      </c>
      <c r="AV2" s="1318" t="s">
        <v>657</v>
      </c>
      <c r="AW2" s="1319" t="s">
        <v>658</v>
      </c>
      <c r="AX2" s="1320" t="s">
        <v>659</v>
      </c>
      <c r="AY2" s="1318" t="s">
        <v>660</v>
      </c>
      <c r="AZ2" s="1321" t="s">
        <v>661</v>
      </c>
      <c r="BA2" s="1322" t="s">
        <v>662</v>
      </c>
      <c r="BB2" s="1322" t="s">
        <v>663</v>
      </c>
      <c r="BC2" s="1322" t="s">
        <v>664</v>
      </c>
      <c r="BD2" s="1322" t="s">
        <v>665</v>
      </c>
      <c r="BE2" s="1322" t="s">
        <v>666</v>
      </c>
      <c r="BF2" s="1322" t="s">
        <v>790</v>
      </c>
      <c r="BG2" s="1322" t="s">
        <v>791</v>
      </c>
      <c r="BH2" s="1322" t="s">
        <v>792</v>
      </c>
      <c r="BI2" s="1322" t="s">
        <v>793</v>
      </c>
      <c r="BJ2" s="1322" t="s">
        <v>794</v>
      </c>
      <c r="BK2" s="1322" t="s">
        <v>795</v>
      </c>
      <c r="BL2" s="1322" t="s">
        <v>796</v>
      </c>
      <c r="BM2" s="1323" t="s">
        <v>797</v>
      </c>
      <c r="BN2" s="1324" t="s">
        <v>798</v>
      </c>
      <c r="BO2" s="1324" t="s">
        <v>799</v>
      </c>
      <c r="BP2" s="1325" t="s">
        <v>800</v>
      </c>
      <c r="BQ2" s="1326" t="s">
        <v>801</v>
      </c>
      <c r="BR2" s="1306" t="s">
        <v>802</v>
      </c>
      <c r="BS2" s="1326"/>
      <c r="BT2" s="1326"/>
      <c r="BU2" s="1326" t="s">
        <v>803</v>
      </c>
      <c r="BV2" s="1326" t="s">
        <v>804</v>
      </c>
      <c r="BW2" s="1326" t="s">
        <v>805</v>
      </c>
      <c r="BX2" s="1327" t="s">
        <v>806</v>
      </c>
      <c r="BY2" s="1326" t="s">
        <v>807</v>
      </c>
    </row>
    <row r="3" spans="1:77" s="1349" customFormat="1" ht="11.1" customHeight="1">
      <c r="A3" s="1328" t="s">
        <v>808</v>
      </c>
      <c r="B3" s="1329"/>
      <c r="C3" s="1328"/>
      <c r="D3" s="1328"/>
      <c r="E3" s="1329"/>
      <c r="F3" s="1329"/>
      <c r="G3" s="1330"/>
      <c r="H3" s="1328"/>
      <c r="I3" s="1328"/>
      <c r="J3" s="1328"/>
      <c r="K3" s="1328"/>
      <c r="L3" s="1330"/>
      <c r="M3" s="1331"/>
      <c r="N3" s="1331"/>
      <c r="O3" s="1331"/>
      <c r="P3" s="1331"/>
      <c r="Q3" s="1332"/>
      <c r="R3" s="1333"/>
      <c r="S3" s="1333"/>
      <c r="T3" s="1333"/>
      <c r="U3" s="1333"/>
      <c r="V3" s="1334"/>
      <c r="W3" s="1335"/>
      <c r="X3" s="1336"/>
      <c r="Y3" s="1336"/>
      <c r="Z3" s="1336"/>
      <c r="AA3" s="1336"/>
      <c r="AB3" s="1336"/>
      <c r="AC3" s="1336"/>
      <c r="AD3" s="1336"/>
      <c r="AE3" s="1336"/>
      <c r="AF3" s="1336"/>
      <c r="AG3" s="1337"/>
      <c r="AH3" s="1336"/>
      <c r="AI3" s="1336"/>
      <c r="AJ3" s="1336"/>
      <c r="AK3" s="1336"/>
      <c r="AL3" s="1336"/>
      <c r="AM3" s="1338"/>
      <c r="AN3" s="1339"/>
      <c r="AO3" s="1339"/>
      <c r="AP3" s="1339"/>
      <c r="AQ3" s="1339"/>
      <c r="AR3" s="1339"/>
      <c r="AS3" s="1339"/>
      <c r="AT3" s="1339"/>
      <c r="AU3" s="1339"/>
      <c r="AV3" s="1340"/>
      <c r="AW3" s="1319"/>
      <c r="AX3" s="1320"/>
      <c r="AY3" s="1340"/>
      <c r="AZ3" s="1341"/>
      <c r="BA3" s="1342"/>
      <c r="BB3" s="1342"/>
      <c r="BC3" s="1342"/>
      <c r="BD3" s="1342"/>
      <c r="BE3" s="1342"/>
      <c r="BF3" s="1342"/>
      <c r="BG3" s="1342"/>
      <c r="BH3" s="1342"/>
      <c r="BI3" s="1342"/>
      <c r="BJ3" s="1342"/>
      <c r="BK3" s="1342"/>
      <c r="BL3" s="1342"/>
      <c r="BM3" s="1343"/>
      <c r="BN3" s="1344"/>
      <c r="BO3" s="1344"/>
      <c r="BP3" s="1345"/>
      <c r="BQ3" s="1346"/>
      <c r="BR3" s="1347"/>
      <c r="BS3" s="1346"/>
      <c r="BT3" s="1346"/>
      <c r="BU3" s="1346"/>
      <c r="BV3" s="1346"/>
      <c r="BW3" s="1346"/>
      <c r="BX3" s="1348"/>
      <c r="BY3" s="1346"/>
    </row>
    <row r="4" spans="1:77" s="359" customFormat="1" ht="11.1" customHeight="1">
      <c r="A4" s="359" t="s">
        <v>809</v>
      </c>
      <c r="B4" s="359" t="s">
        <v>810</v>
      </c>
      <c r="C4" s="359" t="s">
        <v>811</v>
      </c>
      <c r="D4" s="359" t="s">
        <v>812</v>
      </c>
      <c r="G4" s="359">
        <v>477</v>
      </c>
      <c r="H4" s="359">
        <v>477</v>
      </c>
      <c r="I4" s="359">
        <v>1.55</v>
      </c>
      <c r="J4" s="359">
        <v>7.54</v>
      </c>
      <c r="K4" s="359" t="s">
        <v>674</v>
      </c>
      <c r="L4" s="359" t="s">
        <v>675</v>
      </c>
      <c r="P4" s="1350">
        <f>T4-AX4</f>
        <v>1189641.2000000002</v>
      </c>
      <c r="Q4" s="1351">
        <f>SUM(M4:P4)</f>
        <v>1189641.2000000002</v>
      </c>
      <c r="R4" s="1352">
        <v>177632</v>
      </c>
      <c r="S4" s="1352"/>
      <c r="T4" s="1352">
        <f>3866923-BM4</f>
        <v>3443594.2</v>
      </c>
      <c r="U4" s="1352">
        <v>86172</v>
      </c>
      <c r="V4" s="1352"/>
      <c r="W4" s="1351">
        <f>SUM(R4:V4)-T4</f>
        <v>263804</v>
      </c>
      <c r="X4" s="1352">
        <v>102561</v>
      </c>
      <c r="Y4" s="1352"/>
      <c r="Z4" s="1352"/>
      <c r="AA4" s="1352"/>
      <c r="AB4" s="1352"/>
      <c r="AC4" s="1352"/>
      <c r="AD4" s="1352"/>
      <c r="AE4" s="1352"/>
      <c r="AF4" s="1352"/>
      <c r="AG4" s="1352"/>
      <c r="AH4" s="1352"/>
      <c r="AI4" s="1352"/>
      <c r="AJ4" s="1352"/>
      <c r="AK4" s="1352"/>
      <c r="AL4" s="1352"/>
      <c r="AM4" s="1351">
        <f>SUM(X4:AL4)</f>
        <v>102561</v>
      </c>
      <c r="AN4" s="1352"/>
      <c r="AO4" s="1352"/>
      <c r="AP4" s="1352"/>
      <c r="AQ4" s="1352"/>
      <c r="AR4" s="1352"/>
      <c r="AS4" s="1352"/>
      <c r="AT4" s="1352"/>
      <c r="AU4" s="1352"/>
      <c r="AV4" s="1352"/>
      <c r="AW4" s="1352"/>
      <c r="AX4" s="1352">
        <v>2253953</v>
      </c>
      <c r="AY4" s="1352"/>
      <c r="AZ4" s="1351">
        <f t="shared" ref="AZ4:AZ11" si="0">SUM(AN4:AY4)</f>
        <v>2253953</v>
      </c>
      <c r="BA4" s="1352"/>
      <c r="BB4" s="1352"/>
      <c r="BC4" s="1352"/>
      <c r="BD4" s="1352"/>
      <c r="BE4" s="1352"/>
      <c r="BF4" s="1352"/>
      <c r="BG4" s="1352"/>
      <c r="BH4" s="1352"/>
      <c r="BI4" s="1352"/>
      <c r="BJ4" s="1352"/>
      <c r="BK4" s="1352"/>
      <c r="BL4" s="1352"/>
      <c r="BM4" s="1353">
        <f>4233288*0.1</f>
        <v>423328.80000000005</v>
      </c>
      <c r="BN4" s="1350">
        <f t="shared" ref="BN4:BN11" si="1">SUM(Q4,W4,AM4,AZ4,BM4)</f>
        <v>4233288</v>
      </c>
      <c r="BO4" s="1350">
        <v>4233288</v>
      </c>
      <c r="BP4" s="1350">
        <f>BN4/G4</f>
        <v>8874.8176100628934</v>
      </c>
      <c r="BQ4" s="1350">
        <f>BM4/G4</f>
        <v>887.48176100628939</v>
      </c>
    </row>
    <row r="5" spans="1:77" s="359" customFormat="1">
      <c r="A5" s="1425" t="s">
        <v>676</v>
      </c>
      <c r="B5" s="359" t="s">
        <v>677</v>
      </c>
      <c r="C5" s="359" t="s">
        <v>811</v>
      </c>
      <c r="D5" s="359" t="s">
        <v>812</v>
      </c>
      <c r="G5" s="359">
        <v>98</v>
      </c>
      <c r="I5" s="359">
        <v>100</v>
      </c>
      <c r="J5" s="359">
        <v>10.28</v>
      </c>
      <c r="K5" s="359" t="s">
        <v>678</v>
      </c>
      <c r="L5" s="359" t="s">
        <v>679</v>
      </c>
      <c r="M5" s="1354"/>
      <c r="N5" s="1354"/>
      <c r="O5" s="1354"/>
      <c r="P5" s="1354"/>
      <c r="Q5" s="1353">
        <f t="shared" ref="Q5:Q11" si="2">SUM(M5:P5)</f>
        <v>0</v>
      </c>
      <c r="R5" s="1352"/>
      <c r="S5" s="1352"/>
      <c r="T5" s="1352"/>
      <c r="U5" s="1352"/>
      <c r="V5" s="1352"/>
      <c r="W5" s="1351">
        <f t="shared" ref="W5:W11" si="3">SUM(R5:V5)-T5</f>
        <v>0</v>
      </c>
      <c r="X5" s="1352"/>
      <c r="Y5" s="1352"/>
      <c r="Z5" s="1352"/>
      <c r="AA5" s="1352"/>
      <c r="AB5" s="1352"/>
      <c r="AC5" s="1352"/>
      <c r="AD5" s="1352">
        <v>26332</v>
      </c>
      <c r="AE5" s="1352"/>
      <c r="AF5" s="1352"/>
      <c r="AG5" s="1352"/>
      <c r="AH5" s="1352"/>
      <c r="AI5" s="1352"/>
      <c r="AJ5" s="1352"/>
      <c r="AK5" s="1352">
        <v>26918</v>
      </c>
      <c r="AL5" s="1352"/>
      <c r="AM5" s="1351">
        <f t="shared" ref="AM5:AM11" si="4">SUM(X5:AL5)</f>
        <v>53250</v>
      </c>
      <c r="AN5" s="1352"/>
      <c r="AO5" s="1352"/>
      <c r="AP5" s="1352"/>
      <c r="AQ5" s="1352"/>
      <c r="AR5" s="1352"/>
      <c r="AS5" s="1352"/>
      <c r="AT5" s="1352"/>
      <c r="AU5" s="1352"/>
      <c r="AV5" s="1352">
        <v>25000</v>
      </c>
      <c r="AW5" s="1352"/>
      <c r="AX5" s="1355"/>
      <c r="AY5" s="1352">
        <v>905656</v>
      </c>
      <c r="AZ5" s="1353">
        <f t="shared" si="0"/>
        <v>930656</v>
      </c>
      <c r="BA5" s="1352"/>
      <c r="BB5" s="1352"/>
      <c r="BC5" s="1352"/>
      <c r="BD5" s="1352"/>
      <c r="BE5" s="1352">
        <v>28272</v>
      </c>
      <c r="BF5" s="1352"/>
      <c r="BG5" s="1352"/>
      <c r="BH5" s="1352">
        <v>270447</v>
      </c>
      <c r="BI5" s="1352">
        <v>11325</v>
      </c>
      <c r="BJ5" s="1352"/>
      <c r="BK5" s="1352">
        <v>28272</v>
      </c>
      <c r="BL5" s="1352">
        <v>9938</v>
      </c>
      <c r="BM5" s="1351">
        <f t="shared" ref="BM5:BM11" si="5">SUM(BA5:BL5)</f>
        <v>348254</v>
      </c>
      <c r="BN5" s="1350">
        <f t="shared" si="1"/>
        <v>1332160</v>
      </c>
      <c r="BO5" s="1350">
        <v>1332180</v>
      </c>
      <c r="BP5" s="1350">
        <f t="shared" ref="BP5:BP11" si="6">BN5/G5</f>
        <v>13593.469387755102</v>
      </c>
      <c r="BQ5" s="1350">
        <f t="shared" ref="BQ5:BQ13" si="7">BM5/G5</f>
        <v>3553.612244897959</v>
      </c>
    </row>
    <row r="6" spans="1:77" s="359" customFormat="1">
      <c r="A6" s="1425" t="s">
        <v>680</v>
      </c>
      <c r="B6" s="359" t="s">
        <v>810</v>
      </c>
      <c r="C6" s="359" t="s">
        <v>811</v>
      </c>
      <c r="D6" s="359" t="s">
        <v>812</v>
      </c>
      <c r="G6" s="359">
        <v>390</v>
      </c>
      <c r="I6" s="359">
        <v>4.0199999999999996</v>
      </c>
      <c r="J6" s="359">
        <v>7.81</v>
      </c>
      <c r="K6" s="359" t="s">
        <v>681</v>
      </c>
      <c r="L6" s="359" t="s">
        <v>682</v>
      </c>
      <c r="P6" s="1350">
        <f t="shared" ref="P6:P11" si="8">T6-AX6</f>
        <v>980136.29999999981</v>
      </c>
      <c r="Q6" s="1351">
        <f t="shared" si="2"/>
        <v>980136.29999999981</v>
      </c>
      <c r="R6" s="1352"/>
      <c r="S6" s="1352"/>
      <c r="T6" s="1352">
        <f>3061474-BM6</f>
        <v>2742295.3</v>
      </c>
      <c r="U6" s="1352"/>
      <c r="V6" s="1352"/>
      <c r="W6" s="1351">
        <f t="shared" si="3"/>
        <v>0</v>
      </c>
      <c r="X6" s="1352">
        <v>4353</v>
      </c>
      <c r="Y6" s="1352"/>
      <c r="Z6" s="1352"/>
      <c r="AA6" s="1352"/>
      <c r="AB6" s="1352"/>
      <c r="AC6" s="1352"/>
      <c r="AD6" s="1352">
        <v>860</v>
      </c>
      <c r="AE6" s="1352"/>
      <c r="AF6" s="1352">
        <v>125100</v>
      </c>
      <c r="AG6" s="1352"/>
      <c r="AH6" s="1352"/>
      <c r="AI6" s="1352"/>
      <c r="AJ6" s="1352"/>
      <c r="AK6" s="1352"/>
      <c r="AL6" s="1352"/>
      <c r="AM6" s="1351">
        <f t="shared" si="4"/>
        <v>130313</v>
      </c>
      <c r="AN6" s="1352"/>
      <c r="AO6" s="1352"/>
      <c r="AP6" s="1352"/>
      <c r="AQ6" s="1352"/>
      <c r="AR6" s="1352"/>
      <c r="AS6" s="1352"/>
      <c r="AT6" s="1352"/>
      <c r="AU6" s="1352"/>
      <c r="AV6" s="1352"/>
      <c r="AW6" s="1352"/>
      <c r="AX6" s="1352">
        <v>1762159</v>
      </c>
      <c r="AY6" s="1352"/>
      <c r="AZ6" s="1351">
        <f t="shared" si="0"/>
        <v>1762159</v>
      </c>
      <c r="BA6" s="1352"/>
      <c r="BB6" s="1352"/>
      <c r="BC6" s="1352"/>
      <c r="BD6" s="1352"/>
      <c r="BE6" s="1352"/>
      <c r="BF6" s="1352"/>
      <c r="BG6" s="1352"/>
      <c r="BH6" s="1352"/>
      <c r="BI6" s="1352"/>
      <c r="BJ6" s="1352"/>
      <c r="BK6" s="1352"/>
      <c r="BL6" s="1352"/>
      <c r="BM6" s="1353">
        <f>3191787*0.1</f>
        <v>319178.7</v>
      </c>
      <c r="BN6" s="1350">
        <f t="shared" si="1"/>
        <v>3191787</v>
      </c>
      <c r="BO6" s="1350">
        <v>3191787</v>
      </c>
      <c r="BP6" s="1350">
        <f t="shared" si="6"/>
        <v>8184.0692307692307</v>
      </c>
      <c r="BQ6" s="1350">
        <f t="shared" si="7"/>
        <v>818.40692307692314</v>
      </c>
    </row>
    <row r="7" spans="1:77" s="359" customFormat="1">
      <c r="A7" s="1425" t="s">
        <v>683</v>
      </c>
      <c r="B7" s="359" t="s">
        <v>810</v>
      </c>
      <c r="C7" s="359" t="s">
        <v>811</v>
      </c>
      <c r="D7" s="359" t="s">
        <v>812</v>
      </c>
      <c r="G7" s="359">
        <v>494</v>
      </c>
      <c r="I7" s="359">
        <v>3.15</v>
      </c>
      <c r="J7" s="359">
        <v>7.09</v>
      </c>
      <c r="K7" s="359" t="s">
        <v>684</v>
      </c>
      <c r="L7" s="377" t="s">
        <v>679</v>
      </c>
      <c r="P7" s="1350">
        <f t="shared" si="8"/>
        <v>1530472.9</v>
      </c>
      <c r="Q7" s="1351">
        <f t="shared" si="2"/>
        <v>1530472.9</v>
      </c>
      <c r="R7" s="1352"/>
      <c r="S7" s="1352"/>
      <c r="T7" s="1352">
        <f>4075327-BM7</f>
        <v>3635254.9</v>
      </c>
      <c r="U7" s="1352"/>
      <c r="V7" s="1352"/>
      <c r="W7" s="1351">
        <f t="shared" si="3"/>
        <v>0</v>
      </c>
      <c r="X7" s="1352">
        <v>4334</v>
      </c>
      <c r="Y7" s="1352">
        <v>1194</v>
      </c>
      <c r="Z7" s="1352"/>
      <c r="AA7" s="1352">
        <v>5945</v>
      </c>
      <c r="AB7" s="1352"/>
      <c r="AC7" s="1352"/>
      <c r="AD7" s="1352">
        <v>8542</v>
      </c>
      <c r="AE7" s="1352"/>
      <c r="AF7" s="1352">
        <v>305379</v>
      </c>
      <c r="AG7" s="1352"/>
      <c r="AH7" s="1352"/>
      <c r="AI7" s="1352"/>
      <c r="AJ7" s="1352"/>
      <c r="AK7" s="1352"/>
      <c r="AL7" s="1352"/>
      <c r="AM7" s="1351">
        <f t="shared" si="4"/>
        <v>325394</v>
      </c>
      <c r="AN7" s="1352"/>
      <c r="AO7" s="1352"/>
      <c r="AP7" s="1352"/>
      <c r="AQ7" s="1352"/>
      <c r="AR7" s="1352"/>
      <c r="AS7" s="1352"/>
      <c r="AT7" s="1352"/>
      <c r="AU7" s="1352"/>
      <c r="AV7" s="1352"/>
      <c r="AW7" s="1352"/>
      <c r="AX7" s="1352">
        <v>2104782</v>
      </c>
      <c r="AY7" s="1352"/>
      <c r="AZ7" s="1351">
        <f t="shared" si="0"/>
        <v>2104782</v>
      </c>
      <c r="BA7" s="1352"/>
      <c r="BB7" s="1352"/>
      <c r="BC7" s="1352"/>
      <c r="BD7" s="1352"/>
      <c r="BE7" s="1352"/>
      <c r="BF7" s="1352"/>
      <c r="BG7" s="1352"/>
      <c r="BH7" s="1352"/>
      <c r="BI7" s="1352"/>
      <c r="BJ7" s="1352"/>
      <c r="BK7" s="1352"/>
      <c r="BL7" s="1352"/>
      <c r="BM7" s="1353">
        <f>4400721*0.1</f>
        <v>440072.10000000003</v>
      </c>
      <c r="BN7" s="1350">
        <f t="shared" si="1"/>
        <v>4400721</v>
      </c>
      <c r="BO7" s="1350">
        <v>4400721</v>
      </c>
      <c r="BP7" s="1350">
        <f t="shared" si="6"/>
        <v>8908.3421052631584</v>
      </c>
      <c r="BQ7" s="1350">
        <f t="shared" si="7"/>
        <v>890.83421052631581</v>
      </c>
    </row>
    <row r="8" spans="1:77" s="359" customFormat="1">
      <c r="A8" s="1354" t="s">
        <v>685</v>
      </c>
      <c r="B8" s="359" t="s">
        <v>810</v>
      </c>
      <c r="C8" s="359" t="s">
        <v>811</v>
      </c>
      <c r="D8" s="359" t="s">
        <v>812</v>
      </c>
      <c r="G8" s="359">
        <v>212</v>
      </c>
      <c r="I8" s="359">
        <v>5.53</v>
      </c>
      <c r="J8" s="359">
        <v>12.65</v>
      </c>
      <c r="K8" s="359" t="s">
        <v>686</v>
      </c>
      <c r="L8" s="377" t="s">
        <v>687</v>
      </c>
      <c r="P8" s="1350">
        <f t="shared" si="8"/>
        <v>1382501.4</v>
      </c>
      <c r="Q8" s="1351">
        <f t="shared" si="2"/>
        <v>1382501.4</v>
      </c>
      <c r="R8" s="1352"/>
      <c r="S8" s="1352"/>
      <c r="T8" s="1352">
        <f>2439487-BM8</f>
        <v>2186349.4</v>
      </c>
      <c r="U8" s="1352"/>
      <c r="V8" s="1352"/>
      <c r="W8" s="1351">
        <f t="shared" si="3"/>
        <v>0</v>
      </c>
      <c r="X8" s="1352">
        <v>356</v>
      </c>
      <c r="Y8" s="1352"/>
      <c r="Z8" s="1352"/>
      <c r="AA8" s="1352">
        <v>78407</v>
      </c>
      <c r="AB8" s="1352"/>
      <c r="AC8" s="1352">
        <v>893</v>
      </c>
      <c r="AD8" s="1352">
        <v>10162</v>
      </c>
      <c r="AE8" s="1352"/>
      <c r="AF8" s="1352"/>
      <c r="AG8" s="1352"/>
      <c r="AH8" s="1352">
        <v>2071</v>
      </c>
      <c r="AI8" s="1352"/>
      <c r="AJ8" s="1352"/>
      <c r="AK8" s="1352"/>
      <c r="AL8" s="1352"/>
      <c r="AM8" s="1351">
        <f t="shared" si="4"/>
        <v>91889</v>
      </c>
      <c r="AN8" s="1352"/>
      <c r="AO8" s="1352"/>
      <c r="AP8" s="1352"/>
      <c r="AQ8" s="1352"/>
      <c r="AR8" s="1352"/>
      <c r="AS8" s="1352"/>
      <c r="AT8" s="1352"/>
      <c r="AU8" s="1352"/>
      <c r="AV8" s="1352"/>
      <c r="AW8" s="1352"/>
      <c r="AX8" s="1352">
        <v>803848</v>
      </c>
      <c r="AY8" s="1352"/>
      <c r="AZ8" s="1351">
        <f t="shared" si="0"/>
        <v>803848</v>
      </c>
      <c r="BA8" s="1352"/>
      <c r="BB8" s="1352"/>
      <c r="BC8" s="1352"/>
      <c r="BD8" s="1352"/>
      <c r="BE8" s="1352"/>
      <c r="BF8" s="1352"/>
      <c r="BG8" s="1352"/>
      <c r="BH8" s="1352"/>
      <c r="BI8" s="1352"/>
      <c r="BJ8" s="1352"/>
      <c r="BK8" s="1352"/>
      <c r="BL8" s="1352"/>
      <c r="BM8" s="1353">
        <f>2531376*0.1</f>
        <v>253137.6</v>
      </c>
      <c r="BN8" s="1350">
        <f t="shared" si="1"/>
        <v>2531376</v>
      </c>
      <c r="BO8" s="1350">
        <v>2531376</v>
      </c>
      <c r="BP8" s="1350">
        <f t="shared" si="6"/>
        <v>11940.452830188678</v>
      </c>
      <c r="BQ8" s="1350">
        <f t="shared" si="7"/>
        <v>1194.0452830188678</v>
      </c>
    </row>
    <row r="9" spans="1:77" s="359" customFormat="1">
      <c r="A9" s="1400" t="s">
        <v>688</v>
      </c>
      <c r="B9" s="359" t="s">
        <v>810</v>
      </c>
      <c r="C9" s="359" t="s">
        <v>811</v>
      </c>
      <c r="D9" s="359" t="s">
        <v>812</v>
      </c>
      <c r="G9" s="359">
        <v>863</v>
      </c>
      <c r="I9" s="359">
        <v>48.63</v>
      </c>
      <c r="J9" s="359">
        <v>6.21</v>
      </c>
      <c r="K9" s="359" t="s">
        <v>689</v>
      </c>
      <c r="L9" s="377" t="s">
        <v>675</v>
      </c>
      <c r="P9" s="1350">
        <f t="shared" si="8"/>
        <v>3366146</v>
      </c>
      <c r="Q9" s="1351">
        <f t="shared" si="2"/>
        <v>3366146</v>
      </c>
      <c r="R9" s="1352"/>
      <c r="S9" s="1352"/>
      <c r="T9" s="1352">
        <v>6679029</v>
      </c>
      <c r="U9" s="1352"/>
      <c r="V9" s="1352"/>
      <c r="W9" s="1351">
        <f t="shared" si="3"/>
        <v>0</v>
      </c>
      <c r="X9" s="1352"/>
      <c r="Y9" s="1352"/>
      <c r="Z9" s="1352"/>
      <c r="AA9" s="1352"/>
      <c r="AB9" s="1352"/>
      <c r="AC9" s="1352">
        <v>7654</v>
      </c>
      <c r="AD9" s="1352">
        <v>99059</v>
      </c>
      <c r="AE9" s="1352"/>
      <c r="AF9" s="1352">
        <v>100849</v>
      </c>
      <c r="AG9" s="1352"/>
      <c r="AH9" s="1352">
        <v>22158</v>
      </c>
      <c r="AI9" s="1352"/>
      <c r="AJ9" s="1352"/>
      <c r="AK9" s="1352"/>
      <c r="AL9" s="1352"/>
      <c r="AM9" s="1351">
        <f t="shared" si="4"/>
        <v>229720</v>
      </c>
      <c r="AN9" s="1352"/>
      <c r="AO9" s="1352"/>
      <c r="AP9" s="1352"/>
      <c r="AQ9" s="1352"/>
      <c r="AR9" s="1352"/>
      <c r="AS9" s="1352"/>
      <c r="AT9" s="1352"/>
      <c r="AU9" s="1352"/>
      <c r="AV9" s="1352"/>
      <c r="AW9" s="1352"/>
      <c r="AX9" s="1352">
        <v>3312883</v>
      </c>
      <c r="AY9" s="1352"/>
      <c r="AZ9" s="1351">
        <f t="shared" si="0"/>
        <v>3312883</v>
      </c>
      <c r="BA9" s="1352"/>
      <c r="BB9" s="1352"/>
      <c r="BC9" s="1352"/>
      <c r="BD9" s="1352"/>
      <c r="BE9" s="1352"/>
      <c r="BF9" s="1352"/>
      <c r="BG9" s="1352"/>
      <c r="BH9" s="1352"/>
      <c r="BI9" s="1352"/>
      <c r="BJ9" s="1352"/>
      <c r="BK9" s="1352"/>
      <c r="BL9" s="1352">
        <v>570119</v>
      </c>
      <c r="BM9" s="1351">
        <f t="shared" si="5"/>
        <v>570119</v>
      </c>
      <c r="BN9" s="1350">
        <f t="shared" si="1"/>
        <v>7478868</v>
      </c>
      <c r="BO9" s="1350">
        <v>7478868</v>
      </c>
      <c r="BP9" s="1350">
        <f t="shared" si="6"/>
        <v>8666.1274623406716</v>
      </c>
      <c r="BQ9" s="1350">
        <f t="shared" si="7"/>
        <v>660.6245654692932</v>
      </c>
    </row>
    <row r="10" spans="1:77" s="359" customFormat="1">
      <c r="A10" s="1400" t="s">
        <v>690</v>
      </c>
      <c r="B10" s="359" t="s">
        <v>810</v>
      </c>
      <c r="C10" s="359" t="s">
        <v>811</v>
      </c>
      <c r="D10" s="359" t="s">
        <v>812</v>
      </c>
      <c r="G10" s="359">
        <v>311</v>
      </c>
      <c r="I10" s="359">
        <v>3.6</v>
      </c>
      <c r="J10" s="359">
        <v>3.3</v>
      </c>
      <c r="K10" s="359" t="s">
        <v>691</v>
      </c>
      <c r="L10" s="377" t="s">
        <v>679</v>
      </c>
      <c r="P10" s="1350">
        <f t="shared" si="8"/>
        <v>1428931</v>
      </c>
      <c r="Q10" s="1351">
        <f t="shared" si="2"/>
        <v>1428931</v>
      </c>
      <c r="R10" s="1352"/>
      <c r="S10" s="1352"/>
      <c r="T10" s="1352">
        <v>2593565</v>
      </c>
      <c r="U10" s="1352"/>
      <c r="V10" s="1352"/>
      <c r="W10" s="1351">
        <f t="shared" si="3"/>
        <v>0</v>
      </c>
      <c r="X10" s="1352">
        <v>37301</v>
      </c>
      <c r="Y10" s="1352">
        <v>256</v>
      </c>
      <c r="Z10" s="1352"/>
      <c r="AA10" s="1352"/>
      <c r="AB10" s="1352"/>
      <c r="AC10" s="1352"/>
      <c r="AD10" s="1352"/>
      <c r="AE10" s="1352"/>
      <c r="AF10" s="1352">
        <v>84131</v>
      </c>
      <c r="AG10" s="1352"/>
      <c r="AH10" s="1352"/>
      <c r="AI10" s="1352"/>
      <c r="AJ10" s="1352"/>
      <c r="AK10" s="1352">
        <v>1596024</v>
      </c>
      <c r="AL10" s="1352">
        <v>386000</v>
      </c>
      <c r="AM10" s="1351">
        <f t="shared" si="4"/>
        <v>2103712</v>
      </c>
      <c r="AN10" s="1352"/>
      <c r="AO10" s="1352"/>
      <c r="AP10" s="1352"/>
      <c r="AQ10" s="1352"/>
      <c r="AR10" s="1352"/>
      <c r="AS10" s="1352"/>
      <c r="AT10" s="1352"/>
      <c r="AU10" s="1352"/>
      <c r="AV10" s="1352"/>
      <c r="AW10" s="1352"/>
      <c r="AX10" s="1352">
        <v>1164634</v>
      </c>
      <c r="AY10" s="1352"/>
      <c r="AZ10" s="1351">
        <f t="shared" si="0"/>
        <v>1164634</v>
      </c>
      <c r="BA10" s="1352"/>
      <c r="BB10" s="1352"/>
      <c r="BC10" s="1352"/>
      <c r="BD10" s="1352"/>
      <c r="BE10" s="1352"/>
      <c r="BF10" s="1352"/>
      <c r="BG10" s="1352"/>
      <c r="BH10" s="1352"/>
      <c r="BI10" s="1352"/>
      <c r="BJ10" s="1352"/>
      <c r="BK10" s="1352"/>
      <c r="BL10" s="1352">
        <v>356077</v>
      </c>
      <c r="BM10" s="1351">
        <f t="shared" si="5"/>
        <v>356077</v>
      </c>
      <c r="BN10" s="1350">
        <f t="shared" si="1"/>
        <v>5053354</v>
      </c>
      <c r="BO10" s="1350">
        <v>5053354</v>
      </c>
      <c r="BP10" s="1350">
        <f t="shared" si="6"/>
        <v>16248.726688102894</v>
      </c>
      <c r="BQ10" s="1350">
        <f t="shared" si="7"/>
        <v>1144.9421221864952</v>
      </c>
    </row>
    <row r="11" spans="1:77" s="1356" customFormat="1">
      <c r="A11" s="1426" t="s">
        <v>692</v>
      </c>
      <c r="B11" s="1356" t="s">
        <v>693</v>
      </c>
      <c r="C11" s="1356" t="s">
        <v>811</v>
      </c>
      <c r="D11" s="1356" t="s">
        <v>812</v>
      </c>
      <c r="G11" s="1356">
        <v>513</v>
      </c>
      <c r="I11" s="1356">
        <v>65</v>
      </c>
      <c r="J11" s="1356">
        <v>12</v>
      </c>
      <c r="K11" s="1356" t="s">
        <v>674</v>
      </c>
      <c r="L11" s="1356" t="s">
        <v>675</v>
      </c>
      <c r="P11" s="1350">
        <f t="shared" si="8"/>
        <v>1399328</v>
      </c>
      <c r="Q11" s="1351">
        <f t="shared" si="2"/>
        <v>1399328</v>
      </c>
      <c r="R11" s="1357"/>
      <c r="S11" s="1357"/>
      <c r="T11" s="1357">
        <v>3919820</v>
      </c>
      <c r="U11" s="1357"/>
      <c r="V11" s="1357"/>
      <c r="W11" s="1351">
        <f t="shared" si="3"/>
        <v>0</v>
      </c>
      <c r="X11" s="1357">
        <v>36140</v>
      </c>
      <c r="Y11" s="1357"/>
      <c r="Z11" s="1357"/>
      <c r="AA11" s="1357">
        <v>13760</v>
      </c>
      <c r="AB11" s="1357"/>
      <c r="AC11" s="1357"/>
      <c r="AD11" s="1357">
        <v>66343</v>
      </c>
      <c r="AE11" s="1357"/>
      <c r="AF11" s="1357"/>
      <c r="AG11" s="1357"/>
      <c r="AH11" s="1357"/>
      <c r="AI11" s="1357">
        <v>199063</v>
      </c>
      <c r="AJ11" s="1357"/>
      <c r="AK11" s="1357"/>
      <c r="AL11" s="1357"/>
      <c r="AM11" s="1351">
        <f t="shared" si="4"/>
        <v>315306</v>
      </c>
      <c r="AN11" s="1357"/>
      <c r="AO11" s="1357"/>
      <c r="AP11" s="1357"/>
      <c r="AQ11" s="1357"/>
      <c r="AR11" s="1357"/>
      <c r="AS11" s="1357"/>
      <c r="AT11" s="1357"/>
      <c r="AU11" s="1357"/>
      <c r="AV11" s="1357"/>
      <c r="AW11" s="1357"/>
      <c r="AX11" s="1357">
        <f>243521+2276971</f>
        <v>2520492</v>
      </c>
      <c r="AY11" s="1357"/>
      <c r="AZ11" s="1351">
        <f t="shared" si="0"/>
        <v>2520492</v>
      </c>
      <c r="BA11" s="1357">
        <v>53272</v>
      </c>
      <c r="BB11" s="1357"/>
      <c r="BC11" s="1357"/>
      <c r="BD11" s="1357"/>
      <c r="BE11" s="1357">
        <v>122623</v>
      </c>
      <c r="BF11" s="1357"/>
      <c r="BG11" s="1357"/>
      <c r="BH11" s="1357">
        <v>400000</v>
      </c>
      <c r="BI11" s="1357">
        <v>98872</v>
      </c>
      <c r="BJ11" s="1357">
        <v>11282</v>
      </c>
      <c r="BK11" s="1357"/>
      <c r="BL11" s="1357"/>
      <c r="BM11" s="1351">
        <f t="shared" si="5"/>
        <v>686049</v>
      </c>
      <c r="BN11" s="1350">
        <f t="shared" si="1"/>
        <v>4921175</v>
      </c>
      <c r="BO11" s="1358">
        <v>4921175</v>
      </c>
      <c r="BP11" s="1350">
        <f t="shared" si="6"/>
        <v>9592.9337231968802</v>
      </c>
      <c r="BQ11" s="1350">
        <f t="shared" si="7"/>
        <v>1337.327485380117</v>
      </c>
    </row>
    <row r="12" spans="1:77" s="1359" customFormat="1">
      <c r="A12" s="377" t="s">
        <v>146</v>
      </c>
      <c r="G12" s="1359">
        <f>SUM(G4:G11)</f>
        <v>3358</v>
      </c>
      <c r="L12" s="377"/>
      <c r="P12" s="1360"/>
      <c r="Q12" s="1361">
        <f>SUM(Q4:Q11)</f>
        <v>11277156.800000001</v>
      </c>
      <c r="W12" s="1362">
        <f>SUM(W4:W11)</f>
        <v>263804</v>
      </c>
      <c r="AM12" s="1363">
        <f>SUM(AM4:AM11)</f>
        <v>3352145</v>
      </c>
      <c r="AZ12" s="1364">
        <f>SUM(AZ4:AZ11)</f>
        <v>14853407</v>
      </c>
      <c r="BM12" s="1364">
        <f>SUM(BM4:BM11)</f>
        <v>3396216.2</v>
      </c>
      <c r="BN12" s="1365">
        <f>SUM(BN4:BN11)</f>
        <v>33142729</v>
      </c>
      <c r="BO12" s="1366">
        <f>SUM(BO4:BO11)</f>
        <v>33142749</v>
      </c>
      <c r="BP12" s="1367">
        <f>BN12/G12</f>
        <v>9869.7823108993452</v>
      </c>
      <c r="BQ12" s="1368">
        <f t="shared" si="7"/>
        <v>1011.3806432400239</v>
      </c>
    </row>
    <row r="13" spans="1:77" s="377" customFormat="1">
      <c r="A13" s="377" t="s">
        <v>694</v>
      </c>
      <c r="G13" s="377">
        <f>SUM(G4,G6:G11)</f>
        <v>3260</v>
      </c>
      <c r="Q13" s="1351">
        <f>SUM(Q4,Q6,Q7,Q8,Q9,Q10,Q11)</f>
        <v>11277156.800000001</v>
      </c>
      <c r="W13" s="1472"/>
      <c r="AM13" s="1468"/>
      <c r="AZ13" s="1468">
        <f>SUM(AZ4,AZ6,AZ7,AZ8,AZ9,AZ10,AZ11)</f>
        <v>13922751</v>
      </c>
      <c r="BL13" s="359"/>
      <c r="BM13" s="1468">
        <f>SUM(BM4,BM6,BM7,BM8,BM9,BM10,BM11)</f>
        <v>3047962.2</v>
      </c>
      <c r="BN13" s="1371"/>
      <c r="BO13" s="1371"/>
      <c r="BP13" s="1370"/>
      <c r="BQ13" s="1371">
        <f t="shared" si="7"/>
        <v>934.95773006134971</v>
      </c>
    </row>
    <row r="14" spans="1:77">
      <c r="L14" s="377"/>
      <c r="Q14" s="1372"/>
      <c r="W14" s="1372"/>
      <c r="AM14" s="1372"/>
      <c r="AZ14" s="1372"/>
      <c r="BL14" s="1373"/>
      <c r="BM14" s="1372"/>
    </row>
    <row r="15" spans="1:77" s="1349" customFormat="1">
      <c r="A15" s="1374" t="s">
        <v>695</v>
      </c>
      <c r="Q15" s="1375"/>
      <c r="W15" s="1375"/>
      <c r="AM15" s="1375"/>
      <c r="AZ15" s="1375"/>
      <c r="BM15" s="1375"/>
    </row>
    <row r="16" spans="1:77" s="359" customFormat="1">
      <c r="A16" s="1425" t="s">
        <v>696</v>
      </c>
      <c r="B16" s="359" t="s">
        <v>697</v>
      </c>
      <c r="C16" s="359" t="s">
        <v>698</v>
      </c>
      <c r="D16" s="359" t="s">
        <v>699</v>
      </c>
      <c r="G16" s="359">
        <v>364</v>
      </c>
      <c r="I16" s="359">
        <v>91.96</v>
      </c>
      <c r="J16" s="359">
        <v>4.49</v>
      </c>
      <c r="K16" s="359" t="s">
        <v>700</v>
      </c>
      <c r="L16" s="359" t="s">
        <v>682</v>
      </c>
      <c r="M16" s="1354"/>
      <c r="N16" s="1354"/>
      <c r="O16" s="1354"/>
      <c r="P16" s="1354"/>
      <c r="Q16" s="1353">
        <f t="shared" ref="Q16:Q28" si="9">SUM(M16:P16)</f>
        <v>0</v>
      </c>
      <c r="R16" s="1352"/>
      <c r="S16" s="1352"/>
      <c r="T16" s="1352"/>
      <c r="U16" s="1352"/>
      <c r="V16" s="1352"/>
      <c r="W16" s="1351">
        <f t="shared" ref="W16:W28" si="10">SUM(R16:V16)-T16</f>
        <v>0</v>
      </c>
      <c r="X16" s="1352"/>
      <c r="Y16" s="1352"/>
      <c r="Z16" s="1352">
        <v>606776</v>
      </c>
      <c r="AA16" s="1352">
        <v>6783</v>
      </c>
      <c r="AB16" s="1352"/>
      <c r="AC16" s="1352"/>
      <c r="AD16" s="1352">
        <v>9602</v>
      </c>
      <c r="AE16" s="1352"/>
      <c r="AF16" s="1352"/>
      <c r="AG16" s="1352"/>
      <c r="AH16" s="1352"/>
      <c r="AI16" s="1352"/>
      <c r="AJ16" s="1352"/>
      <c r="AK16" s="1352"/>
      <c r="AL16" s="1352"/>
      <c r="AM16" s="1351">
        <f t="shared" ref="AM16:AM28" si="11">SUM(X16:AL16)</f>
        <v>623161</v>
      </c>
      <c r="AN16" s="1352"/>
      <c r="AO16" s="1352"/>
      <c r="AP16" s="1352"/>
      <c r="AQ16" s="1352"/>
      <c r="AR16" s="1352"/>
      <c r="AS16" s="1352"/>
      <c r="AT16" s="1352"/>
      <c r="AU16" s="1352"/>
      <c r="AV16" s="1352"/>
      <c r="AW16" s="1352"/>
      <c r="AX16" s="1355"/>
      <c r="AY16" s="1352">
        <v>3936255</v>
      </c>
      <c r="AZ16" s="1353">
        <f t="shared" ref="AZ16:AZ28" si="12">SUM(AN16:AY16)</f>
        <v>3936255</v>
      </c>
      <c r="BA16" s="1352"/>
      <c r="BB16" s="1352"/>
      <c r="BC16" s="1352"/>
      <c r="BD16" s="1352"/>
      <c r="BE16" s="1352">
        <v>204613</v>
      </c>
      <c r="BF16" s="1352"/>
      <c r="BG16" s="1352"/>
      <c r="BH16" s="1352"/>
      <c r="BI16" s="1352"/>
      <c r="BJ16" s="1352"/>
      <c r="BK16" s="1352"/>
      <c r="BL16" s="1352">
        <v>588472</v>
      </c>
      <c r="BM16" s="1353">
        <f t="shared" ref="BM16:BM28" si="13">SUM(BA16:BL16)</f>
        <v>793085</v>
      </c>
      <c r="BN16" s="1350">
        <f t="shared" ref="BN16:BN28" si="14">SUM(Q16,W16,AM16,AZ16,BM16)</f>
        <v>5352501</v>
      </c>
      <c r="BO16" s="1350">
        <v>5352510</v>
      </c>
      <c r="BP16" s="1350">
        <f>BN16/G16</f>
        <v>14704.673076923076</v>
      </c>
      <c r="BQ16" s="1368">
        <f t="shared" ref="BQ16:BQ30" si="15">BM16/G16</f>
        <v>2178.8049450549452</v>
      </c>
    </row>
    <row r="17" spans="1:69" s="359" customFormat="1">
      <c r="A17" s="1400" t="s">
        <v>701</v>
      </c>
      <c r="B17" s="359" t="s">
        <v>810</v>
      </c>
      <c r="C17" s="359" t="s">
        <v>698</v>
      </c>
      <c r="D17" s="359" t="s">
        <v>812</v>
      </c>
      <c r="G17" s="359">
        <v>79</v>
      </c>
      <c r="H17" s="359">
        <v>79</v>
      </c>
      <c r="I17" s="359">
        <v>81.63</v>
      </c>
      <c r="J17" s="359">
        <v>5.0999999999999996</v>
      </c>
      <c r="K17" s="359" t="s">
        <v>702</v>
      </c>
      <c r="L17" s="359" t="s">
        <v>679</v>
      </c>
      <c r="P17" s="1350">
        <f t="shared" ref="P17:P28" si="16">T17-AX17</f>
        <v>413428</v>
      </c>
      <c r="Q17" s="1351">
        <f t="shared" si="9"/>
        <v>413428</v>
      </c>
      <c r="R17" s="1352"/>
      <c r="S17" s="1352"/>
      <c r="T17" s="1352">
        <v>789590</v>
      </c>
      <c r="U17" s="1352"/>
      <c r="V17" s="1352"/>
      <c r="W17" s="1351">
        <f t="shared" si="10"/>
        <v>0</v>
      </c>
      <c r="X17" s="1352">
        <v>5015</v>
      </c>
      <c r="Y17" s="1352">
        <v>587</v>
      </c>
      <c r="Z17" s="1352"/>
      <c r="AA17" s="1352">
        <v>23</v>
      </c>
      <c r="AB17" s="1352"/>
      <c r="AC17" s="1352"/>
      <c r="AD17" s="1352"/>
      <c r="AE17" s="1352"/>
      <c r="AF17" s="1352">
        <v>10748</v>
      </c>
      <c r="AG17" s="1352"/>
      <c r="AH17" s="1352"/>
      <c r="AI17" s="1352"/>
      <c r="AJ17" s="1352"/>
      <c r="AK17" s="1352"/>
      <c r="AL17" s="1352">
        <v>1023166</v>
      </c>
      <c r="AM17" s="1351">
        <f t="shared" si="11"/>
        <v>1039539</v>
      </c>
      <c r="AN17" s="1352"/>
      <c r="AO17" s="1352"/>
      <c r="AP17" s="1352"/>
      <c r="AQ17" s="1352"/>
      <c r="AR17" s="1352"/>
      <c r="AS17" s="1352"/>
      <c r="AT17" s="1352"/>
      <c r="AU17" s="1352"/>
      <c r="AV17" s="1352"/>
      <c r="AW17" s="1352"/>
      <c r="AX17" s="1352">
        <v>376162</v>
      </c>
      <c r="AY17" s="1352"/>
      <c r="AZ17" s="1351">
        <f t="shared" si="12"/>
        <v>376162</v>
      </c>
      <c r="BA17" s="1352"/>
      <c r="BB17" s="1352"/>
      <c r="BC17" s="1352"/>
      <c r="BD17" s="1352"/>
      <c r="BE17" s="1352"/>
      <c r="BF17" s="1352"/>
      <c r="BG17" s="1352"/>
      <c r="BH17" s="1352"/>
      <c r="BI17" s="1352"/>
      <c r="BJ17" s="1352"/>
      <c r="BK17" s="1352"/>
      <c r="BL17" s="1352">
        <v>492032</v>
      </c>
      <c r="BM17" s="1351">
        <f t="shared" si="13"/>
        <v>492032</v>
      </c>
      <c r="BN17" s="1350">
        <f t="shared" si="14"/>
        <v>2321161</v>
      </c>
      <c r="BO17" s="1350"/>
      <c r="BP17" s="1350">
        <f t="shared" ref="BP17:BP29" si="17">BN17/G17</f>
        <v>29381.784810126581</v>
      </c>
      <c r="BQ17" s="1371">
        <f t="shared" si="15"/>
        <v>6228.2531645569625</v>
      </c>
    </row>
    <row r="18" spans="1:69" s="359" customFormat="1">
      <c r="A18" s="1400" t="s">
        <v>703</v>
      </c>
      <c r="B18" s="359" t="s">
        <v>810</v>
      </c>
      <c r="C18" s="359" t="s">
        <v>698</v>
      </c>
      <c r="D18" s="359" t="s">
        <v>812</v>
      </c>
      <c r="G18" s="359">
        <v>397</v>
      </c>
      <c r="I18" s="359">
        <v>69.400000000000006</v>
      </c>
      <c r="J18" s="359">
        <v>5.13</v>
      </c>
      <c r="K18" s="359" t="s">
        <v>700</v>
      </c>
      <c r="L18" s="359" t="s">
        <v>682</v>
      </c>
      <c r="P18" s="1350">
        <f t="shared" si="16"/>
        <v>2124849</v>
      </c>
      <c r="Q18" s="1351">
        <f t="shared" si="9"/>
        <v>2124849</v>
      </c>
      <c r="R18" s="1352"/>
      <c r="S18" s="1352"/>
      <c r="T18" s="1352">
        <v>3983429</v>
      </c>
      <c r="U18" s="1352">
        <v>114541</v>
      </c>
      <c r="V18" s="1352"/>
      <c r="W18" s="1351">
        <f t="shared" si="10"/>
        <v>114541</v>
      </c>
      <c r="X18" s="1352"/>
      <c r="Y18" s="1352"/>
      <c r="Z18" s="1352"/>
      <c r="AA18" s="1352">
        <v>5319</v>
      </c>
      <c r="AB18" s="1352"/>
      <c r="AC18" s="1352"/>
      <c r="AD18" s="1352"/>
      <c r="AE18" s="1352"/>
      <c r="AF18" s="1352"/>
      <c r="AG18" s="1352"/>
      <c r="AH18" s="1352"/>
      <c r="AI18" s="1352"/>
      <c r="AJ18" s="1352"/>
      <c r="AK18" s="1352">
        <v>105588</v>
      </c>
      <c r="AL18" s="1352"/>
      <c r="AM18" s="1351">
        <f t="shared" si="11"/>
        <v>110907</v>
      </c>
      <c r="AN18" s="1352"/>
      <c r="AO18" s="1352"/>
      <c r="AP18" s="1352"/>
      <c r="AQ18" s="1352"/>
      <c r="AR18" s="1352"/>
      <c r="AS18" s="1352"/>
      <c r="AT18" s="1352"/>
      <c r="AU18" s="1352"/>
      <c r="AV18" s="1352"/>
      <c r="AW18" s="1352"/>
      <c r="AX18" s="1352">
        <v>1858580</v>
      </c>
      <c r="AY18" s="1352"/>
      <c r="AZ18" s="1351">
        <f t="shared" si="12"/>
        <v>1858580</v>
      </c>
      <c r="BA18" s="1352"/>
      <c r="BB18" s="1352"/>
      <c r="BC18" s="1352"/>
      <c r="BD18" s="1352"/>
      <c r="BE18" s="1352"/>
      <c r="BF18" s="1352"/>
      <c r="BG18" s="1352"/>
      <c r="BH18" s="1352">
        <v>103928</v>
      </c>
      <c r="BI18" s="1352"/>
      <c r="BJ18" s="1352"/>
      <c r="BK18" s="1352"/>
      <c r="BL18" s="1352">
        <v>258523</v>
      </c>
      <c r="BM18" s="1351">
        <f t="shared" si="13"/>
        <v>362451</v>
      </c>
      <c r="BN18" s="1350">
        <f t="shared" si="14"/>
        <v>4571328</v>
      </c>
      <c r="BO18" s="1350">
        <v>4571328</v>
      </c>
      <c r="BP18" s="1350">
        <f t="shared" si="17"/>
        <v>11514.680100755668</v>
      </c>
      <c r="BQ18" s="1371">
        <f t="shared" si="15"/>
        <v>912.97481108312343</v>
      </c>
    </row>
    <row r="19" spans="1:69" s="359" customFormat="1">
      <c r="A19" s="1400" t="s">
        <v>704</v>
      </c>
      <c r="B19" s="359" t="s">
        <v>810</v>
      </c>
      <c r="C19" s="359" t="s">
        <v>698</v>
      </c>
      <c r="D19" s="359" t="s">
        <v>812</v>
      </c>
      <c r="G19" s="359">
        <v>196</v>
      </c>
      <c r="I19" s="359">
        <v>36.82</v>
      </c>
      <c r="J19" s="359">
        <v>12.94</v>
      </c>
      <c r="K19" s="1376" t="s">
        <v>684</v>
      </c>
      <c r="L19" s="1376" t="s">
        <v>679</v>
      </c>
      <c r="P19" s="1350">
        <f t="shared" si="16"/>
        <v>974373</v>
      </c>
      <c r="Q19" s="1351">
        <f t="shared" si="9"/>
        <v>974373</v>
      </c>
      <c r="R19" s="1352"/>
      <c r="S19" s="1352"/>
      <c r="T19" s="1352">
        <v>1846675</v>
      </c>
      <c r="U19" s="1352"/>
      <c r="V19" s="1352"/>
      <c r="W19" s="1351">
        <f t="shared" si="10"/>
        <v>0</v>
      </c>
      <c r="X19" s="1352">
        <v>39052</v>
      </c>
      <c r="Y19" s="1352"/>
      <c r="Z19" s="1352"/>
      <c r="AA19" s="1352">
        <v>7859</v>
      </c>
      <c r="AB19" s="1352"/>
      <c r="AC19" s="1352"/>
      <c r="AD19" s="1352">
        <v>80214</v>
      </c>
      <c r="AE19" s="1352"/>
      <c r="AF19" s="1352">
        <v>33628</v>
      </c>
      <c r="AG19" s="1352"/>
      <c r="AH19" s="1352"/>
      <c r="AI19" s="1352"/>
      <c r="AJ19" s="1352"/>
      <c r="AK19" s="1352"/>
      <c r="AL19" s="1352">
        <v>1000</v>
      </c>
      <c r="AM19" s="1351">
        <f t="shared" si="11"/>
        <v>161753</v>
      </c>
      <c r="AN19" s="1352"/>
      <c r="AO19" s="1352"/>
      <c r="AP19" s="1352"/>
      <c r="AQ19" s="1352"/>
      <c r="AR19" s="1352"/>
      <c r="AS19" s="1352"/>
      <c r="AT19" s="1352"/>
      <c r="AU19" s="1352"/>
      <c r="AV19" s="1352">
        <v>37000</v>
      </c>
      <c r="AW19" s="1352"/>
      <c r="AX19" s="1352">
        <v>872302</v>
      </c>
      <c r="AY19" s="1352"/>
      <c r="AZ19" s="1351">
        <f t="shared" si="12"/>
        <v>909302</v>
      </c>
      <c r="BA19" s="1352">
        <v>38179</v>
      </c>
      <c r="BB19" s="1352"/>
      <c r="BC19" s="1352"/>
      <c r="BD19" s="1352"/>
      <c r="BE19" s="1352"/>
      <c r="BF19" s="1352"/>
      <c r="BG19" s="1352"/>
      <c r="BH19" s="1352"/>
      <c r="BI19" s="1352"/>
      <c r="BJ19" s="1352"/>
      <c r="BK19" s="1352"/>
      <c r="BL19" s="1352"/>
      <c r="BM19" s="1351">
        <f t="shared" si="13"/>
        <v>38179</v>
      </c>
      <c r="BN19" s="1350">
        <f t="shared" si="14"/>
        <v>2083607</v>
      </c>
      <c r="BO19" s="1350">
        <v>2083607</v>
      </c>
      <c r="BP19" s="1350">
        <f t="shared" si="17"/>
        <v>10630.647959183674</v>
      </c>
      <c r="BQ19" s="1371">
        <f t="shared" si="15"/>
        <v>194.7908163265306</v>
      </c>
    </row>
    <row r="20" spans="1:69" s="359" customFormat="1">
      <c r="A20" s="1400" t="s">
        <v>705</v>
      </c>
      <c r="B20" s="359" t="s">
        <v>810</v>
      </c>
      <c r="C20" s="359" t="s">
        <v>698</v>
      </c>
      <c r="D20" s="359" t="s">
        <v>812</v>
      </c>
      <c r="G20" s="359">
        <v>803</v>
      </c>
      <c r="I20" s="359">
        <v>67.239999999999995</v>
      </c>
      <c r="J20" s="359">
        <v>8.08</v>
      </c>
      <c r="K20" s="359" t="s">
        <v>674</v>
      </c>
      <c r="L20" s="359" t="s">
        <v>675</v>
      </c>
      <c r="P20" s="1350">
        <f t="shared" si="16"/>
        <v>4340365</v>
      </c>
      <c r="Q20" s="1351">
        <f t="shared" si="9"/>
        <v>4340365</v>
      </c>
      <c r="R20" s="1352"/>
      <c r="S20" s="1352"/>
      <c r="T20" s="1352">
        <v>8142805</v>
      </c>
      <c r="U20" s="1352">
        <v>882450</v>
      </c>
      <c r="V20" s="1352"/>
      <c r="W20" s="1351">
        <f t="shared" si="10"/>
        <v>882450</v>
      </c>
      <c r="X20" s="1352"/>
      <c r="Y20" s="1352"/>
      <c r="Z20" s="1352"/>
      <c r="AA20" s="1352"/>
      <c r="AB20" s="1352"/>
      <c r="AC20" s="1352"/>
      <c r="AD20" s="1352"/>
      <c r="AE20" s="1352"/>
      <c r="AF20" s="1352"/>
      <c r="AG20" s="1352"/>
      <c r="AH20" s="1352">
        <v>6040</v>
      </c>
      <c r="AI20" s="1352"/>
      <c r="AJ20" s="1352"/>
      <c r="AK20" s="1352"/>
      <c r="AL20" s="1352"/>
      <c r="AM20" s="1351">
        <f t="shared" si="11"/>
        <v>6040</v>
      </c>
      <c r="AN20" s="1352"/>
      <c r="AO20" s="1352"/>
      <c r="AP20" s="1352"/>
      <c r="AQ20" s="1352"/>
      <c r="AR20" s="1352"/>
      <c r="AS20" s="1352"/>
      <c r="AT20" s="1352"/>
      <c r="AU20" s="1352"/>
      <c r="AV20" s="1352">
        <v>62000</v>
      </c>
      <c r="AW20" s="1352">
        <v>177468</v>
      </c>
      <c r="AX20" s="1352">
        <v>3802440</v>
      </c>
      <c r="AY20" s="1352"/>
      <c r="AZ20" s="1351">
        <f t="shared" si="12"/>
        <v>4041908</v>
      </c>
      <c r="BA20" s="1352">
        <v>526888</v>
      </c>
      <c r="BB20" s="1352"/>
      <c r="BC20" s="1352"/>
      <c r="BD20" s="1352"/>
      <c r="BE20" s="1352"/>
      <c r="BF20" s="1352"/>
      <c r="BG20" s="1352"/>
      <c r="BH20" s="1352"/>
      <c r="BI20" s="1352"/>
      <c r="BJ20" s="1352"/>
      <c r="BK20" s="1352"/>
      <c r="BL20" s="1352"/>
      <c r="BM20" s="1351">
        <f t="shared" si="13"/>
        <v>526888</v>
      </c>
      <c r="BN20" s="1350">
        <f t="shared" si="14"/>
        <v>9797651</v>
      </c>
      <c r="BO20" s="1350">
        <v>9797651</v>
      </c>
      <c r="BP20" s="1350">
        <f t="shared" si="17"/>
        <v>12201.308841843089</v>
      </c>
      <c r="BQ20" s="1371">
        <f t="shared" si="15"/>
        <v>656.14943960149435</v>
      </c>
    </row>
    <row r="21" spans="1:69" s="359" customFormat="1">
      <c r="A21" s="1400" t="s">
        <v>706</v>
      </c>
      <c r="B21" s="359" t="s">
        <v>810</v>
      </c>
      <c r="C21" s="359" t="s">
        <v>698</v>
      </c>
      <c r="D21" s="359" t="s">
        <v>812</v>
      </c>
      <c r="G21" s="359">
        <v>603</v>
      </c>
      <c r="I21" s="359">
        <v>51.29</v>
      </c>
      <c r="J21" s="359">
        <v>3.18</v>
      </c>
      <c r="K21" s="359" t="s">
        <v>674</v>
      </c>
      <c r="L21" s="359" t="s">
        <v>675</v>
      </c>
      <c r="P21" s="1350">
        <f t="shared" si="16"/>
        <v>3332114</v>
      </c>
      <c r="Q21" s="1351">
        <f t="shared" si="9"/>
        <v>3332114</v>
      </c>
      <c r="R21" s="1352">
        <v>35000</v>
      </c>
      <c r="S21" s="1352"/>
      <c r="T21" s="1352">
        <v>6171331</v>
      </c>
      <c r="U21" s="1352">
        <v>125458</v>
      </c>
      <c r="V21" s="1352"/>
      <c r="W21" s="1351">
        <f t="shared" si="10"/>
        <v>160458</v>
      </c>
      <c r="X21" s="1352"/>
      <c r="Y21" s="1352"/>
      <c r="Z21" s="1352"/>
      <c r="AA21" s="1352"/>
      <c r="AB21" s="1352"/>
      <c r="AC21" s="1352"/>
      <c r="AD21" s="1352">
        <v>49060</v>
      </c>
      <c r="AE21" s="1352"/>
      <c r="AF21" s="1352">
        <v>213794</v>
      </c>
      <c r="AG21" s="1352"/>
      <c r="AH21" s="1352"/>
      <c r="AI21" s="1352"/>
      <c r="AJ21" s="1352"/>
      <c r="AK21" s="1352"/>
      <c r="AL21" s="1352"/>
      <c r="AM21" s="1351">
        <f t="shared" si="11"/>
        <v>262854</v>
      </c>
      <c r="AN21" s="1352"/>
      <c r="AO21" s="1352"/>
      <c r="AP21" s="1352"/>
      <c r="AQ21" s="1352"/>
      <c r="AR21" s="1352"/>
      <c r="AS21" s="1352"/>
      <c r="AT21" s="1352"/>
      <c r="AU21" s="1352"/>
      <c r="AV21" s="1352"/>
      <c r="AW21" s="1352"/>
      <c r="AX21" s="1352">
        <v>2839217</v>
      </c>
      <c r="AY21" s="1352"/>
      <c r="AZ21" s="1351">
        <f t="shared" si="12"/>
        <v>2839217</v>
      </c>
      <c r="BA21" s="1352"/>
      <c r="BB21" s="1352"/>
      <c r="BC21" s="1352"/>
      <c r="BD21" s="1352"/>
      <c r="BE21" s="1352"/>
      <c r="BF21" s="1352"/>
      <c r="BG21" s="1352"/>
      <c r="BH21" s="1352"/>
      <c r="BI21" s="1352"/>
      <c r="BJ21" s="1352"/>
      <c r="BK21" s="1352"/>
      <c r="BL21" s="1352">
        <v>156751</v>
      </c>
      <c r="BM21" s="1351">
        <f t="shared" si="13"/>
        <v>156751</v>
      </c>
      <c r="BN21" s="1350">
        <f t="shared" si="14"/>
        <v>6751394</v>
      </c>
      <c r="BO21" s="1350">
        <v>6751394</v>
      </c>
      <c r="BP21" s="1350">
        <f t="shared" si="17"/>
        <v>11196.341625207297</v>
      </c>
      <c r="BQ21" s="1371">
        <f t="shared" si="15"/>
        <v>259.95190713101158</v>
      </c>
    </row>
    <row r="22" spans="1:69" s="359" customFormat="1">
      <c r="A22" s="1400" t="s">
        <v>707</v>
      </c>
      <c r="B22" s="359" t="s">
        <v>810</v>
      </c>
      <c r="C22" s="359" t="s">
        <v>698</v>
      </c>
      <c r="D22" s="359" t="s">
        <v>812</v>
      </c>
      <c r="G22" s="359">
        <v>339</v>
      </c>
      <c r="I22" s="359">
        <v>65.3</v>
      </c>
      <c r="J22" s="359">
        <v>5.0199999999999996</v>
      </c>
      <c r="K22" s="359" t="s">
        <v>700</v>
      </c>
      <c r="L22" s="359" t="s">
        <v>682</v>
      </c>
      <c r="P22" s="1350">
        <f t="shared" si="16"/>
        <v>2043675</v>
      </c>
      <c r="Q22" s="1351">
        <f t="shared" si="9"/>
        <v>2043675</v>
      </c>
      <c r="R22" s="1352"/>
      <c r="S22" s="1352"/>
      <c r="T22" s="1352">
        <v>3883558</v>
      </c>
      <c r="U22" s="1352"/>
      <c r="V22" s="1352"/>
      <c r="W22" s="1351">
        <f t="shared" si="10"/>
        <v>0</v>
      </c>
      <c r="X22" s="1352">
        <v>19920</v>
      </c>
      <c r="Y22" s="1352"/>
      <c r="Z22" s="1352"/>
      <c r="AA22" s="1352">
        <v>6192</v>
      </c>
      <c r="AB22" s="1352"/>
      <c r="AC22" s="1352"/>
      <c r="AD22" s="1352"/>
      <c r="AE22" s="1352"/>
      <c r="AF22" s="1352"/>
      <c r="AG22" s="1352"/>
      <c r="AH22" s="1352"/>
      <c r="AI22" s="1352"/>
      <c r="AJ22" s="1352"/>
      <c r="AK22" s="1352"/>
      <c r="AL22" s="1352">
        <v>220000</v>
      </c>
      <c r="AM22" s="1351">
        <f t="shared" si="11"/>
        <v>246112</v>
      </c>
      <c r="AN22" s="1352"/>
      <c r="AO22" s="1352"/>
      <c r="AP22" s="1352"/>
      <c r="AQ22" s="1352"/>
      <c r="AR22" s="1352"/>
      <c r="AS22" s="1352"/>
      <c r="AT22" s="1352"/>
      <c r="AU22" s="1352"/>
      <c r="AV22" s="1352">
        <v>45000</v>
      </c>
      <c r="AW22" s="1352"/>
      <c r="AX22" s="1352">
        <v>1839883</v>
      </c>
      <c r="AY22" s="1352"/>
      <c r="AZ22" s="1351">
        <f t="shared" si="12"/>
        <v>1884883</v>
      </c>
      <c r="BA22" s="1352">
        <v>17443</v>
      </c>
      <c r="BB22" s="1352"/>
      <c r="BC22" s="1352"/>
      <c r="BD22" s="1352"/>
      <c r="BE22" s="1352"/>
      <c r="BF22" s="1352"/>
      <c r="BG22" s="1352"/>
      <c r="BH22" s="1352">
        <v>400000</v>
      </c>
      <c r="BI22" s="1352"/>
      <c r="BJ22" s="1352"/>
      <c r="BK22" s="1352"/>
      <c r="BL22" s="1352"/>
      <c r="BM22" s="1351">
        <f t="shared" si="13"/>
        <v>417443</v>
      </c>
      <c r="BN22" s="1350">
        <f t="shared" si="14"/>
        <v>4592113</v>
      </c>
      <c r="BO22" s="1350">
        <v>4592113</v>
      </c>
      <c r="BP22" s="1350">
        <f t="shared" si="17"/>
        <v>13546.056047197641</v>
      </c>
      <c r="BQ22" s="1371">
        <f t="shared" si="15"/>
        <v>1231.3952802359881</v>
      </c>
    </row>
    <row r="23" spans="1:69" s="359" customFormat="1">
      <c r="A23" s="1400" t="s">
        <v>708</v>
      </c>
      <c r="B23" s="359" t="s">
        <v>810</v>
      </c>
      <c r="C23" s="359" t="s">
        <v>698</v>
      </c>
      <c r="D23" s="359" t="s">
        <v>812</v>
      </c>
      <c r="G23" s="359">
        <v>96</v>
      </c>
      <c r="I23" s="359">
        <v>69.31</v>
      </c>
      <c r="J23" s="359">
        <v>6.93</v>
      </c>
      <c r="K23" s="359" t="s">
        <v>709</v>
      </c>
      <c r="L23" s="359" t="s">
        <v>682</v>
      </c>
      <c r="P23" s="1350">
        <f t="shared" si="16"/>
        <v>1016559</v>
      </c>
      <c r="Q23" s="1351">
        <f t="shared" si="9"/>
        <v>1016559</v>
      </c>
      <c r="R23" s="1352"/>
      <c r="S23" s="1352">
        <v>185206</v>
      </c>
      <c r="T23" s="1352">
        <v>1551250</v>
      </c>
      <c r="U23" s="1352"/>
      <c r="V23" s="1352"/>
      <c r="W23" s="1351">
        <f t="shared" si="10"/>
        <v>185206</v>
      </c>
      <c r="X23" s="1352"/>
      <c r="Y23" s="1352"/>
      <c r="Z23" s="1352"/>
      <c r="AA23" s="1352"/>
      <c r="AB23" s="1352"/>
      <c r="AC23" s="1352"/>
      <c r="AD23" s="1352"/>
      <c r="AE23" s="1352"/>
      <c r="AF23" s="1352"/>
      <c r="AG23" s="1352"/>
      <c r="AH23" s="1352"/>
      <c r="AI23" s="1352"/>
      <c r="AJ23" s="1352"/>
      <c r="AK23" s="1352"/>
      <c r="AL23" s="1352"/>
      <c r="AM23" s="1351">
        <f t="shared" si="11"/>
        <v>0</v>
      </c>
      <c r="AN23" s="1352"/>
      <c r="AO23" s="1352"/>
      <c r="AP23" s="1352"/>
      <c r="AQ23" s="1352"/>
      <c r="AR23" s="1352"/>
      <c r="AS23" s="1352"/>
      <c r="AT23" s="1352"/>
      <c r="AU23" s="1352"/>
      <c r="AV23" s="1352"/>
      <c r="AW23" s="1352"/>
      <c r="AX23" s="1352">
        <v>534691</v>
      </c>
      <c r="AY23" s="1352"/>
      <c r="AZ23" s="1351">
        <f t="shared" si="12"/>
        <v>534691</v>
      </c>
      <c r="BA23" s="1352"/>
      <c r="BB23" s="1352"/>
      <c r="BC23" s="1352"/>
      <c r="BD23" s="1352"/>
      <c r="BE23" s="1352"/>
      <c r="BF23" s="1352"/>
      <c r="BG23" s="1352"/>
      <c r="BH23" s="1352"/>
      <c r="BI23" s="1352"/>
      <c r="BJ23" s="1352"/>
      <c r="BK23" s="1352"/>
      <c r="BL23" s="1352">
        <v>54096</v>
      </c>
      <c r="BM23" s="1351">
        <f t="shared" si="13"/>
        <v>54096</v>
      </c>
      <c r="BN23" s="1350">
        <f t="shared" si="14"/>
        <v>1790552</v>
      </c>
      <c r="BO23" s="1350">
        <v>1790552</v>
      </c>
      <c r="BP23" s="1350">
        <f t="shared" si="17"/>
        <v>18651.583333333332</v>
      </c>
      <c r="BQ23" s="1371">
        <f t="shared" si="15"/>
        <v>563.5</v>
      </c>
    </row>
    <row r="24" spans="1:69" s="359" customFormat="1">
      <c r="A24" s="1400" t="s">
        <v>710</v>
      </c>
      <c r="B24" s="359" t="s">
        <v>810</v>
      </c>
      <c r="C24" s="359" t="s">
        <v>698</v>
      </c>
      <c r="D24" s="359" t="s">
        <v>812</v>
      </c>
      <c r="G24" s="359">
        <v>178</v>
      </c>
      <c r="I24" s="359">
        <v>66.67</v>
      </c>
      <c r="J24" s="359">
        <v>5.82</v>
      </c>
      <c r="K24" s="359" t="s">
        <v>711</v>
      </c>
      <c r="L24" s="359" t="s">
        <v>679</v>
      </c>
      <c r="P24" s="1350">
        <f t="shared" si="16"/>
        <v>867750</v>
      </c>
      <c r="Q24" s="1351">
        <f t="shared" si="9"/>
        <v>867750</v>
      </c>
      <c r="R24" s="1352"/>
      <c r="S24" s="1352"/>
      <c r="T24" s="1352">
        <v>1649711</v>
      </c>
      <c r="U24" s="1352"/>
      <c r="V24" s="1352"/>
      <c r="W24" s="1351">
        <f t="shared" si="10"/>
        <v>0</v>
      </c>
      <c r="X24" s="1352">
        <v>17779</v>
      </c>
      <c r="Y24" s="1352">
        <v>1359</v>
      </c>
      <c r="Z24" s="1352"/>
      <c r="AA24" s="1352">
        <v>35377</v>
      </c>
      <c r="AB24" s="1352"/>
      <c r="AC24" s="1352"/>
      <c r="AD24" s="1352"/>
      <c r="AE24" s="1352"/>
      <c r="AF24" s="1352">
        <v>33707</v>
      </c>
      <c r="AG24" s="1352"/>
      <c r="AH24" s="1352"/>
      <c r="AI24" s="1352"/>
      <c r="AJ24" s="1352"/>
      <c r="AK24" s="1352"/>
      <c r="AL24" s="1352">
        <v>1553210</v>
      </c>
      <c r="AM24" s="1351">
        <f t="shared" si="11"/>
        <v>1641432</v>
      </c>
      <c r="AN24" s="1352"/>
      <c r="AO24" s="1352"/>
      <c r="AP24" s="1352"/>
      <c r="AQ24" s="1352"/>
      <c r="AR24" s="1352"/>
      <c r="AS24" s="1352"/>
      <c r="AT24" s="1352"/>
      <c r="AU24" s="1352"/>
      <c r="AV24" s="1352"/>
      <c r="AW24" s="1352"/>
      <c r="AX24" s="1352">
        <v>781961</v>
      </c>
      <c r="AY24" s="1352"/>
      <c r="AZ24" s="1351">
        <f t="shared" si="12"/>
        <v>781961</v>
      </c>
      <c r="BA24" s="1352"/>
      <c r="BB24" s="1352"/>
      <c r="BC24" s="1352"/>
      <c r="BD24" s="1352"/>
      <c r="BE24" s="1352"/>
      <c r="BF24" s="1352"/>
      <c r="BG24" s="1352"/>
      <c r="BH24" s="1352"/>
      <c r="BI24" s="1352"/>
      <c r="BJ24" s="1352"/>
      <c r="BK24" s="1352"/>
      <c r="BL24" s="1352">
        <v>530220</v>
      </c>
      <c r="BM24" s="1351">
        <f t="shared" si="13"/>
        <v>530220</v>
      </c>
      <c r="BN24" s="1350">
        <f t="shared" si="14"/>
        <v>3821363</v>
      </c>
      <c r="BO24" s="1350"/>
      <c r="BP24" s="1350">
        <f t="shared" si="17"/>
        <v>21468.331460674159</v>
      </c>
      <c r="BQ24" s="1371">
        <f t="shared" si="15"/>
        <v>2978.7640449438204</v>
      </c>
    </row>
    <row r="25" spans="1:69" s="359" customFormat="1">
      <c r="A25" s="1400" t="s">
        <v>712</v>
      </c>
      <c r="B25" s="359" t="s">
        <v>810</v>
      </c>
      <c r="C25" s="359" t="s">
        <v>698</v>
      </c>
      <c r="D25" s="359" t="s">
        <v>812</v>
      </c>
      <c r="G25" s="359">
        <v>323</v>
      </c>
      <c r="I25" s="359">
        <v>77.010000000000005</v>
      </c>
      <c r="J25" s="359">
        <v>3.58</v>
      </c>
      <c r="K25" s="359" t="s">
        <v>691</v>
      </c>
      <c r="L25" s="359" t="s">
        <v>679</v>
      </c>
      <c r="P25" s="1350">
        <f t="shared" si="16"/>
        <v>1491297</v>
      </c>
      <c r="Q25" s="1351">
        <f t="shared" si="9"/>
        <v>1491297</v>
      </c>
      <c r="R25" s="1352"/>
      <c r="S25" s="1352"/>
      <c r="T25" s="1352">
        <v>2796154</v>
      </c>
      <c r="U25" s="1352"/>
      <c r="V25" s="1352"/>
      <c r="W25" s="1351">
        <f t="shared" si="10"/>
        <v>0</v>
      </c>
      <c r="X25" s="1352">
        <v>141509</v>
      </c>
      <c r="Y25" s="1352">
        <v>2444</v>
      </c>
      <c r="Z25" s="1352"/>
      <c r="AA25" s="1352"/>
      <c r="AB25" s="1352">
        <v>768781</v>
      </c>
      <c r="AC25" s="1352"/>
      <c r="AD25" s="1352"/>
      <c r="AE25" s="1352"/>
      <c r="AF25" s="1352"/>
      <c r="AG25" s="1352">
        <v>39303</v>
      </c>
      <c r="AH25" s="1352"/>
      <c r="AI25" s="1352"/>
      <c r="AJ25" s="1352"/>
      <c r="AK25" s="1352"/>
      <c r="AL25" s="1352">
        <v>150500</v>
      </c>
      <c r="AM25" s="1351">
        <f t="shared" si="11"/>
        <v>1102537</v>
      </c>
      <c r="AN25" s="1352"/>
      <c r="AO25" s="1352"/>
      <c r="AP25" s="1352"/>
      <c r="AQ25" s="1352"/>
      <c r="AR25" s="1352"/>
      <c r="AS25" s="1352"/>
      <c r="AT25" s="1352"/>
      <c r="AU25" s="1352"/>
      <c r="AV25" s="1352"/>
      <c r="AW25" s="1352"/>
      <c r="AX25" s="1352">
        <v>1304857</v>
      </c>
      <c r="AY25" s="1352"/>
      <c r="AZ25" s="1351">
        <f t="shared" si="12"/>
        <v>1304857</v>
      </c>
      <c r="BA25" s="1352">
        <v>390794</v>
      </c>
      <c r="BB25" s="1352"/>
      <c r="BC25" s="1352"/>
      <c r="BD25" s="1352"/>
      <c r="BE25" s="1352"/>
      <c r="BF25" s="1352"/>
      <c r="BG25" s="1352"/>
      <c r="BH25" s="1352"/>
      <c r="BI25" s="1352"/>
      <c r="BJ25" s="1352"/>
      <c r="BK25" s="1352"/>
      <c r="BL25" s="1352"/>
      <c r="BM25" s="1351">
        <f t="shared" si="13"/>
        <v>390794</v>
      </c>
      <c r="BN25" s="1350">
        <f t="shared" si="14"/>
        <v>4289485</v>
      </c>
      <c r="BO25" s="1350"/>
      <c r="BP25" s="1350">
        <f t="shared" si="17"/>
        <v>13280.139318885449</v>
      </c>
      <c r="BQ25" s="1371">
        <f t="shared" si="15"/>
        <v>1209.8885448916408</v>
      </c>
    </row>
    <row r="26" spans="1:69" s="359" customFormat="1">
      <c r="A26" s="1400" t="s">
        <v>713</v>
      </c>
      <c r="B26" s="359" t="s">
        <v>810</v>
      </c>
      <c r="C26" s="359" t="s">
        <v>698</v>
      </c>
      <c r="D26" s="359" t="s">
        <v>812</v>
      </c>
      <c r="G26" s="359">
        <v>369</v>
      </c>
      <c r="I26" s="359">
        <v>12.53</v>
      </c>
      <c r="J26" s="359">
        <v>10.67</v>
      </c>
      <c r="K26" s="359" t="s">
        <v>681</v>
      </c>
      <c r="L26" s="359" t="s">
        <v>682</v>
      </c>
      <c r="P26" s="1350">
        <f t="shared" si="16"/>
        <v>1659861.6400000001</v>
      </c>
      <c r="Q26" s="1351">
        <f t="shared" si="9"/>
        <v>1659861.6400000001</v>
      </c>
      <c r="R26" s="1352"/>
      <c r="S26" s="1352"/>
      <c r="T26" s="1352">
        <f>(3741481)-BL26</f>
        <v>3392533.64</v>
      </c>
      <c r="U26" s="1352"/>
      <c r="V26" s="1352"/>
      <c r="W26" s="1351">
        <f t="shared" si="10"/>
        <v>0</v>
      </c>
      <c r="X26" s="1352">
        <v>162976</v>
      </c>
      <c r="Y26" s="1352"/>
      <c r="Z26" s="1352"/>
      <c r="AA26" s="1352"/>
      <c r="AB26" s="1352"/>
      <c r="AC26" s="1352"/>
      <c r="AD26" s="1352">
        <v>107513</v>
      </c>
      <c r="AE26" s="1352"/>
      <c r="AF26" s="1352">
        <v>101613</v>
      </c>
      <c r="AG26" s="1352"/>
      <c r="AH26" s="1352">
        <v>9904</v>
      </c>
      <c r="AI26" s="1352">
        <v>176355</v>
      </c>
      <c r="AJ26" s="1352"/>
      <c r="AK26" s="1352"/>
      <c r="AL26" s="1352"/>
      <c r="AM26" s="1351">
        <f t="shared" si="11"/>
        <v>558361</v>
      </c>
      <c r="AN26" s="1352"/>
      <c r="AO26" s="1352"/>
      <c r="AP26" s="1352"/>
      <c r="AQ26" s="1352"/>
      <c r="AR26" s="1352"/>
      <c r="AS26" s="1352"/>
      <c r="AT26" s="1352"/>
      <c r="AU26" s="1352"/>
      <c r="AV26" s="1352">
        <v>62000</v>
      </c>
      <c r="AW26" s="1352"/>
      <c r="AX26" s="1352">
        <v>1732672</v>
      </c>
      <c r="AY26" s="1352"/>
      <c r="AZ26" s="1351">
        <f t="shared" si="12"/>
        <v>1794672</v>
      </c>
      <c r="BA26" s="1352"/>
      <c r="BB26" s="1352"/>
      <c r="BC26" s="1352"/>
      <c r="BD26" s="1352"/>
      <c r="BE26" s="1352"/>
      <c r="BF26" s="1352"/>
      <c r="BG26" s="1352"/>
      <c r="BH26" s="1352"/>
      <c r="BI26" s="1352"/>
      <c r="BJ26" s="1352"/>
      <c r="BK26" s="1352"/>
      <c r="BL26" s="1355">
        <f>4361842*0.08</f>
        <v>348947.36</v>
      </c>
      <c r="BM26" s="1353">
        <f t="shared" si="13"/>
        <v>348947.36</v>
      </c>
      <c r="BN26" s="1350">
        <f t="shared" si="14"/>
        <v>4361842</v>
      </c>
      <c r="BO26" s="1350">
        <v>4364588</v>
      </c>
      <c r="BP26" s="1350">
        <f t="shared" si="17"/>
        <v>11820.710027100271</v>
      </c>
      <c r="BQ26" s="1371">
        <f t="shared" si="15"/>
        <v>945.65680216802161</v>
      </c>
    </row>
    <row r="27" spans="1:69" s="359" customFormat="1">
      <c r="A27" s="1400" t="s">
        <v>714</v>
      </c>
      <c r="B27" s="359" t="s">
        <v>810</v>
      </c>
      <c r="C27" s="359" t="s">
        <v>698</v>
      </c>
      <c r="D27" s="359" t="s">
        <v>812</v>
      </c>
      <c r="G27" s="359">
        <v>189</v>
      </c>
      <c r="I27" s="359">
        <v>63.49</v>
      </c>
      <c r="J27" s="359">
        <v>9.5399999999999991</v>
      </c>
      <c r="K27" s="359" t="s">
        <v>686</v>
      </c>
      <c r="L27" s="359" t="s">
        <v>687</v>
      </c>
      <c r="P27" s="1350">
        <f t="shared" si="16"/>
        <v>923276</v>
      </c>
      <c r="Q27" s="1351">
        <f t="shared" si="9"/>
        <v>923276</v>
      </c>
      <c r="R27" s="1352"/>
      <c r="S27" s="1352"/>
      <c r="T27" s="1352">
        <v>1741398</v>
      </c>
      <c r="U27" s="1352"/>
      <c r="V27" s="1352"/>
      <c r="W27" s="1351">
        <f t="shared" si="10"/>
        <v>0</v>
      </c>
      <c r="X27" s="1352">
        <v>131635</v>
      </c>
      <c r="Y27" s="1352"/>
      <c r="Z27" s="1352"/>
      <c r="AA27" s="1352">
        <v>23183</v>
      </c>
      <c r="AB27" s="1352"/>
      <c r="AC27" s="1352"/>
      <c r="AD27" s="1352">
        <v>4894</v>
      </c>
      <c r="AE27" s="1352"/>
      <c r="AF27" s="1352"/>
      <c r="AG27" s="1352"/>
      <c r="AH27" s="1352"/>
      <c r="AI27" s="1352"/>
      <c r="AJ27" s="1352"/>
      <c r="AK27" s="1352"/>
      <c r="AL27" s="1352">
        <v>413616</v>
      </c>
      <c r="AM27" s="1351">
        <f t="shared" si="11"/>
        <v>573328</v>
      </c>
      <c r="AN27" s="1352"/>
      <c r="AO27" s="1352"/>
      <c r="AP27" s="1352"/>
      <c r="AQ27" s="1352"/>
      <c r="AR27" s="1352"/>
      <c r="AS27" s="1352"/>
      <c r="AT27" s="1352"/>
      <c r="AU27" s="1352"/>
      <c r="AV27" s="1352">
        <v>95000</v>
      </c>
      <c r="AW27" s="1352"/>
      <c r="AX27" s="1352">
        <v>818122</v>
      </c>
      <c r="AY27" s="1352"/>
      <c r="AZ27" s="1351">
        <f t="shared" si="12"/>
        <v>913122</v>
      </c>
      <c r="BA27" s="1352">
        <v>88750</v>
      </c>
      <c r="BB27" s="1352"/>
      <c r="BC27" s="1352"/>
      <c r="BD27" s="1352"/>
      <c r="BE27" s="1352">
        <v>59077</v>
      </c>
      <c r="BF27" s="1352"/>
      <c r="BG27" s="1352"/>
      <c r="BH27" s="1352"/>
      <c r="BI27" s="1352"/>
      <c r="BJ27" s="1352"/>
      <c r="BK27" s="1352"/>
      <c r="BL27" s="1352"/>
      <c r="BM27" s="1351">
        <f t="shared" si="13"/>
        <v>147827</v>
      </c>
      <c r="BN27" s="1350">
        <f t="shared" si="14"/>
        <v>2557553</v>
      </c>
      <c r="BO27" s="1350"/>
      <c r="BP27" s="1350">
        <f t="shared" si="17"/>
        <v>13532.026455026455</v>
      </c>
      <c r="BQ27" s="1371">
        <f t="shared" si="15"/>
        <v>782.15343915343919</v>
      </c>
    </row>
    <row r="28" spans="1:69" s="1356" customFormat="1">
      <c r="A28" s="1426" t="s">
        <v>715</v>
      </c>
      <c r="B28" s="1356" t="s">
        <v>810</v>
      </c>
      <c r="C28" s="1356" t="s">
        <v>698</v>
      </c>
      <c r="D28" s="1356" t="s">
        <v>812</v>
      </c>
      <c r="G28" s="1356">
        <v>355</v>
      </c>
      <c r="I28" s="1356">
        <v>62.47</v>
      </c>
      <c r="J28" s="1356">
        <v>8.4700000000000006</v>
      </c>
      <c r="K28" s="1356" t="s">
        <v>674</v>
      </c>
      <c r="L28" s="1356" t="s">
        <v>675</v>
      </c>
      <c r="P28" s="1350">
        <f t="shared" si="16"/>
        <v>1844597</v>
      </c>
      <c r="Q28" s="1377">
        <f t="shared" si="9"/>
        <v>1844597</v>
      </c>
      <c r="R28" s="1357"/>
      <c r="S28" s="1357"/>
      <c r="T28" s="1357">
        <v>3429333</v>
      </c>
      <c r="U28" s="1357"/>
      <c r="V28" s="1357"/>
      <c r="W28" s="1351">
        <f t="shared" si="10"/>
        <v>0</v>
      </c>
      <c r="X28" s="1357">
        <v>5608</v>
      </c>
      <c r="Y28" s="1357"/>
      <c r="Z28" s="1357"/>
      <c r="AA28" s="1357">
        <v>2666</v>
      </c>
      <c r="AB28" s="1357">
        <v>22854</v>
      </c>
      <c r="AC28" s="1357"/>
      <c r="AD28" s="1357">
        <v>221709</v>
      </c>
      <c r="AE28" s="1357"/>
      <c r="AF28" s="1357"/>
      <c r="AG28" s="1357"/>
      <c r="AH28" s="1357"/>
      <c r="AI28" s="1357">
        <v>3475</v>
      </c>
      <c r="AJ28" s="1357"/>
      <c r="AK28" s="1357"/>
      <c r="AL28" s="1357"/>
      <c r="AM28" s="1351">
        <f t="shared" si="11"/>
        <v>256312</v>
      </c>
      <c r="AN28" s="1357"/>
      <c r="AO28" s="1357">
        <v>280536</v>
      </c>
      <c r="AP28" s="1357"/>
      <c r="AQ28" s="1357"/>
      <c r="AR28" s="1357"/>
      <c r="AS28" s="1357"/>
      <c r="AT28" s="1357"/>
      <c r="AU28" s="1357"/>
      <c r="AV28" s="1357"/>
      <c r="AW28" s="1357">
        <v>119996</v>
      </c>
      <c r="AX28" s="1357">
        <v>1584736</v>
      </c>
      <c r="AY28" s="1357"/>
      <c r="AZ28" s="1351">
        <f t="shared" si="12"/>
        <v>1985268</v>
      </c>
      <c r="BA28" s="1357">
        <v>153615</v>
      </c>
      <c r="BB28" s="1357"/>
      <c r="BC28" s="1357"/>
      <c r="BD28" s="1357"/>
      <c r="BE28" s="1357"/>
      <c r="BF28" s="1357"/>
      <c r="BG28" s="1357"/>
      <c r="BH28" s="1357"/>
      <c r="BI28" s="1357"/>
      <c r="BJ28" s="1357"/>
      <c r="BK28" s="1357"/>
      <c r="BL28" s="1357"/>
      <c r="BM28" s="1351">
        <f t="shared" si="13"/>
        <v>153615</v>
      </c>
      <c r="BN28" s="1350">
        <f t="shared" si="14"/>
        <v>4239792</v>
      </c>
      <c r="BO28" s="1350">
        <v>4239792</v>
      </c>
      <c r="BP28" s="1350">
        <f t="shared" si="17"/>
        <v>11943.076056338028</v>
      </c>
      <c r="BQ28" s="1371">
        <f t="shared" si="15"/>
        <v>432.71830985915494</v>
      </c>
    </row>
    <row r="29" spans="1:69">
      <c r="A29" s="377" t="s">
        <v>716</v>
      </c>
      <c r="G29" s="1297">
        <f>SUM(G16:G28)</f>
        <v>4291</v>
      </c>
      <c r="P29" s="1360"/>
      <c r="Q29" s="1378">
        <f>SUM(Q16:Q28)</f>
        <v>21032144.640000001</v>
      </c>
      <c r="W29" s="1363">
        <f>SUM(W16:W28)</f>
        <v>1342655</v>
      </c>
      <c r="AM29" s="1363">
        <f>SUM(AM16:AM28)</f>
        <v>6582336</v>
      </c>
      <c r="AZ29" s="1364">
        <f>SUM(AZ16:AZ28)</f>
        <v>23160878</v>
      </c>
      <c r="BM29" s="1364">
        <f>SUM(BM16:BM28)</f>
        <v>4412328.3599999994</v>
      </c>
      <c r="BN29" s="1379">
        <f>SUM(BN16:BN28)</f>
        <v>56530342</v>
      </c>
      <c r="BO29" s="1365"/>
      <c r="BP29" s="1367">
        <f t="shared" si="17"/>
        <v>13174.164996504311</v>
      </c>
      <c r="BQ29" s="1368">
        <f t="shared" si="15"/>
        <v>1028.2750780703798</v>
      </c>
    </row>
    <row r="30" spans="1:69" s="359" customFormat="1">
      <c r="A30" s="377" t="s">
        <v>717</v>
      </c>
      <c r="G30" s="359">
        <f>SUM(G17:G28)</f>
        <v>3927</v>
      </c>
      <c r="P30" s="377"/>
      <c r="Q30" s="1467">
        <f>SUM(Q17:Q28)</f>
        <v>21032144.640000001</v>
      </c>
      <c r="W30" s="1467"/>
      <c r="AM30" s="1468"/>
      <c r="AZ30" s="1468">
        <f>SUM(AZ17:AZ28)</f>
        <v>19224623</v>
      </c>
      <c r="BM30" s="1468">
        <f>SUM(BM17:BM28)</f>
        <v>3619243.36</v>
      </c>
      <c r="BN30" s="1370"/>
      <c r="BO30" s="1371"/>
      <c r="BP30" s="1370"/>
      <c r="BQ30" s="1371">
        <f t="shared" si="15"/>
        <v>921.63059842118662</v>
      </c>
    </row>
    <row r="31" spans="1:69">
      <c r="Q31" s="1372"/>
      <c r="W31" s="1372"/>
      <c r="AM31" s="1372"/>
      <c r="AZ31" s="1372"/>
      <c r="BM31" s="1372"/>
    </row>
    <row r="32" spans="1:69" s="1349" customFormat="1">
      <c r="A32" s="1374" t="s">
        <v>718</v>
      </c>
      <c r="Q32" s="1375"/>
      <c r="W32" s="1375"/>
      <c r="AM32" s="1375"/>
      <c r="AZ32" s="1375"/>
      <c r="BM32" s="1375"/>
    </row>
    <row r="33" spans="1:69" s="377" customFormat="1">
      <c r="A33" s="1427" t="s">
        <v>719</v>
      </c>
      <c r="B33" s="377" t="s">
        <v>810</v>
      </c>
      <c r="C33" s="377" t="s">
        <v>720</v>
      </c>
      <c r="D33" s="377" t="s">
        <v>721</v>
      </c>
      <c r="G33" s="377">
        <v>68</v>
      </c>
      <c r="I33" s="377">
        <v>75</v>
      </c>
      <c r="J33" s="377">
        <v>1</v>
      </c>
      <c r="K33" s="1380" t="s">
        <v>686</v>
      </c>
      <c r="L33" s="1380" t="s">
        <v>687</v>
      </c>
      <c r="M33" s="1381"/>
      <c r="N33" s="1381"/>
      <c r="O33" s="1381"/>
      <c r="P33" s="1350">
        <f>T33-AX33</f>
        <v>-70603.94</v>
      </c>
      <c r="Q33" s="1351">
        <f t="shared" ref="Q33:Q59" si="18">SUM(M33:P33)</f>
        <v>-70603.94</v>
      </c>
      <c r="R33" s="1381"/>
      <c r="S33" s="1381"/>
      <c r="T33" s="1382">
        <f>386042-BM33</f>
        <v>338381.06</v>
      </c>
      <c r="U33" s="1382">
        <v>143524</v>
      </c>
      <c r="V33" s="1381"/>
      <c r="W33" s="1351">
        <f t="shared" ref="W33:W59" si="19">SUM(R33:V33)-T33</f>
        <v>143524</v>
      </c>
      <c r="X33" s="1381"/>
      <c r="Y33" s="1381"/>
      <c r="Z33" s="1381"/>
      <c r="AA33" s="1381"/>
      <c r="AB33" s="1381"/>
      <c r="AC33" s="1381"/>
      <c r="AD33" s="1381"/>
      <c r="AE33" s="1381"/>
      <c r="AF33" s="1381"/>
      <c r="AG33" s="1381"/>
      <c r="AH33" s="1381"/>
      <c r="AI33" s="1381"/>
      <c r="AJ33" s="1381"/>
      <c r="AK33" s="1381"/>
      <c r="AL33" s="1381"/>
      <c r="AM33" s="1351">
        <f t="shared" ref="AM33:AM59" si="20">SUM(X33:AL33)</f>
        <v>0</v>
      </c>
      <c r="AN33" s="1381"/>
      <c r="AO33" s="1381"/>
      <c r="AP33" s="1381"/>
      <c r="AQ33" s="1381"/>
      <c r="AR33" s="1381"/>
      <c r="AS33" s="1381"/>
      <c r="AT33" s="1381"/>
      <c r="AU33" s="1381"/>
      <c r="AV33" s="1381"/>
      <c r="AW33" s="1381"/>
      <c r="AX33" s="1381">
        <v>408985</v>
      </c>
      <c r="AY33" s="1381"/>
      <c r="AZ33" s="1351">
        <f t="shared" ref="AZ33:AZ59" si="21">SUM(AN33:AY33)</f>
        <v>408985</v>
      </c>
      <c r="BA33" s="1381"/>
      <c r="BB33" s="1381"/>
      <c r="BC33" s="1381"/>
      <c r="BD33" s="1381"/>
      <c r="BE33" s="1381"/>
      <c r="BF33" s="1381"/>
      <c r="BG33" s="1381"/>
      <c r="BH33" s="1381"/>
      <c r="BI33" s="1381"/>
      <c r="BJ33" s="1381"/>
      <c r="BK33" s="1381"/>
      <c r="BL33" s="1381"/>
      <c r="BM33" s="1353">
        <f>529566*0.09</f>
        <v>47660.939999999995</v>
      </c>
      <c r="BN33" s="1350">
        <f t="shared" ref="BN33:BN59" si="22">SUM(Q33,W33,AM33,AZ33,BM33)</f>
        <v>529566</v>
      </c>
      <c r="BO33" s="1350"/>
      <c r="BP33" s="1350">
        <f t="shared" ref="BP33:BP60" si="23">BN33/G33</f>
        <v>7787.7352941176468</v>
      </c>
      <c r="BQ33" s="1368">
        <f t="shared" ref="BQ33:BQ60" si="24">BM33/G33</f>
        <v>700.89617647058822</v>
      </c>
    </row>
    <row r="34" spans="1:69" s="359" customFormat="1">
      <c r="A34" s="1400" t="s">
        <v>722</v>
      </c>
      <c r="B34" s="359" t="s">
        <v>810</v>
      </c>
      <c r="C34" s="359" t="s">
        <v>723</v>
      </c>
      <c r="D34" s="359" t="s">
        <v>812</v>
      </c>
      <c r="G34" s="359">
        <v>425</v>
      </c>
      <c r="I34" s="359">
        <v>17.690000000000001</v>
      </c>
      <c r="J34" s="359">
        <v>8.6199999999999992</v>
      </c>
      <c r="K34" s="359" t="s">
        <v>674</v>
      </c>
      <c r="L34" s="359" t="s">
        <v>675</v>
      </c>
      <c r="M34" s="1352"/>
      <c r="N34" s="1352"/>
      <c r="O34" s="1352"/>
      <c r="P34" s="1350">
        <f>T34-AX34</f>
        <v>468772</v>
      </c>
      <c r="Q34" s="1351">
        <f t="shared" si="18"/>
        <v>468772</v>
      </c>
      <c r="R34" s="1352"/>
      <c r="S34" s="1352"/>
      <c r="T34" s="1352">
        <v>2376992</v>
      </c>
      <c r="U34" s="1352">
        <v>249375</v>
      </c>
      <c r="V34" s="1352"/>
      <c r="W34" s="1351">
        <f t="shared" si="19"/>
        <v>249375</v>
      </c>
      <c r="X34" s="1352"/>
      <c r="Y34" s="1352">
        <v>611</v>
      </c>
      <c r="Z34" s="1352"/>
      <c r="AA34" s="1352"/>
      <c r="AB34" s="1352"/>
      <c r="AC34" s="1352"/>
      <c r="AD34" s="1352"/>
      <c r="AE34" s="1352"/>
      <c r="AF34" s="1352"/>
      <c r="AG34" s="1352"/>
      <c r="AH34" s="1352"/>
      <c r="AI34" s="1352"/>
      <c r="AJ34" s="1352"/>
      <c r="AK34" s="1352"/>
      <c r="AL34" s="1352"/>
      <c r="AM34" s="1351">
        <f t="shared" si="20"/>
        <v>611</v>
      </c>
      <c r="AN34" s="1352"/>
      <c r="AO34" s="1352"/>
      <c r="AP34" s="1352"/>
      <c r="AQ34" s="1352"/>
      <c r="AR34" s="1352"/>
      <c r="AS34" s="1352"/>
      <c r="AT34" s="1352"/>
      <c r="AU34" s="1352"/>
      <c r="AV34" s="1352"/>
      <c r="AW34" s="1352"/>
      <c r="AX34" s="1352">
        <v>1908220</v>
      </c>
      <c r="AY34" s="1352"/>
      <c r="AZ34" s="1351">
        <f t="shared" si="21"/>
        <v>1908220</v>
      </c>
      <c r="BA34" s="1352"/>
      <c r="BB34" s="1352"/>
      <c r="BC34" s="1352"/>
      <c r="BD34" s="1352"/>
      <c r="BE34" s="1352"/>
      <c r="BF34" s="1352"/>
      <c r="BG34" s="1352"/>
      <c r="BH34" s="1352"/>
      <c r="BI34" s="1352"/>
      <c r="BJ34" s="1352"/>
      <c r="BK34" s="1352"/>
      <c r="BL34" s="1352">
        <v>85972</v>
      </c>
      <c r="BM34" s="1351">
        <f t="shared" ref="BM34:BM59" si="25">SUM(BA34:BL34)</f>
        <v>85972</v>
      </c>
      <c r="BN34" s="1350">
        <f t="shared" si="22"/>
        <v>2712950</v>
      </c>
      <c r="BO34" s="1350">
        <v>2712950</v>
      </c>
      <c r="BP34" s="1350">
        <f t="shared" si="23"/>
        <v>6383.411764705882</v>
      </c>
      <c r="BQ34" s="1371">
        <f t="shared" si="24"/>
        <v>202.28705882352941</v>
      </c>
    </row>
    <row r="35" spans="1:69" s="359" customFormat="1">
      <c r="A35" s="1400" t="s">
        <v>724</v>
      </c>
      <c r="B35" s="359" t="s">
        <v>810</v>
      </c>
      <c r="C35" s="359" t="s">
        <v>859</v>
      </c>
      <c r="D35" s="359" t="s">
        <v>812</v>
      </c>
      <c r="G35" s="359">
        <v>157</v>
      </c>
      <c r="I35" s="359">
        <v>60.25</v>
      </c>
      <c r="J35" s="359">
        <v>32.380000000000003</v>
      </c>
      <c r="K35" s="359" t="s">
        <v>860</v>
      </c>
      <c r="L35" s="359" t="s">
        <v>675</v>
      </c>
      <c r="M35" s="1352"/>
      <c r="N35" s="1352"/>
      <c r="O35" s="1352"/>
      <c r="P35" s="1352">
        <f>311373+815</f>
        <v>312188</v>
      </c>
      <c r="Q35" s="1351">
        <f t="shared" si="18"/>
        <v>312188</v>
      </c>
      <c r="R35" s="1352"/>
      <c r="S35" s="1352"/>
      <c r="T35" s="1352"/>
      <c r="U35" s="1352"/>
      <c r="V35" s="1352"/>
      <c r="W35" s="1351">
        <f t="shared" si="19"/>
        <v>0</v>
      </c>
      <c r="X35" s="1352"/>
      <c r="Y35" s="1352"/>
      <c r="Z35" s="1352"/>
      <c r="AA35" s="1352">
        <v>8080</v>
      </c>
      <c r="AB35" s="1352"/>
      <c r="AC35" s="1352"/>
      <c r="AD35" s="1352"/>
      <c r="AE35" s="1352"/>
      <c r="AF35" s="1352"/>
      <c r="AG35" s="1352"/>
      <c r="AH35" s="1352"/>
      <c r="AI35" s="1352"/>
      <c r="AJ35" s="1352"/>
      <c r="AK35" s="1352"/>
      <c r="AL35" s="1352"/>
      <c r="AM35" s="1351">
        <f t="shared" si="20"/>
        <v>8080</v>
      </c>
      <c r="AN35" s="1352"/>
      <c r="AO35" s="1352"/>
      <c r="AP35" s="1352"/>
      <c r="AQ35" s="1352"/>
      <c r="AR35" s="1352"/>
      <c r="AS35" s="1352"/>
      <c r="AT35" s="1352"/>
      <c r="AU35" s="1352"/>
      <c r="AV35" s="1352">
        <v>42000</v>
      </c>
      <c r="AW35" s="1352"/>
      <c r="AX35" s="1352">
        <v>848417</v>
      </c>
      <c r="AY35" s="1352"/>
      <c r="AZ35" s="1351">
        <f t="shared" si="21"/>
        <v>890417</v>
      </c>
      <c r="BA35" s="1352">
        <v>50545</v>
      </c>
      <c r="BB35" s="1352"/>
      <c r="BC35" s="1352"/>
      <c r="BD35" s="1352"/>
      <c r="BE35" s="1352">
        <v>65357</v>
      </c>
      <c r="BF35" s="1352"/>
      <c r="BG35" s="1352"/>
      <c r="BH35" s="1352"/>
      <c r="BI35" s="1352">
        <v>24954</v>
      </c>
      <c r="BJ35" s="1352"/>
      <c r="BK35" s="1352"/>
      <c r="BL35" s="1352"/>
      <c r="BM35" s="1351">
        <f t="shared" si="25"/>
        <v>140856</v>
      </c>
      <c r="BN35" s="1350">
        <f t="shared" si="22"/>
        <v>1351541</v>
      </c>
      <c r="BO35" s="1350">
        <v>1351541</v>
      </c>
      <c r="BP35" s="1350">
        <f t="shared" si="23"/>
        <v>8608.5414012738856</v>
      </c>
      <c r="BQ35" s="1371">
        <f t="shared" si="24"/>
        <v>897.171974522293</v>
      </c>
    </row>
    <row r="36" spans="1:69" s="359" customFormat="1">
      <c r="A36" s="1400" t="s">
        <v>861</v>
      </c>
      <c r="B36" s="359" t="s">
        <v>810</v>
      </c>
      <c r="C36" s="359" t="s">
        <v>862</v>
      </c>
      <c r="D36" s="359" t="s">
        <v>812</v>
      </c>
      <c r="G36" s="359">
        <v>743</v>
      </c>
      <c r="I36" s="359">
        <v>39.97</v>
      </c>
      <c r="J36" s="359">
        <v>8.02</v>
      </c>
      <c r="K36" s="359" t="s">
        <v>863</v>
      </c>
      <c r="L36" s="359" t="s">
        <v>675</v>
      </c>
      <c r="M36" s="1352"/>
      <c r="N36" s="1352"/>
      <c r="O36" s="1352"/>
      <c r="P36" s="1352">
        <v>1824004</v>
      </c>
      <c r="Q36" s="1351">
        <f t="shared" si="18"/>
        <v>1824004</v>
      </c>
      <c r="R36" s="1352"/>
      <c r="S36" s="1352"/>
      <c r="T36" s="1352"/>
      <c r="U36" s="1352"/>
      <c r="V36" s="1352"/>
      <c r="W36" s="1351">
        <f t="shared" si="19"/>
        <v>0</v>
      </c>
      <c r="X36" s="1352"/>
      <c r="Y36" s="1352"/>
      <c r="Z36" s="1352"/>
      <c r="AA36" s="1352"/>
      <c r="AB36" s="1352"/>
      <c r="AC36" s="1352"/>
      <c r="AD36" s="1352"/>
      <c r="AE36" s="1352"/>
      <c r="AF36" s="1352"/>
      <c r="AG36" s="1352"/>
      <c r="AH36" s="1352"/>
      <c r="AI36" s="1352"/>
      <c r="AJ36" s="1352"/>
      <c r="AK36" s="1352"/>
      <c r="AL36" s="1352"/>
      <c r="AM36" s="1351">
        <f t="shared" si="20"/>
        <v>0</v>
      </c>
      <c r="AN36" s="1352"/>
      <c r="AO36" s="1352"/>
      <c r="AP36" s="1352">
        <v>14303</v>
      </c>
      <c r="AQ36" s="1352"/>
      <c r="AR36" s="1352"/>
      <c r="AS36" s="1352"/>
      <c r="AT36" s="1352"/>
      <c r="AU36" s="1352"/>
      <c r="AV36" s="1352">
        <v>50000</v>
      </c>
      <c r="AW36" s="1352">
        <v>219091</v>
      </c>
      <c r="AX36" s="1352">
        <v>2286680</v>
      </c>
      <c r="AY36" s="1352"/>
      <c r="AZ36" s="1351">
        <f t="shared" si="21"/>
        <v>2570074</v>
      </c>
      <c r="BA36" s="1352"/>
      <c r="BB36" s="1352"/>
      <c r="BC36" s="1352"/>
      <c r="BD36" s="1352"/>
      <c r="BE36" s="1352"/>
      <c r="BF36" s="1352"/>
      <c r="BG36" s="1352"/>
      <c r="BH36" s="1352"/>
      <c r="BI36" s="1352"/>
      <c r="BJ36" s="1352"/>
      <c r="BK36" s="1352"/>
      <c r="BL36" s="1352">
        <v>207256</v>
      </c>
      <c r="BM36" s="1351">
        <f t="shared" si="25"/>
        <v>207256</v>
      </c>
      <c r="BN36" s="1350">
        <f t="shared" si="22"/>
        <v>4601334</v>
      </c>
      <c r="BO36" s="1350">
        <v>4631893</v>
      </c>
      <c r="BP36" s="1350">
        <f t="shared" si="23"/>
        <v>6192.9125168236878</v>
      </c>
      <c r="BQ36" s="1371">
        <f t="shared" si="24"/>
        <v>278.94481830417226</v>
      </c>
    </row>
    <row r="37" spans="1:69" s="359" customFormat="1">
      <c r="A37" s="1400" t="s">
        <v>864</v>
      </c>
      <c r="B37" s="359" t="s">
        <v>865</v>
      </c>
      <c r="C37" s="359" t="s">
        <v>866</v>
      </c>
      <c r="D37" s="359" t="s">
        <v>867</v>
      </c>
      <c r="G37" s="359">
        <v>132</v>
      </c>
      <c r="I37" s="359">
        <v>0</v>
      </c>
      <c r="J37" s="359">
        <v>14.47</v>
      </c>
      <c r="K37" s="359" t="s">
        <v>860</v>
      </c>
      <c r="L37" s="359" t="s">
        <v>675</v>
      </c>
      <c r="M37" s="1355"/>
      <c r="N37" s="1355"/>
      <c r="O37" s="1355"/>
      <c r="P37" s="1355"/>
      <c r="Q37" s="1353">
        <f t="shared" si="18"/>
        <v>0</v>
      </c>
      <c r="R37" s="1352"/>
      <c r="S37" s="1352"/>
      <c r="T37" s="1352"/>
      <c r="U37" s="1352"/>
      <c r="V37" s="1352"/>
      <c r="W37" s="1351">
        <f t="shared" si="19"/>
        <v>0</v>
      </c>
      <c r="X37" s="1352"/>
      <c r="Y37" s="1352"/>
      <c r="Z37" s="1352"/>
      <c r="AA37" s="1352">
        <v>20983</v>
      </c>
      <c r="AB37" s="1352"/>
      <c r="AC37" s="1352"/>
      <c r="AD37" s="1352"/>
      <c r="AE37" s="1352">
        <v>9144</v>
      </c>
      <c r="AF37" s="1352"/>
      <c r="AG37" s="1352"/>
      <c r="AH37" s="1352"/>
      <c r="AI37" s="1352"/>
      <c r="AJ37" s="1352"/>
      <c r="AK37" s="1352"/>
      <c r="AL37" s="1352"/>
      <c r="AM37" s="1351">
        <f t="shared" si="20"/>
        <v>30127</v>
      </c>
      <c r="AN37" s="1352"/>
      <c r="AO37" s="1352"/>
      <c r="AP37" s="1352"/>
      <c r="AQ37" s="1352"/>
      <c r="AR37" s="1352"/>
      <c r="AS37" s="1352"/>
      <c r="AT37" s="1352"/>
      <c r="AU37" s="1352"/>
      <c r="AV37" s="1352"/>
      <c r="AW37" s="1352"/>
      <c r="AX37" s="1355"/>
      <c r="AY37" s="1352">
        <v>1032639</v>
      </c>
      <c r="AZ37" s="1351">
        <f t="shared" si="21"/>
        <v>1032639</v>
      </c>
      <c r="BA37" s="1352"/>
      <c r="BB37" s="1352"/>
      <c r="BC37" s="1352"/>
      <c r="BD37" s="1352"/>
      <c r="BE37" s="1352"/>
      <c r="BF37" s="1352"/>
      <c r="BG37" s="1352"/>
      <c r="BH37" s="1352"/>
      <c r="BI37" s="1352"/>
      <c r="BJ37" s="1352">
        <v>31070</v>
      </c>
      <c r="BK37" s="1352"/>
      <c r="BL37" s="1352">
        <v>58529</v>
      </c>
      <c r="BM37" s="1351">
        <f t="shared" si="25"/>
        <v>89599</v>
      </c>
      <c r="BN37" s="1350">
        <f t="shared" si="22"/>
        <v>1152365</v>
      </c>
      <c r="BO37" s="1350">
        <v>1148166</v>
      </c>
      <c r="BP37" s="1350">
        <f t="shared" si="23"/>
        <v>8730.0378787878781</v>
      </c>
      <c r="BQ37" s="1371">
        <f t="shared" si="24"/>
        <v>678.780303030303</v>
      </c>
    </row>
    <row r="38" spans="1:69" s="359" customFormat="1">
      <c r="A38" s="1400" t="s">
        <v>868</v>
      </c>
      <c r="B38" s="359" t="s">
        <v>810</v>
      </c>
      <c r="C38" s="359" t="s">
        <v>869</v>
      </c>
      <c r="D38" s="359" t="s">
        <v>812</v>
      </c>
      <c r="G38" s="359">
        <v>182</v>
      </c>
      <c r="I38" s="359">
        <v>37</v>
      </c>
      <c r="J38" s="359">
        <v>7.5</v>
      </c>
      <c r="K38" s="359" t="s">
        <v>870</v>
      </c>
      <c r="L38" s="359" t="s">
        <v>682</v>
      </c>
      <c r="M38" s="1352"/>
      <c r="N38" s="1352"/>
      <c r="O38" s="1352"/>
      <c r="P38" s="1350">
        <f t="shared" ref="P38:P58" si="26">T38-AX38</f>
        <v>395064</v>
      </c>
      <c r="Q38" s="1351">
        <f t="shared" si="18"/>
        <v>395064</v>
      </c>
      <c r="R38" s="1352"/>
      <c r="S38" s="1352"/>
      <c r="T38" s="1352">
        <v>1180950</v>
      </c>
      <c r="U38" s="1352">
        <v>68071</v>
      </c>
      <c r="V38" s="1352"/>
      <c r="W38" s="1351">
        <f t="shared" si="19"/>
        <v>68071</v>
      </c>
      <c r="X38" s="1352"/>
      <c r="Y38" s="1352"/>
      <c r="Z38" s="1352"/>
      <c r="AA38" s="1352"/>
      <c r="AB38" s="1352"/>
      <c r="AC38" s="1352"/>
      <c r="AD38" s="1352"/>
      <c r="AE38" s="1352"/>
      <c r="AF38" s="1352"/>
      <c r="AG38" s="1352"/>
      <c r="AH38" s="1352"/>
      <c r="AI38" s="1352"/>
      <c r="AJ38" s="1352"/>
      <c r="AK38" s="1352"/>
      <c r="AL38" s="1352"/>
      <c r="AM38" s="1351">
        <f t="shared" si="20"/>
        <v>0</v>
      </c>
      <c r="AN38" s="1352"/>
      <c r="AO38" s="1352"/>
      <c r="AP38" s="1352"/>
      <c r="AQ38" s="1352"/>
      <c r="AR38" s="1352"/>
      <c r="AS38" s="1352"/>
      <c r="AT38" s="1352"/>
      <c r="AU38" s="1352"/>
      <c r="AV38" s="1352"/>
      <c r="AW38" s="1352"/>
      <c r="AX38" s="1352">
        <v>785886</v>
      </c>
      <c r="AY38" s="1352">
        <v>154643</v>
      </c>
      <c r="AZ38" s="1351">
        <f t="shared" si="21"/>
        <v>940529</v>
      </c>
      <c r="BA38" s="1352"/>
      <c r="BB38" s="1352"/>
      <c r="BC38" s="1352"/>
      <c r="BD38" s="1352"/>
      <c r="BE38" s="1352"/>
      <c r="BF38" s="1352"/>
      <c r="BG38" s="1352"/>
      <c r="BH38" s="1352"/>
      <c r="BI38" s="1352"/>
      <c r="BJ38" s="1352"/>
      <c r="BK38" s="1352"/>
      <c r="BL38" s="1352">
        <v>30030</v>
      </c>
      <c r="BM38" s="1351">
        <f t="shared" si="25"/>
        <v>30030</v>
      </c>
      <c r="BN38" s="1350">
        <f>SUM(Q38,W38,AM38,AZ38,BM38)</f>
        <v>1433694</v>
      </c>
      <c r="BO38" s="1350">
        <v>1433694</v>
      </c>
      <c r="BP38" s="1350">
        <f t="shared" si="23"/>
        <v>7877.4395604395604</v>
      </c>
      <c r="BQ38" s="1371">
        <f t="shared" si="24"/>
        <v>165</v>
      </c>
    </row>
    <row r="39" spans="1:69" s="359" customFormat="1">
      <c r="A39" s="1425" t="s">
        <v>871</v>
      </c>
      <c r="B39" s="359" t="s">
        <v>865</v>
      </c>
      <c r="C39" s="359" t="s">
        <v>872</v>
      </c>
      <c r="D39" s="359" t="s">
        <v>812</v>
      </c>
      <c r="G39" s="359">
        <v>171</v>
      </c>
      <c r="I39" s="359">
        <v>16.829999999999998</v>
      </c>
      <c r="J39" s="359">
        <v>8.17</v>
      </c>
      <c r="K39" s="359" t="s">
        <v>709</v>
      </c>
      <c r="L39" s="359" t="s">
        <v>682</v>
      </c>
      <c r="M39" s="1355"/>
      <c r="N39" s="1355"/>
      <c r="O39" s="1355"/>
      <c r="P39" s="1355"/>
      <c r="Q39" s="1353">
        <f t="shared" si="18"/>
        <v>0</v>
      </c>
      <c r="R39" s="1352"/>
      <c r="S39" s="1352"/>
      <c r="T39" s="1352"/>
      <c r="U39" s="1352"/>
      <c r="V39" s="1352"/>
      <c r="W39" s="1351">
        <f t="shared" si="19"/>
        <v>0</v>
      </c>
      <c r="X39" s="1352"/>
      <c r="Y39" s="1352"/>
      <c r="Z39" s="1352">
        <v>250000</v>
      </c>
      <c r="AA39" s="1352"/>
      <c r="AB39" s="1352"/>
      <c r="AC39" s="1352"/>
      <c r="AD39" s="1352">
        <v>31500</v>
      </c>
      <c r="AE39" s="1352"/>
      <c r="AF39" s="1352"/>
      <c r="AG39" s="1352"/>
      <c r="AH39" s="1352"/>
      <c r="AI39" s="1352">
        <v>20491</v>
      </c>
      <c r="AJ39" s="1352"/>
      <c r="AK39" s="1352"/>
      <c r="AL39" s="1352"/>
      <c r="AM39" s="1351">
        <f t="shared" si="20"/>
        <v>301991</v>
      </c>
      <c r="AN39" s="1352"/>
      <c r="AO39" s="1352"/>
      <c r="AP39" s="1352"/>
      <c r="AQ39" s="1352"/>
      <c r="AR39" s="1352"/>
      <c r="AS39" s="1352"/>
      <c r="AT39" s="1352"/>
      <c r="AU39" s="1352"/>
      <c r="AV39" s="1352"/>
      <c r="AW39" s="1352"/>
      <c r="AX39" s="1355"/>
      <c r="AY39" s="1352">
        <v>1476458</v>
      </c>
      <c r="AZ39" s="1351">
        <f t="shared" si="21"/>
        <v>1476458</v>
      </c>
      <c r="BA39" s="1352">
        <v>52148</v>
      </c>
      <c r="BB39" s="1352">
        <v>5441</v>
      </c>
      <c r="BC39" s="1352"/>
      <c r="BD39" s="1352"/>
      <c r="BE39" s="1352">
        <v>16621</v>
      </c>
      <c r="BF39" s="1352"/>
      <c r="BG39" s="1352"/>
      <c r="BH39" s="1352">
        <v>166758</v>
      </c>
      <c r="BI39" s="1352">
        <v>30657</v>
      </c>
      <c r="BJ39" s="1352"/>
      <c r="BK39" s="1352"/>
      <c r="BL39" s="1352"/>
      <c r="BM39" s="1351">
        <f t="shared" si="25"/>
        <v>271625</v>
      </c>
      <c r="BN39" s="1350">
        <f t="shared" si="22"/>
        <v>2050074</v>
      </c>
      <c r="BO39" s="1350">
        <v>2050074</v>
      </c>
      <c r="BP39" s="1350">
        <f t="shared" si="23"/>
        <v>11988.736842105263</v>
      </c>
      <c r="BQ39" s="1371">
        <f t="shared" si="24"/>
        <v>1588.4502923976609</v>
      </c>
    </row>
    <row r="40" spans="1:69" s="359" customFormat="1">
      <c r="A40" s="1400" t="s">
        <v>873</v>
      </c>
      <c r="B40" s="359" t="s">
        <v>810</v>
      </c>
      <c r="C40" s="359" t="s">
        <v>874</v>
      </c>
      <c r="D40" s="359" t="s">
        <v>812</v>
      </c>
      <c r="G40" s="359">
        <v>515</v>
      </c>
      <c r="I40" s="359">
        <v>28.62</v>
      </c>
      <c r="J40" s="359">
        <v>2.2000000000000002</v>
      </c>
      <c r="K40" s="359" t="s">
        <v>681</v>
      </c>
      <c r="L40" s="359" t="s">
        <v>682</v>
      </c>
      <c r="M40" s="1352"/>
      <c r="N40" s="1352"/>
      <c r="O40" s="1352"/>
      <c r="P40" s="1350">
        <f t="shared" si="26"/>
        <v>1396791.58</v>
      </c>
      <c r="Q40" s="1351">
        <f t="shared" si="18"/>
        <v>1396791.58</v>
      </c>
      <c r="R40" s="1352">
        <v>2543</v>
      </c>
      <c r="S40" s="1352"/>
      <c r="T40" s="1352">
        <f>3928364-BM40</f>
        <v>3549775.58</v>
      </c>
      <c r="U40" s="1352"/>
      <c r="V40" s="1352"/>
      <c r="W40" s="1351">
        <f t="shared" si="19"/>
        <v>2543</v>
      </c>
      <c r="X40" s="1352">
        <v>16261</v>
      </c>
      <c r="Y40" s="1352">
        <v>713</v>
      </c>
      <c r="Z40" s="1352"/>
      <c r="AA40" s="1352">
        <v>155989</v>
      </c>
      <c r="AB40" s="1352"/>
      <c r="AC40" s="1352"/>
      <c r="AD40" s="1352"/>
      <c r="AE40" s="1352"/>
      <c r="AF40" s="1352"/>
      <c r="AG40" s="1352"/>
      <c r="AH40" s="1352"/>
      <c r="AI40" s="1352">
        <v>102668</v>
      </c>
      <c r="AJ40" s="1352"/>
      <c r="AK40" s="1352"/>
      <c r="AL40" s="1352"/>
      <c r="AM40" s="1351">
        <f t="shared" si="20"/>
        <v>275631</v>
      </c>
      <c r="AN40" s="1352"/>
      <c r="AO40" s="1352"/>
      <c r="AP40" s="1352"/>
      <c r="AQ40" s="1352"/>
      <c r="AR40" s="1352"/>
      <c r="AS40" s="1352"/>
      <c r="AT40" s="1352"/>
      <c r="AU40" s="1352"/>
      <c r="AV40" s="1352"/>
      <c r="AW40" s="1352"/>
      <c r="AX40" s="1352">
        <v>2152984</v>
      </c>
      <c r="AY40" s="1352"/>
      <c r="AZ40" s="1351">
        <f t="shared" si="21"/>
        <v>2152984</v>
      </c>
      <c r="BA40" s="1352"/>
      <c r="BB40" s="1352"/>
      <c r="BC40" s="1352"/>
      <c r="BD40" s="1352"/>
      <c r="BE40" s="1352"/>
      <c r="BF40" s="1352"/>
      <c r="BG40" s="1352"/>
      <c r="BH40" s="1352"/>
      <c r="BI40" s="1352"/>
      <c r="BJ40" s="1352"/>
      <c r="BK40" s="1352"/>
      <c r="BL40" s="1352"/>
      <c r="BM40" s="1353">
        <f>4206538*0.09</f>
        <v>378588.42</v>
      </c>
      <c r="BN40" s="1350">
        <f t="shared" si="22"/>
        <v>4206538</v>
      </c>
      <c r="BO40" s="1350">
        <v>4206538</v>
      </c>
      <c r="BP40" s="1350">
        <f t="shared" si="23"/>
        <v>8168.0349514563104</v>
      </c>
      <c r="BQ40" s="1371">
        <f t="shared" si="24"/>
        <v>735.12314563106793</v>
      </c>
    </row>
    <row r="41" spans="1:69" s="359" customFormat="1">
      <c r="A41" s="1400" t="s">
        <v>875</v>
      </c>
      <c r="B41" s="359" t="s">
        <v>810</v>
      </c>
      <c r="C41" s="359" t="s">
        <v>874</v>
      </c>
      <c r="D41" s="359" t="s">
        <v>812</v>
      </c>
      <c r="G41" s="359">
        <v>325</v>
      </c>
      <c r="I41" s="359">
        <v>88.79</v>
      </c>
      <c r="J41" s="359">
        <v>6.19</v>
      </c>
      <c r="K41" s="359" t="s">
        <v>691</v>
      </c>
      <c r="L41" s="359" t="s">
        <v>679</v>
      </c>
      <c r="M41" s="1352"/>
      <c r="N41" s="1352"/>
      <c r="O41" s="1352"/>
      <c r="P41" s="1350">
        <f t="shared" si="26"/>
        <v>1186379</v>
      </c>
      <c r="Q41" s="1351">
        <f t="shared" si="18"/>
        <v>1186379</v>
      </c>
      <c r="R41" s="1352">
        <v>81000</v>
      </c>
      <c r="S41" s="1352"/>
      <c r="T41" s="1352">
        <v>2662507</v>
      </c>
      <c r="U41" s="1352"/>
      <c r="V41" s="1352"/>
      <c r="W41" s="1351">
        <f t="shared" si="19"/>
        <v>81000</v>
      </c>
      <c r="X41" s="1352">
        <v>38200</v>
      </c>
      <c r="Y41" s="1352">
        <v>1207</v>
      </c>
      <c r="Z41" s="1352"/>
      <c r="AA41" s="1352">
        <v>39538</v>
      </c>
      <c r="AB41" s="1352"/>
      <c r="AC41" s="1352"/>
      <c r="AD41" s="1352"/>
      <c r="AE41" s="1352"/>
      <c r="AF41" s="1352"/>
      <c r="AG41" s="1352"/>
      <c r="AH41" s="1352"/>
      <c r="AI41" s="1352">
        <v>144</v>
      </c>
      <c r="AJ41" s="1352"/>
      <c r="AK41" s="1352"/>
      <c r="AL41" s="1352"/>
      <c r="AM41" s="1351">
        <f t="shared" si="20"/>
        <v>79089</v>
      </c>
      <c r="AN41" s="1352"/>
      <c r="AO41" s="1352"/>
      <c r="AP41" s="1352"/>
      <c r="AQ41" s="1352"/>
      <c r="AR41" s="1352"/>
      <c r="AS41" s="1352"/>
      <c r="AT41" s="1352"/>
      <c r="AU41" s="1352"/>
      <c r="AV41" s="1352"/>
      <c r="AW41" s="1352"/>
      <c r="AX41" s="1352">
        <v>1476128</v>
      </c>
      <c r="AY41" s="1352"/>
      <c r="AZ41" s="1351">
        <f t="shared" si="21"/>
        <v>1476128</v>
      </c>
      <c r="BA41" s="1352">
        <v>103126</v>
      </c>
      <c r="BB41" s="1352">
        <v>9413</v>
      </c>
      <c r="BC41" s="1352">
        <v>5760</v>
      </c>
      <c r="BD41" s="1352"/>
      <c r="BE41" s="1352">
        <v>233043</v>
      </c>
      <c r="BF41" s="1352"/>
      <c r="BG41" s="1352"/>
      <c r="BH41" s="1352"/>
      <c r="BI41" s="1352"/>
      <c r="BJ41" s="1352"/>
      <c r="BK41" s="1352"/>
      <c r="BL41" s="1352"/>
      <c r="BM41" s="1351">
        <f t="shared" si="25"/>
        <v>351342</v>
      </c>
      <c r="BN41" s="1350">
        <f t="shared" si="22"/>
        <v>3173938</v>
      </c>
      <c r="BO41" s="1350">
        <v>3172974</v>
      </c>
      <c r="BP41" s="1350">
        <f t="shared" si="23"/>
        <v>9765.9630769230771</v>
      </c>
      <c r="BQ41" s="1371">
        <f t="shared" si="24"/>
        <v>1081.0523076923077</v>
      </c>
    </row>
    <row r="42" spans="1:69" s="359" customFormat="1">
      <c r="A42" s="1400" t="s">
        <v>876</v>
      </c>
      <c r="B42" s="359" t="s">
        <v>810</v>
      </c>
      <c r="C42" s="359" t="s">
        <v>874</v>
      </c>
      <c r="D42" s="359" t="s">
        <v>812</v>
      </c>
      <c r="G42" s="359">
        <v>74</v>
      </c>
      <c r="I42" s="359">
        <v>48.05</v>
      </c>
      <c r="J42" s="359">
        <v>7.79</v>
      </c>
      <c r="K42" s="359" t="s">
        <v>877</v>
      </c>
      <c r="L42" s="359" t="s">
        <v>687</v>
      </c>
      <c r="M42" s="1352"/>
      <c r="N42" s="1352"/>
      <c r="O42" s="1352"/>
      <c r="P42" s="1350">
        <f t="shared" si="26"/>
        <v>571918.23</v>
      </c>
      <c r="Q42" s="1351">
        <f t="shared" si="18"/>
        <v>571918.23</v>
      </c>
      <c r="R42" s="1352"/>
      <c r="S42" s="1352"/>
      <c r="T42" s="1352">
        <f>1131453-BM42</f>
        <v>1029622.23</v>
      </c>
      <c r="U42" s="1352"/>
      <c r="V42" s="1352"/>
      <c r="W42" s="1351">
        <f t="shared" si="19"/>
        <v>0</v>
      </c>
      <c r="X42" s="1352"/>
      <c r="Y42" s="1352"/>
      <c r="Z42" s="1352"/>
      <c r="AA42" s="1352"/>
      <c r="AB42" s="1352"/>
      <c r="AC42" s="1352"/>
      <c r="AD42" s="1352"/>
      <c r="AE42" s="1352"/>
      <c r="AF42" s="1352"/>
      <c r="AG42" s="1352"/>
      <c r="AH42" s="1352"/>
      <c r="AI42" s="1352"/>
      <c r="AJ42" s="1352"/>
      <c r="AK42" s="1352"/>
      <c r="AL42" s="1352"/>
      <c r="AM42" s="1351">
        <f t="shared" si="20"/>
        <v>0</v>
      </c>
      <c r="AN42" s="1352"/>
      <c r="AO42" s="1352"/>
      <c r="AP42" s="1352"/>
      <c r="AQ42" s="1352"/>
      <c r="AR42" s="1352"/>
      <c r="AS42" s="1352"/>
      <c r="AT42" s="1352"/>
      <c r="AU42" s="1352"/>
      <c r="AV42" s="1352"/>
      <c r="AW42" s="1352"/>
      <c r="AX42" s="1352">
        <v>457704</v>
      </c>
      <c r="AY42" s="1352"/>
      <c r="AZ42" s="1351">
        <f t="shared" si="21"/>
        <v>457704</v>
      </c>
      <c r="BA42" s="1352"/>
      <c r="BB42" s="1352"/>
      <c r="BC42" s="1352"/>
      <c r="BD42" s="1352"/>
      <c r="BE42" s="1352"/>
      <c r="BF42" s="1352"/>
      <c r="BG42" s="1352"/>
      <c r="BH42" s="1352"/>
      <c r="BI42" s="1352"/>
      <c r="BJ42" s="1352"/>
      <c r="BK42" s="1352"/>
      <c r="BL42" s="1352"/>
      <c r="BM42" s="1353">
        <f>1131453*0.09</f>
        <v>101830.76999999999</v>
      </c>
      <c r="BN42" s="1350">
        <f t="shared" si="22"/>
        <v>1131453</v>
      </c>
      <c r="BO42" s="1350">
        <v>1131453</v>
      </c>
      <c r="BP42" s="1350">
        <f t="shared" si="23"/>
        <v>15289.905405405405</v>
      </c>
      <c r="BQ42" s="1371">
        <f t="shared" si="24"/>
        <v>1376.0914864864862</v>
      </c>
    </row>
    <row r="43" spans="1:69" s="359" customFormat="1">
      <c r="A43" s="1400" t="s">
        <v>878</v>
      </c>
      <c r="B43" s="359" t="s">
        <v>810</v>
      </c>
      <c r="C43" s="359" t="s">
        <v>879</v>
      </c>
      <c r="D43" s="359" t="s">
        <v>812</v>
      </c>
      <c r="G43" s="359">
        <v>544</v>
      </c>
      <c r="I43" s="359">
        <v>27.83</v>
      </c>
      <c r="J43" s="359">
        <v>1.29</v>
      </c>
      <c r="K43" s="359" t="s">
        <v>686</v>
      </c>
      <c r="L43" s="359" t="s">
        <v>687</v>
      </c>
      <c r="M43" s="1352"/>
      <c r="N43" s="1352"/>
      <c r="O43" s="1352"/>
      <c r="P43" s="1352">
        <v>2239287</v>
      </c>
      <c r="Q43" s="1351">
        <f t="shared" si="18"/>
        <v>2239287</v>
      </c>
      <c r="R43" s="1352"/>
      <c r="S43" s="1352"/>
      <c r="T43" s="1352"/>
      <c r="U43" s="1352"/>
      <c r="V43" s="1352"/>
      <c r="W43" s="1351">
        <f t="shared" si="19"/>
        <v>0</v>
      </c>
      <c r="X43" s="1352"/>
      <c r="Y43" s="1352">
        <v>39</v>
      </c>
      <c r="Z43" s="1352"/>
      <c r="AA43" s="1352"/>
      <c r="AB43" s="1352"/>
      <c r="AC43" s="1352"/>
      <c r="AD43" s="1352">
        <v>257527</v>
      </c>
      <c r="AE43" s="1352"/>
      <c r="AF43" s="1352">
        <v>301116</v>
      </c>
      <c r="AG43" s="1352"/>
      <c r="AH43" s="1352"/>
      <c r="AI43" s="1352"/>
      <c r="AJ43" s="1352"/>
      <c r="AK43" s="1352"/>
      <c r="AL43" s="1352"/>
      <c r="AM43" s="1351">
        <f t="shared" si="20"/>
        <v>558682</v>
      </c>
      <c r="AN43" s="1352"/>
      <c r="AO43" s="1352"/>
      <c r="AP43" s="1352"/>
      <c r="AQ43" s="1352"/>
      <c r="AR43" s="1352"/>
      <c r="AS43" s="1352"/>
      <c r="AT43" s="1352"/>
      <c r="AU43" s="1352"/>
      <c r="AV43" s="1352"/>
      <c r="AW43" s="1352"/>
      <c r="AX43" s="1352">
        <v>2259240</v>
      </c>
      <c r="AY43" s="1352"/>
      <c r="AZ43" s="1351">
        <f t="shared" si="21"/>
        <v>2259240</v>
      </c>
      <c r="BA43" s="1352"/>
      <c r="BB43" s="1352">
        <v>1634</v>
      </c>
      <c r="BC43" s="1352"/>
      <c r="BD43" s="1352">
        <v>44925</v>
      </c>
      <c r="BE43" s="1352">
        <v>93848</v>
      </c>
      <c r="BF43" s="1352"/>
      <c r="BG43" s="1352"/>
      <c r="BH43" s="1352"/>
      <c r="BI43" s="1352">
        <v>391899</v>
      </c>
      <c r="BJ43" s="1352">
        <v>31515</v>
      </c>
      <c r="BK43" s="1352">
        <v>72044</v>
      </c>
      <c r="BL43" s="1352"/>
      <c r="BM43" s="1351">
        <f t="shared" si="25"/>
        <v>635865</v>
      </c>
      <c r="BN43" s="1350">
        <f t="shared" si="22"/>
        <v>5693074</v>
      </c>
      <c r="BO43" s="1350">
        <v>5693074</v>
      </c>
      <c r="BP43" s="1350">
        <f t="shared" si="23"/>
        <v>10465.20955882353</v>
      </c>
      <c r="BQ43" s="1371">
        <f t="shared" si="24"/>
        <v>1168.8694852941176</v>
      </c>
    </row>
    <row r="44" spans="1:69" s="359" customFormat="1">
      <c r="A44" s="1400" t="s">
        <v>747</v>
      </c>
      <c r="B44" s="359" t="s">
        <v>810</v>
      </c>
      <c r="C44" s="359" t="s">
        <v>748</v>
      </c>
      <c r="D44" s="359" t="s">
        <v>812</v>
      </c>
      <c r="G44" s="359">
        <v>542</v>
      </c>
      <c r="I44" s="359">
        <v>38.6</v>
      </c>
      <c r="J44" s="359">
        <v>6.84</v>
      </c>
      <c r="K44" s="359" t="s">
        <v>674</v>
      </c>
      <c r="L44" s="359" t="s">
        <v>675</v>
      </c>
      <c r="M44" s="1352"/>
      <c r="N44" s="1352"/>
      <c r="O44" s="1352"/>
      <c r="P44" s="1350">
        <f t="shared" si="26"/>
        <v>449036.83999999985</v>
      </c>
      <c r="Q44" s="1351">
        <f t="shared" si="18"/>
        <v>449036.83999999985</v>
      </c>
      <c r="R44" s="1352"/>
      <c r="S44" s="1352"/>
      <c r="T44" s="1352">
        <f>3656439-BM44</f>
        <v>2991867.84</v>
      </c>
      <c r="U44" s="1352"/>
      <c r="V44" s="1352"/>
      <c r="W44" s="1351">
        <f t="shared" si="19"/>
        <v>0</v>
      </c>
      <c r="X44" s="1352"/>
      <c r="Y44" s="1352"/>
      <c r="Z44" s="1352">
        <v>3307430</v>
      </c>
      <c r="AA44" s="1352">
        <v>30605</v>
      </c>
      <c r="AB44" s="1352"/>
      <c r="AC44" s="1352"/>
      <c r="AD44" s="1352">
        <v>220048</v>
      </c>
      <c r="AE44" s="1352"/>
      <c r="AF44" s="1352">
        <v>55428</v>
      </c>
      <c r="AG44" s="1352"/>
      <c r="AH44" s="1352"/>
      <c r="AI44" s="1352">
        <v>114174</v>
      </c>
      <c r="AJ44" s="1352"/>
      <c r="AK44" s="1352"/>
      <c r="AL44" s="1352"/>
      <c r="AM44" s="1351">
        <f t="shared" si="20"/>
        <v>3727685</v>
      </c>
      <c r="AN44" s="1352"/>
      <c r="AO44" s="1352"/>
      <c r="AP44" s="1352"/>
      <c r="AQ44" s="1352"/>
      <c r="AR44" s="1352"/>
      <c r="AS44" s="1352"/>
      <c r="AT44" s="1352"/>
      <c r="AU44" s="1352"/>
      <c r="AV44" s="1352"/>
      <c r="AW44" s="1352"/>
      <c r="AX44" s="1352">
        <v>2542831</v>
      </c>
      <c r="AY44" s="1352"/>
      <c r="AZ44" s="1351">
        <f t="shared" si="21"/>
        <v>2542831</v>
      </c>
      <c r="BA44" s="1352"/>
      <c r="BB44" s="1352"/>
      <c r="BC44" s="1352"/>
      <c r="BD44" s="1352"/>
      <c r="BE44" s="1352"/>
      <c r="BF44" s="1352"/>
      <c r="BG44" s="1352"/>
      <c r="BH44" s="1352"/>
      <c r="BI44" s="1352"/>
      <c r="BJ44" s="1352"/>
      <c r="BK44" s="1352"/>
      <c r="BL44" s="1352"/>
      <c r="BM44" s="1353">
        <f>7384124*0.09</f>
        <v>664571.16</v>
      </c>
      <c r="BN44" s="1350">
        <f t="shared" si="22"/>
        <v>7384124</v>
      </c>
      <c r="BO44" s="1350">
        <v>7384124</v>
      </c>
      <c r="BP44" s="1350">
        <f t="shared" si="23"/>
        <v>13623.845018450185</v>
      </c>
      <c r="BQ44" s="1371">
        <f t="shared" si="24"/>
        <v>1226.1460516605166</v>
      </c>
    </row>
    <row r="45" spans="1:69" s="359" customFormat="1">
      <c r="A45" s="1400" t="s">
        <v>749</v>
      </c>
      <c r="B45" s="359" t="s">
        <v>810</v>
      </c>
      <c r="C45" s="359" t="s">
        <v>748</v>
      </c>
      <c r="D45" s="359" t="s">
        <v>812</v>
      </c>
      <c r="G45" s="359">
        <v>761</v>
      </c>
      <c r="I45" s="359">
        <v>27.74</v>
      </c>
      <c r="J45" s="359">
        <v>6.26</v>
      </c>
      <c r="K45" s="359" t="s">
        <v>684</v>
      </c>
      <c r="L45" s="359" t="s">
        <v>679</v>
      </c>
      <c r="M45" s="1352"/>
      <c r="N45" s="1352"/>
      <c r="O45" s="1352"/>
      <c r="P45" s="1350">
        <f t="shared" si="26"/>
        <v>1036744.0300000003</v>
      </c>
      <c r="Q45" s="1351">
        <f t="shared" si="18"/>
        <v>1036744.0300000003</v>
      </c>
      <c r="R45" s="1352"/>
      <c r="S45" s="1352"/>
      <c r="T45" s="1352">
        <f>5127440-BM45</f>
        <v>4619351.03</v>
      </c>
      <c r="U45" s="1352"/>
      <c r="V45" s="1352"/>
      <c r="W45" s="1351">
        <f t="shared" si="19"/>
        <v>0</v>
      </c>
      <c r="X45" s="1352"/>
      <c r="Y45" s="1352"/>
      <c r="Z45" s="1352"/>
      <c r="AA45" s="1352">
        <v>45041</v>
      </c>
      <c r="AB45" s="1352"/>
      <c r="AC45" s="1352"/>
      <c r="AD45" s="1352">
        <v>177776</v>
      </c>
      <c r="AE45" s="1352"/>
      <c r="AF45" s="1352">
        <v>46758</v>
      </c>
      <c r="AG45" s="1352"/>
      <c r="AH45" s="1352"/>
      <c r="AI45" s="1352">
        <v>248418</v>
      </c>
      <c r="AJ45" s="1352"/>
      <c r="AK45" s="1352"/>
      <c r="AL45" s="1352"/>
      <c r="AM45" s="1351">
        <f t="shared" si="20"/>
        <v>517993</v>
      </c>
      <c r="AN45" s="1352"/>
      <c r="AO45" s="1352"/>
      <c r="AP45" s="1352"/>
      <c r="AQ45" s="1352"/>
      <c r="AR45" s="1352"/>
      <c r="AS45" s="1352"/>
      <c r="AT45" s="1352"/>
      <c r="AU45" s="1352"/>
      <c r="AV45" s="1352"/>
      <c r="AW45" s="1352"/>
      <c r="AX45" s="1352">
        <v>3582607</v>
      </c>
      <c r="AY45" s="1352"/>
      <c r="AZ45" s="1351">
        <f t="shared" si="21"/>
        <v>3582607</v>
      </c>
      <c r="BA45" s="1352"/>
      <c r="BB45" s="1352"/>
      <c r="BC45" s="1352"/>
      <c r="BD45" s="1352"/>
      <c r="BE45" s="1352"/>
      <c r="BF45" s="1352"/>
      <c r="BG45" s="1352"/>
      <c r="BH45" s="1352"/>
      <c r="BI45" s="1352"/>
      <c r="BJ45" s="1352"/>
      <c r="BK45" s="1352"/>
      <c r="BL45" s="1352"/>
      <c r="BM45" s="1353">
        <f>5645433*0.09</f>
        <v>508088.97</v>
      </c>
      <c r="BN45" s="1350">
        <f t="shared" si="22"/>
        <v>5645433</v>
      </c>
      <c r="BO45" s="1350">
        <v>5645433</v>
      </c>
      <c r="BP45" s="1350">
        <f t="shared" si="23"/>
        <v>7418.4402102496715</v>
      </c>
      <c r="BQ45" s="1371">
        <f t="shared" si="24"/>
        <v>667.65961892247037</v>
      </c>
    </row>
    <row r="46" spans="1:69" s="359" customFormat="1">
      <c r="A46" s="1400" t="s">
        <v>750</v>
      </c>
      <c r="B46" s="359" t="s">
        <v>810</v>
      </c>
      <c r="C46" s="359" t="s">
        <v>874</v>
      </c>
      <c r="D46" s="359" t="s">
        <v>812</v>
      </c>
      <c r="G46" s="359">
        <v>398</v>
      </c>
      <c r="I46" s="359">
        <v>62.62</v>
      </c>
      <c r="J46" s="359">
        <v>3.74</v>
      </c>
      <c r="K46" s="359" t="s">
        <v>681</v>
      </c>
      <c r="L46" s="359" t="s">
        <v>682</v>
      </c>
      <c r="M46" s="1352"/>
      <c r="N46" s="1352"/>
      <c r="O46" s="1352"/>
      <c r="P46" s="1350">
        <f t="shared" si="26"/>
        <v>1176340.6200000001</v>
      </c>
      <c r="Q46" s="1351">
        <f t="shared" si="18"/>
        <v>1176340.6200000001</v>
      </c>
      <c r="R46" s="1352">
        <v>232394</v>
      </c>
      <c r="S46" s="1352"/>
      <c r="T46" s="1352">
        <f>3615951-BM46</f>
        <v>3228052.62</v>
      </c>
      <c r="U46" s="1352"/>
      <c r="V46" s="1352">
        <v>11422</v>
      </c>
      <c r="W46" s="1351">
        <f t="shared" si="19"/>
        <v>243816</v>
      </c>
      <c r="X46" s="1352">
        <v>182163</v>
      </c>
      <c r="Y46" s="1352"/>
      <c r="Z46" s="1352"/>
      <c r="AA46" s="1352"/>
      <c r="AB46" s="1352"/>
      <c r="AC46" s="1352"/>
      <c r="AD46" s="1352">
        <v>154335</v>
      </c>
      <c r="AE46" s="1352"/>
      <c r="AF46" s="1352"/>
      <c r="AG46" s="1352"/>
      <c r="AH46" s="1352">
        <v>21855</v>
      </c>
      <c r="AI46" s="1352">
        <v>43721</v>
      </c>
      <c r="AJ46" s="1352"/>
      <c r="AK46" s="1352">
        <v>48141</v>
      </c>
      <c r="AL46" s="1352"/>
      <c r="AM46" s="1351">
        <f t="shared" si="20"/>
        <v>450215</v>
      </c>
      <c r="AN46" s="1352"/>
      <c r="AO46" s="1352"/>
      <c r="AP46" s="1352"/>
      <c r="AQ46" s="1352"/>
      <c r="AR46" s="1352"/>
      <c r="AS46" s="1352"/>
      <c r="AT46" s="1352"/>
      <c r="AU46" s="1352"/>
      <c r="AV46" s="1352"/>
      <c r="AW46" s="1352"/>
      <c r="AX46" s="1352">
        <v>2051712</v>
      </c>
      <c r="AY46" s="1352"/>
      <c r="AZ46" s="1351">
        <f t="shared" si="21"/>
        <v>2051712</v>
      </c>
      <c r="BA46" s="1352"/>
      <c r="BB46" s="1352"/>
      <c r="BC46" s="1352"/>
      <c r="BD46" s="1352"/>
      <c r="BE46" s="1352"/>
      <c r="BF46" s="1352"/>
      <c r="BG46" s="1352"/>
      <c r="BH46" s="1352"/>
      <c r="BI46" s="1352"/>
      <c r="BJ46" s="1352"/>
      <c r="BK46" s="1352"/>
      <c r="BL46" s="1352"/>
      <c r="BM46" s="1353">
        <f>4309982*0.09</f>
        <v>387898.38</v>
      </c>
      <c r="BN46" s="1350">
        <f t="shared" si="22"/>
        <v>4309982</v>
      </c>
      <c r="BO46" s="1350">
        <v>4309982</v>
      </c>
      <c r="BP46" s="1350">
        <f t="shared" si="23"/>
        <v>10829.100502512563</v>
      </c>
      <c r="BQ46" s="1371">
        <f t="shared" si="24"/>
        <v>974.61904522613065</v>
      </c>
    </row>
    <row r="47" spans="1:69" s="359" customFormat="1">
      <c r="A47" s="1400" t="s">
        <v>751</v>
      </c>
      <c r="B47" s="359" t="s">
        <v>865</v>
      </c>
      <c r="C47" s="359" t="s">
        <v>752</v>
      </c>
      <c r="D47" s="359" t="s">
        <v>812</v>
      </c>
      <c r="G47" s="359">
        <v>432</v>
      </c>
      <c r="I47" s="359">
        <v>42.65</v>
      </c>
      <c r="J47" s="359">
        <v>4.83</v>
      </c>
      <c r="K47" s="359" t="s">
        <v>684</v>
      </c>
      <c r="L47" s="359" t="s">
        <v>679</v>
      </c>
      <c r="M47" s="1355"/>
      <c r="N47" s="1355"/>
      <c r="O47" s="1355"/>
      <c r="P47" s="1355"/>
      <c r="Q47" s="1353">
        <f t="shared" si="18"/>
        <v>0</v>
      </c>
      <c r="R47" s="1352"/>
      <c r="S47" s="1352"/>
      <c r="T47" s="1352"/>
      <c r="U47" s="1352"/>
      <c r="V47" s="1352"/>
      <c r="W47" s="1351">
        <f t="shared" si="19"/>
        <v>0</v>
      </c>
      <c r="X47" s="1352"/>
      <c r="Y47" s="1352"/>
      <c r="Z47" s="1352"/>
      <c r="AA47" s="1352">
        <v>17078</v>
      </c>
      <c r="AB47" s="1352"/>
      <c r="AC47" s="1352"/>
      <c r="AD47" s="1352">
        <v>54507</v>
      </c>
      <c r="AE47" s="1352"/>
      <c r="AF47" s="1352"/>
      <c r="AG47" s="1352"/>
      <c r="AH47" s="1352"/>
      <c r="AI47" s="1352"/>
      <c r="AJ47" s="1352"/>
      <c r="AK47" s="1352"/>
      <c r="AL47" s="1352"/>
      <c r="AM47" s="1351">
        <f t="shared" si="20"/>
        <v>71585</v>
      </c>
      <c r="AN47" s="1352"/>
      <c r="AO47" s="1352"/>
      <c r="AP47" s="1352"/>
      <c r="AQ47" s="1352"/>
      <c r="AR47" s="1352"/>
      <c r="AS47" s="1352"/>
      <c r="AT47" s="1352"/>
      <c r="AU47" s="1352"/>
      <c r="AV47" s="1352">
        <v>50000</v>
      </c>
      <c r="AW47" s="1352"/>
      <c r="AX47" s="1355"/>
      <c r="AY47" s="1352">
        <v>2861727</v>
      </c>
      <c r="AZ47" s="1351">
        <f t="shared" si="21"/>
        <v>2911727</v>
      </c>
      <c r="BA47" s="1352"/>
      <c r="BB47" s="1352"/>
      <c r="BC47" s="1352"/>
      <c r="BD47" s="1352"/>
      <c r="BE47" s="1352">
        <v>80259</v>
      </c>
      <c r="BF47" s="1352"/>
      <c r="BG47" s="1352"/>
      <c r="BH47" s="1352"/>
      <c r="BI47" s="1352"/>
      <c r="BJ47" s="1352"/>
      <c r="BK47" s="1352"/>
      <c r="BL47" s="1352">
        <v>140642</v>
      </c>
      <c r="BM47" s="1351">
        <f t="shared" si="25"/>
        <v>220901</v>
      </c>
      <c r="BN47" s="1350">
        <f t="shared" si="22"/>
        <v>3204213</v>
      </c>
      <c r="BO47" s="1350">
        <v>3409213</v>
      </c>
      <c r="BP47" s="1350">
        <f t="shared" si="23"/>
        <v>7417.1597222222226</v>
      </c>
      <c r="BQ47" s="1371">
        <f t="shared" si="24"/>
        <v>511.34490740740739</v>
      </c>
    </row>
    <row r="48" spans="1:69" s="359" customFormat="1">
      <c r="A48" s="1400" t="s">
        <v>753</v>
      </c>
      <c r="B48" s="359" t="s">
        <v>810</v>
      </c>
      <c r="C48" s="359" t="s">
        <v>748</v>
      </c>
      <c r="D48" s="359" t="s">
        <v>812</v>
      </c>
      <c r="G48" s="359">
        <v>520</v>
      </c>
      <c r="I48" s="359">
        <v>15.8</v>
      </c>
      <c r="J48" s="359">
        <v>8.44</v>
      </c>
      <c r="K48" s="359" t="s">
        <v>700</v>
      </c>
      <c r="L48" s="359" t="s">
        <v>682</v>
      </c>
      <c r="M48" s="1352"/>
      <c r="N48" s="1352"/>
      <c r="O48" s="1352"/>
      <c r="P48" s="1350">
        <f t="shared" si="26"/>
        <v>722813.18000000017</v>
      </c>
      <c r="Q48" s="1351">
        <f t="shared" si="18"/>
        <v>722813.18000000017</v>
      </c>
      <c r="R48" s="1352"/>
      <c r="S48" s="1352"/>
      <c r="T48" s="1352">
        <f>3683334-BM48</f>
        <v>3324801.18</v>
      </c>
      <c r="U48" s="1352"/>
      <c r="V48" s="1352"/>
      <c r="W48" s="1351">
        <f t="shared" si="19"/>
        <v>0</v>
      </c>
      <c r="X48" s="1352"/>
      <c r="Y48" s="1352"/>
      <c r="Z48" s="1352"/>
      <c r="AA48" s="1352">
        <v>60799</v>
      </c>
      <c r="AB48" s="1352"/>
      <c r="AC48" s="1352"/>
      <c r="AD48" s="1352">
        <v>129949</v>
      </c>
      <c r="AE48" s="1352"/>
      <c r="AF48" s="1352">
        <v>16188</v>
      </c>
      <c r="AG48" s="1352"/>
      <c r="AH48" s="1352"/>
      <c r="AI48" s="1352">
        <v>93428</v>
      </c>
      <c r="AJ48" s="1352"/>
      <c r="AK48" s="1352"/>
      <c r="AL48" s="1352"/>
      <c r="AM48" s="1351">
        <f t="shared" si="20"/>
        <v>300364</v>
      </c>
      <c r="AN48" s="1352"/>
      <c r="AO48" s="1352"/>
      <c r="AP48" s="1352"/>
      <c r="AQ48" s="1352"/>
      <c r="AR48" s="1352"/>
      <c r="AS48" s="1352"/>
      <c r="AT48" s="1352"/>
      <c r="AU48" s="1352"/>
      <c r="AV48" s="1352"/>
      <c r="AW48" s="1352"/>
      <c r="AX48" s="1352">
        <v>2601988</v>
      </c>
      <c r="AY48" s="1352"/>
      <c r="AZ48" s="1351">
        <f t="shared" si="21"/>
        <v>2601988</v>
      </c>
      <c r="BA48" s="1352"/>
      <c r="BB48" s="1352"/>
      <c r="BC48" s="1352"/>
      <c r="BD48" s="1352"/>
      <c r="BE48" s="1352"/>
      <c r="BF48" s="1352"/>
      <c r="BG48" s="1352"/>
      <c r="BH48" s="1352"/>
      <c r="BI48" s="1352"/>
      <c r="BJ48" s="1352"/>
      <c r="BK48" s="1352"/>
      <c r="BL48" s="1352"/>
      <c r="BM48" s="1353">
        <f>3983698*0.09</f>
        <v>358532.82</v>
      </c>
      <c r="BN48" s="1350">
        <f t="shared" si="22"/>
        <v>3983698</v>
      </c>
      <c r="BO48" s="1350">
        <v>3983698</v>
      </c>
      <c r="BP48" s="1350">
        <f t="shared" si="23"/>
        <v>7660.957692307692</v>
      </c>
      <c r="BQ48" s="1371">
        <f t="shared" si="24"/>
        <v>689.48619230769236</v>
      </c>
    </row>
    <row r="49" spans="1:69" s="359" customFormat="1">
      <c r="A49" s="1400" t="s">
        <v>754</v>
      </c>
      <c r="B49" s="359" t="s">
        <v>810</v>
      </c>
      <c r="C49" s="359" t="s">
        <v>755</v>
      </c>
      <c r="D49" s="359" t="s">
        <v>812</v>
      </c>
      <c r="G49" s="359">
        <v>187</v>
      </c>
      <c r="I49" s="359">
        <v>100</v>
      </c>
      <c r="J49" s="359">
        <v>3.54</v>
      </c>
      <c r="K49" s="359" t="s">
        <v>700</v>
      </c>
      <c r="L49" s="359" t="s">
        <v>682</v>
      </c>
      <c r="M49" s="1352"/>
      <c r="N49" s="1352"/>
      <c r="O49" s="1352"/>
      <c r="P49" s="1350">
        <f t="shared" si="26"/>
        <v>833908</v>
      </c>
      <c r="Q49" s="1351">
        <f t="shared" si="18"/>
        <v>833908</v>
      </c>
      <c r="R49" s="1352"/>
      <c r="S49" s="1352"/>
      <c r="T49" s="1352">
        <v>1707492</v>
      </c>
      <c r="U49" s="1352"/>
      <c r="V49" s="1352"/>
      <c r="W49" s="1351">
        <f t="shared" si="19"/>
        <v>0</v>
      </c>
      <c r="X49" s="1352">
        <v>155401</v>
      </c>
      <c r="Y49" s="1352"/>
      <c r="Z49" s="1352"/>
      <c r="AA49" s="1352"/>
      <c r="AB49" s="1352"/>
      <c r="AC49" s="1352"/>
      <c r="AD49" s="1352"/>
      <c r="AE49" s="1352"/>
      <c r="AF49" s="1352"/>
      <c r="AG49" s="1352"/>
      <c r="AH49" s="1352"/>
      <c r="AI49" s="1352">
        <v>62199</v>
      </c>
      <c r="AJ49" s="1352"/>
      <c r="AK49" s="1352"/>
      <c r="AL49" s="1352"/>
      <c r="AM49" s="1351">
        <f t="shared" si="20"/>
        <v>217600</v>
      </c>
      <c r="AN49" s="1352"/>
      <c r="AO49" s="1352"/>
      <c r="AP49" s="1352"/>
      <c r="AQ49" s="1352"/>
      <c r="AR49" s="1352"/>
      <c r="AS49" s="1352"/>
      <c r="AT49" s="1352"/>
      <c r="AU49" s="1352"/>
      <c r="AV49" s="1352"/>
      <c r="AW49" s="1352">
        <v>80228</v>
      </c>
      <c r="AX49" s="1352">
        <v>873584</v>
      </c>
      <c r="AY49" s="1352"/>
      <c r="AZ49" s="1351">
        <f t="shared" si="21"/>
        <v>953812</v>
      </c>
      <c r="BA49" s="1352"/>
      <c r="BB49" s="1352"/>
      <c r="BC49" s="1352"/>
      <c r="BD49" s="1352"/>
      <c r="BE49" s="1352"/>
      <c r="BF49" s="1352"/>
      <c r="BG49" s="1352"/>
      <c r="BH49" s="1352">
        <v>122508</v>
      </c>
      <c r="BI49" s="1352"/>
      <c r="BJ49" s="1352"/>
      <c r="BK49" s="1352"/>
      <c r="BL49" s="1352"/>
      <c r="BM49" s="1351">
        <f t="shared" si="25"/>
        <v>122508</v>
      </c>
      <c r="BN49" s="1350">
        <f t="shared" si="22"/>
        <v>2127828</v>
      </c>
      <c r="BO49" s="1350"/>
      <c r="BP49" s="1350">
        <f t="shared" si="23"/>
        <v>11378.759358288769</v>
      </c>
      <c r="BQ49" s="1371">
        <f t="shared" si="24"/>
        <v>655.12299465240642</v>
      </c>
    </row>
    <row r="50" spans="1:69" s="359" customFormat="1">
      <c r="A50" s="1400" t="s">
        <v>756</v>
      </c>
      <c r="B50" s="359" t="s">
        <v>810</v>
      </c>
      <c r="C50" s="359" t="s">
        <v>874</v>
      </c>
      <c r="D50" s="359" t="s">
        <v>812</v>
      </c>
      <c r="G50" s="359">
        <v>179</v>
      </c>
      <c r="I50" s="359">
        <v>57.89</v>
      </c>
      <c r="J50" s="359">
        <v>5.26</v>
      </c>
      <c r="K50" s="359" t="s">
        <v>681</v>
      </c>
      <c r="L50" s="359" t="s">
        <v>682</v>
      </c>
      <c r="M50" s="1352"/>
      <c r="N50" s="1352"/>
      <c r="O50" s="1352"/>
      <c r="P50" s="1350">
        <f t="shared" si="26"/>
        <v>466912</v>
      </c>
      <c r="Q50" s="1351">
        <f t="shared" si="18"/>
        <v>466912</v>
      </c>
      <c r="R50" s="1352"/>
      <c r="S50" s="1352"/>
      <c r="T50" s="1352">
        <v>1352153</v>
      </c>
      <c r="U50" s="1352"/>
      <c r="V50" s="1352"/>
      <c r="W50" s="1351">
        <f t="shared" si="19"/>
        <v>0</v>
      </c>
      <c r="X50" s="1352">
        <v>31194</v>
      </c>
      <c r="Y50" s="1352"/>
      <c r="Z50" s="1352"/>
      <c r="AA50" s="1352"/>
      <c r="AB50" s="1352"/>
      <c r="AC50" s="1352"/>
      <c r="AD50" s="1352"/>
      <c r="AE50" s="1352"/>
      <c r="AF50" s="1352"/>
      <c r="AG50" s="1352"/>
      <c r="AH50" s="1352"/>
      <c r="AI50" s="1352">
        <v>34639</v>
      </c>
      <c r="AJ50" s="1352"/>
      <c r="AK50" s="1352"/>
      <c r="AL50" s="1352"/>
      <c r="AM50" s="1351">
        <f t="shared" si="20"/>
        <v>65833</v>
      </c>
      <c r="AN50" s="1352"/>
      <c r="AO50" s="1352"/>
      <c r="AP50" s="1352"/>
      <c r="AQ50" s="1352"/>
      <c r="AR50" s="1352"/>
      <c r="AS50" s="1352"/>
      <c r="AT50" s="1352"/>
      <c r="AU50" s="1352"/>
      <c r="AV50" s="1352">
        <v>31131</v>
      </c>
      <c r="AW50" s="1352"/>
      <c r="AX50" s="1352">
        <v>885241</v>
      </c>
      <c r="AY50" s="1352"/>
      <c r="AZ50" s="1351">
        <f t="shared" si="21"/>
        <v>916372</v>
      </c>
      <c r="BA50" s="1352"/>
      <c r="BB50" s="1352"/>
      <c r="BC50" s="1352"/>
      <c r="BD50" s="1352"/>
      <c r="BE50" s="1352"/>
      <c r="BF50" s="1352"/>
      <c r="BG50" s="1352"/>
      <c r="BH50" s="1352">
        <v>273608</v>
      </c>
      <c r="BI50" s="1352"/>
      <c r="BJ50" s="1352"/>
      <c r="BK50" s="1352"/>
      <c r="BL50" s="1352"/>
      <c r="BM50" s="1351">
        <f t="shared" si="25"/>
        <v>273608</v>
      </c>
      <c r="BN50" s="1350">
        <f t="shared" si="22"/>
        <v>1722725</v>
      </c>
      <c r="BO50" s="1350">
        <v>1722725</v>
      </c>
      <c r="BP50" s="1350">
        <f t="shared" si="23"/>
        <v>9624.1620111731845</v>
      </c>
      <c r="BQ50" s="1371">
        <f t="shared" si="24"/>
        <v>1528.536312849162</v>
      </c>
    </row>
    <row r="51" spans="1:69" s="359" customFormat="1">
      <c r="A51" s="1400" t="s">
        <v>757</v>
      </c>
      <c r="B51" s="359" t="s">
        <v>810</v>
      </c>
      <c r="C51" s="359" t="s">
        <v>758</v>
      </c>
      <c r="D51" s="359" t="s">
        <v>812</v>
      </c>
      <c r="G51" s="359">
        <v>195</v>
      </c>
      <c r="I51" s="359">
        <v>27.9</v>
      </c>
      <c r="J51" s="359">
        <v>3</v>
      </c>
      <c r="K51" s="359" t="s">
        <v>681</v>
      </c>
      <c r="L51" s="359" t="s">
        <v>682</v>
      </c>
      <c r="M51" s="1352"/>
      <c r="N51" s="1352"/>
      <c r="O51" s="1352"/>
      <c r="P51" s="1350">
        <f t="shared" si="26"/>
        <v>734455</v>
      </c>
      <c r="Q51" s="1351">
        <f t="shared" si="18"/>
        <v>734455</v>
      </c>
      <c r="R51" s="1352"/>
      <c r="S51" s="1352"/>
      <c r="T51" s="1352">
        <v>1788361</v>
      </c>
      <c r="U51" s="1352"/>
      <c r="V51" s="1352"/>
      <c r="W51" s="1351">
        <f t="shared" si="19"/>
        <v>0</v>
      </c>
      <c r="X51" s="1352"/>
      <c r="Y51" s="1352"/>
      <c r="Z51" s="1352"/>
      <c r="AA51" s="1352"/>
      <c r="AB51" s="1352"/>
      <c r="AC51" s="1352"/>
      <c r="AD51" s="1352">
        <v>63192</v>
      </c>
      <c r="AE51" s="1352"/>
      <c r="AF51" s="1352"/>
      <c r="AG51" s="1352"/>
      <c r="AH51" s="1352">
        <v>3760</v>
      </c>
      <c r="AI51" s="1352">
        <v>25756</v>
      </c>
      <c r="AJ51" s="1352">
        <v>25541</v>
      </c>
      <c r="AK51" s="1352">
        <v>4868</v>
      </c>
      <c r="AL51" s="1352"/>
      <c r="AM51" s="1351">
        <f t="shared" si="20"/>
        <v>123117</v>
      </c>
      <c r="AN51" s="1352"/>
      <c r="AO51" s="1352"/>
      <c r="AP51" s="1352"/>
      <c r="AQ51" s="1352"/>
      <c r="AR51" s="1352"/>
      <c r="AS51" s="1352"/>
      <c r="AT51" s="1352"/>
      <c r="AU51" s="1352"/>
      <c r="AV51" s="1352"/>
      <c r="AW51" s="1352"/>
      <c r="AX51" s="1352">
        <v>1053906</v>
      </c>
      <c r="AY51" s="1352"/>
      <c r="AZ51" s="1351">
        <f t="shared" si="21"/>
        <v>1053906</v>
      </c>
      <c r="BA51" s="1352">
        <v>93944</v>
      </c>
      <c r="BB51" s="1352"/>
      <c r="BC51" s="1352"/>
      <c r="BD51" s="1352"/>
      <c r="BE51" s="1352"/>
      <c r="BF51" s="1352"/>
      <c r="BG51" s="1352"/>
      <c r="BH51" s="1352"/>
      <c r="BI51" s="1352"/>
      <c r="BJ51" s="1352"/>
      <c r="BK51" s="1352"/>
      <c r="BL51" s="1352"/>
      <c r="BM51" s="1351">
        <f t="shared" si="25"/>
        <v>93944</v>
      </c>
      <c r="BN51" s="1350">
        <f t="shared" si="22"/>
        <v>2005422</v>
      </c>
      <c r="BO51" s="1350">
        <v>2005422</v>
      </c>
      <c r="BP51" s="1350">
        <f t="shared" si="23"/>
        <v>10284.215384615385</v>
      </c>
      <c r="BQ51" s="1371">
        <f t="shared" si="24"/>
        <v>481.76410256410259</v>
      </c>
    </row>
    <row r="52" spans="1:69" s="359" customFormat="1">
      <c r="A52" s="1354" t="s">
        <v>759</v>
      </c>
      <c r="B52" s="359" t="s">
        <v>760</v>
      </c>
      <c r="C52" s="359" t="s">
        <v>761</v>
      </c>
      <c r="D52" s="359" t="s">
        <v>867</v>
      </c>
      <c r="G52" s="359">
        <v>1309</v>
      </c>
      <c r="I52" s="359">
        <v>0</v>
      </c>
      <c r="J52" s="359">
        <v>14.41</v>
      </c>
      <c r="K52" s="359" t="s">
        <v>686</v>
      </c>
      <c r="L52" s="359" t="s">
        <v>687</v>
      </c>
      <c r="M52" s="1355"/>
      <c r="N52" s="1355"/>
      <c r="O52" s="1355"/>
      <c r="P52" s="1383">
        <f t="shared" si="26"/>
        <v>0</v>
      </c>
      <c r="Q52" s="1353">
        <f t="shared" si="18"/>
        <v>0</v>
      </c>
      <c r="R52" s="1352"/>
      <c r="S52" s="1352"/>
      <c r="T52" s="1352"/>
      <c r="U52" s="1352"/>
      <c r="V52" s="1352"/>
      <c r="W52" s="1351">
        <f t="shared" si="19"/>
        <v>0</v>
      </c>
      <c r="X52" s="1352">
        <v>25385</v>
      </c>
      <c r="Y52" s="1352"/>
      <c r="Z52" s="1352"/>
      <c r="AA52" s="1352">
        <v>67270</v>
      </c>
      <c r="AB52" s="1352"/>
      <c r="AC52" s="1352">
        <v>3099</v>
      </c>
      <c r="AD52" s="1352"/>
      <c r="AE52" s="1352"/>
      <c r="AF52" s="1352">
        <v>5375</v>
      </c>
      <c r="AG52" s="1352"/>
      <c r="AH52" s="1352"/>
      <c r="AI52" s="1352"/>
      <c r="AJ52" s="1352"/>
      <c r="AK52" s="1352">
        <v>7997</v>
      </c>
      <c r="AL52" s="1352"/>
      <c r="AM52" s="1351">
        <f t="shared" si="20"/>
        <v>109126</v>
      </c>
      <c r="AN52" s="1352"/>
      <c r="AO52" s="1352"/>
      <c r="AP52" s="1352"/>
      <c r="AQ52" s="1352"/>
      <c r="AR52" s="1352"/>
      <c r="AS52" s="1352"/>
      <c r="AT52" s="1352"/>
      <c r="AU52" s="1352"/>
      <c r="AV52" s="1352"/>
      <c r="AW52" s="1352"/>
      <c r="AX52" s="1355"/>
      <c r="AY52" s="1352">
        <v>6837339</v>
      </c>
      <c r="AZ52" s="1351">
        <f t="shared" si="21"/>
        <v>6837339</v>
      </c>
      <c r="BA52" s="1352"/>
      <c r="BB52" s="1352"/>
      <c r="BC52" s="1352"/>
      <c r="BD52" s="1352"/>
      <c r="BE52" s="1352"/>
      <c r="BF52" s="1352"/>
      <c r="BG52" s="1352"/>
      <c r="BH52" s="1352"/>
      <c r="BI52" s="1352"/>
      <c r="BJ52" s="1352">
        <v>259892</v>
      </c>
      <c r="BK52" s="1352"/>
      <c r="BL52" s="1352">
        <v>190692</v>
      </c>
      <c r="BM52" s="1351">
        <f t="shared" si="25"/>
        <v>450584</v>
      </c>
      <c r="BN52" s="1350">
        <f t="shared" si="22"/>
        <v>7397049</v>
      </c>
      <c r="BO52" s="1350">
        <v>7393574</v>
      </c>
      <c r="BP52" s="1350">
        <f t="shared" si="23"/>
        <v>5650.9159663865548</v>
      </c>
      <c r="BQ52" s="1371">
        <f t="shared" si="24"/>
        <v>344.22001527883879</v>
      </c>
    </row>
    <row r="53" spans="1:69" s="359" customFormat="1">
      <c r="A53" s="1354" t="s">
        <v>762</v>
      </c>
      <c r="B53" s="359" t="s">
        <v>763</v>
      </c>
      <c r="C53" s="359" t="s">
        <v>874</v>
      </c>
      <c r="D53" s="359" t="s">
        <v>867</v>
      </c>
      <c r="G53" s="359">
        <v>133</v>
      </c>
      <c r="I53" s="359">
        <v>14.29</v>
      </c>
      <c r="J53" s="359">
        <v>5.71</v>
      </c>
      <c r="K53" s="359" t="s">
        <v>709</v>
      </c>
      <c r="L53" s="359" t="s">
        <v>682</v>
      </c>
      <c r="M53" s="1355"/>
      <c r="N53" s="1355"/>
      <c r="O53" s="1355"/>
      <c r="P53" s="1383">
        <f t="shared" si="26"/>
        <v>0</v>
      </c>
      <c r="Q53" s="1353">
        <f t="shared" si="18"/>
        <v>0</v>
      </c>
      <c r="R53" s="1352"/>
      <c r="S53" s="1352"/>
      <c r="T53" s="1352"/>
      <c r="U53" s="1352"/>
      <c r="V53" s="1352"/>
      <c r="W53" s="1351">
        <f t="shared" si="19"/>
        <v>0</v>
      </c>
      <c r="X53" s="1352">
        <v>9986</v>
      </c>
      <c r="Y53" s="1352">
        <v>26</v>
      </c>
      <c r="Z53" s="1352" t="s">
        <v>267</v>
      </c>
      <c r="AA53" s="1352"/>
      <c r="AB53" s="1352"/>
      <c r="AC53" s="1352"/>
      <c r="AD53" s="1352">
        <v>27480</v>
      </c>
      <c r="AE53" s="1352"/>
      <c r="AF53" s="1352"/>
      <c r="AG53" s="1352"/>
      <c r="AH53" s="1352"/>
      <c r="AI53" s="1352"/>
      <c r="AJ53" s="1352"/>
      <c r="AK53" s="1352">
        <v>209837</v>
      </c>
      <c r="AL53" s="1352"/>
      <c r="AM53" s="1351">
        <f t="shared" si="20"/>
        <v>247329</v>
      </c>
      <c r="AN53" s="1352"/>
      <c r="AO53" s="1352"/>
      <c r="AP53" s="1352"/>
      <c r="AQ53" s="1352"/>
      <c r="AR53" s="1352"/>
      <c r="AS53" s="1352"/>
      <c r="AT53" s="1352"/>
      <c r="AU53" s="1352"/>
      <c r="AV53" s="1352">
        <v>25291</v>
      </c>
      <c r="AW53" s="1352"/>
      <c r="AX53" s="1355"/>
      <c r="AY53" s="1352">
        <v>1225790</v>
      </c>
      <c r="AZ53" s="1351">
        <f t="shared" si="21"/>
        <v>1251081</v>
      </c>
      <c r="BA53" s="1352"/>
      <c r="BB53" s="1352"/>
      <c r="BC53" s="1352"/>
      <c r="BD53" s="1352"/>
      <c r="BE53" s="1352">
        <v>8407</v>
      </c>
      <c r="BF53" s="1352"/>
      <c r="BG53" s="1352"/>
      <c r="BH53" s="1352"/>
      <c r="BI53" s="1352"/>
      <c r="BJ53" s="1352">
        <v>19398</v>
      </c>
      <c r="BK53" s="1352"/>
      <c r="BL53" s="1352">
        <v>362251</v>
      </c>
      <c r="BM53" s="1351">
        <f t="shared" si="25"/>
        <v>390056</v>
      </c>
      <c r="BN53" s="1350">
        <f t="shared" si="22"/>
        <v>1888466</v>
      </c>
      <c r="BO53" s="1350">
        <v>1882280</v>
      </c>
      <c r="BP53" s="1350">
        <f t="shared" si="23"/>
        <v>14198.992481203008</v>
      </c>
      <c r="BQ53" s="1371">
        <f t="shared" si="24"/>
        <v>2932.7518796992481</v>
      </c>
    </row>
    <row r="54" spans="1:69" s="359" customFormat="1">
      <c r="A54" s="1400" t="s">
        <v>764</v>
      </c>
      <c r="B54" s="359" t="s">
        <v>810</v>
      </c>
      <c r="C54" s="359" t="s">
        <v>879</v>
      </c>
      <c r="D54" s="359" t="s">
        <v>812</v>
      </c>
      <c r="G54" s="359">
        <v>258</v>
      </c>
      <c r="I54" s="359">
        <v>4.4400000000000004</v>
      </c>
      <c r="J54" s="359">
        <v>1.85</v>
      </c>
      <c r="K54" s="359" t="s">
        <v>765</v>
      </c>
      <c r="L54" s="359" t="s">
        <v>675</v>
      </c>
      <c r="M54" s="1352"/>
      <c r="N54" s="1352"/>
      <c r="O54" s="1352"/>
      <c r="P54" s="1350">
        <f t="shared" si="26"/>
        <v>1455195.0699999998</v>
      </c>
      <c r="Q54" s="1351">
        <f t="shared" si="18"/>
        <v>1455195.0699999998</v>
      </c>
      <c r="R54" s="1352"/>
      <c r="S54" s="1352"/>
      <c r="T54" s="1352">
        <f>2985682-BM54</f>
        <v>2711121.07</v>
      </c>
      <c r="U54" s="1352">
        <v>64995</v>
      </c>
      <c r="V54" s="1352"/>
      <c r="W54" s="1351">
        <f t="shared" si="19"/>
        <v>64995</v>
      </c>
      <c r="X54" s="1352"/>
      <c r="Y54" s="1352"/>
      <c r="Z54" s="1352"/>
      <c r="AA54" s="1352"/>
      <c r="AB54" s="1352"/>
      <c r="AC54" s="1352"/>
      <c r="AD54" s="1352"/>
      <c r="AE54" s="1352"/>
      <c r="AF54" s="1352"/>
      <c r="AG54" s="1352"/>
      <c r="AH54" s="1352"/>
      <c r="AI54" s="1352"/>
      <c r="AJ54" s="1352"/>
      <c r="AK54" s="1352"/>
      <c r="AL54" s="1352"/>
      <c r="AM54" s="1351">
        <f t="shared" si="20"/>
        <v>0</v>
      </c>
      <c r="AN54" s="1352"/>
      <c r="AO54" s="1352"/>
      <c r="AP54" s="1352"/>
      <c r="AQ54" s="1352"/>
      <c r="AR54" s="1352"/>
      <c r="AS54" s="1352"/>
      <c r="AT54" s="1352"/>
      <c r="AU54" s="1352"/>
      <c r="AV54" s="1352"/>
      <c r="AW54" s="1352"/>
      <c r="AX54" s="1352">
        <v>1255926</v>
      </c>
      <c r="AY54" s="1352"/>
      <c r="AZ54" s="1351">
        <f t="shared" si="21"/>
        <v>1255926</v>
      </c>
      <c r="BA54" s="1352"/>
      <c r="BB54" s="1352"/>
      <c r="BC54" s="1352"/>
      <c r="BD54" s="1352"/>
      <c r="BE54" s="1352"/>
      <c r="BF54" s="1352"/>
      <c r="BG54" s="1352"/>
      <c r="BH54" s="1352"/>
      <c r="BI54" s="1352"/>
      <c r="BJ54" s="1352"/>
      <c r="BK54" s="1352"/>
      <c r="BL54" s="1352"/>
      <c r="BM54" s="1353">
        <f>3050677*0.09</f>
        <v>274560.93</v>
      </c>
      <c r="BN54" s="1350">
        <f t="shared" si="22"/>
        <v>3050677</v>
      </c>
      <c r="BO54" s="1350">
        <v>3050677</v>
      </c>
      <c r="BP54" s="1350">
        <f t="shared" si="23"/>
        <v>11824.329457364342</v>
      </c>
      <c r="BQ54" s="1371">
        <f t="shared" si="24"/>
        <v>1064.1896511627906</v>
      </c>
    </row>
    <row r="55" spans="1:69" s="359" customFormat="1">
      <c r="A55" s="1400" t="s">
        <v>766</v>
      </c>
      <c r="B55" s="359" t="s">
        <v>760</v>
      </c>
      <c r="C55" s="359" t="s">
        <v>767</v>
      </c>
      <c r="D55" s="359" t="s">
        <v>768</v>
      </c>
      <c r="G55" s="359">
        <v>6169</v>
      </c>
      <c r="I55" s="359">
        <v>55.81</v>
      </c>
      <c r="J55" s="359">
        <v>9.89</v>
      </c>
      <c r="K55" s="359" t="s">
        <v>674</v>
      </c>
      <c r="L55" s="359" t="s">
        <v>675</v>
      </c>
      <c r="M55" s="1355"/>
      <c r="N55" s="1355"/>
      <c r="O55" s="1355"/>
      <c r="P55" s="1355"/>
      <c r="Q55" s="1353">
        <f t="shared" si="18"/>
        <v>0</v>
      </c>
      <c r="R55" s="1352"/>
      <c r="S55" s="1352"/>
      <c r="T55" s="1352"/>
      <c r="U55" s="1352"/>
      <c r="V55" s="1352"/>
      <c r="W55" s="1351">
        <f t="shared" si="19"/>
        <v>0</v>
      </c>
      <c r="X55" s="1352"/>
      <c r="Y55" s="1352"/>
      <c r="Z55" s="1352"/>
      <c r="AA55" s="1352">
        <v>30691</v>
      </c>
      <c r="AB55" s="1352"/>
      <c r="AC55" s="1352"/>
      <c r="AD55" s="1352"/>
      <c r="AE55" s="1352"/>
      <c r="AF55" s="1352"/>
      <c r="AG55" s="1352"/>
      <c r="AH55" s="1352"/>
      <c r="AI55" s="1352"/>
      <c r="AJ55" s="1352"/>
      <c r="AK55" s="1352">
        <v>96602</v>
      </c>
      <c r="AL55" s="1352"/>
      <c r="AM55" s="1351">
        <f t="shared" si="20"/>
        <v>127293</v>
      </c>
      <c r="AN55" s="1352"/>
      <c r="AO55" s="1352"/>
      <c r="AP55" s="1352"/>
      <c r="AQ55" s="1352"/>
      <c r="AR55" s="1352"/>
      <c r="AS55" s="1352"/>
      <c r="AT55" s="1352"/>
      <c r="AU55" s="1352"/>
      <c r="AV55" s="1352"/>
      <c r="AW55" s="1352"/>
      <c r="AX55" s="1355"/>
      <c r="AY55" s="1352">
        <v>24501823</v>
      </c>
      <c r="AZ55" s="1351">
        <f t="shared" si="21"/>
        <v>24501823</v>
      </c>
      <c r="BA55" s="1352"/>
      <c r="BB55" s="1352"/>
      <c r="BC55" s="1352"/>
      <c r="BD55" s="1352"/>
      <c r="BE55" s="1352"/>
      <c r="BF55" s="1352"/>
      <c r="BG55" s="1352"/>
      <c r="BH55" s="1352"/>
      <c r="BI55" s="1352"/>
      <c r="BJ55" s="1352">
        <v>320663</v>
      </c>
      <c r="BK55" s="1352"/>
      <c r="BL55" s="1352">
        <v>2022212</v>
      </c>
      <c r="BM55" s="1351">
        <f t="shared" si="25"/>
        <v>2342875</v>
      </c>
      <c r="BN55" s="1350">
        <f t="shared" si="22"/>
        <v>26971991</v>
      </c>
      <c r="BO55" s="1350">
        <v>26971991</v>
      </c>
      <c r="BP55" s="1350">
        <f t="shared" si="23"/>
        <v>4372.1820392283998</v>
      </c>
      <c r="BQ55" s="1371">
        <f t="shared" si="24"/>
        <v>379.78197438806939</v>
      </c>
    </row>
    <row r="56" spans="1:69" s="359" customFormat="1">
      <c r="A56" s="1400" t="s">
        <v>769</v>
      </c>
      <c r="B56" s="359" t="s">
        <v>810</v>
      </c>
      <c r="C56" s="359" t="s">
        <v>869</v>
      </c>
      <c r="D56" s="359" t="s">
        <v>812</v>
      </c>
      <c r="G56" s="359">
        <v>403</v>
      </c>
      <c r="I56" s="359">
        <v>38.299999999999997</v>
      </c>
      <c r="J56" s="359">
        <v>6.62</v>
      </c>
      <c r="K56" s="359" t="s">
        <v>684</v>
      </c>
      <c r="L56" s="359" t="s">
        <v>675</v>
      </c>
      <c r="M56" s="1352"/>
      <c r="N56" s="1352"/>
      <c r="O56" s="1352"/>
      <c r="P56" s="1350">
        <f t="shared" si="26"/>
        <v>463478.03000000026</v>
      </c>
      <c r="Q56" s="1351">
        <f t="shared" si="18"/>
        <v>463478.03000000026</v>
      </c>
      <c r="R56" s="1352">
        <v>12416</v>
      </c>
      <c r="S56" s="1352"/>
      <c r="T56" s="1352">
        <f>2934468-BM56</f>
        <v>2669091.0300000003</v>
      </c>
      <c r="U56" s="1352"/>
      <c r="V56" s="1352"/>
      <c r="W56" s="1351">
        <f t="shared" si="19"/>
        <v>12416</v>
      </c>
      <c r="X56" s="1352"/>
      <c r="Y56" s="1352">
        <v>1749</v>
      </c>
      <c r="Z56" s="1352"/>
      <c r="AA56" s="1352"/>
      <c r="AB56" s="1352"/>
      <c r="AC56" s="1352"/>
      <c r="AD56" s="1352"/>
      <c r="AE56" s="1352"/>
      <c r="AF56" s="1352"/>
      <c r="AG56" s="1352"/>
      <c r="AH56" s="1352"/>
      <c r="AI56" s="1352"/>
      <c r="AJ56" s="1352"/>
      <c r="AK56" s="1352"/>
      <c r="AL56" s="1352"/>
      <c r="AM56" s="1351">
        <f t="shared" si="20"/>
        <v>1749</v>
      </c>
      <c r="AN56" s="1352"/>
      <c r="AO56" s="1352"/>
      <c r="AP56" s="1352"/>
      <c r="AQ56" s="1352"/>
      <c r="AR56" s="1352"/>
      <c r="AS56" s="1352"/>
      <c r="AT56" s="1352"/>
      <c r="AU56" s="1352"/>
      <c r="AV56" s="1352"/>
      <c r="AW56" s="1352"/>
      <c r="AX56" s="1352">
        <v>2205613</v>
      </c>
      <c r="AY56" s="1352"/>
      <c r="AZ56" s="1351">
        <f t="shared" si="21"/>
        <v>2205613</v>
      </c>
      <c r="BA56" s="1352"/>
      <c r="BB56" s="1352"/>
      <c r="BC56" s="1352"/>
      <c r="BD56" s="1352"/>
      <c r="BE56" s="1352"/>
      <c r="BF56" s="1352"/>
      <c r="BG56" s="1352"/>
      <c r="BH56" s="1352"/>
      <c r="BI56" s="1352"/>
      <c r="BJ56" s="1352"/>
      <c r="BK56" s="1352"/>
      <c r="BL56" s="1352"/>
      <c r="BM56" s="1353">
        <f>2948633*0.09</f>
        <v>265376.96999999997</v>
      </c>
      <c r="BN56" s="1350">
        <f t="shared" si="22"/>
        <v>2948633</v>
      </c>
      <c r="BO56" s="1350"/>
      <c r="BP56" s="1350">
        <f t="shared" si="23"/>
        <v>7316.7071960297762</v>
      </c>
      <c r="BQ56" s="1371">
        <f t="shared" si="24"/>
        <v>658.50364764267988</v>
      </c>
    </row>
    <row r="57" spans="1:69" s="359" customFormat="1">
      <c r="A57" s="1425" t="s">
        <v>770</v>
      </c>
      <c r="B57" s="359" t="s">
        <v>771</v>
      </c>
      <c r="C57" s="359" t="s">
        <v>772</v>
      </c>
      <c r="D57" s="359" t="s">
        <v>867</v>
      </c>
      <c r="G57" s="359">
        <v>230</v>
      </c>
      <c r="I57" s="359">
        <v>51.91</v>
      </c>
      <c r="J57" s="359">
        <v>8.7799999999999994</v>
      </c>
      <c r="K57" s="359" t="s">
        <v>765</v>
      </c>
      <c r="L57" s="359" t="s">
        <v>675</v>
      </c>
      <c r="M57" s="1355"/>
      <c r="N57" s="1355"/>
      <c r="O57" s="1355"/>
      <c r="P57" s="1355"/>
      <c r="Q57" s="1353">
        <f t="shared" si="18"/>
        <v>0</v>
      </c>
      <c r="R57" s="1352"/>
      <c r="S57" s="1352"/>
      <c r="T57" s="1352"/>
      <c r="U57" s="1352"/>
      <c r="V57" s="1352"/>
      <c r="W57" s="1351">
        <f t="shared" si="19"/>
        <v>0</v>
      </c>
      <c r="X57" s="1352"/>
      <c r="Y57" s="1352">
        <v>544</v>
      </c>
      <c r="Z57" s="1352"/>
      <c r="AA57" s="1352">
        <v>51282</v>
      </c>
      <c r="AB57" s="1352"/>
      <c r="AC57" s="1352"/>
      <c r="AD57" s="1352"/>
      <c r="AE57" s="1352"/>
      <c r="AF57" s="1352">
        <v>78695</v>
      </c>
      <c r="AG57" s="1352"/>
      <c r="AH57" s="1352"/>
      <c r="AI57" s="1352"/>
      <c r="AJ57" s="1352"/>
      <c r="AK57" s="1352">
        <v>7774</v>
      </c>
      <c r="AL57" s="1352"/>
      <c r="AM57" s="1351">
        <f t="shared" si="20"/>
        <v>138295</v>
      </c>
      <c r="AN57" s="1352"/>
      <c r="AO57" s="1352"/>
      <c r="AP57" s="1352"/>
      <c r="AQ57" s="1352"/>
      <c r="AR57" s="1352"/>
      <c r="AS57" s="1352"/>
      <c r="AT57" s="1352"/>
      <c r="AU57" s="1352"/>
      <c r="AV57" s="1352">
        <v>82000</v>
      </c>
      <c r="AW57" s="1352"/>
      <c r="AX57" s="1355"/>
      <c r="AY57" s="1352">
        <v>1601860</v>
      </c>
      <c r="AZ57" s="1351">
        <f t="shared" si="21"/>
        <v>1683860</v>
      </c>
      <c r="BA57" s="1352"/>
      <c r="BB57" s="1352"/>
      <c r="BC57" s="1352"/>
      <c r="BD57" s="1352"/>
      <c r="BE57" s="1352">
        <v>79017</v>
      </c>
      <c r="BF57" s="1352"/>
      <c r="BG57" s="1352"/>
      <c r="BH57" s="1352"/>
      <c r="BI57" s="1352"/>
      <c r="BJ57" s="1352">
        <v>30204</v>
      </c>
      <c r="BK57" s="1352"/>
      <c r="BL57" s="1352">
        <v>465183</v>
      </c>
      <c r="BM57" s="1351">
        <f t="shared" si="25"/>
        <v>574404</v>
      </c>
      <c r="BN57" s="1350">
        <f t="shared" si="22"/>
        <v>2396559</v>
      </c>
      <c r="BO57" s="1350">
        <v>2422397</v>
      </c>
      <c r="BP57" s="1350">
        <f t="shared" si="23"/>
        <v>10419.821739130435</v>
      </c>
      <c r="BQ57" s="1371">
        <f t="shared" si="24"/>
        <v>2497.4086956521737</v>
      </c>
    </row>
    <row r="58" spans="1:69" s="359" customFormat="1">
      <c r="A58" s="1400" t="s">
        <v>773</v>
      </c>
      <c r="B58" s="359" t="s">
        <v>810</v>
      </c>
      <c r="C58" s="359" t="s">
        <v>869</v>
      </c>
      <c r="D58" s="359" t="s">
        <v>812</v>
      </c>
      <c r="G58" s="359">
        <v>67</v>
      </c>
      <c r="I58" s="359">
        <v>31.94</v>
      </c>
      <c r="J58" s="359">
        <v>4.8600000000000003</v>
      </c>
      <c r="K58" s="359" t="s">
        <v>686</v>
      </c>
      <c r="L58" s="359" t="s">
        <v>687</v>
      </c>
      <c r="M58" s="1352"/>
      <c r="N58" s="1352"/>
      <c r="O58" s="1352"/>
      <c r="P58" s="1350">
        <f t="shared" si="26"/>
        <v>66890.820000000007</v>
      </c>
      <c r="Q58" s="1351">
        <f t="shared" si="18"/>
        <v>66890.820000000007</v>
      </c>
      <c r="R58" s="1352"/>
      <c r="S58" s="1352"/>
      <c r="T58" s="1352">
        <f>467303-BM58</f>
        <v>418234.82</v>
      </c>
      <c r="U58" s="1352"/>
      <c r="V58" s="1352"/>
      <c r="W58" s="1351">
        <f t="shared" si="19"/>
        <v>0</v>
      </c>
      <c r="X58" s="1352"/>
      <c r="Y58" s="1352">
        <v>149</v>
      </c>
      <c r="Z58" s="1352"/>
      <c r="AA58" s="1352">
        <v>11250</v>
      </c>
      <c r="AB58" s="1352"/>
      <c r="AC58" s="1352"/>
      <c r="AD58" s="1352"/>
      <c r="AE58" s="1352"/>
      <c r="AF58" s="1352"/>
      <c r="AG58" s="1352"/>
      <c r="AH58" s="1352"/>
      <c r="AI58" s="1352"/>
      <c r="AJ58" s="1352"/>
      <c r="AK58" s="1352"/>
      <c r="AL58" s="1352">
        <v>66500</v>
      </c>
      <c r="AM58" s="1351">
        <f t="shared" si="20"/>
        <v>77899</v>
      </c>
      <c r="AN58" s="1352"/>
      <c r="AO58" s="1352"/>
      <c r="AP58" s="1352"/>
      <c r="AQ58" s="1352"/>
      <c r="AR58" s="1352"/>
      <c r="AS58" s="1352"/>
      <c r="AT58" s="1352"/>
      <c r="AU58" s="1352"/>
      <c r="AV58" s="1352"/>
      <c r="AW58" s="1352"/>
      <c r="AX58" s="1352">
        <v>351344</v>
      </c>
      <c r="AY58" s="1352"/>
      <c r="AZ58" s="1351">
        <f t="shared" si="21"/>
        <v>351344</v>
      </c>
      <c r="BA58" s="1352"/>
      <c r="BB58" s="1352"/>
      <c r="BC58" s="1352"/>
      <c r="BD58" s="1352"/>
      <c r="BE58" s="1352"/>
      <c r="BF58" s="1352"/>
      <c r="BG58" s="1352"/>
      <c r="BH58" s="1352"/>
      <c r="BI58" s="1352"/>
      <c r="BJ58" s="1352"/>
      <c r="BK58" s="1352"/>
      <c r="BL58" s="1352"/>
      <c r="BM58" s="1353">
        <f>545202*0.09</f>
        <v>49068.18</v>
      </c>
      <c r="BN58" s="1350">
        <f t="shared" si="22"/>
        <v>545202</v>
      </c>
      <c r="BO58" s="1350">
        <v>767320</v>
      </c>
      <c r="BP58" s="1350">
        <f t="shared" si="23"/>
        <v>8137.3432835820895</v>
      </c>
      <c r="BQ58" s="1371">
        <f t="shared" si="24"/>
        <v>732.36089552238809</v>
      </c>
    </row>
    <row r="59" spans="1:69" s="359" customFormat="1">
      <c r="A59" s="1425" t="s">
        <v>774</v>
      </c>
      <c r="B59" s="359" t="s">
        <v>760</v>
      </c>
      <c r="C59" s="359" t="s">
        <v>775</v>
      </c>
      <c r="D59" s="359" t="s">
        <v>768</v>
      </c>
      <c r="G59" s="359">
        <v>157</v>
      </c>
      <c r="I59" s="359">
        <v>0</v>
      </c>
      <c r="J59" s="359">
        <v>2.72</v>
      </c>
      <c r="K59" s="359" t="s">
        <v>681</v>
      </c>
      <c r="L59" s="359" t="s">
        <v>682</v>
      </c>
      <c r="M59" s="1355"/>
      <c r="N59" s="1355"/>
      <c r="O59" s="1355"/>
      <c r="P59" s="1355"/>
      <c r="Q59" s="1353">
        <f t="shared" si="18"/>
        <v>0</v>
      </c>
      <c r="R59" s="1352"/>
      <c r="S59" s="1352"/>
      <c r="T59" s="1352"/>
      <c r="U59" s="1352"/>
      <c r="V59" s="1352"/>
      <c r="W59" s="1351">
        <f t="shared" si="19"/>
        <v>0</v>
      </c>
      <c r="X59" s="1352"/>
      <c r="Y59" s="1352"/>
      <c r="Z59" s="1352"/>
      <c r="AA59" s="1352"/>
      <c r="AB59" s="1352"/>
      <c r="AC59" s="1352"/>
      <c r="AD59" s="1352"/>
      <c r="AE59" s="1352"/>
      <c r="AF59" s="1352"/>
      <c r="AG59" s="1352"/>
      <c r="AH59" s="1352">
        <v>14543</v>
      </c>
      <c r="AI59" s="1352"/>
      <c r="AJ59" s="1352"/>
      <c r="AK59" s="1352">
        <v>19678</v>
      </c>
      <c r="AL59" s="1352"/>
      <c r="AM59" s="1351">
        <f t="shared" si="20"/>
        <v>34221</v>
      </c>
      <c r="AN59" s="1352"/>
      <c r="AO59" s="1352"/>
      <c r="AP59" s="1352"/>
      <c r="AQ59" s="1352"/>
      <c r="AR59" s="1352"/>
      <c r="AS59" s="1352"/>
      <c r="AT59" s="1352"/>
      <c r="AU59" s="1352"/>
      <c r="AV59" s="1352"/>
      <c r="AW59" s="1352"/>
      <c r="AX59" s="1355"/>
      <c r="AY59" s="1352">
        <v>820713</v>
      </c>
      <c r="AZ59" s="1351">
        <f t="shared" si="21"/>
        <v>820713</v>
      </c>
      <c r="BA59" s="1352"/>
      <c r="BB59" s="1352"/>
      <c r="BC59" s="1352"/>
      <c r="BD59" s="1352"/>
      <c r="BE59" s="1352"/>
      <c r="BF59" s="1352"/>
      <c r="BG59" s="1352"/>
      <c r="BH59" s="1352"/>
      <c r="BI59" s="1352"/>
      <c r="BJ59" s="1352"/>
      <c r="BK59" s="1352"/>
      <c r="BL59" s="1352">
        <v>72598</v>
      </c>
      <c r="BM59" s="1351">
        <f t="shared" si="25"/>
        <v>72598</v>
      </c>
      <c r="BN59" s="1350">
        <f t="shared" si="22"/>
        <v>927532</v>
      </c>
      <c r="BO59" s="1350">
        <v>927532</v>
      </c>
      <c r="BP59" s="1350">
        <f t="shared" si="23"/>
        <v>5907.8471337579622</v>
      </c>
      <c r="BQ59" s="1371">
        <f t="shared" si="24"/>
        <v>462.40764331210192</v>
      </c>
    </row>
    <row r="60" spans="1:69" s="1384" customFormat="1">
      <c r="A60" s="1384" t="s">
        <v>776</v>
      </c>
      <c r="G60" s="1384">
        <f>SUM(G33:G59)</f>
        <v>15276</v>
      </c>
      <c r="Q60" s="1362">
        <f>SUM(Q33:Q59)</f>
        <v>15729573.460000005</v>
      </c>
      <c r="W60" s="1362">
        <f>SUM(W33:W59)</f>
        <v>865740</v>
      </c>
      <c r="AM60" s="1363">
        <f>SUM(AM33:AM59)</f>
        <v>7464515</v>
      </c>
      <c r="AZ60" s="1363">
        <f>SUM(AZ33:AZ59)</f>
        <v>71096032</v>
      </c>
      <c r="BL60" s="1379"/>
      <c r="BM60" s="1363">
        <f>SUM(BM33:BM59)</f>
        <v>9390200.540000001</v>
      </c>
      <c r="BN60" s="1379">
        <f>SUM(BN33:BN59)</f>
        <v>104546061</v>
      </c>
      <c r="BO60" s="1379"/>
      <c r="BP60" s="1367">
        <f t="shared" si="23"/>
        <v>6843.8112725844458</v>
      </c>
      <c r="BQ60" s="1368">
        <f t="shared" si="24"/>
        <v>614.70283713013885</v>
      </c>
    </row>
    <row r="61" spans="1:69" s="1386" customFormat="1">
      <c r="A61" s="1385" t="s">
        <v>777</v>
      </c>
      <c r="D61" s="1386">
        <f>COUNTIF(D4:D59,"yes")</f>
        <v>40</v>
      </c>
      <c r="I61" s="1386">
        <f>AVERAGE(I4:I59)</f>
        <v>42.844166666666659</v>
      </c>
      <c r="J61" s="1386">
        <f>AVERAGE(J4:J59)</f>
        <v>7.2960416666666648</v>
      </c>
      <c r="K61" s="1386" t="s">
        <v>778</v>
      </c>
      <c r="L61" s="1386">
        <f>COUNTIF(L4:L59,"Elem")</f>
        <v>16</v>
      </c>
      <c r="Q61" s="1387"/>
      <c r="W61" s="1387"/>
      <c r="AM61" s="1387"/>
      <c r="AZ61" s="1387"/>
      <c r="BM61" s="1387"/>
    </row>
    <row r="62" spans="1:69" s="1469" customFormat="1">
      <c r="A62" s="1385" t="s">
        <v>779</v>
      </c>
      <c r="G62" s="1469">
        <f>SUM(G58,G56,G38)</f>
        <v>652</v>
      </c>
      <c r="Q62" s="1467">
        <f>SUM(Q38,Q56,Q58)</f>
        <v>925432.85000000033</v>
      </c>
      <c r="W62" s="1470"/>
      <c r="AM62" s="1470"/>
      <c r="AZ62" s="1467">
        <f>SUM(AZ58,AZ56,AZ38)</f>
        <v>3497486</v>
      </c>
      <c r="BL62" s="1471"/>
      <c r="BM62" s="1467">
        <f>SUM(BM58,BM56,BM38)</f>
        <v>344475.14999999997</v>
      </c>
      <c r="BN62" s="1471"/>
    </row>
    <row r="63" spans="1:69" s="1469" customFormat="1">
      <c r="A63" s="1385" t="s">
        <v>780</v>
      </c>
      <c r="G63" s="1469">
        <f>SUM(G50,G46,G40:G42)</f>
        <v>1491</v>
      </c>
      <c r="Q63" s="1467">
        <f>SUM(Q50,Q46,Q40:Q42)</f>
        <v>4798341.43</v>
      </c>
      <c r="W63" s="1470"/>
      <c r="AM63" s="1470"/>
      <c r="AZ63" s="1467">
        <f>SUM(AZ50,AZ46,AZ40:AZ42)</f>
        <v>7054900</v>
      </c>
      <c r="BL63" s="1471"/>
      <c r="BM63" s="1467">
        <f>SUM(BM50,BM46,BM40:BM42)</f>
        <v>1493267.57</v>
      </c>
    </row>
    <row r="64" spans="1:69" s="1469" customFormat="1">
      <c r="A64" s="1385" t="s">
        <v>781</v>
      </c>
      <c r="G64" s="1469">
        <f>SUM(G54,G43)</f>
        <v>802</v>
      </c>
      <c r="Q64" s="1467">
        <f>SUM(Q54,Q43)</f>
        <v>3694482.07</v>
      </c>
      <c r="W64" s="1470"/>
      <c r="AM64" s="1470"/>
      <c r="AZ64" s="1467">
        <f>SUM(AZ43,AZ54)</f>
        <v>3515166</v>
      </c>
      <c r="BM64" s="1467">
        <f>SUM(BM54,BM43)</f>
        <v>910425.92999999993</v>
      </c>
    </row>
    <row r="65" spans="1:65" s="1469" customFormat="1">
      <c r="A65" s="1385" t="s">
        <v>782</v>
      </c>
      <c r="G65" s="1469">
        <f>SUM(G48,G46,G45)</f>
        <v>1679</v>
      </c>
      <c r="K65" s="1469" t="s">
        <v>783</v>
      </c>
      <c r="L65" s="1469">
        <f>COUNTIF(L4:L59,"Middle")</f>
        <v>10</v>
      </c>
      <c r="Q65" s="1467">
        <f>SUM(Q48,Q45,Q44)</f>
        <v>2208594.0500000003</v>
      </c>
      <c r="W65" s="1470"/>
      <c r="AM65" s="1470"/>
      <c r="AZ65" s="1467">
        <f>SUM(AZ48,AZ45,AZ44)</f>
        <v>8727426</v>
      </c>
      <c r="BM65" s="1467">
        <f>SUM(BM48,BM44,BM45)</f>
        <v>1531192.95</v>
      </c>
    </row>
    <row r="66" spans="1:65" s="1469" customFormat="1">
      <c r="A66" s="1385" t="s">
        <v>784</v>
      </c>
      <c r="G66" s="1469">
        <f>G33</f>
        <v>68</v>
      </c>
      <c r="Q66" s="1467">
        <f>Q33</f>
        <v>-70603.94</v>
      </c>
      <c r="W66" s="1470"/>
      <c r="AM66" s="1470"/>
      <c r="AZ66" s="1467">
        <f>AZ33</f>
        <v>408985</v>
      </c>
      <c r="BM66" s="1467">
        <f>BM33</f>
        <v>47660.939999999995</v>
      </c>
    </row>
    <row r="67" spans="1:65" s="1469" customFormat="1">
      <c r="A67" s="1385" t="s">
        <v>785</v>
      </c>
      <c r="G67" s="1469">
        <f>G34</f>
        <v>425</v>
      </c>
      <c r="Q67" s="1467">
        <f>Q34</f>
        <v>468772</v>
      </c>
      <c r="W67" s="1470"/>
      <c r="AM67" s="1470"/>
      <c r="AZ67" s="1467">
        <f>AZ34</f>
        <v>1908220</v>
      </c>
      <c r="BM67" s="1467">
        <f>BM34</f>
        <v>85972</v>
      </c>
    </row>
    <row r="68" spans="1:65" s="1469" customFormat="1">
      <c r="A68" s="1385" t="s">
        <v>786</v>
      </c>
      <c r="G68" s="1469">
        <f>G35</f>
        <v>157</v>
      </c>
      <c r="Q68" s="1467">
        <f>Q35</f>
        <v>312188</v>
      </c>
      <c r="W68" s="1470"/>
      <c r="AM68" s="1470"/>
      <c r="AZ68" s="1467">
        <f>AZ35</f>
        <v>890417</v>
      </c>
      <c r="BM68" s="1467">
        <f>BM35</f>
        <v>140856</v>
      </c>
    </row>
    <row r="69" spans="1:65" s="1469" customFormat="1">
      <c r="A69" s="1385" t="s">
        <v>787</v>
      </c>
      <c r="G69" s="1469">
        <f>G36</f>
        <v>743</v>
      </c>
      <c r="Q69" s="1467">
        <f>Q36</f>
        <v>1824004</v>
      </c>
      <c r="W69" s="1470"/>
      <c r="AM69" s="1470"/>
      <c r="AZ69" s="1467">
        <f>AZ36</f>
        <v>2570074</v>
      </c>
      <c r="BM69" s="1467">
        <f>BM36</f>
        <v>207256</v>
      </c>
    </row>
    <row r="70" spans="1:65" s="1469" customFormat="1">
      <c r="A70" s="1385" t="s">
        <v>788</v>
      </c>
      <c r="G70" s="1469">
        <f>G49</f>
        <v>187</v>
      </c>
      <c r="Q70" s="1467">
        <f>Q49</f>
        <v>833908</v>
      </c>
      <c r="W70" s="1470"/>
      <c r="AM70" s="1470"/>
      <c r="AZ70" s="1467">
        <f>AZ49</f>
        <v>953812</v>
      </c>
      <c r="BM70" s="1467">
        <f>BM49</f>
        <v>122508</v>
      </c>
    </row>
    <row r="71" spans="1:65" s="1469" customFormat="1">
      <c r="A71" s="1385" t="s">
        <v>789</v>
      </c>
      <c r="G71" s="1469">
        <f>G51</f>
        <v>195</v>
      </c>
      <c r="Q71" s="1467">
        <f>Q51</f>
        <v>734455</v>
      </c>
      <c r="W71" s="1470"/>
      <c r="AM71" s="1470"/>
      <c r="AZ71" s="1467">
        <f>AZ51</f>
        <v>1053906</v>
      </c>
      <c r="BM71" s="1467">
        <f>BM51</f>
        <v>93944</v>
      </c>
    </row>
    <row r="72" spans="1:65">
      <c r="K72" s="377" t="s">
        <v>911</v>
      </c>
      <c r="L72" s="1386">
        <f>COUNTIF(L4:L59,"High")</f>
        <v>7</v>
      </c>
      <c r="Q72" s="1372"/>
      <c r="W72" s="1372"/>
      <c r="AM72" s="1372"/>
      <c r="AZ72" s="1372"/>
      <c r="BM72" s="1372"/>
    </row>
    <row r="73" spans="1:65" s="1349" customFormat="1">
      <c r="A73" s="1374" t="s">
        <v>912</v>
      </c>
      <c r="K73" s="1388" t="s">
        <v>913</v>
      </c>
      <c r="L73" s="1389">
        <f>COUNTIF(L4:L59,"Multi")</f>
        <v>15</v>
      </c>
      <c r="Q73" s="1375"/>
      <c r="W73" s="1375"/>
      <c r="AM73" s="1375"/>
      <c r="AZ73" s="1375"/>
      <c r="BM73" s="1375"/>
    </row>
    <row r="74" spans="1:65" s="1359" customFormat="1">
      <c r="A74" s="1359" t="s">
        <v>914</v>
      </c>
      <c r="B74" s="1359" t="s">
        <v>915</v>
      </c>
      <c r="C74" s="1359" t="s">
        <v>748</v>
      </c>
      <c r="G74" s="1359">
        <v>583</v>
      </c>
      <c r="I74" s="1359">
        <v>30.81</v>
      </c>
      <c r="J74" s="1359">
        <v>12.32</v>
      </c>
      <c r="K74" s="1359" t="s">
        <v>681</v>
      </c>
      <c r="L74" s="1359" t="s">
        <v>682</v>
      </c>
      <c r="Q74" s="1372"/>
      <c r="W74" s="1372"/>
      <c r="AM74" s="1372"/>
      <c r="AZ74" s="1372"/>
      <c r="BM74" s="1372"/>
    </row>
    <row r="75" spans="1:65">
      <c r="A75" s="1297" t="s">
        <v>916</v>
      </c>
      <c r="B75" s="1297" t="s">
        <v>915</v>
      </c>
      <c r="C75" s="1297" t="s">
        <v>917</v>
      </c>
      <c r="G75" s="1297">
        <v>954</v>
      </c>
      <c r="I75" s="1297" t="s">
        <v>918</v>
      </c>
      <c r="J75" s="1297" t="s">
        <v>918</v>
      </c>
      <c r="K75" s="1390" t="s">
        <v>877</v>
      </c>
      <c r="L75" s="1390" t="s">
        <v>687</v>
      </c>
      <c r="Q75" s="1372"/>
      <c r="W75" s="1372"/>
      <c r="AM75" s="1372"/>
      <c r="AZ75" s="1372"/>
      <c r="BM75" s="1372"/>
    </row>
    <row r="76" spans="1:65">
      <c r="A76" s="1297" t="s">
        <v>919</v>
      </c>
      <c r="B76" s="1297" t="s">
        <v>915</v>
      </c>
      <c r="C76" s="1297" t="s">
        <v>874</v>
      </c>
      <c r="G76" s="1297">
        <v>1487</v>
      </c>
      <c r="I76" s="1297">
        <v>43.65</v>
      </c>
      <c r="J76" s="1297">
        <v>77.709999999999994</v>
      </c>
      <c r="K76" s="1297" t="s">
        <v>686</v>
      </c>
      <c r="L76" s="1297" t="s">
        <v>687</v>
      </c>
      <c r="Q76" s="1372"/>
      <c r="W76" s="1372"/>
      <c r="AM76" s="1372"/>
      <c r="AZ76" s="1372"/>
      <c r="BM76" s="1372"/>
    </row>
    <row r="77" spans="1:65">
      <c r="A77" s="1297" t="s">
        <v>920</v>
      </c>
      <c r="B77" s="1297" t="s">
        <v>915</v>
      </c>
      <c r="C77" s="1297" t="s">
        <v>874</v>
      </c>
      <c r="G77" s="1297">
        <v>529</v>
      </c>
      <c r="I77" s="1297">
        <v>31.05</v>
      </c>
      <c r="J77" s="1297">
        <v>8.92</v>
      </c>
      <c r="K77" s="1297" t="s">
        <v>681</v>
      </c>
      <c r="L77" s="1297" t="s">
        <v>682</v>
      </c>
      <c r="Q77" s="1372"/>
      <c r="W77" s="1372"/>
      <c r="AM77" s="1372"/>
      <c r="AZ77" s="1372"/>
      <c r="BM77" s="1372"/>
    </row>
    <row r="78" spans="1:65">
      <c r="A78" s="1297" t="s">
        <v>921</v>
      </c>
      <c r="B78" s="1297" t="s">
        <v>915</v>
      </c>
      <c r="C78" s="1297" t="s">
        <v>922</v>
      </c>
      <c r="G78" s="1297">
        <v>972</v>
      </c>
      <c r="I78" s="1297">
        <v>58.06</v>
      </c>
      <c r="J78" s="1297">
        <v>13.57</v>
      </c>
      <c r="K78" s="1297" t="s">
        <v>684</v>
      </c>
      <c r="L78" s="1297" t="s">
        <v>679</v>
      </c>
      <c r="Q78" s="1372"/>
      <c r="W78" s="1372"/>
      <c r="AM78" s="1372"/>
      <c r="AZ78" s="1372"/>
      <c r="BM78" s="1372"/>
    </row>
    <row r="79" spans="1:65">
      <c r="A79" s="1297" t="s">
        <v>923</v>
      </c>
      <c r="B79" s="1297" t="s">
        <v>915</v>
      </c>
      <c r="C79" s="1297" t="s">
        <v>924</v>
      </c>
      <c r="G79" s="1297">
        <v>491</v>
      </c>
      <c r="I79" s="1297">
        <v>36.31</v>
      </c>
      <c r="J79" s="1297">
        <v>9.85</v>
      </c>
      <c r="K79" s="1297" t="s">
        <v>681</v>
      </c>
      <c r="L79" s="1297" t="s">
        <v>682</v>
      </c>
      <c r="Q79" s="1372"/>
      <c r="W79" s="1372"/>
      <c r="AM79" s="1372"/>
      <c r="AZ79" s="1372"/>
      <c r="BM79" s="1372"/>
    </row>
    <row r="80" spans="1:65">
      <c r="A80" s="1297" t="s">
        <v>925</v>
      </c>
      <c r="B80" s="1297" t="s">
        <v>915</v>
      </c>
      <c r="C80" s="1297" t="s">
        <v>926</v>
      </c>
      <c r="G80" s="1297">
        <v>863</v>
      </c>
      <c r="I80" s="1297">
        <v>86.59</v>
      </c>
      <c r="J80" s="1297">
        <v>7.84</v>
      </c>
      <c r="K80" s="1297" t="s">
        <v>686</v>
      </c>
      <c r="L80" s="1297" t="s">
        <v>687</v>
      </c>
      <c r="Q80" s="1372"/>
      <c r="W80" s="1372"/>
      <c r="AM80" s="1372"/>
      <c r="AZ80" s="1372"/>
      <c r="BM80" s="1372"/>
    </row>
    <row r="81" spans="1:65">
      <c r="A81" s="1297" t="s">
        <v>927</v>
      </c>
      <c r="B81" s="1297" t="s">
        <v>915</v>
      </c>
      <c r="C81" s="1297" t="s">
        <v>926</v>
      </c>
      <c r="G81" s="1297">
        <v>565</v>
      </c>
      <c r="I81" s="1297">
        <v>95</v>
      </c>
      <c r="J81" s="1297">
        <v>10.81</v>
      </c>
      <c r="K81" s="1297" t="s">
        <v>684</v>
      </c>
      <c r="L81" s="1297" t="s">
        <v>679</v>
      </c>
      <c r="Q81" s="1372"/>
      <c r="W81" s="1372"/>
      <c r="AM81" s="1372"/>
      <c r="AZ81" s="1372"/>
      <c r="BM81" s="1372"/>
    </row>
    <row r="82" spans="1:65">
      <c r="A82" s="1297" t="s">
        <v>928</v>
      </c>
      <c r="B82" s="1297" t="s">
        <v>915</v>
      </c>
      <c r="C82" s="1297" t="s">
        <v>929</v>
      </c>
      <c r="G82" s="1297">
        <v>718</v>
      </c>
      <c r="I82" s="1297">
        <v>58.52</v>
      </c>
      <c r="J82" s="1297">
        <v>8.06</v>
      </c>
      <c r="K82" s="1297" t="s">
        <v>681</v>
      </c>
      <c r="L82" s="1297" t="s">
        <v>682</v>
      </c>
      <c r="Q82" s="1372"/>
      <c r="W82" s="1372"/>
      <c r="AM82" s="1372"/>
      <c r="AZ82" s="1372"/>
      <c r="BM82" s="1372"/>
    </row>
    <row r="83" spans="1:65">
      <c r="A83" s="1297" t="s">
        <v>930</v>
      </c>
      <c r="B83" s="1297" t="s">
        <v>915</v>
      </c>
      <c r="C83" s="1297" t="s">
        <v>926</v>
      </c>
      <c r="G83" s="1297">
        <v>473</v>
      </c>
      <c r="I83" s="1297">
        <v>78.78</v>
      </c>
      <c r="J83" s="1297">
        <v>6.88</v>
      </c>
      <c r="K83" s="1297" t="s">
        <v>681</v>
      </c>
      <c r="L83" s="1297" t="s">
        <v>682</v>
      </c>
      <c r="Q83" s="1372"/>
      <c r="W83" s="1372"/>
      <c r="AM83" s="1372"/>
      <c r="AZ83" s="1372"/>
      <c r="BM83" s="1372"/>
    </row>
    <row r="84" spans="1:65">
      <c r="A84" s="1297" t="s">
        <v>931</v>
      </c>
      <c r="B84" s="1297" t="s">
        <v>915</v>
      </c>
      <c r="C84" s="1297" t="s">
        <v>813</v>
      </c>
      <c r="G84" s="1297">
        <v>360</v>
      </c>
      <c r="I84" s="1297">
        <v>79.48</v>
      </c>
      <c r="J84" s="1297">
        <v>10.7</v>
      </c>
      <c r="K84" s="1297" t="s">
        <v>681</v>
      </c>
      <c r="L84" s="1297" t="s">
        <v>682</v>
      </c>
      <c r="Q84" s="1372"/>
      <c r="W84" s="1372"/>
      <c r="AM84" s="1372"/>
      <c r="AZ84" s="1372"/>
      <c r="BM84" s="1372"/>
    </row>
    <row r="85" spans="1:65">
      <c r="A85" s="1297" t="s">
        <v>814</v>
      </c>
      <c r="B85" s="1297" t="s">
        <v>915</v>
      </c>
      <c r="C85" s="1297" t="s">
        <v>815</v>
      </c>
      <c r="G85" s="1297">
        <v>517</v>
      </c>
      <c r="I85" s="1297">
        <v>88.87</v>
      </c>
      <c r="J85" s="1297">
        <v>9.25</v>
      </c>
      <c r="K85" s="1297" t="s">
        <v>681</v>
      </c>
      <c r="L85" s="1297" t="s">
        <v>682</v>
      </c>
      <c r="Q85" s="1372"/>
      <c r="W85" s="1372"/>
      <c r="AM85" s="1372"/>
      <c r="AZ85" s="1372"/>
      <c r="BM85" s="1372"/>
    </row>
    <row r="86" spans="1:65">
      <c r="A86" s="1297" t="s">
        <v>816</v>
      </c>
      <c r="B86" s="1297" t="s">
        <v>915</v>
      </c>
      <c r="C86" s="1297" t="s">
        <v>874</v>
      </c>
      <c r="G86" s="1297">
        <v>497</v>
      </c>
      <c r="I86" s="1297">
        <v>48.2</v>
      </c>
      <c r="J86" s="1297">
        <v>16.190000000000001</v>
      </c>
      <c r="K86" s="1297" t="s">
        <v>681</v>
      </c>
      <c r="L86" s="1297" t="s">
        <v>682</v>
      </c>
      <c r="Q86" s="1372"/>
      <c r="W86" s="1372"/>
      <c r="AM86" s="1372"/>
      <c r="AZ86" s="1372"/>
      <c r="BM86" s="1372"/>
    </row>
    <row r="87" spans="1:65">
      <c r="A87" s="1297" t="s">
        <v>817</v>
      </c>
      <c r="B87" s="1297" t="s">
        <v>915</v>
      </c>
      <c r="C87" s="1297" t="s">
        <v>922</v>
      </c>
      <c r="G87" s="1297">
        <v>696</v>
      </c>
      <c r="I87" s="1297">
        <v>54.48</v>
      </c>
      <c r="J87" s="1297">
        <v>11.76</v>
      </c>
      <c r="K87" s="1297" t="s">
        <v>818</v>
      </c>
      <c r="L87" s="1297" t="s">
        <v>682</v>
      </c>
      <c r="Q87" s="1372"/>
      <c r="W87" s="1372"/>
      <c r="AM87" s="1372"/>
      <c r="AZ87" s="1372"/>
      <c r="BM87" s="1372"/>
    </row>
    <row r="88" spans="1:65">
      <c r="A88" s="1297" t="s">
        <v>819</v>
      </c>
      <c r="B88" s="1297" t="s">
        <v>915</v>
      </c>
      <c r="C88" s="1297" t="s">
        <v>879</v>
      </c>
      <c r="G88" s="1297">
        <v>883</v>
      </c>
      <c r="I88" s="1297">
        <v>50</v>
      </c>
      <c r="J88" s="1297" t="s">
        <v>918</v>
      </c>
      <c r="K88" s="1297" t="s">
        <v>686</v>
      </c>
      <c r="L88" s="1297" t="s">
        <v>687</v>
      </c>
      <c r="Q88" s="1372"/>
      <c r="W88" s="1372"/>
      <c r="AM88" s="1372"/>
      <c r="AZ88" s="1372"/>
      <c r="BM88" s="1372"/>
    </row>
    <row r="89" spans="1:65">
      <c r="A89" s="1297" t="s">
        <v>820</v>
      </c>
      <c r="B89" s="1297" t="s">
        <v>915</v>
      </c>
      <c r="C89" s="1297" t="s">
        <v>922</v>
      </c>
      <c r="G89" s="1297">
        <v>493</v>
      </c>
      <c r="I89" s="1297">
        <v>83.54</v>
      </c>
      <c r="J89" s="1297">
        <v>12.84</v>
      </c>
      <c r="K89" s="1297" t="s">
        <v>681</v>
      </c>
      <c r="L89" s="1297" t="s">
        <v>682</v>
      </c>
      <c r="Q89" s="1372"/>
      <c r="W89" s="1372"/>
      <c r="AM89" s="1372"/>
      <c r="AZ89" s="1372"/>
      <c r="BM89" s="1372"/>
    </row>
    <row r="90" spans="1:65">
      <c r="A90" s="1297" t="s">
        <v>821</v>
      </c>
      <c r="B90" s="1297" t="s">
        <v>915</v>
      </c>
      <c r="C90" s="1297" t="s">
        <v>822</v>
      </c>
      <c r="G90" s="1297">
        <v>987</v>
      </c>
      <c r="I90" s="1297">
        <v>40.869999999999997</v>
      </c>
      <c r="J90" s="1297">
        <v>10.26</v>
      </c>
      <c r="K90" s="1297" t="s">
        <v>686</v>
      </c>
      <c r="L90" s="1297" t="s">
        <v>687</v>
      </c>
      <c r="Q90" s="1372"/>
      <c r="W90" s="1372"/>
      <c r="AM90" s="1372"/>
      <c r="AZ90" s="1372"/>
      <c r="BM90" s="1372"/>
    </row>
    <row r="91" spans="1:65">
      <c r="A91" s="1297" t="s">
        <v>823</v>
      </c>
      <c r="B91" s="1297" t="s">
        <v>915</v>
      </c>
      <c r="C91" s="1297" t="s">
        <v>813</v>
      </c>
      <c r="G91" s="1297">
        <v>514</v>
      </c>
      <c r="I91" s="1297">
        <v>90.88</v>
      </c>
      <c r="J91" s="1297">
        <v>12.36</v>
      </c>
      <c r="K91" s="1297" t="s">
        <v>684</v>
      </c>
      <c r="L91" s="1297" t="s">
        <v>679</v>
      </c>
      <c r="Q91" s="1372"/>
      <c r="W91" s="1372"/>
      <c r="AM91" s="1372"/>
      <c r="AZ91" s="1372"/>
      <c r="BM91" s="1372"/>
    </row>
    <row r="92" spans="1:65">
      <c r="A92" s="1297" t="s">
        <v>824</v>
      </c>
      <c r="B92" s="1297" t="s">
        <v>915</v>
      </c>
      <c r="C92" s="1297" t="s">
        <v>811</v>
      </c>
      <c r="G92" s="1297">
        <v>1398</v>
      </c>
      <c r="I92" s="1297">
        <v>43.52</v>
      </c>
      <c r="J92" s="1297">
        <v>7.79</v>
      </c>
      <c r="K92" s="1297" t="s">
        <v>686</v>
      </c>
      <c r="L92" s="1297" t="s">
        <v>687</v>
      </c>
      <c r="Q92" s="1372"/>
      <c r="W92" s="1372"/>
      <c r="AM92" s="1372"/>
      <c r="AZ92" s="1372"/>
      <c r="BM92" s="1372"/>
    </row>
    <row r="93" spans="1:65">
      <c r="A93" s="1297" t="s">
        <v>825</v>
      </c>
      <c r="B93" s="1297" t="s">
        <v>915</v>
      </c>
      <c r="C93" s="1297" t="s">
        <v>874</v>
      </c>
      <c r="G93" s="1297">
        <v>1245</v>
      </c>
      <c r="I93" s="1297">
        <v>36.11</v>
      </c>
      <c r="J93" s="1297">
        <v>10.83</v>
      </c>
      <c r="K93" s="1297" t="s">
        <v>684</v>
      </c>
      <c r="L93" s="1297" t="s">
        <v>679</v>
      </c>
      <c r="Q93" s="1372"/>
      <c r="W93" s="1372"/>
      <c r="AM93" s="1372"/>
      <c r="AZ93" s="1372"/>
      <c r="BM93" s="1372"/>
    </row>
    <row r="94" spans="1:65">
      <c r="A94" s="1297" t="s">
        <v>826</v>
      </c>
      <c r="B94" s="1297" t="s">
        <v>915</v>
      </c>
      <c r="C94" s="1297" t="s">
        <v>924</v>
      </c>
      <c r="G94" s="1297">
        <v>524</v>
      </c>
      <c r="I94" s="1297">
        <v>57.42</v>
      </c>
      <c r="J94" s="1297">
        <v>15.88</v>
      </c>
      <c r="K94" s="1297" t="s">
        <v>681</v>
      </c>
      <c r="L94" s="1297" t="s">
        <v>682</v>
      </c>
      <c r="Q94" s="1372"/>
      <c r="W94" s="1372"/>
      <c r="AM94" s="1372"/>
      <c r="AZ94" s="1372"/>
      <c r="BM94" s="1372"/>
    </row>
    <row r="95" spans="1:65">
      <c r="A95" s="1297" t="s">
        <v>827</v>
      </c>
      <c r="B95" s="1297" t="s">
        <v>915</v>
      </c>
      <c r="C95" s="1297" t="s">
        <v>811</v>
      </c>
      <c r="G95" s="1297">
        <v>834</v>
      </c>
      <c r="I95" s="1297">
        <v>56.87</v>
      </c>
      <c r="J95" s="1297">
        <v>10.61</v>
      </c>
      <c r="K95" s="1297" t="s">
        <v>684</v>
      </c>
      <c r="L95" s="1297" t="s">
        <v>679</v>
      </c>
      <c r="Q95" s="1372"/>
      <c r="W95" s="1372"/>
      <c r="AM95" s="1372"/>
      <c r="AZ95" s="1372"/>
      <c r="BM95" s="1372"/>
    </row>
    <row r="96" spans="1:65">
      <c r="A96" s="1297" t="s">
        <v>828</v>
      </c>
      <c r="B96" s="1297" t="s">
        <v>915</v>
      </c>
      <c r="C96" s="1297" t="s">
        <v>811</v>
      </c>
      <c r="G96" s="1297">
        <v>1660</v>
      </c>
      <c r="I96" s="1297">
        <v>30</v>
      </c>
      <c r="J96" s="1297">
        <v>6</v>
      </c>
      <c r="K96" s="1297" t="s">
        <v>686</v>
      </c>
      <c r="L96" s="1297" t="s">
        <v>687</v>
      </c>
      <c r="Q96" s="1372"/>
      <c r="W96" s="1372"/>
      <c r="AM96" s="1372"/>
      <c r="AZ96" s="1372"/>
      <c r="BM96" s="1372"/>
    </row>
    <row r="97" spans="1:68">
      <c r="A97" s="1297" t="s">
        <v>829</v>
      </c>
      <c r="B97" s="1297" t="s">
        <v>915</v>
      </c>
      <c r="C97" s="1297" t="s">
        <v>811</v>
      </c>
      <c r="G97" s="1297">
        <v>879</v>
      </c>
      <c r="I97" s="1297">
        <v>63.38</v>
      </c>
      <c r="J97" s="1297">
        <v>11.35</v>
      </c>
      <c r="K97" s="1297" t="s">
        <v>684</v>
      </c>
      <c r="L97" s="1297" t="s">
        <v>679</v>
      </c>
      <c r="Q97" s="1372"/>
      <c r="W97" s="1372"/>
      <c r="AM97" s="1372"/>
      <c r="AZ97" s="1372"/>
      <c r="BM97" s="1372"/>
    </row>
    <row r="98" spans="1:68">
      <c r="A98" s="1297" t="s">
        <v>830</v>
      </c>
      <c r="B98" s="1297" t="s">
        <v>915</v>
      </c>
      <c r="C98" s="1297" t="s">
        <v>922</v>
      </c>
      <c r="G98" s="1297">
        <v>682</v>
      </c>
      <c r="I98" s="1297">
        <v>52.33</v>
      </c>
      <c r="J98" s="1297">
        <v>11.92</v>
      </c>
      <c r="K98" s="1297" t="s">
        <v>681</v>
      </c>
      <c r="L98" s="1297" t="s">
        <v>682</v>
      </c>
      <c r="Q98" s="1372"/>
      <c r="W98" s="1372"/>
      <c r="AM98" s="1372"/>
      <c r="AZ98" s="1372"/>
      <c r="BM98" s="1372"/>
    </row>
    <row r="99" spans="1:68">
      <c r="A99" s="1297" t="s">
        <v>831</v>
      </c>
      <c r="B99" s="1297" t="s">
        <v>915</v>
      </c>
      <c r="C99" s="1297" t="s">
        <v>758</v>
      </c>
      <c r="G99" s="1297">
        <v>676</v>
      </c>
      <c r="I99" s="1297">
        <v>100</v>
      </c>
      <c r="J99" s="1297">
        <v>11.91</v>
      </c>
      <c r="K99" s="1297" t="s">
        <v>681</v>
      </c>
      <c r="L99" s="1297" t="s">
        <v>682</v>
      </c>
      <c r="Q99" s="1372"/>
      <c r="W99" s="1372"/>
      <c r="AM99" s="1372"/>
      <c r="AZ99" s="1372"/>
      <c r="BM99" s="1372"/>
    </row>
    <row r="100" spans="1:68">
      <c r="A100" s="1297" t="s">
        <v>832</v>
      </c>
      <c r="B100" s="1297" t="s">
        <v>915</v>
      </c>
      <c r="C100" s="1297" t="s">
        <v>748</v>
      </c>
      <c r="G100" s="1297">
        <v>818</v>
      </c>
      <c r="I100" s="1297">
        <v>53.52</v>
      </c>
      <c r="J100" s="1297">
        <v>17.100000000000001</v>
      </c>
      <c r="K100" s="1297" t="s">
        <v>681</v>
      </c>
      <c r="L100" s="1297" t="s">
        <v>682</v>
      </c>
      <c r="Q100" s="1372"/>
      <c r="W100" s="1372"/>
      <c r="AM100" s="1372"/>
      <c r="AZ100" s="1372"/>
      <c r="BM100" s="1372"/>
    </row>
    <row r="101" spans="1:68">
      <c r="A101" s="1297" t="s">
        <v>833</v>
      </c>
      <c r="B101" s="1297" t="s">
        <v>915</v>
      </c>
      <c r="C101" s="1297" t="s">
        <v>874</v>
      </c>
      <c r="G101" s="1297">
        <v>525</v>
      </c>
      <c r="I101" s="1297">
        <v>61.25</v>
      </c>
      <c r="J101" s="1297">
        <v>11.17</v>
      </c>
      <c r="K101" s="1297" t="s">
        <v>681</v>
      </c>
      <c r="L101" s="1297" t="s">
        <v>682</v>
      </c>
      <c r="Q101" s="1372"/>
      <c r="W101" s="1372"/>
      <c r="AM101" s="1372"/>
      <c r="AZ101" s="1372"/>
      <c r="BM101" s="1372"/>
    </row>
    <row r="102" spans="1:68">
      <c r="A102" s="1297" t="s">
        <v>834</v>
      </c>
      <c r="B102" s="1297" t="s">
        <v>915</v>
      </c>
      <c r="C102" s="1297" t="s">
        <v>811</v>
      </c>
      <c r="G102" s="1297">
        <v>468</v>
      </c>
      <c r="I102" s="1297">
        <v>44.23</v>
      </c>
      <c r="J102" s="1297">
        <v>8.2200000000000006</v>
      </c>
      <c r="K102" s="1297" t="s">
        <v>681</v>
      </c>
      <c r="L102" s="1297" t="s">
        <v>682</v>
      </c>
      <c r="Q102" s="1372"/>
      <c r="W102" s="1372"/>
      <c r="AM102" s="1372"/>
      <c r="AZ102" s="1372"/>
      <c r="BM102" s="1372"/>
    </row>
    <row r="103" spans="1:68">
      <c r="A103" s="1297" t="s">
        <v>835</v>
      </c>
      <c r="B103" s="1297" t="s">
        <v>915</v>
      </c>
      <c r="C103" s="1297" t="s">
        <v>748</v>
      </c>
      <c r="G103" s="1297">
        <v>2668</v>
      </c>
      <c r="I103" s="1297">
        <v>4.7</v>
      </c>
      <c r="J103" s="1297">
        <v>8.93</v>
      </c>
      <c r="K103" s="1297" t="s">
        <v>686</v>
      </c>
      <c r="L103" s="1297" t="s">
        <v>687</v>
      </c>
      <c r="Q103" s="1372"/>
      <c r="W103" s="1372"/>
      <c r="AM103" s="1372"/>
      <c r="AZ103" s="1372"/>
      <c r="BM103" s="1372"/>
    </row>
    <row r="104" spans="1:68">
      <c r="A104" s="1297" t="s">
        <v>836</v>
      </c>
      <c r="B104" s="1297" t="s">
        <v>915</v>
      </c>
      <c r="C104" s="1297" t="s">
        <v>922</v>
      </c>
      <c r="G104" s="1297">
        <v>595</v>
      </c>
      <c r="I104" s="1297">
        <v>40.67</v>
      </c>
      <c r="J104" s="1297">
        <v>13.88</v>
      </c>
      <c r="K104" s="1297" t="s">
        <v>681</v>
      </c>
      <c r="L104" s="1297" t="s">
        <v>682</v>
      </c>
      <c r="Q104" s="1372"/>
      <c r="W104" s="1372"/>
      <c r="AM104" s="1372"/>
      <c r="AZ104" s="1372"/>
      <c r="BM104" s="1372"/>
    </row>
    <row r="105" spans="1:68">
      <c r="A105" s="1297" t="s">
        <v>837</v>
      </c>
      <c r="B105" s="1297" t="s">
        <v>915</v>
      </c>
      <c r="C105" s="1297" t="s">
        <v>922</v>
      </c>
      <c r="G105" s="1297">
        <v>596</v>
      </c>
      <c r="I105" s="1297">
        <v>38.92</v>
      </c>
      <c r="J105" s="1297">
        <v>4.78</v>
      </c>
      <c r="K105" s="1297" t="s">
        <v>681</v>
      </c>
      <c r="L105" s="1297" t="s">
        <v>682</v>
      </c>
      <c r="Q105" s="1372"/>
      <c r="W105" s="1372"/>
      <c r="AM105" s="1372"/>
      <c r="AZ105" s="1372"/>
      <c r="BM105" s="1372"/>
    </row>
    <row r="106" spans="1:68" s="1391" customFormat="1">
      <c r="A106" s="1391" t="s">
        <v>838</v>
      </c>
      <c r="B106" s="1391" t="s">
        <v>915</v>
      </c>
      <c r="C106" s="1391" t="s">
        <v>924</v>
      </c>
      <c r="G106" s="1391">
        <v>441</v>
      </c>
      <c r="I106" s="1391">
        <v>78.09</v>
      </c>
      <c r="J106" s="1391">
        <v>12.17</v>
      </c>
      <c r="K106" s="1391" t="s">
        <v>818</v>
      </c>
      <c r="L106" s="1391" t="s">
        <v>682</v>
      </c>
      <c r="Q106" s="1392"/>
      <c r="W106" s="1392"/>
      <c r="AM106" s="1392"/>
      <c r="AZ106" s="1392"/>
      <c r="BM106" s="1392"/>
    </row>
    <row r="107" spans="1:68" s="1386" customFormat="1">
      <c r="A107" s="1385" t="s">
        <v>839</v>
      </c>
      <c r="I107" s="1386">
        <f>AVERAGE(I74:I106)</f>
        <v>56.753125000000004</v>
      </c>
      <c r="J107" s="1386">
        <f>AVERAGE(J74:J106)</f>
        <v>12.963225806451616</v>
      </c>
      <c r="Q107" s="1387"/>
      <c r="W107" s="1387"/>
      <c r="AM107" s="1387"/>
      <c r="AZ107" s="1387"/>
      <c r="BM107" s="1387"/>
    </row>
    <row r="108" spans="1:68" s="1386" customFormat="1">
      <c r="A108" s="1385"/>
      <c r="Q108" s="1387"/>
      <c r="W108" s="1387"/>
      <c r="AM108" s="1387"/>
      <c r="AZ108" s="1387"/>
      <c r="BM108" s="1387"/>
    </row>
    <row r="109" spans="1:68" s="1389" customFormat="1">
      <c r="A109" s="1393" t="s">
        <v>840</v>
      </c>
      <c r="Q109" s="1394"/>
      <c r="W109" s="1394"/>
      <c r="AM109" s="1394"/>
      <c r="AZ109" s="1394"/>
      <c r="BM109" s="1394"/>
    </row>
    <row r="110" spans="1:68">
      <c r="A110" s="359" t="s">
        <v>841</v>
      </c>
      <c r="B110" s="1297" t="s">
        <v>810</v>
      </c>
      <c r="C110" s="1297" t="s">
        <v>842</v>
      </c>
      <c r="D110" s="359" t="s">
        <v>843</v>
      </c>
      <c r="G110" s="1297">
        <v>18</v>
      </c>
      <c r="I110" s="1297" t="s">
        <v>918</v>
      </c>
      <c r="J110" s="1297" t="s">
        <v>918</v>
      </c>
      <c r="K110" s="1297" t="s">
        <v>686</v>
      </c>
      <c r="L110" s="1297" t="s">
        <v>687</v>
      </c>
      <c r="M110" s="1395"/>
      <c r="N110" s="1395"/>
      <c r="O110" s="1395"/>
      <c r="P110" s="1395"/>
      <c r="Q110" s="1369">
        <f t="shared" ref="Q110:Q116" si="27">SUM(M110:P110)</f>
        <v>0</v>
      </c>
      <c r="R110" s="1395"/>
      <c r="S110" s="1395"/>
      <c r="T110" s="1395"/>
      <c r="U110" s="1395"/>
      <c r="V110" s="1395"/>
      <c r="W110" s="1369">
        <f t="shared" ref="W110:W116" si="28">SUM(R110:V110)</f>
        <v>0</v>
      </c>
      <c r="X110" s="1395"/>
      <c r="Y110" s="1395"/>
      <c r="Z110" s="1395"/>
      <c r="AA110" s="1395"/>
      <c r="AB110" s="1395"/>
      <c r="AC110" s="1395"/>
      <c r="AD110" s="1395"/>
      <c r="AE110" s="1395"/>
      <c r="AF110" s="1395"/>
      <c r="AG110" s="1395"/>
      <c r="AH110" s="1395"/>
      <c r="AI110" s="1395"/>
      <c r="AJ110" s="1395"/>
      <c r="AK110" s="1395"/>
      <c r="AL110" s="1395"/>
      <c r="AM110" s="1369">
        <f t="shared" ref="AM110:AM116" si="29">SUM(X110:AL110)</f>
        <v>0</v>
      </c>
      <c r="AN110" s="1395"/>
      <c r="AO110" s="1395"/>
      <c r="AP110" s="1395"/>
      <c r="AQ110" s="1395"/>
      <c r="AR110" s="1395"/>
      <c r="AS110" s="1395"/>
      <c r="AT110" s="1395"/>
      <c r="AU110" s="1395"/>
      <c r="AV110" s="1395"/>
      <c r="AW110" s="1395"/>
      <c r="AX110" s="1395"/>
      <c r="AY110" s="1395"/>
      <c r="AZ110" s="1369">
        <f t="shared" ref="AZ110:AZ116" si="30">SUM(AN110:AY110)</f>
        <v>0</v>
      </c>
      <c r="BA110" s="1395"/>
      <c r="BB110" s="1395"/>
      <c r="BC110" s="1395"/>
      <c r="BD110" s="1395"/>
      <c r="BE110" s="1395"/>
      <c r="BF110" s="1395"/>
      <c r="BG110" s="1395"/>
      <c r="BH110" s="1395"/>
      <c r="BI110" s="1395"/>
      <c r="BJ110" s="1395"/>
      <c r="BK110" s="1395"/>
      <c r="BL110" s="1395"/>
      <c r="BM110" s="1369">
        <f t="shared" ref="BM110:BM116" si="31">SUM(BA110:BL110)</f>
        <v>0</v>
      </c>
      <c r="BN110" s="1373">
        <f t="shared" ref="BN110:BN116" si="32">SUM(Q110,W110,AM110,AZ110,BM110)</f>
        <v>0</v>
      </c>
      <c r="BO110" s="1373"/>
      <c r="BP110" s="1350">
        <f t="shared" ref="BP110:BP116" si="33">BN110/G110</f>
        <v>0</v>
      </c>
    </row>
    <row r="111" spans="1:68">
      <c r="A111" s="359" t="s">
        <v>844</v>
      </c>
      <c r="B111" s="1297" t="s">
        <v>810</v>
      </c>
      <c r="C111" s="1297" t="s">
        <v>845</v>
      </c>
      <c r="D111" s="1297" t="s">
        <v>846</v>
      </c>
      <c r="G111" s="1297">
        <v>73</v>
      </c>
      <c r="I111" s="1297">
        <v>20</v>
      </c>
      <c r="J111" s="1297">
        <v>11</v>
      </c>
      <c r="K111" s="1297" t="s">
        <v>877</v>
      </c>
      <c r="L111" s="1297" t="s">
        <v>687</v>
      </c>
      <c r="M111" s="1395"/>
      <c r="N111" s="1395"/>
      <c r="O111" s="1395"/>
      <c r="P111" s="1395"/>
      <c r="Q111" s="1369">
        <f t="shared" si="27"/>
        <v>0</v>
      </c>
      <c r="R111" s="1395"/>
      <c r="S111" s="1395"/>
      <c r="T111" s="1395"/>
      <c r="U111" s="1395"/>
      <c r="V111" s="1395"/>
      <c r="W111" s="1369">
        <f t="shared" si="28"/>
        <v>0</v>
      </c>
      <c r="X111" s="1395"/>
      <c r="Y111" s="1395"/>
      <c r="Z111" s="1395"/>
      <c r="AA111" s="1395"/>
      <c r="AB111" s="1395"/>
      <c r="AC111" s="1395"/>
      <c r="AD111" s="1395"/>
      <c r="AE111" s="1395"/>
      <c r="AF111" s="1395"/>
      <c r="AG111" s="1395"/>
      <c r="AH111" s="1395"/>
      <c r="AI111" s="1395"/>
      <c r="AJ111" s="1395"/>
      <c r="AK111" s="1395"/>
      <c r="AL111" s="1395"/>
      <c r="AM111" s="1369">
        <f t="shared" si="29"/>
        <v>0</v>
      </c>
      <c r="AN111" s="1395"/>
      <c r="AO111" s="1395"/>
      <c r="AP111" s="1395"/>
      <c r="AQ111" s="1395"/>
      <c r="AR111" s="1395"/>
      <c r="AS111" s="1395"/>
      <c r="AT111" s="1395"/>
      <c r="AU111" s="1395"/>
      <c r="AV111" s="1395"/>
      <c r="AW111" s="1395"/>
      <c r="AX111" s="1395"/>
      <c r="AY111" s="1395"/>
      <c r="AZ111" s="1369">
        <f t="shared" si="30"/>
        <v>0</v>
      </c>
      <c r="BA111" s="1395"/>
      <c r="BB111" s="1395"/>
      <c r="BC111" s="1395"/>
      <c r="BD111" s="1395"/>
      <c r="BE111" s="1395"/>
      <c r="BF111" s="1395"/>
      <c r="BG111" s="1395"/>
      <c r="BH111" s="1395"/>
      <c r="BI111" s="1395"/>
      <c r="BJ111" s="1395"/>
      <c r="BK111" s="1395"/>
      <c r="BL111" s="1395"/>
      <c r="BM111" s="1369">
        <f t="shared" si="31"/>
        <v>0</v>
      </c>
      <c r="BN111" s="1373">
        <f t="shared" si="32"/>
        <v>0</v>
      </c>
      <c r="BO111" s="1373"/>
      <c r="BP111" s="1350">
        <f t="shared" si="33"/>
        <v>0</v>
      </c>
    </row>
    <row r="112" spans="1:68">
      <c r="A112" s="359" t="s">
        <v>847</v>
      </c>
      <c r="B112" s="1297" t="s">
        <v>771</v>
      </c>
      <c r="C112" s="1297" t="s">
        <v>874</v>
      </c>
      <c r="D112" s="1297" t="s">
        <v>848</v>
      </c>
      <c r="G112" s="1297">
        <v>530</v>
      </c>
      <c r="I112" s="1297">
        <v>22.64</v>
      </c>
      <c r="J112" s="1297">
        <v>3.3</v>
      </c>
      <c r="K112" s="1297" t="s">
        <v>681</v>
      </c>
      <c r="L112" s="1297" t="s">
        <v>682</v>
      </c>
      <c r="M112" s="1395"/>
      <c r="N112" s="1395"/>
      <c r="O112" s="1395"/>
      <c r="P112" s="1395"/>
      <c r="Q112" s="1369">
        <f t="shared" si="27"/>
        <v>0</v>
      </c>
      <c r="R112" s="1395"/>
      <c r="S112" s="1395"/>
      <c r="T112" s="1395"/>
      <c r="U112" s="1395"/>
      <c r="V112" s="1395"/>
      <c r="W112" s="1369">
        <f t="shared" si="28"/>
        <v>0</v>
      </c>
      <c r="X112" s="1395"/>
      <c r="Y112" s="1395"/>
      <c r="Z112" s="1395"/>
      <c r="AA112" s="1395"/>
      <c r="AB112" s="1395"/>
      <c r="AC112" s="1395"/>
      <c r="AD112" s="1395"/>
      <c r="AE112" s="1395"/>
      <c r="AF112" s="1395"/>
      <c r="AG112" s="1395"/>
      <c r="AH112" s="1395"/>
      <c r="AI112" s="1395"/>
      <c r="AJ112" s="1395"/>
      <c r="AK112" s="1395"/>
      <c r="AL112" s="1395"/>
      <c r="AM112" s="1369">
        <f t="shared" si="29"/>
        <v>0</v>
      </c>
      <c r="AN112" s="1395"/>
      <c r="AO112" s="1395"/>
      <c r="AP112" s="1395"/>
      <c r="AQ112" s="1395"/>
      <c r="AR112" s="1395"/>
      <c r="AS112" s="1395"/>
      <c r="AT112" s="1395"/>
      <c r="AU112" s="1395"/>
      <c r="AV112" s="1395"/>
      <c r="AW112" s="1395"/>
      <c r="AX112" s="1395"/>
      <c r="AY112" s="1395"/>
      <c r="AZ112" s="1369">
        <f t="shared" si="30"/>
        <v>0</v>
      </c>
      <c r="BA112" s="1395"/>
      <c r="BB112" s="1395"/>
      <c r="BC112" s="1395"/>
      <c r="BD112" s="1395"/>
      <c r="BE112" s="1395"/>
      <c r="BF112" s="1395"/>
      <c r="BG112" s="1395"/>
      <c r="BH112" s="1395"/>
      <c r="BI112" s="1395"/>
      <c r="BJ112" s="1395"/>
      <c r="BK112" s="1395"/>
      <c r="BL112" s="1395"/>
      <c r="BM112" s="1369">
        <f t="shared" si="31"/>
        <v>0</v>
      </c>
      <c r="BN112" s="1373">
        <f t="shared" si="32"/>
        <v>0</v>
      </c>
      <c r="BO112" s="1373"/>
      <c r="BP112" s="1350">
        <f t="shared" si="33"/>
        <v>0</v>
      </c>
    </row>
    <row r="113" spans="1:68">
      <c r="A113" s="359" t="s">
        <v>849</v>
      </c>
      <c r="B113" s="1297" t="s">
        <v>810</v>
      </c>
      <c r="C113" s="1297" t="s">
        <v>775</v>
      </c>
      <c r="D113" s="1297" t="s">
        <v>850</v>
      </c>
      <c r="G113" s="1297">
        <v>283</v>
      </c>
      <c r="I113" s="1297">
        <v>53.56</v>
      </c>
      <c r="J113" s="1297">
        <v>5.88</v>
      </c>
      <c r="K113" s="1297" t="s">
        <v>851</v>
      </c>
      <c r="L113" s="1297" t="s">
        <v>675</v>
      </c>
      <c r="M113" s="1395"/>
      <c r="N113" s="1395"/>
      <c r="O113" s="1395"/>
      <c r="P113" s="1395"/>
      <c r="Q113" s="1369">
        <f t="shared" si="27"/>
        <v>0</v>
      </c>
      <c r="R113" s="1395"/>
      <c r="S113" s="1395"/>
      <c r="T113" s="1395"/>
      <c r="U113" s="1395"/>
      <c r="V113" s="1395"/>
      <c r="W113" s="1369">
        <f t="shared" si="28"/>
        <v>0</v>
      </c>
      <c r="X113" s="1395"/>
      <c r="Y113" s="1395"/>
      <c r="Z113" s="1395"/>
      <c r="AA113" s="1395"/>
      <c r="AB113" s="1395"/>
      <c r="AC113" s="1395"/>
      <c r="AD113" s="1395"/>
      <c r="AE113" s="1395"/>
      <c r="AF113" s="1395"/>
      <c r="AG113" s="1395"/>
      <c r="AH113" s="1395"/>
      <c r="AI113" s="1395"/>
      <c r="AJ113" s="1395"/>
      <c r="AK113" s="1395"/>
      <c r="AL113" s="1395"/>
      <c r="AM113" s="1369">
        <f t="shared" si="29"/>
        <v>0</v>
      </c>
      <c r="AN113" s="1395"/>
      <c r="AO113" s="1395"/>
      <c r="AP113" s="1395"/>
      <c r="AQ113" s="1395"/>
      <c r="AR113" s="1395"/>
      <c r="AS113" s="1395"/>
      <c r="AT113" s="1395"/>
      <c r="AU113" s="1395"/>
      <c r="AV113" s="1395"/>
      <c r="AW113" s="1395"/>
      <c r="AX113" s="1395"/>
      <c r="AY113" s="1395"/>
      <c r="AZ113" s="1369">
        <f t="shared" si="30"/>
        <v>0</v>
      </c>
      <c r="BA113" s="1395"/>
      <c r="BB113" s="1395"/>
      <c r="BC113" s="1395"/>
      <c r="BD113" s="1395"/>
      <c r="BE113" s="1395"/>
      <c r="BF113" s="1395"/>
      <c r="BG113" s="1395"/>
      <c r="BH113" s="1395"/>
      <c r="BI113" s="1395"/>
      <c r="BJ113" s="1395"/>
      <c r="BK113" s="1395"/>
      <c r="BL113" s="1395"/>
      <c r="BM113" s="1369">
        <f t="shared" si="31"/>
        <v>0</v>
      </c>
      <c r="BN113" s="1373">
        <f t="shared" si="32"/>
        <v>0</v>
      </c>
      <c r="BO113" s="1373"/>
      <c r="BP113" s="1350">
        <f t="shared" si="33"/>
        <v>0</v>
      </c>
    </row>
    <row r="114" spans="1:68">
      <c r="A114" s="359" t="s">
        <v>852</v>
      </c>
      <c r="B114" s="1297" t="s">
        <v>810</v>
      </c>
      <c r="C114" s="1297" t="s">
        <v>853</v>
      </c>
      <c r="D114" s="1297" t="s">
        <v>854</v>
      </c>
      <c r="G114" s="1297">
        <v>130</v>
      </c>
      <c r="I114" s="1297">
        <v>59.55</v>
      </c>
      <c r="J114" s="1297">
        <v>5.62</v>
      </c>
      <c r="K114" s="1297" t="s">
        <v>686</v>
      </c>
      <c r="L114" s="1297" t="s">
        <v>687</v>
      </c>
      <c r="M114" s="1395"/>
      <c r="N114" s="1395"/>
      <c r="O114" s="1395"/>
      <c r="P114" s="1395"/>
      <c r="Q114" s="1369">
        <f t="shared" si="27"/>
        <v>0</v>
      </c>
      <c r="R114" s="1395"/>
      <c r="S114" s="1395"/>
      <c r="T114" s="1395"/>
      <c r="U114" s="1395"/>
      <c r="V114" s="1395"/>
      <c r="W114" s="1369">
        <f t="shared" si="28"/>
        <v>0</v>
      </c>
      <c r="X114" s="1395"/>
      <c r="Y114" s="1395"/>
      <c r="Z114" s="1395"/>
      <c r="AA114" s="1395"/>
      <c r="AB114" s="1395"/>
      <c r="AC114" s="1395"/>
      <c r="AD114" s="1395"/>
      <c r="AE114" s="1395"/>
      <c r="AF114" s="1395"/>
      <c r="AG114" s="1395"/>
      <c r="AH114" s="1395"/>
      <c r="AI114" s="1395"/>
      <c r="AJ114" s="1395"/>
      <c r="AK114" s="1395"/>
      <c r="AL114" s="1395"/>
      <c r="AM114" s="1369">
        <f t="shared" si="29"/>
        <v>0</v>
      </c>
      <c r="AN114" s="1395"/>
      <c r="AO114" s="1395"/>
      <c r="AP114" s="1395"/>
      <c r="AQ114" s="1395"/>
      <c r="AR114" s="1395"/>
      <c r="AS114" s="1395"/>
      <c r="AT114" s="1395"/>
      <c r="AU114" s="1395"/>
      <c r="AV114" s="1395"/>
      <c r="AW114" s="1395"/>
      <c r="AX114" s="1395"/>
      <c r="AY114" s="1395"/>
      <c r="AZ114" s="1369">
        <f t="shared" si="30"/>
        <v>0</v>
      </c>
      <c r="BA114" s="1395"/>
      <c r="BB114" s="1395"/>
      <c r="BC114" s="1395"/>
      <c r="BD114" s="1395"/>
      <c r="BE114" s="1395"/>
      <c r="BF114" s="1395"/>
      <c r="BG114" s="1395"/>
      <c r="BH114" s="1395"/>
      <c r="BI114" s="1395"/>
      <c r="BJ114" s="1395"/>
      <c r="BK114" s="1395"/>
      <c r="BL114" s="1395"/>
      <c r="BM114" s="1369">
        <f t="shared" si="31"/>
        <v>0</v>
      </c>
      <c r="BN114" s="1373">
        <f t="shared" si="32"/>
        <v>0</v>
      </c>
      <c r="BO114" s="1373"/>
      <c r="BP114" s="1350">
        <f t="shared" si="33"/>
        <v>0</v>
      </c>
    </row>
    <row r="115" spans="1:68">
      <c r="A115" s="359" t="s">
        <v>855</v>
      </c>
      <c r="B115" s="1297" t="s">
        <v>810</v>
      </c>
      <c r="C115" s="1297" t="s">
        <v>775</v>
      </c>
      <c r="D115" s="1297" t="s">
        <v>856</v>
      </c>
      <c r="G115" s="1297">
        <v>400</v>
      </c>
      <c r="I115" s="1297">
        <v>85.5</v>
      </c>
      <c r="J115" s="1297">
        <v>6.18</v>
      </c>
      <c r="K115" s="1297" t="s">
        <v>681</v>
      </c>
      <c r="L115" s="1297" t="s">
        <v>682</v>
      </c>
      <c r="M115" s="1395"/>
      <c r="N115" s="1395"/>
      <c r="O115" s="1395"/>
      <c r="P115" s="1395"/>
      <c r="Q115" s="1369">
        <f t="shared" si="27"/>
        <v>0</v>
      </c>
      <c r="R115" s="1395"/>
      <c r="S115" s="1395"/>
      <c r="T115" s="1395"/>
      <c r="U115" s="1395"/>
      <c r="V115" s="1395"/>
      <c r="W115" s="1369">
        <f t="shared" si="28"/>
        <v>0</v>
      </c>
      <c r="X115" s="1395"/>
      <c r="Y115" s="1395"/>
      <c r="Z115" s="1395"/>
      <c r="AA115" s="1395"/>
      <c r="AB115" s="1395"/>
      <c r="AC115" s="1395"/>
      <c r="AD115" s="1395"/>
      <c r="AE115" s="1395"/>
      <c r="AF115" s="1395"/>
      <c r="AG115" s="1395"/>
      <c r="AH115" s="1395"/>
      <c r="AI115" s="1395"/>
      <c r="AJ115" s="1395"/>
      <c r="AK115" s="1395"/>
      <c r="AL115" s="1395"/>
      <c r="AM115" s="1369">
        <f t="shared" si="29"/>
        <v>0</v>
      </c>
      <c r="AN115" s="1395"/>
      <c r="AO115" s="1395"/>
      <c r="AP115" s="1395"/>
      <c r="AQ115" s="1395"/>
      <c r="AR115" s="1395"/>
      <c r="AS115" s="1395"/>
      <c r="AT115" s="1395"/>
      <c r="AU115" s="1395"/>
      <c r="AV115" s="1395"/>
      <c r="AW115" s="1395"/>
      <c r="AX115" s="1395"/>
      <c r="AY115" s="1395"/>
      <c r="AZ115" s="1369">
        <f t="shared" si="30"/>
        <v>0</v>
      </c>
      <c r="BA115" s="1395"/>
      <c r="BB115" s="1395"/>
      <c r="BC115" s="1395"/>
      <c r="BD115" s="1395"/>
      <c r="BE115" s="1395"/>
      <c r="BF115" s="1395"/>
      <c r="BG115" s="1395"/>
      <c r="BH115" s="1395"/>
      <c r="BI115" s="1395"/>
      <c r="BJ115" s="1395"/>
      <c r="BK115" s="1395"/>
      <c r="BL115" s="1395"/>
      <c r="BM115" s="1369">
        <f t="shared" si="31"/>
        <v>0</v>
      </c>
      <c r="BN115" s="1373">
        <f t="shared" si="32"/>
        <v>0</v>
      </c>
      <c r="BO115" s="1373"/>
      <c r="BP115" s="1350">
        <f t="shared" si="33"/>
        <v>0</v>
      </c>
    </row>
    <row r="116" spans="1:68">
      <c r="A116" s="359" t="s">
        <v>857</v>
      </c>
      <c r="B116" s="1297" t="s">
        <v>810</v>
      </c>
      <c r="C116" s="1297" t="s">
        <v>858</v>
      </c>
      <c r="D116" s="1297" t="s">
        <v>856</v>
      </c>
      <c r="G116" s="1297">
        <v>104</v>
      </c>
      <c r="I116" s="1297">
        <v>100</v>
      </c>
      <c r="J116" s="1297">
        <v>3.6</v>
      </c>
      <c r="K116" s="1297" t="s">
        <v>686</v>
      </c>
      <c r="L116" s="1297" t="s">
        <v>687</v>
      </c>
      <c r="M116" s="1395"/>
      <c r="N116" s="1395"/>
      <c r="O116" s="1395"/>
      <c r="P116" s="1395"/>
      <c r="Q116" s="1369">
        <f t="shared" si="27"/>
        <v>0</v>
      </c>
      <c r="R116" s="1395"/>
      <c r="S116" s="1395"/>
      <c r="T116" s="1395"/>
      <c r="U116" s="1395"/>
      <c r="V116" s="1395"/>
      <c r="W116" s="1369">
        <f t="shared" si="28"/>
        <v>0</v>
      </c>
      <c r="X116" s="1395"/>
      <c r="Y116" s="1395"/>
      <c r="Z116" s="1395"/>
      <c r="AA116" s="1395"/>
      <c r="AB116" s="1395"/>
      <c r="AC116" s="1395"/>
      <c r="AD116" s="1395"/>
      <c r="AE116" s="1395"/>
      <c r="AF116" s="1395"/>
      <c r="AG116" s="1395"/>
      <c r="AH116" s="1395"/>
      <c r="AI116" s="1395"/>
      <c r="AJ116" s="1395"/>
      <c r="AK116" s="1395"/>
      <c r="AL116" s="1395"/>
      <c r="AM116" s="1369">
        <f t="shared" si="29"/>
        <v>0</v>
      </c>
      <c r="AN116" s="1395"/>
      <c r="AO116" s="1395"/>
      <c r="AP116" s="1395"/>
      <c r="AQ116" s="1395"/>
      <c r="AR116" s="1395"/>
      <c r="AS116" s="1395"/>
      <c r="AT116" s="1395"/>
      <c r="AU116" s="1395"/>
      <c r="AV116" s="1395"/>
      <c r="AW116" s="1395"/>
      <c r="AX116" s="1395"/>
      <c r="AY116" s="1395"/>
      <c r="AZ116" s="1369">
        <f t="shared" si="30"/>
        <v>0</v>
      </c>
      <c r="BA116" s="1395"/>
      <c r="BB116" s="1395"/>
      <c r="BC116" s="1395"/>
      <c r="BD116" s="1395"/>
      <c r="BE116" s="1395"/>
      <c r="BF116" s="1395"/>
      <c r="BG116" s="1395"/>
      <c r="BH116" s="1395"/>
      <c r="BI116" s="1395"/>
      <c r="BJ116" s="1395"/>
      <c r="BK116" s="1395"/>
      <c r="BL116" s="1395"/>
      <c r="BM116" s="1369">
        <f t="shared" si="31"/>
        <v>0</v>
      </c>
      <c r="BN116" s="1373">
        <f t="shared" si="32"/>
        <v>0</v>
      </c>
      <c r="BO116" s="1373"/>
      <c r="BP116" s="1350">
        <f t="shared" si="33"/>
        <v>0</v>
      </c>
    </row>
    <row r="117" spans="1:68">
      <c r="Q117" s="1372"/>
      <c r="W117" s="1372"/>
      <c r="AM117" s="1372"/>
      <c r="AZ117" s="1372"/>
      <c r="BM117" s="1372"/>
    </row>
    <row r="118" spans="1:68" s="1349" customFormat="1">
      <c r="A118" s="1374" t="s">
        <v>960</v>
      </c>
      <c r="B118" s="1389" t="s">
        <v>961</v>
      </c>
      <c r="Q118" s="1375"/>
      <c r="W118" s="1375"/>
      <c r="AM118" s="1375"/>
      <c r="AZ118" s="1375"/>
      <c r="BM118" s="1375"/>
    </row>
    <row r="119" spans="1:68">
      <c r="A119" s="1297" t="s">
        <v>962</v>
      </c>
      <c r="B119" s="1297" t="s">
        <v>810</v>
      </c>
      <c r="C119" s="1297" t="s">
        <v>723</v>
      </c>
      <c r="G119" s="1297">
        <v>193</v>
      </c>
      <c r="I119" s="1297" t="s">
        <v>918</v>
      </c>
      <c r="J119" s="1297" t="s">
        <v>918</v>
      </c>
      <c r="K119" s="1297" t="s">
        <v>686</v>
      </c>
      <c r="L119" s="1297" t="s">
        <v>687</v>
      </c>
      <c r="Q119" s="1372"/>
      <c r="W119" s="1372"/>
      <c r="AM119" s="1372"/>
      <c r="AZ119" s="1372"/>
      <c r="BM119" s="1372"/>
    </row>
    <row r="120" spans="1:68">
      <c r="A120" s="1297" t="s">
        <v>963</v>
      </c>
      <c r="B120" s="1297" t="s">
        <v>810</v>
      </c>
      <c r="C120" s="1297" t="s">
        <v>842</v>
      </c>
      <c r="G120" s="1297">
        <v>225</v>
      </c>
      <c r="I120" s="1297" t="s">
        <v>918</v>
      </c>
      <c r="J120" s="1297" t="s">
        <v>918</v>
      </c>
      <c r="K120" s="1297" t="s">
        <v>686</v>
      </c>
      <c r="L120" s="1297" t="s">
        <v>687</v>
      </c>
      <c r="Q120" s="1372"/>
      <c r="W120" s="1372"/>
      <c r="AM120" s="1372"/>
      <c r="AZ120" s="1372"/>
      <c r="BM120" s="1372"/>
    </row>
    <row r="121" spans="1:68">
      <c r="A121" s="1297" t="s">
        <v>964</v>
      </c>
      <c r="B121" s="1297" t="s">
        <v>810</v>
      </c>
      <c r="C121" s="1297" t="s">
        <v>965</v>
      </c>
      <c r="G121" s="1297">
        <v>783</v>
      </c>
      <c r="I121" s="1297" t="s">
        <v>918</v>
      </c>
      <c r="J121" s="1297" t="s">
        <v>918</v>
      </c>
      <c r="K121" s="1297" t="s">
        <v>877</v>
      </c>
      <c r="L121" s="1297" t="s">
        <v>687</v>
      </c>
      <c r="Q121" s="1372"/>
      <c r="W121" s="1372"/>
      <c r="AM121" s="1372"/>
      <c r="AZ121" s="1372"/>
      <c r="BM121" s="1372"/>
    </row>
    <row r="122" spans="1:68">
      <c r="A122" s="1297" t="s">
        <v>966</v>
      </c>
      <c r="B122" s="1297" t="s">
        <v>810</v>
      </c>
      <c r="C122" s="1297" t="s">
        <v>967</v>
      </c>
      <c r="G122" s="1297">
        <v>417</v>
      </c>
      <c r="I122" s="1297" t="s">
        <v>918</v>
      </c>
      <c r="J122" s="1297" t="s">
        <v>918</v>
      </c>
      <c r="K122" s="1297" t="s">
        <v>686</v>
      </c>
      <c r="L122" s="1297" t="s">
        <v>687</v>
      </c>
      <c r="Q122" s="1372"/>
      <c r="W122" s="1372"/>
      <c r="AM122" s="1372"/>
      <c r="AZ122" s="1372"/>
      <c r="BM122" s="1372"/>
    </row>
    <row r="123" spans="1:68">
      <c r="A123" s="1297" t="s">
        <v>968</v>
      </c>
      <c r="B123" s="1297" t="s">
        <v>810</v>
      </c>
      <c r="C123" s="1297" t="s">
        <v>969</v>
      </c>
      <c r="G123" s="1297">
        <v>81</v>
      </c>
      <c r="I123" s="1297">
        <v>45.22</v>
      </c>
      <c r="J123" s="1297">
        <v>2.61</v>
      </c>
      <c r="K123" s="1297" t="s">
        <v>686</v>
      </c>
      <c r="L123" s="1297" t="s">
        <v>687</v>
      </c>
      <c r="Q123" s="1372"/>
      <c r="W123" s="1372"/>
      <c r="AM123" s="1372"/>
      <c r="AZ123" s="1372"/>
      <c r="BM123" s="1372"/>
    </row>
    <row r="124" spans="1:68">
      <c r="A124" s="1297" t="s">
        <v>970</v>
      </c>
      <c r="B124" s="1297" t="s">
        <v>810</v>
      </c>
      <c r="C124" s="1297" t="s">
        <v>922</v>
      </c>
      <c r="G124" s="1297">
        <v>360</v>
      </c>
      <c r="I124" s="1297">
        <v>41.5</v>
      </c>
      <c r="J124" s="1297">
        <v>21.61</v>
      </c>
      <c r="K124" s="1297" t="s">
        <v>686</v>
      </c>
      <c r="L124" s="1297" t="s">
        <v>687</v>
      </c>
      <c r="Q124" s="1372"/>
      <c r="W124" s="1372"/>
      <c r="AM124" s="1372"/>
      <c r="AZ124" s="1372"/>
      <c r="BM124" s="1372"/>
    </row>
    <row r="125" spans="1:68" s="1359" customFormat="1">
      <c r="A125" s="1359" t="s">
        <v>971</v>
      </c>
      <c r="B125" s="1359" t="s">
        <v>810</v>
      </c>
      <c r="C125" s="1359" t="s">
        <v>972</v>
      </c>
      <c r="G125" s="1359">
        <v>397</v>
      </c>
      <c r="I125" s="1359">
        <v>67.88</v>
      </c>
      <c r="J125" s="1359">
        <v>8.66</v>
      </c>
      <c r="K125" s="1359" t="s">
        <v>686</v>
      </c>
      <c r="L125" s="1359" t="s">
        <v>687</v>
      </c>
      <c r="Q125" s="1372"/>
      <c r="W125" s="1372"/>
      <c r="AM125" s="1372"/>
      <c r="AZ125" s="1372"/>
      <c r="BM125" s="1372"/>
    </row>
    <row r="126" spans="1:68" s="1359" customFormat="1">
      <c r="A126" s="1359" t="s">
        <v>973</v>
      </c>
      <c r="B126" s="1359" t="s">
        <v>810</v>
      </c>
      <c r="C126" s="1359" t="s">
        <v>974</v>
      </c>
      <c r="G126" s="1359">
        <v>152</v>
      </c>
      <c r="I126" s="1359" t="s">
        <v>918</v>
      </c>
      <c r="J126" s="1359" t="s">
        <v>918</v>
      </c>
      <c r="K126" s="1359" t="s">
        <v>686</v>
      </c>
      <c r="L126" s="1359" t="s">
        <v>687</v>
      </c>
      <c r="Q126" s="1372"/>
      <c r="W126" s="1372"/>
      <c r="AM126" s="1372"/>
      <c r="AZ126" s="1372"/>
      <c r="BM126" s="1372"/>
    </row>
    <row r="127" spans="1:68">
      <c r="A127" s="1297" t="s">
        <v>975</v>
      </c>
      <c r="B127" s="1297" t="s">
        <v>810</v>
      </c>
      <c r="C127" s="1297" t="s">
        <v>976</v>
      </c>
      <c r="G127" s="1297">
        <v>1645</v>
      </c>
      <c r="I127" s="1297">
        <v>52</v>
      </c>
      <c r="J127" s="1297" t="s">
        <v>918</v>
      </c>
      <c r="K127" s="1297" t="s">
        <v>686</v>
      </c>
      <c r="L127" s="1297" t="s">
        <v>687</v>
      </c>
      <c r="Q127" s="1372"/>
      <c r="W127" s="1372"/>
      <c r="AM127" s="1372"/>
      <c r="AZ127" s="1372"/>
      <c r="BM127" s="1372"/>
    </row>
    <row r="128" spans="1:68">
      <c r="A128" s="359" t="s">
        <v>977</v>
      </c>
      <c r="B128" s="1297" t="s">
        <v>810</v>
      </c>
      <c r="C128" s="1297" t="s">
        <v>853</v>
      </c>
      <c r="D128" s="1297" t="s">
        <v>854</v>
      </c>
      <c r="G128" s="1297">
        <v>1410</v>
      </c>
      <c r="I128" s="1297" t="s">
        <v>918</v>
      </c>
      <c r="J128" s="1297" t="s">
        <v>918</v>
      </c>
      <c r="K128" s="1297" t="s">
        <v>686</v>
      </c>
      <c r="L128" s="1297" t="s">
        <v>687</v>
      </c>
      <c r="M128" s="1395"/>
      <c r="N128" s="1395"/>
      <c r="O128" s="1395"/>
      <c r="P128" s="1395"/>
      <c r="Q128" s="1369">
        <f>SUM(M128:P128)</f>
        <v>0</v>
      </c>
      <c r="R128" s="1395"/>
      <c r="S128" s="1395"/>
      <c r="T128" s="1395"/>
      <c r="U128" s="1395"/>
      <c r="V128" s="1395"/>
      <c r="W128" s="1369">
        <f>SUM(R128:V128)</f>
        <v>0</v>
      </c>
      <c r="X128" s="1395"/>
      <c r="Y128" s="1395"/>
      <c r="Z128" s="1395"/>
      <c r="AA128" s="1395"/>
      <c r="AB128" s="1395"/>
      <c r="AC128" s="1395"/>
      <c r="AD128" s="1395"/>
      <c r="AE128" s="1395"/>
      <c r="AF128" s="1395"/>
      <c r="AG128" s="1395"/>
      <c r="AH128" s="1395"/>
      <c r="AI128" s="1395"/>
      <c r="AJ128" s="1395"/>
      <c r="AK128" s="1395"/>
      <c r="AL128" s="1395"/>
      <c r="AM128" s="1369">
        <f>SUM(X128:AL128)</f>
        <v>0</v>
      </c>
      <c r="AN128" s="1395"/>
      <c r="AO128" s="1395"/>
      <c r="AP128" s="1395"/>
      <c r="AQ128" s="1395"/>
      <c r="AR128" s="1395"/>
      <c r="AS128" s="1395"/>
      <c r="AT128" s="1395"/>
      <c r="AU128" s="1395"/>
      <c r="AV128" s="1395"/>
      <c r="AW128" s="1395"/>
      <c r="AX128" s="1395"/>
      <c r="AY128" s="1395"/>
      <c r="AZ128" s="1369">
        <f>SUM(AN128:AY128)</f>
        <v>0</v>
      </c>
      <c r="BA128" s="1395"/>
      <c r="BB128" s="1395"/>
      <c r="BC128" s="1395"/>
      <c r="BD128" s="1395"/>
      <c r="BE128" s="1395"/>
      <c r="BF128" s="1395"/>
      <c r="BG128" s="1395"/>
      <c r="BH128" s="1395"/>
      <c r="BI128" s="1395"/>
      <c r="BJ128" s="1395"/>
      <c r="BK128" s="1395"/>
      <c r="BL128" s="1395"/>
      <c r="BM128" s="1369">
        <f>SUM(BA128:BL128)</f>
        <v>0</v>
      </c>
      <c r="BN128" s="1373">
        <f>SUM(Q128,W128,AM128,AZ128,BM128)</f>
        <v>0</v>
      </c>
      <c r="BO128" s="1373"/>
      <c r="BP128" s="1350">
        <f>BN128/G128</f>
        <v>0</v>
      </c>
    </row>
    <row r="129" spans="1:65">
      <c r="A129" s="1297" t="s">
        <v>880</v>
      </c>
      <c r="B129" s="1297" t="s">
        <v>810</v>
      </c>
      <c r="C129" s="1297" t="s">
        <v>872</v>
      </c>
      <c r="G129" s="1297">
        <v>1323</v>
      </c>
      <c r="I129" s="1297" t="s">
        <v>918</v>
      </c>
      <c r="J129" s="1297" t="s">
        <v>918</v>
      </c>
      <c r="K129" s="1297" t="s">
        <v>686</v>
      </c>
      <c r="L129" s="1297" t="s">
        <v>687</v>
      </c>
      <c r="Q129" s="1372"/>
      <c r="W129" s="1372"/>
      <c r="AM129" s="1372"/>
      <c r="AZ129" s="1372"/>
      <c r="BM129" s="1372"/>
    </row>
    <row r="130" spans="1:65">
      <c r="Q130" s="1372"/>
      <c r="W130" s="1372"/>
      <c r="AM130" s="1372"/>
      <c r="AZ130" s="1372"/>
      <c r="BM130" s="1372"/>
    </row>
    <row r="131" spans="1:65" s="1349" customFormat="1">
      <c r="A131" s="1374" t="s">
        <v>881</v>
      </c>
      <c r="Q131" s="1375"/>
      <c r="W131" s="1375"/>
      <c r="AM131" s="1375"/>
      <c r="AZ131" s="1375"/>
      <c r="BM131" s="1375"/>
    </row>
    <row r="132" spans="1:65">
      <c r="A132" s="377" t="s">
        <v>882</v>
      </c>
      <c r="Q132" s="1372"/>
      <c r="W132" s="1372"/>
      <c r="AM132" s="1372"/>
      <c r="AZ132" s="1372"/>
      <c r="BM132" s="1372"/>
    </row>
    <row r="133" spans="1:65">
      <c r="A133" s="377" t="s">
        <v>883</v>
      </c>
      <c r="Q133" s="1372"/>
      <c r="W133" s="1372"/>
      <c r="AM133" s="1372"/>
      <c r="AZ133" s="1372"/>
      <c r="BM133" s="1372"/>
    </row>
    <row r="134" spans="1:65">
      <c r="A134" s="377" t="s">
        <v>884</v>
      </c>
      <c r="Q134" s="1372"/>
      <c r="W134" s="1372"/>
      <c r="AM134" s="1372"/>
      <c r="AZ134" s="1372"/>
      <c r="BM134" s="1372"/>
    </row>
    <row r="135" spans="1:65">
      <c r="A135" s="377" t="s">
        <v>885</v>
      </c>
      <c r="Q135" s="1372"/>
      <c r="W135" s="1372"/>
      <c r="AM135" s="1372"/>
      <c r="AZ135" s="1372"/>
      <c r="BM135" s="1372"/>
    </row>
    <row r="136" spans="1:65">
      <c r="A136" s="377" t="s">
        <v>886</v>
      </c>
      <c r="Q136" s="1372"/>
      <c r="W136" s="1372"/>
      <c r="AM136" s="1372"/>
      <c r="AZ136" s="1372"/>
      <c r="BM136" s="1372"/>
    </row>
    <row r="137" spans="1:65">
      <c r="A137" s="377" t="s">
        <v>887</v>
      </c>
      <c r="Q137" s="1372"/>
      <c r="W137" s="1372"/>
      <c r="AM137" s="1372"/>
      <c r="AZ137" s="1372"/>
      <c r="BM137" s="1372"/>
    </row>
    <row r="138" spans="1:65">
      <c r="A138" s="377" t="s">
        <v>888</v>
      </c>
      <c r="Q138" s="1372"/>
      <c r="W138" s="1372"/>
      <c r="AM138" s="1372"/>
      <c r="AZ138" s="1372"/>
      <c r="BM138" s="1372"/>
    </row>
    <row r="139" spans="1:65">
      <c r="A139" s="377" t="s">
        <v>889</v>
      </c>
      <c r="Q139" s="1372"/>
      <c r="W139" s="1372"/>
      <c r="AM139" s="1372"/>
      <c r="AZ139" s="1372"/>
      <c r="BM139" s="1372"/>
    </row>
    <row r="144" spans="1:65">
      <c r="A144" s="1927" t="s">
        <v>890</v>
      </c>
      <c r="B144" s="1927"/>
    </row>
    <row r="145" spans="1:2">
      <c r="A145" s="1917" t="s">
        <v>891</v>
      </c>
      <c r="B145" s="1917"/>
    </row>
    <row r="146" spans="1:2">
      <c r="A146" s="1917"/>
      <c r="B146" s="1917"/>
    </row>
    <row r="147" spans="1:2">
      <c r="A147" s="1917"/>
      <c r="B147" s="1917"/>
    </row>
    <row r="148" spans="1:2">
      <c r="A148" s="1917"/>
      <c r="B148" s="1917"/>
    </row>
    <row r="149" spans="1:2">
      <c r="A149" s="1917" t="s">
        <v>892</v>
      </c>
      <c r="B149" s="1917"/>
    </row>
    <row r="150" spans="1:2">
      <c r="A150" s="1917"/>
      <c r="B150" s="1917"/>
    </row>
    <row r="151" spans="1:2">
      <c r="A151" s="1917"/>
      <c r="B151" s="1917"/>
    </row>
    <row r="152" spans="1:2">
      <c r="A152" s="1917"/>
      <c r="B152" s="1917"/>
    </row>
    <row r="153" spans="1:2">
      <c r="A153" s="1917"/>
      <c r="B153" s="1917"/>
    </row>
    <row r="154" spans="1:2">
      <c r="A154" s="1916" t="s">
        <v>893</v>
      </c>
      <c r="B154" s="1917"/>
    </row>
    <row r="155" spans="1:2">
      <c r="A155" s="1917"/>
      <c r="B155" s="1917"/>
    </row>
    <row r="156" spans="1:2">
      <c r="A156" s="1917"/>
      <c r="B156" s="1917"/>
    </row>
  </sheetData>
  <mergeCells count="19">
    <mergeCell ref="X1:AL1"/>
    <mergeCell ref="AN1:AY1"/>
    <mergeCell ref="BA1:BL1"/>
    <mergeCell ref="A144:B144"/>
    <mergeCell ref="A145:B148"/>
    <mergeCell ref="I1:I2"/>
    <mergeCell ref="J1:J2"/>
    <mergeCell ref="K1:K2"/>
    <mergeCell ref="L1:L2"/>
    <mergeCell ref="M1:Q1"/>
    <mergeCell ref="R1:T1"/>
    <mergeCell ref="A1:A2"/>
    <mergeCell ref="C1:C2"/>
    <mergeCell ref="E1:E2"/>
    <mergeCell ref="F1:F2"/>
    <mergeCell ref="G1:G2"/>
    <mergeCell ref="H1:H2"/>
    <mergeCell ref="A154:B156"/>
    <mergeCell ref="A149:B153"/>
  </mergeCells>
  <phoneticPr fontId="146" type="noConversion"/>
  <pageMargins left="0.7" right="0.7" top="0.75" bottom="0.75" header="0.3" footer="0.3"/>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3:I7667"/>
  <sheetViews>
    <sheetView workbookViewId="0"/>
  </sheetViews>
  <sheetFormatPr defaultColWidth="10.1640625" defaultRowHeight="11.25"/>
  <cols>
    <col min="1" max="1" width="9.33203125" style="1297" customWidth="1"/>
    <col min="2" max="2" width="10" style="1399" customWidth="1"/>
    <col min="3" max="3" width="37.6640625" style="1399" customWidth="1"/>
    <col min="4" max="4" width="115.33203125" style="1399" bestFit="1" customWidth="1"/>
    <col min="5" max="8" width="19" style="1399" bestFit="1" customWidth="1"/>
    <col min="9" max="9" width="20.33203125" style="1399" bestFit="1" customWidth="1"/>
    <col min="10" max="16384" width="10.1640625" style="1297"/>
  </cols>
  <sheetData>
    <row r="3" spans="1:9" ht="47.25">
      <c r="A3" s="1396" t="s">
        <v>894</v>
      </c>
      <c r="B3" s="1396" t="s">
        <v>895</v>
      </c>
      <c r="C3" s="1397" t="s">
        <v>896</v>
      </c>
      <c r="D3" s="1397" t="s">
        <v>897</v>
      </c>
      <c r="E3" s="1398" t="s">
        <v>898</v>
      </c>
      <c r="F3" s="1398" t="s">
        <v>899</v>
      </c>
      <c r="G3" s="1398" t="s">
        <v>900</v>
      </c>
      <c r="H3" s="1398" t="s">
        <v>901</v>
      </c>
      <c r="I3" s="1398" t="s">
        <v>902</v>
      </c>
    </row>
    <row r="4" spans="1:9">
      <c r="A4" s="1297" t="s">
        <v>903</v>
      </c>
      <c r="B4" s="1297" t="s">
        <v>904</v>
      </c>
      <c r="C4" s="1297" t="s">
        <v>905</v>
      </c>
      <c r="D4" s="1297" t="s">
        <v>906</v>
      </c>
      <c r="F4" s="1399">
        <v>10686696</v>
      </c>
      <c r="I4" s="1399">
        <v>10686696</v>
      </c>
    </row>
    <row r="5" spans="1:9">
      <c r="B5" s="1297"/>
      <c r="C5" s="1297"/>
      <c r="D5" s="1297" t="s">
        <v>907</v>
      </c>
      <c r="F5" s="1399">
        <v>3750301.44</v>
      </c>
      <c r="I5" s="1399">
        <v>3750301.44</v>
      </c>
    </row>
    <row r="6" spans="1:9">
      <c r="B6" s="1297"/>
      <c r="C6" s="1297"/>
      <c r="D6" s="1297" t="s">
        <v>908</v>
      </c>
      <c r="F6" s="1399">
        <v>27280.53</v>
      </c>
      <c r="I6" s="1399">
        <v>27280.53</v>
      </c>
    </row>
    <row r="7" spans="1:9">
      <c r="B7" s="1297"/>
      <c r="C7" s="1297"/>
      <c r="D7" s="1297" t="s">
        <v>909</v>
      </c>
      <c r="F7" s="1399">
        <v>23993.57</v>
      </c>
      <c r="I7" s="1399">
        <v>23993.57</v>
      </c>
    </row>
    <row r="8" spans="1:9">
      <c r="B8" s="1297"/>
      <c r="C8" s="1297"/>
      <c r="D8" s="1297" t="s">
        <v>910</v>
      </c>
      <c r="F8" s="1399">
        <v>34092.619999999995</v>
      </c>
      <c r="I8" s="1399">
        <v>34092.619999999995</v>
      </c>
    </row>
    <row r="9" spans="1:9">
      <c r="B9" s="1297"/>
      <c r="C9" s="1297"/>
      <c r="D9" s="1297" t="s">
        <v>1034</v>
      </c>
      <c r="F9" s="1399">
        <v>77843.39</v>
      </c>
      <c r="I9" s="1399">
        <v>77843.39</v>
      </c>
    </row>
    <row r="10" spans="1:9">
      <c r="B10" s="1297"/>
      <c r="C10" s="1297"/>
      <c r="D10" s="1297" t="s">
        <v>1035</v>
      </c>
      <c r="F10" s="1399">
        <v>233640.58</v>
      </c>
      <c r="I10" s="1399">
        <v>233640.58</v>
      </c>
    </row>
    <row r="11" spans="1:9">
      <c r="B11" s="1297"/>
      <c r="C11" s="1297"/>
      <c r="D11" s="1297" t="s">
        <v>1036</v>
      </c>
      <c r="F11" s="1399">
        <v>147273.82999999999</v>
      </c>
      <c r="I11" s="1399">
        <v>147273.82999999999</v>
      </c>
    </row>
    <row r="12" spans="1:9">
      <c r="B12" s="1297"/>
      <c r="C12" s="1297"/>
      <c r="D12" s="1297" t="s">
        <v>1037</v>
      </c>
      <c r="F12" s="1399">
        <v>2950</v>
      </c>
      <c r="I12" s="1399">
        <v>2950</v>
      </c>
    </row>
    <row r="13" spans="1:9">
      <c r="B13" s="1297"/>
      <c r="C13" s="1297"/>
      <c r="D13" s="1297" t="s">
        <v>1038</v>
      </c>
      <c r="F13" s="1399">
        <v>0</v>
      </c>
      <c r="I13" s="1399">
        <v>0</v>
      </c>
    </row>
    <row r="14" spans="1:9">
      <c r="B14" s="1297"/>
      <c r="C14" s="1297"/>
      <c r="D14" s="1297" t="s">
        <v>1039</v>
      </c>
      <c r="F14" s="1399">
        <v>33184.560000000005</v>
      </c>
      <c r="I14" s="1399">
        <v>33184.560000000005</v>
      </c>
    </row>
    <row r="15" spans="1:9">
      <c r="B15" s="1297"/>
      <c r="C15" s="1297"/>
      <c r="D15" s="1297" t="s">
        <v>1040</v>
      </c>
      <c r="F15" s="1399">
        <v>186981.93000000002</v>
      </c>
      <c r="I15" s="1399">
        <v>186981.93000000002</v>
      </c>
    </row>
    <row r="16" spans="1:9">
      <c r="B16" s="1297"/>
      <c r="C16" s="1297"/>
      <c r="D16" s="1297" t="s">
        <v>1041</v>
      </c>
      <c r="F16" s="1399">
        <v>48265.860000000008</v>
      </c>
      <c r="I16" s="1399">
        <v>48265.860000000008</v>
      </c>
    </row>
    <row r="17" spans="2:9">
      <c r="B17" s="1297"/>
      <c r="C17" s="1297"/>
      <c r="D17" s="1297" t="s">
        <v>1042</v>
      </c>
      <c r="F17" s="1399">
        <v>48977.4</v>
      </c>
      <c r="I17" s="1399">
        <v>48977.4</v>
      </c>
    </row>
    <row r="18" spans="2:9">
      <c r="B18" s="1297"/>
      <c r="C18" s="1297"/>
      <c r="D18" s="1297" t="s">
        <v>1043</v>
      </c>
      <c r="F18" s="1399">
        <v>6650</v>
      </c>
      <c r="I18" s="1399">
        <v>6650</v>
      </c>
    </row>
    <row r="19" spans="2:9">
      <c r="B19" s="1297"/>
      <c r="C19" s="1297"/>
      <c r="D19" s="1297" t="s">
        <v>1044</v>
      </c>
      <c r="F19" s="1399">
        <v>23248</v>
      </c>
      <c r="I19" s="1399">
        <v>23248</v>
      </c>
    </row>
    <row r="20" spans="2:9">
      <c r="B20" s="1297"/>
      <c r="C20" s="1297"/>
      <c r="D20" s="1297" t="s">
        <v>1045</v>
      </c>
      <c r="F20" s="1399">
        <v>469019.52</v>
      </c>
      <c r="I20" s="1399">
        <v>469019.52</v>
      </c>
    </row>
    <row r="21" spans="2:9">
      <c r="B21" s="1297"/>
      <c r="C21" s="1297"/>
      <c r="D21" s="1297" t="s">
        <v>1046</v>
      </c>
      <c r="H21" s="1399">
        <v>17376260</v>
      </c>
      <c r="I21" s="1399">
        <v>17376260</v>
      </c>
    </row>
    <row r="22" spans="2:9">
      <c r="B22" s="1297"/>
      <c r="C22" s="1297"/>
      <c r="D22" s="1297" t="s">
        <v>1047</v>
      </c>
      <c r="H22" s="1399">
        <v>713255</v>
      </c>
      <c r="I22" s="1399">
        <v>713255</v>
      </c>
    </row>
    <row r="23" spans="2:9">
      <c r="B23" s="1297"/>
      <c r="C23" s="1297"/>
      <c r="D23" s="1297" t="s">
        <v>1048</v>
      </c>
      <c r="H23" s="1399">
        <v>-2787182</v>
      </c>
      <c r="I23" s="1399">
        <v>-2787182</v>
      </c>
    </row>
    <row r="24" spans="2:9">
      <c r="B24" s="1297"/>
      <c r="C24" s="1297"/>
      <c r="D24" s="1297" t="s">
        <v>932</v>
      </c>
      <c r="H24" s="1399">
        <v>1216807</v>
      </c>
      <c r="I24" s="1399">
        <v>1216807</v>
      </c>
    </row>
    <row r="25" spans="2:9">
      <c r="B25" s="1297"/>
      <c r="C25" s="1297"/>
      <c r="D25" s="1297" t="s">
        <v>933</v>
      </c>
      <c r="H25" s="1399">
        <v>1062324.52</v>
      </c>
      <c r="I25" s="1399">
        <v>1062324.52</v>
      </c>
    </row>
    <row r="26" spans="2:9">
      <c r="B26" s="1297"/>
      <c r="C26" s="1297"/>
      <c r="D26" s="1297" t="s">
        <v>934</v>
      </c>
      <c r="H26" s="1399">
        <v>52237.81</v>
      </c>
      <c r="I26" s="1399">
        <v>52237.81</v>
      </c>
    </row>
    <row r="27" spans="2:9">
      <c r="B27" s="1297"/>
      <c r="C27" s="1297"/>
      <c r="D27" s="1297" t="s">
        <v>935</v>
      </c>
      <c r="H27" s="1399">
        <v>264693.14</v>
      </c>
      <c r="I27" s="1399">
        <v>264693.14</v>
      </c>
    </row>
    <row r="28" spans="2:9">
      <c r="B28" s="1297"/>
      <c r="C28" s="1297"/>
      <c r="D28" s="1297" t="s">
        <v>936</v>
      </c>
      <c r="H28" s="1399">
        <v>51472.13</v>
      </c>
      <c r="I28" s="1399">
        <v>51472.13</v>
      </c>
    </row>
    <row r="29" spans="2:9">
      <c r="B29" s="1297"/>
      <c r="C29" s="1297"/>
      <c r="D29" s="1297" t="s">
        <v>937</v>
      </c>
      <c r="H29" s="1399">
        <v>36549.81</v>
      </c>
      <c r="I29" s="1399">
        <v>36549.81</v>
      </c>
    </row>
    <row r="30" spans="2:9">
      <c r="B30" s="1297"/>
      <c r="C30" s="1297"/>
      <c r="D30" s="1297" t="s">
        <v>938</v>
      </c>
      <c r="H30" s="1399">
        <v>12540</v>
      </c>
      <c r="I30" s="1399">
        <v>12540</v>
      </c>
    </row>
    <row r="31" spans="2:9">
      <c r="B31" s="1297"/>
      <c r="C31" s="1297"/>
      <c r="D31" s="1297" t="s">
        <v>939</v>
      </c>
      <c r="H31" s="1399">
        <v>1000</v>
      </c>
      <c r="I31" s="1399">
        <v>1000</v>
      </c>
    </row>
    <row r="32" spans="2:9">
      <c r="B32" s="1297"/>
      <c r="C32" s="1297"/>
      <c r="D32" s="1297" t="s">
        <v>940</v>
      </c>
      <c r="E32" s="1399">
        <v>876448.45999999985</v>
      </c>
      <c r="I32" s="1399">
        <v>876448.45999999985</v>
      </c>
    </row>
    <row r="33" spans="2:9">
      <c r="B33" s="1297"/>
      <c r="C33" s="1297"/>
      <c r="D33" s="1297" t="s">
        <v>941</v>
      </c>
      <c r="E33" s="1399">
        <v>263269.72000000003</v>
      </c>
      <c r="I33" s="1399">
        <v>263269.72000000003</v>
      </c>
    </row>
    <row r="34" spans="2:9">
      <c r="B34" s="1297"/>
      <c r="C34" s="1297"/>
      <c r="D34" s="1297" t="s">
        <v>942</v>
      </c>
      <c r="E34" s="1399">
        <v>0</v>
      </c>
      <c r="I34" s="1399">
        <v>0</v>
      </c>
    </row>
    <row r="35" spans="2:9">
      <c r="B35" s="1297"/>
      <c r="C35" s="1297"/>
      <c r="D35" s="1297" t="s">
        <v>943</v>
      </c>
      <c r="E35" s="1399">
        <v>717.06</v>
      </c>
      <c r="I35" s="1399">
        <v>717.06</v>
      </c>
    </row>
    <row r="36" spans="2:9">
      <c r="B36" s="1297"/>
      <c r="C36" s="1297"/>
      <c r="D36" s="1297" t="s">
        <v>944</v>
      </c>
      <c r="E36" s="1399">
        <v>2817463.33</v>
      </c>
      <c r="I36" s="1399">
        <v>2817463.33</v>
      </c>
    </row>
    <row r="37" spans="2:9">
      <c r="B37" s="1297"/>
      <c r="C37" s="1297"/>
      <c r="D37" s="1297" t="s">
        <v>945</v>
      </c>
      <c r="E37" s="1399">
        <v>1811018.55</v>
      </c>
      <c r="I37" s="1399">
        <v>1811018.55</v>
      </c>
    </row>
    <row r="38" spans="2:9">
      <c r="B38" s="1297"/>
      <c r="C38" s="1297"/>
      <c r="D38" s="1297" t="s">
        <v>946</v>
      </c>
      <c r="E38" s="1399">
        <v>0</v>
      </c>
      <c r="I38" s="1399">
        <v>0</v>
      </c>
    </row>
    <row r="39" spans="2:9">
      <c r="B39" s="1297"/>
      <c r="C39" s="1297"/>
      <c r="D39" s="1297" t="s">
        <v>947</v>
      </c>
      <c r="E39" s="1399">
        <v>114487.39</v>
      </c>
      <c r="I39" s="1399">
        <v>114487.39</v>
      </c>
    </row>
    <row r="40" spans="2:9">
      <c r="B40" s="1297"/>
      <c r="C40" s="1297"/>
      <c r="D40" s="1297" t="s">
        <v>948</v>
      </c>
      <c r="G40" s="1399">
        <v>7187195.3899999997</v>
      </c>
      <c r="I40" s="1399">
        <v>7187195.3899999997</v>
      </c>
    </row>
    <row r="41" spans="2:9">
      <c r="B41" s="1297"/>
      <c r="C41" s="1400" t="s">
        <v>949</v>
      </c>
      <c r="D41" s="1400"/>
      <c r="E41" s="1401">
        <v>5883404.5099999998</v>
      </c>
      <c r="F41" s="1401">
        <v>15800399.229999999</v>
      </c>
      <c r="G41" s="1401">
        <v>7187195.3899999997</v>
      </c>
      <c r="H41" s="1401">
        <v>17999957.409999996</v>
      </c>
      <c r="I41" s="1401">
        <v>46870956.539999999</v>
      </c>
    </row>
    <row r="42" spans="2:9">
      <c r="B42" s="1297" t="s">
        <v>950</v>
      </c>
      <c r="C42" s="1297" t="s">
        <v>951</v>
      </c>
      <c r="D42" s="1297" t="s">
        <v>906</v>
      </c>
      <c r="F42" s="1399">
        <v>1837307.58</v>
      </c>
      <c r="I42" s="1399">
        <v>1837307.58</v>
      </c>
    </row>
    <row r="43" spans="2:9">
      <c r="B43" s="1297"/>
      <c r="C43" s="1297"/>
      <c r="D43" s="1297" t="s">
        <v>952</v>
      </c>
      <c r="F43" s="1399">
        <v>3470.03</v>
      </c>
      <c r="I43" s="1399">
        <v>3470.03</v>
      </c>
    </row>
    <row r="44" spans="2:9">
      <c r="B44" s="1297"/>
      <c r="C44" s="1297"/>
      <c r="D44" s="1297" t="s">
        <v>907</v>
      </c>
      <c r="F44" s="1399">
        <v>713596.85</v>
      </c>
      <c r="I44" s="1399">
        <v>713596.85</v>
      </c>
    </row>
    <row r="45" spans="2:9">
      <c r="B45" s="1297"/>
      <c r="C45" s="1297"/>
      <c r="D45" s="1297" t="s">
        <v>908</v>
      </c>
      <c r="F45" s="1399">
        <v>9100.58</v>
      </c>
      <c r="I45" s="1399">
        <v>9100.58</v>
      </c>
    </row>
    <row r="46" spans="2:9">
      <c r="B46" s="1297"/>
      <c r="C46" s="1297"/>
      <c r="D46" s="1297" t="s">
        <v>1034</v>
      </c>
      <c r="F46" s="1399">
        <v>17832.099999999999</v>
      </c>
      <c r="I46" s="1399">
        <v>17832.099999999999</v>
      </c>
    </row>
    <row r="47" spans="2:9">
      <c r="B47" s="1297"/>
      <c r="C47" s="1297"/>
      <c r="D47" s="1297" t="s">
        <v>1035</v>
      </c>
      <c r="F47" s="1399">
        <v>173727.84</v>
      </c>
      <c r="I47" s="1399">
        <v>173727.84</v>
      </c>
    </row>
    <row r="48" spans="2:9">
      <c r="B48" s="1297"/>
      <c r="C48" s="1297"/>
      <c r="D48" s="1297" t="s">
        <v>1036</v>
      </c>
      <c r="F48" s="1399">
        <v>48082.75</v>
      </c>
      <c r="I48" s="1399">
        <v>48082.75</v>
      </c>
    </row>
    <row r="49" spans="2:9">
      <c r="B49" s="1297"/>
      <c r="C49" s="1297"/>
      <c r="D49" s="1297" t="s">
        <v>1039</v>
      </c>
      <c r="F49" s="1399">
        <v>1271.2399999999975</v>
      </c>
      <c r="I49" s="1399">
        <v>1271.2399999999975</v>
      </c>
    </row>
    <row r="50" spans="2:9">
      <c r="B50" s="1297"/>
      <c r="C50" s="1297"/>
      <c r="D50" s="1297" t="s">
        <v>1041</v>
      </c>
      <c r="F50" s="1399">
        <v>282.2</v>
      </c>
      <c r="I50" s="1399">
        <v>282.2</v>
      </c>
    </row>
    <row r="51" spans="2:9">
      <c r="B51" s="1297"/>
      <c r="C51" s="1297"/>
      <c r="D51" s="1297" t="s">
        <v>1042</v>
      </c>
      <c r="F51" s="1399">
        <v>10774.25</v>
      </c>
      <c r="I51" s="1399">
        <v>10774.25</v>
      </c>
    </row>
    <row r="52" spans="2:9">
      <c r="B52" s="1297"/>
      <c r="C52" s="1297"/>
      <c r="D52" s="1297" t="s">
        <v>953</v>
      </c>
      <c r="F52" s="1399">
        <v>47980.85</v>
      </c>
      <c r="I52" s="1399">
        <v>47980.85</v>
      </c>
    </row>
    <row r="53" spans="2:9">
      <c r="B53" s="1297"/>
      <c r="C53" s="1297"/>
      <c r="D53" s="1297" t="s">
        <v>954</v>
      </c>
      <c r="F53" s="1399">
        <v>3695.65</v>
      </c>
      <c r="I53" s="1399">
        <v>3695.65</v>
      </c>
    </row>
    <row r="54" spans="2:9">
      <c r="B54" s="1297"/>
      <c r="C54" s="1297"/>
      <c r="D54" s="1297" t="s">
        <v>1044</v>
      </c>
      <c r="F54" s="1399">
        <v>15780</v>
      </c>
      <c r="I54" s="1399">
        <v>15780</v>
      </c>
    </row>
    <row r="55" spans="2:9">
      <c r="B55" s="1297"/>
      <c r="C55" s="1297"/>
      <c r="D55" s="1297" t="s">
        <v>1045</v>
      </c>
      <c r="F55" s="1399">
        <v>174148.6</v>
      </c>
      <c r="I55" s="1399">
        <v>174148.6</v>
      </c>
    </row>
    <row r="56" spans="2:9">
      <c r="B56" s="1297"/>
      <c r="C56" s="1297"/>
      <c r="D56" s="1297" t="s">
        <v>1046</v>
      </c>
      <c r="H56" s="1399">
        <v>8613628</v>
      </c>
      <c r="I56" s="1399">
        <v>8613628</v>
      </c>
    </row>
    <row r="57" spans="2:9">
      <c r="B57" s="1297"/>
      <c r="C57" s="1297"/>
      <c r="D57" s="1297" t="s">
        <v>1047</v>
      </c>
      <c r="H57" s="1399">
        <v>375199</v>
      </c>
      <c r="I57" s="1399">
        <v>375199</v>
      </c>
    </row>
    <row r="58" spans="2:9">
      <c r="B58" s="1297"/>
      <c r="C58" s="1297"/>
      <c r="D58" s="1297" t="s">
        <v>1048</v>
      </c>
      <c r="H58" s="1399">
        <v>-576197</v>
      </c>
      <c r="I58" s="1399">
        <v>-576197</v>
      </c>
    </row>
    <row r="59" spans="2:9">
      <c r="B59" s="1297"/>
      <c r="C59" s="1297"/>
      <c r="D59" s="1297" t="s">
        <v>932</v>
      </c>
      <c r="H59" s="1399">
        <v>1702766</v>
      </c>
      <c r="I59" s="1399">
        <v>1702766</v>
      </c>
    </row>
    <row r="60" spans="2:9">
      <c r="B60" s="1297"/>
      <c r="C60" s="1297"/>
      <c r="D60" s="1297" t="s">
        <v>955</v>
      </c>
      <c r="H60" s="1399">
        <v>468561.5</v>
      </c>
      <c r="I60" s="1399">
        <v>468561.5</v>
      </c>
    </row>
    <row r="61" spans="2:9">
      <c r="B61" s="1297"/>
      <c r="C61" s="1297"/>
      <c r="D61" s="1297" t="s">
        <v>934</v>
      </c>
      <c r="H61" s="1399">
        <v>31348</v>
      </c>
      <c r="I61" s="1399">
        <v>31348</v>
      </c>
    </row>
    <row r="62" spans="2:9">
      <c r="B62" s="1297"/>
      <c r="C62" s="1297"/>
      <c r="D62" s="1297" t="s">
        <v>935</v>
      </c>
      <c r="H62" s="1399">
        <v>204995.96</v>
      </c>
      <c r="I62" s="1399">
        <v>204995.96</v>
      </c>
    </row>
    <row r="63" spans="2:9">
      <c r="B63" s="1297"/>
      <c r="C63" s="1297"/>
      <c r="D63" s="1297" t="s">
        <v>936</v>
      </c>
      <c r="H63" s="1399">
        <v>25560.99</v>
      </c>
      <c r="I63" s="1399">
        <v>25560.99</v>
      </c>
    </row>
    <row r="64" spans="2:9">
      <c r="B64" s="1297"/>
      <c r="C64" s="1297"/>
      <c r="D64" s="1297" t="s">
        <v>937</v>
      </c>
      <c r="H64" s="1399">
        <v>4205.3</v>
      </c>
      <c r="I64" s="1399">
        <v>4205.3</v>
      </c>
    </row>
    <row r="65" spans="2:9">
      <c r="B65" s="1297"/>
      <c r="C65" s="1297"/>
      <c r="D65" s="1297" t="s">
        <v>938</v>
      </c>
      <c r="H65" s="1399">
        <v>8048</v>
      </c>
      <c r="I65" s="1399">
        <v>8048</v>
      </c>
    </row>
    <row r="66" spans="2:9">
      <c r="B66" s="1297"/>
      <c r="C66" s="1297"/>
      <c r="D66" s="1297" t="s">
        <v>939</v>
      </c>
      <c r="H66" s="1399">
        <v>8494.86</v>
      </c>
      <c r="I66" s="1399">
        <v>8494.86</v>
      </c>
    </row>
    <row r="67" spans="2:9">
      <c r="B67" s="1297"/>
      <c r="C67" s="1297"/>
      <c r="D67" s="1297" t="s">
        <v>940</v>
      </c>
      <c r="E67" s="1399">
        <v>566929.36</v>
      </c>
      <c r="I67" s="1399">
        <v>566929.36</v>
      </c>
    </row>
    <row r="68" spans="2:9">
      <c r="B68" s="1297"/>
      <c r="C68" s="1297"/>
      <c r="D68" s="1297" t="s">
        <v>941</v>
      </c>
      <c r="E68" s="1399">
        <v>281741.53999999998</v>
      </c>
      <c r="I68" s="1399">
        <v>281741.53999999998</v>
      </c>
    </row>
    <row r="69" spans="2:9">
      <c r="B69" s="1297"/>
      <c r="C69" s="1297"/>
      <c r="D69" s="1297" t="s">
        <v>942</v>
      </c>
      <c r="E69" s="1399">
        <v>10045.68</v>
      </c>
      <c r="I69" s="1399">
        <v>10045.68</v>
      </c>
    </row>
    <row r="70" spans="2:9">
      <c r="B70" s="1297"/>
      <c r="C70" s="1297"/>
      <c r="D70" s="1297" t="s">
        <v>944</v>
      </c>
      <c r="E70" s="1399">
        <v>1311014.29</v>
      </c>
      <c r="I70" s="1399">
        <v>1311014.29</v>
      </c>
    </row>
    <row r="71" spans="2:9">
      <c r="B71" s="1297"/>
      <c r="C71" s="1297"/>
      <c r="D71" s="1297" t="s">
        <v>945</v>
      </c>
      <c r="E71" s="1399">
        <v>914904.08000000007</v>
      </c>
      <c r="I71" s="1399">
        <v>914904.08000000007</v>
      </c>
    </row>
    <row r="72" spans="2:9">
      <c r="B72" s="1297"/>
      <c r="C72" s="1297"/>
      <c r="D72" s="1297" t="s">
        <v>947</v>
      </c>
      <c r="E72" s="1399">
        <v>28642.85</v>
      </c>
      <c r="I72" s="1399">
        <v>28642.85</v>
      </c>
    </row>
    <row r="73" spans="2:9">
      <c r="B73" s="1297"/>
      <c r="C73" s="1297"/>
      <c r="D73" s="1297" t="s">
        <v>948</v>
      </c>
      <c r="G73" s="1399">
        <v>1542438.0799999998</v>
      </c>
      <c r="I73" s="1399">
        <v>1542438.0799999998</v>
      </c>
    </row>
    <row r="74" spans="2:9">
      <c r="B74" s="1297"/>
      <c r="C74" s="1297"/>
      <c r="D74" s="1297" t="s">
        <v>956</v>
      </c>
      <c r="G74" s="1399">
        <v>53814.5</v>
      </c>
      <c r="I74" s="1399">
        <v>53814.5</v>
      </c>
    </row>
    <row r="75" spans="2:9">
      <c r="B75" s="1297"/>
      <c r="C75" s="1400" t="s">
        <v>957</v>
      </c>
      <c r="D75" s="1400"/>
      <c r="E75" s="1401">
        <v>3113277.8000000003</v>
      </c>
      <c r="F75" s="1401">
        <v>3057050.5200000005</v>
      </c>
      <c r="G75" s="1401">
        <v>1596252.5799999998</v>
      </c>
      <c r="H75" s="1401">
        <v>10866610.610000001</v>
      </c>
      <c r="I75" s="1401">
        <v>18633191.509999998</v>
      </c>
    </row>
    <row r="76" spans="2:9">
      <c r="B76" s="1297" t="s">
        <v>958</v>
      </c>
      <c r="C76" s="1297" t="s">
        <v>959</v>
      </c>
      <c r="D76" s="1297" t="s">
        <v>906</v>
      </c>
      <c r="F76" s="1399">
        <v>2999863.01</v>
      </c>
      <c r="I76" s="1399">
        <v>2999863.01</v>
      </c>
    </row>
    <row r="77" spans="2:9">
      <c r="B77" s="1297"/>
      <c r="C77" s="1297"/>
      <c r="D77" s="1297" t="s">
        <v>952</v>
      </c>
      <c r="F77" s="1399">
        <v>19729.27</v>
      </c>
      <c r="I77" s="1399">
        <v>19729.27</v>
      </c>
    </row>
    <row r="78" spans="2:9">
      <c r="B78" s="1297"/>
      <c r="C78" s="1297"/>
      <c r="D78" s="1297" t="s">
        <v>907</v>
      </c>
      <c r="F78" s="1399">
        <v>1135347.58</v>
      </c>
      <c r="I78" s="1399">
        <v>1135347.58</v>
      </c>
    </row>
    <row r="79" spans="2:9">
      <c r="B79" s="1297"/>
      <c r="C79" s="1297"/>
      <c r="D79" s="1297" t="s">
        <v>908</v>
      </c>
      <c r="F79" s="1399">
        <v>3001.83</v>
      </c>
      <c r="I79" s="1399">
        <v>3001.83</v>
      </c>
    </row>
    <row r="80" spans="2:9">
      <c r="B80" s="1297"/>
      <c r="C80" s="1297"/>
      <c r="D80" s="1297" t="s">
        <v>910</v>
      </c>
      <c r="F80" s="1399">
        <v>58941.630000000005</v>
      </c>
      <c r="I80" s="1399">
        <v>58941.630000000005</v>
      </c>
    </row>
    <row r="81" spans="2:9">
      <c r="B81" s="1297"/>
      <c r="C81" s="1297"/>
      <c r="D81" s="1297" t="s">
        <v>1034</v>
      </c>
      <c r="F81" s="1399">
        <v>41932.089999999997</v>
      </c>
      <c r="I81" s="1399">
        <v>41932.089999999997</v>
      </c>
    </row>
    <row r="82" spans="2:9">
      <c r="B82" s="1297"/>
      <c r="C82" s="1297"/>
      <c r="D82" s="1297" t="s">
        <v>1035</v>
      </c>
      <c r="F82" s="1399">
        <v>214814.93000000002</v>
      </c>
      <c r="I82" s="1399">
        <v>214814.93000000002</v>
      </c>
    </row>
    <row r="83" spans="2:9">
      <c r="B83" s="1297"/>
      <c r="C83" s="1297"/>
      <c r="D83" s="1297" t="s">
        <v>1036</v>
      </c>
      <c r="F83" s="1399">
        <v>65513.55</v>
      </c>
      <c r="I83" s="1399">
        <v>65513.55</v>
      </c>
    </row>
    <row r="84" spans="2:9">
      <c r="B84" s="1297"/>
      <c r="C84" s="1297"/>
      <c r="D84" s="1297" t="s">
        <v>1039</v>
      </c>
      <c r="F84" s="1399">
        <v>25750.31</v>
      </c>
      <c r="I84" s="1399">
        <v>25750.31</v>
      </c>
    </row>
    <row r="85" spans="2:9">
      <c r="B85" s="1297"/>
      <c r="C85" s="1297"/>
      <c r="D85" s="1297" t="s">
        <v>1040</v>
      </c>
      <c r="F85" s="1399">
        <v>155141.71</v>
      </c>
      <c r="I85" s="1399">
        <v>155141.71</v>
      </c>
    </row>
    <row r="86" spans="2:9">
      <c r="B86" s="1297"/>
      <c r="C86" s="1297"/>
      <c r="D86" s="1297" t="s">
        <v>1041</v>
      </c>
      <c r="F86" s="1399">
        <v>51129</v>
      </c>
      <c r="I86" s="1399">
        <v>51129</v>
      </c>
    </row>
    <row r="87" spans="2:9">
      <c r="B87" s="1297"/>
      <c r="C87" s="1297"/>
      <c r="D87" s="1297" t="s">
        <v>1042</v>
      </c>
      <c r="F87" s="1399">
        <v>46950.59</v>
      </c>
      <c r="I87" s="1399">
        <v>46950.59</v>
      </c>
    </row>
    <row r="88" spans="2:9">
      <c r="B88" s="1297"/>
      <c r="C88" s="1297"/>
      <c r="D88" s="1297" t="s">
        <v>953</v>
      </c>
      <c r="F88" s="1399">
        <v>5396.8</v>
      </c>
      <c r="I88" s="1399">
        <v>5396.8</v>
      </c>
    </row>
    <row r="89" spans="2:9">
      <c r="B89" s="1297"/>
      <c r="C89" s="1297"/>
      <c r="D89" s="1297" t="s">
        <v>1045</v>
      </c>
      <c r="F89" s="1399">
        <v>67807.75</v>
      </c>
      <c r="I89" s="1399">
        <v>67807.75</v>
      </c>
    </row>
    <row r="90" spans="2:9">
      <c r="B90" s="1297"/>
      <c r="C90" s="1297"/>
      <c r="D90" s="1297" t="s">
        <v>1046</v>
      </c>
      <c r="H90" s="1399">
        <v>10077693</v>
      </c>
      <c r="I90" s="1399">
        <v>10077693</v>
      </c>
    </row>
    <row r="91" spans="2:9">
      <c r="B91" s="1297"/>
      <c r="C91" s="1297"/>
      <c r="D91" s="1297" t="s">
        <v>1047</v>
      </c>
      <c r="H91" s="1399">
        <v>369396</v>
      </c>
      <c r="I91" s="1399">
        <v>369396</v>
      </c>
    </row>
    <row r="92" spans="2:9">
      <c r="B92" s="1297"/>
      <c r="C92" s="1297"/>
      <c r="D92" s="1297" t="s">
        <v>1048</v>
      </c>
      <c r="H92" s="1399">
        <v>-963626</v>
      </c>
      <c r="I92" s="1399">
        <v>-963626</v>
      </c>
    </row>
    <row r="93" spans="2:9">
      <c r="B93" s="1297"/>
      <c r="C93" s="1297"/>
      <c r="D93" s="1297" t="s">
        <v>932</v>
      </c>
      <c r="H93" s="1399">
        <v>1142589</v>
      </c>
      <c r="I93" s="1399">
        <v>1142589</v>
      </c>
    </row>
    <row r="94" spans="2:9">
      <c r="B94" s="1297"/>
      <c r="C94" s="1297"/>
      <c r="D94" s="1297" t="s">
        <v>955</v>
      </c>
      <c r="H94" s="1399">
        <v>407815.47</v>
      </c>
      <c r="I94" s="1399">
        <v>407815.47</v>
      </c>
    </row>
    <row r="95" spans="2:9">
      <c r="B95" s="1297"/>
      <c r="C95" s="1297"/>
      <c r="D95" s="1297" t="s">
        <v>934</v>
      </c>
      <c r="H95" s="1399">
        <v>27112</v>
      </c>
      <c r="I95" s="1399">
        <v>27112</v>
      </c>
    </row>
    <row r="96" spans="2:9">
      <c r="B96" s="1297"/>
      <c r="C96" s="1297"/>
      <c r="D96" s="1297" t="s">
        <v>935</v>
      </c>
      <c r="H96" s="1399">
        <v>346741.36000000004</v>
      </c>
      <c r="I96" s="1399">
        <v>346741.36000000004</v>
      </c>
    </row>
    <row r="97" spans="2:9">
      <c r="B97" s="1297"/>
      <c r="C97" s="1297"/>
      <c r="D97" s="1297" t="s">
        <v>936</v>
      </c>
      <c r="H97" s="1399">
        <v>28712.34</v>
      </c>
      <c r="I97" s="1399">
        <v>28712.34</v>
      </c>
    </row>
    <row r="98" spans="2:9">
      <c r="B98" s="1297"/>
      <c r="C98" s="1297"/>
      <c r="D98" s="1297" t="s">
        <v>937</v>
      </c>
      <c r="H98" s="1399">
        <v>2230.54</v>
      </c>
      <c r="I98" s="1399">
        <v>2230.54</v>
      </c>
    </row>
    <row r="99" spans="2:9">
      <c r="B99" s="1297"/>
      <c r="C99" s="1297"/>
      <c r="D99" s="1297" t="s">
        <v>938</v>
      </c>
      <c r="H99" s="1399">
        <v>10855</v>
      </c>
      <c r="I99" s="1399">
        <v>10855</v>
      </c>
    </row>
    <row r="100" spans="2:9">
      <c r="B100" s="1297"/>
      <c r="C100" s="1297"/>
      <c r="D100" s="1297" t="s">
        <v>939</v>
      </c>
      <c r="H100" s="1399">
        <v>44252.32</v>
      </c>
      <c r="I100" s="1399">
        <v>44252.32</v>
      </c>
    </row>
    <row r="101" spans="2:9">
      <c r="B101" s="1297"/>
      <c r="C101" s="1297"/>
      <c r="D101" s="1297" t="s">
        <v>940</v>
      </c>
      <c r="E101" s="1399">
        <v>495998.38</v>
      </c>
      <c r="I101" s="1399">
        <v>495998.38</v>
      </c>
    </row>
    <row r="102" spans="2:9">
      <c r="B102" s="1297"/>
      <c r="C102" s="1297"/>
      <c r="D102" s="1297" t="s">
        <v>941</v>
      </c>
      <c r="E102" s="1399">
        <v>154941.85999999999</v>
      </c>
      <c r="I102" s="1399">
        <v>154941.85999999999</v>
      </c>
    </row>
    <row r="103" spans="2:9">
      <c r="B103" s="1297"/>
      <c r="C103" s="1297"/>
      <c r="D103" s="1297" t="s">
        <v>943</v>
      </c>
      <c r="E103" s="1399">
        <v>683.02</v>
      </c>
      <c r="I103" s="1399">
        <v>683.02</v>
      </c>
    </row>
    <row r="104" spans="2:9">
      <c r="B104" s="1297"/>
      <c r="C104" s="1297"/>
      <c r="D104" s="1297" t="s">
        <v>944</v>
      </c>
      <c r="E104" s="1399">
        <v>1375864.61</v>
      </c>
      <c r="I104" s="1399">
        <v>1375864.61</v>
      </c>
    </row>
    <row r="105" spans="2:9">
      <c r="B105" s="1297"/>
      <c r="C105" s="1297"/>
      <c r="D105" s="1297" t="s">
        <v>945</v>
      </c>
      <c r="E105" s="1399">
        <v>733188.51</v>
      </c>
      <c r="I105" s="1399">
        <v>733188.51</v>
      </c>
    </row>
    <row r="106" spans="2:9">
      <c r="B106" s="1297"/>
      <c r="C106" s="1297"/>
      <c r="D106" s="1297" t="s">
        <v>946</v>
      </c>
      <c r="E106" s="1399">
        <v>32964.58</v>
      </c>
      <c r="I106" s="1399">
        <v>32964.58</v>
      </c>
    </row>
    <row r="107" spans="2:9">
      <c r="B107" s="1297"/>
      <c r="C107" s="1297"/>
      <c r="D107" s="1297" t="s">
        <v>947</v>
      </c>
      <c r="E107" s="1399">
        <v>35771.58</v>
      </c>
      <c r="I107" s="1399">
        <v>35771.58</v>
      </c>
    </row>
    <row r="108" spans="2:9">
      <c r="B108" s="1297"/>
      <c r="C108" s="1297"/>
      <c r="D108" s="1297" t="s">
        <v>1115</v>
      </c>
      <c r="E108" s="1399">
        <v>608.28</v>
      </c>
      <c r="I108" s="1399">
        <v>608.28</v>
      </c>
    </row>
    <row r="109" spans="2:9">
      <c r="B109" s="1297"/>
      <c r="C109" s="1297"/>
      <c r="D109" s="1297" t="s">
        <v>1116</v>
      </c>
      <c r="G109" s="1399">
        <v>16600000</v>
      </c>
      <c r="I109" s="1399">
        <v>16600000</v>
      </c>
    </row>
    <row r="110" spans="2:9">
      <c r="B110" s="1297"/>
      <c r="C110" s="1297"/>
      <c r="D110" s="1297" t="s">
        <v>1117</v>
      </c>
      <c r="G110" s="1399">
        <v>104079.9</v>
      </c>
      <c r="I110" s="1399">
        <v>104079.9</v>
      </c>
    </row>
    <row r="111" spans="2:9">
      <c r="B111" s="1297"/>
      <c r="C111" s="1297"/>
      <c r="D111" s="1297" t="s">
        <v>948</v>
      </c>
      <c r="G111" s="1399">
        <v>501947.70999999996</v>
      </c>
      <c r="I111" s="1399">
        <v>501947.70999999996</v>
      </c>
    </row>
    <row r="112" spans="2:9">
      <c r="B112" s="1297"/>
      <c r="C112" s="1297"/>
      <c r="D112" s="1297" t="s">
        <v>1118</v>
      </c>
      <c r="G112" s="1399">
        <v>147944.79999999999</v>
      </c>
      <c r="I112" s="1399">
        <v>147944.79999999999</v>
      </c>
    </row>
    <row r="113" spans="2:9">
      <c r="B113" s="1297"/>
      <c r="C113" s="1400" t="s">
        <v>1119</v>
      </c>
      <c r="D113" s="1400"/>
      <c r="E113" s="1401">
        <v>2830020.82</v>
      </c>
      <c r="F113" s="1401">
        <v>4891320.0499999989</v>
      </c>
      <c r="G113" s="1401">
        <v>17353972.41</v>
      </c>
      <c r="H113" s="1401">
        <v>11493771.029999999</v>
      </c>
      <c r="I113" s="1401">
        <v>36569084.309999987</v>
      </c>
    </row>
    <row r="114" spans="2:9">
      <c r="B114" s="1297" t="s">
        <v>1120</v>
      </c>
      <c r="C114" s="1297" t="s">
        <v>1121</v>
      </c>
      <c r="D114" s="1297" t="s">
        <v>906</v>
      </c>
      <c r="F114" s="1399">
        <v>2168911.9500000002</v>
      </c>
      <c r="I114" s="1399">
        <v>2168911.9500000002</v>
      </c>
    </row>
    <row r="115" spans="2:9">
      <c r="B115" s="1297"/>
      <c r="C115" s="1297"/>
      <c r="D115" s="1297" t="s">
        <v>952</v>
      </c>
      <c r="F115" s="1399">
        <v>491.76</v>
      </c>
      <c r="I115" s="1399">
        <v>491.76</v>
      </c>
    </row>
    <row r="116" spans="2:9">
      <c r="B116" s="1297"/>
      <c r="C116" s="1297"/>
      <c r="D116" s="1297" t="s">
        <v>907</v>
      </c>
      <c r="F116" s="1399">
        <v>281369.73</v>
      </c>
      <c r="I116" s="1399">
        <v>281369.73</v>
      </c>
    </row>
    <row r="117" spans="2:9">
      <c r="B117" s="1297"/>
      <c r="C117" s="1297"/>
      <c r="D117" s="1297" t="s">
        <v>908</v>
      </c>
      <c r="F117" s="1399">
        <v>1697.72</v>
      </c>
      <c r="I117" s="1399">
        <v>1697.72</v>
      </c>
    </row>
    <row r="118" spans="2:9">
      <c r="B118" s="1297"/>
      <c r="C118" s="1297"/>
      <c r="D118" s="1297" t="s">
        <v>1122</v>
      </c>
      <c r="F118" s="1399">
        <v>0</v>
      </c>
      <c r="I118" s="1399">
        <v>0</v>
      </c>
    </row>
    <row r="119" spans="2:9">
      <c r="B119" s="1297"/>
      <c r="C119" s="1297"/>
      <c r="D119" s="1297" t="s">
        <v>1035</v>
      </c>
      <c r="F119" s="1399">
        <v>57540.560000000005</v>
      </c>
      <c r="I119" s="1399">
        <v>57540.560000000005</v>
      </c>
    </row>
    <row r="120" spans="2:9">
      <c r="B120" s="1297"/>
      <c r="C120" s="1297"/>
      <c r="D120" s="1297" t="s">
        <v>1039</v>
      </c>
      <c r="F120" s="1399">
        <v>251.68</v>
      </c>
      <c r="I120" s="1399">
        <v>251.68</v>
      </c>
    </row>
    <row r="121" spans="2:9">
      <c r="B121" s="1297"/>
      <c r="C121" s="1297"/>
      <c r="D121" s="1297" t="s">
        <v>1041</v>
      </c>
      <c r="F121" s="1399">
        <v>6119.9</v>
      </c>
      <c r="I121" s="1399">
        <v>6119.9</v>
      </c>
    </row>
    <row r="122" spans="2:9">
      <c r="B122" s="1297"/>
      <c r="C122" s="1297"/>
      <c r="D122" s="1297" t="s">
        <v>1045</v>
      </c>
      <c r="F122" s="1399">
        <v>58714.079999999994</v>
      </c>
      <c r="I122" s="1399">
        <v>58714.079999999994</v>
      </c>
    </row>
    <row r="123" spans="2:9">
      <c r="B123" s="1297"/>
      <c r="C123" s="1297"/>
      <c r="D123" s="1297" t="s">
        <v>1046</v>
      </c>
      <c r="H123" s="1399">
        <v>2107781</v>
      </c>
      <c r="I123" s="1399">
        <v>2107781</v>
      </c>
    </row>
    <row r="124" spans="2:9">
      <c r="B124" s="1297"/>
      <c r="C124" s="1297"/>
      <c r="D124" s="1297" t="s">
        <v>1047</v>
      </c>
      <c r="H124" s="1399">
        <v>266218</v>
      </c>
      <c r="I124" s="1399">
        <v>266218</v>
      </c>
    </row>
    <row r="125" spans="2:9">
      <c r="B125" s="1297"/>
      <c r="C125" s="1297"/>
      <c r="D125" s="1297" t="s">
        <v>1048</v>
      </c>
      <c r="H125" s="1399">
        <v>-635818</v>
      </c>
      <c r="I125" s="1399">
        <v>-635818</v>
      </c>
    </row>
    <row r="126" spans="2:9">
      <c r="B126" s="1297"/>
      <c r="C126" s="1297"/>
      <c r="D126" s="1297" t="s">
        <v>933</v>
      </c>
      <c r="H126" s="1399">
        <v>89836.85</v>
      </c>
      <c r="I126" s="1399">
        <v>89836.85</v>
      </c>
    </row>
    <row r="127" spans="2:9">
      <c r="B127" s="1297"/>
      <c r="C127" s="1297"/>
      <c r="D127" s="1297" t="s">
        <v>934</v>
      </c>
      <c r="H127" s="1399">
        <v>8762</v>
      </c>
      <c r="I127" s="1399">
        <v>8762</v>
      </c>
    </row>
    <row r="128" spans="2:9">
      <c r="B128" s="1297"/>
      <c r="C128" s="1297"/>
      <c r="D128" s="1297" t="s">
        <v>935</v>
      </c>
      <c r="H128" s="1399">
        <v>128416.31000000001</v>
      </c>
      <c r="I128" s="1399">
        <v>128416.31000000001</v>
      </c>
    </row>
    <row r="129" spans="2:9">
      <c r="B129" s="1297"/>
      <c r="C129" s="1297"/>
      <c r="D129" s="1297" t="s">
        <v>936</v>
      </c>
      <c r="H129" s="1399">
        <v>5602.41</v>
      </c>
      <c r="I129" s="1399">
        <v>5602.41</v>
      </c>
    </row>
    <row r="130" spans="2:9">
      <c r="B130" s="1297"/>
      <c r="C130" s="1297"/>
      <c r="D130" s="1297" t="s">
        <v>938</v>
      </c>
      <c r="H130" s="1399">
        <v>3930</v>
      </c>
      <c r="I130" s="1399">
        <v>3930</v>
      </c>
    </row>
    <row r="131" spans="2:9">
      <c r="B131" s="1297"/>
      <c r="C131" s="1297"/>
      <c r="D131" s="1297" t="s">
        <v>939</v>
      </c>
      <c r="H131" s="1399">
        <v>16856</v>
      </c>
      <c r="I131" s="1399">
        <v>16856</v>
      </c>
    </row>
    <row r="132" spans="2:9">
      <c r="B132" s="1297"/>
      <c r="C132" s="1297"/>
      <c r="D132" s="1297" t="s">
        <v>940</v>
      </c>
      <c r="E132" s="1399">
        <v>130198.8</v>
      </c>
      <c r="I132" s="1399">
        <v>130198.8</v>
      </c>
    </row>
    <row r="133" spans="2:9">
      <c r="B133" s="1297"/>
      <c r="C133" s="1297"/>
      <c r="D133" s="1297" t="s">
        <v>941</v>
      </c>
      <c r="E133" s="1399">
        <v>67276.600000000006</v>
      </c>
      <c r="I133" s="1399">
        <v>67276.600000000006</v>
      </c>
    </row>
    <row r="134" spans="2:9">
      <c r="B134" s="1297"/>
      <c r="C134" s="1297"/>
      <c r="D134" s="1297" t="s">
        <v>944</v>
      </c>
      <c r="E134" s="1399">
        <v>567204.80000000005</v>
      </c>
      <c r="I134" s="1399">
        <v>567204.80000000005</v>
      </c>
    </row>
    <row r="135" spans="2:9">
      <c r="B135" s="1297"/>
      <c r="C135" s="1297"/>
      <c r="D135" s="1297" t="s">
        <v>945</v>
      </c>
      <c r="E135" s="1399">
        <v>114824.69</v>
      </c>
      <c r="I135" s="1399">
        <v>114824.69</v>
      </c>
    </row>
    <row r="136" spans="2:9">
      <c r="B136" s="1297"/>
      <c r="C136" s="1297"/>
      <c r="D136" s="1297" t="s">
        <v>947</v>
      </c>
      <c r="E136" s="1399">
        <v>851.52</v>
      </c>
      <c r="I136" s="1399">
        <v>851.52</v>
      </c>
    </row>
    <row r="137" spans="2:9">
      <c r="B137" s="1297"/>
      <c r="C137" s="1297"/>
      <c r="D137" s="1297" t="s">
        <v>948</v>
      </c>
      <c r="G137" s="1399">
        <v>514427.17000000004</v>
      </c>
      <c r="I137" s="1399">
        <v>514427.17000000004</v>
      </c>
    </row>
    <row r="138" spans="2:9">
      <c r="B138" s="1297"/>
      <c r="C138" s="1400" t="s">
        <v>1123</v>
      </c>
      <c r="D138" s="1400"/>
      <c r="E138" s="1401">
        <v>880356.41000000015</v>
      </c>
      <c r="F138" s="1401">
        <v>2575097.3800000004</v>
      </c>
      <c r="G138" s="1401">
        <v>514427.17000000004</v>
      </c>
      <c r="H138" s="1401">
        <v>1991584.57</v>
      </c>
      <c r="I138" s="1401">
        <v>5961465.5299999993</v>
      </c>
    </row>
    <row r="139" spans="2:9">
      <c r="B139" s="1297" t="s">
        <v>1124</v>
      </c>
      <c r="C139" s="1297" t="s">
        <v>1125</v>
      </c>
      <c r="D139" s="1297" t="s">
        <v>906</v>
      </c>
      <c r="F139" s="1399">
        <v>16305752.029999999</v>
      </c>
      <c r="I139" s="1399">
        <v>16305752.029999999</v>
      </c>
    </row>
    <row r="140" spans="2:9">
      <c r="B140" s="1297"/>
      <c r="C140" s="1297"/>
      <c r="D140" s="1297" t="s">
        <v>1126</v>
      </c>
      <c r="F140" s="1399">
        <v>566338.98</v>
      </c>
      <c r="I140" s="1399">
        <v>566338.98</v>
      </c>
    </row>
    <row r="141" spans="2:9">
      <c r="B141" s="1297"/>
      <c r="C141" s="1297"/>
      <c r="D141" s="1297" t="s">
        <v>952</v>
      </c>
      <c r="F141" s="1399">
        <v>175843.42</v>
      </c>
      <c r="I141" s="1399">
        <v>175843.42</v>
      </c>
    </row>
    <row r="142" spans="2:9">
      <c r="B142" s="1297"/>
      <c r="C142" s="1297"/>
      <c r="D142" s="1297" t="s">
        <v>907</v>
      </c>
      <c r="F142" s="1399">
        <v>5816712.5700000003</v>
      </c>
      <c r="I142" s="1399">
        <v>5816712.5700000003</v>
      </c>
    </row>
    <row r="143" spans="2:9">
      <c r="B143" s="1297"/>
      <c r="C143" s="1297"/>
      <c r="D143" s="1297" t="s">
        <v>908</v>
      </c>
      <c r="F143" s="1399">
        <v>20118.79</v>
      </c>
      <c r="I143" s="1399">
        <v>20118.79</v>
      </c>
    </row>
    <row r="144" spans="2:9">
      <c r="B144" s="1297"/>
      <c r="C144" s="1297"/>
      <c r="D144" s="1297" t="s">
        <v>909</v>
      </c>
      <c r="F144" s="1399">
        <v>72755.05</v>
      </c>
      <c r="I144" s="1399">
        <v>72755.05</v>
      </c>
    </row>
    <row r="145" spans="2:9">
      <c r="B145" s="1297"/>
      <c r="C145" s="1297"/>
      <c r="D145" s="1297" t="s">
        <v>910</v>
      </c>
      <c r="F145" s="1399">
        <v>20988.53</v>
      </c>
      <c r="I145" s="1399">
        <v>20988.53</v>
      </c>
    </row>
    <row r="146" spans="2:9">
      <c r="B146" s="1297"/>
      <c r="C146" s="1297"/>
      <c r="D146" s="1297" t="s">
        <v>1034</v>
      </c>
      <c r="F146" s="1399">
        <v>23011.48</v>
      </c>
      <c r="I146" s="1399">
        <v>23011.48</v>
      </c>
    </row>
    <row r="147" spans="2:9">
      <c r="B147" s="1297"/>
      <c r="C147" s="1297"/>
      <c r="D147" s="1297" t="s">
        <v>1035</v>
      </c>
      <c r="F147" s="1399">
        <v>407783.87</v>
      </c>
      <c r="I147" s="1399">
        <v>407783.87</v>
      </c>
    </row>
    <row r="148" spans="2:9">
      <c r="B148" s="1297"/>
      <c r="C148" s="1297"/>
      <c r="D148" s="1297" t="s">
        <v>1036</v>
      </c>
      <c r="F148" s="1399">
        <v>104413.37</v>
      </c>
      <c r="I148" s="1399">
        <v>104413.37</v>
      </c>
    </row>
    <row r="149" spans="2:9">
      <c r="B149" s="1297"/>
      <c r="C149" s="1297"/>
      <c r="D149" s="1297" t="s">
        <v>1037</v>
      </c>
      <c r="F149" s="1399">
        <v>11373.74</v>
      </c>
      <c r="I149" s="1399">
        <v>11373.74</v>
      </c>
    </row>
    <row r="150" spans="2:9">
      <c r="B150" s="1297"/>
      <c r="C150" s="1297"/>
      <c r="D150" s="1297" t="s">
        <v>1039</v>
      </c>
      <c r="F150" s="1399">
        <v>79251.140000000014</v>
      </c>
      <c r="I150" s="1399">
        <v>79251.140000000014</v>
      </c>
    </row>
    <row r="151" spans="2:9">
      <c r="B151" s="1297"/>
      <c r="C151" s="1297"/>
      <c r="D151" s="1297" t="s">
        <v>1040</v>
      </c>
      <c r="F151" s="1399">
        <v>266536.25</v>
      </c>
      <c r="I151" s="1399">
        <v>266536.25</v>
      </c>
    </row>
    <row r="152" spans="2:9">
      <c r="B152" s="1297"/>
      <c r="C152" s="1297"/>
      <c r="D152" s="1297" t="s">
        <v>1127</v>
      </c>
      <c r="F152" s="1399">
        <v>10694.39</v>
      </c>
      <c r="I152" s="1399">
        <v>10694.39</v>
      </c>
    </row>
    <row r="153" spans="2:9">
      <c r="B153" s="1297"/>
      <c r="C153" s="1297"/>
      <c r="D153" s="1297" t="s">
        <v>1041</v>
      </c>
      <c r="F153" s="1399">
        <v>68579.009999999995</v>
      </c>
      <c r="I153" s="1399">
        <v>68579.009999999995</v>
      </c>
    </row>
    <row r="154" spans="2:9">
      <c r="B154" s="1297"/>
      <c r="C154" s="1297"/>
      <c r="D154" s="1297" t="s">
        <v>1042</v>
      </c>
      <c r="F154" s="1399">
        <v>85881.61</v>
      </c>
      <c r="I154" s="1399">
        <v>85881.61</v>
      </c>
    </row>
    <row r="155" spans="2:9">
      <c r="B155" s="1297"/>
      <c r="C155" s="1297"/>
      <c r="D155" s="1297" t="s">
        <v>1044</v>
      </c>
      <c r="F155" s="1399">
        <v>30225.4</v>
      </c>
      <c r="I155" s="1399">
        <v>30225.4</v>
      </c>
    </row>
    <row r="156" spans="2:9">
      <c r="B156" s="1297"/>
      <c r="C156" s="1297"/>
      <c r="D156" s="1297" t="s">
        <v>1045</v>
      </c>
      <c r="F156" s="1399">
        <v>696116.64</v>
      </c>
      <c r="I156" s="1399">
        <v>696116.64</v>
      </c>
    </row>
    <row r="157" spans="2:9">
      <c r="B157" s="1297"/>
      <c r="C157" s="1297"/>
      <c r="D157" s="1297" t="s">
        <v>1046</v>
      </c>
      <c r="H157" s="1399">
        <v>29655306</v>
      </c>
      <c r="I157" s="1399">
        <v>29655306</v>
      </c>
    </row>
    <row r="158" spans="2:9">
      <c r="B158" s="1297"/>
      <c r="C158" s="1297"/>
      <c r="D158" s="1297" t="s">
        <v>1128</v>
      </c>
      <c r="H158" s="1399">
        <v>1687393</v>
      </c>
      <c r="I158" s="1399">
        <v>1687393</v>
      </c>
    </row>
    <row r="159" spans="2:9">
      <c r="B159" s="1297"/>
      <c r="C159" s="1297"/>
      <c r="D159" s="1297" t="s">
        <v>1129</v>
      </c>
      <c r="H159" s="1399">
        <v>-3975627</v>
      </c>
      <c r="I159" s="1399">
        <v>-3975627</v>
      </c>
    </row>
    <row r="160" spans="2:9">
      <c r="B160" s="1297"/>
      <c r="C160" s="1297"/>
      <c r="D160" s="1297" t="s">
        <v>1047</v>
      </c>
      <c r="H160" s="1399">
        <v>909501</v>
      </c>
      <c r="I160" s="1399">
        <v>909501</v>
      </c>
    </row>
    <row r="161" spans="2:9">
      <c r="B161" s="1297"/>
      <c r="C161" s="1297"/>
      <c r="D161" s="1297" t="s">
        <v>1048</v>
      </c>
      <c r="H161" s="1399">
        <v>-5280449</v>
      </c>
      <c r="I161" s="1399">
        <v>-5280449</v>
      </c>
    </row>
    <row r="162" spans="2:9">
      <c r="B162" s="1297"/>
      <c r="C162" s="1297"/>
      <c r="D162" s="1297" t="s">
        <v>932</v>
      </c>
      <c r="H162" s="1399">
        <v>845574</v>
      </c>
      <c r="I162" s="1399">
        <v>845574</v>
      </c>
    </row>
    <row r="163" spans="2:9">
      <c r="B163" s="1297"/>
      <c r="C163" s="1297"/>
      <c r="D163" s="1297" t="s">
        <v>955</v>
      </c>
      <c r="H163" s="1399">
        <v>651235.55000000005</v>
      </c>
      <c r="I163" s="1399">
        <v>651235.55000000005</v>
      </c>
    </row>
    <row r="164" spans="2:9">
      <c r="B164" s="1297"/>
      <c r="C164" s="1297"/>
      <c r="D164" s="1297" t="s">
        <v>934</v>
      </c>
      <c r="H164" s="1399">
        <v>91298</v>
      </c>
      <c r="I164" s="1399">
        <v>91298</v>
      </c>
    </row>
    <row r="165" spans="2:9">
      <c r="B165" s="1297"/>
      <c r="C165" s="1297"/>
      <c r="D165" s="1297" t="s">
        <v>1130</v>
      </c>
      <c r="H165" s="1399">
        <v>2162142.9</v>
      </c>
      <c r="I165" s="1399">
        <v>2162142.9</v>
      </c>
    </row>
    <row r="166" spans="2:9">
      <c r="B166" s="1297"/>
      <c r="C166" s="1297"/>
      <c r="D166" s="1297" t="s">
        <v>935</v>
      </c>
      <c r="H166" s="1399">
        <v>499795.94</v>
      </c>
      <c r="I166" s="1399">
        <v>499795.94</v>
      </c>
    </row>
    <row r="167" spans="2:9">
      <c r="B167" s="1297"/>
      <c r="C167" s="1297"/>
      <c r="D167" s="1297" t="s">
        <v>936</v>
      </c>
      <c r="H167" s="1399">
        <v>85436.73</v>
      </c>
      <c r="I167" s="1399">
        <v>85436.73</v>
      </c>
    </row>
    <row r="168" spans="2:9">
      <c r="B168" s="1297"/>
      <c r="C168" s="1297"/>
      <c r="D168" s="1297" t="s">
        <v>937</v>
      </c>
      <c r="H168" s="1399">
        <v>14741.36</v>
      </c>
      <c r="I168" s="1399">
        <v>14741.36</v>
      </c>
    </row>
    <row r="169" spans="2:9">
      <c r="B169" s="1297"/>
      <c r="C169" s="1297"/>
      <c r="D169" s="1297" t="s">
        <v>938</v>
      </c>
      <c r="H169" s="1399">
        <v>27887</v>
      </c>
      <c r="I169" s="1399">
        <v>27887</v>
      </c>
    </row>
    <row r="170" spans="2:9">
      <c r="B170" s="1297"/>
      <c r="C170" s="1297"/>
      <c r="D170" s="1297" t="s">
        <v>939</v>
      </c>
      <c r="H170" s="1399">
        <v>208819.97</v>
      </c>
      <c r="I170" s="1399">
        <v>208819.97</v>
      </c>
    </row>
    <row r="171" spans="2:9">
      <c r="B171" s="1297"/>
      <c r="C171" s="1297"/>
      <c r="D171" s="1297" t="s">
        <v>1131</v>
      </c>
      <c r="E171" s="1399">
        <v>1544471.18</v>
      </c>
      <c r="I171" s="1399">
        <v>1544471.18</v>
      </c>
    </row>
    <row r="172" spans="2:9">
      <c r="B172" s="1297"/>
      <c r="C172" s="1297"/>
      <c r="D172" s="1297" t="s">
        <v>940</v>
      </c>
      <c r="E172" s="1399">
        <v>1829411.81</v>
      </c>
      <c r="I172" s="1399">
        <v>1829411.81</v>
      </c>
    </row>
    <row r="173" spans="2:9">
      <c r="B173" s="1297"/>
      <c r="C173" s="1297"/>
      <c r="D173" s="1297" t="s">
        <v>941</v>
      </c>
      <c r="E173" s="1399">
        <v>645802.64</v>
      </c>
      <c r="I173" s="1399">
        <v>645802.64</v>
      </c>
    </row>
    <row r="174" spans="2:9">
      <c r="B174" s="1297"/>
      <c r="C174" s="1297"/>
      <c r="D174" s="1297" t="s">
        <v>943</v>
      </c>
      <c r="E174" s="1399">
        <v>79429.38</v>
      </c>
      <c r="I174" s="1399">
        <v>79429.38</v>
      </c>
    </row>
    <row r="175" spans="2:9">
      <c r="B175" s="1297"/>
      <c r="C175" s="1297"/>
      <c r="D175" s="1297" t="s">
        <v>944</v>
      </c>
      <c r="E175" s="1399">
        <v>4769656.8099999996</v>
      </c>
      <c r="I175" s="1399">
        <v>4769656.8099999996</v>
      </c>
    </row>
    <row r="176" spans="2:9">
      <c r="B176" s="1297"/>
      <c r="C176" s="1297"/>
      <c r="D176" s="1297" t="s">
        <v>945</v>
      </c>
      <c r="E176" s="1399">
        <v>2565760.3600000003</v>
      </c>
      <c r="I176" s="1399">
        <v>2565760.3600000003</v>
      </c>
    </row>
    <row r="177" spans="2:9">
      <c r="B177" s="1297"/>
      <c r="C177" s="1297"/>
      <c r="D177" s="1297" t="s">
        <v>946</v>
      </c>
      <c r="E177" s="1399">
        <v>36667.71</v>
      </c>
      <c r="I177" s="1399">
        <v>36667.71</v>
      </c>
    </row>
    <row r="178" spans="2:9">
      <c r="B178" s="1297"/>
      <c r="C178" s="1297"/>
      <c r="D178" s="1297" t="s">
        <v>978</v>
      </c>
      <c r="E178" s="1399">
        <v>39886.57</v>
      </c>
      <c r="I178" s="1399">
        <v>39886.57</v>
      </c>
    </row>
    <row r="179" spans="2:9">
      <c r="B179" s="1297"/>
      <c r="C179" s="1297"/>
      <c r="D179" s="1297" t="s">
        <v>947</v>
      </c>
      <c r="E179" s="1399">
        <v>133753.35</v>
      </c>
      <c r="I179" s="1399">
        <v>133753.35</v>
      </c>
    </row>
    <row r="180" spans="2:9">
      <c r="B180" s="1297"/>
      <c r="C180" s="1297"/>
      <c r="D180" s="1297" t="s">
        <v>948</v>
      </c>
      <c r="G180" s="1399">
        <v>4925000</v>
      </c>
      <c r="I180" s="1399">
        <v>4925000</v>
      </c>
    </row>
    <row r="181" spans="2:9">
      <c r="B181" s="1297"/>
      <c r="C181" s="1297"/>
      <c r="D181" s="1297" t="s">
        <v>1118</v>
      </c>
      <c r="G181" s="1399">
        <v>7365</v>
      </c>
      <c r="I181" s="1399">
        <v>7365</v>
      </c>
    </row>
    <row r="182" spans="2:9">
      <c r="B182" s="1297"/>
      <c r="C182" s="1400" t="s">
        <v>979</v>
      </c>
      <c r="D182" s="1400"/>
      <c r="E182" s="1401">
        <v>11644839.810000001</v>
      </c>
      <c r="F182" s="1401">
        <v>24762376.270000003</v>
      </c>
      <c r="G182" s="1401">
        <v>4932365</v>
      </c>
      <c r="H182" s="1401">
        <v>27583055.449999999</v>
      </c>
      <c r="I182" s="1401">
        <v>68922636.530000001</v>
      </c>
    </row>
    <row r="183" spans="2:9">
      <c r="B183" s="1297" t="s">
        <v>980</v>
      </c>
      <c r="C183" s="1297" t="s">
        <v>981</v>
      </c>
      <c r="D183" s="1297" t="s">
        <v>906</v>
      </c>
      <c r="F183" s="1399">
        <v>7433526.8499999996</v>
      </c>
      <c r="I183" s="1399">
        <v>7433526.8499999996</v>
      </c>
    </row>
    <row r="184" spans="2:9">
      <c r="B184" s="1297"/>
      <c r="C184" s="1297"/>
      <c r="D184" s="1297" t="s">
        <v>952</v>
      </c>
      <c r="F184" s="1399">
        <v>77954.91</v>
      </c>
      <c r="I184" s="1399">
        <v>77954.91</v>
      </c>
    </row>
    <row r="185" spans="2:9">
      <c r="B185" s="1297"/>
      <c r="C185" s="1297"/>
      <c r="D185" s="1297" t="s">
        <v>907</v>
      </c>
      <c r="F185" s="1399">
        <v>2643762.33</v>
      </c>
      <c r="I185" s="1399">
        <v>2643762.33</v>
      </c>
    </row>
    <row r="186" spans="2:9">
      <c r="B186" s="1297"/>
      <c r="C186" s="1297"/>
      <c r="D186" s="1297" t="s">
        <v>1034</v>
      </c>
      <c r="F186" s="1399">
        <v>4527.59</v>
      </c>
      <c r="I186" s="1399">
        <v>4527.59</v>
      </c>
    </row>
    <row r="187" spans="2:9">
      <c r="B187" s="1297"/>
      <c r="C187" s="1297"/>
      <c r="D187" s="1297" t="s">
        <v>1035</v>
      </c>
      <c r="F187" s="1399">
        <v>445058.65</v>
      </c>
      <c r="I187" s="1399">
        <v>445058.65</v>
      </c>
    </row>
    <row r="188" spans="2:9">
      <c r="B188" s="1297"/>
      <c r="C188" s="1297"/>
      <c r="D188" s="1297" t="s">
        <v>1036</v>
      </c>
      <c r="F188" s="1399">
        <v>111567.26</v>
      </c>
      <c r="I188" s="1399">
        <v>111567.26</v>
      </c>
    </row>
    <row r="189" spans="2:9">
      <c r="B189" s="1297"/>
      <c r="C189" s="1297"/>
      <c r="D189" s="1297" t="s">
        <v>1039</v>
      </c>
      <c r="F189" s="1399">
        <v>43547.589999999989</v>
      </c>
      <c r="I189" s="1399">
        <v>43547.589999999989</v>
      </c>
    </row>
    <row r="190" spans="2:9">
      <c r="B190" s="1297"/>
      <c r="C190" s="1297"/>
      <c r="D190" s="1297" t="s">
        <v>1040</v>
      </c>
      <c r="F190" s="1399">
        <v>279289.12</v>
      </c>
      <c r="I190" s="1399">
        <v>279289.12</v>
      </c>
    </row>
    <row r="191" spans="2:9">
      <c r="B191" s="1297"/>
      <c r="C191" s="1297"/>
      <c r="D191" s="1297" t="s">
        <v>1041</v>
      </c>
      <c r="F191" s="1399">
        <v>19630.689999999999</v>
      </c>
      <c r="I191" s="1399">
        <v>19630.689999999999</v>
      </c>
    </row>
    <row r="192" spans="2:9">
      <c r="B192" s="1297"/>
      <c r="C192" s="1297"/>
      <c r="D192" s="1297" t="s">
        <v>1042</v>
      </c>
      <c r="F192" s="1399">
        <v>33373.25</v>
      </c>
      <c r="I192" s="1399">
        <v>33373.25</v>
      </c>
    </row>
    <row r="193" spans="2:9">
      <c r="B193" s="1297"/>
      <c r="C193" s="1297"/>
      <c r="D193" s="1297" t="s">
        <v>1043</v>
      </c>
      <c r="F193" s="1399">
        <v>1300</v>
      </c>
      <c r="I193" s="1399">
        <v>1300</v>
      </c>
    </row>
    <row r="194" spans="2:9">
      <c r="B194" s="1297"/>
      <c r="C194" s="1297"/>
      <c r="D194" s="1297" t="s">
        <v>1044</v>
      </c>
      <c r="F194" s="1399">
        <v>16237.93</v>
      </c>
      <c r="I194" s="1399">
        <v>16237.93</v>
      </c>
    </row>
    <row r="195" spans="2:9">
      <c r="B195" s="1297"/>
      <c r="C195" s="1297"/>
      <c r="D195" s="1297" t="s">
        <v>1045</v>
      </c>
      <c r="F195" s="1399">
        <v>331351.09999999998</v>
      </c>
      <c r="I195" s="1399">
        <v>331351.09999999998</v>
      </c>
    </row>
    <row r="196" spans="2:9">
      <c r="B196" s="1297"/>
      <c r="C196" s="1297"/>
      <c r="D196" s="1297" t="s">
        <v>1046</v>
      </c>
      <c r="H196" s="1399">
        <v>11680500</v>
      </c>
      <c r="I196" s="1399">
        <v>11680500</v>
      </c>
    </row>
    <row r="197" spans="2:9">
      <c r="B197" s="1297"/>
      <c r="C197" s="1297"/>
      <c r="D197" s="1297" t="s">
        <v>1047</v>
      </c>
      <c r="H197" s="1399">
        <v>474791</v>
      </c>
      <c r="I197" s="1399">
        <v>474791</v>
      </c>
    </row>
    <row r="198" spans="2:9">
      <c r="B198" s="1297"/>
      <c r="C198" s="1297"/>
      <c r="D198" s="1297" t="s">
        <v>1048</v>
      </c>
      <c r="H198" s="1399">
        <v>0</v>
      </c>
      <c r="I198" s="1399">
        <v>0</v>
      </c>
    </row>
    <row r="199" spans="2:9">
      <c r="B199" s="1297"/>
      <c r="C199" s="1297"/>
      <c r="D199" s="1297" t="s">
        <v>932</v>
      </c>
      <c r="H199" s="1399">
        <v>250145</v>
      </c>
      <c r="I199" s="1399">
        <v>250145</v>
      </c>
    </row>
    <row r="200" spans="2:9">
      <c r="B200" s="1297"/>
      <c r="C200" s="1297"/>
      <c r="D200" s="1297" t="s">
        <v>934</v>
      </c>
      <c r="H200" s="1399">
        <v>46246</v>
      </c>
      <c r="I200" s="1399">
        <v>46246</v>
      </c>
    </row>
    <row r="201" spans="2:9">
      <c r="B201" s="1297"/>
      <c r="C201" s="1297"/>
      <c r="D201" s="1297" t="s">
        <v>935</v>
      </c>
      <c r="H201" s="1399">
        <v>855542.6</v>
      </c>
      <c r="I201" s="1399">
        <v>855542.6</v>
      </c>
    </row>
    <row r="202" spans="2:9">
      <c r="B202" s="1297"/>
      <c r="C202" s="1297"/>
      <c r="D202" s="1297" t="s">
        <v>936</v>
      </c>
      <c r="H202" s="1399">
        <v>46920.17</v>
      </c>
      <c r="I202" s="1399">
        <v>46920.17</v>
      </c>
    </row>
    <row r="203" spans="2:9">
      <c r="B203" s="1297"/>
      <c r="C203" s="1297"/>
      <c r="D203" s="1297" t="s">
        <v>937</v>
      </c>
      <c r="H203" s="1399">
        <v>9981.09</v>
      </c>
      <c r="I203" s="1399">
        <v>9981.09</v>
      </c>
    </row>
    <row r="204" spans="2:9">
      <c r="B204" s="1297"/>
      <c r="C204" s="1297"/>
      <c r="D204" s="1297" t="s">
        <v>938</v>
      </c>
      <c r="H204" s="1399">
        <v>16844</v>
      </c>
      <c r="I204" s="1399">
        <v>16844</v>
      </c>
    </row>
    <row r="205" spans="2:9">
      <c r="B205" s="1297"/>
      <c r="C205" s="1297"/>
      <c r="D205" s="1297" t="s">
        <v>939</v>
      </c>
      <c r="H205" s="1399">
        <v>487.1</v>
      </c>
      <c r="I205" s="1399">
        <v>487.1</v>
      </c>
    </row>
    <row r="206" spans="2:9">
      <c r="B206" s="1297"/>
      <c r="C206" s="1297"/>
      <c r="D206" s="1297" t="s">
        <v>940</v>
      </c>
      <c r="E206" s="1399">
        <v>741422.42</v>
      </c>
      <c r="I206" s="1399">
        <v>741422.42</v>
      </c>
    </row>
    <row r="207" spans="2:9">
      <c r="B207" s="1297"/>
      <c r="C207" s="1297"/>
      <c r="D207" s="1297" t="s">
        <v>941</v>
      </c>
      <c r="E207" s="1399">
        <v>260682.48</v>
      </c>
      <c r="I207" s="1399">
        <v>260682.48</v>
      </c>
    </row>
    <row r="208" spans="2:9">
      <c r="B208" s="1297"/>
      <c r="C208" s="1297"/>
      <c r="D208" s="1297" t="s">
        <v>943</v>
      </c>
      <c r="E208" s="1399">
        <v>13271.9</v>
      </c>
      <c r="I208" s="1399">
        <v>13271.9</v>
      </c>
    </row>
    <row r="209" spans="2:9">
      <c r="B209" s="1297"/>
      <c r="C209" s="1297"/>
      <c r="D209" s="1297" t="s">
        <v>944</v>
      </c>
      <c r="E209" s="1399">
        <v>2592156.7200000002</v>
      </c>
      <c r="I209" s="1399">
        <v>2592156.7200000002</v>
      </c>
    </row>
    <row r="210" spans="2:9">
      <c r="B210" s="1297"/>
      <c r="C210" s="1297"/>
      <c r="D210" s="1297" t="s">
        <v>945</v>
      </c>
      <c r="E210" s="1399">
        <v>762943.17</v>
      </c>
      <c r="I210" s="1399">
        <v>762943.17</v>
      </c>
    </row>
    <row r="211" spans="2:9">
      <c r="B211" s="1297"/>
      <c r="C211" s="1297"/>
      <c r="D211" s="1297" t="s">
        <v>947</v>
      </c>
      <c r="E211" s="1399">
        <v>27816.62</v>
      </c>
      <c r="I211" s="1399">
        <v>27816.62</v>
      </c>
    </row>
    <row r="212" spans="2:9">
      <c r="B212" s="1297"/>
      <c r="C212" s="1297"/>
      <c r="D212" s="1297" t="s">
        <v>1116</v>
      </c>
      <c r="G212" s="1399">
        <v>9726039.0999999996</v>
      </c>
      <c r="I212" s="1399">
        <v>9726039.0999999996</v>
      </c>
    </row>
    <row r="213" spans="2:9">
      <c r="B213" s="1297"/>
      <c r="C213" s="1297"/>
      <c r="D213" s="1297" t="s">
        <v>948</v>
      </c>
      <c r="G213" s="1399">
        <v>373720.05000000005</v>
      </c>
      <c r="I213" s="1399">
        <v>373720.05000000005</v>
      </c>
    </row>
    <row r="214" spans="2:9">
      <c r="B214" s="1297"/>
      <c r="C214" s="1400" t="s">
        <v>982</v>
      </c>
      <c r="D214" s="1400"/>
      <c r="E214" s="1401">
        <v>4398293.3100000005</v>
      </c>
      <c r="F214" s="1401">
        <v>11441127.269999998</v>
      </c>
      <c r="G214" s="1401">
        <v>10099759.15</v>
      </c>
      <c r="H214" s="1401">
        <v>13381456.959999999</v>
      </c>
      <c r="I214" s="1401">
        <v>39320636.689999998</v>
      </c>
    </row>
    <row r="215" spans="2:9">
      <c r="B215" s="1297" t="s">
        <v>983</v>
      </c>
      <c r="C215" s="1297" t="s">
        <v>984</v>
      </c>
      <c r="D215" s="1297" t="s">
        <v>906</v>
      </c>
      <c r="F215" s="1399">
        <v>29916609.43</v>
      </c>
      <c r="I215" s="1399">
        <v>29916609.43</v>
      </c>
    </row>
    <row r="216" spans="2:9">
      <c r="B216" s="1297"/>
      <c r="C216" s="1297"/>
      <c r="D216" s="1297" t="s">
        <v>952</v>
      </c>
      <c r="F216" s="1399">
        <v>415462.69</v>
      </c>
      <c r="I216" s="1399">
        <v>415462.69</v>
      </c>
    </row>
    <row r="217" spans="2:9">
      <c r="B217" s="1297"/>
      <c r="C217" s="1297"/>
      <c r="D217" s="1297" t="s">
        <v>907</v>
      </c>
      <c r="F217" s="1399">
        <v>7899654.5199999996</v>
      </c>
      <c r="I217" s="1399">
        <v>7899654.5199999996</v>
      </c>
    </row>
    <row r="218" spans="2:9">
      <c r="B218" s="1297"/>
      <c r="C218" s="1297"/>
      <c r="D218" s="1297" t="s">
        <v>908</v>
      </c>
      <c r="F218" s="1399">
        <v>13608.09</v>
      </c>
      <c r="I218" s="1399">
        <v>13608.09</v>
      </c>
    </row>
    <row r="219" spans="2:9">
      <c r="B219" s="1297"/>
      <c r="C219" s="1297"/>
      <c r="D219" s="1297" t="s">
        <v>909</v>
      </c>
      <c r="F219" s="1399">
        <v>99233.41</v>
      </c>
      <c r="I219" s="1399">
        <v>99233.41</v>
      </c>
    </row>
    <row r="220" spans="2:9">
      <c r="B220" s="1297"/>
      <c r="C220" s="1297"/>
      <c r="D220" s="1297" t="s">
        <v>910</v>
      </c>
      <c r="F220" s="1399">
        <v>69130.33</v>
      </c>
      <c r="I220" s="1399">
        <v>69130.33</v>
      </c>
    </row>
    <row r="221" spans="2:9">
      <c r="B221" s="1297"/>
      <c r="C221" s="1297"/>
      <c r="D221" s="1297" t="s">
        <v>1034</v>
      </c>
      <c r="F221" s="1399">
        <v>134816.37</v>
      </c>
      <c r="I221" s="1399">
        <v>134816.37</v>
      </c>
    </row>
    <row r="222" spans="2:9">
      <c r="B222" s="1297"/>
      <c r="C222" s="1297"/>
      <c r="D222" s="1297" t="s">
        <v>1035</v>
      </c>
      <c r="F222" s="1399">
        <v>554310.91</v>
      </c>
      <c r="I222" s="1399">
        <v>554310.91</v>
      </c>
    </row>
    <row r="223" spans="2:9">
      <c r="B223" s="1297"/>
      <c r="C223" s="1297"/>
      <c r="D223" s="1297" t="s">
        <v>1036</v>
      </c>
      <c r="F223" s="1399">
        <v>311649.3</v>
      </c>
      <c r="I223" s="1399">
        <v>311649.3</v>
      </c>
    </row>
    <row r="224" spans="2:9">
      <c r="B224" s="1297"/>
      <c r="C224" s="1297"/>
      <c r="D224" s="1297" t="s">
        <v>1039</v>
      </c>
      <c r="F224" s="1399">
        <v>55019.159999999996</v>
      </c>
      <c r="I224" s="1399">
        <v>55019.159999999996</v>
      </c>
    </row>
    <row r="225" spans="2:9">
      <c r="B225" s="1297"/>
      <c r="C225" s="1297"/>
      <c r="D225" s="1297" t="s">
        <v>1040</v>
      </c>
      <c r="F225" s="1399">
        <v>1247511.76</v>
      </c>
      <c r="I225" s="1399">
        <v>1247511.76</v>
      </c>
    </row>
    <row r="226" spans="2:9">
      <c r="B226" s="1297"/>
      <c r="C226" s="1297"/>
      <c r="D226" s="1297" t="s">
        <v>1041</v>
      </c>
      <c r="F226" s="1399">
        <v>49441.47</v>
      </c>
      <c r="I226" s="1399">
        <v>49441.47</v>
      </c>
    </row>
    <row r="227" spans="2:9">
      <c r="B227" s="1297"/>
      <c r="C227" s="1297"/>
      <c r="D227" s="1297" t="s">
        <v>1042</v>
      </c>
      <c r="F227" s="1399">
        <v>165783.13</v>
      </c>
      <c r="I227" s="1399">
        <v>165783.13</v>
      </c>
    </row>
    <row r="228" spans="2:9">
      <c r="B228" s="1297"/>
      <c r="C228" s="1297"/>
      <c r="D228" s="1297" t="s">
        <v>985</v>
      </c>
      <c r="F228" s="1399">
        <v>404957.11</v>
      </c>
      <c r="I228" s="1399">
        <v>404957.11</v>
      </c>
    </row>
    <row r="229" spans="2:9">
      <c r="B229" s="1297"/>
      <c r="C229" s="1297"/>
      <c r="D229" s="1297" t="s">
        <v>1043</v>
      </c>
      <c r="F229" s="1399">
        <v>20647.21</v>
      </c>
      <c r="I229" s="1399">
        <v>20647.21</v>
      </c>
    </row>
    <row r="230" spans="2:9">
      <c r="B230" s="1297"/>
      <c r="C230" s="1297"/>
      <c r="D230" s="1297" t="s">
        <v>986</v>
      </c>
      <c r="F230" s="1399">
        <v>300634.55</v>
      </c>
      <c r="I230" s="1399">
        <v>300634.55</v>
      </c>
    </row>
    <row r="231" spans="2:9">
      <c r="B231" s="1297"/>
      <c r="C231" s="1297"/>
      <c r="D231" s="1297" t="s">
        <v>1044</v>
      </c>
      <c r="F231" s="1399">
        <v>87611.36</v>
      </c>
      <c r="I231" s="1399">
        <v>87611.36</v>
      </c>
    </row>
    <row r="232" spans="2:9">
      <c r="B232" s="1297"/>
      <c r="C232" s="1297"/>
      <c r="D232" s="1297" t="s">
        <v>1045</v>
      </c>
      <c r="F232" s="1399">
        <v>1483362.32</v>
      </c>
      <c r="I232" s="1399">
        <v>1483362.32</v>
      </c>
    </row>
    <row r="233" spans="2:9">
      <c r="B233" s="1297"/>
      <c r="C233" s="1297"/>
      <c r="D233" s="1297" t="s">
        <v>1046</v>
      </c>
      <c r="H233" s="1399">
        <v>63277663</v>
      </c>
      <c r="I233" s="1399">
        <v>63277663</v>
      </c>
    </row>
    <row r="234" spans="2:9">
      <c r="B234" s="1297"/>
      <c r="C234" s="1297"/>
      <c r="D234" s="1297" t="s">
        <v>1128</v>
      </c>
      <c r="H234" s="1399">
        <v>5374697</v>
      </c>
      <c r="I234" s="1399">
        <v>5374697</v>
      </c>
    </row>
    <row r="235" spans="2:9">
      <c r="B235" s="1297"/>
      <c r="C235" s="1297"/>
      <c r="D235" s="1297" t="s">
        <v>1129</v>
      </c>
      <c r="H235" s="1399">
        <v>-8603741</v>
      </c>
      <c r="I235" s="1399">
        <v>-8603741</v>
      </c>
    </row>
    <row r="236" spans="2:9">
      <c r="B236" s="1297"/>
      <c r="C236" s="1297"/>
      <c r="D236" s="1297" t="s">
        <v>1047</v>
      </c>
      <c r="H236" s="1399">
        <v>1307653</v>
      </c>
      <c r="I236" s="1399">
        <v>1307653</v>
      </c>
    </row>
    <row r="237" spans="2:9">
      <c r="B237" s="1297"/>
      <c r="C237" s="1297"/>
      <c r="D237" s="1297" t="s">
        <v>1048</v>
      </c>
      <c r="H237" s="1399">
        <v>-9756649</v>
      </c>
      <c r="I237" s="1399">
        <v>-9756649</v>
      </c>
    </row>
    <row r="238" spans="2:9">
      <c r="B238" s="1297"/>
      <c r="C238" s="1297"/>
      <c r="D238" s="1297" t="s">
        <v>932</v>
      </c>
      <c r="H238" s="1399">
        <v>5192105</v>
      </c>
      <c r="I238" s="1399">
        <v>5192105</v>
      </c>
    </row>
    <row r="239" spans="2:9">
      <c r="B239" s="1297"/>
      <c r="C239" s="1297"/>
      <c r="D239" s="1297" t="s">
        <v>955</v>
      </c>
      <c r="H239" s="1399">
        <v>1548190.24</v>
      </c>
      <c r="I239" s="1399">
        <v>1548190.24</v>
      </c>
    </row>
    <row r="240" spans="2:9">
      <c r="B240" s="1297"/>
      <c r="C240" s="1297"/>
      <c r="D240" s="1297" t="s">
        <v>934</v>
      </c>
      <c r="H240" s="1399">
        <v>189856</v>
      </c>
      <c r="I240" s="1399">
        <v>189856</v>
      </c>
    </row>
    <row r="241" spans="2:9">
      <c r="B241" s="1297"/>
      <c r="C241" s="1297"/>
      <c r="D241" s="1297" t="s">
        <v>935</v>
      </c>
      <c r="H241" s="1399">
        <v>965536.81</v>
      </c>
      <c r="I241" s="1399">
        <v>965536.81</v>
      </c>
    </row>
    <row r="242" spans="2:9">
      <c r="B242" s="1297"/>
      <c r="C242" s="1297"/>
      <c r="D242" s="1297" t="s">
        <v>936</v>
      </c>
      <c r="H242" s="1399">
        <v>206588.82</v>
      </c>
      <c r="I242" s="1399">
        <v>206588.82</v>
      </c>
    </row>
    <row r="243" spans="2:9">
      <c r="B243" s="1297"/>
      <c r="C243" s="1297"/>
      <c r="D243" s="1297" t="s">
        <v>937</v>
      </c>
      <c r="H243" s="1399">
        <v>18542.919999999998</v>
      </c>
      <c r="I243" s="1399">
        <v>18542.919999999998</v>
      </c>
    </row>
    <row r="244" spans="2:9">
      <c r="B244" s="1297"/>
      <c r="C244" s="1297"/>
      <c r="D244" s="1297" t="s">
        <v>938</v>
      </c>
      <c r="H244" s="1399">
        <v>60827</v>
      </c>
      <c r="I244" s="1399">
        <v>60827</v>
      </c>
    </row>
    <row r="245" spans="2:9">
      <c r="B245" s="1297"/>
      <c r="C245" s="1297"/>
      <c r="D245" s="1297" t="s">
        <v>939</v>
      </c>
      <c r="H245" s="1399">
        <v>623699.36</v>
      </c>
      <c r="I245" s="1399">
        <v>623699.36</v>
      </c>
    </row>
    <row r="246" spans="2:9">
      <c r="B246" s="1297"/>
      <c r="C246" s="1297"/>
      <c r="D246" s="1297" t="s">
        <v>1131</v>
      </c>
      <c r="E246" s="1399">
        <v>117699.8</v>
      </c>
      <c r="I246" s="1399">
        <v>117699.8</v>
      </c>
    </row>
    <row r="247" spans="2:9">
      <c r="B247" s="1297"/>
      <c r="C247" s="1297"/>
      <c r="D247" s="1297" t="s">
        <v>940</v>
      </c>
      <c r="E247" s="1399">
        <v>3046000.92</v>
      </c>
      <c r="I247" s="1399">
        <v>3046000.92</v>
      </c>
    </row>
    <row r="248" spans="2:9">
      <c r="B248" s="1297"/>
      <c r="C248" s="1297"/>
      <c r="D248" s="1297" t="s">
        <v>941</v>
      </c>
      <c r="E248" s="1399">
        <v>1261356.72</v>
      </c>
      <c r="I248" s="1399">
        <v>1261356.72</v>
      </c>
    </row>
    <row r="249" spans="2:9">
      <c r="B249" s="1297"/>
      <c r="C249" s="1297"/>
      <c r="D249" s="1297" t="s">
        <v>944</v>
      </c>
      <c r="E249" s="1399">
        <v>5481866.6699999999</v>
      </c>
      <c r="I249" s="1399">
        <v>5481866.6699999999</v>
      </c>
    </row>
    <row r="250" spans="2:9">
      <c r="B250" s="1297"/>
      <c r="C250" s="1297"/>
      <c r="D250" s="1297" t="s">
        <v>945</v>
      </c>
      <c r="E250" s="1399">
        <v>4611731.6900000004</v>
      </c>
      <c r="I250" s="1399">
        <v>4611731.6900000004</v>
      </c>
    </row>
    <row r="251" spans="2:9">
      <c r="B251" s="1297"/>
      <c r="C251" s="1297"/>
      <c r="D251" s="1297" t="s">
        <v>947</v>
      </c>
      <c r="E251" s="1399">
        <v>333558.28999999998</v>
      </c>
      <c r="I251" s="1399">
        <v>333558.28999999998</v>
      </c>
    </row>
    <row r="252" spans="2:9">
      <c r="B252" s="1297"/>
      <c r="C252" s="1297"/>
      <c r="D252" s="1297" t="s">
        <v>1116</v>
      </c>
      <c r="G252" s="1399">
        <v>5271073.67</v>
      </c>
      <c r="I252" s="1399">
        <v>5271073.67</v>
      </c>
    </row>
    <row r="253" spans="2:9">
      <c r="B253" s="1297"/>
      <c r="C253" s="1297"/>
      <c r="D253" s="1297" t="s">
        <v>948</v>
      </c>
      <c r="G253" s="1399">
        <v>5491885.6399999997</v>
      </c>
      <c r="I253" s="1399">
        <v>5491885.6399999997</v>
      </c>
    </row>
    <row r="254" spans="2:9">
      <c r="B254" s="1297"/>
      <c r="C254" s="1400" t="s">
        <v>987</v>
      </c>
      <c r="D254" s="1400"/>
      <c r="E254" s="1401">
        <v>14852214.09</v>
      </c>
      <c r="F254" s="1401">
        <v>43229443.119999982</v>
      </c>
      <c r="G254" s="1401">
        <v>10762959.309999999</v>
      </c>
      <c r="H254" s="1401">
        <v>60404969.150000006</v>
      </c>
      <c r="I254" s="1401">
        <v>129249585.66999997</v>
      </c>
    </row>
    <row r="255" spans="2:9">
      <c r="B255" s="1297" t="s">
        <v>988</v>
      </c>
      <c r="C255" s="1297" t="s">
        <v>989</v>
      </c>
      <c r="D255" s="1297" t="s">
        <v>906</v>
      </c>
      <c r="F255" s="1399">
        <v>36976851.880000003</v>
      </c>
      <c r="I255" s="1399">
        <v>36976851.880000003</v>
      </c>
    </row>
    <row r="256" spans="2:9">
      <c r="B256" s="1297"/>
      <c r="C256" s="1297"/>
      <c r="D256" s="1297" t="s">
        <v>952</v>
      </c>
      <c r="F256" s="1399">
        <v>63696.23</v>
      </c>
      <c r="I256" s="1399">
        <v>63696.23</v>
      </c>
    </row>
    <row r="257" spans="2:9">
      <c r="B257" s="1297"/>
      <c r="C257" s="1297"/>
      <c r="D257" s="1297" t="s">
        <v>907</v>
      </c>
      <c r="F257" s="1399">
        <v>17994574.32</v>
      </c>
      <c r="I257" s="1399">
        <v>17994574.32</v>
      </c>
    </row>
    <row r="258" spans="2:9">
      <c r="B258" s="1297"/>
      <c r="C258" s="1297"/>
      <c r="D258" s="1297" t="s">
        <v>908</v>
      </c>
      <c r="F258" s="1399">
        <v>42342.53</v>
      </c>
      <c r="I258" s="1399">
        <v>42342.53</v>
      </c>
    </row>
    <row r="259" spans="2:9">
      <c r="B259" s="1297"/>
      <c r="C259" s="1297"/>
      <c r="D259" s="1297" t="s">
        <v>909</v>
      </c>
      <c r="F259" s="1399">
        <v>208461.54</v>
      </c>
      <c r="I259" s="1399">
        <v>208461.54</v>
      </c>
    </row>
    <row r="260" spans="2:9">
      <c r="B260" s="1297"/>
      <c r="C260" s="1297"/>
      <c r="D260" s="1297" t="s">
        <v>910</v>
      </c>
      <c r="F260" s="1399">
        <v>200365.41999999995</v>
      </c>
      <c r="I260" s="1399">
        <v>200365.41999999995</v>
      </c>
    </row>
    <row r="261" spans="2:9">
      <c r="B261" s="1297"/>
      <c r="C261" s="1297"/>
      <c r="D261" s="1297" t="s">
        <v>1034</v>
      </c>
      <c r="F261" s="1399">
        <v>395153.77999999985</v>
      </c>
      <c r="I261" s="1399">
        <v>395153.77999999985</v>
      </c>
    </row>
    <row r="262" spans="2:9">
      <c r="B262" s="1297"/>
      <c r="C262" s="1297"/>
      <c r="D262" s="1297" t="s">
        <v>1035</v>
      </c>
      <c r="F262" s="1399">
        <v>926786.66999999993</v>
      </c>
      <c r="I262" s="1399">
        <v>926786.66999999993</v>
      </c>
    </row>
    <row r="263" spans="2:9">
      <c r="B263" s="1297"/>
      <c r="C263" s="1297"/>
      <c r="D263" s="1297" t="s">
        <v>1036</v>
      </c>
      <c r="F263" s="1399">
        <v>338262.96</v>
      </c>
      <c r="I263" s="1399">
        <v>338262.96</v>
      </c>
    </row>
    <row r="264" spans="2:9">
      <c r="B264" s="1297"/>
      <c r="C264" s="1297"/>
      <c r="D264" s="1297" t="s">
        <v>1037</v>
      </c>
      <c r="F264" s="1399">
        <v>586932</v>
      </c>
      <c r="I264" s="1399">
        <v>586932</v>
      </c>
    </row>
    <row r="265" spans="2:9">
      <c r="B265" s="1297"/>
      <c r="C265" s="1297"/>
      <c r="D265" s="1297" t="s">
        <v>1038</v>
      </c>
      <c r="F265" s="1399">
        <v>19602</v>
      </c>
      <c r="I265" s="1399">
        <v>19602</v>
      </c>
    </row>
    <row r="266" spans="2:9">
      <c r="B266" s="1297"/>
      <c r="C266" s="1297"/>
      <c r="D266" s="1297" t="s">
        <v>1039</v>
      </c>
      <c r="F266" s="1399">
        <v>382768.70999999996</v>
      </c>
      <c r="I266" s="1399">
        <v>382768.70999999996</v>
      </c>
    </row>
    <row r="267" spans="2:9">
      <c r="B267" s="1297"/>
      <c r="C267" s="1297"/>
      <c r="D267" s="1297" t="s">
        <v>1040</v>
      </c>
      <c r="F267" s="1399">
        <v>1644004.92</v>
      </c>
      <c r="I267" s="1399">
        <v>1644004.92</v>
      </c>
    </row>
    <row r="268" spans="2:9">
      <c r="B268" s="1297"/>
      <c r="C268" s="1297"/>
      <c r="D268" s="1297" t="s">
        <v>1041</v>
      </c>
      <c r="F268" s="1399">
        <v>332742.26</v>
      </c>
      <c r="I268" s="1399">
        <v>332742.26</v>
      </c>
    </row>
    <row r="269" spans="2:9">
      <c r="B269" s="1297"/>
      <c r="C269" s="1297"/>
      <c r="D269" s="1297" t="s">
        <v>1042</v>
      </c>
      <c r="F269" s="1399">
        <v>192948.58</v>
      </c>
      <c r="I269" s="1399">
        <v>192948.58</v>
      </c>
    </row>
    <row r="270" spans="2:9">
      <c r="B270" s="1297"/>
      <c r="C270" s="1297"/>
      <c r="D270" s="1297" t="s">
        <v>986</v>
      </c>
      <c r="F270" s="1399">
        <v>53353.38</v>
      </c>
      <c r="I270" s="1399">
        <v>53353.38</v>
      </c>
    </row>
    <row r="271" spans="2:9">
      <c r="B271" s="1297"/>
      <c r="C271" s="1297"/>
      <c r="D271" s="1297" t="s">
        <v>990</v>
      </c>
      <c r="F271" s="1399">
        <v>7466.24</v>
      </c>
      <c r="I271" s="1399">
        <v>7466.24</v>
      </c>
    </row>
    <row r="272" spans="2:9">
      <c r="B272" s="1297"/>
      <c r="C272" s="1297"/>
      <c r="D272" s="1297" t="s">
        <v>991</v>
      </c>
      <c r="F272" s="1399">
        <v>178534.09</v>
      </c>
      <c r="I272" s="1399">
        <v>178534.09</v>
      </c>
    </row>
    <row r="273" spans="2:9">
      <c r="B273" s="1297"/>
      <c r="C273" s="1297"/>
      <c r="D273" s="1297" t="s">
        <v>1044</v>
      </c>
      <c r="F273" s="1399">
        <v>349299.74</v>
      </c>
      <c r="I273" s="1399">
        <v>349299.74</v>
      </c>
    </row>
    <row r="274" spans="2:9">
      <c r="B274" s="1297"/>
      <c r="C274" s="1297"/>
      <c r="D274" s="1297" t="s">
        <v>1045</v>
      </c>
      <c r="F274" s="1399">
        <v>1891920.3499999996</v>
      </c>
      <c r="I274" s="1399">
        <v>1891920.3499999996</v>
      </c>
    </row>
    <row r="275" spans="2:9">
      <c r="B275" s="1297"/>
      <c r="C275" s="1297"/>
      <c r="D275" s="1297" t="s">
        <v>1046</v>
      </c>
      <c r="H275" s="1399">
        <v>74514992</v>
      </c>
      <c r="I275" s="1399">
        <v>74514992</v>
      </c>
    </row>
    <row r="276" spans="2:9">
      <c r="B276" s="1297"/>
      <c r="C276" s="1297"/>
      <c r="D276" s="1297" t="s">
        <v>1128</v>
      </c>
      <c r="H276" s="1399">
        <v>6339756</v>
      </c>
      <c r="I276" s="1399">
        <v>6339756</v>
      </c>
    </row>
    <row r="277" spans="2:9">
      <c r="B277" s="1297"/>
      <c r="C277" s="1297"/>
      <c r="D277" s="1297" t="s">
        <v>1129</v>
      </c>
      <c r="H277" s="1399">
        <v>-10260186</v>
      </c>
      <c r="I277" s="1399">
        <v>-10260186</v>
      </c>
    </row>
    <row r="278" spans="2:9">
      <c r="B278" s="1297"/>
      <c r="C278" s="1297"/>
      <c r="D278" s="1297" t="s">
        <v>1047</v>
      </c>
      <c r="H278" s="1399">
        <v>1738005</v>
      </c>
      <c r="I278" s="1399">
        <v>1738005</v>
      </c>
    </row>
    <row r="279" spans="2:9">
      <c r="B279" s="1297"/>
      <c r="C279" s="1297"/>
      <c r="D279" s="1297" t="s">
        <v>1048</v>
      </c>
      <c r="H279" s="1399">
        <v>-10440444</v>
      </c>
      <c r="I279" s="1399">
        <v>-10440444</v>
      </c>
    </row>
    <row r="280" spans="2:9">
      <c r="B280" s="1297"/>
      <c r="C280" s="1297"/>
      <c r="D280" s="1297" t="s">
        <v>932</v>
      </c>
      <c r="H280" s="1399">
        <v>7964256</v>
      </c>
      <c r="I280" s="1399">
        <v>7964256</v>
      </c>
    </row>
    <row r="281" spans="2:9">
      <c r="B281" s="1297"/>
      <c r="C281" s="1297"/>
      <c r="D281" s="1297" t="s">
        <v>955</v>
      </c>
      <c r="H281" s="1399">
        <v>1550304.94</v>
      </c>
      <c r="I281" s="1399">
        <v>1550304.94</v>
      </c>
    </row>
    <row r="282" spans="2:9">
      <c r="B282" s="1297"/>
      <c r="C282" s="1297"/>
      <c r="D282" s="1297" t="s">
        <v>934</v>
      </c>
      <c r="H282" s="1399">
        <v>209318</v>
      </c>
      <c r="I282" s="1399">
        <v>209318</v>
      </c>
    </row>
    <row r="283" spans="2:9">
      <c r="B283" s="1297"/>
      <c r="C283" s="1297"/>
      <c r="D283" s="1297" t="s">
        <v>1130</v>
      </c>
      <c r="H283" s="1399">
        <v>1243340</v>
      </c>
      <c r="I283" s="1399">
        <v>1243340</v>
      </c>
    </row>
    <row r="284" spans="2:9">
      <c r="B284" s="1297"/>
      <c r="C284" s="1297"/>
      <c r="D284" s="1297" t="s">
        <v>935</v>
      </c>
      <c r="H284" s="1399">
        <v>1462748.0399999998</v>
      </c>
      <c r="I284" s="1399">
        <v>1462748.0399999998</v>
      </c>
    </row>
    <row r="285" spans="2:9">
      <c r="B285" s="1297"/>
      <c r="C285" s="1297"/>
      <c r="D285" s="1297" t="s">
        <v>936</v>
      </c>
      <c r="H285" s="1399">
        <v>202036.86</v>
      </c>
      <c r="I285" s="1399">
        <v>202036.86</v>
      </c>
    </row>
    <row r="286" spans="2:9">
      <c r="B286" s="1297"/>
      <c r="C286" s="1297"/>
      <c r="D286" s="1297" t="s">
        <v>937</v>
      </c>
      <c r="H286" s="1399">
        <v>41730.480000000003</v>
      </c>
      <c r="I286" s="1399">
        <v>41730.480000000003</v>
      </c>
    </row>
    <row r="287" spans="2:9">
      <c r="B287" s="1297"/>
      <c r="C287" s="1297"/>
      <c r="D287" s="1297" t="s">
        <v>938</v>
      </c>
      <c r="H287" s="1399">
        <v>74302</v>
      </c>
      <c r="I287" s="1399">
        <v>74302</v>
      </c>
    </row>
    <row r="288" spans="2:9">
      <c r="B288" s="1297"/>
      <c r="C288" s="1297"/>
      <c r="D288" s="1297" t="s">
        <v>939</v>
      </c>
      <c r="H288" s="1399">
        <v>3220</v>
      </c>
      <c r="I288" s="1399">
        <v>3220</v>
      </c>
    </row>
    <row r="289" spans="2:9">
      <c r="B289" s="1297"/>
      <c r="C289" s="1297"/>
      <c r="D289" s="1297" t="s">
        <v>940</v>
      </c>
      <c r="E289" s="1399">
        <v>3377596.6</v>
      </c>
      <c r="I289" s="1399">
        <v>3377596.6</v>
      </c>
    </row>
    <row r="290" spans="2:9">
      <c r="B290" s="1297"/>
      <c r="C290" s="1297"/>
      <c r="D290" s="1297" t="s">
        <v>941</v>
      </c>
      <c r="E290" s="1399">
        <v>965993.68</v>
      </c>
      <c r="I290" s="1399">
        <v>965993.68</v>
      </c>
    </row>
    <row r="291" spans="2:9">
      <c r="B291" s="1297"/>
      <c r="C291" s="1297"/>
      <c r="D291" s="1297" t="s">
        <v>943</v>
      </c>
      <c r="E291" s="1399">
        <v>45686.44</v>
      </c>
      <c r="I291" s="1399">
        <v>45686.44</v>
      </c>
    </row>
    <row r="292" spans="2:9">
      <c r="B292" s="1297"/>
      <c r="C292" s="1297"/>
      <c r="D292" s="1297" t="s">
        <v>944</v>
      </c>
      <c r="E292" s="1399">
        <v>4552206.01</v>
      </c>
      <c r="I292" s="1399">
        <v>4552206.01</v>
      </c>
    </row>
    <row r="293" spans="2:9">
      <c r="B293" s="1297"/>
      <c r="C293" s="1297"/>
      <c r="D293" s="1297" t="s">
        <v>945</v>
      </c>
      <c r="E293" s="1399">
        <v>6103574.7299999995</v>
      </c>
      <c r="I293" s="1399">
        <v>6103574.7299999995</v>
      </c>
    </row>
    <row r="294" spans="2:9">
      <c r="B294" s="1297"/>
      <c r="C294" s="1297"/>
      <c r="D294" s="1297" t="s">
        <v>946</v>
      </c>
      <c r="E294" s="1399">
        <v>13333.34</v>
      </c>
      <c r="I294" s="1399">
        <v>13333.34</v>
      </c>
    </row>
    <row r="295" spans="2:9">
      <c r="B295" s="1297"/>
      <c r="C295" s="1297"/>
      <c r="D295" s="1297" t="s">
        <v>947</v>
      </c>
      <c r="E295" s="1399">
        <v>235604.96</v>
      </c>
      <c r="I295" s="1399">
        <v>235604.96</v>
      </c>
    </row>
    <row r="296" spans="2:9">
      <c r="B296" s="1297"/>
      <c r="C296" s="1297"/>
      <c r="D296" s="1297" t="s">
        <v>1115</v>
      </c>
      <c r="E296" s="1399">
        <v>125091.68000000001</v>
      </c>
      <c r="I296" s="1399">
        <v>125091.68000000001</v>
      </c>
    </row>
    <row r="297" spans="2:9">
      <c r="B297" s="1297"/>
      <c r="C297" s="1297"/>
      <c r="D297" s="1297" t="s">
        <v>1116</v>
      </c>
      <c r="G297" s="1399">
        <v>69960000</v>
      </c>
      <c r="I297" s="1399">
        <v>69960000</v>
      </c>
    </row>
    <row r="298" spans="2:9">
      <c r="B298" s="1297"/>
      <c r="C298" s="1297"/>
      <c r="D298" s="1297" t="s">
        <v>1117</v>
      </c>
      <c r="G298" s="1399">
        <v>5221889.7</v>
      </c>
      <c r="I298" s="1399">
        <v>5221889.7</v>
      </c>
    </row>
    <row r="299" spans="2:9">
      <c r="B299" s="1297"/>
      <c r="C299" s="1297"/>
      <c r="D299" s="1297" t="s">
        <v>948</v>
      </c>
      <c r="G299" s="1399">
        <v>93090840.229999989</v>
      </c>
      <c r="I299" s="1399">
        <v>93090840.229999989</v>
      </c>
    </row>
    <row r="300" spans="2:9">
      <c r="B300" s="1297"/>
      <c r="C300" s="1297"/>
      <c r="D300" s="1297" t="s">
        <v>956</v>
      </c>
      <c r="G300" s="1399">
        <v>16105.31</v>
      </c>
      <c r="I300" s="1399">
        <v>16105.31</v>
      </c>
    </row>
    <row r="301" spans="2:9">
      <c r="B301" s="1297"/>
      <c r="C301" s="1400" t="s">
        <v>992</v>
      </c>
      <c r="D301" s="1400"/>
      <c r="E301" s="1401">
        <v>15419087.440000001</v>
      </c>
      <c r="F301" s="1401">
        <v>62786067.600000016</v>
      </c>
      <c r="G301" s="1401">
        <v>168288835.24000001</v>
      </c>
      <c r="H301" s="1401">
        <v>74643379.320000008</v>
      </c>
      <c r="I301" s="1401">
        <v>321137369.59999996</v>
      </c>
    </row>
    <row r="302" spans="2:9">
      <c r="B302" s="1297" t="s">
        <v>993</v>
      </c>
      <c r="C302" s="1297" t="s">
        <v>994</v>
      </c>
      <c r="D302" s="1297" t="s">
        <v>906</v>
      </c>
      <c r="F302" s="1399">
        <v>5230085.1000000006</v>
      </c>
      <c r="I302" s="1399">
        <v>5230085.1000000006</v>
      </c>
    </row>
    <row r="303" spans="2:9">
      <c r="B303" s="1297"/>
      <c r="C303" s="1297"/>
      <c r="D303" s="1297" t="s">
        <v>952</v>
      </c>
      <c r="F303" s="1399">
        <v>44132.29</v>
      </c>
      <c r="I303" s="1399">
        <v>44132.29</v>
      </c>
    </row>
    <row r="304" spans="2:9">
      <c r="B304" s="1297"/>
      <c r="C304" s="1297"/>
      <c r="D304" s="1297" t="s">
        <v>907</v>
      </c>
      <c r="F304" s="1399">
        <v>2298617.0499999998</v>
      </c>
      <c r="I304" s="1399">
        <v>2298617.0499999998</v>
      </c>
    </row>
    <row r="305" spans="2:9">
      <c r="B305" s="1297"/>
      <c r="C305" s="1297"/>
      <c r="D305" s="1297" t="s">
        <v>995</v>
      </c>
      <c r="F305" s="1399">
        <v>9804.2000000000007</v>
      </c>
      <c r="I305" s="1399">
        <v>9804.2000000000007</v>
      </c>
    </row>
    <row r="306" spans="2:9">
      <c r="B306" s="1297"/>
      <c r="C306" s="1297"/>
      <c r="D306" s="1297" t="s">
        <v>908</v>
      </c>
      <c r="F306" s="1399">
        <v>15060.5</v>
      </c>
      <c r="I306" s="1399">
        <v>15060.5</v>
      </c>
    </row>
    <row r="307" spans="2:9">
      <c r="B307" s="1297"/>
      <c r="C307" s="1297"/>
      <c r="D307" s="1297" t="s">
        <v>909</v>
      </c>
      <c r="F307" s="1399">
        <v>36530.49</v>
      </c>
      <c r="I307" s="1399">
        <v>36530.49</v>
      </c>
    </row>
    <row r="308" spans="2:9">
      <c r="B308" s="1297"/>
      <c r="C308" s="1297"/>
      <c r="D308" s="1297" t="s">
        <v>910</v>
      </c>
      <c r="F308" s="1399">
        <v>24988.7</v>
      </c>
      <c r="I308" s="1399">
        <v>24988.7</v>
      </c>
    </row>
    <row r="309" spans="2:9">
      <c r="B309" s="1297"/>
      <c r="C309" s="1297"/>
      <c r="D309" s="1297" t="s">
        <v>1034</v>
      </c>
      <c r="F309" s="1399">
        <v>19228.98</v>
      </c>
      <c r="I309" s="1399">
        <v>19228.98</v>
      </c>
    </row>
    <row r="310" spans="2:9">
      <c r="B310" s="1297"/>
      <c r="C310" s="1297"/>
      <c r="D310" s="1297" t="s">
        <v>1035</v>
      </c>
      <c r="F310" s="1399">
        <v>379056.49</v>
      </c>
      <c r="I310" s="1399">
        <v>379056.49</v>
      </c>
    </row>
    <row r="311" spans="2:9">
      <c r="B311" s="1297"/>
      <c r="C311" s="1297"/>
      <c r="D311" s="1297" t="s">
        <v>1036</v>
      </c>
      <c r="F311" s="1399">
        <v>165604.35</v>
      </c>
      <c r="I311" s="1399">
        <v>165604.35</v>
      </c>
    </row>
    <row r="312" spans="2:9">
      <c r="B312" s="1297"/>
      <c r="C312" s="1297"/>
      <c r="D312" s="1297" t="s">
        <v>1037</v>
      </c>
      <c r="F312" s="1399">
        <v>10755.67</v>
      </c>
      <c r="I312" s="1399">
        <v>10755.67</v>
      </c>
    </row>
    <row r="313" spans="2:9">
      <c r="B313" s="1297"/>
      <c r="C313" s="1297"/>
      <c r="D313" s="1297" t="s">
        <v>1039</v>
      </c>
      <c r="F313" s="1399">
        <v>98163.25</v>
      </c>
      <c r="I313" s="1399">
        <v>98163.25</v>
      </c>
    </row>
    <row r="314" spans="2:9">
      <c r="B314" s="1297"/>
      <c r="C314" s="1297"/>
      <c r="D314" s="1297" t="s">
        <v>1040</v>
      </c>
      <c r="F314" s="1399">
        <v>93677.55</v>
      </c>
      <c r="I314" s="1399">
        <v>93677.55</v>
      </c>
    </row>
    <row r="315" spans="2:9">
      <c r="B315" s="1297"/>
      <c r="C315" s="1297"/>
      <c r="D315" s="1297" t="s">
        <v>1041</v>
      </c>
      <c r="F315" s="1399">
        <v>26484</v>
      </c>
      <c r="I315" s="1399">
        <v>26484</v>
      </c>
    </row>
    <row r="316" spans="2:9">
      <c r="B316" s="1297"/>
      <c r="C316" s="1297"/>
      <c r="D316" s="1297" t="s">
        <v>1042</v>
      </c>
      <c r="F316" s="1399">
        <v>51736.5</v>
      </c>
      <c r="I316" s="1399">
        <v>51736.5</v>
      </c>
    </row>
    <row r="317" spans="2:9">
      <c r="B317" s="1297"/>
      <c r="C317" s="1297"/>
      <c r="D317" s="1297" t="s">
        <v>1043</v>
      </c>
      <c r="F317" s="1399">
        <v>44450</v>
      </c>
      <c r="I317" s="1399">
        <v>44450</v>
      </c>
    </row>
    <row r="318" spans="2:9">
      <c r="B318" s="1297"/>
      <c r="C318" s="1297"/>
      <c r="D318" s="1297" t="s">
        <v>986</v>
      </c>
      <c r="F318" s="1399">
        <v>88551.09</v>
      </c>
      <c r="I318" s="1399">
        <v>88551.09</v>
      </c>
    </row>
    <row r="319" spans="2:9">
      <c r="B319" s="1297"/>
      <c r="C319" s="1297"/>
      <c r="D319" s="1297" t="s">
        <v>990</v>
      </c>
      <c r="F319" s="1399">
        <v>1329.31</v>
      </c>
      <c r="I319" s="1399">
        <v>1329.31</v>
      </c>
    </row>
    <row r="320" spans="2:9">
      <c r="B320" s="1297"/>
      <c r="C320" s="1297"/>
      <c r="D320" s="1297" t="s">
        <v>996</v>
      </c>
      <c r="F320" s="1399">
        <v>18499.86</v>
      </c>
      <c r="I320" s="1399">
        <v>18499.86</v>
      </c>
    </row>
    <row r="321" spans="2:9">
      <c r="B321" s="1297"/>
      <c r="C321" s="1297"/>
      <c r="D321" s="1297" t="s">
        <v>1045</v>
      </c>
      <c r="F321" s="1399">
        <v>140440.55000000002</v>
      </c>
      <c r="I321" s="1399">
        <v>140440.55000000002</v>
      </c>
    </row>
    <row r="322" spans="2:9">
      <c r="B322" s="1297"/>
      <c r="C322" s="1297"/>
      <c r="D322" s="1297" t="s">
        <v>1046</v>
      </c>
      <c r="H322" s="1399">
        <v>15684615</v>
      </c>
      <c r="I322" s="1399">
        <v>15684615</v>
      </c>
    </row>
    <row r="323" spans="2:9">
      <c r="B323" s="1297"/>
      <c r="C323" s="1297"/>
      <c r="D323" s="1297" t="s">
        <v>1047</v>
      </c>
      <c r="H323" s="1399">
        <v>433382</v>
      </c>
      <c r="I323" s="1399">
        <v>433382</v>
      </c>
    </row>
    <row r="324" spans="2:9">
      <c r="B324" s="1297"/>
      <c r="C324" s="1297"/>
      <c r="D324" s="1297" t="s">
        <v>1048</v>
      </c>
      <c r="H324" s="1399">
        <v>-1619137</v>
      </c>
      <c r="I324" s="1399">
        <v>-1619137</v>
      </c>
    </row>
    <row r="325" spans="2:9">
      <c r="B325" s="1297"/>
      <c r="C325" s="1297"/>
      <c r="D325" s="1297" t="s">
        <v>932</v>
      </c>
      <c r="H325" s="1399">
        <v>2303892</v>
      </c>
      <c r="I325" s="1399">
        <v>2303892</v>
      </c>
    </row>
    <row r="326" spans="2:9">
      <c r="B326" s="1297"/>
      <c r="C326" s="1297"/>
      <c r="D326" s="1297" t="s">
        <v>955</v>
      </c>
      <c r="H326" s="1399">
        <v>767134.16</v>
      </c>
      <c r="I326" s="1399">
        <v>767134.16</v>
      </c>
    </row>
    <row r="327" spans="2:9">
      <c r="B327" s="1297"/>
      <c r="C327" s="1297"/>
      <c r="D327" s="1297" t="s">
        <v>934</v>
      </c>
      <c r="H327" s="1399">
        <v>55120</v>
      </c>
      <c r="I327" s="1399">
        <v>55120</v>
      </c>
    </row>
    <row r="328" spans="2:9">
      <c r="B328" s="1297"/>
      <c r="C328" s="1297"/>
      <c r="D328" s="1297" t="s">
        <v>935</v>
      </c>
      <c r="H328" s="1399">
        <v>370485.04000000004</v>
      </c>
      <c r="I328" s="1399">
        <v>370485.04000000004</v>
      </c>
    </row>
    <row r="329" spans="2:9">
      <c r="B329" s="1297"/>
      <c r="C329" s="1297"/>
      <c r="D329" s="1297" t="s">
        <v>936</v>
      </c>
      <c r="H329" s="1399">
        <v>45519.57</v>
      </c>
      <c r="I329" s="1399">
        <v>45519.57</v>
      </c>
    </row>
    <row r="330" spans="2:9">
      <c r="B330" s="1297"/>
      <c r="C330" s="1297"/>
      <c r="D330" s="1297" t="s">
        <v>937</v>
      </c>
      <c r="H330" s="1399">
        <v>13319.62</v>
      </c>
      <c r="I330" s="1399">
        <v>13319.62</v>
      </c>
    </row>
    <row r="331" spans="2:9">
      <c r="B331" s="1297"/>
      <c r="C331" s="1297"/>
      <c r="D331" s="1297" t="s">
        <v>938</v>
      </c>
      <c r="H331" s="1399">
        <v>15347</v>
      </c>
      <c r="I331" s="1399">
        <v>15347</v>
      </c>
    </row>
    <row r="332" spans="2:9">
      <c r="B332" s="1297"/>
      <c r="C332" s="1297"/>
      <c r="D332" s="1297" t="s">
        <v>939</v>
      </c>
      <c r="H332" s="1399">
        <v>0</v>
      </c>
      <c r="I332" s="1399">
        <v>0</v>
      </c>
    </row>
    <row r="333" spans="2:9">
      <c r="B333" s="1297"/>
      <c r="C333" s="1297"/>
      <c r="D333" s="1297" t="s">
        <v>1131</v>
      </c>
      <c r="E333" s="1399">
        <v>45750.879999999997</v>
      </c>
      <c r="I333" s="1399">
        <v>45750.879999999997</v>
      </c>
    </row>
    <row r="334" spans="2:9">
      <c r="B334" s="1297"/>
      <c r="C334" s="1297"/>
      <c r="D334" s="1297" t="s">
        <v>940</v>
      </c>
      <c r="E334" s="1399">
        <v>988727.84</v>
      </c>
      <c r="I334" s="1399">
        <v>988727.84</v>
      </c>
    </row>
    <row r="335" spans="2:9">
      <c r="B335" s="1297"/>
      <c r="C335" s="1297"/>
      <c r="D335" s="1297" t="s">
        <v>941</v>
      </c>
      <c r="E335" s="1399">
        <v>345649.74</v>
      </c>
      <c r="I335" s="1399">
        <v>345649.74</v>
      </c>
    </row>
    <row r="336" spans="2:9">
      <c r="B336" s="1297"/>
      <c r="C336" s="1297"/>
      <c r="D336" s="1297" t="s">
        <v>943</v>
      </c>
      <c r="E336" s="1399">
        <v>5188.1400000000003</v>
      </c>
      <c r="I336" s="1399">
        <v>5188.1400000000003</v>
      </c>
    </row>
    <row r="337" spans="2:9">
      <c r="B337" s="1297"/>
      <c r="C337" s="1297"/>
      <c r="D337" s="1297" t="s">
        <v>944</v>
      </c>
      <c r="E337" s="1399">
        <v>2852188.2800000003</v>
      </c>
      <c r="I337" s="1399">
        <v>2852188.2800000003</v>
      </c>
    </row>
    <row r="338" spans="2:9">
      <c r="B338" s="1297"/>
      <c r="C338" s="1297"/>
      <c r="D338" s="1297" t="s">
        <v>945</v>
      </c>
      <c r="E338" s="1399">
        <v>1317457.6700000002</v>
      </c>
      <c r="I338" s="1399">
        <v>1317457.6700000002</v>
      </c>
    </row>
    <row r="339" spans="2:9">
      <c r="B339" s="1297"/>
      <c r="C339" s="1297"/>
      <c r="D339" s="1297" t="s">
        <v>946</v>
      </c>
      <c r="E339" s="1399">
        <v>73222.09</v>
      </c>
      <c r="I339" s="1399">
        <v>73222.09</v>
      </c>
    </row>
    <row r="340" spans="2:9">
      <c r="B340" s="1297"/>
      <c r="C340" s="1297"/>
      <c r="D340" s="1297" t="s">
        <v>947</v>
      </c>
      <c r="E340" s="1399">
        <v>42808.93</v>
      </c>
      <c r="I340" s="1399">
        <v>42808.93</v>
      </c>
    </row>
    <row r="341" spans="2:9">
      <c r="B341" s="1297"/>
      <c r="C341" s="1297"/>
      <c r="D341" s="1297" t="s">
        <v>948</v>
      </c>
      <c r="G341" s="1399">
        <v>2018960.91</v>
      </c>
      <c r="I341" s="1399">
        <v>2018960.91</v>
      </c>
    </row>
    <row r="342" spans="2:9">
      <c r="B342" s="1297"/>
      <c r="C342" s="1297"/>
      <c r="D342" s="1297" t="s">
        <v>1118</v>
      </c>
      <c r="G342" s="1399">
        <v>-228.28</v>
      </c>
      <c r="I342" s="1399">
        <v>-228.28</v>
      </c>
    </row>
    <row r="343" spans="2:9">
      <c r="B343" s="1297"/>
      <c r="C343" s="1400" t="s">
        <v>997</v>
      </c>
      <c r="D343" s="1400"/>
      <c r="E343" s="1401">
        <v>5670993.5699999994</v>
      </c>
      <c r="F343" s="1401">
        <v>8797195.9300000016</v>
      </c>
      <c r="G343" s="1401">
        <v>2018732.63</v>
      </c>
      <c r="H343" s="1401">
        <v>18069677.390000001</v>
      </c>
      <c r="I343" s="1401">
        <v>34556599.519999996</v>
      </c>
    </row>
    <row r="344" spans="2:9">
      <c r="B344" s="1297" t="s">
        <v>998</v>
      </c>
      <c r="C344" s="1297" t="s">
        <v>999</v>
      </c>
      <c r="D344" s="1297" t="s">
        <v>906</v>
      </c>
      <c r="F344" s="1399">
        <v>4162894.8</v>
      </c>
      <c r="I344" s="1399">
        <v>4162894.8</v>
      </c>
    </row>
    <row r="345" spans="2:9">
      <c r="B345" s="1297"/>
      <c r="C345" s="1297"/>
      <c r="D345" s="1297" t="s">
        <v>907</v>
      </c>
      <c r="F345" s="1399">
        <v>1544649.6</v>
      </c>
      <c r="I345" s="1399">
        <v>1544649.6</v>
      </c>
    </row>
    <row r="346" spans="2:9">
      <c r="B346" s="1297"/>
      <c r="C346" s="1297"/>
      <c r="D346" s="1297" t="s">
        <v>908</v>
      </c>
      <c r="F346" s="1399">
        <v>11481.13</v>
      </c>
      <c r="I346" s="1399">
        <v>11481.13</v>
      </c>
    </row>
    <row r="347" spans="2:9">
      <c r="B347" s="1297"/>
      <c r="C347" s="1297"/>
      <c r="D347" s="1297" t="s">
        <v>909</v>
      </c>
      <c r="F347" s="1399">
        <v>44803.16</v>
      </c>
      <c r="I347" s="1399">
        <v>44803.16</v>
      </c>
    </row>
    <row r="348" spans="2:9">
      <c r="B348" s="1297"/>
      <c r="C348" s="1297"/>
      <c r="D348" s="1297" t="s">
        <v>910</v>
      </c>
      <c r="F348" s="1399">
        <v>12665.31</v>
      </c>
      <c r="I348" s="1399">
        <v>12665.31</v>
      </c>
    </row>
    <row r="349" spans="2:9">
      <c r="B349" s="1297"/>
      <c r="C349" s="1297"/>
      <c r="D349" s="1297" t="s">
        <v>1034</v>
      </c>
      <c r="F349" s="1399">
        <v>44820.12</v>
      </c>
      <c r="I349" s="1399">
        <v>44820.12</v>
      </c>
    </row>
    <row r="350" spans="2:9">
      <c r="B350" s="1297"/>
      <c r="C350" s="1297"/>
      <c r="D350" s="1297" t="s">
        <v>1035</v>
      </c>
      <c r="F350" s="1399">
        <v>1016314.38</v>
      </c>
      <c r="I350" s="1399">
        <v>1016314.38</v>
      </c>
    </row>
    <row r="351" spans="2:9">
      <c r="B351" s="1297"/>
      <c r="C351" s="1297"/>
      <c r="D351" s="1297" t="s">
        <v>1036</v>
      </c>
      <c r="F351" s="1399">
        <v>10630</v>
      </c>
      <c r="I351" s="1399">
        <v>10630</v>
      </c>
    </row>
    <row r="352" spans="2:9">
      <c r="B352" s="1297"/>
      <c r="C352" s="1297"/>
      <c r="D352" s="1297" t="s">
        <v>1039</v>
      </c>
      <c r="F352" s="1399">
        <v>81403.289999999994</v>
      </c>
      <c r="I352" s="1399">
        <v>81403.289999999994</v>
      </c>
    </row>
    <row r="353" spans="2:9">
      <c r="B353" s="1297"/>
      <c r="C353" s="1297"/>
      <c r="D353" s="1297" t="s">
        <v>1040</v>
      </c>
      <c r="F353" s="1399">
        <v>229501.64</v>
      </c>
      <c r="I353" s="1399">
        <v>229501.64</v>
      </c>
    </row>
    <row r="354" spans="2:9">
      <c r="B354" s="1297"/>
      <c r="C354" s="1297"/>
      <c r="D354" s="1297" t="s">
        <v>1041</v>
      </c>
      <c r="F354" s="1399">
        <v>3702.75</v>
      </c>
      <c r="I354" s="1399">
        <v>3702.75</v>
      </c>
    </row>
    <row r="355" spans="2:9">
      <c r="B355" s="1297"/>
      <c r="C355" s="1297"/>
      <c r="D355" s="1297" t="s">
        <v>1042</v>
      </c>
      <c r="F355" s="1399">
        <v>46946.95</v>
      </c>
      <c r="I355" s="1399">
        <v>46946.95</v>
      </c>
    </row>
    <row r="356" spans="2:9">
      <c r="B356" s="1297"/>
      <c r="C356" s="1297"/>
      <c r="D356" s="1297" t="s">
        <v>1044</v>
      </c>
      <c r="F356" s="1399">
        <v>0</v>
      </c>
      <c r="I356" s="1399">
        <v>0</v>
      </c>
    </row>
    <row r="357" spans="2:9">
      <c r="B357" s="1297"/>
      <c r="C357" s="1297"/>
      <c r="D357" s="1297" t="s">
        <v>1045</v>
      </c>
      <c r="F357" s="1399">
        <v>585497.76</v>
      </c>
      <c r="I357" s="1399">
        <v>585497.76</v>
      </c>
    </row>
    <row r="358" spans="2:9">
      <c r="B358" s="1297"/>
      <c r="C358" s="1297"/>
      <c r="D358" s="1297" t="s">
        <v>1046</v>
      </c>
      <c r="H358" s="1399">
        <v>16896595</v>
      </c>
      <c r="I358" s="1399">
        <v>16896595</v>
      </c>
    </row>
    <row r="359" spans="2:9">
      <c r="B359" s="1297"/>
      <c r="C359" s="1297"/>
      <c r="D359" s="1297" t="s">
        <v>1047</v>
      </c>
      <c r="H359" s="1399">
        <v>-1647827</v>
      </c>
      <c r="I359" s="1399">
        <v>-1647827</v>
      </c>
    </row>
    <row r="360" spans="2:9">
      <c r="B360" s="1297"/>
      <c r="C360" s="1297"/>
      <c r="D360" s="1297" t="s">
        <v>1048</v>
      </c>
      <c r="H360" s="1399">
        <v>-1260353</v>
      </c>
      <c r="I360" s="1399">
        <v>-1260353</v>
      </c>
    </row>
    <row r="361" spans="2:9">
      <c r="B361" s="1297"/>
      <c r="C361" s="1297"/>
      <c r="D361" s="1297" t="s">
        <v>932</v>
      </c>
      <c r="H361" s="1399">
        <v>2850707</v>
      </c>
      <c r="I361" s="1399">
        <v>2850707</v>
      </c>
    </row>
    <row r="362" spans="2:9">
      <c r="B362" s="1297"/>
      <c r="C362" s="1297"/>
      <c r="D362" s="1297" t="s">
        <v>933</v>
      </c>
      <c r="H362" s="1399">
        <v>542611.91999999993</v>
      </c>
      <c r="I362" s="1399">
        <v>542611.91999999993</v>
      </c>
    </row>
    <row r="363" spans="2:9">
      <c r="B363" s="1297"/>
      <c r="C363" s="1297"/>
      <c r="D363" s="1297" t="s">
        <v>934</v>
      </c>
      <c r="H363" s="1399">
        <v>48160</v>
      </c>
      <c r="I363" s="1399">
        <v>48160</v>
      </c>
    </row>
    <row r="364" spans="2:9">
      <c r="B364" s="1297"/>
      <c r="C364" s="1297"/>
      <c r="D364" s="1297" t="s">
        <v>935</v>
      </c>
      <c r="H364" s="1399">
        <v>473956.71</v>
      </c>
      <c r="I364" s="1399">
        <v>473956.71</v>
      </c>
    </row>
    <row r="365" spans="2:9">
      <c r="B365" s="1297"/>
      <c r="C365" s="1297"/>
      <c r="D365" s="1297" t="s">
        <v>936</v>
      </c>
      <c r="H365" s="1399">
        <v>49021.07</v>
      </c>
      <c r="I365" s="1399">
        <v>49021.07</v>
      </c>
    </row>
    <row r="366" spans="2:9">
      <c r="B366" s="1297"/>
      <c r="C366" s="1297"/>
      <c r="D366" s="1297" t="s">
        <v>937</v>
      </c>
      <c r="H366" s="1399">
        <v>12373.09</v>
      </c>
      <c r="I366" s="1399">
        <v>12373.09</v>
      </c>
    </row>
    <row r="367" spans="2:9">
      <c r="B367" s="1297"/>
      <c r="C367" s="1297"/>
      <c r="D367" s="1297" t="s">
        <v>938</v>
      </c>
      <c r="H367" s="1399">
        <v>11042</v>
      </c>
      <c r="I367" s="1399">
        <v>11042</v>
      </c>
    </row>
    <row r="368" spans="2:9">
      <c r="B368" s="1297"/>
      <c r="C368" s="1297"/>
      <c r="D368" s="1297" t="s">
        <v>939</v>
      </c>
      <c r="H368" s="1399">
        <v>790256.57000000007</v>
      </c>
      <c r="I368" s="1399">
        <v>790256.57000000007</v>
      </c>
    </row>
    <row r="369" spans="2:9">
      <c r="B369" s="1297"/>
      <c r="C369" s="1297"/>
      <c r="D369" s="1297" t="s">
        <v>1131</v>
      </c>
      <c r="E369" s="1399">
        <v>224831.01</v>
      </c>
      <c r="I369" s="1399">
        <v>224831.01</v>
      </c>
    </row>
    <row r="370" spans="2:9">
      <c r="B370" s="1297"/>
      <c r="C370" s="1297"/>
      <c r="D370" s="1297" t="s">
        <v>940</v>
      </c>
      <c r="E370" s="1399">
        <v>897730.24</v>
      </c>
      <c r="I370" s="1399">
        <v>897730.24</v>
      </c>
    </row>
    <row r="371" spans="2:9">
      <c r="B371" s="1297"/>
      <c r="C371" s="1297"/>
      <c r="D371" s="1297" t="s">
        <v>941</v>
      </c>
      <c r="E371" s="1399">
        <v>335407.48</v>
      </c>
      <c r="I371" s="1399">
        <v>335407.48</v>
      </c>
    </row>
    <row r="372" spans="2:9">
      <c r="B372" s="1297"/>
      <c r="C372" s="1297"/>
      <c r="D372" s="1297" t="s">
        <v>943</v>
      </c>
      <c r="E372" s="1399">
        <v>17261.240000000002</v>
      </c>
      <c r="I372" s="1399">
        <v>17261.240000000002</v>
      </c>
    </row>
    <row r="373" spans="2:9">
      <c r="B373" s="1297"/>
      <c r="C373" s="1297"/>
      <c r="D373" s="1297" t="s">
        <v>944</v>
      </c>
      <c r="E373" s="1399">
        <v>3221277.59</v>
      </c>
      <c r="I373" s="1399">
        <v>3221277.59</v>
      </c>
    </row>
    <row r="374" spans="2:9">
      <c r="B374" s="1297"/>
      <c r="C374" s="1297"/>
      <c r="D374" s="1297" t="s">
        <v>945</v>
      </c>
      <c r="E374" s="1399">
        <v>1039734.53</v>
      </c>
      <c r="I374" s="1399">
        <v>1039734.53</v>
      </c>
    </row>
    <row r="375" spans="2:9">
      <c r="B375" s="1297"/>
      <c r="C375" s="1297"/>
      <c r="D375" s="1297" t="s">
        <v>947</v>
      </c>
      <c r="E375" s="1399">
        <v>68294.36</v>
      </c>
      <c r="I375" s="1399">
        <v>68294.36</v>
      </c>
    </row>
    <row r="376" spans="2:9">
      <c r="B376" s="1297"/>
      <c r="C376" s="1297"/>
      <c r="D376" s="1297" t="s">
        <v>948</v>
      </c>
      <c r="G376" s="1399">
        <v>2141694.9300000002</v>
      </c>
      <c r="I376" s="1399">
        <v>2141694.9300000002</v>
      </c>
    </row>
    <row r="377" spans="2:9">
      <c r="B377" s="1297"/>
      <c r="C377" s="1297"/>
      <c r="D377" s="1297" t="s">
        <v>956</v>
      </c>
      <c r="G377" s="1399">
        <v>2356.3000000000002</v>
      </c>
      <c r="I377" s="1399">
        <v>2356.3000000000002</v>
      </c>
    </row>
    <row r="378" spans="2:9">
      <c r="B378" s="1297"/>
      <c r="C378" s="1400" t="s">
        <v>1000</v>
      </c>
      <c r="D378" s="1400"/>
      <c r="E378" s="1401">
        <v>5804536.4500000002</v>
      </c>
      <c r="F378" s="1401">
        <v>7795310.8899999997</v>
      </c>
      <c r="G378" s="1401">
        <v>2144051.23</v>
      </c>
      <c r="H378" s="1401">
        <v>18766543.360000003</v>
      </c>
      <c r="I378" s="1401">
        <v>34510441.93</v>
      </c>
    </row>
    <row r="379" spans="2:9">
      <c r="B379" s="1297" t="s">
        <v>1001</v>
      </c>
      <c r="C379" s="1297" t="s">
        <v>1002</v>
      </c>
      <c r="D379" s="1297" t="s">
        <v>906</v>
      </c>
      <c r="F379" s="1399">
        <v>77327762.810000002</v>
      </c>
      <c r="I379" s="1399">
        <v>77327762.810000002</v>
      </c>
    </row>
    <row r="380" spans="2:9">
      <c r="B380" s="1297"/>
      <c r="C380" s="1297"/>
      <c r="D380" s="1297" t="s">
        <v>952</v>
      </c>
      <c r="F380" s="1399">
        <v>672470.97</v>
      </c>
      <c r="I380" s="1399">
        <v>672470.97</v>
      </c>
    </row>
    <row r="381" spans="2:9">
      <c r="B381" s="1297"/>
      <c r="C381" s="1297"/>
      <c r="D381" s="1297" t="s">
        <v>907</v>
      </c>
      <c r="F381" s="1399">
        <v>34113451.409999996</v>
      </c>
      <c r="I381" s="1399">
        <v>34113451.409999996</v>
      </c>
    </row>
    <row r="382" spans="2:9">
      <c r="B382" s="1297"/>
      <c r="C382" s="1297"/>
      <c r="D382" s="1297" t="s">
        <v>909</v>
      </c>
      <c r="F382" s="1399">
        <v>323053.95000000013</v>
      </c>
      <c r="I382" s="1399">
        <v>323053.95000000013</v>
      </c>
    </row>
    <row r="383" spans="2:9">
      <c r="B383" s="1297"/>
      <c r="C383" s="1297"/>
      <c r="D383" s="1297" t="s">
        <v>910</v>
      </c>
      <c r="F383" s="1399">
        <v>456433.55000000005</v>
      </c>
      <c r="I383" s="1399">
        <v>456433.55000000005</v>
      </c>
    </row>
    <row r="384" spans="2:9">
      <c r="B384" s="1297"/>
      <c r="C384" s="1297"/>
      <c r="D384" s="1297" t="s">
        <v>1034</v>
      </c>
      <c r="F384" s="1399">
        <v>249966.82</v>
      </c>
      <c r="I384" s="1399">
        <v>249966.82</v>
      </c>
    </row>
    <row r="385" spans="2:9">
      <c r="B385" s="1297"/>
      <c r="C385" s="1297"/>
      <c r="D385" s="1297" t="s">
        <v>1035</v>
      </c>
      <c r="F385" s="1399">
        <v>1548178.5099999998</v>
      </c>
      <c r="I385" s="1399">
        <v>1548178.5099999998</v>
      </c>
    </row>
    <row r="386" spans="2:9">
      <c r="B386" s="1297"/>
      <c r="C386" s="1297"/>
      <c r="D386" s="1297" t="s">
        <v>1036</v>
      </c>
      <c r="F386" s="1399">
        <v>463323.96</v>
      </c>
      <c r="I386" s="1399">
        <v>463323.96</v>
      </c>
    </row>
    <row r="387" spans="2:9">
      <c r="B387" s="1297"/>
      <c r="C387" s="1297"/>
      <c r="D387" s="1297" t="s">
        <v>1037</v>
      </c>
      <c r="F387" s="1399">
        <v>26011.56</v>
      </c>
      <c r="I387" s="1399">
        <v>26011.56</v>
      </c>
    </row>
    <row r="388" spans="2:9">
      <c r="B388" s="1297"/>
      <c r="C388" s="1297"/>
      <c r="D388" s="1297" t="s">
        <v>1038</v>
      </c>
      <c r="F388" s="1399">
        <v>64589.51</v>
      </c>
      <c r="I388" s="1399">
        <v>64589.51</v>
      </c>
    </row>
    <row r="389" spans="2:9">
      <c r="B389" s="1297"/>
      <c r="C389" s="1297"/>
      <c r="D389" s="1297" t="s">
        <v>1003</v>
      </c>
      <c r="F389" s="1399">
        <v>332820.56</v>
      </c>
      <c r="I389" s="1399">
        <v>332820.56</v>
      </c>
    </row>
    <row r="390" spans="2:9">
      <c r="B390" s="1297"/>
      <c r="C390" s="1297"/>
      <c r="D390" s="1297" t="s">
        <v>1039</v>
      </c>
      <c r="F390" s="1399">
        <v>122055.81999999998</v>
      </c>
      <c r="I390" s="1399">
        <v>122055.81999999998</v>
      </c>
    </row>
    <row r="391" spans="2:9">
      <c r="B391" s="1297"/>
      <c r="C391" s="1297"/>
      <c r="D391" s="1297" t="s">
        <v>1040</v>
      </c>
      <c r="F391" s="1399">
        <v>660365.20000000019</v>
      </c>
      <c r="I391" s="1399">
        <v>660365.20000000019</v>
      </c>
    </row>
    <row r="392" spans="2:9">
      <c r="B392" s="1297"/>
      <c r="C392" s="1297"/>
      <c r="D392" s="1297" t="s">
        <v>1127</v>
      </c>
      <c r="F392" s="1399">
        <v>87628.15</v>
      </c>
      <c r="I392" s="1399">
        <v>87628.15</v>
      </c>
    </row>
    <row r="393" spans="2:9">
      <c r="B393" s="1297"/>
      <c r="C393" s="1297"/>
      <c r="D393" s="1297" t="s">
        <v>1041</v>
      </c>
      <c r="F393" s="1399">
        <v>212777.15000000005</v>
      </c>
      <c r="I393" s="1399">
        <v>212777.15000000005</v>
      </c>
    </row>
    <row r="394" spans="2:9">
      <c r="B394" s="1297"/>
      <c r="C394" s="1297"/>
      <c r="D394" s="1297" t="s">
        <v>1042</v>
      </c>
      <c r="F394" s="1399">
        <v>220859.75000000003</v>
      </c>
      <c r="I394" s="1399">
        <v>220859.75000000003</v>
      </c>
    </row>
    <row r="395" spans="2:9">
      <c r="B395" s="1297"/>
      <c r="C395" s="1297"/>
      <c r="D395" s="1297" t="s">
        <v>953</v>
      </c>
      <c r="F395" s="1399">
        <v>469649.52</v>
      </c>
      <c r="I395" s="1399">
        <v>469649.52</v>
      </c>
    </row>
    <row r="396" spans="2:9">
      <c r="B396" s="1297"/>
      <c r="C396" s="1297"/>
      <c r="D396" s="1297" t="s">
        <v>1043</v>
      </c>
      <c r="F396" s="1399">
        <v>1363383.3599999999</v>
      </c>
      <c r="I396" s="1399">
        <v>1363383.3599999999</v>
      </c>
    </row>
    <row r="397" spans="2:9">
      <c r="B397" s="1297"/>
      <c r="C397" s="1297"/>
      <c r="D397" s="1297" t="s">
        <v>986</v>
      </c>
      <c r="F397" s="1399">
        <v>49811.490000000005</v>
      </c>
      <c r="I397" s="1399">
        <v>49811.490000000005</v>
      </c>
    </row>
    <row r="398" spans="2:9">
      <c r="B398" s="1297"/>
      <c r="C398" s="1297"/>
      <c r="D398" s="1297" t="s">
        <v>990</v>
      </c>
      <c r="F398" s="1399">
        <v>12697.07</v>
      </c>
      <c r="I398" s="1399">
        <v>12697.07</v>
      </c>
    </row>
    <row r="399" spans="2:9">
      <c r="B399" s="1297"/>
      <c r="C399" s="1297"/>
      <c r="D399" s="1297" t="s">
        <v>996</v>
      </c>
      <c r="F399" s="1399">
        <v>9507.7900000000009</v>
      </c>
      <c r="I399" s="1399">
        <v>9507.7900000000009</v>
      </c>
    </row>
    <row r="400" spans="2:9">
      <c r="B400" s="1297"/>
      <c r="C400" s="1297"/>
      <c r="D400" s="1297" t="s">
        <v>1004</v>
      </c>
      <c r="F400" s="1399">
        <v>-1746370.76</v>
      </c>
      <c r="I400" s="1399">
        <v>-1746370.76</v>
      </c>
    </row>
    <row r="401" spans="2:9">
      <c r="B401" s="1297"/>
      <c r="C401" s="1297"/>
      <c r="D401" s="1297" t="s">
        <v>1005</v>
      </c>
      <c r="F401" s="1399">
        <v>1734815.66</v>
      </c>
      <c r="I401" s="1399">
        <v>1734815.66</v>
      </c>
    </row>
    <row r="402" spans="2:9">
      <c r="B402" s="1297"/>
      <c r="C402" s="1297"/>
      <c r="D402" s="1297" t="s">
        <v>1044</v>
      </c>
      <c r="F402" s="1399">
        <v>1429359.25</v>
      </c>
      <c r="I402" s="1399">
        <v>1429359.25</v>
      </c>
    </row>
    <row r="403" spans="2:9">
      <c r="B403" s="1297"/>
      <c r="C403" s="1297"/>
      <c r="D403" s="1297" t="s">
        <v>1045</v>
      </c>
      <c r="F403" s="1399">
        <v>4693889.2800000012</v>
      </c>
      <c r="I403" s="1399">
        <v>4693889.2800000012</v>
      </c>
    </row>
    <row r="404" spans="2:9">
      <c r="B404" s="1297"/>
      <c r="C404" s="1297"/>
      <c r="D404" s="1297" t="s">
        <v>1046</v>
      </c>
      <c r="H404" s="1399">
        <v>93181855</v>
      </c>
      <c r="I404" s="1399">
        <v>93181855</v>
      </c>
    </row>
    <row r="405" spans="2:9">
      <c r="B405" s="1297"/>
      <c r="C405" s="1297"/>
      <c r="D405" s="1297" t="s">
        <v>932</v>
      </c>
      <c r="H405" s="1399">
        <v>4678040</v>
      </c>
      <c r="I405" s="1399">
        <v>4678040</v>
      </c>
    </row>
    <row r="406" spans="2:9">
      <c r="B406" s="1297"/>
      <c r="C406" s="1297"/>
      <c r="D406" s="1297" t="s">
        <v>955</v>
      </c>
      <c r="H406" s="1399">
        <v>3268033.79</v>
      </c>
      <c r="I406" s="1399">
        <v>3268033.79</v>
      </c>
    </row>
    <row r="407" spans="2:9">
      <c r="B407" s="1297"/>
      <c r="C407" s="1297"/>
      <c r="D407" s="1297" t="s">
        <v>934</v>
      </c>
      <c r="H407" s="1399">
        <v>414721.99999999988</v>
      </c>
      <c r="I407" s="1399">
        <v>414721.99999999988</v>
      </c>
    </row>
    <row r="408" spans="2:9">
      <c r="B408" s="1297"/>
      <c r="C408" s="1297"/>
      <c r="D408" s="1297" t="s">
        <v>1130</v>
      </c>
      <c r="H408" s="1399">
        <v>1048870.1000000001</v>
      </c>
      <c r="I408" s="1399">
        <v>1048870.1000000001</v>
      </c>
    </row>
    <row r="409" spans="2:9">
      <c r="B409" s="1297"/>
      <c r="C409" s="1297"/>
      <c r="D409" s="1297" t="s">
        <v>935</v>
      </c>
      <c r="H409" s="1399">
        <v>5453929.5700000003</v>
      </c>
      <c r="I409" s="1399">
        <v>5453929.5700000003</v>
      </c>
    </row>
    <row r="410" spans="2:9">
      <c r="B410" s="1297"/>
      <c r="C410" s="1297"/>
      <c r="D410" s="1297" t="s">
        <v>936</v>
      </c>
      <c r="H410" s="1399">
        <v>386216.04</v>
      </c>
      <c r="I410" s="1399">
        <v>386216.04</v>
      </c>
    </row>
    <row r="411" spans="2:9">
      <c r="B411" s="1297"/>
      <c r="C411" s="1297"/>
      <c r="D411" s="1297" t="s">
        <v>937</v>
      </c>
      <c r="H411" s="1399">
        <v>32689.27</v>
      </c>
      <c r="I411" s="1399">
        <v>32689.27</v>
      </c>
    </row>
    <row r="412" spans="2:9">
      <c r="B412" s="1297"/>
      <c r="C412" s="1297"/>
      <c r="D412" s="1297" t="s">
        <v>938</v>
      </c>
      <c r="H412" s="1399">
        <v>128391</v>
      </c>
      <c r="I412" s="1399">
        <v>128391</v>
      </c>
    </row>
    <row r="413" spans="2:9">
      <c r="B413" s="1297"/>
      <c r="C413" s="1297"/>
      <c r="D413" s="1297" t="s">
        <v>939</v>
      </c>
      <c r="H413" s="1399">
        <v>46007.86</v>
      </c>
      <c r="I413" s="1399">
        <v>46007.86</v>
      </c>
    </row>
    <row r="414" spans="2:9">
      <c r="B414" s="1297"/>
      <c r="C414" s="1297"/>
      <c r="D414" s="1297" t="s">
        <v>1131</v>
      </c>
      <c r="E414" s="1399">
        <v>368945.77</v>
      </c>
      <c r="I414" s="1399">
        <v>368945.77</v>
      </c>
    </row>
    <row r="415" spans="2:9">
      <c r="B415" s="1297"/>
      <c r="C415" s="1297"/>
      <c r="D415" s="1297" t="s">
        <v>940</v>
      </c>
      <c r="E415" s="1399">
        <v>8314258.7599999979</v>
      </c>
      <c r="I415" s="1399">
        <v>8314258.7599999979</v>
      </c>
    </row>
    <row r="416" spans="2:9">
      <c r="B416" s="1297"/>
      <c r="C416" s="1297"/>
      <c r="D416" s="1297" t="s">
        <v>941</v>
      </c>
      <c r="E416" s="1399">
        <v>3029838.44</v>
      </c>
      <c r="I416" s="1399">
        <v>3029838.44</v>
      </c>
    </row>
    <row r="417" spans="2:9">
      <c r="B417" s="1297"/>
      <c r="C417" s="1297"/>
      <c r="D417" s="1297" t="s">
        <v>943</v>
      </c>
      <c r="E417" s="1399">
        <v>106470.43</v>
      </c>
      <c r="I417" s="1399">
        <v>106470.43</v>
      </c>
    </row>
    <row r="418" spans="2:9">
      <c r="B418" s="1297"/>
      <c r="C418" s="1297"/>
      <c r="D418" s="1297" t="s">
        <v>944</v>
      </c>
      <c r="E418" s="1399">
        <v>28254194.460000001</v>
      </c>
      <c r="I418" s="1399">
        <v>28254194.460000001</v>
      </c>
    </row>
    <row r="419" spans="2:9">
      <c r="B419" s="1297"/>
      <c r="C419" s="1297"/>
      <c r="D419" s="1297" t="s">
        <v>945</v>
      </c>
      <c r="E419" s="1399">
        <v>15233625.889999999</v>
      </c>
      <c r="I419" s="1399">
        <v>15233625.889999999</v>
      </c>
    </row>
    <row r="420" spans="2:9">
      <c r="B420" s="1297"/>
      <c r="C420" s="1297"/>
      <c r="D420" s="1297" t="s">
        <v>946</v>
      </c>
      <c r="E420" s="1399">
        <v>406089.94</v>
      </c>
      <c r="I420" s="1399">
        <v>406089.94</v>
      </c>
    </row>
    <row r="421" spans="2:9">
      <c r="B421" s="1297"/>
      <c r="C421" s="1297"/>
      <c r="D421" s="1297" t="s">
        <v>978</v>
      </c>
      <c r="E421" s="1399">
        <v>30329.8</v>
      </c>
      <c r="I421" s="1399">
        <v>30329.8</v>
      </c>
    </row>
    <row r="422" spans="2:9">
      <c r="B422" s="1297"/>
      <c r="C422" s="1297"/>
      <c r="D422" s="1297" t="s">
        <v>1006</v>
      </c>
      <c r="E422" s="1399">
        <v>22780.77</v>
      </c>
      <c r="I422" s="1399">
        <v>22780.77</v>
      </c>
    </row>
    <row r="423" spans="2:9">
      <c r="B423" s="1297"/>
      <c r="C423" s="1297"/>
      <c r="D423" s="1297" t="s">
        <v>947</v>
      </c>
      <c r="E423" s="1399">
        <v>831895.67999999993</v>
      </c>
      <c r="I423" s="1399">
        <v>831895.67999999993</v>
      </c>
    </row>
    <row r="424" spans="2:9">
      <c r="B424" s="1297"/>
      <c r="C424" s="1297"/>
      <c r="D424" s="1297" t="s">
        <v>1116</v>
      </c>
      <c r="G424" s="1399">
        <v>30000000</v>
      </c>
      <c r="I424" s="1399">
        <v>30000000</v>
      </c>
    </row>
    <row r="425" spans="2:9">
      <c r="B425" s="1297"/>
      <c r="C425" s="1297"/>
      <c r="D425" s="1297" t="s">
        <v>1117</v>
      </c>
      <c r="G425" s="1399">
        <v>2701490.25</v>
      </c>
      <c r="I425" s="1399">
        <v>2701490.25</v>
      </c>
    </row>
    <row r="426" spans="2:9">
      <c r="B426" s="1297"/>
      <c r="C426" s="1297"/>
      <c r="D426" s="1297" t="s">
        <v>948</v>
      </c>
      <c r="G426" s="1399">
        <v>27176695.380000003</v>
      </c>
      <c r="I426" s="1399">
        <v>27176695.380000003</v>
      </c>
    </row>
    <row r="427" spans="2:9">
      <c r="B427" s="1297"/>
      <c r="C427" s="1297"/>
      <c r="D427" s="1297" t="s">
        <v>956</v>
      </c>
      <c r="G427" s="1399">
        <v>126591.49</v>
      </c>
      <c r="I427" s="1399">
        <v>126591.49</v>
      </c>
    </row>
    <row r="428" spans="2:9">
      <c r="B428" s="1297"/>
      <c r="C428" s="1297"/>
      <c r="D428" s="1297" t="s">
        <v>1118</v>
      </c>
      <c r="G428" s="1399">
        <v>124.13</v>
      </c>
      <c r="I428" s="1399">
        <v>124.13</v>
      </c>
    </row>
    <row r="429" spans="2:9">
      <c r="B429" s="1297"/>
      <c r="C429" s="1400" t="s">
        <v>1007</v>
      </c>
      <c r="D429" s="1400"/>
      <c r="E429" s="1401">
        <v>56598429.939999998</v>
      </c>
      <c r="F429" s="1401">
        <v>124898492.33999999</v>
      </c>
      <c r="G429" s="1401">
        <v>60004901.250000007</v>
      </c>
      <c r="H429" s="1401">
        <v>108638754.63000001</v>
      </c>
      <c r="I429" s="1401">
        <v>350140578.15999997</v>
      </c>
    </row>
    <row r="430" spans="2:9">
      <c r="B430" s="1297" t="s">
        <v>1008</v>
      </c>
      <c r="C430" s="1297" t="s">
        <v>1009</v>
      </c>
      <c r="D430" s="1297" t="s">
        <v>906</v>
      </c>
      <c r="F430" s="1399">
        <v>3194258.48</v>
      </c>
      <c r="I430" s="1399">
        <v>3194258.48</v>
      </c>
    </row>
    <row r="431" spans="2:9">
      <c r="B431" s="1297"/>
      <c r="C431" s="1297"/>
      <c r="D431" s="1297" t="s">
        <v>952</v>
      </c>
      <c r="F431" s="1399">
        <v>30587.24</v>
      </c>
      <c r="I431" s="1399">
        <v>30587.24</v>
      </c>
    </row>
    <row r="432" spans="2:9">
      <c r="B432" s="1297"/>
      <c r="C432" s="1297"/>
      <c r="D432" s="1297" t="s">
        <v>907</v>
      </c>
      <c r="F432" s="1399">
        <v>978939.77</v>
      </c>
      <c r="I432" s="1399">
        <v>978939.77</v>
      </c>
    </row>
    <row r="433" spans="2:9">
      <c r="B433" s="1297"/>
      <c r="C433" s="1297"/>
      <c r="D433" s="1297" t="s">
        <v>908</v>
      </c>
      <c r="F433" s="1399">
        <v>7469.03</v>
      </c>
      <c r="I433" s="1399">
        <v>7469.03</v>
      </c>
    </row>
    <row r="434" spans="2:9">
      <c r="B434" s="1297"/>
      <c r="C434" s="1297"/>
      <c r="D434" s="1297" t="s">
        <v>909</v>
      </c>
      <c r="F434" s="1399">
        <v>2247.4</v>
      </c>
      <c r="I434" s="1399">
        <v>2247.4</v>
      </c>
    </row>
    <row r="435" spans="2:9">
      <c r="B435" s="1297"/>
      <c r="C435" s="1297"/>
      <c r="D435" s="1297" t="s">
        <v>1035</v>
      </c>
      <c r="F435" s="1399">
        <v>776867.97</v>
      </c>
      <c r="I435" s="1399">
        <v>776867.97</v>
      </c>
    </row>
    <row r="436" spans="2:9">
      <c r="B436" s="1297"/>
      <c r="C436" s="1297"/>
      <c r="D436" s="1297" t="s">
        <v>1036</v>
      </c>
      <c r="F436" s="1399">
        <v>12456.97</v>
      </c>
      <c r="I436" s="1399">
        <v>12456.97</v>
      </c>
    </row>
    <row r="437" spans="2:9">
      <c r="B437" s="1297"/>
      <c r="C437" s="1297"/>
      <c r="D437" s="1297" t="s">
        <v>1039</v>
      </c>
      <c r="F437" s="1399">
        <v>37976.860000000008</v>
      </c>
      <c r="I437" s="1399">
        <v>37976.860000000008</v>
      </c>
    </row>
    <row r="438" spans="2:9">
      <c r="B438" s="1297"/>
      <c r="C438" s="1297"/>
      <c r="D438" s="1297" t="s">
        <v>1040</v>
      </c>
      <c r="F438" s="1399">
        <v>258390.11</v>
      </c>
      <c r="I438" s="1399">
        <v>258390.11</v>
      </c>
    </row>
    <row r="439" spans="2:9">
      <c r="B439" s="1297"/>
      <c r="C439" s="1297"/>
      <c r="D439" s="1297" t="s">
        <v>1041</v>
      </c>
      <c r="F439" s="1399">
        <v>26381.3</v>
      </c>
      <c r="I439" s="1399">
        <v>26381.3</v>
      </c>
    </row>
    <row r="440" spans="2:9">
      <c r="B440" s="1297"/>
      <c r="C440" s="1297"/>
      <c r="D440" s="1297" t="s">
        <v>1042</v>
      </c>
      <c r="F440" s="1399">
        <v>60862.879999999997</v>
      </c>
      <c r="I440" s="1399">
        <v>60862.879999999997</v>
      </c>
    </row>
    <row r="441" spans="2:9">
      <c r="B441" s="1297"/>
      <c r="C441" s="1297"/>
      <c r="D441" s="1297" t="s">
        <v>1044</v>
      </c>
      <c r="F441" s="1399">
        <v>13</v>
      </c>
      <c r="I441" s="1399">
        <v>13</v>
      </c>
    </row>
    <row r="442" spans="2:9">
      <c r="B442" s="1297"/>
      <c r="C442" s="1297"/>
      <c r="D442" s="1297" t="s">
        <v>1045</v>
      </c>
      <c r="F442" s="1399">
        <v>311247.40000000002</v>
      </c>
      <c r="I442" s="1399">
        <v>311247.40000000002</v>
      </c>
    </row>
    <row r="443" spans="2:9">
      <c r="B443" s="1297"/>
      <c r="C443" s="1297"/>
      <c r="D443" s="1297" t="s">
        <v>1046</v>
      </c>
      <c r="H443" s="1399">
        <v>12364588</v>
      </c>
      <c r="I443" s="1399">
        <v>12364588</v>
      </c>
    </row>
    <row r="444" spans="2:9">
      <c r="B444" s="1297"/>
      <c r="C444" s="1297"/>
      <c r="D444" s="1297" t="s">
        <v>1047</v>
      </c>
      <c r="H444" s="1399">
        <v>424423</v>
      </c>
      <c r="I444" s="1399">
        <v>424423</v>
      </c>
    </row>
    <row r="445" spans="2:9">
      <c r="B445" s="1297"/>
      <c r="C445" s="1297"/>
      <c r="D445" s="1297" t="s">
        <v>1048</v>
      </c>
      <c r="H445" s="1399">
        <v>-1114388</v>
      </c>
      <c r="I445" s="1399">
        <v>-1114388</v>
      </c>
    </row>
    <row r="446" spans="2:9">
      <c r="B446" s="1297"/>
      <c r="C446" s="1297"/>
      <c r="D446" s="1297" t="s">
        <v>932</v>
      </c>
      <c r="H446" s="1399">
        <v>1492901</v>
      </c>
      <c r="I446" s="1399">
        <v>1492901</v>
      </c>
    </row>
    <row r="447" spans="2:9">
      <c r="B447" s="1297"/>
      <c r="C447" s="1297"/>
      <c r="D447" s="1297" t="s">
        <v>933</v>
      </c>
      <c r="H447" s="1399">
        <v>738266.2</v>
      </c>
      <c r="I447" s="1399">
        <v>738266.2</v>
      </c>
    </row>
    <row r="448" spans="2:9">
      <c r="B448" s="1297"/>
      <c r="C448" s="1297"/>
      <c r="D448" s="1297" t="s">
        <v>934</v>
      </c>
      <c r="H448" s="1399">
        <v>45868</v>
      </c>
      <c r="I448" s="1399">
        <v>45868</v>
      </c>
    </row>
    <row r="449" spans="2:9">
      <c r="B449" s="1297"/>
      <c r="C449" s="1297"/>
      <c r="D449" s="1297" t="s">
        <v>1130</v>
      </c>
      <c r="H449" s="1399">
        <v>190853.6</v>
      </c>
      <c r="I449" s="1399">
        <v>190853.6</v>
      </c>
    </row>
    <row r="450" spans="2:9">
      <c r="B450" s="1297"/>
      <c r="C450" s="1297"/>
      <c r="D450" s="1297" t="s">
        <v>935</v>
      </c>
      <c r="H450" s="1399">
        <v>244616.97000000003</v>
      </c>
      <c r="I450" s="1399">
        <v>244616.97000000003</v>
      </c>
    </row>
    <row r="451" spans="2:9">
      <c r="B451" s="1297"/>
      <c r="C451" s="1297"/>
      <c r="D451" s="1297" t="s">
        <v>936</v>
      </c>
      <c r="H451" s="1399">
        <v>39917.160000000003</v>
      </c>
      <c r="I451" s="1399">
        <v>39917.160000000003</v>
      </c>
    </row>
    <row r="452" spans="2:9">
      <c r="B452" s="1297"/>
      <c r="C452" s="1297"/>
      <c r="D452" s="1297" t="s">
        <v>937</v>
      </c>
      <c r="H452" s="1399">
        <v>21793.4</v>
      </c>
      <c r="I452" s="1399">
        <v>21793.4</v>
      </c>
    </row>
    <row r="453" spans="2:9">
      <c r="B453" s="1297"/>
      <c r="C453" s="1297"/>
      <c r="D453" s="1297" t="s">
        <v>938</v>
      </c>
      <c r="H453" s="1399">
        <v>15534</v>
      </c>
      <c r="I453" s="1399">
        <v>15534</v>
      </c>
    </row>
    <row r="454" spans="2:9">
      <c r="B454" s="1297"/>
      <c r="C454" s="1297"/>
      <c r="D454" s="1297" t="s">
        <v>939</v>
      </c>
      <c r="H454" s="1399">
        <v>41770.47</v>
      </c>
      <c r="I454" s="1399">
        <v>41770.47</v>
      </c>
    </row>
    <row r="455" spans="2:9">
      <c r="B455" s="1297"/>
      <c r="C455" s="1297"/>
      <c r="D455" s="1297" t="s">
        <v>1131</v>
      </c>
      <c r="E455" s="1399">
        <v>1329942.1599999999</v>
      </c>
      <c r="I455" s="1399">
        <v>1329942.1599999999</v>
      </c>
    </row>
    <row r="456" spans="2:9">
      <c r="B456" s="1297"/>
      <c r="C456" s="1297"/>
      <c r="D456" s="1297" t="s">
        <v>940</v>
      </c>
      <c r="E456" s="1399">
        <v>768530.94</v>
      </c>
      <c r="I456" s="1399">
        <v>768530.94</v>
      </c>
    </row>
    <row r="457" spans="2:9">
      <c r="B457" s="1297"/>
      <c r="C457" s="1297"/>
      <c r="D457" s="1297" t="s">
        <v>941</v>
      </c>
      <c r="E457" s="1399">
        <v>246090.6</v>
      </c>
      <c r="I457" s="1399">
        <v>246090.6</v>
      </c>
    </row>
    <row r="458" spans="2:9">
      <c r="B458" s="1297"/>
      <c r="C458" s="1297"/>
      <c r="D458" s="1297" t="s">
        <v>943</v>
      </c>
      <c r="E458" s="1399">
        <v>27227.56</v>
      </c>
      <c r="I458" s="1399">
        <v>27227.56</v>
      </c>
    </row>
    <row r="459" spans="2:9">
      <c r="B459" s="1297"/>
      <c r="C459" s="1297"/>
      <c r="D459" s="1297" t="s">
        <v>944</v>
      </c>
      <c r="E459" s="1399">
        <v>1805985.21</v>
      </c>
      <c r="I459" s="1399">
        <v>1805985.21</v>
      </c>
    </row>
    <row r="460" spans="2:9">
      <c r="B460" s="1297"/>
      <c r="C460" s="1297"/>
      <c r="D460" s="1297" t="s">
        <v>945</v>
      </c>
      <c r="E460" s="1399">
        <v>948042.32</v>
      </c>
      <c r="I460" s="1399">
        <v>948042.32</v>
      </c>
    </row>
    <row r="461" spans="2:9">
      <c r="B461" s="1297"/>
      <c r="C461" s="1297"/>
      <c r="D461" s="1297" t="s">
        <v>946</v>
      </c>
      <c r="E461" s="1399">
        <v>48975.72</v>
      </c>
      <c r="I461" s="1399">
        <v>48975.72</v>
      </c>
    </row>
    <row r="462" spans="2:9">
      <c r="B462" s="1297"/>
      <c r="C462" s="1297"/>
      <c r="D462" s="1297" t="s">
        <v>947</v>
      </c>
      <c r="E462" s="1399">
        <v>176038.5</v>
      </c>
      <c r="I462" s="1399">
        <v>176038.5</v>
      </c>
    </row>
    <row r="463" spans="2:9">
      <c r="B463" s="1297"/>
      <c r="C463" s="1297"/>
      <c r="D463" s="1297" t="s">
        <v>948</v>
      </c>
      <c r="G463" s="1399">
        <v>4279306.82</v>
      </c>
      <c r="I463" s="1399">
        <v>4279306.82</v>
      </c>
    </row>
    <row r="464" spans="2:9">
      <c r="B464" s="1297"/>
      <c r="C464" s="1297"/>
      <c r="D464" s="1297" t="s">
        <v>1118</v>
      </c>
      <c r="G464" s="1399">
        <v>900</v>
      </c>
      <c r="I464" s="1399">
        <v>900</v>
      </c>
    </row>
    <row r="465" spans="2:9">
      <c r="B465" s="1297"/>
      <c r="C465" s="1400" t="s">
        <v>1010</v>
      </c>
      <c r="D465" s="1400"/>
      <c r="E465" s="1401">
        <v>5350833.01</v>
      </c>
      <c r="F465" s="1401">
        <v>5697698.4100000011</v>
      </c>
      <c r="G465" s="1401">
        <v>4280206.82</v>
      </c>
      <c r="H465" s="1401">
        <v>14506143.800000001</v>
      </c>
      <c r="I465" s="1401">
        <v>29834882.039999999</v>
      </c>
    </row>
    <row r="466" spans="2:9">
      <c r="B466" s="1297" t="s">
        <v>1011</v>
      </c>
      <c r="C466" s="1297" t="s">
        <v>1012</v>
      </c>
      <c r="D466" s="1297" t="s">
        <v>906</v>
      </c>
      <c r="F466" s="1399">
        <v>4123002.98</v>
      </c>
      <c r="I466" s="1399">
        <v>4123002.98</v>
      </c>
    </row>
    <row r="467" spans="2:9">
      <c r="B467" s="1297"/>
      <c r="C467" s="1297"/>
      <c r="D467" s="1297" t="s">
        <v>907</v>
      </c>
      <c r="F467" s="1399">
        <v>1066140.3899999999</v>
      </c>
      <c r="I467" s="1399">
        <v>1066140.3899999999</v>
      </c>
    </row>
    <row r="468" spans="2:9">
      <c r="B468" s="1297"/>
      <c r="C468" s="1297"/>
      <c r="D468" s="1297" t="s">
        <v>908</v>
      </c>
      <c r="F468" s="1399">
        <v>66814.100000000006</v>
      </c>
      <c r="I468" s="1399">
        <v>66814.100000000006</v>
      </c>
    </row>
    <row r="469" spans="2:9">
      <c r="B469" s="1297"/>
      <c r="C469" s="1297"/>
      <c r="D469" s="1297" t="s">
        <v>909</v>
      </c>
      <c r="F469" s="1399">
        <v>15542.18</v>
      </c>
      <c r="I469" s="1399">
        <v>15542.18</v>
      </c>
    </row>
    <row r="470" spans="2:9">
      <c r="B470" s="1297"/>
      <c r="C470" s="1297"/>
      <c r="D470" s="1297" t="s">
        <v>910</v>
      </c>
      <c r="F470" s="1399">
        <v>1770</v>
      </c>
      <c r="I470" s="1399">
        <v>1770</v>
      </c>
    </row>
    <row r="471" spans="2:9">
      <c r="B471" s="1297"/>
      <c r="C471" s="1297"/>
      <c r="D471" s="1297" t="s">
        <v>1034</v>
      </c>
      <c r="F471" s="1399">
        <v>30100.959999999999</v>
      </c>
      <c r="I471" s="1399">
        <v>30100.959999999999</v>
      </c>
    </row>
    <row r="472" spans="2:9">
      <c r="B472" s="1297"/>
      <c r="C472" s="1297"/>
      <c r="D472" s="1297" t="s">
        <v>1035</v>
      </c>
      <c r="F472" s="1399">
        <v>648058.62000000011</v>
      </c>
      <c r="I472" s="1399">
        <v>648058.62000000011</v>
      </c>
    </row>
    <row r="473" spans="2:9">
      <c r="B473" s="1297"/>
      <c r="C473" s="1297"/>
      <c r="D473" s="1297" t="s">
        <v>1036</v>
      </c>
      <c r="F473" s="1399">
        <v>116089.09</v>
      </c>
      <c r="I473" s="1399">
        <v>116089.09</v>
      </c>
    </row>
    <row r="474" spans="2:9">
      <c r="B474" s="1297"/>
      <c r="C474" s="1297"/>
      <c r="D474" s="1297" t="s">
        <v>1039</v>
      </c>
      <c r="F474" s="1399">
        <v>141468.00000000003</v>
      </c>
      <c r="I474" s="1399">
        <v>141468.00000000003</v>
      </c>
    </row>
    <row r="475" spans="2:9">
      <c r="B475" s="1297"/>
      <c r="C475" s="1297"/>
      <c r="D475" s="1297" t="s">
        <v>1040</v>
      </c>
      <c r="F475" s="1399">
        <v>180350.97</v>
      </c>
      <c r="I475" s="1399">
        <v>180350.97</v>
      </c>
    </row>
    <row r="476" spans="2:9">
      <c r="B476" s="1297"/>
      <c r="C476" s="1297"/>
      <c r="D476" s="1297" t="s">
        <v>1041</v>
      </c>
      <c r="F476" s="1399">
        <v>45259.09</v>
      </c>
      <c r="I476" s="1399">
        <v>45259.09</v>
      </c>
    </row>
    <row r="477" spans="2:9">
      <c r="B477" s="1297"/>
      <c r="C477" s="1297"/>
      <c r="D477" s="1297" t="s">
        <v>1042</v>
      </c>
      <c r="F477" s="1399">
        <v>55005.36</v>
      </c>
      <c r="I477" s="1399">
        <v>55005.36</v>
      </c>
    </row>
    <row r="478" spans="2:9">
      <c r="B478" s="1297"/>
      <c r="C478" s="1297"/>
      <c r="D478" s="1297" t="s">
        <v>953</v>
      </c>
      <c r="F478" s="1399">
        <v>29781</v>
      </c>
      <c r="I478" s="1399">
        <v>29781</v>
      </c>
    </row>
    <row r="479" spans="2:9">
      <c r="B479" s="1297"/>
      <c r="C479" s="1297"/>
      <c r="D479" s="1297" t="s">
        <v>986</v>
      </c>
      <c r="F479" s="1399">
        <v>28701.68</v>
      </c>
      <c r="I479" s="1399">
        <v>28701.68</v>
      </c>
    </row>
    <row r="480" spans="2:9">
      <c r="B480" s="1297"/>
      <c r="C480" s="1297"/>
      <c r="D480" s="1297" t="s">
        <v>1045</v>
      </c>
      <c r="F480" s="1399">
        <v>217217.83000000002</v>
      </c>
      <c r="I480" s="1399">
        <v>217217.83000000002</v>
      </c>
    </row>
    <row r="481" spans="2:9">
      <c r="B481" s="1297"/>
      <c r="C481" s="1297"/>
      <c r="D481" s="1297" t="s">
        <v>1046</v>
      </c>
      <c r="H481" s="1399">
        <v>16459799</v>
      </c>
      <c r="I481" s="1399">
        <v>16459799</v>
      </c>
    </row>
    <row r="482" spans="2:9">
      <c r="B482" s="1297"/>
      <c r="C482" s="1297"/>
      <c r="D482" s="1297" t="s">
        <v>1047</v>
      </c>
      <c r="H482" s="1399">
        <v>627857</v>
      </c>
      <c r="I482" s="1399">
        <v>627857</v>
      </c>
    </row>
    <row r="483" spans="2:9">
      <c r="B483" s="1297"/>
      <c r="C483" s="1297"/>
      <c r="D483" s="1297" t="s">
        <v>1048</v>
      </c>
      <c r="H483" s="1399">
        <v>-1507339</v>
      </c>
      <c r="I483" s="1399">
        <v>-1507339</v>
      </c>
    </row>
    <row r="484" spans="2:9">
      <c r="B484" s="1297"/>
      <c r="C484" s="1297"/>
      <c r="D484" s="1297" t="s">
        <v>932</v>
      </c>
      <c r="H484" s="1399">
        <v>2343553</v>
      </c>
      <c r="I484" s="1399">
        <v>2343553</v>
      </c>
    </row>
    <row r="485" spans="2:9">
      <c r="B485" s="1297"/>
      <c r="C485" s="1297"/>
      <c r="D485" s="1297" t="s">
        <v>933</v>
      </c>
      <c r="H485" s="1399">
        <v>907022.35</v>
      </c>
      <c r="I485" s="1399">
        <v>907022.35</v>
      </c>
    </row>
    <row r="486" spans="2:9">
      <c r="B486" s="1297"/>
      <c r="C486" s="1297"/>
      <c r="D486" s="1297" t="s">
        <v>934</v>
      </c>
      <c r="H486" s="1399">
        <v>56510</v>
      </c>
      <c r="I486" s="1399">
        <v>56510</v>
      </c>
    </row>
    <row r="487" spans="2:9">
      <c r="B487" s="1297"/>
      <c r="C487" s="1297"/>
      <c r="D487" s="1297" t="s">
        <v>1130</v>
      </c>
      <c r="H487" s="1399">
        <v>180</v>
      </c>
      <c r="I487" s="1399">
        <v>180</v>
      </c>
    </row>
    <row r="488" spans="2:9">
      <c r="B488" s="1297"/>
      <c r="C488" s="1297"/>
      <c r="D488" s="1297" t="s">
        <v>935</v>
      </c>
      <c r="H488" s="1399">
        <v>475185.07</v>
      </c>
      <c r="I488" s="1399">
        <v>475185.07</v>
      </c>
    </row>
    <row r="489" spans="2:9">
      <c r="B489" s="1297"/>
      <c r="C489" s="1297"/>
      <c r="D489" s="1297" t="s">
        <v>936</v>
      </c>
      <c r="H489" s="1399">
        <v>54973.63</v>
      </c>
      <c r="I489" s="1399">
        <v>54973.63</v>
      </c>
    </row>
    <row r="490" spans="2:9">
      <c r="B490" s="1297"/>
      <c r="C490" s="1297"/>
      <c r="D490" s="1297" t="s">
        <v>937</v>
      </c>
      <c r="H490" s="1399">
        <v>2590.65</v>
      </c>
      <c r="I490" s="1399">
        <v>2590.65</v>
      </c>
    </row>
    <row r="491" spans="2:9">
      <c r="B491" s="1297"/>
      <c r="C491" s="1297"/>
      <c r="D491" s="1297" t="s">
        <v>938</v>
      </c>
      <c r="H491" s="1399">
        <v>19839</v>
      </c>
      <c r="I491" s="1399">
        <v>19839</v>
      </c>
    </row>
    <row r="492" spans="2:9">
      <c r="B492" s="1297"/>
      <c r="C492" s="1297"/>
      <c r="D492" s="1297" t="s">
        <v>1131</v>
      </c>
      <c r="E492" s="1399">
        <v>59487.37</v>
      </c>
      <c r="I492" s="1399">
        <v>59487.37</v>
      </c>
    </row>
    <row r="493" spans="2:9">
      <c r="B493" s="1297"/>
      <c r="C493" s="1297"/>
      <c r="D493" s="1297" t="s">
        <v>940</v>
      </c>
      <c r="E493" s="1399">
        <v>1100370.25</v>
      </c>
      <c r="I493" s="1399">
        <v>1100370.25</v>
      </c>
    </row>
    <row r="494" spans="2:9">
      <c r="B494" s="1297"/>
      <c r="C494" s="1297"/>
      <c r="D494" s="1297" t="s">
        <v>941</v>
      </c>
      <c r="E494" s="1399">
        <v>438311.05000000005</v>
      </c>
      <c r="I494" s="1399">
        <v>438311.05000000005</v>
      </c>
    </row>
    <row r="495" spans="2:9">
      <c r="B495" s="1297"/>
      <c r="C495" s="1297"/>
      <c r="D495" s="1297" t="s">
        <v>942</v>
      </c>
      <c r="E495" s="1399">
        <v>11561.34</v>
      </c>
      <c r="I495" s="1399">
        <v>11561.34</v>
      </c>
    </row>
    <row r="496" spans="2:9">
      <c r="B496" s="1297"/>
      <c r="C496" s="1297"/>
      <c r="D496" s="1297" t="s">
        <v>944</v>
      </c>
      <c r="E496" s="1399">
        <v>1681473.34</v>
      </c>
      <c r="I496" s="1399">
        <v>1681473.34</v>
      </c>
    </row>
    <row r="497" spans="2:9">
      <c r="B497" s="1297"/>
      <c r="C497" s="1297"/>
      <c r="D497" s="1297" t="s">
        <v>945</v>
      </c>
      <c r="E497" s="1399">
        <v>1513879.6300000001</v>
      </c>
      <c r="I497" s="1399">
        <v>1513879.6300000001</v>
      </c>
    </row>
    <row r="498" spans="2:9">
      <c r="B498" s="1297"/>
      <c r="C498" s="1297"/>
      <c r="D498" s="1297" t="s">
        <v>978</v>
      </c>
      <c r="E498" s="1399">
        <v>1200</v>
      </c>
      <c r="I498" s="1399">
        <v>1200</v>
      </c>
    </row>
    <row r="499" spans="2:9">
      <c r="B499" s="1297"/>
      <c r="C499" s="1297"/>
      <c r="D499" s="1297" t="s">
        <v>947</v>
      </c>
      <c r="E499" s="1399">
        <v>104069.65999999997</v>
      </c>
      <c r="I499" s="1399">
        <v>104069.65999999997</v>
      </c>
    </row>
    <row r="500" spans="2:9">
      <c r="B500" s="1297"/>
      <c r="C500" s="1297"/>
      <c r="D500" s="1297" t="s">
        <v>1115</v>
      </c>
      <c r="E500" s="1399">
        <v>48000</v>
      </c>
      <c r="I500" s="1399">
        <v>48000</v>
      </c>
    </row>
    <row r="501" spans="2:9">
      <c r="B501" s="1297"/>
      <c r="C501" s="1297"/>
      <c r="D501" s="1297" t="s">
        <v>948</v>
      </c>
      <c r="G501" s="1399">
        <v>132306.93</v>
      </c>
      <c r="I501" s="1399">
        <v>132306.93</v>
      </c>
    </row>
    <row r="502" spans="2:9">
      <c r="B502" s="1297"/>
      <c r="C502" s="1297"/>
      <c r="D502" s="1297" t="s">
        <v>956</v>
      </c>
      <c r="G502" s="1399">
        <v>6071</v>
      </c>
      <c r="I502" s="1399">
        <v>6071</v>
      </c>
    </row>
    <row r="503" spans="2:9">
      <c r="B503" s="1297"/>
      <c r="C503" s="1297"/>
      <c r="D503" s="1297" t="s">
        <v>1118</v>
      </c>
      <c r="G503" s="1399">
        <v>203.75</v>
      </c>
      <c r="I503" s="1399">
        <v>203.75</v>
      </c>
    </row>
    <row r="504" spans="2:9">
      <c r="B504" s="1297"/>
      <c r="C504" s="1400" t="s">
        <v>1013</v>
      </c>
      <c r="D504" s="1400"/>
      <c r="E504" s="1401">
        <v>4958352.6400000006</v>
      </c>
      <c r="F504" s="1401">
        <v>6765302.2499999991</v>
      </c>
      <c r="G504" s="1401">
        <v>138581.68</v>
      </c>
      <c r="H504" s="1401">
        <v>19440170.699999999</v>
      </c>
      <c r="I504" s="1401">
        <v>31302407.27</v>
      </c>
    </row>
    <row r="505" spans="2:9">
      <c r="B505" s="1297" t="s">
        <v>1014</v>
      </c>
      <c r="C505" s="1297" t="s">
        <v>1015</v>
      </c>
      <c r="D505" s="1297" t="s">
        <v>906</v>
      </c>
      <c r="F505" s="1399">
        <v>5648792.4199999999</v>
      </c>
      <c r="I505" s="1399">
        <v>5648792.4199999999</v>
      </c>
    </row>
    <row r="506" spans="2:9">
      <c r="B506" s="1297"/>
      <c r="C506" s="1297"/>
      <c r="D506" s="1297" t="s">
        <v>952</v>
      </c>
      <c r="F506" s="1399">
        <v>57271.94</v>
      </c>
      <c r="I506" s="1399">
        <v>57271.94</v>
      </c>
    </row>
    <row r="507" spans="2:9">
      <c r="B507" s="1297"/>
      <c r="C507" s="1297"/>
      <c r="D507" s="1297" t="s">
        <v>907</v>
      </c>
      <c r="F507" s="1399">
        <v>1079329.0900000001</v>
      </c>
      <c r="I507" s="1399">
        <v>1079329.0900000001</v>
      </c>
    </row>
    <row r="508" spans="2:9">
      <c r="B508" s="1297"/>
      <c r="C508" s="1297"/>
      <c r="D508" s="1297" t="s">
        <v>908</v>
      </c>
      <c r="F508" s="1399">
        <v>26523.7</v>
      </c>
      <c r="I508" s="1399">
        <v>26523.7</v>
      </c>
    </row>
    <row r="509" spans="2:9">
      <c r="B509" s="1297"/>
      <c r="C509" s="1297"/>
      <c r="D509" s="1297" t="s">
        <v>909</v>
      </c>
      <c r="F509" s="1399">
        <v>19115.2</v>
      </c>
      <c r="I509" s="1399">
        <v>19115.2</v>
      </c>
    </row>
    <row r="510" spans="2:9">
      <c r="B510" s="1297"/>
      <c r="C510" s="1297"/>
      <c r="D510" s="1297" t="s">
        <v>910</v>
      </c>
      <c r="F510" s="1399">
        <v>41430.18</v>
      </c>
      <c r="I510" s="1399">
        <v>41430.18</v>
      </c>
    </row>
    <row r="511" spans="2:9">
      <c r="B511" s="1297"/>
      <c r="C511" s="1297"/>
      <c r="D511" s="1297" t="s">
        <v>1034</v>
      </c>
      <c r="F511" s="1399">
        <v>11295.369999999999</v>
      </c>
      <c r="I511" s="1399">
        <v>11295.369999999999</v>
      </c>
    </row>
    <row r="512" spans="2:9">
      <c r="B512" s="1297"/>
      <c r="C512" s="1297"/>
      <c r="D512" s="1297" t="s">
        <v>1035</v>
      </c>
      <c r="F512" s="1399">
        <v>106595.65</v>
      </c>
      <c r="I512" s="1399">
        <v>106595.65</v>
      </c>
    </row>
    <row r="513" spans="2:9">
      <c r="B513" s="1297"/>
      <c r="C513" s="1297"/>
      <c r="D513" s="1297" t="s">
        <v>1036</v>
      </c>
      <c r="F513" s="1399">
        <v>86378.23</v>
      </c>
      <c r="I513" s="1399">
        <v>86378.23</v>
      </c>
    </row>
    <row r="514" spans="2:9">
      <c r="B514" s="1297"/>
      <c r="C514" s="1297"/>
      <c r="D514" s="1297" t="s">
        <v>1039</v>
      </c>
      <c r="F514" s="1399">
        <v>52018.6</v>
      </c>
      <c r="I514" s="1399">
        <v>52018.6</v>
      </c>
    </row>
    <row r="515" spans="2:9">
      <c r="B515" s="1297"/>
      <c r="C515" s="1297"/>
      <c r="D515" s="1297" t="s">
        <v>1040</v>
      </c>
      <c r="F515" s="1399">
        <v>85803.540000000008</v>
      </c>
      <c r="I515" s="1399">
        <v>85803.540000000008</v>
      </c>
    </row>
    <row r="516" spans="2:9">
      <c r="B516" s="1297"/>
      <c r="C516" s="1297"/>
      <c r="D516" s="1297" t="s">
        <v>1041</v>
      </c>
      <c r="F516" s="1399">
        <v>13513.28</v>
      </c>
      <c r="I516" s="1399">
        <v>13513.28</v>
      </c>
    </row>
    <row r="517" spans="2:9">
      <c r="B517" s="1297"/>
      <c r="C517" s="1297"/>
      <c r="D517" s="1297" t="s">
        <v>1042</v>
      </c>
      <c r="F517" s="1399">
        <v>45110.84</v>
      </c>
      <c r="I517" s="1399">
        <v>45110.84</v>
      </c>
    </row>
    <row r="518" spans="2:9">
      <c r="B518" s="1297"/>
      <c r="C518" s="1297"/>
      <c r="D518" s="1297" t="s">
        <v>996</v>
      </c>
      <c r="F518" s="1399">
        <v>-1852.28</v>
      </c>
      <c r="I518" s="1399">
        <v>-1852.28</v>
      </c>
    </row>
    <row r="519" spans="2:9">
      <c r="B519" s="1297"/>
      <c r="C519" s="1297"/>
      <c r="D519" s="1297" t="s">
        <v>1044</v>
      </c>
      <c r="F519" s="1399">
        <v>93734.15</v>
      </c>
      <c r="I519" s="1399">
        <v>93734.15</v>
      </c>
    </row>
    <row r="520" spans="2:9">
      <c r="B520" s="1297"/>
      <c r="C520" s="1297"/>
      <c r="D520" s="1297" t="s">
        <v>1045</v>
      </c>
      <c r="F520" s="1399">
        <v>198294.88</v>
      </c>
      <c r="I520" s="1399">
        <v>198294.88</v>
      </c>
    </row>
    <row r="521" spans="2:9">
      <c r="B521" s="1297"/>
      <c r="C521" s="1297"/>
      <c r="D521" s="1297" t="s">
        <v>1046</v>
      </c>
      <c r="H521" s="1399">
        <v>10744744</v>
      </c>
      <c r="I521" s="1399">
        <v>10744744</v>
      </c>
    </row>
    <row r="522" spans="2:9">
      <c r="B522" s="1297"/>
      <c r="C522" s="1297"/>
      <c r="D522" s="1297" t="s">
        <v>1047</v>
      </c>
      <c r="H522" s="1399">
        <v>429155.27</v>
      </c>
      <c r="I522" s="1399">
        <v>429155.27</v>
      </c>
    </row>
    <row r="523" spans="2:9">
      <c r="B523" s="1297"/>
      <c r="C523" s="1297"/>
      <c r="D523" s="1297" t="s">
        <v>1048</v>
      </c>
      <c r="H523" s="1399">
        <v>-2035637</v>
      </c>
      <c r="I523" s="1399">
        <v>-2035637</v>
      </c>
    </row>
    <row r="524" spans="2:9">
      <c r="B524" s="1297"/>
      <c r="C524" s="1297"/>
      <c r="D524" s="1297" t="s">
        <v>932</v>
      </c>
      <c r="H524" s="1399">
        <v>383432</v>
      </c>
      <c r="I524" s="1399">
        <v>383432</v>
      </c>
    </row>
    <row r="525" spans="2:9">
      <c r="B525" s="1297"/>
      <c r="C525" s="1297"/>
      <c r="D525" s="1297" t="s">
        <v>955</v>
      </c>
      <c r="H525" s="1399">
        <v>-3808.64</v>
      </c>
      <c r="I525" s="1399">
        <v>-3808.64</v>
      </c>
    </row>
    <row r="526" spans="2:9">
      <c r="B526" s="1297"/>
      <c r="C526" s="1297"/>
      <c r="D526" s="1297" t="s">
        <v>934</v>
      </c>
      <c r="H526" s="1399">
        <v>40882</v>
      </c>
      <c r="I526" s="1399">
        <v>40882</v>
      </c>
    </row>
    <row r="527" spans="2:9">
      <c r="B527" s="1297"/>
      <c r="C527" s="1297"/>
      <c r="D527" s="1297" t="s">
        <v>935</v>
      </c>
      <c r="H527" s="1399">
        <v>930032.08000000007</v>
      </c>
      <c r="I527" s="1399">
        <v>930032.08000000007</v>
      </c>
    </row>
    <row r="528" spans="2:9">
      <c r="B528" s="1297"/>
      <c r="C528" s="1297"/>
      <c r="D528" s="1297" t="s">
        <v>936</v>
      </c>
      <c r="H528" s="1399">
        <v>35365.199999999997</v>
      </c>
      <c r="I528" s="1399">
        <v>35365.199999999997</v>
      </c>
    </row>
    <row r="529" spans="2:9">
      <c r="B529" s="1297"/>
      <c r="C529" s="1297"/>
      <c r="D529" s="1297" t="s">
        <v>937</v>
      </c>
      <c r="H529" s="1399">
        <v>22855.7</v>
      </c>
      <c r="I529" s="1399">
        <v>22855.7</v>
      </c>
    </row>
    <row r="530" spans="2:9">
      <c r="B530" s="1297"/>
      <c r="C530" s="1297"/>
      <c r="D530" s="1297" t="s">
        <v>938</v>
      </c>
      <c r="H530" s="1399">
        <v>14786</v>
      </c>
      <c r="I530" s="1399">
        <v>14786</v>
      </c>
    </row>
    <row r="531" spans="2:9">
      <c r="B531" s="1297"/>
      <c r="C531" s="1297"/>
      <c r="D531" s="1297" t="s">
        <v>940</v>
      </c>
      <c r="E531" s="1399">
        <v>820803</v>
      </c>
      <c r="I531" s="1399">
        <v>820803</v>
      </c>
    </row>
    <row r="532" spans="2:9">
      <c r="B532" s="1297"/>
      <c r="C532" s="1297"/>
      <c r="D532" s="1297" t="s">
        <v>941</v>
      </c>
      <c r="E532" s="1399">
        <v>438513.42</v>
      </c>
      <c r="I532" s="1399">
        <v>438513.42</v>
      </c>
    </row>
    <row r="533" spans="2:9">
      <c r="B533" s="1297"/>
      <c r="C533" s="1297"/>
      <c r="D533" s="1297" t="s">
        <v>943</v>
      </c>
      <c r="E533" s="1399">
        <v>17244.219999999998</v>
      </c>
      <c r="I533" s="1399">
        <v>17244.219999999998</v>
      </c>
    </row>
    <row r="534" spans="2:9">
      <c r="B534" s="1297"/>
      <c r="C534" s="1297"/>
      <c r="D534" s="1297" t="s">
        <v>944</v>
      </c>
      <c r="E534" s="1399">
        <v>2588652.23</v>
      </c>
      <c r="I534" s="1399">
        <v>2588652.23</v>
      </c>
    </row>
    <row r="535" spans="2:9">
      <c r="B535" s="1297"/>
      <c r="C535" s="1297"/>
      <c r="D535" s="1297" t="s">
        <v>945</v>
      </c>
      <c r="E535" s="1399">
        <v>1193024.27</v>
      </c>
      <c r="I535" s="1399">
        <v>1193024.27</v>
      </c>
    </row>
    <row r="536" spans="2:9">
      <c r="B536" s="1297"/>
      <c r="C536" s="1297"/>
      <c r="D536" s="1297" t="s">
        <v>978</v>
      </c>
      <c r="E536" s="1399">
        <v>1200</v>
      </c>
      <c r="I536" s="1399">
        <v>1200</v>
      </c>
    </row>
    <row r="537" spans="2:9">
      <c r="B537" s="1297"/>
      <c r="C537" s="1297"/>
      <c r="D537" s="1297" t="s">
        <v>947</v>
      </c>
      <c r="E537" s="1399">
        <v>90678.739999999991</v>
      </c>
      <c r="I537" s="1399">
        <v>90678.739999999991</v>
      </c>
    </row>
    <row r="538" spans="2:9">
      <c r="B538" s="1297"/>
      <c r="C538" s="1297"/>
      <c r="D538" s="1297" t="s">
        <v>948</v>
      </c>
      <c r="G538" s="1399">
        <v>1169071.8899999999</v>
      </c>
      <c r="I538" s="1399">
        <v>1169071.8899999999</v>
      </c>
    </row>
    <row r="539" spans="2:9">
      <c r="B539" s="1297"/>
      <c r="C539" s="1400" t="s">
        <v>1016</v>
      </c>
      <c r="D539" s="1400"/>
      <c r="E539" s="1401">
        <v>5150115.8800000008</v>
      </c>
      <c r="F539" s="1401">
        <v>7563354.790000001</v>
      </c>
      <c r="G539" s="1401">
        <v>1169071.8899999999</v>
      </c>
      <c r="H539" s="1401">
        <v>10561806.609999998</v>
      </c>
      <c r="I539" s="1401">
        <v>24444349.169999998</v>
      </c>
    </row>
    <row r="540" spans="2:9">
      <c r="B540" s="1297" t="s">
        <v>1017</v>
      </c>
      <c r="C540" s="1297" t="s">
        <v>1018</v>
      </c>
      <c r="D540" s="1297" t="s">
        <v>906</v>
      </c>
      <c r="F540" s="1399">
        <v>19852987.77</v>
      </c>
      <c r="I540" s="1399">
        <v>19852987.77</v>
      </c>
    </row>
    <row r="541" spans="2:9">
      <c r="B541" s="1297"/>
      <c r="C541" s="1297"/>
      <c r="D541" s="1297" t="s">
        <v>952</v>
      </c>
      <c r="F541" s="1399">
        <v>96201.8</v>
      </c>
      <c r="I541" s="1399">
        <v>96201.8</v>
      </c>
    </row>
    <row r="542" spans="2:9">
      <c r="B542" s="1297"/>
      <c r="C542" s="1297"/>
      <c r="D542" s="1297" t="s">
        <v>907</v>
      </c>
      <c r="F542" s="1399">
        <v>5010195.18</v>
      </c>
      <c r="I542" s="1399">
        <v>5010195.18</v>
      </c>
    </row>
    <row r="543" spans="2:9">
      <c r="B543" s="1297"/>
      <c r="C543" s="1297"/>
      <c r="D543" s="1297" t="s">
        <v>908</v>
      </c>
      <c r="F543" s="1399">
        <v>26321.37</v>
      </c>
      <c r="I543" s="1399">
        <v>26321.37</v>
      </c>
    </row>
    <row r="544" spans="2:9">
      <c r="B544" s="1297"/>
      <c r="C544" s="1297"/>
      <c r="D544" s="1297" t="s">
        <v>1122</v>
      </c>
      <c r="F544" s="1399">
        <v>-2047</v>
      </c>
      <c r="I544" s="1399">
        <v>-2047</v>
      </c>
    </row>
    <row r="545" spans="2:9">
      <c r="B545" s="1297"/>
      <c r="C545" s="1297"/>
      <c r="D545" s="1297" t="s">
        <v>909</v>
      </c>
      <c r="F545" s="1399">
        <v>16385.689999999999</v>
      </c>
      <c r="I545" s="1399">
        <v>16385.689999999999</v>
      </c>
    </row>
    <row r="546" spans="2:9">
      <c r="B546" s="1297"/>
      <c r="C546" s="1297"/>
      <c r="D546" s="1297" t="s">
        <v>910</v>
      </c>
      <c r="F546" s="1399">
        <v>131053.62</v>
      </c>
      <c r="I546" s="1399">
        <v>131053.62</v>
      </c>
    </row>
    <row r="547" spans="2:9">
      <c r="B547" s="1297"/>
      <c r="C547" s="1297"/>
      <c r="D547" s="1297" t="s">
        <v>1034</v>
      </c>
      <c r="F547" s="1399">
        <v>45134.04</v>
      </c>
      <c r="I547" s="1399">
        <v>45134.04</v>
      </c>
    </row>
    <row r="548" spans="2:9">
      <c r="B548" s="1297"/>
      <c r="C548" s="1297"/>
      <c r="D548" s="1297" t="s">
        <v>1035</v>
      </c>
      <c r="F548" s="1399">
        <v>526253.48</v>
      </c>
      <c r="I548" s="1399">
        <v>526253.48</v>
      </c>
    </row>
    <row r="549" spans="2:9">
      <c r="B549" s="1297"/>
      <c r="C549" s="1297"/>
      <c r="D549" s="1297" t="s">
        <v>1036</v>
      </c>
      <c r="F549" s="1399">
        <v>164451.71</v>
      </c>
      <c r="I549" s="1399">
        <v>164451.71</v>
      </c>
    </row>
    <row r="550" spans="2:9">
      <c r="B550" s="1297"/>
      <c r="C550" s="1297"/>
      <c r="D550" s="1297" t="s">
        <v>1039</v>
      </c>
      <c r="F550" s="1399">
        <v>419494.04</v>
      </c>
      <c r="I550" s="1399">
        <v>419494.04</v>
      </c>
    </row>
    <row r="551" spans="2:9">
      <c r="B551" s="1297"/>
      <c r="C551" s="1297"/>
      <c r="D551" s="1297" t="s">
        <v>1040</v>
      </c>
      <c r="F551" s="1399">
        <v>1048189.42</v>
      </c>
      <c r="I551" s="1399">
        <v>1048189.42</v>
      </c>
    </row>
    <row r="552" spans="2:9">
      <c r="B552" s="1297"/>
      <c r="C552" s="1297"/>
      <c r="D552" s="1297" t="s">
        <v>1041</v>
      </c>
      <c r="F552" s="1399">
        <v>174842.82</v>
      </c>
      <c r="I552" s="1399">
        <v>174842.82</v>
      </c>
    </row>
    <row r="553" spans="2:9">
      <c r="B553" s="1297"/>
      <c r="C553" s="1297"/>
      <c r="D553" s="1297" t="s">
        <v>1042</v>
      </c>
      <c r="F553" s="1399">
        <v>93323.32</v>
      </c>
      <c r="I553" s="1399">
        <v>93323.32</v>
      </c>
    </row>
    <row r="554" spans="2:9">
      <c r="B554" s="1297"/>
      <c r="C554" s="1297"/>
      <c r="D554" s="1297" t="s">
        <v>985</v>
      </c>
      <c r="F554" s="1399">
        <v>878051.86</v>
      </c>
      <c r="I554" s="1399">
        <v>878051.86</v>
      </c>
    </row>
    <row r="555" spans="2:9">
      <c r="B555" s="1297"/>
      <c r="C555" s="1297"/>
      <c r="D555" s="1297" t="s">
        <v>1044</v>
      </c>
      <c r="F555" s="1399">
        <v>22736.9</v>
      </c>
      <c r="I555" s="1399">
        <v>22736.9</v>
      </c>
    </row>
    <row r="556" spans="2:9">
      <c r="B556" s="1297"/>
      <c r="C556" s="1297"/>
      <c r="D556" s="1297" t="s">
        <v>1045</v>
      </c>
      <c r="F556" s="1399">
        <v>231120.73</v>
      </c>
      <c r="I556" s="1399">
        <v>231120.73</v>
      </c>
    </row>
    <row r="557" spans="2:9">
      <c r="B557" s="1297"/>
      <c r="C557" s="1297"/>
      <c r="D557" s="1297" t="s">
        <v>1046</v>
      </c>
      <c r="H557" s="1399">
        <v>35414847</v>
      </c>
      <c r="I557" s="1399">
        <v>35414847</v>
      </c>
    </row>
    <row r="558" spans="2:9">
      <c r="B558" s="1297"/>
      <c r="C558" s="1297"/>
      <c r="D558" s="1297" t="s">
        <v>1128</v>
      </c>
      <c r="H558" s="1399">
        <v>3146868</v>
      </c>
      <c r="I558" s="1399">
        <v>3146868</v>
      </c>
    </row>
    <row r="559" spans="2:9">
      <c r="B559" s="1297"/>
      <c r="C559" s="1297"/>
      <c r="D559" s="1297" t="s">
        <v>1129</v>
      </c>
      <c r="H559" s="1399">
        <v>-4491870</v>
      </c>
      <c r="I559" s="1399">
        <v>-4491870</v>
      </c>
    </row>
    <row r="560" spans="2:9">
      <c r="B560" s="1297"/>
      <c r="C560" s="1297"/>
      <c r="D560" s="1297" t="s">
        <v>1047</v>
      </c>
      <c r="H560" s="1399">
        <v>603082</v>
      </c>
      <c r="I560" s="1399">
        <v>603082</v>
      </c>
    </row>
    <row r="561" spans="2:9">
      <c r="B561" s="1297"/>
      <c r="C561" s="1297"/>
      <c r="D561" s="1297" t="s">
        <v>1048</v>
      </c>
      <c r="H561" s="1399">
        <v>-5737449</v>
      </c>
      <c r="I561" s="1399">
        <v>-5737449</v>
      </c>
    </row>
    <row r="562" spans="2:9">
      <c r="B562" s="1297"/>
      <c r="C562" s="1297"/>
      <c r="D562" s="1297" t="s">
        <v>932</v>
      </c>
      <c r="H562" s="1399">
        <v>1603515</v>
      </c>
      <c r="I562" s="1399">
        <v>1603515</v>
      </c>
    </row>
    <row r="563" spans="2:9">
      <c r="B563" s="1297"/>
      <c r="C563" s="1297"/>
      <c r="D563" s="1297" t="s">
        <v>955</v>
      </c>
      <c r="H563" s="1399">
        <v>1040898.33</v>
      </c>
      <c r="I563" s="1399">
        <v>1040898.33</v>
      </c>
    </row>
    <row r="564" spans="2:9">
      <c r="B564" s="1297"/>
      <c r="C564" s="1297"/>
      <c r="D564" s="1297" t="s">
        <v>934</v>
      </c>
      <c r="H564" s="1399">
        <v>100410</v>
      </c>
      <c r="I564" s="1399">
        <v>100410</v>
      </c>
    </row>
    <row r="565" spans="2:9">
      <c r="B565" s="1297"/>
      <c r="C565" s="1297"/>
      <c r="D565" s="1297" t="s">
        <v>935</v>
      </c>
      <c r="H565" s="1399">
        <v>392770.27</v>
      </c>
      <c r="I565" s="1399">
        <v>392770.27</v>
      </c>
    </row>
    <row r="566" spans="2:9">
      <c r="B566" s="1297"/>
      <c r="C566" s="1297"/>
      <c r="D566" s="1297" t="s">
        <v>936</v>
      </c>
      <c r="H566" s="1399">
        <v>80534.62</v>
      </c>
      <c r="I566" s="1399">
        <v>80534.62</v>
      </c>
    </row>
    <row r="567" spans="2:9">
      <c r="B567" s="1297"/>
      <c r="C567" s="1297"/>
      <c r="D567" s="1297" t="s">
        <v>938</v>
      </c>
      <c r="H567" s="1399">
        <v>27700</v>
      </c>
      <c r="I567" s="1399">
        <v>27700</v>
      </c>
    </row>
    <row r="568" spans="2:9">
      <c r="B568" s="1297"/>
      <c r="C568" s="1297"/>
      <c r="D568" s="1297" t="s">
        <v>1131</v>
      </c>
      <c r="E568" s="1399">
        <v>200283.28999999998</v>
      </c>
      <c r="I568" s="1399">
        <v>200283.28999999998</v>
      </c>
    </row>
    <row r="569" spans="2:9">
      <c r="B569" s="1297"/>
      <c r="C569" s="1297"/>
      <c r="D569" s="1297" t="s">
        <v>940</v>
      </c>
      <c r="E569" s="1399">
        <v>1288087.6599999999</v>
      </c>
      <c r="I569" s="1399">
        <v>1288087.6599999999</v>
      </c>
    </row>
    <row r="570" spans="2:9">
      <c r="B570" s="1297"/>
      <c r="C570" s="1297"/>
      <c r="D570" s="1297" t="s">
        <v>941</v>
      </c>
      <c r="E570" s="1399">
        <v>209012.24</v>
      </c>
      <c r="I570" s="1399">
        <v>209012.24</v>
      </c>
    </row>
    <row r="571" spans="2:9">
      <c r="B571" s="1297"/>
      <c r="C571" s="1297"/>
      <c r="D571" s="1297" t="s">
        <v>944</v>
      </c>
      <c r="E571" s="1399">
        <v>2100207.79</v>
      </c>
      <c r="I571" s="1399">
        <v>2100207.79</v>
      </c>
    </row>
    <row r="572" spans="2:9">
      <c r="B572" s="1297"/>
      <c r="C572" s="1297"/>
      <c r="D572" s="1297" t="s">
        <v>945</v>
      </c>
      <c r="E572" s="1399">
        <v>2134367.83</v>
      </c>
      <c r="I572" s="1399">
        <v>2134367.83</v>
      </c>
    </row>
    <row r="573" spans="2:9">
      <c r="B573" s="1297"/>
      <c r="C573" s="1297"/>
      <c r="D573" s="1297" t="s">
        <v>1006</v>
      </c>
      <c r="E573" s="1399">
        <v>349018.05</v>
      </c>
      <c r="I573" s="1399">
        <v>349018.05</v>
      </c>
    </row>
    <row r="574" spans="2:9">
      <c r="B574" s="1297"/>
      <c r="C574" s="1297"/>
      <c r="D574" s="1297" t="s">
        <v>947</v>
      </c>
      <c r="E574" s="1399">
        <v>400712.24</v>
      </c>
      <c r="I574" s="1399">
        <v>400712.24</v>
      </c>
    </row>
    <row r="575" spans="2:9">
      <c r="B575" s="1297"/>
      <c r="C575" s="1297"/>
      <c r="D575" s="1297" t="s">
        <v>948</v>
      </c>
      <c r="G575" s="1399">
        <v>5861682.5700000003</v>
      </c>
      <c r="I575" s="1399">
        <v>5861682.5700000003</v>
      </c>
    </row>
    <row r="576" spans="2:9">
      <c r="B576" s="1297"/>
      <c r="C576" s="1400" t="s">
        <v>1019</v>
      </c>
      <c r="D576" s="1400"/>
      <c r="E576" s="1401">
        <v>6681689.1000000006</v>
      </c>
      <c r="F576" s="1401">
        <v>28734696.750000004</v>
      </c>
      <c r="G576" s="1401">
        <v>5861682.5700000003</v>
      </c>
      <c r="H576" s="1401">
        <v>32181306.219999999</v>
      </c>
      <c r="I576" s="1401">
        <v>73459374.639999986</v>
      </c>
    </row>
    <row r="577" spans="2:9">
      <c r="B577" s="1297" t="s">
        <v>1020</v>
      </c>
      <c r="C577" s="1297" t="s">
        <v>1021</v>
      </c>
      <c r="D577" s="1297" t="s">
        <v>906</v>
      </c>
      <c r="F577" s="1399">
        <v>18547231.27</v>
      </c>
      <c r="I577" s="1399">
        <v>18547231.27</v>
      </c>
    </row>
    <row r="578" spans="2:9">
      <c r="B578" s="1297"/>
      <c r="C578" s="1297"/>
      <c r="D578" s="1297" t="s">
        <v>1126</v>
      </c>
      <c r="F578" s="1399">
        <v>10041732.15</v>
      </c>
      <c r="I578" s="1399">
        <v>10041732.15</v>
      </c>
    </row>
    <row r="579" spans="2:9">
      <c r="B579" s="1297"/>
      <c r="C579" s="1297"/>
      <c r="D579" s="1297" t="s">
        <v>952</v>
      </c>
      <c r="F579" s="1399">
        <v>307599.13</v>
      </c>
      <c r="I579" s="1399">
        <v>307599.13</v>
      </c>
    </row>
    <row r="580" spans="2:9">
      <c r="B580" s="1297"/>
      <c r="C580" s="1297"/>
      <c r="D580" s="1297" t="s">
        <v>907</v>
      </c>
      <c r="F580" s="1399">
        <v>10038558.5</v>
      </c>
      <c r="I580" s="1399">
        <v>10038558.5</v>
      </c>
    </row>
    <row r="581" spans="2:9">
      <c r="B581" s="1297"/>
      <c r="C581" s="1297"/>
      <c r="D581" s="1297" t="s">
        <v>908</v>
      </c>
      <c r="F581" s="1399">
        <v>9519.0400000000009</v>
      </c>
      <c r="I581" s="1399">
        <v>9519.0400000000009</v>
      </c>
    </row>
    <row r="582" spans="2:9">
      <c r="B582" s="1297"/>
      <c r="C582" s="1297"/>
      <c r="D582" s="1297" t="s">
        <v>1122</v>
      </c>
      <c r="F582" s="1399">
        <v>-280960</v>
      </c>
      <c r="I582" s="1399">
        <v>-280960</v>
      </c>
    </row>
    <row r="583" spans="2:9">
      <c r="B583" s="1297"/>
      <c r="C583" s="1297"/>
      <c r="D583" s="1297" t="s">
        <v>1035</v>
      </c>
      <c r="F583" s="1399">
        <v>125833.59</v>
      </c>
      <c r="I583" s="1399">
        <v>125833.59</v>
      </c>
    </row>
    <row r="584" spans="2:9">
      <c r="B584" s="1297"/>
      <c r="C584" s="1297"/>
      <c r="D584" s="1297" t="s">
        <v>1036</v>
      </c>
      <c r="F584" s="1399">
        <v>183756.22</v>
      </c>
      <c r="I584" s="1399">
        <v>183756.22</v>
      </c>
    </row>
    <row r="585" spans="2:9">
      <c r="B585" s="1297"/>
      <c r="C585" s="1297"/>
      <c r="D585" s="1297" t="s">
        <v>1037</v>
      </c>
      <c r="F585" s="1399">
        <v>1329</v>
      </c>
      <c r="I585" s="1399">
        <v>1329</v>
      </c>
    </row>
    <row r="586" spans="2:9">
      <c r="B586" s="1297"/>
      <c r="C586" s="1297"/>
      <c r="D586" s="1297" t="s">
        <v>1039</v>
      </c>
      <c r="F586" s="1399">
        <v>160934.73000000007</v>
      </c>
      <c r="I586" s="1399">
        <v>160934.73000000007</v>
      </c>
    </row>
    <row r="587" spans="2:9">
      <c r="B587" s="1297"/>
      <c r="C587" s="1297"/>
      <c r="D587" s="1297" t="s">
        <v>1040</v>
      </c>
      <c r="F587" s="1399">
        <v>796909.39999999991</v>
      </c>
      <c r="I587" s="1399">
        <v>796909.39999999991</v>
      </c>
    </row>
    <row r="588" spans="2:9">
      <c r="B588" s="1297"/>
      <c r="C588" s="1297"/>
      <c r="D588" s="1297" t="s">
        <v>1041</v>
      </c>
      <c r="F588" s="1399">
        <v>283618.65000000002</v>
      </c>
      <c r="I588" s="1399">
        <v>283618.65000000002</v>
      </c>
    </row>
    <row r="589" spans="2:9">
      <c r="B589" s="1297"/>
      <c r="C589" s="1297"/>
      <c r="D589" s="1297" t="s">
        <v>1042</v>
      </c>
      <c r="F589" s="1399">
        <v>138649.51999999999</v>
      </c>
      <c r="I589" s="1399">
        <v>138649.51999999999</v>
      </c>
    </row>
    <row r="590" spans="2:9">
      <c r="B590" s="1297"/>
      <c r="C590" s="1297"/>
      <c r="D590" s="1297" t="s">
        <v>954</v>
      </c>
      <c r="F590" s="1399">
        <v>1668037.1400000001</v>
      </c>
      <c r="I590" s="1399">
        <v>1668037.1400000001</v>
      </c>
    </row>
    <row r="591" spans="2:9">
      <c r="B591" s="1297"/>
      <c r="C591" s="1297"/>
      <c r="D591" s="1297" t="s">
        <v>986</v>
      </c>
      <c r="F591" s="1399">
        <v>119572.03</v>
      </c>
      <c r="I591" s="1399">
        <v>119572.03</v>
      </c>
    </row>
    <row r="592" spans="2:9">
      <c r="B592" s="1297"/>
      <c r="C592" s="1297"/>
      <c r="D592" s="1297" t="s">
        <v>996</v>
      </c>
      <c r="F592" s="1399">
        <v>115350</v>
      </c>
      <c r="I592" s="1399">
        <v>115350</v>
      </c>
    </row>
    <row r="593" spans="2:9">
      <c r="B593" s="1297"/>
      <c r="C593" s="1297"/>
      <c r="D593" s="1297" t="s">
        <v>1044</v>
      </c>
      <c r="F593" s="1399">
        <v>295589.14</v>
      </c>
      <c r="I593" s="1399">
        <v>295589.14</v>
      </c>
    </row>
    <row r="594" spans="2:9">
      <c r="B594" s="1297"/>
      <c r="C594" s="1297"/>
      <c r="D594" s="1297" t="s">
        <v>1045</v>
      </c>
      <c r="F594" s="1399">
        <v>877806.66999999981</v>
      </c>
      <c r="I594" s="1399">
        <v>877806.66999999981</v>
      </c>
    </row>
    <row r="595" spans="2:9">
      <c r="B595" s="1297"/>
      <c r="C595" s="1297"/>
      <c r="D595" s="1297" t="s">
        <v>1046</v>
      </c>
      <c r="H595" s="1399">
        <v>47740760</v>
      </c>
      <c r="I595" s="1399">
        <v>47740760</v>
      </c>
    </row>
    <row r="596" spans="2:9">
      <c r="B596" s="1297"/>
      <c r="C596" s="1297"/>
      <c r="D596" s="1297" t="s">
        <v>1128</v>
      </c>
      <c r="H596" s="1399">
        <v>3922400</v>
      </c>
      <c r="I596" s="1399">
        <v>3922400</v>
      </c>
    </row>
    <row r="597" spans="2:9">
      <c r="B597" s="1297"/>
      <c r="C597" s="1297"/>
      <c r="D597" s="1297" t="s">
        <v>1129</v>
      </c>
      <c r="H597" s="1399">
        <v>-6409438</v>
      </c>
      <c r="I597" s="1399">
        <v>-6409438</v>
      </c>
    </row>
    <row r="598" spans="2:9">
      <c r="B598" s="1297"/>
      <c r="C598" s="1297"/>
      <c r="D598" s="1297" t="s">
        <v>1047</v>
      </c>
      <c r="H598" s="1399">
        <v>1399870</v>
      </c>
      <c r="I598" s="1399">
        <v>1399870</v>
      </c>
    </row>
    <row r="599" spans="2:9">
      <c r="B599" s="1297"/>
      <c r="C599" s="1297"/>
      <c r="D599" s="1297" t="s">
        <v>1048</v>
      </c>
      <c r="H599" s="1399">
        <v>-7800977</v>
      </c>
      <c r="I599" s="1399">
        <v>-7800977</v>
      </c>
    </row>
    <row r="600" spans="2:9">
      <c r="B600" s="1297"/>
      <c r="C600" s="1297"/>
      <c r="D600" s="1297" t="s">
        <v>932</v>
      </c>
      <c r="H600" s="1399">
        <v>2506159</v>
      </c>
      <c r="I600" s="1399">
        <v>2506159</v>
      </c>
    </row>
    <row r="601" spans="2:9">
      <c r="B601" s="1297"/>
      <c r="C601" s="1297"/>
      <c r="D601" s="1297" t="s">
        <v>955</v>
      </c>
      <c r="H601" s="1399">
        <v>1767453.44</v>
      </c>
      <c r="I601" s="1399">
        <v>1767453.44</v>
      </c>
    </row>
    <row r="602" spans="2:9">
      <c r="B602" s="1297"/>
      <c r="C602" s="1297"/>
      <c r="D602" s="1297" t="s">
        <v>934</v>
      </c>
      <c r="H602" s="1399">
        <v>135636</v>
      </c>
      <c r="I602" s="1399">
        <v>135636</v>
      </c>
    </row>
    <row r="603" spans="2:9">
      <c r="B603" s="1297"/>
      <c r="C603" s="1297"/>
      <c r="D603" s="1297" t="s">
        <v>1130</v>
      </c>
      <c r="H603" s="1399">
        <v>1342343</v>
      </c>
      <c r="I603" s="1399">
        <v>1342343</v>
      </c>
    </row>
    <row r="604" spans="2:9">
      <c r="B604" s="1297"/>
      <c r="C604" s="1297"/>
      <c r="D604" s="1297" t="s">
        <v>935</v>
      </c>
      <c r="H604" s="1399">
        <v>970726.51</v>
      </c>
      <c r="I604" s="1399">
        <v>970726.51</v>
      </c>
    </row>
    <row r="605" spans="2:9">
      <c r="B605" s="1297"/>
      <c r="C605" s="1297"/>
      <c r="D605" s="1297" t="s">
        <v>936</v>
      </c>
      <c r="H605" s="1399">
        <v>179977.38</v>
      </c>
      <c r="I605" s="1399">
        <v>179977.38</v>
      </c>
    </row>
    <row r="606" spans="2:9">
      <c r="B606" s="1297"/>
      <c r="C606" s="1297"/>
      <c r="D606" s="1297" t="s">
        <v>937</v>
      </c>
      <c r="H606" s="1399">
        <v>48935.76</v>
      </c>
      <c r="I606" s="1399">
        <v>48935.76</v>
      </c>
    </row>
    <row r="607" spans="2:9">
      <c r="B607" s="1297"/>
      <c r="C607" s="1297"/>
      <c r="D607" s="1297" t="s">
        <v>938</v>
      </c>
      <c r="H607" s="1399">
        <v>56709</v>
      </c>
      <c r="I607" s="1399">
        <v>56709</v>
      </c>
    </row>
    <row r="608" spans="2:9">
      <c r="B608" s="1297"/>
      <c r="C608" s="1297"/>
      <c r="D608" s="1297" t="s">
        <v>939</v>
      </c>
      <c r="H608" s="1399">
        <v>43908.29</v>
      </c>
      <c r="I608" s="1399">
        <v>43908.29</v>
      </c>
    </row>
    <row r="609" spans="2:9">
      <c r="B609" s="1297"/>
      <c r="C609" s="1297"/>
      <c r="D609" s="1297" t="s">
        <v>940</v>
      </c>
      <c r="E609" s="1399">
        <v>2447984</v>
      </c>
      <c r="I609" s="1399">
        <v>2447984</v>
      </c>
    </row>
    <row r="610" spans="2:9">
      <c r="B610" s="1297"/>
      <c r="C610" s="1297"/>
      <c r="D610" s="1297" t="s">
        <v>941</v>
      </c>
      <c r="E610" s="1399">
        <v>806360.76</v>
      </c>
      <c r="I610" s="1399">
        <v>806360.76</v>
      </c>
    </row>
    <row r="611" spans="2:9">
      <c r="B611" s="1297"/>
      <c r="C611" s="1297"/>
      <c r="D611" s="1297" t="s">
        <v>943</v>
      </c>
      <c r="E611" s="1399">
        <v>51482.37</v>
      </c>
      <c r="I611" s="1399">
        <v>51482.37</v>
      </c>
    </row>
    <row r="612" spans="2:9">
      <c r="B612" s="1297"/>
      <c r="C612" s="1297"/>
      <c r="D612" s="1297" t="s">
        <v>944</v>
      </c>
      <c r="E612" s="1399">
        <v>5808599.2300000004</v>
      </c>
      <c r="I612" s="1399">
        <v>5808599.2300000004</v>
      </c>
    </row>
    <row r="613" spans="2:9">
      <c r="B613" s="1297"/>
      <c r="C613" s="1297"/>
      <c r="D613" s="1297" t="s">
        <v>945</v>
      </c>
      <c r="E613" s="1399">
        <v>3693386.19</v>
      </c>
      <c r="I613" s="1399">
        <v>3693386.19</v>
      </c>
    </row>
    <row r="614" spans="2:9">
      <c r="B614" s="1297"/>
      <c r="C614" s="1297"/>
      <c r="D614" s="1297" t="s">
        <v>946</v>
      </c>
      <c r="E614" s="1399">
        <v>475902.44999999995</v>
      </c>
      <c r="I614" s="1399">
        <v>475902.44999999995</v>
      </c>
    </row>
    <row r="615" spans="2:9">
      <c r="B615" s="1297"/>
      <c r="C615" s="1297"/>
      <c r="D615" s="1297" t="s">
        <v>947</v>
      </c>
      <c r="E615" s="1399">
        <v>284081.54000000004</v>
      </c>
      <c r="I615" s="1399">
        <v>284081.54000000004</v>
      </c>
    </row>
    <row r="616" spans="2:9">
      <c r="B616" s="1297"/>
      <c r="C616" s="1297"/>
      <c r="D616" s="1297" t="s">
        <v>1116</v>
      </c>
      <c r="G616" s="1399">
        <v>13600500</v>
      </c>
      <c r="I616" s="1399">
        <v>13600500</v>
      </c>
    </row>
    <row r="617" spans="2:9">
      <c r="B617" s="1297"/>
      <c r="C617" s="1297"/>
      <c r="D617" s="1297" t="s">
        <v>948</v>
      </c>
      <c r="G617" s="1399">
        <v>8350984.4900000012</v>
      </c>
      <c r="I617" s="1399">
        <v>8350984.4900000012</v>
      </c>
    </row>
    <row r="618" spans="2:9">
      <c r="B618" s="1297"/>
      <c r="C618" s="1400" t="s">
        <v>1022</v>
      </c>
      <c r="D618" s="1400"/>
      <c r="E618" s="1401">
        <v>13567796.539999999</v>
      </c>
      <c r="F618" s="1401">
        <v>43431066.18</v>
      </c>
      <c r="G618" s="1401">
        <v>21951484.490000002</v>
      </c>
      <c r="H618" s="1401">
        <v>45904463.379999995</v>
      </c>
      <c r="I618" s="1401">
        <v>124854810.59000003</v>
      </c>
    </row>
    <row r="619" spans="2:9">
      <c r="B619" s="1297" t="s">
        <v>1023</v>
      </c>
      <c r="C619" s="1297" t="s">
        <v>1024</v>
      </c>
      <c r="D619" s="1297" t="s">
        <v>906</v>
      </c>
      <c r="F619" s="1399">
        <v>21178206.510000002</v>
      </c>
      <c r="I619" s="1399">
        <v>21178206.510000002</v>
      </c>
    </row>
    <row r="620" spans="2:9">
      <c r="B620" s="1297"/>
      <c r="C620" s="1297"/>
      <c r="D620" s="1297" t="s">
        <v>952</v>
      </c>
      <c r="F620" s="1399">
        <v>56542.47</v>
      </c>
      <c r="I620" s="1399">
        <v>56542.47</v>
      </c>
    </row>
    <row r="621" spans="2:9">
      <c r="B621" s="1297"/>
      <c r="C621" s="1297"/>
      <c r="D621" s="1297" t="s">
        <v>995</v>
      </c>
      <c r="F621" s="1399">
        <v>52325.84</v>
      </c>
      <c r="I621" s="1399">
        <v>52325.84</v>
      </c>
    </row>
    <row r="622" spans="2:9">
      <c r="B622" s="1297"/>
      <c r="C622" s="1297"/>
      <c r="D622" s="1297" t="s">
        <v>908</v>
      </c>
      <c r="F622" s="1399">
        <v>29261.03</v>
      </c>
      <c r="I622" s="1399">
        <v>29261.03</v>
      </c>
    </row>
    <row r="623" spans="2:9">
      <c r="B623" s="1297"/>
      <c r="C623" s="1297"/>
      <c r="D623" s="1297" t="s">
        <v>1034</v>
      </c>
      <c r="F623" s="1399">
        <v>45980.5</v>
      </c>
      <c r="I623" s="1399">
        <v>45980.5</v>
      </c>
    </row>
    <row r="624" spans="2:9">
      <c r="B624" s="1297"/>
      <c r="C624" s="1297"/>
      <c r="D624" s="1297" t="s">
        <v>1037</v>
      </c>
      <c r="F624" s="1399">
        <v>1370</v>
      </c>
      <c r="I624" s="1399">
        <v>1370</v>
      </c>
    </row>
    <row r="625" spans="2:9">
      <c r="B625" s="1297"/>
      <c r="C625" s="1297"/>
      <c r="D625" s="1297" t="s">
        <v>1003</v>
      </c>
      <c r="F625" s="1399">
        <v>5441.55</v>
      </c>
      <c r="I625" s="1399">
        <v>5441.55</v>
      </c>
    </row>
    <row r="626" spans="2:9">
      <c r="B626" s="1297"/>
      <c r="C626" s="1297"/>
      <c r="D626" s="1297" t="s">
        <v>1039</v>
      </c>
      <c r="F626" s="1399">
        <v>61714.73</v>
      </c>
      <c r="I626" s="1399">
        <v>61714.73</v>
      </c>
    </row>
    <row r="627" spans="2:9">
      <c r="B627" s="1297"/>
      <c r="C627" s="1297"/>
      <c r="D627" s="1297" t="s">
        <v>1041</v>
      </c>
      <c r="F627" s="1399">
        <v>66561.11</v>
      </c>
      <c r="I627" s="1399">
        <v>66561.11</v>
      </c>
    </row>
    <row r="628" spans="2:9">
      <c r="B628" s="1297"/>
      <c r="C628" s="1297"/>
      <c r="D628" s="1297" t="s">
        <v>1042</v>
      </c>
      <c r="F628" s="1399">
        <v>107958.08999999998</v>
      </c>
      <c r="I628" s="1399">
        <v>107958.08999999998</v>
      </c>
    </row>
    <row r="629" spans="2:9">
      <c r="B629" s="1297"/>
      <c r="C629" s="1297"/>
      <c r="D629" s="1297" t="s">
        <v>985</v>
      </c>
      <c r="F629" s="1399">
        <v>43100.42</v>
      </c>
      <c r="I629" s="1399">
        <v>43100.42</v>
      </c>
    </row>
    <row r="630" spans="2:9">
      <c r="B630" s="1297"/>
      <c r="C630" s="1297"/>
      <c r="D630" s="1297" t="s">
        <v>1043</v>
      </c>
      <c r="F630" s="1399">
        <v>85055</v>
      </c>
      <c r="I630" s="1399">
        <v>85055</v>
      </c>
    </row>
    <row r="631" spans="2:9">
      <c r="B631" s="1297"/>
      <c r="C631" s="1297"/>
      <c r="D631" s="1297" t="s">
        <v>1044</v>
      </c>
      <c r="F631" s="1399">
        <v>51876.56</v>
      </c>
      <c r="I631" s="1399">
        <v>51876.56</v>
      </c>
    </row>
    <row r="632" spans="2:9">
      <c r="B632" s="1297"/>
      <c r="C632" s="1297"/>
      <c r="D632" s="1297" t="s">
        <v>1045</v>
      </c>
      <c r="F632" s="1399">
        <v>331176.67000000004</v>
      </c>
      <c r="I632" s="1399">
        <v>331176.67000000004</v>
      </c>
    </row>
    <row r="633" spans="2:9">
      <c r="B633" s="1297"/>
      <c r="C633" s="1297"/>
      <c r="D633" s="1297" t="s">
        <v>1046</v>
      </c>
      <c r="H633" s="1399">
        <v>22356110</v>
      </c>
      <c r="I633" s="1399">
        <v>22356110</v>
      </c>
    </row>
    <row r="634" spans="2:9">
      <c r="B634" s="1297"/>
      <c r="C634" s="1297"/>
      <c r="D634" s="1297" t="s">
        <v>1128</v>
      </c>
      <c r="H634" s="1399">
        <v>1886770</v>
      </c>
      <c r="I634" s="1399">
        <v>1886770</v>
      </c>
    </row>
    <row r="635" spans="2:9">
      <c r="B635" s="1297"/>
      <c r="C635" s="1297"/>
      <c r="D635" s="1297" t="s">
        <v>1129</v>
      </c>
      <c r="H635" s="1399">
        <v>-2604918</v>
      </c>
      <c r="I635" s="1399">
        <v>-2604918</v>
      </c>
    </row>
    <row r="636" spans="2:9">
      <c r="B636" s="1297"/>
      <c r="C636" s="1297"/>
      <c r="D636" s="1297" t="s">
        <v>1047</v>
      </c>
      <c r="H636" s="1399">
        <v>957292</v>
      </c>
      <c r="I636" s="1399">
        <v>957292</v>
      </c>
    </row>
    <row r="637" spans="2:9">
      <c r="B637" s="1297"/>
      <c r="C637" s="1297"/>
      <c r="D637" s="1297" t="s">
        <v>1048</v>
      </c>
      <c r="H637" s="1399">
        <v>-6788158</v>
      </c>
      <c r="I637" s="1399">
        <v>-6788158</v>
      </c>
    </row>
    <row r="638" spans="2:9">
      <c r="B638" s="1297"/>
      <c r="C638" s="1297"/>
      <c r="D638" s="1297" t="s">
        <v>955</v>
      </c>
      <c r="H638" s="1399">
        <v>1282149.1299999999</v>
      </c>
      <c r="I638" s="1399">
        <v>1282149.1299999999</v>
      </c>
    </row>
    <row r="639" spans="2:9">
      <c r="B639" s="1297"/>
      <c r="C639" s="1297"/>
      <c r="D639" s="1297" t="s">
        <v>934</v>
      </c>
      <c r="H639" s="1399">
        <v>85590</v>
      </c>
      <c r="I639" s="1399">
        <v>85590</v>
      </c>
    </row>
    <row r="640" spans="2:9">
      <c r="B640" s="1297"/>
      <c r="C640" s="1297"/>
      <c r="D640" s="1297" t="s">
        <v>1130</v>
      </c>
      <c r="H640" s="1399">
        <v>152584</v>
      </c>
      <c r="I640" s="1399">
        <v>152584</v>
      </c>
    </row>
    <row r="641" spans="2:9">
      <c r="B641" s="1297"/>
      <c r="C641" s="1297"/>
      <c r="D641" s="1297" t="s">
        <v>935</v>
      </c>
      <c r="H641" s="1399">
        <v>565925.45000000007</v>
      </c>
      <c r="I641" s="1399">
        <v>565925.45000000007</v>
      </c>
    </row>
    <row r="642" spans="2:9">
      <c r="B642" s="1297"/>
      <c r="C642" s="1297"/>
      <c r="D642" s="1297" t="s">
        <v>936</v>
      </c>
      <c r="H642" s="1399">
        <v>124303.44</v>
      </c>
      <c r="I642" s="1399">
        <v>124303.44</v>
      </c>
    </row>
    <row r="643" spans="2:9">
      <c r="B643" s="1297"/>
      <c r="C643" s="1297"/>
      <c r="D643" s="1297" t="s">
        <v>937</v>
      </c>
      <c r="H643" s="1399">
        <v>570.03</v>
      </c>
      <c r="I643" s="1399">
        <v>570.03</v>
      </c>
    </row>
    <row r="644" spans="2:9">
      <c r="B644" s="1297"/>
      <c r="C644" s="1297"/>
      <c r="D644" s="1297" t="s">
        <v>938</v>
      </c>
      <c r="H644" s="1399">
        <v>34250</v>
      </c>
      <c r="I644" s="1399">
        <v>34250</v>
      </c>
    </row>
    <row r="645" spans="2:9">
      <c r="B645" s="1297"/>
      <c r="C645" s="1297"/>
      <c r="D645" s="1297" t="s">
        <v>940</v>
      </c>
      <c r="E645" s="1399">
        <v>1868139.5899999999</v>
      </c>
      <c r="I645" s="1399">
        <v>1868139.5899999999</v>
      </c>
    </row>
    <row r="646" spans="2:9">
      <c r="B646" s="1297"/>
      <c r="C646" s="1297"/>
      <c r="D646" s="1297" t="s">
        <v>941</v>
      </c>
      <c r="E646" s="1399">
        <v>875010.8</v>
      </c>
      <c r="I646" s="1399">
        <v>875010.8</v>
      </c>
    </row>
    <row r="647" spans="2:9">
      <c r="B647" s="1297"/>
      <c r="C647" s="1297"/>
      <c r="D647" s="1297" t="s">
        <v>943</v>
      </c>
      <c r="E647" s="1399">
        <v>31838.5</v>
      </c>
      <c r="I647" s="1399">
        <v>31838.5</v>
      </c>
    </row>
    <row r="648" spans="2:9">
      <c r="B648" s="1297"/>
      <c r="C648" s="1297"/>
      <c r="D648" s="1297" t="s">
        <v>944</v>
      </c>
      <c r="E648" s="1399">
        <v>4387987.3099999996</v>
      </c>
      <c r="I648" s="1399">
        <v>4387987.3099999996</v>
      </c>
    </row>
    <row r="649" spans="2:9">
      <c r="B649" s="1297"/>
      <c r="C649" s="1297"/>
      <c r="D649" s="1297" t="s">
        <v>945</v>
      </c>
      <c r="E649" s="1399">
        <v>2746595.35</v>
      </c>
      <c r="I649" s="1399">
        <v>2746595.35</v>
      </c>
    </row>
    <row r="650" spans="2:9">
      <c r="B650" s="1297"/>
      <c r="C650" s="1297"/>
      <c r="D650" s="1297" t="s">
        <v>946</v>
      </c>
      <c r="E650" s="1399">
        <v>120209.35</v>
      </c>
      <c r="I650" s="1399">
        <v>120209.35</v>
      </c>
    </row>
    <row r="651" spans="2:9">
      <c r="B651" s="1297"/>
      <c r="C651" s="1297"/>
      <c r="D651" s="1297" t="s">
        <v>978</v>
      </c>
      <c r="E651" s="1399">
        <v>1131493.6299999999</v>
      </c>
      <c r="I651" s="1399">
        <v>1131493.6299999999</v>
      </c>
    </row>
    <row r="652" spans="2:9">
      <c r="B652" s="1297"/>
      <c r="C652" s="1297"/>
      <c r="D652" s="1297" t="s">
        <v>947</v>
      </c>
      <c r="E652" s="1399">
        <v>146466.12</v>
      </c>
      <c r="I652" s="1399">
        <v>146466.12</v>
      </c>
    </row>
    <row r="653" spans="2:9">
      <c r="B653" s="1297"/>
      <c r="C653" s="1297"/>
      <c r="D653" s="1297" t="s">
        <v>948</v>
      </c>
      <c r="G653" s="1399">
        <v>174273.55</v>
      </c>
      <c r="I653" s="1399">
        <v>174273.55</v>
      </c>
    </row>
    <row r="654" spans="2:9">
      <c r="B654" s="1297"/>
      <c r="C654" s="1297"/>
      <c r="D654" s="1297" t="s">
        <v>956</v>
      </c>
      <c r="G654" s="1399">
        <v>7491.75</v>
      </c>
      <c r="I654" s="1399">
        <v>7491.75</v>
      </c>
    </row>
    <row r="655" spans="2:9">
      <c r="B655" s="1297"/>
      <c r="C655" s="1400" t="s">
        <v>1025</v>
      </c>
      <c r="D655" s="1400"/>
      <c r="E655" s="1401">
        <v>11307740.649999997</v>
      </c>
      <c r="F655" s="1401">
        <v>22116570.480000004</v>
      </c>
      <c r="G655" s="1401">
        <v>181765.3</v>
      </c>
      <c r="H655" s="1401">
        <v>18052468.050000001</v>
      </c>
      <c r="I655" s="1401">
        <v>51658544.480000004</v>
      </c>
    </row>
    <row r="656" spans="2:9">
      <c r="B656" s="1297" t="s">
        <v>1026</v>
      </c>
      <c r="C656" s="1297" t="s">
        <v>1027</v>
      </c>
      <c r="D656" s="1297" t="s">
        <v>906</v>
      </c>
      <c r="F656" s="1399">
        <v>10796409.119999999</v>
      </c>
      <c r="I656" s="1399">
        <v>10796409.119999999</v>
      </c>
    </row>
    <row r="657" spans="2:9">
      <c r="B657" s="1297"/>
      <c r="C657" s="1297"/>
      <c r="D657" s="1297" t="s">
        <v>952</v>
      </c>
      <c r="F657" s="1399">
        <v>92300.01</v>
      </c>
      <c r="I657" s="1399">
        <v>92300.01</v>
      </c>
    </row>
    <row r="658" spans="2:9">
      <c r="B658" s="1297"/>
      <c r="C658" s="1297"/>
      <c r="D658" s="1297" t="s">
        <v>907</v>
      </c>
      <c r="F658" s="1399">
        <v>3040203.5</v>
      </c>
      <c r="I658" s="1399">
        <v>3040203.5</v>
      </c>
    </row>
    <row r="659" spans="2:9">
      <c r="B659" s="1297"/>
      <c r="C659" s="1297"/>
      <c r="D659" s="1297" t="s">
        <v>908</v>
      </c>
      <c r="F659" s="1399">
        <v>16381.83</v>
      </c>
      <c r="I659" s="1399">
        <v>16381.83</v>
      </c>
    </row>
    <row r="660" spans="2:9">
      <c r="B660" s="1297"/>
      <c r="C660" s="1297"/>
      <c r="D660" s="1297" t="s">
        <v>909</v>
      </c>
      <c r="F660" s="1399">
        <v>398275.34</v>
      </c>
      <c r="I660" s="1399">
        <v>398275.34</v>
      </c>
    </row>
    <row r="661" spans="2:9">
      <c r="B661" s="1297"/>
      <c r="C661" s="1297"/>
      <c r="D661" s="1297" t="s">
        <v>910</v>
      </c>
      <c r="F661" s="1399">
        <v>21549.5</v>
      </c>
      <c r="I661" s="1399">
        <v>21549.5</v>
      </c>
    </row>
    <row r="662" spans="2:9">
      <c r="B662" s="1297"/>
      <c r="C662" s="1297"/>
      <c r="D662" s="1297" t="s">
        <v>1034</v>
      </c>
      <c r="F662" s="1399">
        <v>7229.07</v>
      </c>
      <c r="I662" s="1399">
        <v>7229.07</v>
      </c>
    </row>
    <row r="663" spans="2:9">
      <c r="B663" s="1297"/>
      <c r="C663" s="1297"/>
      <c r="D663" s="1297" t="s">
        <v>1035</v>
      </c>
      <c r="F663" s="1399">
        <v>150213.23999999996</v>
      </c>
      <c r="I663" s="1399">
        <v>150213.23999999996</v>
      </c>
    </row>
    <row r="664" spans="2:9">
      <c r="B664" s="1297"/>
      <c r="C664" s="1297"/>
      <c r="D664" s="1297" t="s">
        <v>1036</v>
      </c>
      <c r="F664" s="1399">
        <v>87306.65</v>
      </c>
      <c r="I664" s="1399">
        <v>87306.65</v>
      </c>
    </row>
    <row r="665" spans="2:9">
      <c r="B665" s="1297"/>
      <c r="C665" s="1297"/>
      <c r="D665" s="1297" t="s">
        <v>1037</v>
      </c>
      <c r="F665" s="1399">
        <v>9183.7199999999993</v>
      </c>
      <c r="I665" s="1399">
        <v>9183.7199999999993</v>
      </c>
    </row>
    <row r="666" spans="2:9">
      <c r="B666" s="1297"/>
      <c r="C666" s="1297"/>
      <c r="D666" s="1297" t="s">
        <v>1038</v>
      </c>
      <c r="F666" s="1399">
        <v>20195.5</v>
      </c>
      <c r="I666" s="1399">
        <v>20195.5</v>
      </c>
    </row>
    <row r="667" spans="2:9">
      <c r="B667" s="1297"/>
      <c r="C667" s="1297"/>
      <c r="D667" s="1297" t="s">
        <v>1003</v>
      </c>
      <c r="F667" s="1399">
        <v>4050.41</v>
      </c>
      <c r="I667" s="1399">
        <v>4050.41</v>
      </c>
    </row>
    <row r="668" spans="2:9">
      <c r="B668" s="1297"/>
      <c r="C668" s="1297"/>
      <c r="D668" s="1297" t="s">
        <v>1039</v>
      </c>
      <c r="F668" s="1399">
        <v>21275.809999999998</v>
      </c>
      <c r="I668" s="1399">
        <v>21275.809999999998</v>
      </c>
    </row>
    <row r="669" spans="2:9">
      <c r="B669" s="1297"/>
      <c r="C669" s="1297"/>
      <c r="D669" s="1297" t="s">
        <v>1040</v>
      </c>
      <c r="F669" s="1399">
        <v>230452.04</v>
      </c>
      <c r="I669" s="1399">
        <v>230452.04</v>
      </c>
    </row>
    <row r="670" spans="2:9">
      <c r="B670" s="1297"/>
      <c r="C670" s="1297"/>
      <c r="D670" s="1297" t="s">
        <v>1127</v>
      </c>
      <c r="F670" s="1399">
        <v>442.56</v>
      </c>
      <c r="I670" s="1399">
        <v>442.56</v>
      </c>
    </row>
    <row r="671" spans="2:9">
      <c r="B671" s="1297"/>
      <c r="C671" s="1297"/>
      <c r="D671" s="1297" t="s">
        <v>1041</v>
      </c>
      <c r="F671" s="1399">
        <v>16467.899999999998</v>
      </c>
      <c r="I671" s="1399">
        <v>16467.899999999998</v>
      </c>
    </row>
    <row r="672" spans="2:9">
      <c r="B672" s="1297"/>
      <c r="C672" s="1297"/>
      <c r="D672" s="1297" t="s">
        <v>1042</v>
      </c>
      <c r="F672" s="1399">
        <v>53563.32</v>
      </c>
      <c r="I672" s="1399">
        <v>53563.32</v>
      </c>
    </row>
    <row r="673" spans="2:9">
      <c r="B673" s="1297"/>
      <c r="C673" s="1297"/>
      <c r="D673" s="1297" t="s">
        <v>986</v>
      </c>
      <c r="F673" s="1399">
        <v>10000</v>
      </c>
      <c r="I673" s="1399">
        <v>10000</v>
      </c>
    </row>
    <row r="674" spans="2:9">
      <c r="B674" s="1297"/>
      <c r="C674" s="1297"/>
      <c r="D674" s="1297" t="s">
        <v>1045</v>
      </c>
      <c r="F674" s="1399">
        <v>358627.92</v>
      </c>
      <c r="I674" s="1399">
        <v>358627.92</v>
      </c>
    </row>
    <row r="675" spans="2:9">
      <c r="B675" s="1297"/>
      <c r="C675" s="1297"/>
      <c r="D675" s="1297" t="s">
        <v>1046</v>
      </c>
      <c r="H675" s="1399">
        <v>19143246</v>
      </c>
      <c r="I675" s="1399">
        <v>19143246</v>
      </c>
    </row>
    <row r="676" spans="2:9">
      <c r="B676" s="1297"/>
      <c r="C676" s="1297"/>
      <c r="D676" s="1297" t="s">
        <v>1129</v>
      </c>
      <c r="H676" s="1399">
        <v>-2319107</v>
      </c>
      <c r="I676" s="1399">
        <v>-2319107</v>
      </c>
    </row>
    <row r="677" spans="2:9">
      <c r="B677" s="1297"/>
      <c r="C677" s="1297"/>
      <c r="D677" s="1297" t="s">
        <v>1047</v>
      </c>
      <c r="H677" s="1399">
        <v>475841.5</v>
      </c>
      <c r="I677" s="1399">
        <v>475841.5</v>
      </c>
    </row>
    <row r="678" spans="2:9">
      <c r="B678" s="1297"/>
      <c r="C678" s="1297"/>
      <c r="D678" s="1297" t="s">
        <v>1048</v>
      </c>
      <c r="H678" s="1399">
        <v>-3086052</v>
      </c>
      <c r="I678" s="1399">
        <v>-3086052</v>
      </c>
    </row>
    <row r="679" spans="2:9">
      <c r="B679" s="1297"/>
      <c r="C679" s="1297"/>
      <c r="D679" s="1297" t="s">
        <v>932</v>
      </c>
      <c r="H679" s="1399">
        <v>893981</v>
      </c>
      <c r="I679" s="1399">
        <v>893981</v>
      </c>
    </row>
    <row r="680" spans="2:9">
      <c r="B680" s="1297"/>
      <c r="C680" s="1297"/>
      <c r="D680" s="1297" t="s">
        <v>955</v>
      </c>
      <c r="H680" s="1399">
        <v>77090.59</v>
      </c>
      <c r="I680" s="1399">
        <v>77090.59</v>
      </c>
    </row>
    <row r="681" spans="2:9">
      <c r="B681" s="1297"/>
      <c r="C681" s="1297"/>
      <c r="D681" s="1297" t="s">
        <v>934</v>
      </c>
      <c r="H681" s="1399">
        <v>54700</v>
      </c>
      <c r="I681" s="1399">
        <v>54700</v>
      </c>
    </row>
    <row r="682" spans="2:9">
      <c r="B682" s="1297"/>
      <c r="C682" s="1297"/>
      <c r="D682" s="1297" t="s">
        <v>935</v>
      </c>
      <c r="H682" s="1399">
        <v>329192.3</v>
      </c>
      <c r="I682" s="1399">
        <v>329192.3</v>
      </c>
    </row>
    <row r="683" spans="2:9">
      <c r="B683" s="1297"/>
      <c r="C683" s="1297"/>
      <c r="D683" s="1297" t="s">
        <v>936</v>
      </c>
      <c r="H683" s="1399">
        <v>49721.38</v>
      </c>
      <c r="I683" s="1399">
        <v>49721.38</v>
      </c>
    </row>
    <row r="684" spans="2:9">
      <c r="B684" s="1297"/>
      <c r="C684" s="1297"/>
      <c r="D684" s="1297" t="s">
        <v>937</v>
      </c>
      <c r="H684" s="1399">
        <v>9192.18</v>
      </c>
      <c r="I684" s="1399">
        <v>9192.18</v>
      </c>
    </row>
    <row r="685" spans="2:9">
      <c r="B685" s="1297"/>
      <c r="C685" s="1297"/>
      <c r="D685" s="1297" t="s">
        <v>938</v>
      </c>
      <c r="H685" s="1399">
        <v>24705</v>
      </c>
      <c r="I685" s="1399">
        <v>24705</v>
      </c>
    </row>
    <row r="686" spans="2:9">
      <c r="B686" s="1297"/>
      <c r="C686" s="1297"/>
      <c r="D686" s="1297" t="s">
        <v>939</v>
      </c>
      <c r="H686" s="1399">
        <v>119772.8</v>
      </c>
      <c r="I686" s="1399">
        <v>119772.8</v>
      </c>
    </row>
    <row r="687" spans="2:9">
      <c r="B687" s="1297"/>
      <c r="C687" s="1297"/>
      <c r="D687" s="1297" t="s">
        <v>940</v>
      </c>
      <c r="E687" s="1399">
        <v>901437.29999999993</v>
      </c>
      <c r="I687" s="1399">
        <v>901437.29999999993</v>
      </c>
    </row>
    <row r="688" spans="2:9">
      <c r="B688" s="1297"/>
      <c r="C688" s="1297"/>
      <c r="D688" s="1297" t="s">
        <v>941</v>
      </c>
      <c r="E688" s="1399">
        <v>285147.44</v>
      </c>
      <c r="I688" s="1399">
        <v>285147.44</v>
      </c>
    </row>
    <row r="689" spans="2:9">
      <c r="B689" s="1297"/>
      <c r="C689" s="1297"/>
      <c r="D689" s="1297" t="s">
        <v>943</v>
      </c>
      <c r="E689" s="1399">
        <v>14871.04</v>
      </c>
      <c r="I689" s="1399">
        <v>14871.04</v>
      </c>
    </row>
    <row r="690" spans="2:9">
      <c r="B690" s="1297"/>
      <c r="C690" s="1297"/>
      <c r="D690" s="1297" t="s">
        <v>944</v>
      </c>
      <c r="E690" s="1399">
        <v>2015595.1199999999</v>
      </c>
      <c r="I690" s="1399">
        <v>2015595.1199999999</v>
      </c>
    </row>
    <row r="691" spans="2:9">
      <c r="B691" s="1297"/>
      <c r="C691" s="1297"/>
      <c r="D691" s="1297" t="s">
        <v>945</v>
      </c>
      <c r="E691" s="1399">
        <v>1201416.8700000001</v>
      </c>
      <c r="I691" s="1399">
        <v>1201416.8700000001</v>
      </c>
    </row>
    <row r="692" spans="2:9">
      <c r="B692" s="1297"/>
      <c r="C692" s="1297"/>
      <c r="D692" s="1297" t="s">
        <v>946</v>
      </c>
      <c r="E692" s="1399">
        <v>272867.94</v>
      </c>
      <c r="I692" s="1399">
        <v>272867.94</v>
      </c>
    </row>
    <row r="693" spans="2:9">
      <c r="B693" s="1297"/>
      <c r="C693" s="1297"/>
      <c r="D693" s="1297" t="s">
        <v>947</v>
      </c>
      <c r="E693" s="1399">
        <v>127823.58000000002</v>
      </c>
      <c r="I693" s="1399">
        <v>127823.58000000002</v>
      </c>
    </row>
    <row r="694" spans="2:9">
      <c r="B694" s="1297"/>
      <c r="C694" s="1297"/>
      <c r="D694" s="1297" t="s">
        <v>1115</v>
      </c>
      <c r="E694" s="1399">
        <v>62536.76</v>
      </c>
      <c r="I694" s="1399">
        <v>62536.76</v>
      </c>
    </row>
    <row r="695" spans="2:9">
      <c r="B695" s="1297"/>
      <c r="C695" s="1297"/>
      <c r="D695" s="1297" t="s">
        <v>948</v>
      </c>
      <c r="G695" s="1399">
        <v>6036750.2400000002</v>
      </c>
      <c r="I695" s="1399">
        <v>6036750.2400000002</v>
      </c>
    </row>
    <row r="696" spans="2:9">
      <c r="B696" s="1297"/>
      <c r="C696" s="1297"/>
      <c r="D696" s="1297" t="s">
        <v>956</v>
      </c>
      <c r="G696" s="1399">
        <v>7000</v>
      </c>
      <c r="I696" s="1399">
        <v>7000</v>
      </c>
    </row>
    <row r="697" spans="2:9">
      <c r="B697" s="1297"/>
      <c r="C697" s="1297"/>
      <c r="D697" s="1297" t="s">
        <v>1118</v>
      </c>
      <c r="G697" s="1399">
        <v>711.41</v>
      </c>
      <c r="I697" s="1399">
        <v>711.41</v>
      </c>
    </row>
    <row r="698" spans="2:9">
      <c r="B698" s="1297"/>
      <c r="C698" s="1400" t="s">
        <v>1028</v>
      </c>
      <c r="D698" s="1400"/>
      <c r="E698" s="1401">
        <v>4881696.05</v>
      </c>
      <c r="F698" s="1401">
        <v>15334127.440000001</v>
      </c>
      <c r="G698" s="1401">
        <v>6044461.6500000004</v>
      </c>
      <c r="H698" s="1401">
        <v>15772283.750000002</v>
      </c>
      <c r="I698" s="1401">
        <v>42032568.889999986</v>
      </c>
    </row>
    <row r="699" spans="2:9">
      <c r="B699" s="1297" t="s">
        <v>1029</v>
      </c>
      <c r="C699" s="1297" t="s">
        <v>1030</v>
      </c>
      <c r="D699" s="1297" t="s">
        <v>906</v>
      </c>
      <c r="F699" s="1399">
        <v>2088257.93</v>
      </c>
      <c r="I699" s="1399">
        <v>2088257.93</v>
      </c>
    </row>
    <row r="700" spans="2:9">
      <c r="B700" s="1297"/>
      <c r="C700" s="1297"/>
      <c r="D700" s="1297" t="s">
        <v>952</v>
      </c>
      <c r="F700" s="1399">
        <v>38201.599999999999</v>
      </c>
      <c r="I700" s="1399">
        <v>38201.599999999999</v>
      </c>
    </row>
    <row r="701" spans="2:9">
      <c r="B701" s="1297"/>
      <c r="C701" s="1297"/>
      <c r="D701" s="1297" t="s">
        <v>907</v>
      </c>
      <c r="F701" s="1399">
        <v>431037.27</v>
      </c>
      <c r="I701" s="1399">
        <v>431037.27</v>
      </c>
    </row>
    <row r="702" spans="2:9">
      <c r="B702" s="1297"/>
      <c r="C702" s="1297"/>
      <c r="D702" s="1297" t="s">
        <v>908</v>
      </c>
      <c r="F702" s="1399">
        <v>20778.54</v>
      </c>
      <c r="I702" s="1399">
        <v>20778.54</v>
      </c>
    </row>
    <row r="703" spans="2:9">
      <c r="B703" s="1297"/>
      <c r="C703" s="1297"/>
      <c r="D703" s="1297" t="s">
        <v>1039</v>
      </c>
      <c r="F703" s="1399">
        <v>10037.01</v>
      </c>
      <c r="I703" s="1399">
        <v>10037.01</v>
      </c>
    </row>
    <row r="704" spans="2:9">
      <c r="B704" s="1297"/>
      <c r="C704" s="1297"/>
      <c r="D704" s="1297" t="s">
        <v>1041</v>
      </c>
      <c r="F704" s="1399">
        <v>1156.8500000000001</v>
      </c>
      <c r="I704" s="1399">
        <v>1156.8500000000001</v>
      </c>
    </row>
    <row r="705" spans="2:9">
      <c r="B705" s="1297"/>
      <c r="C705" s="1297"/>
      <c r="D705" s="1297" t="s">
        <v>1042</v>
      </c>
      <c r="F705" s="1399">
        <v>22589.72</v>
      </c>
      <c r="I705" s="1399">
        <v>22589.72</v>
      </c>
    </row>
    <row r="706" spans="2:9">
      <c r="B706" s="1297"/>
      <c r="C706" s="1297"/>
      <c r="D706" s="1297" t="s">
        <v>1043</v>
      </c>
      <c r="F706" s="1399">
        <v>5640</v>
      </c>
      <c r="I706" s="1399">
        <v>5640</v>
      </c>
    </row>
    <row r="707" spans="2:9">
      <c r="B707" s="1297"/>
      <c r="C707" s="1297"/>
      <c r="D707" s="1297" t="s">
        <v>1044</v>
      </c>
      <c r="F707" s="1399">
        <v>7351</v>
      </c>
      <c r="I707" s="1399">
        <v>7351</v>
      </c>
    </row>
    <row r="708" spans="2:9">
      <c r="B708" s="1297"/>
      <c r="C708" s="1297"/>
      <c r="D708" s="1297" t="s">
        <v>1045</v>
      </c>
      <c r="F708" s="1399">
        <v>29329.79</v>
      </c>
      <c r="I708" s="1399">
        <v>29329.79</v>
      </c>
    </row>
    <row r="709" spans="2:9">
      <c r="B709" s="1297"/>
      <c r="C709" s="1297"/>
      <c r="D709" s="1297" t="s">
        <v>1046</v>
      </c>
      <c r="H709" s="1399">
        <v>3249064</v>
      </c>
      <c r="I709" s="1399">
        <v>3249064</v>
      </c>
    </row>
    <row r="710" spans="2:9">
      <c r="B710" s="1297"/>
      <c r="C710" s="1297"/>
      <c r="D710" s="1297" t="s">
        <v>1047</v>
      </c>
      <c r="H710" s="1399">
        <v>392754</v>
      </c>
      <c r="I710" s="1399">
        <v>392754</v>
      </c>
    </row>
    <row r="711" spans="2:9">
      <c r="B711" s="1297"/>
      <c r="C711" s="1297"/>
      <c r="D711" s="1297" t="s">
        <v>1048</v>
      </c>
      <c r="H711" s="1399">
        <v>-792848</v>
      </c>
      <c r="I711" s="1399">
        <v>-792848</v>
      </c>
    </row>
    <row r="712" spans="2:9">
      <c r="B712" s="1297"/>
      <c r="C712" s="1297"/>
      <c r="D712" s="1297" t="s">
        <v>932</v>
      </c>
      <c r="H712" s="1399">
        <v>177065</v>
      </c>
      <c r="I712" s="1399">
        <v>177065</v>
      </c>
    </row>
    <row r="713" spans="2:9">
      <c r="B713" s="1297"/>
      <c r="C713" s="1297"/>
      <c r="D713" s="1297" t="s">
        <v>933</v>
      </c>
      <c r="H713" s="1399">
        <v>94435.74</v>
      </c>
      <c r="I713" s="1399">
        <v>94435.74</v>
      </c>
    </row>
    <row r="714" spans="2:9">
      <c r="B714" s="1297"/>
      <c r="C714" s="1297"/>
      <c r="D714" s="1297" t="s">
        <v>934</v>
      </c>
      <c r="H714" s="1399">
        <v>12498</v>
      </c>
      <c r="I714" s="1399">
        <v>12498</v>
      </c>
    </row>
    <row r="715" spans="2:9">
      <c r="B715" s="1297"/>
      <c r="C715" s="1297"/>
      <c r="D715" s="1297" t="s">
        <v>935</v>
      </c>
      <c r="H715" s="1399">
        <v>77651.33</v>
      </c>
      <c r="I715" s="1399">
        <v>77651.33</v>
      </c>
    </row>
    <row r="716" spans="2:9">
      <c r="B716" s="1297"/>
      <c r="C716" s="1297"/>
      <c r="D716" s="1297" t="s">
        <v>936</v>
      </c>
      <c r="H716" s="1399">
        <v>16457.080000000002</v>
      </c>
      <c r="I716" s="1399">
        <v>16457.080000000002</v>
      </c>
    </row>
    <row r="717" spans="2:9">
      <c r="B717" s="1297"/>
      <c r="C717" s="1297"/>
      <c r="D717" s="1297" t="s">
        <v>937</v>
      </c>
      <c r="H717" s="1399">
        <v>2890.36</v>
      </c>
      <c r="I717" s="1399">
        <v>2890.36</v>
      </c>
    </row>
    <row r="718" spans="2:9">
      <c r="B718" s="1297"/>
      <c r="C718" s="1297"/>
      <c r="D718" s="1297" t="s">
        <v>938</v>
      </c>
      <c r="H718" s="1399">
        <v>4679</v>
      </c>
      <c r="I718" s="1399">
        <v>4679</v>
      </c>
    </row>
    <row r="719" spans="2:9">
      <c r="B719" s="1297"/>
      <c r="C719" s="1297"/>
      <c r="D719" s="1297" t="s">
        <v>939</v>
      </c>
      <c r="H719" s="1399">
        <v>49506.619999999995</v>
      </c>
      <c r="I719" s="1399">
        <v>49506.619999999995</v>
      </c>
    </row>
    <row r="720" spans="2:9">
      <c r="B720" s="1297"/>
      <c r="C720" s="1297"/>
      <c r="D720" s="1297" t="s">
        <v>1131</v>
      </c>
      <c r="E720" s="1399">
        <v>31497.1</v>
      </c>
      <c r="I720" s="1399">
        <v>31497.1</v>
      </c>
    </row>
    <row r="721" spans="2:9">
      <c r="B721" s="1297"/>
      <c r="C721" s="1297"/>
      <c r="D721" s="1297" t="s">
        <v>940</v>
      </c>
      <c r="E721" s="1399">
        <v>234367.5</v>
      </c>
      <c r="I721" s="1399">
        <v>234367.5</v>
      </c>
    </row>
    <row r="722" spans="2:9">
      <c r="B722" s="1297"/>
      <c r="C722" s="1297"/>
      <c r="D722" s="1297" t="s">
        <v>941</v>
      </c>
      <c r="E722" s="1399">
        <v>107511.44</v>
      </c>
      <c r="I722" s="1399">
        <v>107511.44</v>
      </c>
    </row>
    <row r="723" spans="2:9">
      <c r="B723" s="1297"/>
      <c r="C723" s="1297"/>
      <c r="D723" s="1297" t="s">
        <v>943</v>
      </c>
      <c r="E723" s="1399">
        <v>0</v>
      </c>
      <c r="I723" s="1399">
        <v>0</v>
      </c>
    </row>
    <row r="724" spans="2:9">
      <c r="B724" s="1297"/>
      <c r="C724" s="1297"/>
      <c r="D724" s="1297" t="s">
        <v>944</v>
      </c>
      <c r="E724" s="1399">
        <v>810932.54</v>
      </c>
      <c r="I724" s="1399">
        <v>810932.54</v>
      </c>
    </row>
    <row r="725" spans="2:9">
      <c r="B725" s="1297"/>
      <c r="C725" s="1297"/>
      <c r="D725" s="1297" t="s">
        <v>945</v>
      </c>
      <c r="E725" s="1399">
        <v>441779.01999999996</v>
      </c>
      <c r="I725" s="1399">
        <v>441779.01999999996</v>
      </c>
    </row>
    <row r="726" spans="2:9">
      <c r="B726" s="1297"/>
      <c r="C726" s="1297"/>
      <c r="D726" s="1297" t="s">
        <v>947</v>
      </c>
      <c r="E726" s="1399">
        <v>30958.48</v>
      </c>
      <c r="I726" s="1399">
        <v>30958.48</v>
      </c>
    </row>
    <row r="727" spans="2:9">
      <c r="B727" s="1297"/>
      <c r="C727" s="1297"/>
      <c r="D727" s="1297" t="s">
        <v>1115</v>
      </c>
      <c r="E727" s="1399">
        <v>30.42</v>
      </c>
      <c r="I727" s="1399">
        <v>30.42</v>
      </c>
    </row>
    <row r="728" spans="2:9">
      <c r="B728" s="1297"/>
      <c r="C728" s="1297"/>
      <c r="D728" s="1297" t="s">
        <v>948</v>
      </c>
      <c r="G728" s="1399">
        <v>75595.459999999992</v>
      </c>
      <c r="I728" s="1399">
        <v>75595.459999999992</v>
      </c>
    </row>
    <row r="729" spans="2:9">
      <c r="B729" s="1297"/>
      <c r="C729" s="1297"/>
      <c r="D729" s="1297" t="s">
        <v>1118</v>
      </c>
      <c r="G729" s="1399">
        <v>352.64</v>
      </c>
      <c r="I729" s="1399">
        <v>352.64</v>
      </c>
    </row>
    <row r="730" spans="2:9">
      <c r="B730" s="1297"/>
      <c r="C730" s="1400" t="s">
        <v>1031</v>
      </c>
      <c r="D730" s="1400"/>
      <c r="E730" s="1401">
        <v>1657076.5</v>
      </c>
      <c r="F730" s="1401">
        <v>2654379.71</v>
      </c>
      <c r="G730" s="1401">
        <v>75948.099999999991</v>
      </c>
      <c r="H730" s="1401">
        <v>3284153.1300000004</v>
      </c>
      <c r="I730" s="1401">
        <v>7671557.4400000004</v>
      </c>
    </row>
    <row r="731" spans="2:9">
      <c r="B731" s="1297" t="s">
        <v>1032</v>
      </c>
      <c r="C731" s="1297" t="s">
        <v>1033</v>
      </c>
      <c r="D731" s="1297" t="s">
        <v>906</v>
      </c>
      <c r="F731" s="1399">
        <v>23899770.120000001</v>
      </c>
      <c r="I731" s="1399">
        <v>23899770.120000001</v>
      </c>
    </row>
    <row r="732" spans="2:9">
      <c r="B732" s="1297"/>
      <c r="C732" s="1297"/>
      <c r="D732" s="1297" t="s">
        <v>952</v>
      </c>
      <c r="F732" s="1399">
        <v>291133.52</v>
      </c>
      <c r="I732" s="1399">
        <v>291133.52</v>
      </c>
    </row>
    <row r="733" spans="2:9">
      <c r="B733" s="1297"/>
      <c r="C733" s="1297"/>
      <c r="D733" s="1297" t="s">
        <v>907</v>
      </c>
      <c r="F733" s="1399">
        <v>7916231.0099999998</v>
      </c>
      <c r="I733" s="1399">
        <v>7916231.0099999998</v>
      </c>
    </row>
    <row r="734" spans="2:9">
      <c r="B734" s="1297"/>
      <c r="C734" s="1297"/>
      <c r="D734" s="1297" t="s">
        <v>908</v>
      </c>
      <c r="F734" s="1399">
        <v>17123.68</v>
      </c>
      <c r="I734" s="1399">
        <v>17123.68</v>
      </c>
    </row>
    <row r="735" spans="2:9">
      <c r="B735" s="1297"/>
      <c r="C735" s="1297"/>
      <c r="D735" s="1297" t="s">
        <v>909</v>
      </c>
      <c r="F735" s="1399">
        <v>71733.14</v>
      </c>
      <c r="I735" s="1399">
        <v>71733.14</v>
      </c>
    </row>
    <row r="736" spans="2:9">
      <c r="B736" s="1297"/>
      <c r="C736" s="1297"/>
      <c r="D736" s="1297" t="s">
        <v>910</v>
      </c>
      <c r="F736" s="1399">
        <v>314863.61</v>
      </c>
      <c r="I736" s="1399">
        <v>314863.61</v>
      </c>
    </row>
    <row r="737" spans="2:9">
      <c r="B737" s="1297"/>
      <c r="C737" s="1297"/>
      <c r="D737" s="1297" t="s">
        <v>1034</v>
      </c>
      <c r="F737" s="1399">
        <v>128826.29999999999</v>
      </c>
      <c r="I737" s="1399">
        <v>128826.29999999999</v>
      </c>
    </row>
    <row r="738" spans="2:9">
      <c r="B738" s="1297"/>
      <c r="C738" s="1297"/>
      <c r="D738" s="1297" t="s">
        <v>1035</v>
      </c>
      <c r="F738" s="1399">
        <v>963133.89000000013</v>
      </c>
      <c r="I738" s="1399">
        <v>963133.89000000013</v>
      </c>
    </row>
    <row r="739" spans="2:9">
      <c r="B739" s="1297"/>
      <c r="C739" s="1297"/>
      <c r="D739" s="1297" t="s">
        <v>1036</v>
      </c>
      <c r="F739" s="1399">
        <v>306326.32</v>
      </c>
      <c r="I739" s="1399">
        <v>306326.32</v>
      </c>
    </row>
    <row r="740" spans="2:9">
      <c r="B740" s="1297"/>
      <c r="C740" s="1297"/>
      <c r="D740" s="1297" t="s">
        <v>1039</v>
      </c>
      <c r="F740" s="1399">
        <v>45148.279999999984</v>
      </c>
      <c r="I740" s="1399">
        <v>45148.279999999984</v>
      </c>
    </row>
    <row r="741" spans="2:9">
      <c r="B741" s="1297"/>
      <c r="C741" s="1297"/>
      <c r="D741" s="1297" t="s">
        <v>1040</v>
      </c>
      <c r="F741" s="1399">
        <v>879715.10999999987</v>
      </c>
      <c r="I741" s="1399">
        <v>879715.10999999987</v>
      </c>
    </row>
    <row r="742" spans="2:9">
      <c r="B742" s="1297"/>
      <c r="C742" s="1297"/>
      <c r="D742" s="1297" t="s">
        <v>1041</v>
      </c>
      <c r="F742" s="1399">
        <v>29321.559999999998</v>
      </c>
      <c r="I742" s="1399">
        <v>29321.559999999998</v>
      </c>
    </row>
    <row r="743" spans="2:9">
      <c r="B743" s="1297"/>
      <c r="C743" s="1297"/>
      <c r="D743" s="1297" t="s">
        <v>1042</v>
      </c>
      <c r="F743" s="1399">
        <v>79687.41</v>
      </c>
      <c r="I743" s="1399">
        <v>79687.41</v>
      </c>
    </row>
    <row r="744" spans="2:9">
      <c r="B744" s="1297"/>
      <c r="C744" s="1297"/>
      <c r="D744" s="1297" t="s">
        <v>985</v>
      </c>
      <c r="F744" s="1399">
        <v>373119</v>
      </c>
      <c r="I744" s="1399">
        <v>373119</v>
      </c>
    </row>
    <row r="745" spans="2:9">
      <c r="B745" s="1297"/>
      <c r="C745" s="1297"/>
      <c r="D745" s="1297" t="s">
        <v>986</v>
      </c>
      <c r="F745" s="1399">
        <v>17579.05</v>
      </c>
      <c r="I745" s="1399">
        <v>17579.05</v>
      </c>
    </row>
    <row r="746" spans="2:9">
      <c r="B746" s="1297"/>
      <c r="C746" s="1297"/>
      <c r="D746" s="1297" t="s">
        <v>1044</v>
      </c>
      <c r="F746" s="1399">
        <v>44565.97</v>
      </c>
      <c r="I746" s="1399">
        <v>44565.97</v>
      </c>
    </row>
    <row r="747" spans="2:9">
      <c r="B747" s="1297"/>
      <c r="C747" s="1297"/>
      <c r="D747" s="1297" t="s">
        <v>1045</v>
      </c>
      <c r="F747" s="1399">
        <v>309508.98</v>
      </c>
      <c r="I747" s="1399">
        <v>309508.98</v>
      </c>
    </row>
    <row r="748" spans="2:9">
      <c r="B748" s="1297"/>
      <c r="C748" s="1297"/>
      <c r="D748" s="1297" t="s">
        <v>1046</v>
      </c>
      <c r="H748" s="1399">
        <v>48927176</v>
      </c>
      <c r="I748" s="1399">
        <v>48927176</v>
      </c>
    </row>
    <row r="749" spans="2:9">
      <c r="B749" s="1297"/>
      <c r="C749" s="1297"/>
      <c r="D749" s="1297" t="s">
        <v>1128</v>
      </c>
      <c r="H749" s="1399">
        <v>3960987</v>
      </c>
      <c r="I749" s="1399">
        <v>3960987</v>
      </c>
    </row>
    <row r="750" spans="2:9">
      <c r="B750" s="1297"/>
      <c r="C750" s="1297"/>
      <c r="D750" s="1297" t="s">
        <v>1129</v>
      </c>
      <c r="H750" s="1399">
        <v>-6903385</v>
      </c>
      <c r="I750" s="1399">
        <v>-6903385</v>
      </c>
    </row>
    <row r="751" spans="2:9">
      <c r="B751" s="1297"/>
      <c r="C751" s="1297"/>
      <c r="D751" s="1297" t="s">
        <v>1047</v>
      </c>
      <c r="H751" s="1399">
        <v>1173435</v>
      </c>
      <c r="I751" s="1399">
        <v>1173435</v>
      </c>
    </row>
    <row r="752" spans="2:9">
      <c r="B752" s="1297"/>
      <c r="C752" s="1297"/>
      <c r="D752" s="1297" t="s">
        <v>1048</v>
      </c>
      <c r="H752" s="1399">
        <v>-8473261</v>
      </c>
      <c r="I752" s="1399">
        <v>-8473261</v>
      </c>
    </row>
    <row r="753" spans="2:9">
      <c r="B753" s="1297"/>
      <c r="C753" s="1297"/>
      <c r="D753" s="1297" t="s">
        <v>932</v>
      </c>
      <c r="H753" s="1399">
        <v>1693789</v>
      </c>
      <c r="I753" s="1399">
        <v>1693789</v>
      </c>
    </row>
    <row r="754" spans="2:9">
      <c r="B754" s="1297"/>
      <c r="C754" s="1297"/>
      <c r="D754" s="1297" t="s">
        <v>955</v>
      </c>
      <c r="H754" s="1399">
        <v>951671.52000000014</v>
      </c>
      <c r="I754" s="1399">
        <v>951671.52000000014</v>
      </c>
    </row>
    <row r="755" spans="2:9">
      <c r="B755" s="1297"/>
      <c r="C755" s="1297"/>
      <c r="D755" s="1297" t="s">
        <v>934</v>
      </c>
      <c r="H755" s="1399">
        <v>140096</v>
      </c>
      <c r="I755" s="1399">
        <v>140096</v>
      </c>
    </row>
    <row r="756" spans="2:9">
      <c r="B756" s="1297"/>
      <c r="C756" s="1297"/>
      <c r="D756" s="1297" t="s">
        <v>935</v>
      </c>
      <c r="H756" s="1399">
        <v>695873.0399999998</v>
      </c>
      <c r="I756" s="1399">
        <v>695873.0399999998</v>
      </c>
    </row>
    <row r="757" spans="2:9">
      <c r="B757" s="1297"/>
      <c r="C757" s="1297"/>
      <c r="D757" s="1297" t="s">
        <v>936</v>
      </c>
      <c r="H757" s="1399">
        <v>91739.44</v>
      </c>
      <c r="I757" s="1399">
        <v>91739.44</v>
      </c>
    </row>
    <row r="758" spans="2:9">
      <c r="B758" s="1297"/>
      <c r="C758" s="1297"/>
      <c r="D758" s="1297" t="s">
        <v>937</v>
      </c>
      <c r="H758" s="1399">
        <v>50621.47</v>
      </c>
      <c r="I758" s="1399">
        <v>50621.47</v>
      </c>
    </row>
    <row r="759" spans="2:9">
      <c r="B759" s="1297"/>
      <c r="C759" s="1297"/>
      <c r="D759" s="1297" t="s">
        <v>938</v>
      </c>
      <c r="H759" s="1399">
        <v>43982</v>
      </c>
      <c r="I759" s="1399">
        <v>43982</v>
      </c>
    </row>
    <row r="760" spans="2:9">
      <c r="B760" s="1297"/>
      <c r="C760" s="1297"/>
      <c r="D760" s="1297" t="s">
        <v>939</v>
      </c>
      <c r="H760" s="1399">
        <v>254204.64</v>
      </c>
      <c r="I760" s="1399">
        <v>254204.64</v>
      </c>
    </row>
    <row r="761" spans="2:9">
      <c r="B761" s="1297"/>
      <c r="C761" s="1297"/>
      <c r="D761" s="1297" t="s">
        <v>1131</v>
      </c>
      <c r="E761" s="1399">
        <v>88112.11</v>
      </c>
      <c r="I761" s="1399">
        <v>88112.11</v>
      </c>
    </row>
    <row r="762" spans="2:9">
      <c r="B762" s="1297"/>
      <c r="C762" s="1297"/>
      <c r="D762" s="1297" t="s">
        <v>940</v>
      </c>
      <c r="E762" s="1399">
        <v>1688181.76</v>
      </c>
      <c r="I762" s="1399">
        <v>1688181.76</v>
      </c>
    </row>
    <row r="763" spans="2:9">
      <c r="B763" s="1297"/>
      <c r="C763" s="1297"/>
      <c r="D763" s="1297" t="s">
        <v>941</v>
      </c>
      <c r="E763" s="1399">
        <v>709390.37999999989</v>
      </c>
      <c r="I763" s="1399">
        <v>709390.37999999989</v>
      </c>
    </row>
    <row r="764" spans="2:9">
      <c r="B764" s="1297"/>
      <c r="C764" s="1297"/>
      <c r="D764" s="1297" t="s">
        <v>943</v>
      </c>
      <c r="E764" s="1399">
        <v>13050.640000000003</v>
      </c>
      <c r="I764" s="1399">
        <v>13050.640000000003</v>
      </c>
    </row>
    <row r="765" spans="2:9">
      <c r="B765" s="1297"/>
      <c r="C765" s="1297"/>
      <c r="D765" s="1297" t="s">
        <v>944</v>
      </c>
      <c r="E765" s="1399">
        <v>3703853.6300000004</v>
      </c>
      <c r="I765" s="1399">
        <v>3703853.6300000004</v>
      </c>
    </row>
    <row r="766" spans="2:9">
      <c r="B766" s="1297"/>
      <c r="C766" s="1297"/>
      <c r="D766" s="1297" t="s">
        <v>945</v>
      </c>
      <c r="E766" s="1399">
        <v>4192425.91</v>
      </c>
      <c r="I766" s="1399">
        <v>4192425.91</v>
      </c>
    </row>
    <row r="767" spans="2:9">
      <c r="B767" s="1297"/>
      <c r="C767" s="1297"/>
      <c r="D767" s="1297" t="s">
        <v>1006</v>
      </c>
      <c r="E767" s="1399">
        <v>6584695.6999999993</v>
      </c>
      <c r="I767" s="1399">
        <v>6584695.6999999993</v>
      </c>
    </row>
    <row r="768" spans="2:9">
      <c r="B768" s="1297"/>
      <c r="C768" s="1297"/>
      <c r="D768" s="1297" t="s">
        <v>1199</v>
      </c>
      <c r="E768" s="1399">
        <v>6504</v>
      </c>
      <c r="I768" s="1399">
        <v>6504</v>
      </c>
    </row>
    <row r="769" spans="2:9">
      <c r="B769" s="1297"/>
      <c r="C769" s="1297"/>
      <c r="D769" s="1297" t="s">
        <v>947</v>
      </c>
      <c r="E769" s="1399">
        <v>275066.57</v>
      </c>
      <c r="I769" s="1399">
        <v>275066.57</v>
      </c>
    </row>
    <row r="770" spans="2:9">
      <c r="B770" s="1297"/>
      <c r="C770" s="1297"/>
      <c r="D770" s="1297" t="s">
        <v>1115</v>
      </c>
      <c r="E770" s="1399">
        <v>285369</v>
      </c>
      <c r="I770" s="1399">
        <v>285369</v>
      </c>
    </row>
    <row r="771" spans="2:9">
      <c r="B771" s="1297"/>
      <c r="C771" s="1297"/>
      <c r="D771" s="1297" t="s">
        <v>948</v>
      </c>
      <c r="G771" s="1399">
        <v>479246.73000000004</v>
      </c>
      <c r="I771" s="1399">
        <v>479246.73000000004</v>
      </c>
    </row>
    <row r="772" spans="2:9">
      <c r="B772" s="1297"/>
      <c r="C772" s="1400" t="s">
        <v>1200</v>
      </c>
      <c r="D772" s="1400"/>
      <c r="E772" s="1401">
        <v>17546649.699999999</v>
      </c>
      <c r="F772" s="1401">
        <v>35687786.949999988</v>
      </c>
      <c r="G772" s="1401">
        <v>479246.73000000004</v>
      </c>
      <c r="H772" s="1401">
        <v>42606929.109999999</v>
      </c>
      <c r="I772" s="1401">
        <v>96320612.48999998</v>
      </c>
    </row>
    <row r="773" spans="2:9">
      <c r="B773" s="1297" t="s">
        <v>1201</v>
      </c>
      <c r="C773" s="1297" t="s">
        <v>1202</v>
      </c>
      <c r="D773" s="1297" t="s">
        <v>906</v>
      </c>
      <c r="F773" s="1399">
        <v>2906761.75</v>
      </c>
      <c r="I773" s="1399">
        <v>2906761.75</v>
      </c>
    </row>
    <row r="774" spans="2:9">
      <c r="B774" s="1297"/>
      <c r="C774" s="1297"/>
      <c r="D774" s="1297" t="s">
        <v>952</v>
      </c>
      <c r="F774" s="1399">
        <v>23960.52</v>
      </c>
      <c r="I774" s="1399">
        <v>23960.52</v>
      </c>
    </row>
    <row r="775" spans="2:9">
      <c r="B775" s="1297"/>
      <c r="C775" s="1297"/>
      <c r="D775" s="1297" t="s">
        <v>907</v>
      </c>
      <c r="F775" s="1399">
        <v>1271486.57</v>
      </c>
      <c r="I775" s="1399">
        <v>1271486.57</v>
      </c>
    </row>
    <row r="776" spans="2:9">
      <c r="B776" s="1297"/>
      <c r="C776" s="1297"/>
      <c r="D776" s="1297" t="s">
        <v>908</v>
      </c>
      <c r="F776" s="1399">
        <v>3903.03</v>
      </c>
      <c r="I776" s="1399">
        <v>3903.03</v>
      </c>
    </row>
    <row r="777" spans="2:9">
      <c r="B777" s="1297"/>
      <c r="C777" s="1297"/>
      <c r="D777" s="1297" t="s">
        <v>1122</v>
      </c>
      <c r="F777" s="1399">
        <v>-1495</v>
      </c>
      <c r="I777" s="1399">
        <v>-1495</v>
      </c>
    </row>
    <row r="778" spans="2:9">
      <c r="B778" s="1297"/>
      <c r="C778" s="1297"/>
      <c r="D778" s="1297" t="s">
        <v>909</v>
      </c>
      <c r="F778" s="1399">
        <v>44111.3</v>
      </c>
      <c r="I778" s="1399">
        <v>44111.3</v>
      </c>
    </row>
    <row r="779" spans="2:9">
      <c r="B779" s="1297"/>
      <c r="C779" s="1297"/>
      <c r="D779" s="1297" t="s">
        <v>910</v>
      </c>
      <c r="F779" s="1399">
        <v>50673.17</v>
      </c>
      <c r="I779" s="1399">
        <v>50673.17</v>
      </c>
    </row>
    <row r="780" spans="2:9">
      <c r="B780" s="1297"/>
      <c r="C780" s="1297"/>
      <c r="D780" s="1297" t="s">
        <v>1034</v>
      </c>
      <c r="F780" s="1399">
        <v>102796.63</v>
      </c>
      <c r="I780" s="1399">
        <v>102796.63</v>
      </c>
    </row>
    <row r="781" spans="2:9">
      <c r="B781" s="1297"/>
      <c r="C781" s="1297"/>
      <c r="D781" s="1297" t="s">
        <v>1035</v>
      </c>
      <c r="F781" s="1399">
        <v>251793.61</v>
      </c>
      <c r="I781" s="1399">
        <v>251793.61</v>
      </c>
    </row>
    <row r="782" spans="2:9">
      <c r="B782" s="1297"/>
      <c r="C782" s="1297"/>
      <c r="D782" s="1297" t="s">
        <v>1036</v>
      </c>
      <c r="F782" s="1399">
        <v>54754.42</v>
      </c>
      <c r="I782" s="1399">
        <v>54754.42</v>
      </c>
    </row>
    <row r="783" spans="2:9">
      <c r="B783" s="1297"/>
      <c r="C783" s="1297"/>
      <c r="D783" s="1297" t="s">
        <v>1003</v>
      </c>
      <c r="F783" s="1399">
        <v>21486.32</v>
      </c>
      <c r="I783" s="1399">
        <v>21486.32</v>
      </c>
    </row>
    <row r="784" spans="2:9">
      <c r="B784" s="1297"/>
      <c r="C784" s="1297"/>
      <c r="D784" s="1297" t="s">
        <v>1039</v>
      </c>
      <c r="F784" s="1399">
        <v>112490.55</v>
      </c>
      <c r="I784" s="1399">
        <v>112490.55</v>
      </c>
    </row>
    <row r="785" spans="2:9">
      <c r="B785" s="1297"/>
      <c r="C785" s="1297"/>
      <c r="D785" s="1297" t="s">
        <v>1040</v>
      </c>
      <c r="F785" s="1399">
        <v>112565.33000000002</v>
      </c>
      <c r="I785" s="1399">
        <v>112565.33000000002</v>
      </c>
    </row>
    <row r="786" spans="2:9">
      <c r="B786" s="1297"/>
      <c r="C786" s="1297"/>
      <c r="D786" s="1297" t="s">
        <v>1041</v>
      </c>
      <c r="F786" s="1399">
        <v>24092.25</v>
      </c>
      <c r="I786" s="1399">
        <v>24092.25</v>
      </c>
    </row>
    <row r="787" spans="2:9">
      <c r="B787" s="1297"/>
      <c r="C787" s="1297"/>
      <c r="D787" s="1297" t="s">
        <v>1042</v>
      </c>
      <c r="F787" s="1399">
        <v>19507.849999999999</v>
      </c>
      <c r="I787" s="1399">
        <v>19507.849999999999</v>
      </c>
    </row>
    <row r="788" spans="2:9">
      <c r="B788" s="1297"/>
      <c r="C788" s="1297"/>
      <c r="D788" s="1297" t="s">
        <v>953</v>
      </c>
      <c r="F788" s="1399">
        <v>32164.51</v>
      </c>
      <c r="I788" s="1399">
        <v>32164.51</v>
      </c>
    </row>
    <row r="789" spans="2:9">
      <c r="B789" s="1297"/>
      <c r="C789" s="1297"/>
      <c r="D789" s="1297" t="s">
        <v>985</v>
      </c>
      <c r="F789" s="1399">
        <v>49649.37</v>
      </c>
      <c r="I789" s="1399">
        <v>49649.37</v>
      </c>
    </row>
    <row r="790" spans="2:9">
      <c r="B790" s="1297"/>
      <c r="C790" s="1297"/>
      <c r="D790" s="1297" t="s">
        <v>1043</v>
      </c>
      <c r="F790" s="1399">
        <v>2400</v>
      </c>
      <c r="I790" s="1399">
        <v>2400</v>
      </c>
    </row>
    <row r="791" spans="2:9">
      <c r="B791" s="1297"/>
      <c r="C791" s="1297"/>
      <c r="D791" s="1297" t="s">
        <v>1203</v>
      </c>
      <c r="F791" s="1399">
        <v>1200</v>
      </c>
      <c r="I791" s="1399">
        <v>1200</v>
      </c>
    </row>
    <row r="792" spans="2:9">
      <c r="B792" s="1297"/>
      <c r="C792" s="1297"/>
      <c r="D792" s="1297" t="s">
        <v>1044</v>
      </c>
      <c r="F792" s="1399">
        <v>43950.18</v>
      </c>
      <c r="I792" s="1399">
        <v>43950.18</v>
      </c>
    </row>
    <row r="793" spans="2:9">
      <c r="B793" s="1297"/>
      <c r="C793" s="1297"/>
      <c r="D793" s="1297" t="s">
        <v>1045</v>
      </c>
      <c r="F793" s="1399">
        <v>216384.45</v>
      </c>
      <c r="I793" s="1399">
        <v>216384.45</v>
      </c>
    </row>
    <row r="794" spans="2:9">
      <c r="B794" s="1297"/>
      <c r="C794" s="1297"/>
      <c r="D794" s="1297" t="s">
        <v>1046</v>
      </c>
      <c r="H794" s="1399">
        <v>11095194</v>
      </c>
      <c r="I794" s="1399">
        <v>11095194</v>
      </c>
    </row>
    <row r="795" spans="2:9">
      <c r="B795" s="1297"/>
      <c r="C795" s="1297"/>
      <c r="D795" s="1297" t="s">
        <v>1129</v>
      </c>
      <c r="H795" s="1399">
        <v>-1391455</v>
      </c>
      <c r="I795" s="1399">
        <v>-1391455</v>
      </c>
    </row>
    <row r="796" spans="2:9">
      <c r="B796" s="1297"/>
      <c r="C796" s="1297"/>
      <c r="D796" s="1297" t="s">
        <v>1047</v>
      </c>
      <c r="H796" s="1399">
        <v>328587</v>
      </c>
      <c r="I796" s="1399">
        <v>328587</v>
      </c>
    </row>
    <row r="797" spans="2:9">
      <c r="B797" s="1297"/>
      <c r="C797" s="1297"/>
      <c r="D797" s="1297" t="s">
        <v>1048</v>
      </c>
      <c r="H797" s="1399">
        <v>-962507</v>
      </c>
      <c r="I797" s="1399">
        <v>-962507</v>
      </c>
    </row>
    <row r="798" spans="2:9">
      <c r="B798" s="1297"/>
      <c r="C798" s="1297"/>
      <c r="D798" s="1297" t="s">
        <v>932</v>
      </c>
      <c r="H798" s="1399">
        <v>1133383</v>
      </c>
      <c r="I798" s="1399">
        <v>1133383</v>
      </c>
    </row>
    <row r="799" spans="2:9">
      <c r="B799" s="1297"/>
      <c r="C799" s="1297"/>
      <c r="D799" s="1297" t="s">
        <v>955</v>
      </c>
      <c r="H799" s="1399">
        <v>702822.34</v>
      </c>
      <c r="I799" s="1399">
        <v>702822.34</v>
      </c>
    </row>
    <row r="800" spans="2:9">
      <c r="B800" s="1297"/>
      <c r="C800" s="1297"/>
      <c r="D800" s="1297" t="s">
        <v>934</v>
      </c>
      <c r="H800" s="1399">
        <v>31316</v>
      </c>
      <c r="I800" s="1399">
        <v>31316</v>
      </c>
    </row>
    <row r="801" spans="2:9">
      <c r="B801" s="1297"/>
      <c r="C801" s="1297"/>
      <c r="D801" s="1297" t="s">
        <v>1130</v>
      </c>
      <c r="H801" s="1399">
        <v>2388</v>
      </c>
      <c r="I801" s="1399">
        <v>2388</v>
      </c>
    </row>
    <row r="802" spans="2:9">
      <c r="B802" s="1297"/>
      <c r="C802" s="1297"/>
      <c r="D802" s="1297" t="s">
        <v>935</v>
      </c>
      <c r="H802" s="1399">
        <v>320984.76</v>
      </c>
      <c r="I802" s="1399">
        <v>320984.76</v>
      </c>
    </row>
    <row r="803" spans="2:9">
      <c r="B803" s="1297"/>
      <c r="C803" s="1297"/>
      <c r="D803" s="1297" t="s">
        <v>936</v>
      </c>
      <c r="H803" s="1399">
        <v>33964.6</v>
      </c>
      <c r="I803" s="1399">
        <v>33964.6</v>
      </c>
    </row>
    <row r="804" spans="2:9">
      <c r="B804" s="1297"/>
      <c r="C804" s="1297"/>
      <c r="D804" s="1297" t="s">
        <v>937</v>
      </c>
      <c r="H804" s="1399">
        <v>14113.58</v>
      </c>
      <c r="I804" s="1399">
        <v>14113.58</v>
      </c>
    </row>
    <row r="805" spans="2:9">
      <c r="B805" s="1297"/>
      <c r="C805" s="1297"/>
      <c r="D805" s="1297" t="s">
        <v>938</v>
      </c>
      <c r="H805" s="1399">
        <v>10481</v>
      </c>
      <c r="I805" s="1399">
        <v>10481</v>
      </c>
    </row>
    <row r="806" spans="2:9">
      <c r="B806" s="1297"/>
      <c r="C806" s="1297"/>
      <c r="D806" s="1297" t="s">
        <v>939</v>
      </c>
      <c r="H806" s="1399">
        <v>-5250</v>
      </c>
      <c r="I806" s="1399">
        <v>-5250</v>
      </c>
    </row>
    <row r="807" spans="2:9">
      <c r="B807" s="1297"/>
      <c r="C807" s="1297"/>
      <c r="D807" s="1297" t="s">
        <v>940</v>
      </c>
      <c r="E807" s="1399">
        <v>601122.98</v>
      </c>
      <c r="I807" s="1399">
        <v>601122.98</v>
      </c>
    </row>
    <row r="808" spans="2:9">
      <c r="B808" s="1297"/>
      <c r="C808" s="1297"/>
      <c r="D808" s="1297" t="s">
        <v>941</v>
      </c>
      <c r="E808" s="1399">
        <v>244068.36</v>
      </c>
      <c r="I808" s="1399">
        <v>244068.36</v>
      </c>
    </row>
    <row r="809" spans="2:9">
      <c r="B809" s="1297"/>
      <c r="C809" s="1297"/>
      <c r="D809" s="1297" t="s">
        <v>942</v>
      </c>
      <c r="E809" s="1399">
        <v>11359.27</v>
      </c>
      <c r="I809" s="1399">
        <v>11359.27</v>
      </c>
    </row>
    <row r="810" spans="2:9">
      <c r="B810" s="1297"/>
      <c r="C810" s="1297"/>
      <c r="D810" s="1297" t="s">
        <v>943</v>
      </c>
      <c r="E810" s="1399">
        <v>9830.9</v>
      </c>
      <c r="I810" s="1399">
        <v>9830.9</v>
      </c>
    </row>
    <row r="811" spans="2:9">
      <c r="B811" s="1297"/>
      <c r="C811" s="1297"/>
      <c r="D811" s="1297" t="s">
        <v>944</v>
      </c>
      <c r="E811" s="1399">
        <v>2075826.4400000002</v>
      </c>
      <c r="I811" s="1399">
        <v>2075826.4400000002</v>
      </c>
    </row>
    <row r="812" spans="2:9">
      <c r="B812" s="1297"/>
      <c r="C812" s="1297"/>
      <c r="D812" s="1297" t="s">
        <v>945</v>
      </c>
      <c r="E812" s="1399">
        <v>856783.39999999991</v>
      </c>
      <c r="I812" s="1399">
        <v>856783.39999999991</v>
      </c>
    </row>
    <row r="813" spans="2:9">
      <c r="B813" s="1297"/>
      <c r="C813" s="1297"/>
      <c r="D813" s="1297" t="s">
        <v>946</v>
      </c>
      <c r="E813" s="1399">
        <v>22040.32</v>
      </c>
      <c r="I813" s="1399">
        <v>22040.32</v>
      </c>
    </row>
    <row r="814" spans="2:9">
      <c r="B814" s="1297"/>
      <c r="C814" s="1297"/>
      <c r="D814" s="1297" t="s">
        <v>947</v>
      </c>
      <c r="E814" s="1399">
        <v>61251.82</v>
      </c>
      <c r="I814" s="1399">
        <v>61251.82</v>
      </c>
    </row>
    <row r="815" spans="2:9">
      <c r="B815" s="1297"/>
      <c r="C815" s="1297"/>
      <c r="D815" s="1297" t="s">
        <v>1115</v>
      </c>
      <c r="E815" s="1399">
        <v>60030.22</v>
      </c>
      <c r="I815" s="1399">
        <v>60030.22</v>
      </c>
    </row>
    <row r="816" spans="2:9">
      <c r="B816" s="1297"/>
      <c r="C816" s="1297"/>
      <c r="D816" s="1297" t="s">
        <v>1116</v>
      </c>
      <c r="G816" s="1399">
        <v>17625000</v>
      </c>
      <c r="I816" s="1399">
        <v>17625000</v>
      </c>
    </row>
    <row r="817" spans="2:9">
      <c r="B817" s="1297"/>
      <c r="C817" s="1297"/>
      <c r="D817" s="1297" t="s">
        <v>948</v>
      </c>
      <c r="G817" s="1399">
        <v>1519631.56</v>
      </c>
      <c r="I817" s="1399">
        <v>1519631.56</v>
      </c>
    </row>
    <row r="818" spans="2:9">
      <c r="B818" s="1297"/>
      <c r="C818" s="1400" t="s">
        <v>1204</v>
      </c>
      <c r="D818" s="1400"/>
      <c r="E818" s="1401">
        <v>3942313.71</v>
      </c>
      <c r="F818" s="1401">
        <v>5344636.8099999996</v>
      </c>
      <c r="G818" s="1401">
        <v>19144631.559999999</v>
      </c>
      <c r="H818" s="1401">
        <v>11314022.279999999</v>
      </c>
      <c r="I818" s="1401">
        <v>39745604.359999999</v>
      </c>
    </row>
    <row r="819" spans="2:9">
      <c r="B819" s="1297" t="s">
        <v>1205</v>
      </c>
      <c r="C819" s="1297" t="s">
        <v>1206</v>
      </c>
      <c r="D819" s="1297" t="s">
        <v>906</v>
      </c>
      <c r="F819" s="1399">
        <v>32845079.120000001</v>
      </c>
      <c r="I819" s="1399">
        <v>32845079.120000001</v>
      </c>
    </row>
    <row r="820" spans="2:9">
      <c r="B820" s="1297"/>
      <c r="C820" s="1297"/>
      <c r="D820" s="1297" t="s">
        <v>952</v>
      </c>
      <c r="F820" s="1399">
        <v>523860.52</v>
      </c>
      <c r="I820" s="1399">
        <v>523860.52</v>
      </c>
    </row>
    <row r="821" spans="2:9">
      <c r="B821" s="1297"/>
      <c r="C821" s="1297"/>
      <c r="D821" s="1297" t="s">
        <v>907</v>
      </c>
      <c r="F821" s="1399">
        <v>11171892.220000001</v>
      </c>
      <c r="I821" s="1399">
        <v>11171892.220000001</v>
      </c>
    </row>
    <row r="822" spans="2:9">
      <c r="B822" s="1297"/>
      <c r="C822" s="1297"/>
      <c r="D822" s="1297" t="s">
        <v>908</v>
      </c>
      <c r="F822" s="1399">
        <v>31670.799999999999</v>
      </c>
      <c r="I822" s="1399">
        <v>31670.799999999999</v>
      </c>
    </row>
    <row r="823" spans="2:9">
      <c r="B823" s="1297"/>
      <c r="C823" s="1297"/>
      <c r="D823" s="1297" t="s">
        <v>909</v>
      </c>
      <c r="F823" s="1399">
        <v>301083.02</v>
      </c>
      <c r="I823" s="1399">
        <v>301083.02</v>
      </c>
    </row>
    <row r="824" spans="2:9">
      <c r="B824" s="1297"/>
      <c r="C824" s="1297"/>
      <c r="D824" s="1297" t="s">
        <v>910</v>
      </c>
      <c r="F824" s="1399">
        <v>285554.32000000007</v>
      </c>
      <c r="I824" s="1399">
        <v>285554.32000000007</v>
      </c>
    </row>
    <row r="825" spans="2:9">
      <c r="B825" s="1297"/>
      <c r="C825" s="1297"/>
      <c r="D825" s="1297" t="s">
        <v>1034</v>
      </c>
      <c r="F825" s="1399">
        <v>301813.47000000003</v>
      </c>
      <c r="I825" s="1399">
        <v>301813.47000000003</v>
      </c>
    </row>
    <row r="826" spans="2:9">
      <c r="B826" s="1297"/>
      <c r="C826" s="1297"/>
      <c r="D826" s="1297" t="s">
        <v>1035</v>
      </c>
      <c r="F826" s="1399">
        <v>1671953.53</v>
      </c>
      <c r="I826" s="1399">
        <v>1671953.53</v>
      </c>
    </row>
    <row r="827" spans="2:9">
      <c r="B827" s="1297"/>
      <c r="C827" s="1297"/>
      <c r="D827" s="1297" t="s">
        <v>1036</v>
      </c>
      <c r="F827" s="1399">
        <v>372660.37</v>
      </c>
      <c r="I827" s="1399">
        <v>372660.37</v>
      </c>
    </row>
    <row r="828" spans="2:9">
      <c r="B828" s="1297"/>
      <c r="C828" s="1297"/>
      <c r="D828" s="1297" t="s">
        <v>1037</v>
      </c>
      <c r="F828" s="1399">
        <v>9380</v>
      </c>
      <c r="I828" s="1399">
        <v>9380</v>
      </c>
    </row>
    <row r="829" spans="2:9">
      <c r="B829" s="1297"/>
      <c r="C829" s="1297"/>
      <c r="D829" s="1297" t="s">
        <v>1038</v>
      </c>
      <c r="F829" s="1399">
        <v>14115</v>
      </c>
      <c r="I829" s="1399">
        <v>14115</v>
      </c>
    </row>
    <row r="830" spans="2:9">
      <c r="B830" s="1297"/>
      <c r="C830" s="1297"/>
      <c r="D830" s="1297" t="s">
        <v>1039</v>
      </c>
      <c r="F830" s="1399">
        <v>74501.22</v>
      </c>
      <c r="I830" s="1399">
        <v>74501.22</v>
      </c>
    </row>
    <row r="831" spans="2:9">
      <c r="B831" s="1297"/>
      <c r="C831" s="1297"/>
      <c r="D831" s="1297" t="s">
        <v>1040</v>
      </c>
      <c r="F831" s="1399">
        <v>1363462.1199999996</v>
      </c>
      <c r="I831" s="1399">
        <v>1363462.1199999996</v>
      </c>
    </row>
    <row r="832" spans="2:9">
      <c r="B832" s="1297"/>
      <c r="C832" s="1297"/>
      <c r="D832" s="1297" t="s">
        <v>1207</v>
      </c>
      <c r="F832" s="1399">
        <v>2263</v>
      </c>
      <c r="I832" s="1399">
        <v>2263</v>
      </c>
    </row>
    <row r="833" spans="2:9">
      <c r="B833" s="1297"/>
      <c r="C833" s="1297"/>
      <c r="D833" s="1297" t="s">
        <v>1041</v>
      </c>
      <c r="F833" s="1399">
        <v>67396.73000000001</v>
      </c>
      <c r="I833" s="1399">
        <v>67396.73000000001</v>
      </c>
    </row>
    <row r="834" spans="2:9">
      <c r="B834" s="1297"/>
      <c r="C834" s="1297"/>
      <c r="D834" s="1297" t="s">
        <v>1042</v>
      </c>
      <c r="F834" s="1399">
        <v>189474.06</v>
      </c>
      <c r="I834" s="1399">
        <v>189474.06</v>
      </c>
    </row>
    <row r="835" spans="2:9">
      <c r="B835" s="1297"/>
      <c r="C835" s="1297"/>
      <c r="D835" s="1297" t="s">
        <v>1043</v>
      </c>
      <c r="F835" s="1399">
        <v>105</v>
      </c>
      <c r="I835" s="1399">
        <v>105</v>
      </c>
    </row>
    <row r="836" spans="2:9">
      <c r="B836" s="1297"/>
      <c r="C836" s="1297"/>
      <c r="D836" s="1297" t="s">
        <v>986</v>
      </c>
      <c r="F836" s="1399">
        <v>412002.6</v>
      </c>
      <c r="I836" s="1399">
        <v>412002.6</v>
      </c>
    </row>
    <row r="837" spans="2:9">
      <c r="B837" s="1297"/>
      <c r="C837" s="1297"/>
      <c r="D837" s="1297" t="s">
        <v>1203</v>
      </c>
      <c r="F837" s="1399">
        <v>-122330</v>
      </c>
      <c r="I837" s="1399">
        <v>-122330</v>
      </c>
    </row>
    <row r="838" spans="2:9">
      <c r="B838" s="1297"/>
      <c r="C838" s="1297"/>
      <c r="D838" s="1297" t="s">
        <v>1045</v>
      </c>
      <c r="F838" s="1399">
        <v>1184836.2100000002</v>
      </c>
      <c r="I838" s="1399">
        <v>1184836.2100000002</v>
      </c>
    </row>
    <row r="839" spans="2:9">
      <c r="B839" s="1297"/>
      <c r="C839" s="1297"/>
      <c r="D839" s="1297" t="s">
        <v>1046</v>
      </c>
      <c r="H839" s="1399">
        <v>71791858</v>
      </c>
      <c r="I839" s="1399">
        <v>71791858</v>
      </c>
    </row>
    <row r="840" spans="2:9">
      <c r="B840" s="1297"/>
      <c r="C840" s="1297"/>
      <c r="D840" s="1297" t="s">
        <v>1128</v>
      </c>
      <c r="H840" s="1399">
        <v>6080322</v>
      </c>
      <c r="I840" s="1399">
        <v>6080322</v>
      </c>
    </row>
    <row r="841" spans="2:9">
      <c r="B841" s="1297"/>
      <c r="C841" s="1297"/>
      <c r="D841" s="1297" t="s">
        <v>1129</v>
      </c>
      <c r="H841" s="1399">
        <v>-10177310</v>
      </c>
      <c r="I841" s="1399">
        <v>-10177310</v>
      </c>
    </row>
    <row r="842" spans="2:9">
      <c r="B842" s="1297"/>
      <c r="C842" s="1297"/>
      <c r="D842" s="1297" t="s">
        <v>1047</v>
      </c>
      <c r="H842" s="1399">
        <v>1801221</v>
      </c>
      <c r="I842" s="1399">
        <v>1801221</v>
      </c>
    </row>
    <row r="843" spans="2:9">
      <c r="B843" s="1297"/>
      <c r="C843" s="1297"/>
      <c r="D843" s="1297" t="s">
        <v>1048</v>
      </c>
      <c r="H843" s="1399">
        <v>-9306628</v>
      </c>
      <c r="I843" s="1399">
        <v>-9306628</v>
      </c>
    </row>
    <row r="844" spans="2:9">
      <c r="B844" s="1297"/>
      <c r="C844" s="1297"/>
      <c r="D844" s="1297" t="s">
        <v>932</v>
      </c>
      <c r="H844" s="1399">
        <v>10779283</v>
      </c>
      <c r="I844" s="1399">
        <v>10779283</v>
      </c>
    </row>
    <row r="845" spans="2:9">
      <c r="B845" s="1297"/>
      <c r="C845" s="1297"/>
      <c r="D845" s="1297" t="s">
        <v>955</v>
      </c>
      <c r="H845" s="1399">
        <v>2224807.73</v>
      </c>
      <c r="I845" s="1399">
        <v>2224807.73</v>
      </c>
    </row>
    <row r="846" spans="2:9">
      <c r="B846" s="1297"/>
      <c r="C846" s="1297"/>
      <c r="D846" s="1297" t="s">
        <v>934</v>
      </c>
      <c r="H846" s="1399">
        <v>236078</v>
      </c>
      <c r="I846" s="1399">
        <v>236078</v>
      </c>
    </row>
    <row r="847" spans="2:9">
      <c r="B847" s="1297"/>
      <c r="C847" s="1297"/>
      <c r="D847" s="1297" t="s">
        <v>1130</v>
      </c>
      <c r="H847" s="1399">
        <v>7283893.0899999999</v>
      </c>
      <c r="I847" s="1399">
        <v>7283893.0899999999</v>
      </c>
    </row>
    <row r="848" spans="2:9">
      <c r="B848" s="1297"/>
      <c r="C848" s="1297"/>
      <c r="D848" s="1297" t="s">
        <v>935</v>
      </c>
      <c r="H848" s="1399">
        <v>1497451.76</v>
      </c>
      <c r="I848" s="1399">
        <v>1497451.76</v>
      </c>
    </row>
    <row r="849" spans="2:9">
      <c r="B849" s="1297"/>
      <c r="C849" s="1297"/>
      <c r="D849" s="1297" t="s">
        <v>936</v>
      </c>
      <c r="H849" s="1399">
        <v>234250.71</v>
      </c>
      <c r="I849" s="1399">
        <v>234250.71</v>
      </c>
    </row>
    <row r="850" spans="2:9">
      <c r="B850" s="1297"/>
      <c r="C850" s="1297"/>
      <c r="D850" s="1297" t="s">
        <v>937</v>
      </c>
      <c r="H850" s="1399">
        <v>40267.410000000003</v>
      </c>
      <c r="I850" s="1399">
        <v>40267.410000000003</v>
      </c>
    </row>
    <row r="851" spans="2:9">
      <c r="B851" s="1297"/>
      <c r="C851" s="1297"/>
      <c r="D851" s="1297" t="s">
        <v>938</v>
      </c>
      <c r="H851" s="1399">
        <v>84970</v>
      </c>
      <c r="I851" s="1399">
        <v>84970</v>
      </c>
    </row>
    <row r="852" spans="2:9">
      <c r="B852" s="1297"/>
      <c r="C852" s="1297"/>
      <c r="D852" s="1297" t="s">
        <v>939</v>
      </c>
      <c r="H852" s="1399">
        <v>42250</v>
      </c>
      <c r="I852" s="1399">
        <v>42250</v>
      </c>
    </row>
    <row r="853" spans="2:9">
      <c r="B853" s="1297"/>
      <c r="C853" s="1297"/>
      <c r="D853" s="1297" t="s">
        <v>940</v>
      </c>
      <c r="E853" s="1399">
        <v>3804283.2399999998</v>
      </c>
      <c r="I853" s="1399">
        <v>3804283.2399999998</v>
      </c>
    </row>
    <row r="854" spans="2:9">
      <c r="B854" s="1297"/>
      <c r="C854" s="1297"/>
      <c r="D854" s="1297" t="s">
        <v>941</v>
      </c>
      <c r="E854" s="1399">
        <v>1322251.9800000002</v>
      </c>
      <c r="I854" s="1399">
        <v>1322251.9800000002</v>
      </c>
    </row>
    <row r="855" spans="2:9">
      <c r="B855" s="1297"/>
      <c r="C855" s="1297"/>
      <c r="D855" s="1297" t="s">
        <v>943</v>
      </c>
      <c r="E855" s="1399">
        <v>65202.090000000011</v>
      </c>
      <c r="I855" s="1399">
        <v>65202.090000000011</v>
      </c>
    </row>
    <row r="856" spans="2:9">
      <c r="B856" s="1297"/>
      <c r="C856" s="1297"/>
      <c r="D856" s="1297" t="s">
        <v>944</v>
      </c>
      <c r="E856" s="1399">
        <v>6628780.3599999994</v>
      </c>
      <c r="I856" s="1399">
        <v>6628780.3599999994</v>
      </c>
    </row>
    <row r="857" spans="2:9">
      <c r="B857" s="1297"/>
      <c r="C857" s="1297"/>
      <c r="D857" s="1297" t="s">
        <v>945</v>
      </c>
      <c r="E857" s="1399">
        <v>6398019.1799999997</v>
      </c>
      <c r="I857" s="1399">
        <v>6398019.1799999997</v>
      </c>
    </row>
    <row r="858" spans="2:9">
      <c r="B858" s="1297"/>
      <c r="C858" s="1297"/>
      <c r="D858" s="1297" t="s">
        <v>946</v>
      </c>
      <c r="E858" s="1399">
        <v>18814.349999999999</v>
      </c>
      <c r="I858" s="1399">
        <v>18814.349999999999</v>
      </c>
    </row>
    <row r="859" spans="2:9">
      <c r="B859" s="1297"/>
      <c r="C859" s="1297"/>
      <c r="D859" s="1297" t="s">
        <v>947</v>
      </c>
      <c r="E859" s="1399">
        <v>529910.45999999985</v>
      </c>
      <c r="I859" s="1399">
        <v>529910.45999999985</v>
      </c>
    </row>
    <row r="860" spans="2:9">
      <c r="B860" s="1297"/>
      <c r="C860" s="1297"/>
      <c r="D860" s="1297" t="s">
        <v>1115</v>
      </c>
      <c r="E860" s="1399">
        <v>66830.929999999993</v>
      </c>
      <c r="I860" s="1399">
        <v>66830.929999999993</v>
      </c>
    </row>
    <row r="861" spans="2:9">
      <c r="B861" s="1297"/>
      <c r="C861" s="1297"/>
      <c r="D861" s="1297" t="s">
        <v>1116</v>
      </c>
      <c r="G861" s="1399">
        <v>71245000</v>
      </c>
      <c r="I861" s="1399">
        <v>71245000</v>
      </c>
    </row>
    <row r="862" spans="2:9">
      <c r="B862" s="1297"/>
      <c r="C862" s="1297"/>
      <c r="D862" s="1297" t="s">
        <v>1117</v>
      </c>
      <c r="G862" s="1399">
        <v>10301203.550000001</v>
      </c>
      <c r="I862" s="1399">
        <v>10301203.550000001</v>
      </c>
    </row>
    <row r="863" spans="2:9">
      <c r="B863" s="1297"/>
      <c r="C863" s="1297"/>
      <c r="D863" s="1297" t="s">
        <v>948</v>
      </c>
      <c r="G863" s="1399">
        <v>10948332.08</v>
      </c>
      <c r="I863" s="1399">
        <v>10948332.08</v>
      </c>
    </row>
    <row r="864" spans="2:9">
      <c r="B864" s="1297"/>
      <c r="C864" s="1297"/>
      <c r="D864" s="1297" t="s">
        <v>956</v>
      </c>
      <c r="G864" s="1399">
        <v>1</v>
      </c>
      <c r="I864" s="1399">
        <v>1</v>
      </c>
    </row>
    <row r="865" spans="2:9">
      <c r="B865" s="1297"/>
      <c r="C865" s="1297"/>
      <c r="D865" s="1297" t="s">
        <v>1118</v>
      </c>
      <c r="G865" s="1399">
        <v>-448506.5</v>
      </c>
      <c r="I865" s="1399">
        <v>-448506.5</v>
      </c>
    </row>
    <row r="866" spans="2:9">
      <c r="B866" s="1297"/>
      <c r="C866" s="1400" t="s">
        <v>1208</v>
      </c>
      <c r="D866" s="1400"/>
      <c r="E866" s="1401">
        <v>18834092.59</v>
      </c>
      <c r="F866" s="1401">
        <v>50700773.309999995</v>
      </c>
      <c r="G866" s="1401">
        <v>92046030.129999995</v>
      </c>
      <c r="H866" s="1401">
        <v>82612714.700000003</v>
      </c>
      <c r="I866" s="1401">
        <v>244193610.73000005</v>
      </c>
    </row>
    <row r="867" spans="2:9">
      <c r="B867" s="1297" t="s">
        <v>1209</v>
      </c>
      <c r="C867" s="1297" t="s">
        <v>1210</v>
      </c>
      <c r="D867" s="1297" t="s">
        <v>906</v>
      </c>
      <c r="F867" s="1399">
        <v>25594595.850000001</v>
      </c>
      <c r="I867" s="1399">
        <v>25594595.850000001</v>
      </c>
    </row>
    <row r="868" spans="2:9">
      <c r="B868" s="1297"/>
      <c r="C868" s="1297"/>
      <c r="D868" s="1297" t="s">
        <v>952</v>
      </c>
      <c r="F868" s="1399">
        <v>472637.93</v>
      </c>
      <c r="I868" s="1399">
        <v>472637.93</v>
      </c>
    </row>
    <row r="869" spans="2:9">
      <c r="B869" s="1297"/>
      <c r="C869" s="1297"/>
      <c r="D869" s="1297" t="s">
        <v>907</v>
      </c>
      <c r="F869" s="1399">
        <v>8274321.4199999999</v>
      </c>
      <c r="I869" s="1399">
        <v>8274321.4199999999</v>
      </c>
    </row>
    <row r="870" spans="2:9">
      <c r="B870" s="1297"/>
      <c r="C870" s="1297"/>
      <c r="D870" s="1297" t="s">
        <v>908</v>
      </c>
      <c r="F870" s="1399">
        <v>1026925.47</v>
      </c>
      <c r="I870" s="1399">
        <v>1026925.47</v>
      </c>
    </row>
    <row r="871" spans="2:9">
      <c r="B871" s="1297"/>
      <c r="C871" s="1297"/>
      <c r="D871" s="1297" t="s">
        <v>909</v>
      </c>
      <c r="F871" s="1399">
        <v>23070.42</v>
      </c>
      <c r="I871" s="1399">
        <v>23070.42</v>
      </c>
    </row>
    <row r="872" spans="2:9">
      <c r="B872" s="1297"/>
      <c r="C872" s="1297"/>
      <c r="D872" s="1297" t="s">
        <v>910</v>
      </c>
      <c r="F872" s="1399">
        <v>518579.38</v>
      </c>
      <c r="I872" s="1399">
        <v>518579.38</v>
      </c>
    </row>
    <row r="873" spans="2:9">
      <c r="B873" s="1297"/>
      <c r="C873" s="1297"/>
      <c r="D873" s="1297" t="s">
        <v>1034</v>
      </c>
      <c r="F873" s="1399">
        <v>344190.12</v>
      </c>
      <c r="I873" s="1399">
        <v>344190.12</v>
      </c>
    </row>
    <row r="874" spans="2:9">
      <c r="B874" s="1297"/>
      <c r="C874" s="1297"/>
      <c r="D874" s="1297" t="s">
        <v>1035</v>
      </c>
      <c r="F874" s="1399">
        <v>1179508.77</v>
      </c>
      <c r="I874" s="1399">
        <v>1179508.77</v>
      </c>
    </row>
    <row r="875" spans="2:9">
      <c r="B875" s="1297"/>
      <c r="C875" s="1297"/>
      <c r="D875" s="1297" t="s">
        <v>1036</v>
      </c>
      <c r="F875" s="1399">
        <v>331137.13</v>
      </c>
      <c r="I875" s="1399">
        <v>331137.13</v>
      </c>
    </row>
    <row r="876" spans="2:9">
      <c r="B876" s="1297"/>
      <c r="C876" s="1297"/>
      <c r="D876" s="1297" t="s">
        <v>1037</v>
      </c>
      <c r="F876" s="1399">
        <v>43623.519999999997</v>
      </c>
      <c r="I876" s="1399">
        <v>43623.519999999997</v>
      </c>
    </row>
    <row r="877" spans="2:9">
      <c r="B877" s="1297"/>
      <c r="C877" s="1297"/>
      <c r="D877" s="1297" t="s">
        <v>1039</v>
      </c>
      <c r="F877" s="1399">
        <v>653213.11</v>
      </c>
      <c r="I877" s="1399">
        <v>653213.11</v>
      </c>
    </row>
    <row r="878" spans="2:9">
      <c r="B878" s="1297"/>
      <c r="C878" s="1297"/>
      <c r="D878" s="1297" t="s">
        <v>1040</v>
      </c>
      <c r="F878" s="1399">
        <v>549691.6</v>
      </c>
      <c r="I878" s="1399">
        <v>549691.6</v>
      </c>
    </row>
    <row r="879" spans="2:9">
      <c r="B879" s="1297"/>
      <c r="C879" s="1297"/>
      <c r="D879" s="1297" t="s">
        <v>1127</v>
      </c>
      <c r="F879" s="1399">
        <v>632408</v>
      </c>
      <c r="I879" s="1399">
        <v>632408</v>
      </c>
    </row>
    <row r="880" spans="2:9">
      <c r="B880" s="1297"/>
      <c r="C880" s="1297"/>
      <c r="D880" s="1297" t="s">
        <v>1041</v>
      </c>
      <c r="F880" s="1399">
        <v>374529.11</v>
      </c>
      <c r="I880" s="1399">
        <v>374529.11</v>
      </c>
    </row>
    <row r="881" spans="2:9">
      <c r="B881" s="1297"/>
      <c r="C881" s="1297"/>
      <c r="D881" s="1297" t="s">
        <v>1042</v>
      </c>
      <c r="F881" s="1399">
        <v>135756.03</v>
      </c>
      <c r="I881" s="1399">
        <v>135756.03</v>
      </c>
    </row>
    <row r="882" spans="2:9">
      <c r="B882" s="1297"/>
      <c r="C882" s="1297"/>
      <c r="D882" s="1297" t="s">
        <v>953</v>
      </c>
      <c r="F882" s="1399">
        <v>66121.22</v>
      </c>
      <c r="I882" s="1399">
        <v>66121.22</v>
      </c>
    </row>
    <row r="883" spans="2:9">
      <c r="B883" s="1297"/>
      <c r="C883" s="1297"/>
      <c r="D883" s="1297" t="s">
        <v>985</v>
      </c>
      <c r="F883" s="1399">
        <v>451936.33</v>
      </c>
      <c r="I883" s="1399">
        <v>451936.33</v>
      </c>
    </row>
    <row r="884" spans="2:9">
      <c r="B884" s="1297"/>
      <c r="C884" s="1297"/>
      <c r="D884" s="1297" t="s">
        <v>1043</v>
      </c>
      <c r="F884" s="1399">
        <v>1670</v>
      </c>
      <c r="I884" s="1399">
        <v>1670</v>
      </c>
    </row>
    <row r="885" spans="2:9">
      <c r="B885" s="1297"/>
      <c r="C885" s="1297"/>
      <c r="D885" s="1297" t="s">
        <v>986</v>
      </c>
      <c r="F885" s="1399">
        <v>135808.5</v>
      </c>
      <c r="I885" s="1399">
        <v>135808.5</v>
      </c>
    </row>
    <row r="886" spans="2:9">
      <c r="B886" s="1297"/>
      <c r="C886" s="1297"/>
      <c r="D886" s="1297" t="s">
        <v>990</v>
      </c>
      <c r="F886" s="1399">
        <v>234</v>
      </c>
      <c r="I886" s="1399">
        <v>234</v>
      </c>
    </row>
    <row r="887" spans="2:9">
      <c r="B887" s="1297"/>
      <c r="C887" s="1297"/>
      <c r="D887" s="1297" t="s">
        <v>991</v>
      </c>
      <c r="F887" s="1399">
        <v>170497.56</v>
      </c>
      <c r="I887" s="1399">
        <v>170497.56</v>
      </c>
    </row>
    <row r="888" spans="2:9">
      <c r="B888" s="1297"/>
      <c r="C888" s="1297"/>
      <c r="D888" s="1297" t="s">
        <v>1045</v>
      </c>
      <c r="F888" s="1399">
        <v>1810485.73</v>
      </c>
      <c r="I888" s="1399">
        <v>1810485.73</v>
      </c>
    </row>
    <row r="889" spans="2:9">
      <c r="B889" s="1297"/>
      <c r="C889" s="1297"/>
      <c r="D889" s="1297" t="s">
        <v>1046</v>
      </c>
      <c r="H889" s="1399">
        <v>47781179</v>
      </c>
      <c r="I889" s="1399">
        <v>47781179</v>
      </c>
    </row>
    <row r="890" spans="2:9">
      <c r="B890" s="1297"/>
      <c r="C890" s="1297"/>
      <c r="D890" s="1297" t="s">
        <v>1047</v>
      </c>
      <c r="H890" s="1399">
        <v>1021081</v>
      </c>
      <c r="I890" s="1399">
        <v>1021081</v>
      </c>
    </row>
    <row r="891" spans="2:9">
      <c r="B891" s="1297"/>
      <c r="C891" s="1297"/>
      <c r="D891" s="1297" t="s">
        <v>932</v>
      </c>
      <c r="H891" s="1399">
        <v>5909522</v>
      </c>
      <c r="I891" s="1399">
        <v>5909522</v>
      </c>
    </row>
    <row r="892" spans="2:9">
      <c r="B892" s="1297"/>
      <c r="C892" s="1297"/>
      <c r="D892" s="1297" t="s">
        <v>955</v>
      </c>
      <c r="H892" s="1399">
        <v>958899.64</v>
      </c>
      <c r="I892" s="1399">
        <v>958899.64</v>
      </c>
    </row>
    <row r="893" spans="2:9">
      <c r="B893" s="1297"/>
      <c r="C893" s="1297"/>
      <c r="D893" s="1297" t="s">
        <v>934</v>
      </c>
      <c r="H893" s="1399">
        <v>158750</v>
      </c>
      <c r="I893" s="1399">
        <v>158750</v>
      </c>
    </row>
    <row r="894" spans="2:9">
      <c r="B894" s="1297"/>
      <c r="C894" s="1297"/>
      <c r="D894" s="1297" t="s">
        <v>935</v>
      </c>
      <c r="H894" s="1399">
        <v>787342.77</v>
      </c>
      <c r="I894" s="1399">
        <v>787342.77</v>
      </c>
    </row>
    <row r="895" spans="2:9">
      <c r="B895" s="1297"/>
      <c r="C895" s="1297"/>
      <c r="D895" s="1297" t="s">
        <v>936</v>
      </c>
      <c r="H895" s="1399">
        <v>196434.45</v>
      </c>
      <c r="I895" s="1399">
        <v>196434.45</v>
      </c>
    </row>
    <row r="896" spans="2:9">
      <c r="B896" s="1297"/>
      <c r="C896" s="1297"/>
      <c r="D896" s="1297" t="s">
        <v>937</v>
      </c>
      <c r="H896" s="1399">
        <v>10083.73</v>
      </c>
      <c r="I896" s="1399">
        <v>10083.73</v>
      </c>
    </row>
    <row r="897" spans="2:9">
      <c r="B897" s="1297"/>
      <c r="C897" s="1297"/>
      <c r="D897" s="1297" t="s">
        <v>938</v>
      </c>
      <c r="H897" s="1399">
        <v>55960</v>
      </c>
      <c r="I897" s="1399">
        <v>55960</v>
      </c>
    </row>
    <row r="898" spans="2:9">
      <c r="B898" s="1297"/>
      <c r="C898" s="1297"/>
      <c r="D898" s="1297" t="s">
        <v>1131</v>
      </c>
      <c r="E898" s="1399">
        <v>127752.36</v>
      </c>
      <c r="I898" s="1399">
        <v>127752.36</v>
      </c>
    </row>
    <row r="899" spans="2:9">
      <c r="B899" s="1297"/>
      <c r="C899" s="1297"/>
      <c r="D899" s="1297" t="s">
        <v>940</v>
      </c>
      <c r="E899" s="1399">
        <v>2087388.42</v>
      </c>
      <c r="I899" s="1399">
        <v>2087388.42</v>
      </c>
    </row>
    <row r="900" spans="2:9">
      <c r="B900" s="1297"/>
      <c r="C900" s="1297"/>
      <c r="D900" s="1297" t="s">
        <v>941</v>
      </c>
      <c r="E900" s="1399">
        <v>732607.74</v>
      </c>
      <c r="I900" s="1399">
        <v>732607.74</v>
      </c>
    </row>
    <row r="901" spans="2:9">
      <c r="B901" s="1297"/>
      <c r="C901" s="1297"/>
      <c r="D901" s="1297" t="s">
        <v>943</v>
      </c>
      <c r="E901" s="1399">
        <v>34046.660000000003</v>
      </c>
      <c r="I901" s="1399">
        <v>34046.660000000003</v>
      </c>
    </row>
    <row r="902" spans="2:9">
      <c r="B902" s="1297"/>
      <c r="C902" s="1297"/>
      <c r="D902" s="1297" t="s">
        <v>944</v>
      </c>
      <c r="E902" s="1399">
        <v>4695851.5</v>
      </c>
      <c r="I902" s="1399">
        <v>4695851.5</v>
      </c>
    </row>
    <row r="903" spans="2:9">
      <c r="B903" s="1297"/>
      <c r="C903" s="1297"/>
      <c r="D903" s="1297" t="s">
        <v>945</v>
      </c>
      <c r="E903" s="1399">
        <v>3769253.56</v>
      </c>
      <c r="I903" s="1399">
        <v>3769253.56</v>
      </c>
    </row>
    <row r="904" spans="2:9">
      <c r="B904" s="1297"/>
      <c r="C904" s="1297"/>
      <c r="D904" s="1297" t="s">
        <v>978</v>
      </c>
      <c r="E904" s="1399">
        <v>2396.54</v>
      </c>
      <c r="I904" s="1399">
        <v>2396.54</v>
      </c>
    </row>
    <row r="905" spans="2:9">
      <c r="B905" s="1297"/>
      <c r="C905" s="1297"/>
      <c r="D905" s="1297" t="s">
        <v>947</v>
      </c>
      <c r="E905" s="1399">
        <v>286005.48</v>
      </c>
      <c r="I905" s="1399">
        <v>286005.48</v>
      </c>
    </row>
    <row r="906" spans="2:9">
      <c r="B906" s="1297"/>
      <c r="C906" s="1297"/>
      <c r="D906" s="1297" t="s">
        <v>948</v>
      </c>
      <c r="G906" s="1399">
        <v>10890726.499999998</v>
      </c>
      <c r="I906" s="1399">
        <v>10890726.499999998</v>
      </c>
    </row>
    <row r="907" spans="2:9">
      <c r="B907" s="1297"/>
      <c r="C907" s="1297"/>
      <c r="D907" s="1297" t="s">
        <v>956</v>
      </c>
      <c r="G907" s="1399">
        <v>8328523.1200000001</v>
      </c>
      <c r="I907" s="1399">
        <v>8328523.1200000001</v>
      </c>
    </row>
    <row r="908" spans="2:9">
      <c r="B908" s="1297"/>
      <c r="C908" s="1297"/>
      <c r="D908" s="1297" t="s">
        <v>1118</v>
      </c>
      <c r="G908" s="1399">
        <v>501536.86</v>
      </c>
      <c r="I908" s="1399">
        <v>501536.86</v>
      </c>
    </row>
    <row r="909" spans="2:9">
      <c r="B909" s="1297"/>
      <c r="C909" s="1400" t="s">
        <v>1211</v>
      </c>
      <c r="D909" s="1400"/>
      <c r="E909" s="1401">
        <v>11735302.26</v>
      </c>
      <c r="F909" s="1401">
        <v>42790941.20000001</v>
      </c>
      <c r="G909" s="1401">
        <v>19720786.479999997</v>
      </c>
      <c r="H909" s="1401">
        <v>56879252.590000004</v>
      </c>
      <c r="I909" s="1401">
        <v>131126282.53000003</v>
      </c>
    </row>
    <row r="910" spans="2:9">
      <c r="B910" s="1297" t="s">
        <v>1212</v>
      </c>
      <c r="C910" s="1297" t="s">
        <v>1213</v>
      </c>
      <c r="D910" s="1297" t="s">
        <v>906</v>
      </c>
      <c r="F910" s="1399">
        <v>5068037.29</v>
      </c>
      <c r="I910" s="1399">
        <v>5068037.29</v>
      </c>
    </row>
    <row r="911" spans="2:9">
      <c r="B911" s="1297"/>
      <c r="C911" s="1297"/>
      <c r="D911" s="1297" t="s">
        <v>952</v>
      </c>
      <c r="F911" s="1399">
        <v>20551.73</v>
      </c>
      <c r="I911" s="1399">
        <v>20551.73</v>
      </c>
    </row>
    <row r="912" spans="2:9">
      <c r="B912" s="1297"/>
      <c r="C912" s="1297"/>
      <c r="D912" s="1297" t="s">
        <v>907</v>
      </c>
      <c r="F912" s="1399">
        <v>1108958.99</v>
      </c>
      <c r="I912" s="1399">
        <v>1108958.99</v>
      </c>
    </row>
    <row r="913" spans="2:9">
      <c r="B913" s="1297"/>
      <c r="C913" s="1297"/>
      <c r="D913" s="1297" t="s">
        <v>908</v>
      </c>
      <c r="F913" s="1399">
        <v>30777.91</v>
      </c>
      <c r="I913" s="1399">
        <v>30777.91</v>
      </c>
    </row>
    <row r="914" spans="2:9">
      <c r="B914" s="1297"/>
      <c r="C914" s="1297"/>
      <c r="D914" s="1297" t="s">
        <v>909</v>
      </c>
      <c r="F914" s="1399">
        <v>29167.01</v>
      </c>
      <c r="I914" s="1399">
        <v>29167.01</v>
      </c>
    </row>
    <row r="915" spans="2:9">
      <c r="B915" s="1297"/>
      <c r="C915" s="1297"/>
      <c r="D915" s="1297" t="s">
        <v>910</v>
      </c>
      <c r="F915" s="1399">
        <v>2689.25</v>
      </c>
      <c r="I915" s="1399">
        <v>2689.25</v>
      </c>
    </row>
    <row r="916" spans="2:9">
      <c r="B916" s="1297"/>
      <c r="C916" s="1297"/>
      <c r="D916" s="1297" t="s">
        <v>1034</v>
      </c>
      <c r="F916" s="1399">
        <v>16107.42</v>
      </c>
      <c r="I916" s="1399">
        <v>16107.42</v>
      </c>
    </row>
    <row r="917" spans="2:9">
      <c r="B917" s="1297"/>
      <c r="C917" s="1297"/>
      <c r="D917" s="1297" t="s">
        <v>1035</v>
      </c>
      <c r="F917" s="1399">
        <v>197974.66999999998</v>
      </c>
      <c r="I917" s="1399">
        <v>197974.66999999998</v>
      </c>
    </row>
    <row r="918" spans="2:9">
      <c r="B918" s="1297"/>
      <c r="C918" s="1297"/>
      <c r="D918" s="1297" t="s">
        <v>1036</v>
      </c>
      <c r="F918" s="1399">
        <v>109994.17</v>
      </c>
      <c r="I918" s="1399">
        <v>109994.17</v>
      </c>
    </row>
    <row r="919" spans="2:9">
      <c r="B919" s="1297"/>
      <c r="C919" s="1297"/>
      <c r="D919" s="1297" t="s">
        <v>1039</v>
      </c>
      <c r="F919" s="1399">
        <v>35089.079999999994</v>
      </c>
      <c r="I919" s="1399">
        <v>35089.079999999994</v>
      </c>
    </row>
    <row r="920" spans="2:9">
      <c r="B920" s="1297"/>
      <c r="C920" s="1297"/>
      <c r="D920" s="1297" t="s">
        <v>1040</v>
      </c>
      <c r="F920" s="1399">
        <v>75566.2</v>
      </c>
      <c r="I920" s="1399">
        <v>75566.2</v>
      </c>
    </row>
    <row r="921" spans="2:9">
      <c r="B921" s="1297"/>
      <c r="C921" s="1297"/>
      <c r="D921" s="1297" t="s">
        <v>1127</v>
      </c>
      <c r="F921" s="1399">
        <v>29158.15</v>
      </c>
      <c r="I921" s="1399">
        <v>29158.15</v>
      </c>
    </row>
    <row r="922" spans="2:9">
      <c r="B922" s="1297"/>
      <c r="C922" s="1297"/>
      <c r="D922" s="1297" t="s">
        <v>1041</v>
      </c>
      <c r="F922" s="1399">
        <v>43696.630000000005</v>
      </c>
      <c r="I922" s="1399">
        <v>43696.630000000005</v>
      </c>
    </row>
    <row r="923" spans="2:9">
      <c r="B923" s="1297"/>
      <c r="C923" s="1297"/>
      <c r="D923" s="1297" t="s">
        <v>1042</v>
      </c>
      <c r="F923" s="1399">
        <v>10791.57</v>
      </c>
      <c r="I923" s="1399">
        <v>10791.57</v>
      </c>
    </row>
    <row r="924" spans="2:9">
      <c r="B924" s="1297"/>
      <c r="C924" s="1297"/>
      <c r="D924" s="1297" t="s">
        <v>953</v>
      </c>
      <c r="F924" s="1399">
        <v>26004.3</v>
      </c>
      <c r="I924" s="1399">
        <v>26004.3</v>
      </c>
    </row>
    <row r="925" spans="2:9">
      <c r="B925" s="1297"/>
      <c r="C925" s="1297"/>
      <c r="D925" s="1297" t="s">
        <v>954</v>
      </c>
      <c r="F925" s="1399">
        <v>3244.05</v>
      </c>
      <c r="I925" s="1399">
        <v>3244.05</v>
      </c>
    </row>
    <row r="926" spans="2:9">
      <c r="B926" s="1297"/>
      <c r="C926" s="1297"/>
      <c r="D926" s="1297" t="s">
        <v>1044</v>
      </c>
      <c r="F926" s="1399">
        <v>3215.64</v>
      </c>
      <c r="I926" s="1399">
        <v>3215.64</v>
      </c>
    </row>
    <row r="927" spans="2:9">
      <c r="B927" s="1297"/>
      <c r="C927" s="1297"/>
      <c r="D927" s="1297" t="s">
        <v>1045</v>
      </c>
      <c r="F927" s="1399">
        <v>288927.80999999994</v>
      </c>
      <c r="I927" s="1399">
        <v>288927.80999999994</v>
      </c>
    </row>
    <row r="928" spans="2:9">
      <c r="B928" s="1297"/>
      <c r="C928" s="1297"/>
      <c r="D928" s="1297" t="s">
        <v>1046</v>
      </c>
      <c r="H928" s="1399">
        <v>8416877</v>
      </c>
      <c r="I928" s="1399">
        <v>8416877</v>
      </c>
    </row>
    <row r="929" spans="2:9">
      <c r="B929" s="1297"/>
      <c r="C929" s="1297"/>
      <c r="D929" s="1297" t="s">
        <v>1047</v>
      </c>
      <c r="H929" s="1399">
        <v>450483</v>
      </c>
      <c r="I929" s="1399">
        <v>450483</v>
      </c>
    </row>
    <row r="930" spans="2:9">
      <c r="B930" s="1297"/>
      <c r="C930" s="1297"/>
      <c r="D930" s="1297" t="s">
        <v>1048</v>
      </c>
      <c r="H930" s="1399">
        <v>-1628065</v>
      </c>
      <c r="I930" s="1399">
        <v>-1628065</v>
      </c>
    </row>
    <row r="931" spans="2:9">
      <c r="B931" s="1297"/>
      <c r="C931" s="1297"/>
      <c r="D931" s="1297" t="s">
        <v>932</v>
      </c>
      <c r="H931" s="1399">
        <v>27419</v>
      </c>
      <c r="I931" s="1399">
        <v>27419</v>
      </c>
    </row>
    <row r="932" spans="2:9">
      <c r="B932" s="1297"/>
      <c r="C932" s="1297"/>
      <c r="D932" s="1297" t="s">
        <v>955</v>
      </c>
      <c r="H932" s="1399">
        <v>477022.43</v>
      </c>
      <c r="I932" s="1399">
        <v>477022.43</v>
      </c>
    </row>
    <row r="933" spans="2:9">
      <c r="B933" s="1297"/>
      <c r="C933" s="1297"/>
      <c r="D933" s="1297" t="s">
        <v>934</v>
      </c>
      <c r="H933" s="1399">
        <v>28052</v>
      </c>
      <c r="I933" s="1399">
        <v>28052</v>
      </c>
    </row>
    <row r="934" spans="2:9">
      <c r="B934" s="1297"/>
      <c r="C934" s="1297"/>
      <c r="D934" s="1297" t="s">
        <v>1130</v>
      </c>
      <c r="H934" s="1399">
        <v>546731</v>
      </c>
      <c r="I934" s="1399">
        <v>546731</v>
      </c>
    </row>
    <row r="935" spans="2:9">
      <c r="B935" s="1297"/>
      <c r="C935" s="1297"/>
      <c r="D935" s="1297" t="s">
        <v>935</v>
      </c>
      <c r="H935" s="1399">
        <v>206594.61</v>
      </c>
      <c r="I935" s="1399">
        <v>206594.61</v>
      </c>
    </row>
    <row r="936" spans="2:9">
      <c r="B936" s="1297"/>
      <c r="C936" s="1297"/>
      <c r="D936" s="1297" t="s">
        <v>936</v>
      </c>
      <c r="H936" s="1399">
        <v>24160.39</v>
      </c>
      <c r="I936" s="1399">
        <v>24160.39</v>
      </c>
    </row>
    <row r="937" spans="2:9">
      <c r="B937" s="1297"/>
      <c r="C937" s="1297"/>
      <c r="D937" s="1297" t="s">
        <v>937</v>
      </c>
      <c r="H937" s="1399">
        <v>12292.95</v>
      </c>
      <c r="I937" s="1399">
        <v>12292.95</v>
      </c>
    </row>
    <row r="938" spans="2:9">
      <c r="B938" s="1297"/>
      <c r="C938" s="1297"/>
      <c r="D938" s="1297" t="s">
        <v>938</v>
      </c>
      <c r="H938" s="1399">
        <v>9545</v>
      </c>
      <c r="I938" s="1399">
        <v>9545</v>
      </c>
    </row>
    <row r="939" spans="2:9">
      <c r="B939" s="1297"/>
      <c r="C939" s="1297"/>
      <c r="D939" s="1297" t="s">
        <v>939</v>
      </c>
      <c r="H939" s="1399">
        <v>46250</v>
      </c>
      <c r="I939" s="1399">
        <v>46250</v>
      </c>
    </row>
    <row r="940" spans="2:9">
      <c r="B940" s="1297"/>
      <c r="C940" s="1297"/>
      <c r="D940" s="1297" t="s">
        <v>940</v>
      </c>
      <c r="E940" s="1399">
        <v>486191.42</v>
      </c>
      <c r="I940" s="1399">
        <v>486191.42</v>
      </c>
    </row>
    <row r="941" spans="2:9">
      <c r="B941" s="1297"/>
      <c r="C941" s="1297"/>
      <c r="D941" s="1297" t="s">
        <v>941</v>
      </c>
      <c r="E941" s="1399">
        <v>162693.60000000003</v>
      </c>
      <c r="I941" s="1399">
        <v>162693.60000000003</v>
      </c>
    </row>
    <row r="942" spans="2:9">
      <c r="B942" s="1297"/>
      <c r="C942" s="1297"/>
      <c r="D942" s="1297" t="s">
        <v>944</v>
      </c>
      <c r="E942" s="1399">
        <v>1103714.5899999999</v>
      </c>
      <c r="I942" s="1399">
        <v>1103714.5899999999</v>
      </c>
    </row>
    <row r="943" spans="2:9">
      <c r="B943" s="1297"/>
      <c r="C943" s="1297"/>
      <c r="D943" s="1297" t="s">
        <v>945</v>
      </c>
      <c r="E943" s="1399">
        <v>764274.09000000008</v>
      </c>
      <c r="I943" s="1399">
        <v>764274.09000000008</v>
      </c>
    </row>
    <row r="944" spans="2:9">
      <c r="B944" s="1297"/>
      <c r="C944" s="1297"/>
      <c r="D944" s="1297" t="s">
        <v>946</v>
      </c>
      <c r="E944" s="1399">
        <v>1152</v>
      </c>
      <c r="I944" s="1399">
        <v>1152</v>
      </c>
    </row>
    <row r="945" spans="2:9">
      <c r="B945" s="1297"/>
      <c r="C945" s="1297"/>
      <c r="D945" s="1297" t="s">
        <v>1214</v>
      </c>
      <c r="E945" s="1399">
        <v>221003</v>
      </c>
      <c r="I945" s="1399">
        <v>221003</v>
      </c>
    </row>
    <row r="946" spans="2:9">
      <c r="B946" s="1297"/>
      <c r="C946" s="1297"/>
      <c r="D946" s="1297" t="s">
        <v>947</v>
      </c>
      <c r="E946" s="1399">
        <v>28159.81</v>
      </c>
      <c r="I946" s="1399">
        <v>28159.81</v>
      </c>
    </row>
    <row r="947" spans="2:9">
      <c r="B947" s="1297"/>
      <c r="C947" s="1297"/>
      <c r="D947" s="1297" t="s">
        <v>948</v>
      </c>
      <c r="G947" s="1399">
        <v>12104487.939999999</v>
      </c>
      <c r="I947" s="1399">
        <v>12104487.939999999</v>
      </c>
    </row>
    <row r="948" spans="2:9">
      <c r="B948" s="1297"/>
      <c r="C948" s="1400" t="s">
        <v>1215</v>
      </c>
      <c r="D948" s="1400"/>
      <c r="E948" s="1401">
        <v>2767188.5100000002</v>
      </c>
      <c r="F948" s="1401">
        <v>7099951.8700000001</v>
      </c>
      <c r="G948" s="1401">
        <v>12104487.939999999</v>
      </c>
      <c r="H948" s="1401">
        <v>8617362.379999999</v>
      </c>
      <c r="I948" s="1401">
        <v>30588990.699999996</v>
      </c>
    </row>
    <row r="949" spans="2:9">
      <c r="B949" s="1297" t="s">
        <v>1216</v>
      </c>
      <c r="C949" s="1297" t="s">
        <v>1217</v>
      </c>
      <c r="D949" s="1297" t="s">
        <v>906</v>
      </c>
      <c r="F949" s="1399">
        <v>164412782.51000002</v>
      </c>
      <c r="I949" s="1399">
        <v>164412782.51000002</v>
      </c>
    </row>
    <row r="950" spans="2:9">
      <c r="B950" s="1297"/>
      <c r="C950" s="1297"/>
      <c r="D950" s="1297" t="s">
        <v>952</v>
      </c>
      <c r="F950" s="1399">
        <v>1704217.65</v>
      </c>
      <c r="I950" s="1399">
        <v>1704217.65</v>
      </c>
    </row>
    <row r="951" spans="2:9">
      <c r="B951" s="1297"/>
      <c r="C951" s="1297"/>
      <c r="D951" s="1297" t="s">
        <v>907</v>
      </c>
      <c r="F951" s="1399">
        <v>52006946.969999999</v>
      </c>
      <c r="I951" s="1399">
        <v>52006946.969999999</v>
      </c>
    </row>
    <row r="952" spans="2:9">
      <c r="B952" s="1297"/>
      <c r="C952" s="1297"/>
      <c r="D952" s="1297" t="s">
        <v>908</v>
      </c>
      <c r="F952" s="1399">
        <v>202895.86</v>
      </c>
      <c r="I952" s="1399">
        <v>202895.86</v>
      </c>
    </row>
    <row r="953" spans="2:9">
      <c r="B953" s="1297"/>
      <c r="C953" s="1297"/>
      <c r="D953" s="1297" t="s">
        <v>1037</v>
      </c>
      <c r="F953" s="1399">
        <v>53407.020000000004</v>
      </c>
      <c r="I953" s="1399">
        <v>53407.020000000004</v>
      </c>
    </row>
    <row r="954" spans="2:9">
      <c r="B954" s="1297"/>
      <c r="C954" s="1297"/>
      <c r="D954" s="1297" t="s">
        <v>1039</v>
      </c>
      <c r="F954" s="1399">
        <v>221756.31000000003</v>
      </c>
      <c r="I954" s="1399">
        <v>221756.31000000003</v>
      </c>
    </row>
    <row r="955" spans="2:9">
      <c r="B955" s="1297"/>
      <c r="C955" s="1297"/>
      <c r="D955" s="1297" t="s">
        <v>1040</v>
      </c>
      <c r="F955" s="1399">
        <v>1719225.9500000002</v>
      </c>
      <c r="I955" s="1399">
        <v>1719225.9500000002</v>
      </c>
    </row>
    <row r="956" spans="2:9">
      <c r="B956" s="1297"/>
      <c r="C956" s="1297"/>
      <c r="D956" s="1297" t="s">
        <v>1041</v>
      </c>
      <c r="F956" s="1399">
        <v>368960.06999999995</v>
      </c>
      <c r="I956" s="1399">
        <v>368960.06999999995</v>
      </c>
    </row>
    <row r="957" spans="2:9">
      <c r="B957" s="1297"/>
      <c r="C957" s="1297"/>
      <c r="D957" s="1297" t="s">
        <v>1042</v>
      </c>
      <c r="F957" s="1399">
        <v>116797.62</v>
      </c>
      <c r="I957" s="1399">
        <v>116797.62</v>
      </c>
    </row>
    <row r="958" spans="2:9">
      <c r="B958" s="1297"/>
      <c r="C958" s="1297"/>
      <c r="D958" s="1297" t="s">
        <v>954</v>
      </c>
      <c r="F958" s="1399">
        <v>331530.02999999997</v>
      </c>
      <c r="I958" s="1399">
        <v>331530.02999999997</v>
      </c>
    </row>
    <row r="959" spans="2:9">
      <c r="B959" s="1297"/>
      <c r="C959" s="1297"/>
      <c r="D959" s="1297" t="s">
        <v>1043</v>
      </c>
      <c r="F959" s="1399">
        <v>14873.26</v>
      </c>
      <c r="I959" s="1399">
        <v>14873.26</v>
      </c>
    </row>
    <row r="960" spans="2:9">
      <c r="B960" s="1297"/>
      <c r="C960" s="1297"/>
      <c r="D960" s="1297" t="s">
        <v>986</v>
      </c>
      <c r="F960" s="1399">
        <v>865557.58000000007</v>
      </c>
      <c r="I960" s="1399">
        <v>865557.58000000007</v>
      </c>
    </row>
    <row r="961" spans="2:9">
      <c r="B961" s="1297"/>
      <c r="C961" s="1297"/>
      <c r="D961" s="1297" t="s">
        <v>1044</v>
      </c>
      <c r="F961" s="1399">
        <v>733132.66</v>
      </c>
      <c r="I961" s="1399">
        <v>733132.66</v>
      </c>
    </row>
    <row r="962" spans="2:9">
      <c r="B962" s="1297"/>
      <c r="C962" s="1297"/>
      <c r="D962" s="1297" t="s">
        <v>1045</v>
      </c>
      <c r="F962" s="1399">
        <v>6046079.5799999991</v>
      </c>
      <c r="I962" s="1399">
        <v>6046079.5799999991</v>
      </c>
    </row>
    <row r="963" spans="2:9">
      <c r="B963" s="1297"/>
      <c r="C963" s="1297"/>
      <c r="D963" s="1297" t="s">
        <v>1046</v>
      </c>
      <c r="H963" s="1399">
        <v>175566197</v>
      </c>
      <c r="I963" s="1399">
        <v>175566197</v>
      </c>
    </row>
    <row r="964" spans="2:9">
      <c r="B964" s="1297"/>
      <c r="C964" s="1297"/>
      <c r="D964" s="1297" t="s">
        <v>1128</v>
      </c>
      <c r="H964" s="1399">
        <v>14458966</v>
      </c>
      <c r="I964" s="1399">
        <v>14458966</v>
      </c>
    </row>
    <row r="965" spans="2:9">
      <c r="B965" s="1297"/>
      <c r="C965" s="1297"/>
      <c r="D965" s="1297" t="s">
        <v>1129</v>
      </c>
      <c r="H965" s="1399">
        <v>-17039600</v>
      </c>
      <c r="I965" s="1399">
        <v>-17039600</v>
      </c>
    </row>
    <row r="966" spans="2:9">
      <c r="B966" s="1297"/>
      <c r="C966" s="1297"/>
      <c r="D966" s="1297" t="s">
        <v>1047</v>
      </c>
      <c r="H966" s="1399">
        <v>2847498</v>
      </c>
      <c r="I966" s="1399">
        <v>2847498</v>
      </c>
    </row>
    <row r="967" spans="2:9">
      <c r="B967" s="1297"/>
      <c r="C967" s="1297"/>
      <c r="D967" s="1297" t="s">
        <v>1048</v>
      </c>
      <c r="H967" s="1399">
        <v>-61256290</v>
      </c>
      <c r="I967" s="1399">
        <v>-61256290</v>
      </c>
    </row>
    <row r="968" spans="2:9">
      <c r="B968" s="1297"/>
      <c r="C968" s="1297"/>
      <c r="D968" s="1297" t="s">
        <v>955</v>
      </c>
      <c r="H968" s="1399">
        <v>5314257.95</v>
      </c>
      <c r="I968" s="1399">
        <v>5314257.95</v>
      </c>
    </row>
    <row r="969" spans="2:9">
      <c r="B969" s="1297"/>
      <c r="C969" s="1297"/>
      <c r="D969" s="1297" t="s">
        <v>934</v>
      </c>
      <c r="H969" s="1399">
        <v>437230</v>
      </c>
      <c r="I969" s="1399">
        <v>437230</v>
      </c>
    </row>
    <row r="970" spans="2:9">
      <c r="B970" s="1297"/>
      <c r="C970" s="1297"/>
      <c r="D970" s="1297" t="s">
        <v>1130</v>
      </c>
      <c r="H970" s="1399">
        <v>7292700</v>
      </c>
      <c r="I970" s="1399">
        <v>7292700</v>
      </c>
    </row>
    <row r="971" spans="2:9">
      <c r="B971" s="1297"/>
      <c r="C971" s="1297"/>
      <c r="D971" s="1297" t="s">
        <v>935</v>
      </c>
      <c r="H971" s="1399">
        <v>5192937.2300000004</v>
      </c>
      <c r="I971" s="1399">
        <v>5192937.2300000004</v>
      </c>
    </row>
    <row r="972" spans="2:9">
      <c r="B972" s="1297"/>
      <c r="C972" s="1297"/>
      <c r="D972" s="1297" t="s">
        <v>939</v>
      </c>
      <c r="H972" s="1399">
        <v>181361.15000000002</v>
      </c>
      <c r="I972" s="1399">
        <v>181361.15000000002</v>
      </c>
    </row>
    <row r="973" spans="2:9">
      <c r="B973" s="1297"/>
      <c r="C973" s="1297"/>
      <c r="D973" s="1297" t="s">
        <v>1131</v>
      </c>
      <c r="E973" s="1399">
        <v>478923.01999999996</v>
      </c>
      <c r="I973" s="1399">
        <v>478923.01999999996</v>
      </c>
    </row>
    <row r="974" spans="2:9">
      <c r="B974" s="1297"/>
      <c r="C974" s="1297"/>
      <c r="D974" s="1297" t="s">
        <v>940</v>
      </c>
      <c r="E974" s="1399">
        <v>8951832.8200000022</v>
      </c>
      <c r="I974" s="1399">
        <v>8951832.8200000022</v>
      </c>
    </row>
    <row r="975" spans="2:9">
      <c r="B975" s="1297"/>
      <c r="C975" s="1297"/>
      <c r="D975" s="1297" t="s">
        <v>941</v>
      </c>
      <c r="E975" s="1399">
        <v>2734289.2799999993</v>
      </c>
      <c r="I975" s="1399">
        <v>2734289.2799999993</v>
      </c>
    </row>
    <row r="976" spans="2:9">
      <c r="B976" s="1297"/>
      <c r="C976" s="1297"/>
      <c r="D976" s="1297" t="s">
        <v>944</v>
      </c>
      <c r="E976" s="1399">
        <v>30595292.75</v>
      </c>
      <c r="I976" s="1399">
        <v>30595292.75</v>
      </c>
    </row>
    <row r="977" spans="2:9">
      <c r="B977" s="1297"/>
      <c r="C977" s="1297"/>
      <c r="D977" s="1297" t="s">
        <v>945</v>
      </c>
      <c r="E977" s="1399">
        <v>6126585.1799999997</v>
      </c>
      <c r="I977" s="1399">
        <v>6126585.1799999997</v>
      </c>
    </row>
    <row r="978" spans="2:9">
      <c r="B978" s="1297"/>
      <c r="C978" s="1297"/>
      <c r="D978" s="1297" t="s">
        <v>946</v>
      </c>
      <c r="E978" s="1399">
        <v>1266959.8700000001</v>
      </c>
      <c r="I978" s="1399">
        <v>1266959.8700000001</v>
      </c>
    </row>
    <row r="979" spans="2:9">
      <c r="B979" s="1297"/>
      <c r="C979" s="1297"/>
      <c r="D979" s="1297" t="s">
        <v>978</v>
      </c>
      <c r="E979" s="1399">
        <v>106666.72</v>
      </c>
      <c r="I979" s="1399">
        <v>106666.72</v>
      </c>
    </row>
    <row r="980" spans="2:9">
      <c r="B980" s="1297"/>
      <c r="C980" s="1297"/>
      <c r="D980" s="1297" t="s">
        <v>1006</v>
      </c>
      <c r="E980" s="1399">
        <v>519630.07</v>
      </c>
      <c r="I980" s="1399">
        <v>519630.07</v>
      </c>
    </row>
    <row r="981" spans="2:9">
      <c r="B981" s="1297"/>
      <c r="C981" s="1297"/>
      <c r="D981" s="1297" t="s">
        <v>1214</v>
      </c>
      <c r="E981" s="1399">
        <v>606298.57999999996</v>
      </c>
      <c r="I981" s="1399">
        <v>606298.57999999996</v>
      </c>
    </row>
    <row r="982" spans="2:9">
      <c r="B982" s="1297"/>
      <c r="C982" s="1297"/>
      <c r="D982" s="1297" t="s">
        <v>947</v>
      </c>
      <c r="E982" s="1399">
        <v>469179.85999999993</v>
      </c>
      <c r="I982" s="1399">
        <v>469179.85999999993</v>
      </c>
    </row>
    <row r="983" spans="2:9">
      <c r="B983" s="1297"/>
      <c r="C983" s="1297"/>
      <c r="D983" s="1297" t="s">
        <v>948</v>
      </c>
      <c r="G983" s="1399">
        <v>22580108.5</v>
      </c>
      <c r="I983" s="1399">
        <v>22580108.5</v>
      </c>
    </row>
    <row r="984" spans="2:9">
      <c r="B984" s="1297"/>
      <c r="C984" s="1297"/>
      <c r="D984" s="1297" t="s">
        <v>956</v>
      </c>
      <c r="G984" s="1399">
        <v>905673.2</v>
      </c>
      <c r="I984" s="1399">
        <v>905673.2</v>
      </c>
    </row>
    <row r="985" spans="2:9">
      <c r="B985" s="1297"/>
      <c r="C985" s="1297"/>
      <c r="D985" s="1297" t="s">
        <v>1218</v>
      </c>
      <c r="G985" s="1399">
        <v>6332427.2999999998</v>
      </c>
      <c r="I985" s="1399">
        <v>6332427.2999999998</v>
      </c>
    </row>
    <row r="986" spans="2:9">
      <c r="B986" s="1297"/>
      <c r="C986" s="1400" t="s">
        <v>1219</v>
      </c>
      <c r="D986" s="1400"/>
      <c r="E986" s="1401">
        <v>51855658.149999999</v>
      </c>
      <c r="F986" s="1401">
        <v>228798163.07000005</v>
      </c>
      <c r="G986" s="1401">
        <v>29818209</v>
      </c>
      <c r="H986" s="1401">
        <v>132995257.33000001</v>
      </c>
      <c r="I986" s="1401">
        <v>443467287.55000001</v>
      </c>
    </row>
    <row r="987" spans="2:9">
      <c r="B987" s="1297" t="s">
        <v>1220</v>
      </c>
      <c r="C987" s="1297" t="s">
        <v>1221</v>
      </c>
      <c r="D987" s="1297" t="s">
        <v>906</v>
      </c>
      <c r="F987" s="1399">
        <v>1014972.62</v>
      </c>
      <c r="I987" s="1399">
        <v>1014972.62</v>
      </c>
    </row>
    <row r="988" spans="2:9">
      <c r="B988" s="1297"/>
      <c r="C988" s="1297"/>
      <c r="D988" s="1297" t="s">
        <v>952</v>
      </c>
      <c r="F988" s="1399">
        <v>29539.4</v>
      </c>
      <c r="I988" s="1399">
        <v>29539.4</v>
      </c>
    </row>
    <row r="989" spans="2:9">
      <c r="B989" s="1297"/>
      <c r="C989" s="1297"/>
      <c r="D989" s="1297" t="s">
        <v>907</v>
      </c>
      <c r="F989" s="1399">
        <v>1300744.71</v>
      </c>
      <c r="I989" s="1399">
        <v>1300744.71</v>
      </c>
    </row>
    <row r="990" spans="2:9">
      <c r="B990" s="1297"/>
      <c r="C990" s="1297"/>
      <c r="D990" s="1297" t="s">
        <v>1035</v>
      </c>
      <c r="F990" s="1399">
        <v>178242.26</v>
      </c>
      <c r="I990" s="1399">
        <v>178242.26</v>
      </c>
    </row>
    <row r="991" spans="2:9">
      <c r="B991" s="1297"/>
      <c r="C991" s="1297"/>
      <c r="D991" s="1297" t="s">
        <v>1037</v>
      </c>
      <c r="F991" s="1399">
        <v>39190</v>
      </c>
      <c r="I991" s="1399">
        <v>39190</v>
      </c>
    </row>
    <row r="992" spans="2:9">
      <c r="B992" s="1297"/>
      <c r="C992" s="1297"/>
      <c r="D992" s="1297" t="s">
        <v>1039</v>
      </c>
      <c r="F992" s="1399">
        <v>1849.6299999999999</v>
      </c>
      <c r="I992" s="1399">
        <v>1849.6299999999999</v>
      </c>
    </row>
    <row r="993" spans="2:9">
      <c r="B993" s="1297"/>
      <c r="C993" s="1297"/>
      <c r="D993" s="1297" t="s">
        <v>1040</v>
      </c>
      <c r="F993" s="1399">
        <v>56621.85</v>
      </c>
      <c r="I993" s="1399">
        <v>56621.85</v>
      </c>
    </row>
    <row r="994" spans="2:9">
      <c r="B994" s="1297"/>
      <c r="C994" s="1297"/>
      <c r="D994" s="1297" t="s">
        <v>1042</v>
      </c>
      <c r="F994" s="1399">
        <v>25787.26</v>
      </c>
      <c r="I994" s="1399">
        <v>25787.26</v>
      </c>
    </row>
    <row r="995" spans="2:9">
      <c r="B995" s="1297"/>
      <c r="C995" s="1297"/>
      <c r="D995" s="1297" t="s">
        <v>985</v>
      </c>
      <c r="F995" s="1399">
        <v>117930.5</v>
      </c>
      <c r="I995" s="1399">
        <v>117930.5</v>
      </c>
    </row>
    <row r="996" spans="2:9">
      <c r="B996" s="1297"/>
      <c r="C996" s="1297"/>
      <c r="D996" s="1297" t="s">
        <v>1044</v>
      </c>
      <c r="F996" s="1399">
        <v>8655</v>
      </c>
      <c r="I996" s="1399">
        <v>8655</v>
      </c>
    </row>
    <row r="997" spans="2:9">
      <c r="B997" s="1297"/>
      <c r="C997" s="1297"/>
      <c r="D997" s="1297" t="s">
        <v>1045</v>
      </c>
      <c r="F997" s="1399">
        <v>136631.21</v>
      </c>
      <c r="I997" s="1399">
        <v>136631.21</v>
      </c>
    </row>
    <row r="998" spans="2:9">
      <c r="B998" s="1297"/>
      <c r="C998" s="1297"/>
      <c r="D998" s="1297" t="s">
        <v>1046</v>
      </c>
      <c r="H998" s="1399">
        <v>4814717</v>
      </c>
      <c r="I998" s="1399">
        <v>4814717</v>
      </c>
    </row>
    <row r="999" spans="2:9">
      <c r="B999" s="1297"/>
      <c r="C999" s="1297"/>
      <c r="D999" s="1297" t="s">
        <v>1047</v>
      </c>
      <c r="H999" s="1399">
        <v>249352</v>
      </c>
      <c r="I999" s="1399">
        <v>249352</v>
      </c>
    </row>
    <row r="1000" spans="2:9">
      <c r="B1000" s="1297"/>
      <c r="C1000" s="1297"/>
      <c r="D1000" s="1297" t="s">
        <v>1048</v>
      </c>
      <c r="H1000" s="1399">
        <v>-269642</v>
      </c>
      <c r="I1000" s="1399">
        <v>-269642</v>
      </c>
    </row>
    <row r="1001" spans="2:9">
      <c r="B1001" s="1297"/>
      <c r="C1001" s="1297"/>
      <c r="D1001" s="1297" t="s">
        <v>932</v>
      </c>
      <c r="H1001" s="1399">
        <v>1350552</v>
      </c>
      <c r="I1001" s="1399">
        <v>1350552</v>
      </c>
    </row>
    <row r="1002" spans="2:9">
      <c r="B1002" s="1297"/>
      <c r="C1002" s="1297"/>
      <c r="D1002" s="1297" t="s">
        <v>955</v>
      </c>
      <c r="H1002" s="1399">
        <v>178620.58</v>
      </c>
      <c r="I1002" s="1399">
        <v>178620.58</v>
      </c>
    </row>
    <row r="1003" spans="2:9">
      <c r="B1003" s="1297"/>
      <c r="C1003" s="1297"/>
      <c r="D1003" s="1297" t="s">
        <v>934</v>
      </c>
      <c r="H1003" s="1399">
        <v>15872</v>
      </c>
      <c r="I1003" s="1399">
        <v>15872</v>
      </c>
    </row>
    <row r="1004" spans="2:9">
      <c r="B1004" s="1297"/>
      <c r="C1004" s="1297"/>
      <c r="D1004" s="1297" t="s">
        <v>1130</v>
      </c>
      <c r="H1004" s="1399">
        <v>117801</v>
      </c>
      <c r="I1004" s="1399">
        <v>117801</v>
      </c>
    </row>
    <row r="1005" spans="2:9">
      <c r="B1005" s="1297"/>
      <c r="C1005" s="1297"/>
      <c r="D1005" s="1297" t="s">
        <v>935</v>
      </c>
      <c r="H1005" s="1399">
        <v>26921.34</v>
      </c>
      <c r="I1005" s="1399">
        <v>26921.34</v>
      </c>
    </row>
    <row r="1006" spans="2:9">
      <c r="B1006" s="1297"/>
      <c r="C1006" s="1297"/>
      <c r="D1006" s="1297" t="s">
        <v>936</v>
      </c>
      <c r="H1006" s="1399">
        <v>16807.23</v>
      </c>
      <c r="I1006" s="1399">
        <v>16807.23</v>
      </c>
    </row>
    <row r="1007" spans="2:9">
      <c r="B1007" s="1297"/>
      <c r="C1007" s="1297"/>
      <c r="D1007" s="1297" t="s">
        <v>937</v>
      </c>
      <c r="H1007" s="1399">
        <v>5902.42</v>
      </c>
      <c r="I1007" s="1399">
        <v>5902.42</v>
      </c>
    </row>
    <row r="1008" spans="2:9">
      <c r="B1008" s="1297"/>
      <c r="C1008" s="1297"/>
      <c r="D1008" s="1297" t="s">
        <v>938</v>
      </c>
      <c r="H1008" s="1399">
        <v>2620</v>
      </c>
      <c r="I1008" s="1399">
        <v>2620</v>
      </c>
    </row>
    <row r="1009" spans="2:9">
      <c r="B1009" s="1297"/>
      <c r="C1009" s="1297"/>
      <c r="D1009" s="1297" t="s">
        <v>940</v>
      </c>
      <c r="E1009" s="1399">
        <v>280787.56</v>
      </c>
      <c r="I1009" s="1399">
        <v>280787.56</v>
      </c>
    </row>
    <row r="1010" spans="2:9">
      <c r="B1010" s="1297"/>
      <c r="C1010" s="1297"/>
      <c r="D1010" s="1297" t="s">
        <v>941</v>
      </c>
      <c r="E1010" s="1399">
        <v>127059.38</v>
      </c>
      <c r="I1010" s="1399">
        <v>127059.38</v>
      </c>
    </row>
    <row r="1011" spans="2:9">
      <c r="B1011" s="1297"/>
      <c r="C1011" s="1297"/>
      <c r="D1011" s="1297" t="s">
        <v>943</v>
      </c>
      <c r="E1011" s="1399">
        <v>10143.18</v>
      </c>
      <c r="I1011" s="1399">
        <v>10143.18</v>
      </c>
    </row>
    <row r="1012" spans="2:9">
      <c r="B1012" s="1297"/>
      <c r="C1012" s="1297"/>
      <c r="D1012" s="1297" t="s">
        <v>944</v>
      </c>
      <c r="E1012" s="1399">
        <v>739657.99999999988</v>
      </c>
      <c r="I1012" s="1399">
        <v>739657.99999999988</v>
      </c>
    </row>
    <row r="1013" spans="2:9">
      <c r="B1013" s="1297"/>
      <c r="C1013" s="1297"/>
      <c r="D1013" s="1297" t="s">
        <v>945</v>
      </c>
      <c r="E1013" s="1399">
        <v>311572.25999999995</v>
      </c>
      <c r="I1013" s="1399">
        <v>311572.25999999995</v>
      </c>
    </row>
    <row r="1014" spans="2:9">
      <c r="B1014" s="1297"/>
      <c r="C1014" s="1297"/>
      <c r="D1014" s="1297" t="s">
        <v>1006</v>
      </c>
      <c r="E1014" s="1399">
        <v>635893.52</v>
      </c>
      <c r="I1014" s="1399">
        <v>635893.52</v>
      </c>
    </row>
    <row r="1015" spans="2:9">
      <c r="B1015" s="1297"/>
      <c r="C1015" s="1297"/>
      <c r="D1015" s="1297" t="s">
        <v>947</v>
      </c>
      <c r="E1015" s="1399">
        <v>14269.3</v>
      </c>
      <c r="I1015" s="1399">
        <v>14269.3</v>
      </c>
    </row>
    <row r="1016" spans="2:9">
      <c r="B1016" s="1297"/>
      <c r="C1016" s="1297"/>
      <c r="D1016" s="1297" t="s">
        <v>948</v>
      </c>
      <c r="G1016" s="1399">
        <v>1041468.94</v>
      </c>
      <c r="I1016" s="1399">
        <v>1041468.94</v>
      </c>
    </row>
    <row r="1017" spans="2:9">
      <c r="B1017" s="1297"/>
      <c r="C1017" s="1297"/>
      <c r="D1017" s="1297" t="s">
        <v>956</v>
      </c>
      <c r="G1017" s="1399">
        <v>2647.09</v>
      </c>
      <c r="I1017" s="1399">
        <v>2647.09</v>
      </c>
    </row>
    <row r="1018" spans="2:9">
      <c r="B1018" s="1297"/>
      <c r="C1018" s="1400" t="s">
        <v>1222</v>
      </c>
      <c r="D1018" s="1400"/>
      <c r="E1018" s="1401">
        <v>2119383.1999999997</v>
      </c>
      <c r="F1018" s="1401">
        <v>2910164.44</v>
      </c>
      <c r="G1018" s="1401">
        <v>1044116.0299999999</v>
      </c>
      <c r="H1018" s="1401">
        <v>6509523.5700000003</v>
      </c>
      <c r="I1018" s="1401">
        <v>12583187.24</v>
      </c>
    </row>
    <row r="1019" spans="2:9">
      <c r="B1019" s="1297" t="s">
        <v>1049</v>
      </c>
      <c r="C1019" s="1297" t="s">
        <v>1050</v>
      </c>
      <c r="D1019" s="1297" t="s">
        <v>906</v>
      </c>
      <c r="F1019" s="1399">
        <v>4967755.6399999997</v>
      </c>
      <c r="I1019" s="1399">
        <v>4967755.6399999997</v>
      </c>
    </row>
    <row r="1020" spans="2:9">
      <c r="B1020" s="1297"/>
      <c r="C1020" s="1297"/>
      <c r="D1020" s="1297" t="s">
        <v>1126</v>
      </c>
      <c r="F1020" s="1399">
        <v>1657890.01</v>
      </c>
      <c r="I1020" s="1399">
        <v>1657890.01</v>
      </c>
    </row>
    <row r="1021" spans="2:9">
      <c r="B1021" s="1297"/>
      <c r="C1021" s="1297"/>
      <c r="D1021" s="1297" t="s">
        <v>952</v>
      </c>
      <c r="F1021" s="1399">
        <v>61944.69</v>
      </c>
      <c r="I1021" s="1399">
        <v>61944.69</v>
      </c>
    </row>
    <row r="1022" spans="2:9">
      <c r="B1022" s="1297"/>
      <c r="C1022" s="1297"/>
      <c r="D1022" s="1297" t="s">
        <v>907</v>
      </c>
      <c r="F1022" s="1399">
        <v>1721616.97</v>
      </c>
      <c r="I1022" s="1399">
        <v>1721616.97</v>
      </c>
    </row>
    <row r="1023" spans="2:9">
      <c r="B1023" s="1297"/>
      <c r="C1023" s="1297"/>
      <c r="D1023" s="1297" t="s">
        <v>908</v>
      </c>
      <c r="F1023" s="1399">
        <v>35337.49</v>
      </c>
      <c r="I1023" s="1399">
        <v>35337.49</v>
      </c>
    </row>
    <row r="1024" spans="2:9">
      <c r="B1024" s="1297"/>
      <c r="C1024" s="1297"/>
      <c r="D1024" s="1297" t="s">
        <v>1039</v>
      </c>
      <c r="F1024" s="1399">
        <v>177764.96</v>
      </c>
      <c r="I1024" s="1399">
        <v>177764.96</v>
      </c>
    </row>
    <row r="1025" spans="2:9">
      <c r="B1025" s="1297"/>
      <c r="C1025" s="1297"/>
      <c r="D1025" s="1297" t="s">
        <v>1040</v>
      </c>
      <c r="F1025" s="1399">
        <v>111079.63999999998</v>
      </c>
      <c r="I1025" s="1399">
        <v>111079.63999999998</v>
      </c>
    </row>
    <row r="1026" spans="2:9">
      <c r="B1026" s="1297"/>
      <c r="C1026" s="1297"/>
      <c r="D1026" s="1297" t="s">
        <v>1041</v>
      </c>
      <c r="F1026" s="1399">
        <v>71261</v>
      </c>
      <c r="I1026" s="1399">
        <v>71261</v>
      </c>
    </row>
    <row r="1027" spans="2:9">
      <c r="B1027" s="1297"/>
      <c r="C1027" s="1297"/>
      <c r="D1027" s="1297" t="s">
        <v>1042</v>
      </c>
      <c r="F1027" s="1399">
        <v>26230.11</v>
      </c>
      <c r="I1027" s="1399">
        <v>26230.11</v>
      </c>
    </row>
    <row r="1028" spans="2:9">
      <c r="B1028" s="1297"/>
      <c r="C1028" s="1297"/>
      <c r="D1028" s="1297" t="s">
        <v>953</v>
      </c>
      <c r="F1028" s="1399">
        <v>28852.2</v>
      </c>
      <c r="I1028" s="1399">
        <v>28852.2</v>
      </c>
    </row>
    <row r="1029" spans="2:9">
      <c r="B1029" s="1297"/>
      <c r="C1029" s="1297"/>
      <c r="D1029" s="1297" t="s">
        <v>986</v>
      </c>
      <c r="F1029" s="1399">
        <v>590508.13</v>
      </c>
      <c r="I1029" s="1399">
        <v>590508.13</v>
      </c>
    </row>
    <row r="1030" spans="2:9">
      <c r="B1030" s="1297"/>
      <c r="C1030" s="1297"/>
      <c r="D1030" s="1297" t="s">
        <v>996</v>
      </c>
      <c r="F1030" s="1399">
        <v>23684</v>
      </c>
      <c r="I1030" s="1399">
        <v>23684</v>
      </c>
    </row>
    <row r="1031" spans="2:9">
      <c r="B1031" s="1297"/>
      <c r="C1031" s="1297"/>
      <c r="D1031" s="1297" t="s">
        <v>1045</v>
      </c>
      <c r="F1031" s="1399">
        <v>223311.16</v>
      </c>
      <c r="I1031" s="1399">
        <v>223311.16</v>
      </c>
    </row>
    <row r="1032" spans="2:9">
      <c r="B1032" s="1297"/>
      <c r="C1032" s="1297"/>
      <c r="D1032" s="1297" t="s">
        <v>1046</v>
      </c>
      <c r="H1032" s="1399">
        <v>14614563</v>
      </c>
      <c r="I1032" s="1399">
        <v>14614563</v>
      </c>
    </row>
    <row r="1033" spans="2:9">
      <c r="B1033" s="1297"/>
      <c r="C1033" s="1297"/>
      <c r="D1033" s="1297" t="s">
        <v>1128</v>
      </c>
      <c r="H1033" s="1399">
        <v>1142774</v>
      </c>
      <c r="I1033" s="1399">
        <v>1142774</v>
      </c>
    </row>
    <row r="1034" spans="2:9">
      <c r="B1034" s="1297"/>
      <c r="C1034" s="1297"/>
      <c r="D1034" s="1297" t="s">
        <v>1129</v>
      </c>
      <c r="H1034" s="1399">
        <v>-2110535</v>
      </c>
      <c r="I1034" s="1399">
        <v>-2110535</v>
      </c>
    </row>
    <row r="1035" spans="2:9">
      <c r="B1035" s="1297"/>
      <c r="C1035" s="1297"/>
      <c r="D1035" s="1297" t="s">
        <v>1047</v>
      </c>
      <c r="H1035" s="1399">
        <v>440055</v>
      </c>
      <c r="I1035" s="1399">
        <v>440055</v>
      </c>
    </row>
    <row r="1036" spans="2:9">
      <c r="B1036" s="1297"/>
      <c r="C1036" s="1297"/>
      <c r="D1036" s="1297" t="s">
        <v>1048</v>
      </c>
      <c r="H1036" s="1399">
        <v>-2236461</v>
      </c>
      <c r="I1036" s="1399">
        <v>-2236461</v>
      </c>
    </row>
    <row r="1037" spans="2:9">
      <c r="B1037" s="1297"/>
      <c r="C1037" s="1297"/>
      <c r="D1037" s="1297" t="s">
        <v>932</v>
      </c>
      <c r="H1037" s="1399">
        <v>813293</v>
      </c>
      <c r="I1037" s="1399">
        <v>813293</v>
      </c>
    </row>
    <row r="1038" spans="2:9">
      <c r="B1038" s="1297"/>
      <c r="C1038" s="1297"/>
      <c r="D1038" s="1297" t="s">
        <v>955</v>
      </c>
      <c r="H1038" s="1399">
        <v>360013.71</v>
      </c>
      <c r="I1038" s="1399">
        <v>360013.71</v>
      </c>
    </row>
    <row r="1039" spans="2:9">
      <c r="B1039" s="1297"/>
      <c r="C1039" s="1297"/>
      <c r="D1039" s="1297" t="s">
        <v>934</v>
      </c>
      <c r="H1039" s="1399">
        <v>53956</v>
      </c>
      <c r="I1039" s="1399">
        <v>53956</v>
      </c>
    </row>
    <row r="1040" spans="2:9">
      <c r="B1040" s="1297"/>
      <c r="C1040" s="1297"/>
      <c r="D1040" s="1297" t="s">
        <v>935</v>
      </c>
      <c r="H1040" s="1399">
        <v>400099.21</v>
      </c>
      <c r="I1040" s="1399">
        <v>400099.21</v>
      </c>
    </row>
    <row r="1041" spans="2:9">
      <c r="B1041" s="1297"/>
      <c r="C1041" s="1297"/>
      <c r="D1041" s="1297" t="s">
        <v>936</v>
      </c>
      <c r="H1041" s="1399">
        <v>47970.62</v>
      </c>
      <c r="I1041" s="1399">
        <v>47970.62</v>
      </c>
    </row>
    <row r="1042" spans="2:9">
      <c r="B1042" s="1297"/>
      <c r="C1042" s="1297"/>
      <c r="D1042" s="1297" t="s">
        <v>937</v>
      </c>
      <c r="H1042" s="1399">
        <v>7017.75</v>
      </c>
      <c r="I1042" s="1399">
        <v>7017.75</v>
      </c>
    </row>
    <row r="1043" spans="2:9">
      <c r="B1043" s="1297"/>
      <c r="C1043" s="1297"/>
      <c r="D1043" s="1297" t="s">
        <v>938</v>
      </c>
      <c r="H1043" s="1399">
        <v>14786</v>
      </c>
      <c r="I1043" s="1399">
        <v>14786</v>
      </c>
    </row>
    <row r="1044" spans="2:9">
      <c r="B1044" s="1297"/>
      <c r="C1044" s="1297"/>
      <c r="D1044" s="1297" t="s">
        <v>939</v>
      </c>
      <c r="H1044" s="1399">
        <v>49765.41</v>
      </c>
      <c r="I1044" s="1399">
        <v>49765.41</v>
      </c>
    </row>
    <row r="1045" spans="2:9">
      <c r="B1045" s="1297"/>
      <c r="C1045" s="1297"/>
      <c r="D1045" s="1297" t="s">
        <v>940</v>
      </c>
      <c r="E1045" s="1399">
        <v>776208.12</v>
      </c>
      <c r="I1045" s="1399">
        <v>776208.12</v>
      </c>
    </row>
    <row r="1046" spans="2:9">
      <c r="B1046" s="1297"/>
      <c r="C1046" s="1297"/>
      <c r="D1046" s="1297" t="s">
        <v>941</v>
      </c>
      <c r="E1046" s="1399">
        <v>277785.96000000002</v>
      </c>
      <c r="I1046" s="1399">
        <v>277785.96000000002</v>
      </c>
    </row>
    <row r="1047" spans="2:9">
      <c r="B1047" s="1297"/>
      <c r="C1047" s="1297"/>
      <c r="D1047" s="1297" t="s">
        <v>943</v>
      </c>
      <c r="E1047" s="1399">
        <v>4752.28</v>
      </c>
      <c r="I1047" s="1399">
        <v>4752.28</v>
      </c>
    </row>
    <row r="1048" spans="2:9">
      <c r="B1048" s="1297"/>
      <c r="C1048" s="1297"/>
      <c r="D1048" s="1297" t="s">
        <v>944</v>
      </c>
      <c r="E1048" s="1399">
        <v>2270693.5</v>
      </c>
      <c r="I1048" s="1399">
        <v>2270693.5</v>
      </c>
    </row>
    <row r="1049" spans="2:9">
      <c r="B1049" s="1297"/>
      <c r="C1049" s="1297"/>
      <c r="D1049" s="1297" t="s">
        <v>945</v>
      </c>
      <c r="E1049" s="1399">
        <v>1638095.81</v>
      </c>
      <c r="I1049" s="1399">
        <v>1638095.81</v>
      </c>
    </row>
    <row r="1050" spans="2:9">
      <c r="B1050" s="1297"/>
      <c r="C1050" s="1297"/>
      <c r="D1050" s="1297" t="s">
        <v>946</v>
      </c>
      <c r="E1050" s="1399">
        <v>28373.269999999997</v>
      </c>
      <c r="I1050" s="1399">
        <v>28373.269999999997</v>
      </c>
    </row>
    <row r="1051" spans="2:9">
      <c r="B1051" s="1297"/>
      <c r="C1051" s="1297"/>
      <c r="D1051" s="1297" t="s">
        <v>978</v>
      </c>
      <c r="E1051" s="1399">
        <v>1200</v>
      </c>
      <c r="I1051" s="1399">
        <v>1200</v>
      </c>
    </row>
    <row r="1052" spans="2:9">
      <c r="B1052" s="1297"/>
      <c r="C1052" s="1297"/>
      <c r="D1052" s="1297" t="s">
        <v>947</v>
      </c>
      <c r="E1052" s="1399">
        <v>36058.39</v>
      </c>
      <c r="I1052" s="1399">
        <v>36058.39</v>
      </c>
    </row>
    <row r="1053" spans="2:9">
      <c r="B1053" s="1297"/>
      <c r="C1053" s="1297"/>
      <c r="D1053" s="1297" t="s">
        <v>948</v>
      </c>
      <c r="G1053" s="1399">
        <v>1705047.32</v>
      </c>
      <c r="I1053" s="1399">
        <v>1705047.32</v>
      </c>
    </row>
    <row r="1054" spans="2:9">
      <c r="B1054" s="1297"/>
      <c r="C1054" s="1297"/>
      <c r="D1054" s="1297" t="s">
        <v>1051</v>
      </c>
      <c r="G1054" s="1399">
        <v>158260.09</v>
      </c>
      <c r="I1054" s="1399">
        <v>158260.09</v>
      </c>
    </row>
    <row r="1055" spans="2:9">
      <c r="B1055" s="1297"/>
      <c r="C1055" s="1400" t="s">
        <v>1052</v>
      </c>
      <c r="D1055" s="1400"/>
      <c r="E1055" s="1401">
        <v>5033167.3299999991</v>
      </c>
      <c r="F1055" s="1401">
        <v>9697236.0000000019</v>
      </c>
      <c r="G1055" s="1401">
        <v>1863307.4100000001</v>
      </c>
      <c r="H1055" s="1401">
        <v>13597297.700000001</v>
      </c>
      <c r="I1055" s="1401">
        <v>30191008.440000005</v>
      </c>
    </row>
    <row r="1056" spans="2:9">
      <c r="B1056" s="1297" t="s">
        <v>1053</v>
      </c>
      <c r="C1056" s="1297" t="s">
        <v>1054</v>
      </c>
      <c r="D1056" s="1297" t="s">
        <v>906</v>
      </c>
      <c r="F1056" s="1399">
        <v>135151475.52000001</v>
      </c>
      <c r="I1056" s="1399">
        <v>135151475.52000001</v>
      </c>
    </row>
    <row r="1057" spans="2:9">
      <c r="B1057" s="1297"/>
      <c r="C1057" s="1297"/>
      <c r="D1057" s="1297" t="s">
        <v>907</v>
      </c>
      <c r="F1057" s="1399">
        <v>28033590.719999999</v>
      </c>
      <c r="I1057" s="1399">
        <v>28033590.719999999</v>
      </c>
    </row>
    <row r="1058" spans="2:9">
      <c r="B1058" s="1297"/>
      <c r="C1058" s="1297"/>
      <c r="D1058" s="1297" t="s">
        <v>908</v>
      </c>
      <c r="F1058" s="1399">
        <v>22955.88</v>
      </c>
      <c r="I1058" s="1399">
        <v>22955.88</v>
      </c>
    </row>
    <row r="1059" spans="2:9">
      <c r="B1059" s="1297"/>
      <c r="C1059" s="1297"/>
      <c r="D1059" s="1297" t="s">
        <v>909</v>
      </c>
      <c r="F1059" s="1399">
        <v>1151199.05</v>
      </c>
      <c r="I1059" s="1399">
        <v>1151199.05</v>
      </c>
    </row>
    <row r="1060" spans="2:9">
      <c r="B1060" s="1297"/>
      <c r="C1060" s="1297"/>
      <c r="D1060" s="1297" t="s">
        <v>910</v>
      </c>
      <c r="F1060" s="1399">
        <v>332397.99</v>
      </c>
      <c r="I1060" s="1399">
        <v>332397.99</v>
      </c>
    </row>
    <row r="1061" spans="2:9">
      <c r="B1061" s="1297"/>
      <c r="C1061" s="1297"/>
      <c r="D1061" s="1297" t="s">
        <v>1034</v>
      </c>
      <c r="F1061" s="1399">
        <v>457258.14</v>
      </c>
      <c r="I1061" s="1399">
        <v>457258.14</v>
      </c>
    </row>
    <row r="1062" spans="2:9">
      <c r="B1062" s="1297"/>
      <c r="C1062" s="1297"/>
      <c r="D1062" s="1297" t="s">
        <v>1035</v>
      </c>
      <c r="F1062" s="1399">
        <v>7692954.4400000004</v>
      </c>
      <c r="I1062" s="1399">
        <v>7692954.4400000004</v>
      </c>
    </row>
    <row r="1063" spans="2:9">
      <c r="B1063" s="1297"/>
      <c r="C1063" s="1297"/>
      <c r="D1063" s="1297" t="s">
        <v>1036</v>
      </c>
      <c r="F1063" s="1399">
        <v>1299410.51</v>
      </c>
      <c r="I1063" s="1399">
        <v>1299410.51</v>
      </c>
    </row>
    <row r="1064" spans="2:9">
      <c r="B1064" s="1297"/>
      <c r="C1064" s="1297"/>
      <c r="D1064" s="1297" t="s">
        <v>1037</v>
      </c>
      <c r="F1064" s="1399">
        <v>17883</v>
      </c>
      <c r="I1064" s="1399">
        <v>17883</v>
      </c>
    </row>
    <row r="1065" spans="2:9">
      <c r="B1065" s="1297"/>
      <c r="C1065" s="1297"/>
      <c r="D1065" s="1297" t="s">
        <v>1038</v>
      </c>
      <c r="F1065" s="1399">
        <v>379323</v>
      </c>
      <c r="I1065" s="1399">
        <v>379323</v>
      </c>
    </row>
    <row r="1066" spans="2:9">
      <c r="B1066" s="1297"/>
      <c r="C1066" s="1297"/>
      <c r="D1066" s="1297" t="s">
        <v>1039</v>
      </c>
      <c r="F1066" s="1399">
        <v>170012.75000000003</v>
      </c>
      <c r="I1066" s="1399">
        <v>170012.75000000003</v>
      </c>
    </row>
    <row r="1067" spans="2:9">
      <c r="B1067" s="1297"/>
      <c r="C1067" s="1297"/>
      <c r="D1067" s="1297" t="s">
        <v>1040</v>
      </c>
      <c r="F1067" s="1399">
        <v>4755894.6399999997</v>
      </c>
      <c r="I1067" s="1399">
        <v>4755894.6399999997</v>
      </c>
    </row>
    <row r="1068" spans="2:9">
      <c r="B1068" s="1297"/>
      <c r="C1068" s="1297"/>
      <c r="D1068" s="1297" t="s">
        <v>1127</v>
      </c>
      <c r="F1068" s="1399">
        <v>348802.45</v>
      </c>
      <c r="I1068" s="1399">
        <v>348802.45</v>
      </c>
    </row>
    <row r="1069" spans="2:9">
      <c r="B1069" s="1297"/>
      <c r="C1069" s="1297"/>
      <c r="D1069" s="1297" t="s">
        <v>1041</v>
      </c>
      <c r="F1069" s="1399">
        <v>1234255.94</v>
      </c>
      <c r="I1069" s="1399">
        <v>1234255.94</v>
      </c>
    </row>
    <row r="1070" spans="2:9">
      <c r="B1070" s="1297"/>
      <c r="C1070" s="1297"/>
      <c r="D1070" s="1297" t="s">
        <v>1042</v>
      </c>
      <c r="F1070" s="1399">
        <v>302672.21999999997</v>
      </c>
      <c r="I1070" s="1399">
        <v>302672.21999999997</v>
      </c>
    </row>
    <row r="1071" spans="2:9">
      <c r="B1071" s="1297"/>
      <c r="C1071" s="1297"/>
      <c r="D1071" s="1297" t="s">
        <v>953</v>
      </c>
      <c r="F1071" s="1399">
        <v>165.9</v>
      </c>
      <c r="I1071" s="1399">
        <v>165.9</v>
      </c>
    </row>
    <row r="1072" spans="2:9">
      <c r="B1072" s="1297"/>
      <c r="C1072" s="1297"/>
      <c r="D1072" s="1297" t="s">
        <v>1043</v>
      </c>
      <c r="F1072" s="1399">
        <v>520487.23</v>
      </c>
      <c r="I1072" s="1399">
        <v>520487.23</v>
      </c>
    </row>
    <row r="1073" spans="2:9">
      <c r="B1073" s="1297"/>
      <c r="C1073" s="1297"/>
      <c r="D1073" s="1297" t="s">
        <v>986</v>
      </c>
      <c r="F1073" s="1399">
        <v>35950</v>
      </c>
      <c r="I1073" s="1399">
        <v>35950</v>
      </c>
    </row>
    <row r="1074" spans="2:9">
      <c r="B1074" s="1297"/>
      <c r="C1074" s="1297"/>
      <c r="D1074" s="1297" t="s">
        <v>1044</v>
      </c>
      <c r="F1074" s="1399">
        <v>85923.57</v>
      </c>
      <c r="I1074" s="1399">
        <v>85923.57</v>
      </c>
    </row>
    <row r="1075" spans="2:9">
      <c r="B1075" s="1297"/>
      <c r="C1075" s="1297"/>
      <c r="D1075" s="1297" t="s">
        <v>1045</v>
      </c>
      <c r="F1075" s="1399">
        <v>7901826.6599999992</v>
      </c>
      <c r="I1075" s="1399">
        <v>7901826.6599999992</v>
      </c>
    </row>
    <row r="1076" spans="2:9">
      <c r="B1076" s="1297"/>
      <c r="C1076" s="1297"/>
      <c r="D1076" s="1297" t="s">
        <v>1046</v>
      </c>
      <c r="H1076" s="1399">
        <v>129911808</v>
      </c>
      <c r="I1076" s="1399">
        <v>129911808</v>
      </c>
    </row>
    <row r="1077" spans="2:9">
      <c r="B1077" s="1297"/>
      <c r="C1077" s="1297"/>
      <c r="D1077" s="1297" t="s">
        <v>1128</v>
      </c>
      <c r="H1077" s="1399">
        <v>16308357</v>
      </c>
      <c r="I1077" s="1399">
        <v>16308357</v>
      </c>
    </row>
    <row r="1078" spans="2:9">
      <c r="B1078" s="1297"/>
      <c r="C1078" s="1297"/>
      <c r="D1078" s="1297" t="s">
        <v>932</v>
      </c>
      <c r="H1078" s="1399">
        <v>132230</v>
      </c>
      <c r="I1078" s="1399">
        <v>132230</v>
      </c>
    </row>
    <row r="1079" spans="2:9">
      <c r="B1079" s="1297"/>
      <c r="C1079" s="1297"/>
      <c r="D1079" s="1297" t="s">
        <v>933</v>
      </c>
      <c r="H1079" s="1399">
        <v>589217.35</v>
      </c>
      <c r="I1079" s="1399">
        <v>589217.35</v>
      </c>
    </row>
    <row r="1080" spans="2:9">
      <c r="B1080" s="1297"/>
      <c r="C1080" s="1297"/>
      <c r="D1080" s="1297" t="s">
        <v>934</v>
      </c>
      <c r="H1080" s="1399">
        <v>487370</v>
      </c>
      <c r="I1080" s="1399">
        <v>487370</v>
      </c>
    </row>
    <row r="1081" spans="2:9">
      <c r="B1081" s="1297"/>
      <c r="C1081" s="1297"/>
      <c r="D1081" s="1297" t="s">
        <v>1130</v>
      </c>
      <c r="H1081" s="1399">
        <v>5661822.8300000001</v>
      </c>
      <c r="I1081" s="1399">
        <v>5661822.8300000001</v>
      </c>
    </row>
    <row r="1082" spans="2:9">
      <c r="B1082" s="1297"/>
      <c r="C1082" s="1297"/>
      <c r="D1082" s="1297" t="s">
        <v>935</v>
      </c>
      <c r="H1082" s="1399">
        <v>27076389.489999998</v>
      </c>
      <c r="I1082" s="1399">
        <v>27076389.489999998</v>
      </c>
    </row>
    <row r="1083" spans="2:9">
      <c r="B1083" s="1297"/>
      <c r="C1083" s="1297"/>
      <c r="D1083" s="1297" t="s">
        <v>936</v>
      </c>
      <c r="H1083" s="1399">
        <v>502466.02</v>
      </c>
      <c r="I1083" s="1399">
        <v>502466.02</v>
      </c>
    </row>
    <row r="1084" spans="2:9">
      <c r="B1084" s="1297"/>
      <c r="C1084" s="1297"/>
      <c r="D1084" s="1297" t="s">
        <v>937</v>
      </c>
      <c r="H1084" s="1399">
        <v>287023.51</v>
      </c>
      <c r="I1084" s="1399">
        <v>287023.51</v>
      </c>
    </row>
    <row r="1085" spans="2:9">
      <c r="B1085" s="1297"/>
      <c r="C1085" s="1297"/>
      <c r="D1085" s="1297" t="s">
        <v>939</v>
      </c>
      <c r="H1085" s="1399">
        <v>1553143.33</v>
      </c>
      <c r="I1085" s="1399">
        <v>1553143.33</v>
      </c>
    </row>
    <row r="1086" spans="2:9">
      <c r="B1086" s="1297"/>
      <c r="C1086" s="1297"/>
      <c r="D1086" s="1297" t="s">
        <v>940</v>
      </c>
      <c r="E1086" s="1399">
        <v>5276056.74</v>
      </c>
      <c r="I1086" s="1399">
        <v>5276056.74</v>
      </c>
    </row>
    <row r="1087" spans="2:9">
      <c r="B1087" s="1297"/>
      <c r="C1087" s="1297"/>
      <c r="D1087" s="1297" t="s">
        <v>941</v>
      </c>
      <c r="E1087" s="1399">
        <v>1216271.72</v>
      </c>
      <c r="I1087" s="1399">
        <v>1216271.72</v>
      </c>
    </row>
    <row r="1088" spans="2:9">
      <c r="B1088" s="1297"/>
      <c r="C1088" s="1297"/>
      <c r="D1088" s="1297" t="s">
        <v>944</v>
      </c>
      <c r="E1088" s="1399">
        <v>10752469.630000001</v>
      </c>
      <c r="I1088" s="1399">
        <v>10752469.630000001</v>
      </c>
    </row>
    <row r="1089" spans="2:9">
      <c r="B1089" s="1297"/>
      <c r="C1089" s="1297"/>
      <c r="D1089" s="1297" t="s">
        <v>945</v>
      </c>
      <c r="E1089" s="1399">
        <v>16107308.73</v>
      </c>
      <c r="I1089" s="1399">
        <v>16107308.73</v>
      </c>
    </row>
    <row r="1090" spans="2:9">
      <c r="B1090" s="1297"/>
      <c r="C1090" s="1297"/>
      <c r="D1090" s="1297" t="s">
        <v>946</v>
      </c>
      <c r="E1090" s="1399">
        <v>817245.67</v>
      </c>
      <c r="I1090" s="1399">
        <v>817245.67</v>
      </c>
    </row>
    <row r="1091" spans="2:9">
      <c r="B1091" s="1297"/>
      <c r="C1091" s="1297"/>
      <c r="D1091" s="1297" t="s">
        <v>1214</v>
      </c>
      <c r="E1091" s="1399">
        <v>172653.83</v>
      </c>
      <c r="I1091" s="1399">
        <v>172653.83</v>
      </c>
    </row>
    <row r="1092" spans="2:9">
      <c r="B1092" s="1297"/>
      <c r="C1092" s="1297"/>
      <c r="D1092" s="1297" t="s">
        <v>947</v>
      </c>
      <c r="E1092" s="1399">
        <v>963178.36</v>
      </c>
      <c r="I1092" s="1399">
        <v>963178.36</v>
      </c>
    </row>
    <row r="1093" spans="2:9">
      <c r="B1093" s="1297"/>
      <c r="C1093" s="1297"/>
      <c r="D1093" s="1297" t="s">
        <v>1116</v>
      </c>
      <c r="G1093" s="1399">
        <v>39854332.030000001</v>
      </c>
      <c r="I1093" s="1399">
        <v>39854332.030000001</v>
      </c>
    </row>
    <row r="1094" spans="2:9">
      <c r="B1094" s="1297"/>
      <c r="C1094" s="1297"/>
      <c r="D1094" s="1297" t="s">
        <v>948</v>
      </c>
      <c r="G1094" s="1399">
        <v>46529339.949999988</v>
      </c>
      <c r="I1094" s="1399">
        <v>46529339.949999988</v>
      </c>
    </row>
    <row r="1095" spans="2:9">
      <c r="B1095" s="1297"/>
      <c r="C1095" s="1297"/>
      <c r="D1095" s="1297" t="s">
        <v>956</v>
      </c>
      <c r="G1095" s="1399">
        <v>201092.54</v>
      </c>
      <c r="I1095" s="1399">
        <v>201092.54</v>
      </c>
    </row>
    <row r="1096" spans="2:9">
      <c r="B1096" s="1297"/>
      <c r="C1096" s="1297"/>
      <c r="D1096" s="1297" t="s">
        <v>1118</v>
      </c>
      <c r="G1096" s="1399">
        <v>15001500</v>
      </c>
      <c r="I1096" s="1399">
        <v>15001500</v>
      </c>
    </row>
    <row r="1097" spans="2:9">
      <c r="B1097" s="1297"/>
      <c r="C1097" s="1400" t="s">
        <v>1055</v>
      </c>
      <c r="D1097" s="1400"/>
      <c r="E1097" s="1401">
        <v>35305184.68</v>
      </c>
      <c r="F1097" s="1401">
        <v>189894439.60999995</v>
      </c>
      <c r="G1097" s="1401">
        <v>101586264.52</v>
      </c>
      <c r="H1097" s="1401">
        <v>182509827.53000003</v>
      </c>
      <c r="I1097" s="1401">
        <v>509295716.34000003</v>
      </c>
    </row>
    <row r="1098" spans="2:9">
      <c r="B1098" s="1297" t="s">
        <v>1056</v>
      </c>
      <c r="C1098" s="1297" t="s">
        <v>1057</v>
      </c>
      <c r="D1098" s="1297" t="s">
        <v>906</v>
      </c>
      <c r="F1098" s="1399">
        <v>68490107.579999998</v>
      </c>
      <c r="I1098" s="1399">
        <v>68490107.579999998</v>
      </c>
    </row>
    <row r="1099" spans="2:9">
      <c r="B1099" s="1297"/>
      <c r="C1099" s="1297"/>
      <c r="D1099" s="1297" t="s">
        <v>952</v>
      </c>
      <c r="F1099" s="1399">
        <v>609106.79</v>
      </c>
      <c r="I1099" s="1399">
        <v>609106.79</v>
      </c>
    </row>
    <row r="1100" spans="2:9">
      <c r="B1100" s="1297"/>
      <c r="C1100" s="1297"/>
      <c r="D1100" s="1297" t="s">
        <v>907</v>
      </c>
      <c r="F1100" s="1399">
        <v>19429331.850000001</v>
      </c>
      <c r="I1100" s="1399">
        <v>19429331.850000001</v>
      </c>
    </row>
    <row r="1101" spans="2:9">
      <c r="B1101" s="1297"/>
      <c r="C1101" s="1297"/>
      <c r="D1101" s="1297" t="s">
        <v>908</v>
      </c>
      <c r="F1101" s="1399">
        <v>45133.78</v>
      </c>
      <c r="I1101" s="1399">
        <v>45133.78</v>
      </c>
    </row>
    <row r="1102" spans="2:9">
      <c r="B1102" s="1297"/>
      <c r="C1102" s="1297"/>
      <c r="D1102" s="1297" t="s">
        <v>909</v>
      </c>
      <c r="F1102" s="1399">
        <v>12678.49</v>
      </c>
      <c r="I1102" s="1399">
        <v>12678.49</v>
      </c>
    </row>
    <row r="1103" spans="2:9">
      <c r="B1103" s="1297"/>
      <c r="C1103" s="1297"/>
      <c r="D1103" s="1297" t="s">
        <v>910</v>
      </c>
      <c r="F1103" s="1399">
        <v>91970.71</v>
      </c>
      <c r="I1103" s="1399">
        <v>91970.71</v>
      </c>
    </row>
    <row r="1104" spans="2:9">
      <c r="B1104" s="1297"/>
      <c r="C1104" s="1297"/>
      <c r="D1104" s="1297" t="s">
        <v>1034</v>
      </c>
      <c r="F1104" s="1399">
        <v>168791.66</v>
      </c>
      <c r="I1104" s="1399">
        <v>168791.66</v>
      </c>
    </row>
    <row r="1105" spans="2:9">
      <c r="B1105" s="1297"/>
      <c r="C1105" s="1297"/>
      <c r="D1105" s="1297" t="s">
        <v>1035</v>
      </c>
      <c r="F1105" s="1399">
        <v>649047.68999999994</v>
      </c>
      <c r="I1105" s="1399">
        <v>649047.68999999994</v>
      </c>
    </row>
    <row r="1106" spans="2:9">
      <c r="B1106" s="1297"/>
      <c r="C1106" s="1297"/>
      <c r="D1106" s="1297" t="s">
        <v>1036</v>
      </c>
      <c r="F1106" s="1399">
        <v>242723.01</v>
      </c>
      <c r="I1106" s="1399">
        <v>242723.01</v>
      </c>
    </row>
    <row r="1107" spans="2:9">
      <c r="B1107" s="1297"/>
      <c r="C1107" s="1297"/>
      <c r="D1107" s="1297" t="s">
        <v>1037</v>
      </c>
      <c r="F1107" s="1399">
        <v>-175</v>
      </c>
      <c r="I1107" s="1399">
        <v>-175</v>
      </c>
    </row>
    <row r="1108" spans="2:9">
      <c r="B1108" s="1297"/>
      <c r="C1108" s="1297"/>
      <c r="D1108" s="1297" t="s">
        <v>1038</v>
      </c>
      <c r="F1108" s="1399">
        <v>7375</v>
      </c>
      <c r="I1108" s="1399">
        <v>7375</v>
      </c>
    </row>
    <row r="1109" spans="2:9">
      <c r="B1109" s="1297"/>
      <c r="C1109" s="1297"/>
      <c r="D1109" s="1297" t="s">
        <v>1003</v>
      </c>
      <c r="F1109" s="1399">
        <v>588763.02</v>
      </c>
      <c r="I1109" s="1399">
        <v>588763.02</v>
      </c>
    </row>
    <row r="1110" spans="2:9">
      <c r="B1110" s="1297"/>
      <c r="C1110" s="1297"/>
      <c r="D1110" s="1297" t="s">
        <v>1039</v>
      </c>
      <c r="F1110" s="1399">
        <v>673062.39999999991</v>
      </c>
      <c r="I1110" s="1399">
        <v>673062.39999999991</v>
      </c>
    </row>
    <row r="1111" spans="2:9">
      <c r="B1111" s="1297"/>
      <c r="C1111" s="1297"/>
      <c r="D1111" s="1297" t="s">
        <v>1040</v>
      </c>
      <c r="F1111" s="1399">
        <v>512392.74</v>
      </c>
      <c r="I1111" s="1399">
        <v>512392.74</v>
      </c>
    </row>
    <row r="1112" spans="2:9">
      <c r="B1112" s="1297"/>
      <c r="C1112" s="1297"/>
      <c r="D1112" s="1297" t="s">
        <v>1041</v>
      </c>
      <c r="F1112" s="1399">
        <v>70720.08</v>
      </c>
      <c r="I1112" s="1399">
        <v>70720.08</v>
      </c>
    </row>
    <row r="1113" spans="2:9">
      <c r="B1113" s="1297"/>
      <c r="C1113" s="1297"/>
      <c r="D1113" s="1297" t="s">
        <v>1042</v>
      </c>
      <c r="F1113" s="1399">
        <v>174894.91</v>
      </c>
      <c r="I1113" s="1399">
        <v>174894.91</v>
      </c>
    </row>
    <row r="1114" spans="2:9">
      <c r="B1114" s="1297"/>
      <c r="C1114" s="1297"/>
      <c r="D1114" s="1297" t="s">
        <v>985</v>
      </c>
      <c r="F1114" s="1399">
        <v>629455.13</v>
      </c>
      <c r="I1114" s="1399">
        <v>629455.13</v>
      </c>
    </row>
    <row r="1115" spans="2:9">
      <c r="B1115" s="1297"/>
      <c r="C1115" s="1297"/>
      <c r="D1115" s="1297" t="s">
        <v>1043</v>
      </c>
      <c r="F1115" s="1399">
        <v>70131.16</v>
      </c>
      <c r="I1115" s="1399">
        <v>70131.16</v>
      </c>
    </row>
    <row r="1116" spans="2:9">
      <c r="B1116" s="1297"/>
      <c r="C1116" s="1297"/>
      <c r="D1116" s="1297" t="s">
        <v>986</v>
      </c>
      <c r="F1116" s="1399">
        <v>2380</v>
      </c>
      <c r="I1116" s="1399">
        <v>2380</v>
      </c>
    </row>
    <row r="1117" spans="2:9">
      <c r="B1117" s="1297"/>
      <c r="C1117" s="1297"/>
      <c r="D1117" s="1297" t="s">
        <v>990</v>
      </c>
      <c r="F1117" s="1399">
        <v>522.28</v>
      </c>
      <c r="I1117" s="1399">
        <v>522.28</v>
      </c>
    </row>
    <row r="1118" spans="2:9">
      <c r="B1118" s="1297"/>
      <c r="C1118" s="1297"/>
      <c r="D1118" s="1297" t="s">
        <v>1044</v>
      </c>
      <c r="F1118" s="1399">
        <v>48612.29</v>
      </c>
      <c r="I1118" s="1399">
        <v>48612.29</v>
      </c>
    </row>
    <row r="1119" spans="2:9">
      <c r="B1119" s="1297"/>
      <c r="C1119" s="1297"/>
      <c r="D1119" s="1297" t="s">
        <v>1045</v>
      </c>
      <c r="F1119" s="1399">
        <v>6001995.7200000007</v>
      </c>
      <c r="I1119" s="1399">
        <v>6001995.7200000007</v>
      </c>
    </row>
    <row r="1120" spans="2:9">
      <c r="B1120" s="1297"/>
      <c r="C1120" s="1297"/>
      <c r="D1120" s="1297" t="s">
        <v>1046</v>
      </c>
      <c r="H1120" s="1399">
        <v>67479183</v>
      </c>
      <c r="I1120" s="1399">
        <v>67479183</v>
      </c>
    </row>
    <row r="1121" spans="2:9">
      <c r="B1121" s="1297"/>
      <c r="C1121" s="1297"/>
      <c r="D1121" s="1297" t="s">
        <v>1128</v>
      </c>
      <c r="H1121" s="1399">
        <v>5068866</v>
      </c>
      <c r="I1121" s="1399">
        <v>5068866</v>
      </c>
    </row>
    <row r="1122" spans="2:9">
      <c r="B1122" s="1297"/>
      <c r="C1122" s="1297"/>
      <c r="D1122" s="1297" t="s">
        <v>1129</v>
      </c>
      <c r="H1122" s="1399">
        <v>-8255182</v>
      </c>
      <c r="I1122" s="1399">
        <v>-8255182</v>
      </c>
    </row>
    <row r="1123" spans="2:9">
      <c r="B1123" s="1297"/>
      <c r="C1123" s="1297"/>
      <c r="D1123" s="1297" t="s">
        <v>1047</v>
      </c>
      <c r="H1123" s="1399">
        <v>1243214</v>
      </c>
      <c r="I1123" s="1399">
        <v>1243214</v>
      </c>
    </row>
    <row r="1124" spans="2:9">
      <c r="B1124" s="1297"/>
      <c r="C1124" s="1297"/>
      <c r="D1124" s="1297" t="s">
        <v>1048</v>
      </c>
      <c r="H1124" s="1399">
        <v>-16403230</v>
      </c>
      <c r="I1124" s="1399">
        <v>-16403230</v>
      </c>
    </row>
    <row r="1125" spans="2:9">
      <c r="B1125" s="1297"/>
      <c r="C1125" s="1297"/>
      <c r="D1125" s="1297" t="s">
        <v>955</v>
      </c>
      <c r="H1125" s="1399">
        <v>3292959.58</v>
      </c>
      <c r="I1125" s="1399">
        <v>3292959.58</v>
      </c>
    </row>
    <row r="1126" spans="2:9">
      <c r="B1126" s="1297"/>
      <c r="C1126" s="1297"/>
      <c r="D1126" s="1297" t="s">
        <v>934</v>
      </c>
      <c r="H1126" s="1399">
        <v>206956</v>
      </c>
      <c r="I1126" s="1399">
        <v>206956</v>
      </c>
    </row>
    <row r="1127" spans="2:9">
      <c r="B1127" s="1297"/>
      <c r="C1127" s="1297"/>
      <c r="D1127" s="1297" t="s">
        <v>1130</v>
      </c>
      <c r="H1127" s="1399">
        <v>252464.64000000001</v>
      </c>
      <c r="I1127" s="1399">
        <v>252464.64000000001</v>
      </c>
    </row>
    <row r="1128" spans="2:9">
      <c r="B1128" s="1297"/>
      <c r="C1128" s="1297"/>
      <c r="D1128" s="1297" t="s">
        <v>935</v>
      </c>
      <c r="H1128" s="1399">
        <v>1096291.1800000002</v>
      </c>
      <c r="I1128" s="1399">
        <v>1096291.1800000002</v>
      </c>
    </row>
    <row r="1129" spans="2:9">
      <c r="B1129" s="1297"/>
      <c r="C1129" s="1297"/>
      <c r="D1129" s="1297" t="s">
        <v>936</v>
      </c>
      <c r="H1129" s="1399">
        <v>297978.11</v>
      </c>
      <c r="I1129" s="1399">
        <v>297978.11</v>
      </c>
    </row>
    <row r="1130" spans="2:9">
      <c r="B1130" s="1297"/>
      <c r="C1130" s="1297"/>
      <c r="D1130" s="1297" t="s">
        <v>937</v>
      </c>
      <c r="H1130" s="1399">
        <v>160592.24</v>
      </c>
      <c r="I1130" s="1399">
        <v>160592.24</v>
      </c>
    </row>
    <row r="1131" spans="2:9">
      <c r="B1131" s="1297"/>
      <c r="C1131" s="1297"/>
      <c r="D1131" s="1297" t="s">
        <v>938</v>
      </c>
      <c r="H1131" s="1399">
        <v>81227</v>
      </c>
      <c r="I1131" s="1399">
        <v>81227</v>
      </c>
    </row>
    <row r="1132" spans="2:9">
      <c r="B1132" s="1297"/>
      <c r="C1132" s="1297"/>
      <c r="D1132" s="1297" t="s">
        <v>939</v>
      </c>
      <c r="H1132" s="1399">
        <v>139194.88999999998</v>
      </c>
      <c r="I1132" s="1399">
        <v>139194.88999999998</v>
      </c>
    </row>
    <row r="1133" spans="2:9">
      <c r="B1133" s="1297"/>
      <c r="C1133" s="1297"/>
      <c r="D1133" s="1297" t="s">
        <v>1131</v>
      </c>
      <c r="E1133" s="1399">
        <v>6390676.7800000012</v>
      </c>
      <c r="I1133" s="1399">
        <v>6390676.7800000012</v>
      </c>
    </row>
    <row r="1134" spans="2:9">
      <c r="B1134" s="1297"/>
      <c r="C1134" s="1297"/>
      <c r="D1134" s="1297" t="s">
        <v>940</v>
      </c>
      <c r="E1134" s="1399">
        <v>4098727.38</v>
      </c>
      <c r="I1134" s="1399">
        <v>4098727.38</v>
      </c>
    </row>
    <row r="1135" spans="2:9">
      <c r="B1135" s="1297"/>
      <c r="C1135" s="1297"/>
      <c r="D1135" s="1297" t="s">
        <v>941</v>
      </c>
      <c r="E1135" s="1399">
        <v>1717697.29</v>
      </c>
      <c r="I1135" s="1399">
        <v>1717697.29</v>
      </c>
    </row>
    <row r="1136" spans="2:9">
      <c r="B1136" s="1297"/>
      <c r="C1136" s="1297"/>
      <c r="D1136" s="1297" t="s">
        <v>943</v>
      </c>
      <c r="E1136" s="1399">
        <v>156080.81</v>
      </c>
      <c r="I1136" s="1399">
        <v>156080.81</v>
      </c>
    </row>
    <row r="1137" spans="2:9">
      <c r="B1137" s="1297"/>
      <c r="C1137" s="1297"/>
      <c r="D1137" s="1297" t="s">
        <v>944</v>
      </c>
      <c r="E1137" s="1399">
        <v>11448542.740000002</v>
      </c>
      <c r="I1137" s="1399">
        <v>11448542.740000002</v>
      </c>
    </row>
    <row r="1138" spans="2:9">
      <c r="B1138" s="1297"/>
      <c r="C1138" s="1297"/>
      <c r="D1138" s="1297" t="s">
        <v>945</v>
      </c>
      <c r="E1138" s="1399">
        <v>5072659.3499999996</v>
      </c>
      <c r="I1138" s="1399">
        <v>5072659.3499999996</v>
      </c>
    </row>
    <row r="1139" spans="2:9">
      <c r="B1139" s="1297"/>
      <c r="C1139" s="1297"/>
      <c r="D1139" s="1297" t="s">
        <v>978</v>
      </c>
      <c r="E1139" s="1399">
        <v>1200</v>
      </c>
      <c r="I1139" s="1399">
        <v>1200</v>
      </c>
    </row>
    <row r="1140" spans="2:9">
      <c r="B1140" s="1297"/>
      <c r="C1140" s="1297"/>
      <c r="D1140" s="1297" t="s">
        <v>1006</v>
      </c>
      <c r="E1140" s="1399">
        <v>48928.26</v>
      </c>
      <c r="I1140" s="1399">
        <v>48928.26</v>
      </c>
    </row>
    <row r="1141" spans="2:9">
      <c r="B1141" s="1297"/>
      <c r="C1141" s="1297"/>
      <c r="D1141" s="1297" t="s">
        <v>947</v>
      </c>
      <c r="E1141" s="1399">
        <v>367189.77</v>
      </c>
      <c r="I1141" s="1399">
        <v>367189.77</v>
      </c>
    </row>
    <row r="1142" spans="2:9">
      <c r="B1142" s="1297"/>
      <c r="C1142" s="1297"/>
      <c r="D1142" s="1297" t="s">
        <v>948</v>
      </c>
      <c r="G1142" s="1399">
        <v>11689602.279999999</v>
      </c>
      <c r="I1142" s="1399">
        <v>11689602.279999999</v>
      </c>
    </row>
    <row r="1143" spans="2:9">
      <c r="B1143" s="1297"/>
      <c r="C1143" s="1400" t="s">
        <v>1058</v>
      </c>
      <c r="D1143" s="1400"/>
      <c r="E1143" s="1401">
        <v>29301702.380000003</v>
      </c>
      <c r="F1143" s="1401">
        <v>98519021.289999977</v>
      </c>
      <c r="G1143" s="1401">
        <v>11689602.279999999</v>
      </c>
      <c r="H1143" s="1401">
        <v>54660514.640000001</v>
      </c>
      <c r="I1143" s="1401">
        <v>194170840.58999997</v>
      </c>
    </row>
    <row r="1144" spans="2:9">
      <c r="B1144" s="1297" t="s">
        <v>1059</v>
      </c>
      <c r="C1144" s="1297" t="s">
        <v>1060</v>
      </c>
      <c r="D1144" s="1297" t="s">
        <v>906</v>
      </c>
      <c r="F1144" s="1399">
        <v>1315800.8999999999</v>
      </c>
      <c r="I1144" s="1399">
        <v>1315800.8999999999</v>
      </c>
    </row>
    <row r="1145" spans="2:9">
      <c r="B1145" s="1297"/>
      <c r="C1145" s="1297"/>
      <c r="D1145" s="1297" t="s">
        <v>952</v>
      </c>
      <c r="F1145" s="1399">
        <v>9512.19</v>
      </c>
      <c r="I1145" s="1399">
        <v>9512.19</v>
      </c>
    </row>
    <row r="1146" spans="2:9">
      <c r="B1146" s="1297"/>
      <c r="C1146" s="1297"/>
      <c r="D1146" s="1297" t="s">
        <v>907</v>
      </c>
      <c r="F1146" s="1399">
        <v>264525.75</v>
      </c>
      <c r="I1146" s="1399">
        <v>264525.75</v>
      </c>
    </row>
    <row r="1147" spans="2:9">
      <c r="B1147" s="1297"/>
      <c r="C1147" s="1297"/>
      <c r="D1147" s="1297" t="s">
        <v>1122</v>
      </c>
      <c r="F1147" s="1399">
        <v>-56312</v>
      </c>
      <c r="I1147" s="1399">
        <v>-56312</v>
      </c>
    </row>
    <row r="1148" spans="2:9">
      <c r="B1148" s="1297"/>
      <c r="C1148" s="1297"/>
      <c r="D1148" s="1297" t="s">
        <v>909</v>
      </c>
      <c r="F1148" s="1399">
        <v>1360.9</v>
      </c>
      <c r="I1148" s="1399">
        <v>1360.9</v>
      </c>
    </row>
    <row r="1149" spans="2:9">
      <c r="B1149" s="1297"/>
      <c r="C1149" s="1297"/>
      <c r="D1149" s="1297" t="s">
        <v>1035</v>
      </c>
      <c r="F1149" s="1399">
        <v>42039.78</v>
      </c>
      <c r="I1149" s="1399">
        <v>42039.78</v>
      </c>
    </row>
    <row r="1150" spans="2:9">
      <c r="B1150" s="1297"/>
      <c r="C1150" s="1297"/>
      <c r="D1150" s="1297" t="s">
        <v>1036</v>
      </c>
      <c r="F1150" s="1399">
        <v>1768.25</v>
      </c>
      <c r="I1150" s="1399">
        <v>1768.25</v>
      </c>
    </row>
    <row r="1151" spans="2:9">
      <c r="B1151" s="1297"/>
      <c r="C1151" s="1297"/>
      <c r="D1151" s="1297" t="s">
        <v>1039</v>
      </c>
      <c r="F1151" s="1399">
        <v>419.88</v>
      </c>
      <c r="I1151" s="1399">
        <v>419.88</v>
      </c>
    </row>
    <row r="1152" spans="2:9">
      <c r="B1152" s="1297"/>
      <c r="C1152" s="1297"/>
      <c r="D1152" s="1297" t="s">
        <v>1042</v>
      </c>
      <c r="F1152" s="1399">
        <v>7969.85</v>
      </c>
      <c r="I1152" s="1399">
        <v>7969.85</v>
      </c>
    </row>
    <row r="1153" spans="2:9">
      <c r="B1153" s="1297"/>
      <c r="C1153" s="1297"/>
      <c r="D1153" s="1297" t="s">
        <v>1045</v>
      </c>
      <c r="F1153" s="1399">
        <v>24965.88</v>
      </c>
      <c r="I1153" s="1399">
        <v>24965.88</v>
      </c>
    </row>
    <row r="1154" spans="2:9">
      <c r="B1154" s="1297"/>
      <c r="C1154" s="1297"/>
      <c r="D1154" s="1297" t="s">
        <v>1046</v>
      </c>
      <c r="H1154" s="1399">
        <v>1850400</v>
      </c>
      <c r="I1154" s="1399">
        <v>1850400</v>
      </c>
    </row>
    <row r="1155" spans="2:9">
      <c r="B1155" s="1297"/>
      <c r="C1155" s="1297"/>
      <c r="D1155" s="1297" t="s">
        <v>1047</v>
      </c>
      <c r="H1155" s="1399">
        <v>299921</v>
      </c>
      <c r="I1155" s="1399">
        <v>299921</v>
      </c>
    </row>
    <row r="1156" spans="2:9">
      <c r="B1156" s="1297"/>
      <c r="C1156" s="1297"/>
      <c r="D1156" s="1297" t="s">
        <v>1048</v>
      </c>
      <c r="H1156" s="1399">
        <v>-476950</v>
      </c>
      <c r="I1156" s="1399">
        <v>-476950</v>
      </c>
    </row>
    <row r="1157" spans="2:9">
      <c r="B1157" s="1297"/>
      <c r="C1157" s="1297"/>
      <c r="D1157" s="1297" t="s">
        <v>955</v>
      </c>
      <c r="H1157" s="1399">
        <v>260053.14</v>
      </c>
      <c r="I1157" s="1399">
        <v>260053.14</v>
      </c>
    </row>
    <row r="1158" spans="2:9">
      <c r="B1158" s="1297"/>
      <c r="C1158" s="1297"/>
      <c r="D1158" s="1297" t="s">
        <v>934</v>
      </c>
      <c r="H1158" s="1399">
        <v>7190</v>
      </c>
      <c r="I1158" s="1399">
        <v>7190</v>
      </c>
    </row>
    <row r="1159" spans="2:9">
      <c r="B1159" s="1297"/>
      <c r="C1159" s="1297"/>
      <c r="D1159" s="1297" t="s">
        <v>935</v>
      </c>
      <c r="H1159" s="1399">
        <v>12692.05</v>
      </c>
      <c r="I1159" s="1399">
        <v>12692.05</v>
      </c>
    </row>
    <row r="1160" spans="2:9">
      <c r="B1160" s="1297"/>
      <c r="C1160" s="1297"/>
      <c r="D1160" s="1297" t="s">
        <v>936</v>
      </c>
      <c r="H1160" s="1399">
        <v>9804.2099999999991</v>
      </c>
      <c r="I1160" s="1399">
        <v>9804.2099999999991</v>
      </c>
    </row>
    <row r="1161" spans="2:9">
      <c r="B1161" s="1297"/>
      <c r="C1161" s="1297"/>
      <c r="D1161" s="1297" t="s">
        <v>937</v>
      </c>
      <c r="H1161" s="1399">
        <v>4954.9799999999996</v>
      </c>
      <c r="I1161" s="1399">
        <v>4954.9799999999996</v>
      </c>
    </row>
    <row r="1162" spans="2:9">
      <c r="B1162" s="1297"/>
      <c r="C1162" s="1297"/>
      <c r="D1162" s="1297" t="s">
        <v>938</v>
      </c>
      <c r="H1162" s="1399">
        <v>2246</v>
      </c>
      <c r="I1162" s="1399">
        <v>2246</v>
      </c>
    </row>
    <row r="1163" spans="2:9">
      <c r="B1163" s="1297"/>
      <c r="C1163" s="1297"/>
      <c r="D1163" s="1297" t="s">
        <v>939</v>
      </c>
      <c r="H1163" s="1399">
        <v>6292.34</v>
      </c>
      <c r="I1163" s="1399">
        <v>6292.34</v>
      </c>
    </row>
    <row r="1164" spans="2:9">
      <c r="B1164" s="1297"/>
      <c r="C1164" s="1297"/>
      <c r="D1164" s="1297" t="s">
        <v>940</v>
      </c>
      <c r="E1164" s="1399">
        <v>134371.42000000001</v>
      </c>
      <c r="I1164" s="1399">
        <v>134371.42000000001</v>
      </c>
    </row>
    <row r="1165" spans="2:9">
      <c r="B1165" s="1297"/>
      <c r="C1165" s="1297"/>
      <c r="D1165" s="1297" t="s">
        <v>941</v>
      </c>
      <c r="E1165" s="1399">
        <v>76014.960000000006</v>
      </c>
      <c r="I1165" s="1399">
        <v>76014.960000000006</v>
      </c>
    </row>
    <row r="1166" spans="2:9">
      <c r="B1166" s="1297"/>
      <c r="C1166" s="1297"/>
      <c r="D1166" s="1297" t="s">
        <v>943</v>
      </c>
      <c r="E1166" s="1399">
        <v>2408.6999999999998</v>
      </c>
      <c r="I1166" s="1399">
        <v>2408.6999999999998</v>
      </c>
    </row>
    <row r="1167" spans="2:9">
      <c r="B1167" s="1297"/>
      <c r="C1167" s="1297"/>
      <c r="D1167" s="1297" t="s">
        <v>944</v>
      </c>
      <c r="E1167" s="1399">
        <v>624122.82000000007</v>
      </c>
      <c r="I1167" s="1399">
        <v>624122.82000000007</v>
      </c>
    </row>
    <row r="1168" spans="2:9">
      <c r="B1168" s="1297"/>
      <c r="C1168" s="1297"/>
      <c r="D1168" s="1297" t="s">
        <v>945</v>
      </c>
      <c r="E1168" s="1399">
        <v>375110.44</v>
      </c>
      <c r="I1168" s="1399">
        <v>375110.44</v>
      </c>
    </row>
    <row r="1169" spans="2:9">
      <c r="B1169" s="1297"/>
      <c r="C1169" s="1297"/>
      <c r="D1169" s="1297" t="s">
        <v>946</v>
      </c>
      <c r="E1169" s="1399">
        <v>41175</v>
      </c>
      <c r="I1169" s="1399">
        <v>41175</v>
      </c>
    </row>
    <row r="1170" spans="2:9">
      <c r="B1170" s="1297"/>
      <c r="C1170" s="1297"/>
      <c r="D1170" s="1297" t="s">
        <v>1006</v>
      </c>
      <c r="E1170" s="1399">
        <v>110018.99</v>
      </c>
      <c r="I1170" s="1399">
        <v>110018.99</v>
      </c>
    </row>
    <row r="1171" spans="2:9">
      <c r="B1171" s="1297"/>
      <c r="C1171" s="1297"/>
      <c r="D1171" s="1297" t="s">
        <v>947</v>
      </c>
      <c r="E1171" s="1399">
        <v>9891.4</v>
      </c>
      <c r="I1171" s="1399">
        <v>9891.4</v>
      </c>
    </row>
    <row r="1172" spans="2:9">
      <c r="B1172" s="1297"/>
      <c r="C1172" s="1297"/>
      <c r="D1172" s="1297" t="s">
        <v>948</v>
      </c>
      <c r="G1172" s="1399">
        <v>21378.68</v>
      </c>
      <c r="I1172" s="1399">
        <v>21378.68</v>
      </c>
    </row>
    <row r="1173" spans="2:9">
      <c r="B1173" s="1297"/>
      <c r="C1173" s="1400" t="s">
        <v>1061</v>
      </c>
      <c r="D1173" s="1400"/>
      <c r="E1173" s="1401">
        <v>1373113.73</v>
      </c>
      <c r="F1173" s="1401">
        <v>1612051.3799999997</v>
      </c>
      <c r="G1173" s="1401">
        <v>21378.68</v>
      </c>
      <c r="H1173" s="1401">
        <v>1976603.7200000002</v>
      </c>
      <c r="I1173" s="1401">
        <v>4983147.5100000007</v>
      </c>
    </row>
    <row r="1174" spans="2:9">
      <c r="B1174" s="1297" t="s">
        <v>1062</v>
      </c>
      <c r="C1174" s="1297" t="s">
        <v>1063</v>
      </c>
      <c r="D1174" s="1297" t="s">
        <v>906</v>
      </c>
      <c r="F1174" s="1399">
        <v>131952999.45999999</v>
      </c>
      <c r="I1174" s="1399">
        <v>131952999.45999999</v>
      </c>
    </row>
    <row r="1175" spans="2:9">
      <c r="B1175" s="1297"/>
      <c r="C1175" s="1297"/>
      <c r="D1175" s="1297" t="s">
        <v>952</v>
      </c>
      <c r="F1175" s="1399">
        <v>821708.85</v>
      </c>
      <c r="I1175" s="1399">
        <v>821708.85</v>
      </c>
    </row>
    <row r="1176" spans="2:9">
      <c r="B1176" s="1297"/>
      <c r="C1176" s="1297"/>
      <c r="D1176" s="1297" t="s">
        <v>907</v>
      </c>
      <c r="F1176" s="1399">
        <v>48115084.350000001</v>
      </c>
      <c r="I1176" s="1399">
        <v>48115084.350000001</v>
      </c>
    </row>
    <row r="1177" spans="2:9">
      <c r="B1177" s="1297"/>
      <c r="C1177" s="1297"/>
      <c r="D1177" s="1297" t="s">
        <v>908</v>
      </c>
      <c r="F1177" s="1399">
        <v>5988.02</v>
      </c>
      <c r="I1177" s="1399">
        <v>5988.02</v>
      </c>
    </row>
    <row r="1178" spans="2:9">
      <c r="B1178" s="1297"/>
      <c r="C1178" s="1297"/>
      <c r="D1178" s="1297" t="s">
        <v>909</v>
      </c>
      <c r="F1178" s="1399">
        <v>658670.5199999999</v>
      </c>
      <c r="I1178" s="1399">
        <v>658670.5199999999</v>
      </c>
    </row>
    <row r="1179" spans="2:9">
      <c r="B1179" s="1297"/>
      <c r="C1179" s="1297"/>
      <c r="D1179" s="1297" t="s">
        <v>910</v>
      </c>
      <c r="F1179" s="1399">
        <v>1511979.05</v>
      </c>
      <c r="I1179" s="1399">
        <v>1511979.05</v>
      </c>
    </row>
    <row r="1180" spans="2:9">
      <c r="B1180" s="1297"/>
      <c r="C1180" s="1297"/>
      <c r="D1180" s="1297" t="s">
        <v>1034</v>
      </c>
      <c r="F1180" s="1399">
        <v>103005.92000000001</v>
      </c>
      <c r="I1180" s="1399">
        <v>103005.92000000001</v>
      </c>
    </row>
    <row r="1181" spans="2:9">
      <c r="B1181" s="1297"/>
      <c r="C1181" s="1297"/>
      <c r="D1181" s="1297" t="s">
        <v>1035</v>
      </c>
      <c r="F1181" s="1399">
        <v>1024007.9999999999</v>
      </c>
      <c r="I1181" s="1399">
        <v>1024007.9999999999</v>
      </c>
    </row>
    <row r="1182" spans="2:9">
      <c r="B1182" s="1297"/>
      <c r="C1182" s="1297"/>
      <c r="D1182" s="1297" t="s">
        <v>1036</v>
      </c>
      <c r="F1182" s="1399">
        <v>150979.90999999997</v>
      </c>
      <c r="I1182" s="1399">
        <v>150979.90999999997</v>
      </c>
    </row>
    <row r="1183" spans="2:9">
      <c r="B1183" s="1297"/>
      <c r="C1183" s="1297"/>
      <c r="D1183" s="1297" t="s">
        <v>1037</v>
      </c>
      <c r="F1183" s="1399">
        <v>2599948.66</v>
      </c>
      <c r="I1183" s="1399">
        <v>2599948.66</v>
      </c>
    </row>
    <row r="1184" spans="2:9">
      <c r="B1184" s="1297"/>
      <c r="C1184" s="1297"/>
      <c r="D1184" s="1297" t="s">
        <v>1064</v>
      </c>
      <c r="F1184" s="1399">
        <v>115847.8</v>
      </c>
      <c r="I1184" s="1399">
        <v>115847.8</v>
      </c>
    </row>
    <row r="1185" spans="2:9">
      <c r="B1185" s="1297"/>
      <c r="C1185" s="1297"/>
      <c r="D1185" s="1297" t="s">
        <v>1038</v>
      </c>
      <c r="F1185" s="1399">
        <v>19316</v>
      </c>
      <c r="I1185" s="1399">
        <v>19316</v>
      </c>
    </row>
    <row r="1186" spans="2:9">
      <c r="B1186" s="1297"/>
      <c r="C1186" s="1297"/>
      <c r="D1186" s="1297" t="s">
        <v>1039</v>
      </c>
      <c r="F1186" s="1399">
        <v>426430.38000000012</v>
      </c>
      <c r="I1186" s="1399">
        <v>426430.38000000012</v>
      </c>
    </row>
    <row r="1187" spans="2:9">
      <c r="B1187" s="1297"/>
      <c r="C1187" s="1297"/>
      <c r="D1187" s="1297" t="s">
        <v>1040</v>
      </c>
      <c r="F1187" s="1399">
        <v>1328257.0400000003</v>
      </c>
      <c r="I1187" s="1399">
        <v>1328257.0400000003</v>
      </c>
    </row>
    <row r="1188" spans="2:9">
      <c r="B1188" s="1297"/>
      <c r="C1188" s="1297"/>
      <c r="D1188" s="1297" t="s">
        <v>1127</v>
      </c>
      <c r="F1188" s="1399">
        <v>216939.29999999987</v>
      </c>
      <c r="I1188" s="1399">
        <v>216939.29999999987</v>
      </c>
    </row>
    <row r="1189" spans="2:9">
      <c r="B1189" s="1297"/>
      <c r="C1189" s="1297"/>
      <c r="D1189" s="1297" t="s">
        <v>1041</v>
      </c>
      <c r="F1189" s="1399">
        <v>106948.84999999998</v>
      </c>
      <c r="I1189" s="1399">
        <v>106948.84999999998</v>
      </c>
    </row>
    <row r="1190" spans="2:9">
      <c r="B1190" s="1297"/>
      <c r="C1190" s="1297"/>
      <c r="D1190" s="1297" t="s">
        <v>1042</v>
      </c>
      <c r="F1190" s="1399">
        <v>383676.25</v>
      </c>
      <c r="I1190" s="1399">
        <v>383676.25</v>
      </c>
    </row>
    <row r="1191" spans="2:9">
      <c r="B1191" s="1297"/>
      <c r="C1191" s="1297"/>
      <c r="D1191" s="1297" t="s">
        <v>985</v>
      </c>
      <c r="F1191" s="1399">
        <v>1450253.65</v>
      </c>
      <c r="I1191" s="1399">
        <v>1450253.65</v>
      </c>
    </row>
    <row r="1192" spans="2:9">
      <c r="B1192" s="1297"/>
      <c r="C1192" s="1297"/>
      <c r="D1192" s="1297" t="s">
        <v>986</v>
      </c>
      <c r="F1192" s="1399">
        <v>40547.299999999988</v>
      </c>
      <c r="I1192" s="1399">
        <v>40547.299999999988</v>
      </c>
    </row>
    <row r="1193" spans="2:9">
      <c r="B1193" s="1297"/>
      <c r="C1193" s="1297"/>
      <c r="D1193" s="1297" t="s">
        <v>1044</v>
      </c>
      <c r="F1193" s="1399">
        <v>2447497.4</v>
      </c>
      <c r="I1193" s="1399">
        <v>2447497.4</v>
      </c>
    </row>
    <row r="1194" spans="2:9">
      <c r="B1194" s="1297"/>
      <c r="C1194" s="1297"/>
      <c r="D1194" s="1297" t="s">
        <v>1045</v>
      </c>
      <c r="F1194" s="1399">
        <v>17288235.569999993</v>
      </c>
      <c r="I1194" s="1399">
        <v>17288235.569999993</v>
      </c>
    </row>
    <row r="1195" spans="2:9">
      <c r="B1195" s="1297"/>
      <c r="C1195" s="1297"/>
      <c r="D1195" s="1297" t="s">
        <v>1046</v>
      </c>
      <c r="H1195" s="1399">
        <v>242041236</v>
      </c>
      <c r="I1195" s="1399">
        <v>242041236</v>
      </c>
    </row>
    <row r="1196" spans="2:9">
      <c r="B1196" s="1297"/>
      <c r="C1196" s="1297"/>
      <c r="D1196" s="1297" t="s">
        <v>1128</v>
      </c>
      <c r="H1196" s="1399">
        <v>21203085</v>
      </c>
      <c r="I1196" s="1399">
        <v>21203085</v>
      </c>
    </row>
    <row r="1197" spans="2:9">
      <c r="B1197" s="1297"/>
      <c r="C1197" s="1297"/>
      <c r="D1197" s="1297" t="s">
        <v>1129</v>
      </c>
      <c r="H1197" s="1399">
        <v>-32768254</v>
      </c>
      <c r="I1197" s="1399">
        <v>-32768254</v>
      </c>
    </row>
    <row r="1198" spans="2:9">
      <c r="B1198" s="1297"/>
      <c r="C1198" s="1297"/>
      <c r="D1198" s="1297" t="s">
        <v>1047</v>
      </c>
      <c r="H1198" s="1399">
        <v>3059583</v>
      </c>
      <c r="I1198" s="1399">
        <v>3059583</v>
      </c>
    </row>
    <row r="1199" spans="2:9">
      <c r="B1199" s="1297"/>
      <c r="C1199" s="1297"/>
      <c r="D1199" s="1297" t="s">
        <v>1048</v>
      </c>
      <c r="H1199" s="1399">
        <v>-41379980</v>
      </c>
      <c r="I1199" s="1399">
        <v>-41379980</v>
      </c>
    </row>
    <row r="1200" spans="2:9">
      <c r="B1200" s="1297"/>
      <c r="C1200" s="1297"/>
      <c r="D1200" s="1297" t="s">
        <v>932</v>
      </c>
      <c r="H1200" s="1399">
        <v>17960563</v>
      </c>
      <c r="I1200" s="1399">
        <v>17960563</v>
      </c>
    </row>
    <row r="1201" spans="2:9">
      <c r="B1201" s="1297"/>
      <c r="C1201" s="1297"/>
      <c r="D1201" s="1297" t="s">
        <v>955</v>
      </c>
      <c r="H1201" s="1399">
        <v>2841879.7199999997</v>
      </c>
      <c r="I1201" s="1399">
        <v>2841879.7199999997</v>
      </c>
    </row>
    <row r="1202" spans="2:9">
      <c r="B1202" s="1297"/>
      <c r="C1202" s="1297"/>
      <c r="D1202" s="1297" t="s">
        <v>934</v>
      </c>
      <c r="H1202" s="1399">
        <v>812392</v>
      </c>
      <c r="I1202" s="1399">
        <v>812392</v>
      </c>
    </row>
    <row r="1203" spans="2:9">
      <c r="B1203" s="1297"/>
      <c r="C1203" s="1297"/>
      <c r="D1203" s="1297" t="s">
        <v>935</v>
      </c>
      <c r="H1203" s="1399">
        <v>5649180.4400000004</v>
      </c>
      <c r="I1203" s="1399">
        <v>5649180.4400000004</v>
      </c>
    </row>
    <row r="1204" spans="2:9">
      <c r="B1204" s="1297"/>
      <c r="C1204" s="1297"/>
      <c r="D1204" s="1297" t="s">
        <v>939</v>
      </c>
      <c r="H1204" s="1399">
        <v>6644581.2999999998</v>
      </c>
      <c r="I1204" s="1399">
        <v>6644581.2999999998</v>
      </c>
    </row>
    <row r="1205" spans="2:9">
      <c r="B1205" s="1297"/>
      <c r="C1205" s="1297"/>
      <c r="D1205" s="1297" t="s">
        <v>1131</v>
      </c>
      <c r="E1205" s="1399">
        <v>638681.69000000006</v>
      </c>
      <c r="I1205" s="1399">
        <v>638681.69000000006</v>
      </c>
    </row>
    <row r="1206" spans="2:9">
      <c r="B1206" s="1297"/>
      <c r="C1206" s="1297"/>
      <c r="D1206" s="1297" t="s">
        <v>940</v>
      </c>
      <c r="E1206" s="1399">
        <v>17164089.259999998</v>
      </c>
      <c r="I1206" s="1399">
        <v>17164089.259999998</v>
      </c>
    </row>
    <row r="1207" spans="2:9">
      <c r="B1207" s="1297"/>
      <c r="C1207" s="1297"/>
      <c r="D1207" s="1297" t="s">
        <v>941</v>
      </c>
      <c r="E1207" s="1399">
        <v>5396067.5000000019</v>
      </c>
      <c r="I1207" s="1399">
        <v>5396067.5000000019</v>
      </c>
    </row>
    <row r="1208" spans="2:9">
      <c r="B1208" s="1297"/>
      <c r="C1208" s="1297"/>
      <c r="D1208" s="1297" t="s">
        <v>943</v>
      </c>
      <c r="E1208" s="1399">
        <v>258992.43000000002</v>
      </c>
      <c r="I1208" s="1399">
        <v>258992.43000000002</v>
      </c>
    </row>
    <row r="1209" spans="2:9">
      <c r="B1209" s="1297"/>
      <c r="C1209" s="1297"/>
      <c r="D1209" s="1297" t="s">
        <v>944</v>
      </c>
      <c r="E1209" s="1399">
        <v>20279266.250000004</v>
      </c>
      <c r="I1209" s="1399">
        <v>20279266.250000004</v>
      </c>
    </row>
    <row r="1210" spans="2:9">
      <c r="B1210" s="1297"/>
      <c r="C1210" s="1297"/>
      <c r="D1210" s="1297" t="s">
        <v>945</v>
      </c>
      <c r="E1210" s="1399">
        <v>19913858.969999999</v>
      </c>
      <c r="I1210" s="1399">
        <v>19913858.969999999</v>
      </c>
    </row>
    <row r="1211" spans="2:9">
      <c r="B1211" s="1297"/>
      <c r="C1211" s="1297"/>
      <c r="D1211" s="1297" t="s">
        <v>946</v>
      </c>
      <c r="E1211" s="1399">
        <v>659841.61</v>
      </c>
      <c r="I1211" s="1399">
        <v>659841.61</v>
      </c>
    </row>
    <row r="1212" spans="2:9">
      <c r="B1212" s="1297"/>
      <c r="C1212" s="1297"/>
      <c r="D1212" s="1297" t="s">
        <v>947</v>
      </c>
      <c r="E1212" s="1399">
        <v>1454301.3800000001</v>
      </c>
      <c r="I1212" s="1399">
        <v>1454301.3800000001</v>
      </c>
    </row>
    <row r="1213" spans="2:9">
      <c r="B1213" s="1297"/>
      <c r="C1213" s="1297"/>
      <c r="D1213" s="1297" t="s">
        <v>948</v>
      </c>
      <c r="G1213" s="1399">
        <v>2092591.8999999997</v>
      </c>
      <c r="I1213" s="1399">
        <v>2092591.8999999997</v>
      </c>
    </row>
    <row r="1214" spans="2:9">
      <c r="B1214" s="1297"/>
      <c r="C1214" s="1400" t="s">
        <v>1065</v>
      </c>
      <c r="D1214" s="1400"/>
      <c r="E1214" s="1401">
        <v>65765099.090000011</v>
      </c>
      <c r="F1214" s="1401">
        <v>210768322.28000003</v>
      </c>
      <c r="G1214" s="1401">
        <v>2092591.8999999997</v>
      </c>
      <c r="H1214" s="1401">
        <v>226064266.46000001</v>
      </c>
      <c r="I1214" s="1401">
        <v>504690279.73000002</v>
      </c>
    </row>
    <row r="1215" spans="2:9">
      <c r="B1215" s="1297" t="s">
        <v>1066</v>
      </c>
      <c r="C1215" s="1297" t="s">
        <v>1067</v>
      </c>
      <c r="D1215" s="1297" t="s">
        <v>906</v>
      </c>
      <c r="F1215" s="1399">
        <v>3763426.17</v>
      </c>
      <c r="I1215" s="1399">
        <v>3763426.17</v>
      </c>
    </row>
    <row r="1216" spans="2:9">
      <c r="B1216" s="1297"/>
      <c r="C1216" s="1297"/>
      <c r="D1216" s="1297" t="s">
        <v>952</v>
      </c>
      <c r="F1216" s="1399">
        <v>14921.34</v>
      </c>
      <c r="I1216" s="1399">
        <v>14921.34</v>
      </c>
    </row>
    <row r="1217" spans="2:9">
      <c r="B1217" s="1297"/>
      <c r="C1217" s="1297"/>
      <c r="D1217" s="1297" t="s">
        <v>907</v>
      </c>
      <c r="F1217" s="1399">
        <v>756126.68</v>
      </c>
      <c r="I1217" s="1399">
        <v>756126.68</v>
      </c>
    </row>
    <row r="1218" spans="2:9">
      <c r="B1218" s="1297"/>
      <c r="C1218" s="1297"/>
      <c r="D1218" s="1297" t="s">
        <v>995</v>
      </c>
      <c r="F1218" s="1399">
        <v>66031.570000000007</v>
      </c>
      <c r="I1218" s="1399">
        <v>66031.570000000007</v>
      </c>
    </row>
    <row r="1219" spans="2:9">
      <c r="B1219" s="1297"/>
      <c r="C1219" s="1297"/>
      <c r="D1219" s="1297" t="s">
        <v>908</v>
      </c>
      <c r="F1219" s="1399">
        <v>-75.55</v>
      </c>
      <c r="I1219" s="1399">
        <v>-75.55</v>
      </c>
    </row>
    <row r="1220" spans="2:9">
      <c r="B1220" s="1297"/>
      <c r="C1220" s="1297"/>
      <c r="D1220" s="1297" t="s">
        <v>1034</v>
      </c>
      <c r="F1220" s="1399">
        <v>4000</v>
      </c>
      <c r="I1220" s="1399">
        <v>4000</v>
      </c>
    </row>
    <row r="1221" spans="2:9">
      <c r="B1221" s="1297"/>
      <c r="C1221" s="1297"/>
      <c r="D1221" s="1297" t="s">
        <v>1039</v>
      </c>
      <c r="F1221" s="1399">
        <v>79047.680000000008</v>
      </c>
      <c r="I1221" s="1399">
        <v>79047.680000000008</v>
      </c>
    </row>
    <row r="1222" spans="2:9">
      <c r="B1222" s="1297"/>
      <c r="C1222" s="1297"/>
      <c r="D1222" s="1297" t="s">
        <v>1040</v>
      </c>
      <c r="F1222" s="1399">
        <v>62342.78</v>
      </c>
      <c r="I1222" s="1399">
        <v>62342.78</v>
      </c>
    </row>
    <row r="1223" spans="2:9">
      <c r="B1223" s="1297"/>
      <c r="C1223" s="1297"/>
      <c r="D1223" s="1297" t="s">
        <v>1127</v>
      </c>
      <c r="F1223" s="1399">
        <v>20809.009999999998</v>
      </c>
      <c r="I1223" s="1399">
        <v>20809.009999999998</v>
      </c>
    </row>
    <row r="1224" spans="2:9">
      <c r="B1224" s="1297"/>
      <c r="C1224" s="1297"/>
      <c r="D1224" s="1297" t="s">
        <v>1041</v>
      </c>
      <c r="F1224" s="1399">
        <v>3749.9</v>
      </c>
      <c r="I1224" s="1399">
        <v>3749.9</v>
      </c>
    </row>
    <row r="1225" spans="2:9">
      <c r="B1225" s="1297"/>
      <c r="C1225" s="1297"/>
      <c r="D1225" s="1297" t="s">
        <v>1042</v>
      </c>
      <c r="F1225" s="1399">
        <v>15510.46</v>
      </c>
      <c r="I1225" s="1399">
        <v>15510.46</v>
      </c>
    </row>
    <row r="1226" spans="2:9">
      <c r="B1226" s="1297"/>
      <c r="C1226" s="1297"/>
      <c r="D1226" s="1297" t="s">
        <v>953</v>
      </c>
      <c r="F1226" s="1399">
        <v>22314.799999999999</v>
      </c>
      <c r="I1226" s="1399">
        <v>22314.799999999999</v>
      </c>
    </row>
    <row r="1227" spans="2:9">
      <c r="B1227" s="1297"/>
      <c r="C1227" s="1297"/>
      <c r="D1227" s="1297" t="s">
        <v>986</v>
      </c>
      <c r="F1227" s="1399">
        <v>343392.24</v>
      </c>
      <c r="I1227" s="1399">
        <v>343392.24</v>
      </c>
    </row>
    <row r="1228" spans="2:9">
      <c r="B1228" s="1297"/>
      <c r="C1228" s="1297"/>
      <c r="D1228" s="1297" t="s">
        <v>1044</v>
      </c>
      <c r="F1228" s="1399">
        <v>7060.35</v>
      </c>
      <c r="I1228" s="1399">
        <v>7060.35</v>
      </c>
    </row>
    <row r="1229" spans="2:9">
      <c r="B1229" s="1297"/>
      <c r="C1229" s="1297"/>
      <c r="D1229" s="1297" t="s">
        <v>1045</v>
      </c>
      <c r="F1229" s="1399">
        <v>34284.629999999997</v>
      </c>
      <c r="I1229" s="1399">
        <v>34284.629999999997</v>
      </c>
    </row>
    <row r="1230" spans="2:9">
      <c r="B1230" s="1297"/>
      <c r="C1230" s="1297"/>
      <c r="D1230" s="1297" t="s">
        <v>1046</v>
      </c>
      <c r="H1230" s="1399">
        <v>6988616</v>
      </c>
      <c r="I1230" s="1399">
        <v>6988616</v>
      </c>
    </row>
    <row r="1231" spans="2:9">
      <c r="B1231" s="1297"/>
      <c r="C1231" s="1297"/>
      <c r="D1231" s="1297" t="s">
        <v>1128</v>
      </c>
      <c r="H1231" s="1399">
        <v>565547</v>
      </c>
      <c r="I1231" s="1399">
        <v>565547</v>
      </c>
    </row>
    <row r="1232" spans="2:9">
      <c r="B1232" s="1297"/>
      <c r="C1232" s="1297"/>
      <c r="D1232" s="1297" t="s">
        <v>1129</v>
      </c>
      <c r="H1232" s="1399">
        <v>-899887</v>
      </c>
      <c r="I1232" s="1399">
        <v>-899887</v>
      </c>
    </row>
    <row r="1233" spans="2:9">
      <c r="B1233" s="1297"/>
      <c r="C1233" s="1297"/>
      <c r="D1233" s="1297" t="s">
        <v>1047</v>
      </c>
      <c r="H1233" s="1399">
        <v>345342</v>
      </c>
      <c r="I1233" s="1399">
        <v>345342</v>
      </c>
    </row>
    <row r="1234" spans="2:9">
      <c r="B1234" s="1297"/>
      <c r="C1234" s="1297"/>
      <c r="D1234" s="1297" t="s">
        <v>1048</v>
      </c>
      <c r="H1234" s="1399">
        <v>-1127423</v>
      </c>
      <c r="I1234" s="1399">
        <v>-1127423</v>
      </c>
    </row>
    <row r="1235" spans="2:9">
      <c r="B1235" s="1297"/>
      <c r="C1235" s="1297"/>
      <c r="D1235" s="1297" t="s">
        <v>932</v>
      </c>
      <c r="H1235" s="1399">
        <v>436570</v>
      </c>
      <c r="I1235" s="1399">
        <v>436570</v>
      </c>
    </row>
    <row r="1236" spans="2:9">
      <c r="B1236" s="1297"/>
      <c r="C1236" s="1297"/>
      <c r="D1236" s="1297" t="s">
        <v>955</v>
      </c>
      <c r="H1236" s="1399">
        <v>460028.57</v>
      </c>
      <c r="I1236" s="1399">
        <v>460028.57</v>
      </c>
    </row>
    <row r="1237" spans="2:9">
      <c r="B1237" s="1297"/>
      <c r="C1237" s="1297"/>
      <c r="D1237" s="1297" t="s">
        <v>934</v>
      </c>
      <c r="H1237" s="1399">
        <v>20970</v>
      </c>
      <c r="I1237" s="1399">
        <v>20970</v>
      </c>
    </row>
    <row r="1238" spans="2:9">
      <c r="B1238" s="1297"/>
      <c r="C1238" s="1297"/>
      <c r="D1238" s="1297" t="s">
        <v>1130</v>
      </c>
      <c r="H1238" s="1399">
        <v>-43143.53</v>
      </c>
      <c r="I1238" s="1399">
        <v>-43143.53</v>
      </c>
    </row>
    <row r="1239" spans="2:9">
      <c r="B1239" s="1297"/>
      <c r="C1239" s="1297"/>
      <c r="D1239" s="1297" t="s">
        <v>935</v>
      </c>
      <c r="H1239" s="1399">
        <v>76166.17</v>
      </c>
      <c r="I1239" s="1399">
        <v>76166.17</v>
      </c>
    </row>
    <row r="1240" spans="2:9">
      <c r="B1240" s="1297"/>
      <c r="C1240" s="1297"/>
      <c r="D1240" s="1297" t="s">
        <v>936</v>
      </c>
      <c r="H1240" s="1399">
        <v>20308.73</v>
      </c>
      <c r="I1240" s="1399">
        <v>20308.73</v>
      </c>
    </row>
    <row r="1241" spans="2:9">
      <c r="B1241" s="1297"/>
      <c r="C1241" s="1297"/>
      <c r="D1241" s="1297" t="s">
        <v>938</v>
      </c>
      <c r="H1241" s="1399">
        <v>6176</v>
      </c>
      <c r="I1241" s="1399">
        <v>6176</v>
      </c>
    </row>
    <row r="1242" spans="2:9">
      <c r="B1242" s="1297"/>
      <c r="C1242" s="1297"/>
      <c r="D1242" s="1297" t="s">
        <v>939</v>
      </c>
      <c r="H1242" s="1399">
        <v>57456.03</v>
      </c>
      <c r="I1242" s="1399">
        <v>57456.03</v>
      </c>
    </row>
    <row r="1243" spans="2:9">
      <c r="B1243" s="1297"/>
      <c r="C1243" s="1297"/>
      <c r="D1243" s="1297" t="s">
        <v>940</v>
      </c>
      <c r="E1243" s="1399">
        <v>373822.96</v>
      </c>
      <c r="I1243" s="1399">
        <v>373822.96</v>
      </c>
    </row>
    <row r="1244" spans="2:9">
      <c r="B1244" s="1297"/>
      <c r="C1244" s="1297"/>
      <c r="D1244" s="1297" t="s">
        <v>941</v>
      </c>
      <c r="E1244" s="1399">
        <v>133611.06</v>
      </c>
      <c r="I1244" s="1399">
        <v>133611.06</v>
      </c>
    </row>
    <row r="1245" spans="2:9">
      <c r="B1245" s="1297"/>
      <c r="C1245" s="1297"/>
      <c r="D1245" s="1297" t="s">
        <v>944</v>
      </c>
      <c r="E1245" s="1399">
        <v>1076732.3100000003</v>
      </c>
      <c r="I1245" s="1399">
        <v>1076732.3100000003</v>
      </c>
    </row>
    <row r="1246" spans="2:9">
      <c r="B1246" s="1297"/>
      <c r="C1246" s="1297"/>
      <c r="D1246" s="1297" t="s">
        <v>945</v>
      </c>
      <c r="E1246" s="1399">
        <v>535836.81999999995</v>
      </c>
      <c r="I1246" s="1399">
        <v>535836.81999999995</v>
      </c>
    </row>
    <row r="1247" spans="2:9">
      <c r="B1247" s="1297"/>
      <c r="C1247" s="1297"/>
      <c r="D1247" s="1297" t="s">
        <v>946</v>
      </c>
      <c r="E1247" s="1399">
        <v>159585.44</v>
      </c>
      <c r="I1247" s="1399">
        <v>159585.44</v>
      </c>
    </row>
    <row r="1248" spans="2:9">
      <c r="B1248" s="1297"/>
      <c r="C1248" s="1297"/>
      <c r="D1248" s="1297" t="s">
        <v>947</v>
      </c>
      <c r="E1248" s="1399">
        <v>39370.79</v>
      </c>
      <c r="I1248" s="1399">
        <v>39370.79</v>
      </c>
    </row>
    <row r="1249" spans="2:9">
      <c r="B1249" s="1297"/>
      <c r="C1249" s="1297"/>
      <c r="D1249" s="1297" t="s">
        <v>948</v>
      </c>
      <c r="G1249" s="1399">
        <v>770371.99</v>
      </c>
      <c r="I1249" s="1399">
        <v>770371.99</v>
      </c>
    </row>
    <row r="1250" spans="2:9">
      <c r="B1250" s="1297"/>
      <c r="C1250" s="1400" t="s">
        <v>1068</v>
      </c>
      <c r="D1250" s="1400"/>
      <c r="E1250" s="1401">
        <v>2318959.3800000004</v>
      </c>
      <c r="F1250" s="1401">
        <v>5192942.0599999996</v>
      </c>
      <c r="G1250" s="1401">
        <v>770371.99</v>
      </c>
      <c r="H1250" s="1401">
        <v>6906726.9700000007</v>
      </c>
      <c r="I1250" s="1401">
        <v>15189000.4</v>
      </c>
    </row>
    <row r="1251" spans="2:9">
      <c r="B1251" s="1297" t="s">
        <v>1069</v>
      </c>
      <c r="C1251" s="1297" t="s">
        <v>1070</v>
      </c>
      <c r="D1251" s="1297" t="s">
        <v>906</v>
      </c>
      <c r="F1251" s="1399">
        <v>416532033.91000003</v>
      </c>
      <c r="I1251" s="1399">
        <v>416532033.91000003</v>
      </c>
    </row>
    <row r="1252" spans="2:9">
      <c r="B1252" s="1297"/>
      <c r="C1252" s="1297"/>
      <c r="D1252" s="1297" t="s">
        <v>952</v>
      </c>
      <c r="F1252" s="1399">
        <v>9193497.8900000006</v>
      </c>
      <c r="I1252" s="1399">
        <v>9193497.8900000006</v>
      </c>
    </row>
    <row r="1253" spans="2:9">
      <c r="B1253" s="1297"/>
      <c r="C1253" s="1297"/>
      <c r="D1253" s="1297" t="s">
        <v>907</v>
      </c>
      <c r="F1253" s="1399">
        <v>115300111.86</v>
      </c>
      <c r="I1253" s="1399">
        <v>115300111.86</v>
      </c>
    </row>
    <row r="1254" spans="2:9">
      <c r="B1254" s="1297"/>
      <c r="C1254" s="1297"/>
      <c r="D1254" s="1297" t="s">
        <v>908</v>
      </c>
      <c r="F1254" s="1399">
        <v>1473183.08</v>
      </c>
      <c r="I1254" s="1399">
        <v>1473183.08</v>
      </c>
    </row>
    <row r="1255" spans="2:9">
      <c r="B1255" s="1297"/>
      <c r="C1255" s="1297"/>
      <c r="D1255" s="1297" t="s">
        <v>909</v>
      </c>
      <c r="F1255" s="1399">
        <v>95363.15</v>
      </c>
      <c r="I1255" s="1399">
        <v>95363.15</v>
      </c>
    </row>
    <row r="1256" spans="2:9">
      <c r="B1256" s="1297"/>
      <c r="C1256" s="1297"/>
      <c r="D1256" s="1297" t="s">
        <v>1034</v>
      </c>
      <c r="F1256" s="1399">
        <v>2460486.7799999998</v>
      </c>
      <c r="I1256" s="1399">
        <v>2460486.7799999998</v>
      </c>
    </row>
    <row r="1257" spans="2:9">
      <c r="B1257" s="1297"/>
      <c r="C1257" s="1297"/>
      <c r="D1257" s="1297" t="s">
        <v>1035</v>
      </c>
      <c r="F1257" s="1399">
        <v>5546340.3300000001</v>
      </c>
      <c r="I1257" s="1399">
        <v>5546340.3300000001</v>
      </c>
    </row>
    <row r="1258" spans="2:9">
      <c r="B1258" s="1297"/>
      <c r="C1258" s="1297"/>
      <c r="D1258" s="1297" t="s">
        <v>1036</v>
      </c>
      <c r="F1258" s="1399">
        <v>3821683.2</v>
      </c>
      <c r="I1258" s="1399">
        <v>3821683.2</v>
      </c>
    </row>
    <row r="1259" spans="2:9">
      <c r="B1259" s="1297"/>
      <c r="C1259" s="1297"/>
      <c r="D1259" s="1297" t="s">
        <v>1037</v>
      </c>
      <c r="F1259" s="1399">
        <v>16201295.029999999</v>
      </c>
      <c r="I1259" s="1399">
        <v>16201295.029999999</v>
      </c>
    </row>
    <row r="1260" spans="2:9">
      <c r="B1260" s="1297"/>
      <c r="C1260" s="1297"/>
      <c r="D1260" s="1297" t="s">
        <v>1038</v>
      </c>
      <c r="F1260" s="1399">
        <v>393399</v>
      </c>
      <c r="I1260" s="1399">
        <v>393399</v>
      </c>
    </row>
    <row r="1261" spans="2:9">
      <c r="B1261" s="1297"/>
      <c r="C1261" s="1297"/>
      <c r="D1261" s="1297" t="s">
        <v>1039</v>
      </c>
      <c r="F1261" s="1399">
        <v>3070160.2600000002</v>
      </c>
      <c r="I1261" s="1399">
        <v>3070160.2600000002</v>
      </c>
    </row>
    <row r="1262" spans="2:9">
      <c r="B1262" s="1297"/>
      <c r="C1262" s="1297"/>
      <c r="D1262" s="1297" t="s">
        <v>1040</v>
      </c>
      <c r="F1262" s="1399">
        <v>9975159.2799999993</v>
      </c>
      <c r="I1262" s="1399">
        <v>9975159.2799999993</v>
      </c>
    </row>
    <row r="1263" spans="2:9">
      <c r="B1263" s="1297"/>
      <c r="C1263" s="1297"/>
      <c r="D1263" s="1297" t="s">
        <v>1041</v>
      </c>
      <c r="F1263" s="1399">
        <v>8530350.4399999995</v>
      </c>
      <c r="I1263" s="1399">
        <v>8530350.4399999995</v>
      </c>
    </row>
    <row r="1264" spans="2:9">
      <c r="B1264" s="1297"/>
      <c r="C1264" s="1297"/>
      <c r="D1264" s="1297" t="s">
        <v>1042</v>
      </c>
      <c r="F1264" s="1399">
        <v>955230</v>
      </c>
      <c r="I1264" s="1399">
        <v>955230</v>
      </c>
    </row>
    <row r="1265" spans="2:9">
      <c r="B1265" s="1297"/>
      <c r="C1265" s="1297"/>
      <c r="D1265" s="1297" t="s">
        <v>954</v>
      </c>
      <c r="F1265" s="1399">
        <v>378861.71</v>
      </c>
      <c r="I1265" s="1399">
        <v>378861.71</v>
      </c>
    </row>
    <row r="1266" spans="2:9">
      <c r="B1266" s="1297"/>
      <c r="C1266" s="1297"/>
      <c r="D1266" s="1297" t="s">
        <v>985</v>
      </c>
      <c r="F1266" s="1399">
        <v>105359</v>
      </c>
      <c r="I1266" s="1399">
        <v>105359</v>
      </c>
    </row>
    <row r="1267" spans="2:9">
      <c r="B1267" s="1297"/>
      <c r="C1267" s="1297"/>
      <c r="D1267" s="1297" t="s">
        <v>1043</v>
      </c>
      <c r="F1267" s="1399">
        <v>43000</v>
      </c>
      <c r="I1267" s="1399">
        <v>43000</v>
      </c>
    </row>
    <row r="1268" spans="2:9">
      <c r="B1268" s="1297"/>
      <c r="C1268" s="1297"/>
      <c r="D1268" s="1297" t="s">
        <v>986</v>
      </c>
      <c r="F1268" s="1399">
        <v>17450.8</v>
      </c>
      <c r="I1268" s="1399">
        <v>17450.8</v>
      </c>
    </row>
    <row r="1269" spans="2:9">
      <c r="B1269" s="1297"/>
      <c r="C1269" s="1297"/>
      <c r="D1269" s="1297" t="s">
        <v>1005</v>
      </c>
      <c r="F1269" s="1399">
        <v>14739510.939999999</v>
      </c>
      <c r="I1269" s="1399">
        <v>14739510.939999999</v>
      </c>
    </row>
    <row r="1270" spans="2:9">
      <c r="B1270" s="1297"/>
      <c r="C1270" s="1297"/>
      <c r="D1270" s="1297" t="s">
        <v>991</v>
      </c>
      <c r="F1270" s="1399">
        <v>7169021.4800000004</v>
      </c>
      <c r="I1270" s="1399">
        <v>7169021.4800000004</v>
      </c>
    </row>
    <row r="1271" spans="2:9">
      <c r="B1271" s="1297"/>
      <c r="C1271" s="1297"/>
      <c r="D1271" s="1297" t="s">
        <v>1045</v>
      </c>
      <c r="F1271" s="1399">
        <v>3655389.97</v>
      </c>
      <c r="I1271" s="1399">
        <v>3655389.97</v>
      </c>
    </row>
    <row r="1272" spans="2:9">
      <c r="B1272" s="1297"/>
      <c r="C1272" s="1297"/>
      <c r="D1272" s="1297" t="s">
        <v>1046</v>
      </c>
      <c r="H1272" s="1399">
        <v>544366502</v>
      </c>
      <c r="I1272" s="1399">
        <v>544366502</v>
      </c>
    </row>
    <row r="1273" spans="2:9">
      <c r="B1273" s="1297"/>
      <c r="C1273" s="1297"/>
      <c r="D1273" s="1297" t="s">
        <v>1128</v>
      </c>
      <c r="H1273" s="1399">
        <v>48867976</v>
      </c>
      <c r="I1273" s="1399">
        <v>48867976</v>
      </c>
    </row>
    <row r="1274" spans="2:9">
      <c r="B1274" s="1297"/>
      <c r="C1274" s="1297"/>
      <c r="D1274" s="1297" t="s">
        <v>1129</v>
      </c>
      <c r="H1274" s="1399">
        <v>-69394711</v>
      </c>
      <c r="I1274" s="1399">
        <v>-69394711</v>
      </c>
    </row>
    <row r="1275" spans="2:9">
      <c r="B1275" s="1297"/>
      <c r="C1275" s="1297"/>
      <c r="D1275" s="1297" t="s">
        <v>1047</v>
      </c>
      <c r="H1275" s="1399">
        <v>6800504</v>
      </c>
      <c r="I1275" s="1399">
        <v>6800504</v>
      </c>
    </row>
    <row r="1276" spans="2:9">
      <c r="B1276" s="1297"/>
      <c r="C1276" s="1297"/>
      <c r="D1276" s="1297" t="s">
        <v>1048</v>
      </c>
      <c r="H1276" s="1399">
        <v>-133566148</v>
      </c>
      <c r="I1276" s="1399">
        <v>-133566148</v>
      </c>
    </row>
    <row r="1277" spans="2:9">
      <c r="B1277" s="1297"/>
      <c r="C1277" s="1297"/>
      <c r="D1277" s="1297" t="s">
        <v>934</v>
      </c>
      <c r="H1277" s="1399">
        <v>1368132</v>
      </c>
      <c r="I1277" s="1399">
        <v>1368132</v>
      </c>
    </row>
    <row r="1278" spans="2:9">
      <c r="B1278" s="1297"/>
      <c r="C1278" s="1297"/>
      <c r="D1278" s="1297" t="s">
        <v>935</v>
      </c>
      <c r="H1278" s="1399">
        <v>9009547.6300000008</v>
      </c>
      <c r="I1278" s="1399">
        <v>9009547.6300000008</v>
      </c>
    </row>
    <row r="1279" spans="2:9">
      <c r="B1279" s="1297"/>
      <c r="C1279" s="1297"/>
      <c r="D1279" s="1297" t="s">
        <v>939</v>
      </c>
      <c r="H1279" s="1399">
        <v>405183.81</v>
      </c>
      <c r="I1279" s="1399">
        <v>405183.81</v>
      </c>
    </row>
    <row r="1280" spans="2:9">
      <c r="B1280" s="1297"/>
      <c r="C1280" s="1297"/>
      <c r="D1280" s="1297" t="s">
        <v>1131</v>
      </c>
      <c r="E1280" s="1399">
        <v>6972246.2400000002</v>
      </c>
      <c r="I1280" s="1399">
        <v>6972246.2400000002</v>
      </c>
    </row>
    <row r="1281" spans="2:9">
      <c r="B1281" s="1297"/>
      <c r="C1281" s="1297"/>
      <c r="D1281" s="1297" t="s">
        <v>940</v>
      </c>
      <c r="E1281" s="1399">
        <v>18669627.960000001</v>
      </c>
      <c r="I1281" s="1399">
        <v>18669627.960000001</v>
      </c>
    </row>
    <row r="1282" spans="2:9">
      <c r="B1282" s="1297"/>
      <c r="C1282" s="1297"/>
      <c r="D1282" s="1297" t="s">
        <v>941</v>
      </c>
      <c r="E1282" s="1399">
        <v>4668005.9400000004</v>
      </c>
      <c r="I1282" s="1399">
        <v>4668005.9400000004</v>
      </c>
    </row>
    <row r="1283" spans="2:9">
      <c r="B1283" s="1297"/>
      <c r="C1283" s="1297"/>
      <c r="D1283" s="1297" t="s">
        <v>943</v>
      </c>
      <c r="E1283" s="1399">
        <v>303400</v>
      </c>
      <c r="I1283" s="1399">
        <v>303400</v>
      </c>
    </row>
    <row r="1284" spans="2:9">
      <c r="B1284" s="1297"/>
      <c r="C1284" s="1297"/>
      <c r="D1284" s="1297" t="s">
        <v>944</v>
      </c>
      <c r="E1284" s="1399">
        <v>35980637.050000004</v>
      </c>
      <c r="I1284" s="1399">
        <v>35980637.050000004</v>
      </c>
    </row>
    <row r="1285" spans="2:9">
      <c r="B1285" s="1297"/>
      <c r="C1285" s="1297"/>
      <c r="D1285" s="1297" t="s">
        <v>945</v>
      </c>
      <c r="E1285" s="1399">
        <v>38200553.420000002</v>
      </c>
      <c r="I1285" s="1399">
        <v>38200553.420000002</v>
      </c>
    </row>
    <row r="1286" spans="2:9">
      <c r="B1286" s="1297"/>
      <c r="C1286" s="1297"/>
      <c r="D1286" s="1297" t="s">
        <v>946</v>
      </c>
      <c r="E1286" s="1399">
        <v>2749959.1399999997</v>
      </c>
      <c r="I1286" s="1399">
        <v>2749959.1399999997</v>
      </c>
    </row>
    <row r="1287" spans="2:9">
      <c r="B1287" s="1297"/>
      <c r="C1287" s="1297"/>
      <c r="D1287" s="1297" t="s">
        <v>978</v>
      </c>
      <c r="E1287" s="1399">
        <v>419526</v>
      </c>
      <c r="I1287" s="1399">
        <v>419526</v>
      </c>
    </row>
    <row r="1288" spans="2:9">
      <c r="B1288" s="1297"/>
      <c r="C1288" s="1297"/>
      <c r="D1288" s="1297" t="s">
        <v>947</v>
      </c>
      <c r="E1288" s="1399">
        <v>2454837.3199999998</v>
      </c>
      <c r="I1288" s="1399">
        <v>2454837.3199999998</v>
      </c>
    </row>
    <row r="1289" spans="2:9">
      <c r="B1289" s="1297"/>
      <c r="C1289" s="1297"/>
      <c r="D1289" s="1297" t="s">
        <v>948</v>
      </c>
      <c r="G1289" s="1399">
        <v>29450650.75</v>
      </c>
      <c r="I1289" s="1399">
        <v>29450650.75</v>
      </c>
    </row>
    <row r="1290" spans="2:9">
      <c r="B1290" s="1297"/>
      <c r="C1290" s="1297"/>
      <c r="D1290" s="1297" t="s">
        <v>956</v>
      </c>
      <c r="G1290" s="1399">
        <v>267672.26</v>
      </c>
      <c r="I1290" s="1399">
        <v>267672.26</v>
      </c>
    </row>
    <row r="1291" spans="2:9">
      <c r="B1291" s="1297"/>
      <c r="C1291" s="1297"/>
      <c r="D1291" s="1297" t="s">
        <v>1118</v>
      </c>
      <c r="G1291" s="1399">
        <v>278482.54000000004</v>
      </c>
      <c r="I1291" s="1399">
        <v>278482.54000000004</v>
      </c>
    </row>
    <row r="1292" spans="2:9">
      <c r="B1292" s="1297"/>
      <c r="C1292" s="1297"/>
      <c r="D1292" s="1297" t="s">
        <v>1051</v>
      </c>
      <c r="G1292" s="1399">
        <v>1527307</v>
      </c>
      <c r="I1292" s="1399">
        <v>1527307</v>
      </c>
    </row>
    <row r="1293" spans="2:9">
      <c r="B1293" s="1297"/>
      <c r="C1293" s="1400" t="s">
        <v>1071</v>
      </c>
      <c r="D1293" s="1400"/>
      <c r="E1293" s="1401">
        <v>110418793.07000001</v>
      </c>
      <c r="F1293" s="1401">
        <v>619656888.11000013</v>
      </c>
      <c r="G1293" s="1401">
        <v>31524112.550000001</v>
      </c>
      <c r="H1293" s="1401">
        <v>407856986.44</v>
      </c>
      <c r="I1293" s="1401">
        <v>1169456780.1700003</v>
      </c>
    </row>
    <row r="1294" spans="2:9">
      <c r="B1294" s="1297" t="s">
        <v>1072</v>
      </c>
      <c r="C1294" s="1297" t="s">
        <v>1073</v>
      </c>
      <c r="D1294" s="1297" t="s">
        <v>906</v>
      </c>
      <c r="F1294" s="1399">
        <v>12203501.08</v>
      </c>
      <c r="I1294" s="1399">
        <v>12203501.08</v>
      </c>
    </row>
    <row r="1295" spans="2:9">
      <c r="B1295" s="1297"/>
      <c r="C1295" s="1297"/>
      <c r="D1295" s="1297" t="s">
        <v>952</v>
      </c>
      <c r="F1295" s="1399">
        <v>100592.94</v>
      </c>
      <c r="I1295" s="1399">
        <v>100592.94</v>
      </c>
    </row>
    <row r="1296" spans="2:9">
      <c r="B1296" s="1297"/>
      <c r="C1296" s="1297"/>
      <c r="D1296" s="1297" t="s">
        <v>907</v>
      </c>
      <c r="F1296" s="1399">
        <v>5264338.4000000004</v>
      </c>
      <c r="I1296" s="1399">
        <v>5264338.4000000004</v>
      </c>
    </row>
    <row r="1297" spans="2:9">
      <c r="B1297" s="1297"/>
      <c r="C1297" s="1297"/>
      <c r="D1297" s="1297" t="s">
        <v>908</v>
      </c>
      <c r="F1297" s="1399">
        <v>20650.72</v>
      </c>
      <c r="I1297" s="1399">
        <v>20650.72</v>
      </c>
    </row>
    <row r="1298" spans="2:9">
      <c r="B1298" s="1297"/>
      <c r="C1298" s="1297"/>
      <c r="D1298" s="1297" t="s">
        <v>1035</v>
      </c>
      <c r="F1298" s="1399">
        <v>1058858.73</v>
      </c>
      <c r="I1298" s="1399">
        <v>1058858.73</v>
      </c>
    </row>
    <row r="1299" spans="2:9">
      <c r="B1299" s="1297"/>
      <c r="C1299" s="1297"/>
      <c r="D1299" s="1297" t="s">
        <v>1036</v>
      </c>
      <c r="F1299" s="1399">
        <v>449465.7</v>
      </c>
      <c r="I1299" s="1399">
        <v>449465.7</v>
      </c>
    </row>
    <row r="1300" spans="2:9">
      <c r="B1300" s="1297"/>
      <c r="C1300" s="1297"/>
      <c r="D1300" s="1297" t="s">
        <v>1037</v>
      </c>
      <c r="F1300" s="1399">
        <v>4600</v>
      </c>
      <c r="I1300" s="1399">
        <v>4600</v>
      </c>
    </row>
    <row r="1301" spans="2:9">
      <c r="B1301" s="1297"/>
      <c r="C1301" s="1297"/>
      <c r="D1301" s="1297" t="s">
        <v>1039</v>
      </c>
      <c r="F1301" s="1399">
        <v>35594.25</v>
      </c>
      <c r="I1301" s="1399">
        <v>35594.25</v>
      </c>
    </row>
    <row r="1302" spans="2:9">
      <c r="B1302" s="1297"/>
      <c r="C1302" s="1297"/>
      <c r="D1302" s="1297" t="s">
        <v>1040</v>
      </c>
      <c r="F1302" s="1399">
        <v>266581.55</v>
      </c>
      <c r="I1302" s="1399">
        <v>266581.55</v>
      </c>
    </row>
    <row r="1303" spans="2:9">
      <c r="B1303" s="1297"/>
      <c r="C1303" s="1297"/>
      <c r="D1303" s="1297" t="s">
        <v>1127</v>
      </c>
      <c r="F1303" s="1399">
        <v>44579.15</v>
      </c>
      <c r="I1303" s="1399">
        <v>44579.15</v>
      </c>
    </row>
    <row r="1304" spans="2:9">
      <c r="B1304" s="1297"/>
      <c r="C1304" s="1297"/>
      <c r="D1304" s="1297" t="s">
        <v>1041</v>
      </c>
      <c r="F1304" s="1399">
        <v>168388.16</v>
      </c>
      <c r="I1304" s="1399">
        <v>168388.16</v>
      </c>
    </row>
    <row r="1305" spans="2:9">
      <c r="B1305" s="1297"/>
      <c r="C1305" s="1297"/>
      <c r="D1305" s="1297" t="s">
        <v>1042</v>
      </c>
      <c r="F1305" s="1399">
        <v>109732.77</v>
      </c>
      <c r="I1305" s="1399">
        <v>109732.77</v>
      </c>
    </row>
    <row r="1306" spans="2:9">
      <c r="B1306" s="1297"/>
      <c r="C1306" s="1297"/>
      <c r="D1306" s="1297" t="s">
        <v>953</v>
      </c>
      <c r="F1306" s="1399">
        <v>142852.4</v>
      </c>
      <c r="I1306" s="1399">
        <v>142852.4</v>
      </c>
    </row>
    <row r="1307" spans="2:9">
      <c r="B1307" s="1297"/>
      <c r="C1307" s="1297"/>
      <c r="D1307" s="1297" t="s">
        <v>996</v>
      </c>
      <c r="F1307" s="1399">
        <v>18375</v>
      </c>
      <c r="I1307" s="1399">
        <v>18375</v>
      </c>
    </row>
    <row r="1308" spans="2:9">
      <c r="B1308" s="1297"/>
      <c r="C1308" s="1297"/>
      <c r="D1308" s="1297" t="s">
        <v>1005</v>
      </c>
      <c r="F1308" s="1399">
        <v>263330.65999999997</v>
      </c>
      <c r="I1308" s="1399">
        <v>263330.65999999997</v>
      </c>
    </row>
    <row r="1309" spans="2:9">
      <c r="B1309" s="1297"/>
      <c r="C1309" s="1297"/>
      <c r="D1309" s="1297" t="s">
        <v>1044</v>
      </c>
      <c r="F1309" s="1399">
        <v>49543</v>
      </c>
      <c r="I1309" s="1399">
        <v>49543</v>
      </c>
    </row>
    <row r="1310" spans="2:9">
      <c r="B1310" s="1297"/>
      <c r="C1310" s="1297"/>
      <c r="D1310" s="1297" t="s">
        <v>1045</v>
      </c>
      <c r="F1310" s="1399">
        <v>983090.72000000009</v>
      </c>
      <c r="I1310" s="1399">
        <v>983090.72000000009</v>
      </c>
    </row>
    <row r="1311" spans="2:9">
      <c r="B1311" s="1297"/>
      <c r="C1311" s="1297"/>
      <c r="D1311" s="1297" t="s">
        <v>1046</v>
      </c>
      <c r="H1311" s="1399">
        <v>42336321</v>
      </c>
      <c r="I1311" s="1399">
        <v>42336321</v>
      </c>
    </row>
    <row r="1312" spans="2:9">
      <c r="B1312" s="1297"/>
      <c r="C1312" s="1297"/>
      <c r="D1312" s="1297" t="s">
        <v>1129</v>
      </c>
      <c r="H1312" s="1399">
        <v>-5856554</v>
      </c>
      <c r="I1312" s="1399">
        <v>-5856554</v>
      </c>
    </row>
    <row r="1313" spans="2:9">
      <c r="B1313" s="1297"/>
      <c r="C1313" s="1297"/>
      <c r="D1313" s="1297" t="s">
        <v>1047</v>
      </c>
      <c r="H1313" s="1399">
        <v>1106843</v>
      </c>
      <c r="I1313" s="1399">
        <v>1106843</v>
      </c>
    </row>
    <row r="1314" spans="2:9">
      <c r="B1314" s="1297"/>
      <c r="C1314" s="1297"/>
      <c r="D1314" s="1297" t="s">
        <v>1048</v>
      </c>
      <c r="H1314" s="1399">
        <v>-3782251</v>
      </c>
      <c r="I1314" s="1399">
        <v>-3782251</v>
      </c>
    </row>
    <row r="1315" spans="2:9">
      <c r="B1315" s="1297"/>
      <c r="C1315" s="1297"/>
      <c r="D1315" s="1297" t="s">
        <v>932</v>
      </c>
      <c r="H1315" s="1399">
        <v>5855517</v>
      </c>
      <c r="I1315" s="1399">
        <v>5855517</v>
      </c>
    </row>
    <row r="1316" spans="2:9">
      <c r="B1316" s="1297"/>
      <c r="C1316" s="1297"/>
      <c r="D1316" s="1297" t="s">
        <v>955</v>
      </c>
      <c r="H1316" s="1399">
        <v>1973923.83</v>
      </c>
      <c r="I1316" s="1399">
        <v>1973923.83</v>
      </c>
    </row>
    <row r="1317" spans="2:9">
      <c r="B1317" s="1297"/>
      <c r="C1317" s="1297"/>
      <c r="D1317" s="1297" t="s">
        <v>934</v>
      </c>
      <c r="H1317" s="1399">
        <v>127450</v>
      </c>
      <c r="I1317" s="1399">
        <v>127450</v>
      </c>
    </row>
    <row r="1318" spans="2:9">
      <c r="B1318" s="1297"/>
      <c r="C1318" s="1297"/>
      <c r="D1318" s="1297" t="s">
        <v>935</v>
      </c>
      <c r="H1318" s="1399">
        <v>396821.48</v>
      </c>
      <c r="I1318" s="1399">
        <v>396821.48</v>
      </c>
    </row>
    <row r="1319" spans="2:9">
      <c r="B1319" s="1297"/>
      <c r="C1319" s="1297"/>
      <c r="D1319" s="1297" t="s">
        <v>936</v>
      </c>
      <c r="H1319" s="1399">
        <v>133057.20000000001</v>
      </c>
      <c r="I1319" s="1399">
        <v>133057.20000000001</v>
      </c>
    </row>
    <row r="1320" spans="2:9">
      <c r="B1320" s="1297"/>
      <c r="C1320" s="1297"/>
      <c r="D1320" s="1297" t="s">
        <v>937</v>
      </c>
      <c r="H1320" s="1399">
        <v>53144.68</v>
      </c>
      <c r="I1320" s="1399">
        <v>53144.68</v>
      </c>
    </row>
    <row r="1321" spans="2:9">
      <c r="B1321" s="1297"/>
      <c r="C1321" s="1297"/>
      <c r="D1321" s="1297" t="s">
        <v>938</v>
      </c>
      <c r="H1321" s="1399">
        <v>34999</v>
      </c>
      <c r="I1321" s="1399">
        <v>34999</v>
      </c>
    </row>
    <row r="1322" spans="2:9">
      <c r="B1322" s="1297"/>
      <c r="C1322" s="1297"/>
      <c r="D1322" s="1297" t="s">
        <v>940</v>
      </c>
      <c r="E1322" s="1399">
        <v>2443366.2400000002</v>
      </c>
      <c r="I1322" s="1399">
        <v>2443366.2400000002</v>
      </c>
    </row>
    <row r="1323" spans="2:9">
      <c r="B1323" s="1297"/>
      <c r="C1323" s="1297"/>
      <c r="D1323" s="1297" t="s">
        <v>941</v>
      </c>
      <c r="E1323" s="1399">
        <v>1005568.06</v>
      </c>
      <c r="I1323" s="1399">
        <v>1005568.06</v>
      </c>
    </row>
    <row r="1324" spans="2:9">
      <c r="B1324" s="1297"/>
      <c r="C1324" s="1297"/>
      <c r="D1324" s="1297" t="s">
        <v>944</v>
      </c>
      <c r="E1324" s="1399">
        <v>5718824.9799999986</v>
      </c>
      <c r="I1324" s="1399">
        <v>5718824.9799999986</v>
      </c>
    </row>
    <row r="1325" spans="2:9">
      <c r="B1325" s="1297"/>
      <c r="C1325" s="1297"/>
      <c r="D1325" s="1297" t="s">
        <v>945</v>
      </c>
      <c r="E1325" s="1399">
        <v>3462626.9699999997</v>
      </c>
      <c r="I1325" s="1399">
        <v>3462626.9699999997</v>
      </c>
    </row>
    <row r="1326" spans="2:9">
      <c r="B1326" s="1297"/>
      <c r="C1326" s="1297"/>
      <c r="D1326" s="1297" t="s">
        <v>978</v>
      </c>
      <c r="E1326" s="1399">
        <v>3600</v>
      </c>
      <c r="I1326" s="1399">
        <v>3600</v>
      </c>
    </row>
    <row r="1327" spans="2:9">
      <c r="B1327" s="1297"/>
      <c r="C1327" s="1297"/>
      <c r="D1327" s="1297" t="s">
        <v>947</v>
      </c>
      <c r="E1327" s="1399">
        <v>241990.47</v>
      </c>
      <c r="I1327" s="1399">
        <v>241990.47</v>
      </c>
    </row>
    <row r="1328" spans="2:9">
      <c r="B1328" s="1297"/>
      <c r="C1328" s="1297"/>
      <c r="D1328" s="1297" t="s">
        <v>1115</v>
      </c>
      <c r="E1328" s="1399">
        <v>30850.69</v>
      </c>
      <c r="I1328" s="1399">
        <v>30850.69</v>
      </c>
    </row>
    <row r="1329" spans="2:9">
      <c r="B1329" s="1297"/>
      <c r="C1329" s="1297"/>
      <c r="D1329" s="1297" t="s">
        <v>948</v>
      </c>
      <c r="G1329" s="1399">
        <v>13382705.850000001</v>
      </c>
      <c r="I1329" s="1399">
        <v>13382705.850000001</v>
      </c>
    </row>
    <row r="1330" spans="2:9">
      <c r="B1330" s="1297"/>
      <c r="C1330" s="1297"/>
      <c r="D1330" s="1297" t="s">
        <v>956</v>
      </c>
      <c r="G1330" s="1399">
        <v>151415.70000000001</v>
      </c>
      <c r="I1330" s="1399">
        <v>151415.70000000001</v>
      </c>
    </row>
    <row r="1331" spans="2:9">
      <c r="B1331" s="1297"/>
      <c r="C1331" s="1297"/>
      <c r="D1331" s="1297" t="s">
        <v>1118</v>
      </c>
      <c r="G1331" s="1399">
        <v>4000</v>
      </c>
      <c r="I1331" s="1399">
        <v>4000</v>
      </c>
    </row>
    <row r="1332" spans="2:9">
      <c r="B1332" s="1297"/>
      <c r="C1332" s="1400" t="s">
        <v>1074</v>
      </c>
      <c r="D1332" s="1400"/>
      <c r="E1332" s="1401">
        <v>12906827.41</v>
      </c>
      <c r="F1332" s="1401">
        <v>21184075.229999997</v>
      </c>
      <c r="G1332" s="1401">
        <v>13538121.550000001</v>
      </c>
      <c r="H1332" s="1401">
        <v>42379272.189999998</v>
      </c>
      <c r="I1332" s="1401">
        <v>90008296.38000001</v>
      </c>
    </row>
    <row r="1333" spans="2:9">
      <c r="B1333" s="1297" t="s">
        <v>1075</v>
      </c>
      <c r="C1333" s="1297" t="s">
        <v>1076</v>
      </c>
      <c r="D1333" s="1297" t="s">
        <v>906</v>
      </c>
      <c r="F1333" s="1399">
        <v>7128429.7699999996</v>
      </c>
      <c r="I1333" s="1399">
        <v>7128429.7699999996</v>
      </c>
    </row>
    <row r="1334" spans="2:9">
      <c r="B1334" s="1297"/>
      <c r="C1334" s="1297"/>
      <c r="D1334" s="1297" t="s">
        <v>1126</v>
      </c>
      <c r="F1334" s="1399">
        <v>5477091.0099999998</v>
      </c>
      <c r="I1334" s="1399">
        <v>5477091.0099999998</v>
      </c>
    </row>
    <row r="1335" spans="2:9">
      <c r="B1335" s="1297"/>
      <c r="C1335" s="1297"/>
      <c r="D1335" s="1297" t="s">
        <v>952</v>
      </c>
      <c r="F1335" s="1399">
        <v>112217.73</v>
      </c>
      <c r="I1335" s="1399">
        <v>112217.73</v>
      </c>
    </row>
    <row r="1336" spans="2:9">
      <c r="B1336" s="1297"/>
      <c r="C1336" s="1297"/>
      <c r="D1336" s="1297" t="s">
        <v>907</v>
      </c>
      <c r="F1336" s="1399">
        <v>5474293.3499999996</v>
      </c>
      <c r="I1336" s="1399">
        <v>5474293.3499999996</v>
      </c>
    </row>
    <row r="1337" spans="2:9">
      <c r="B1337" s="1297"/>
      <c r="C1337" s="1297"/>
      <c r="D1337" s="1297" t="s">
        <v>908</v>
      </c>
      <c r="F1337" s="1399">
        <v>13479.87</v>
      </c>
      <c r="I1337" s="1399">
        <v>13479.87</v>
      </c>
    </row>
    <row r="1338" spans="2:9">
      <c r="B1338" s="1297"/>
      <c r="C1338" s="1297"/>
      <c r="D1338" s="1297" t="s">
        <v>909</v>
      </c>
      <c r="F1338" s="1399">
        <v>11872</v>
      </c>
      <c r="I1338" s="1399">
        <v>11872</v>
      </c>
    </row>
    <row r="1339" spans="2:9">
      <c r="B1339" s="1297"/>
      <c r="C1339" s="1297"/>
      <c r="D1339" s="1297" t="s">
        <v>1034</v>
      </c>
      <c r="F1339" s="1399">
        <v>320635.87</v>
      </c>
      <c r="I1339" s="1399">
        <v>320635.87</v>
      </c>
    </row>
    <row r="1340" spans="2:9">
      <c r="B1340" s="1297"/>
      <c r="C1340" s="1297"/>
      <c r="D1340" s="1297" t="s">
        <v>1035</v>
      </c>
      <c r="F1340" s="1399">
        <v>604316.06999999995</v>
      </c>
      <c r="I1340" s="1399">
        <v>604316.06999999995</v>
      </c>
    </row>
    <row r="1341" spans="2:9">
      <c r="B1341" s="1297"/>
      <c r="C1341" s="1297"/>
      <c r="D1341" s="1297" t="s">
        <v>1036</v>
      </c>
      <c r="F1341" s="1399">
        <v>441707.99</v>
      </c>
      <c r="I1341" s="1399">
        <v>441707.99</v>
      </c>
    </row>
    <row r="1342" spans="2:9">
      <c r="B1342" s="1297"/>
      <c r="C1342" s="1297"/>
      <c r="D1342" s="1297" t="s">
        <v>1039</v>
      </c>
      <c r="F1342" s="1399">
        <v>224375.08</v>
      </c>
      <c r="I1342" s="1399">
        <v>224375.08</v>
      </c>
    </row>
    <row r="1343" spans="2:9">
      <c r="B1343" s="1297"/>
      <c r="C1343" s="1297"/>
      <c r="D1343" s="1297" t="s">
        <v>1040</v>
      </c>
      <c r="F1343" s="1399">
        <v>455037.37</v>
      </c>
      <c r="I1343" s="1399">
        <v>455037.37</v>
      </c>
    </row>
    <row r="1344" spans="2:9">
      <c r="B1344" s="1297"/>
      <c r="C1344" s="1297"/>
      <c r="D1344" s="1297" t="s">
        <v>1127</v>
      </c>
      <c r="F1344" s="1399">
        <v>80473.570000000007</v>
      </c>
      <c r="I1344" s="1399">
        <v>80473.570000000007</v>
      </c>
    </row>
    <row r="1345" spans="2:9">
      <c r="B1345" s="1297"/>
      <c r="C1345" s="1297"/>
      <c r="D1345" s="1297" t="s">
        <v>1207</v>
      </c>
      <c r="F1345" s="1399">
        <v>3811.9</v>
      </c>
      <c r="I1345" s="1399">
        <v>3811.9</v>
      </c>
    </row>
    <row r="1346" spans="2:9">
      <c r="B1346" s="1297"/>
      <c r="C1346" s="1297"/>
      <c r="D1346" s="1297" t="s">
        <v>1041</v>
      </c>
      <c r="F1346" s="1399">
        <v>76166.789999999994</v>
      </c>
      <c r="I1346" s="1399">
        <v>76166.789999999994</v>
      </c>
    </row>
    <row r="1347" spans="2:9">
      <c r="B1347" s="1297"/>
      <c r="C1347" s="1297"/>
      <c r="D1347" s="1297" t="s">
        <v>1042</v>
      </c>
      <c r="F1347" s="1399">
        <v>173136.51</v>
      </c>
      <c r="I1347" s="1399">
        <v>173136.51</v>
      </c>
    </row>
    <row r="1348" spans="2:9">
      <c r="B1348" s="1297"/>
      <c r="C1348" s="1297"/>
      <c r="D1348" s="1297" t="s">
        <v>1043</v>
      </c>
      <c r="F1348" s="1399">
        <v>4462.5</v>
      </c>
      <c r="I1348" s="1399">
        <v>4462.5</v>
      </c>
    </row>
    <row r="1349" spans="2:9">
      <c r="B1349" s="1297"/>
      <c r="C1349" s="1297"/>
      <c r="D1349" s="1297" t="s">
        <v>986</v>
      </c>
      <c r="F1349" s="1399">
        <v>715</v>
      </c>
      <c r="I1349" s="1399">
        <v>715</v>
      </c>
    </row>
    <row r="1350" spans="2:9">
      <c r="B1350" s="1297"/>
      <c r="C1350" s="1297"/>
      <c r="D1350" s="1297" t="s">
        <v>1005</v>
      </c>
      <c r="F1350" s="1399">
        <v>96881.680000000008</v>
      </c>
      <c r="I1350" s="1399">
        <v>96881.680000000008</v>
      </c>
    </row>
    <row r="1351" spans="2:9">
      <c r="B1351" s="1297"/>
      <c r="C1351" s="1297"/>
      <c r="D1351" s="1297" t="s">
        <v>1044</v>
      </c>
      <c r="F1351" s="1399">
        <v>114621.19</v>
      </c>
      <c r="I1351" s="1399">
        <v>114621.19</v>
      </c>
    </row>
    <row r="1352" spans="2:9">
      <c r="B1352" s="1297"/>
      <c r="C1352" s="1297"/>
      <c r="D1352" s="1297" t="s">
        <v>1045</v>
      </c>
      <c r="F1352" s="1399">
        <v>941491.68</v>
      </c>
      <c r="I1352" s="1399">
        <v>941491.68</v>
      </c>
    </row>
    <row r="1353" spans="2:9">
      <c r="B1353" s="1297"/>
      <c r="C1353" s="1297"/>
      <c r="D1353" s="1297" t="s">
        <v>1046</v>
      </c>
      <c r="H1353" s="1399">
        <v>46116974</v>
      </c>
      <c r="I1353" s="1399">
        <v>46116974</v>
      </c>
    </row>
    <row r="1354" spans="2:9">
      <c r="B1354" s="1297"/>
      <c r="C1354" s="1297"/>
      <c r="D1354" s="1297" t="s">
        <v>1128</v>
      </c>
      <c r="H1354" s="1399">
        <v>3746196</v>
      </c>
      <c r="I1354" s="1399">
        <v>3746196</v>
      </c>
    </row>
    <row r="1355" spans="2:9">
      <c r="B1355" s="1297"/>
      <c r="C1355" s="1297"/>
      <c r="D1355" s="1297" t="s">
        <v>1129</v>
      </c>
      <c r="H1355" s="1399">
        <v>-6728742</v>
      </c>
      <c r="I1355" s="1399">
        <v>-6728742</v>
      </c>
    </row>
    <row r="1356" spans="2:9">
      <c r="B1356" s="1297"/>
      <c r="C1356" s="1297"/>
      <c r="D1356" s="1297" t="s">
        <v>1047</v>
      </c>
      <c r="H1356" s="1399">
        <v>1123467</v>
      </c>
      <c r="I1356" s="1399">
        <v>1123467</v>
      </c>
    </row>
    <row r="1357" spans="2:9">
      <c r="B1357" s="1297"/>
      <c r="C1357" s="1297"/>
      <c r="D1357" s="1297" t="s">
        <v>1048</v>
      </c>
      <c r="H1357" s="1399">
        <v>-3722306</v>
      </c>
      <c r="I1357" s="1399">
        <v>-3722306</v>
      </c>
    </row>
    <row r="1358" spans="2:9">
      <c r="B1358" s="1297"/>
      <c r="C1358" s="1297"/>
      <c r="D1358" s="1297" t="s">
        <v>932</v>
      </c>
      <c r="H1358" s="1399">
        <v>8172784</v>
      </c>
      <c r="I1358" s="1399">
        <v>8172784</v>
      </c>
    </row>
    <row r="1359" spans="2:9">
      <c r="B1359" s="1297"/>
      <c r="C1359" s="1297"/>
      <c r="D1359" s="1297" t="s">
        <v>955</v>
      </c>
      <c r="H1359" s="1399">
        <v>2745815.45</v>
      </c>
      <c r="I1359" s="1399">
        <v>2745815.45</v>
      </c>
    </row>
    <row r="1360" spans="2:9">
      <c r="B1360" s="1297"/>
      <c r="C1360" s="1297"/>
      <c r="D1360" s="1297" t="s">
        <v>934</v>
      </c>
      <c r="H1360" s="1399">
        <v>151330</v>
      </c>
      <c r="I1360" s="1399">
        <v>151330</v>
      </c>
    </row>
    <row r="1361" spans="2:9">
      <c r="B1361" s="1297"/>
      <c r="C1361" s="1297"/>
      <c r="D1361" s="1297" t="s">
        <v>935</v>
      </c>
      <c r="H1361" s="1399">
        <v>1304263.19</v>
      </c>
      <c r="I1361" s="1399">
        <v>1304263.19</v>
      </c>
    </row>
    <row r="1362" spans="2:9">
      <c r="B1362" s="1297"/>
      <c r="C1362" s="1297"/>
      <c r="D1362" s="1297" t="s">
        <v>936</v>
      </c>
      <c r="H1362" s="1399">
        <v>170523.31</v>
      </c>
      <c r="I1362" s="1399">
        <v>170523.31</v>
      </c>
    </row>
    <row r="1363" spans="2:9">
      <c r="B1363" s="1297"/>
      <c r="C1363" s="1297"/>
      <c r="D1363" s="1297" t="s">
        <v>937</v>
      </c>
      <c r="H1363" s="1399">
        <v>31821.84</v>
      </c>
      <c r="I1363" s="1399">
        <v>31821.84</v>
      </c>
    </row>
    <row r="1364" spans="2:9">
      <c r="B1364" s="1297"/>
      <c r="C1364" s="1297"/>
      <c r="D1364" s="1297" t="s">
        <v>938</v>
      </c>
      <c r="H1364" s="1399">
        <v>47351</v>
      </c>
      <c r="I1364" s="1399">
        <v>47351</v>
      </c>
    </row>
    <row r="1365" spans="2:9">
      <c r="B1365" s="1297"/>
      <c r="C1365" s="1297"/>
      <c r="D1365" s="1297" t="s">
        <v>939</v>
      </c>
      <c r="H1365" s="1399">
        <v>6175.35</v>
      </c>
      <c r="I1365" s="1399">
        <v>6175.35</v>
      </c>
    </row>
    <row r="1366" spans="2:9">
      <c r="B1366" s="1297"/>
      <c r="C1366" s="1297"/>
      <c r="D1366" s="1297" t="s">
        <v>1131</v>
      </c>
      <c r="E1366" s="1399">
        <v>63171</v>
      </c>
      <c r="I1366" s="1399">
        <v>63171</v>
      </c>
    </row>
    <row r="1367" spans="2:9">
      <c r="B1367" s="1297"/>
      <c r="C1367" s="1297"/>
      <c r="D1367" s="1297" t="s">
        <v>940</v>
      </c>
      <c r="E1367" s="1399">
        <v>2952246.78</v>
      </c>
      <c r="I1367" s="1399">
        <v>2952246.78</v>
      </c>
    </row>
    <row r="1368" spans="2:9">
      <c r="B1368" s="1297"/>
      <c r="C1368" s="1297"/>
      <c r="D1368" s="1297" t="s">
        <v>941</v>
      </c>
      <c r="E1368" s="1399">
        <v>1102092.44</v>
      </c>
      <c r="I1368" s="1399">
        <v>1102092.44</v>
      </c>
    </row>
    <row r="1369" spans="2:9">
      <c r="B1369" s="1297"/>
      <c r="C1369" s="1297"/>
      <c r="D1369" s="1297" t="s">
        <v>943</v>
      </c>
      <c r="E1369" s="1399">
        <v>71612.08</v>
      </c>
      <c r="I1369" s="1399">
        <v>71612.08</v>
      </c>
    </row>
    <row r="1370" spans="2:9">
      <c r="B1370" s="1297"/>
      <c r="C1370" s="1297"/>
      <c r="D1370" s="1297" t="s">
        <v>944</v>
      </c>
      <c r="E1370" s="1399">
        <v>6549458.8999999994</v>
      </c>
      <c r="I1370" s="1399">
        <v>6549458.8999999994</v>
      </c>
    </row>
    <row r="1371" spans="2:9">
      <c r="B1371" s="1297"/>
      <c r="C1371" s="1297"/>
      <c r="D1371" s="1297" t="s">
        <v>945</v>
      </c>
      <c r="E1371" s="1399">
        <v>3692246.93</v>
      </c>
      <c r="I1371" s="1399">
        <v>3692246.93</v>
      </c>
    </row>
    <row r="1372" spans="2:9">
      <c r="B1372" s="1297"/>
      <c r="C1372" s="1297"/>
      <c r="D1372" s="1297" t="s">
        <v>978</v>
      </c>
      <c r="E1372" s="1399">
        <v>1200</v>
      </c>
      <c r="I1372" s="1399">
        <v>1200</v>
      </c>
    </row>
    <row r="1373" spans="2:9">
      <c r="B1373" s="1297"/>
      <c r="C1373" s="1297"/>
      <c r="D1373" s="1297" t="s">
        <v>947</v>
      </c>
      <c r="E1373" s="1399">
        <v>199936.18</v>
      </c>
      <c r="I1373" s="1399">
        <v>199936.18</v>
      </c>
    </row>
    <row r="1374" spans="2:9">
      <c r="B1374" s="1297"/>
      <c r="C1374" s="1297"/>
      <c r="D1374" s="1297" t="s">
        <v>948</v>
      </c>
      <c r="G1374" s="1399">
        <v>7271305.2800000003</v>
      </c>
      <c r="I1374" s="1399">
        <v>7271305.2800000003</v>
      </c>
    </row>
    <row r="1375" spans="2:9">
      <c r="B1375" s="1297"/>
      <c r="C1375" s="1297"/>
      <c r="D1375" s="1297" t="s">
        <v>956</v>
      </c>
      <c r="G1375" s="1399">
        <v>41596.44</v>
      </c>
      <c r="I1375" s="1399">
        <v>41596.44</v>
      </c>
    </row>
    <row r="1376" spans="2:9">
      <c r="B1376" s="1297"/>
      <c r="C1376" s="1297"/>
      <c r="D1376" s="1297" t="s">
        <v>1118</v>
      </c>
      <c r="G1376" s="1399">
        <v>531970.51</v>
      </c>
      <c r="I1376" s="1399">
        <v>531970.51</v>
      </c>
    </row>
    <row r="1377" spans="2:9">
      <c r="B1377" s="1297"/>
      <c r="C1377" s="1400" t="s">
        <v>1077</v>
      </c>
      <c r="D1377" s="1400"/>
      <c r="E1377" s="1401">
        <v>14631964.309999999</v>
      </c>
      <c r="F1377" s="1401">
        <v>21755216.93</v>
      </c>
      <c r="G1377" s="1401">
        <v>7844872.2300000004</v>
      </c>
      <c r="H1377" s="1401">
        <v>53165653.140000008</v>
      </c>
      <c r="I1377" s="1401">
        <v>97397706.610000029</v>
      </c>
    </row>
    <row r="1378" spans="2:9">
      <c r="B1378" s="1297" t="s">
        <v>1078</v>
      </c>
      <c r="C1378" s="1297" t="s">
        <v>1079</v>
      </c>
      <c r="D1378" s="1297" t="s">
        <v>906</v>
      </c>
      <c r="F1378" s="1399">
        <v>66880145.719999999</v>
      </c>
      <c r="I1378" s="1399">
        <v>66880145.719999999</v>
      </c>
    </row>
    <row r="1379" spans="2:9">
      <c r="B1379" s="1297"/>
      <c r="C1379" s="1297"/>
      <c r="D1379" s="1297" t="s">
        <v>952</v>
      </c>
      <c r="F1379" s="1399">
        <v>1953174.72</v>
      </c>
      <c r="I1379" s="1399">
        <v>1953174.72</v>
      </c>
    </row>
    <row r="1380" spans="2:9">
      <c r="B1380" s="1297"/>
      <c r="C1380" s="1297"/>
      <c r="D1380" s="1297" t="s">
        <v>907</v>
      </c>
      <c r="F1380" s="1399">
        <v>18162813.420000002</v>
      </c>
      <c r="I1380" s="1399">
        <v>18162813.420000002</v>
      </c>
    </row>
    <row r="1381" spans="2:9">
      <c r="B1381" s="1297"/>
      <c r="C1381" s="1297"/>
      <c r="D1381" s="1297" t="s">
        <v>908</v>
      </c>
      <c r="F1381" s="1399">
        <v>16860.02</v>
      </c>
      <c r="I1381" s="1399">
        <v>16860.02</v>
      </c>
    </row>
    <row r="1382" spans="2:9">
      <c r="B1382" s="1297"/>
      <c r="C1382" s="1297"/>
      <c r="D1382" s="1297" t="s">
        <v>909</v>
      </c>
      <c r="F1382" s="1399">
        <v>109684.5</v>
      </c>
      <c r="I1382" s="1399">
        <v>109684.5</v>
      </c>
    </row>
    <row r="1383" spans="2:9">
      <c r="B1383" s="1297"/>
      <c r="C1383" s="1297"/>
      <c r="D1383" s="1297" t="s">
        <v>910</v>
      </c>
      <c r="F1383" s="1399">
        <v>1885320.2099999997</v>
      </c>
      <c r="I1383" s="1399">
        <v>1885320.2099999997</v>
      </c>
    </row>
    <row r="1384" spans="2:9">
      <c r="B1384" s="1297"/>
      <c r="C1384" s="1297"/>
      <c r="D1384" s="1297" t="s">
        <v>1034</v>
      </c>
      <c r="F1384" s="1399">
        <v>376180.76999999996</v>
      </c>
      <c r="I1384" s="1399">
        <v>376180.76999999996</v>
      </c>
    </row>
    <row r="1385" spans="2:9">
      <c r="B1385" s="1297"/>
      <c r="C1385" s="1297"/>
      <c r="D1385" s="1297" t="s">
        <v>1035</v>
      </c>
      <c r="F1385" s="1399">
        <v>5714566.0800000019</v>
      </c>
      <c r="I1385" s="1399">
        <v>5714566.0800000019</v>
      </c>
    </row>
    <row r="1386" spans="2:9">
      <c r="B1386" s="1297"/>
      <c r="C1386" s="1297"/>
      <c r="D1386" s="1297" t="s">
        <v>1036</v>
      </c>
      <c r="F1386" s="1399">
        <v>510659.94999999995</v>
      </c>
      <c r="I1386" s="1399">
        <v>510659.94999999995</v>
      </c>
    </row>
    <row r="1387" spans="2:9">
      <c r="B1387" s="1297"/>
      <c r="C1387" s="1297"/>
      <c r="D1387" s="1297" t="s">
        <v>1038</v>
      </c>
      <c r="F1387" s="1399">
        <v>174903.64</v>
      </c>
      <c r="I1387" s="1399">
        <v>174903.64</v>
      </c>
    </row>
    <row r="1388" spans="2:9">
      <c r="B1388" s="1297"/>
      <c r="C1388" s="1297"/>
      <c r="D1388" s="1297" t="s">
        <v>1039</v>
      </c>
      <c r="F1388" s="1399">
        <v>194415.01000000013</v>
      </c>
      <c r="I1388" s="1399">
        <v>194415.01000000013</v>
      </c>
    </row>
    <row r="1389" spans="2:9">
      <c r="B1389" s="1297"/>
      <c r="C1389" s="1297"/>
      <c r="D1389" s="1297" t="s">
        <v>1040</v>
      </c>
      <c r="F1389" s="1399">
        <v>3069163.2199999993</v>
      </c>
      <c r="I1389" s="1399">
        <v>3069163.2199999993</v>
      </c>
    </row>
    <row r="1390" spans="2:9">
      <c r="B1390" s="1297"/>
      <c r="C1390" s="1297"/>
      <c r="D1390" s="1297" t="s">
        <v>1127</v>
      </c>
      <c r="F1390" s="1399">
        <v>205829.2</v>
      </c>
      <c r="I1390" s="1399">
        <v>205829.2</v>
      </c>
    </row>
    <row r="1391" spans="2:9">
      <c r="B1391" s="1297"/>
      <c r="C1391" s="1297"/>
      <c r="D1391" s="1297" t="s">
        <v>1041</v>
      </c>
      <c r="F1391" s="1399">
        <v>885262.56</v>
      </c>
      <c r="I1391" s="1399">
        <v>885262.56</v>
      </c>
    </row>
    <row r="1392" spans="2:9">
      <c r="B1392" s="1297"/>
      <c r="C1392" s="1297"/>
      <c r="D1392" s="1297" t="s">
        <v>1042</v>
      </c>
      <c r="F1392" s="1399">
        <v>152930.45000000001</v>
      </c>
      <c r="I1392" s="1399">
        <v>152930.45000000001</v>
      </c>
    </row>
    <row r="1393" spans="2:9">
      <c r="B1393" s="1297"/>
      <c r="C1393" s="1297"/>
      <c r="D1393" s="1297" t="s">
        <v>954</v>
      </c>
      <c r="F1393" s="1399">
        <v>1081745.1299999999</v>
      </c>
      <c r="I1393" s="1399">
        <v>1081745.1299999999</v>
      </c>
    </row>
    <row r="1394" spans="2:9">
      <c r="B1394" s="1297"/>
      <c r="C1394" s="1297"/>
      <c r="D1394" s="1297" t="s">
        <v>1044</v>
      </c>
      <c r="F1394" s="1399">
        <v>222081.5</v>
      </c>
      <c r="I1394" s="1399">
        <v>222081.5</v>
      </c>
    </row>
    <row r="1395" spans="2:9">
      <c r="B1395" s="1297"/>
      <c r="C1395" s="1297"/>
      <c r="D1395" s="1297" t="s">
        <v>1045</v>
      </c>
      <c r="F1395" s="1399">
        <v>952227.42999999993</v>
      </c>
      <c r="I1395" s="1399">
        <v>952227.42999999993</v>
      </c>
    </row>
    <row r="1396" spans="2:9">
      <c r="B1396" s="1297"/>
      <c r="C1396" s="1297"/>
      <c r="D1396" s="1297" t="s">
        <v>1046</v>
      </c>
      <c r="H1396" s="1399">
        <v>112596567</v>
      </c>
      <c r="I1396" s="1399">
        <v>112596567</v>
      </c>
    </row>
    <row r="1397" spans="2:9">
      <c r="B1397" s="1297"/>
      <c r="C1397" s="1297"/>
      <c r="D1397" s="1297" t="s">
        <v>1128</v>
      </c>
      <c r="H1397" s="1399">
        <v>9834089</v>
      </c>
      <c r="I1397" s="1399">
        <v>9834089</v>
      </c>
    </row>
    <row r="1398" spans="2:9">
      <c r="B1398" s="1297"/>
      <c r="C1398" s="1297"/>
      <c r="D1398" s="1297" t="s">
        <v>1129</v>
      </c>
      <c r="H1398" s="1399">
        <v>-14901370</v>
      </c>
      <c r="I1398" s="1399">
        <v>-14901370</v>
      </c>
    </row>
    <row r="1399" spans="2:9">
      <c r="B1399" s="1297"/>
      <c r="C1399" s="1297"/>
      <c r="D1399" s="1297" t="s">
        <v>1047</v>
      </c>
      <c r="H1399" s="1399">
        <v>2013836</v>
      </c>
      <c r="I1399" s="1399">
        <v>2013836</v>
      </c>
    </row>
    <row r="1400" spans="2:9">
      <c r="B1400" s="1297"/>
      <c r="C1400" s="1297"/>
      <c r="D1400" s="1297" t="s">
        <v>1048</v>
      </c>
      <c r="H1400" s="1399">
        <v>-18319740</v>
      </c>
      <c r="I1400" s="1399">
        <v>-18319740</v>
      </c>
    </row>
    <row r="1401" spans="2:9">
      <c r="B1401" s="1297"/>
      <c r="C1401" s="1297"/>
      <c r="D1401" s="1297" t="s">
        <v>932</v>
      </c>
      <c r="H1401" s="1399">
        <v>6638611</v>
      </c>
      <c r="I1401" s="1399">
        <v>6638611</v>
      </c>
    </row>
    <row r="1402" spans="2:9">
      <c r="B1402" s="1297"/>
      <c r="C1402" s="1297"/>
      <c r="D1402" s="1297" t="s">
        <v>955</v>
      </c>
      <c r="H1402" s="1399">
        <v>1862893.29</v>
      </c>
      <c r="I1402" s="1399">
        <v>1862893.29</v>
      </c>
    </row>
    <row r="1403" spans="2:9">
      <c r="B1403" s="1297"/>
      <c r="C1403" s="1297"/>
      <c r="D1403" s="1297" t="s">
        <v>934</v>
      </c>
      <c r="H1403" s="1399">
        <v>282938</v>
      </c>
      <c r="I1403" s="1399">
        <v>282938</v>
      </c>
    </row>
    <row r="1404" spans="2:9">
      <c r="B1404" s="1297"/>
      <c r="C1404" s="1297"/>
      <c r="D1404" s="1297" t="s">
        <v>1130</v>
      </c>
      <c r="H1404" s="1399">
        <v>3532521.6</v>
      </c>
      <c r="I1404" s="1399">
        <v>3532521.6</v>
      </c>
    </row>
    <row r="1405" spans="2:9">
      <c r="B1405" s="1297"/>
      <c r="C1405" s="1297"/>
      <c r="D1405" s="1297" t="s">
        <v>935</v>
      </c>
      <c r="H1405" s="1399">
        <v>1134889.01</v>
      </c>
      <c r="I1405" s="1399">
        <v>1134889.01</v>
      </c>
    </row>
    <row r="1406" spans="2:9">
      <c r="B1406" s="1297"/>
      <c r="C1406" s="1297"/>
      <c r="D1406" s="1297" t="s">
        <v>936</v>
      </c>
      <c r="H1406" s="1399">
        <v>310933.68</v>
      </c>
      <c r="I1406" s="1399">
        <v>310933.68</v>
      </c>
    </row>
    <row r="1407" spans="2:9">
      <c r="B1407" s="1297"/>
      <c r="C1407" s="1297"/>
      <c r="D1407" s="1297" t="s">
        <v>937</v>
      </c>
      <c r="H1407" s="1399">
        <v>22491.23</v>
      </c>
      <c r="I1407" s="1399">
        <v>22491.23</v>
      </c>
    </row>
    <row r="1408" spans="2:9">
      <c r="B1408" s="1297"/>
      <c r="C1408" s="1297"/>
      <c r="D1408" s="1297" t="s">
        <v>938</v>
      </c>
      <c r="H1408" s="1399">
        <v>112482</v>
      </c>
      <c r="I1408" s="1399">
        <v>112482</v>
      </c>
    </row>
    <row r="1409" spans="2:9">
      <c r="B1409" s="1297"/>
      <c r="C1409" s="1297"/>
      <c r="D1409" s="1297" t="s">
        <v>939</v>
      </c>
      <c r="H1409" s="1399">
        <v>20427.669999999998</v>
      </c>
      <c r="I1409" s="1399">
        <v>20427.669999999998</v>
      </c>
    </row>
    <row r="1410" spans="2:9">
      <c r="B1410" s="1297"/>
      <c r="C1410" s="1297"/>
      <c r="D1410" s="1297" t="s">
        <v>1131</v>
      </c>
      <c r="E1410" s="1399">
        <v>284947.5</v>
      </c>
      <c r="I1410" s="1399">
        <v>284947.5</v>
      </c>
    </row>
    <row r="1411" spans="2:9">
      <c r="B1411" s="1297"/>
      <c r="C1411" s="1297"/>
      <c r="D1411" s="1297" t="s">
        <v>940</v>
      </c>
      <c r="E1411" s="1399">
        <v>3167548.4399999995</v>
      </c>
      <c r="I1411" s="1399">
        <v>3167548.4399999995</v>
      </c>
    </row>
    <row r="1412" spans="2:9">
      <c r="B1412" s="1297"/>
      <c r="C1412" s="1297"/>
      <c r="D1412" s="1297" t="s">
        <v>941</v>
      </c>
      <c r="E1412" s="1399">
        <v>678320.90000000014</v>
      </c>
      <c r="I1412" s="1399">
        <v>678320.90000000014</v>
      </c>
    </row>
    <row r="1413" spans="2:9">
      <c r="B1413" s="1297"/>
      <c r="C1413" s="1297"/>
      <c r="D1413" s="1297" t="s">
        <v>943</v>
      </c>
      <c r="E1413" s="1399">
        <v>19632.740000000002</v>
      </c>
      <c r="I1413" s="1399">
        <v>19632.740000000002</v>
      </c>
    </row>
    <row r="1414" spans="2:9">
      <c r="B1414" s="1297"/>
      <c r="C1414" s="1297"/>
      <c r="D1414" s="1297" t="s">
        <v>944</v>
      </c>
      <c r="E1414" s="1399">
        <v>6222285.870000001</v>
      </c>
      <c r="I1414" s="1399">
        <v>6222285.870000001</v>
      </c>
    </row>
    <row r="1415" spans="2:9">
      <c r="B1415" s="1297"/>
      <c r="C1415" s="1297"/>
      <c r="D1415" s="1297" t="s">
        <v>945</v>
      </c>
      <c r="E1415" s="1399">
        <v>7287681.04</v>
      </c>
      <c r="I1415" s="1399">
        <v>7287681.04</v>
      </c>
    </row>
    <row r="1416" spans="2:9">
      <c r="B1416" s="1297"/>
      <c r="C1416" s="1297"/>
      <c r="D1416" s="1297" t="s">
        <v>1006</v>
      </c>
      <c r="E1416" s="1399">
        <v>480306.63</v>
      </c>
      <c r="I1416" s="1399">
        <v>480306.63</v>
      </c>
    </row>
    <row r="1417" spans="2:9">
      <c r="B1417" s="1297"/>
      <c r="C1417" s="1297"/>
      <c r="D1417" s="1297" t="s">
        <v>947</v>
      </c>
      <c r="E1417" s="1399">
        <v>538644.05999999994</v>
      </c>
      <c r="I1417" s="1399">
        <v>538644.05999999994</v>
      </c>
    </row>
    <row r="1418" spans="2:9">
      <c r="B1418" s="1297"/>
      <c r="C1418" s="1297"/>
      <c r="D1418" s="1297" t="s">
        <v>1116</v>
      </c>
      <c r="G1418" s="1399">
        <v>35000000</v>
      </c>
      <c r="I1418" s="1399">
        <v>35000000</v>
      </c>
    </row>
    <row r="1419" spans="2:9">
      <c r="B1419" s="1297"/>
      <c r="C1419" s="1297"/>
      <c r="D1419" s="1297" t="s">
        <v>1117</v>
      </c>
      <c r="G1419" s="1399">
        <v>3685575.45</v>
      </c>
      <c r="I1419" s="1399">
        <v>3685575.45</v>
      </c>
    </row>
    <row r="1420" spans="2:9">
      <c r="B1420" s="1297"/>
      <c r="C1420" s="1297"/>
      <c r="D1420" s="1297" t="s">
        <v>948</v>
      </c>
      <c r="G1420" s="1399">
        <v>25412030.180000011</v>
      </c>
      <c r="I1420" s="1399">
        <v>25412030.180000011</v>
      </c>
    </row>
    <row r="1421" spans="2:9">
      <c r="B1421" s="1297"/>
      <c r="C1421" s="1297"/>
      <c r="D1421" s="1297" t="s">
        <v>1080</v>
      </c>
      <c r="G1421" s="1399">
        <v>78483.63</v>
      </c>
      <c r="I1421" s="1399">
        <v>78483.63</v>
      </c>
    </row>
    <row r="1422" spans="2:9">
      <c r="B1422" s="1297"/>
      <c r="C1422" s="1400" t="s">
        <v>1081</v>
      </c>
      <c r="D1422" s="1400"/>
      <c r="E1422" s="1401">
        <v>18679367.18</v>
      </c>
      <c r="F1422" s="1401">
        <v>102547963.53</v>
      </c>
      <c r="G1422" s="1401">
        <v>64176089.260000013</v>
      </c>
      <c r="H1422" s="1401">
        <v>105141569.48000002</v>
      </c>
      <c r="I1422" s="1401">
        <v>290544989.44999999</v>
      </c>
    </row>
    <row r="1423" spans="2:9">
      <c r="B1423" s="1297" t="s">
        <v>1082</v>
      </c>
      <c r="C1423" s="1297" t="s">
        <v>1083</v>
      </c>
      <c r="D1423" s="1297" t="s">
        <v>906</v>
      </c>
      <c r="F1423" s="1399">
        <v>5584989.5700000003</v>
      </c>
      <c r="I1423" s="1399">
        <v>5584989.5700000003</v>
      </c>
    </row>
    <row r="1424" spans="2:9">
      <c r="B1424" s="1297"/>
      <c r="C1424" s="1297"/>
      <c r="D1424" s="1297" t="s">
        <v>952</v>
      </c>
      <c r="F1424" s="1399">
        <v>56567.06</v>
      </c>
      <c r="I1424" s="1399">
        <v>56567.06</v>
      </c>
    </row>
    <row r="1425" spans="2:9">
      <c r="B1425" s="1297"/>
      <c r="C1425" s="1297"/>
      <c r="D1425" s="1297" t="s">
        <v>907</v>
      </c>
      <c r="F1425" s="1399">
        <v>1655269.22</v>
      </c>
      <c r="I1425" s="1399">
        <v>1655269.22</v>
      </c>
    </row>
    <row r="1426" spans="2:9">
      <c r="B1426" s="1297"/>
      <c r="C1426" s="1297"/>
      <c r="D1426" s="1297" t="s">
        <v>908</v>
      </c>
      <c r="F1426" s="1399">
        <v>23924.13</v>
      </c>
      <c r="I1426" s="1399">
        <v>23924.13</v>
      </c>
    </row>
    <row r="1427" spans="2:9">
      <c r="B1427" s="1297"/>
      <c r="C1427" s="1297"/>
      <c r="D1427" s="1297" t="s">
        <v>909</v>
      </c>
      <c r="F1427" s="1399">
        <v>34866.99</v>
      </c>
      <c r="I1427" s="1399">
        <v>34866.99</v>
      </c>
    </row>
    <row r="1428" spans="2:9">
      <c r="B1428" s="1297"/>
      <c r="C1428" s="1297"/>
      <c r="D1428" s="1297" t="s">
        <v>910</v>
      </c>
      <c r="F1428" s="1399">
        <v>68852.009999999995</v>
      </c>
      <c r="I1428" s="1399">
        <v>68852.009999999995</v>
      </c>
    </row>
    <row r="1429" spans="2:9">
      <c r="B1429" s="1297"/>
      <c r="C1429" s="1297"/>
      <c r="D1429" s="1297" t="s">
        <v>1034</v>
      </c>
      <c r="F1429" s="1399">
        <v>32839.89</v>
      </c>
      <c r="I1429" s="1399">
        <v>32839.89</v>
      </c>
    </row>
    <row r="1430" spans="2:9">
      <c r="B1430" s="1297"/>
      <c r="C1430" s="1297"/>
      <c r="D1430" s="1297" t="s">
        <v>1035</v>
      </c>
      <c r="F1430" s="1399">
        <v>47076.41</v>
      </c>
      <c r="I1430" s="1399">
        <v>47076.41</v>
      </c>
    </row>
    <row r="1431" spans="2:9">
      <c r="B1431" s="1297"/>
      <c r="C1431" s="1297"/>
      <c r="D1431" s="1297" t="s">
        <v>1036</v>
      </c>
      <c r="F1431" s="1399">
        <v>9570.59</v>
      </c>
      <c r="I1431" s="1399">
        <v>9570.59</v>
      </c>
    </row>
    <row r="1432" spans="2:9">
      <c r="B1432" s="1297"/>
      <c r="C1432" s="1297"/>
      <c r="D1432" s="1297" t="s">
        <v>1037</v>
      </c>
      <c r="F1432" s="1399">
        <v>4230</v>
      </c>
      <c r="I1432" s="1399">
        <v>4230</v>
      </c>
    </row>
    <row r="1433" spans="2:9">
      <c r="B1433" s="1297"/>
      <c r="C1433" s="1297"/>
      <c r="D1433" s="1297" t="s">
        <v>1038</v>
      </c>
      <c r="F1433" s="1399">
        <v>650</v>
      </c>
      <c r="I1433" s="1399">
        <v>650</v>
      </c>
    </row>
    <row r="1434" spans="2:9">
      <c r="B1434" s="1297"/>
      <c r="C1434" s="1297"/>
      <c r="D1434" s="1297" t="s">
        <v>1039</v>
      </c>
      <c r="F1434" s="1399">
        <v>13777.46</v>
      </c>
      <c r="I1434" s="1399">
        <v>13777.46</v>
      </c>
    </row>
    <row r="1435" spans="2:9">
      <c r="B1435" s="1297"/>
      <c r="C1435" s="1297"/>
      <c r="D1435" s="1297" t="s">
        <v>1040</v>
      </c>
      <c r="F1435" s="1399">
        <v>153606.32</v>
      </c>
      <c r="I1435" s="1399">
        <v>153606.32</v>
      </c>
    </row>
    <row r="1436" spans="2:9">
      <c r="B1436" s="1297"/>
      <c r="C1436" s="1297"/>
      <c r="D1436" s="1297" t="s">
        <v>1041</v>
      </c>
      <c r="F1436" s="1399">
        <v>58566.89</v>
      </c>
      <c r="I1436" s="1399">
        <v>58566.89</v>
      </c>
    </row>
    <row r="1437" spans="2:9">
      <c r="B1437" s="1297"/>
      <c r="C1437" s="1297"/>
      <c r="D1437" s="1297" t="s">
        <v>1042</v>
      </c>
      <c r="F1437" s="1399">
        <v>56648.9</v>
      </c>
      <c r="I1437" s="1399">
        <v>56648.9</v>
      </c>
    </row>
    <row r="1438" spans="2:9">
      <c r="B1438" s="1297"/>
      <c r="C1438" s="1297"/>
      <c r="D1438" s="1297" t="s">
        <v>986</v>
      </c>
      <c r="F1438" s="1399">
        <v>16788.52</v>
      </c>
      <c r="I1438" s="1399">
        <v>16788.52</v>
      </c>
    </row>
    <row r="1439" spans="2:9">
      <c r="B1439" s="1297"/>
      <c r="C1439" s="1297"/>
      <c r="D1439" s="1297" t="s">
        <v>1045</v>
      </c>
      <c r="F1439" s="1399">
        <v>347168.75000000006</v>
      </c>
      <c r="I1439" s="1399">
        <v>347168.75000000006</v>
      </c>
    </row>
    <row r="1440" spans="2:9">
      <c r="B1440" s="1297"/>
      <c r="C1440" s="1297"/>
      <c r="D1440" s="1297" t="s">
        <v>1046</v>
      </c>
      <c r="H1440" s="1399">
        <v>14857163</v>
      </c>
      <c r="I1440" s="1399">
        <v>14857163</v>
      </c>
    </row>
    <row r="1441" spans="2:9">
      <c r="B1441" s="1297"/>
      <c r="C1441" s="1297"/>
      <c r="D1441" s="1297" t="s">
        <v>1047</v>
      </c>
      <c r="H1441" s="1399">
        <v>414854</v>
      </c>
      <c r="I1441" s="1399">
        <v>414854</v>
      </c>
    </row>
    <row r="1442" spans="2:9">
      <c r="B1442" s="1297"/>
      <c r="C1442" s="1297"/>
      <c r="D1442" s="1297" t="s">
        <v>1048</v>
      </c>
      <c r="H1442" s="1399">
        <v>-1664567</v>
      </c>
      <c r="I1442" s="1399">
        <v>-1664567</v>
      </c>
    </row>
    <row r="1443" spans="2:9">
      <c r="B1443" s="1297"/>
      <c r="C1443" s="1297"/>
      <c r="D1443" s="1297" t="s">
        <v>932</v>
      </c>
      <c r="H1443" s="1399">
        <v>2243375</v>
      </c>
      <c r="I1443" s="1399">
        <v>2243375</v>
      </c>
    </row>
    <row r="1444" spans="2:9">
      <c r="B1444" s="1297"/>
      <c r="C1444" s="1297"/>
      <c r="D1444" s="1297" t="s">
        <v>933</v>
      </c>
      <c r="H1444" s="1399">
        <v>1166686.92</v>
      </c>
      <c r="I1444" s="1399">
        <v>1166686.92</v>
      </c>
    </row>
    <row r="1445" spans="2:9">
      <c r="B1445" s="1297"/>
      <c r="C1445" s="1297"/>
      <c r="D1445" s="1297" t="s">
        <v>934</v>
      </c>
      <c r="H1445" s="1399">
        <v>53328</v>
      </c>
      <c r="I1445" s="1399">
        <v>53328</v>
      </c>
    </row>
    <row r="1446" spans="2:9">
      <c r="B1446" s="1297"/>
      <c r="C1446" s="1297"/>
      <c r="D1446" s="1297" t="s">
        <v>935</v>
      </c>
      <c r="H1446" s="1399">
        <v>379378.22000000003</v>
      </c>
      <c r="I1446" s="1399">
        <v>379378.22000000003</v>
      </c>
    </row>
    <row r="1447" spans="2:9">
      <c r="B1447" s="1297"/>
      <c r="C1447" s="1297"/>
      <c r="D1447" s="1297" t="s">
        <v>936</v>
      </c>
      <c r="H1447" s="1399">
        <v>58124.99</v>
      </c>
      <c r="I1447" s="1399">
        <v>58124.99</v>
      </c>
    </row>
    <row r="1448" spans="2:9">
      <c r="B1448" s="1297"/>
      <c r="C1448" s="1297"/>
      <c r="D1448" s="1297" t="s">
        <v>937</v>
      </c>
      <c r="H1448" s="1399">
        <v>11735.59</v>
      </c>
      <c r="I1448" s="1399">
        <v>11735.59</v>
      </c>
    </row>
    <row r="1449" spans="2:9">
      <c r="B1449" s="1297"/>
      <c r="C1449" s="1297"/>
      <c r="D1449" s="1297" t="s">
        <v>938</v>
      </c>
      <c r="H1449" s="1399">
        <v>17967</v>
      </c>
      <c r="I1449" s="1399">
        <v>17967</v>
      </c>
    </row>
    <row r="1450" spans="2:9">
      <c r="B1450" s="1297"/>
      <c r="C1450" s="1297"/>
      <c r="D1450" s="1297" t="s">
        <v>939</v>
      </c>
      <c r="H1450" s="1399">
        <v>225809.6</v>
      </c>
      <c r="I1450" s="1399">
        <v>225809.6</v>
      </c>
    </row>
    <row r="1451" spans="2:9">
      <c r="B1451" s="1297"/>
      <c r="C1451" s="1297"/>
      <c r="D1451" s="1297" t="s">
        <v>940</v>
      </c>
      <c r="E1451" s="1399">
        <v>872821.64</v>
      </c>
      <c r="I1451" s="1399">
        <v>872821.64</v>
      </c>
    </row>
    <row r="1452" spans="2:9">
      <c r="B1452" s="1297"/>
      <c r="C1452" s="1297"/>
      <c r="D1452" s="1297" t="s">
        <v>941</v>
      </c>
      <c r="E1452" s="1399">
        <v>339005.44</v>
      </c>
      <c r="I1452" s="1399">
        <v>339005.44</v>
      </c>
    </row>
    <row r="1453" spans="2:9">
      <c r="B1453" s="1297"/>
      <c r="C1453" s="1297"/>
      <c r="D1453" s="1297" t="s">
        <v>943</v>
      </c>
      <c r="E1453" s="1399">
        <v>8315.3799999999992</v>
      </c>
      <c r="I1453" s="1399">
        <v>8315.3799999999992</v>
      </c>
    </row>
    <row r="1454" spans="2:9">
      <c r="B1454" s="1297"/>
      <c r="C1454" s="1297"/>
      <c r="D1454" s="1297" t="s">
        <v>944</v>
      </c>
      <c r="E1454" s="1399">
        <v>2349819.4499999997</v>
      </c>
      <c r="I1454" s="1399">
        <v>2349819.4499999997</v>
      </c>
    </row>
    <row r="1455" spans="2:9">
      <c r="B1455" s="1297"/>
      <c r="C1455" s="1297"/>
      <c r="D1455" s="1297" t="s">
        <v>945</v>
      </c>
      <c r="E1455" s="1399">
        <v>1564061.5</v>
      </c>
      <c r="I1455" s="1399">
        <v>1564061.5</v>
      </c>
    </row>
    <row r="1456" spans="2:9">
      <c r="B1456" s="1297"/>
      <c r="C1456" s="1297"/>
      <c r="D1456" s="1297" t="s">
        <v>946</v>
      </c>
      <c r="E1456" s="1399">
        <v>126215.28</v>
      </c>
      <c r="I1456" s="1399">
        <v>126215.28</v>
      </c>
    </row>
    <row r="1457" spans="2:9">
      <c r="B1457" s="1297"/>
      <c r="C1457" s="1297"/>
      <c r="D1457" s="1297" t="s">
        <v>947</v>
      </c>
      <c r="E1457" s="1399">
        <v>94631.41</v>
      </c>
      <c r="I1457" s="1399">
        <v>94631.41</v>
      </c>
    </row>
    <row r="1458" spans="2:9">
      <c r="B1458" s="1297"/>
      <c r="C1458" s="1297"/>
      <c r="D1458" s="1297" t="s">
        <v>948</v>
      </c>
      <c r="G1458" s="1399">
        <v>2497391.3700000006</v>
      </c>
      <c r="I1458" s="1399">
        <v>2497391.3700000006</v>
      </c>
    </row>
    <row r="1459" spans="2:9">
      <c r="B1459" s="1297"/>
      <c r="C1459" s="1297"/>
      <c r="D1459" s="1297" t="s">
        <v>1118</v>
      </c>
      <c r="G1459" s="1399">
        <v>388070.04000000004</v>
      </c>
      <c r="I1459" s="1399">
        <v>388070.04000000004</v>
      </c>
    </row>
    <row r="1460" spans="2:9">
      <c r="B1460" s="1297"/>
      <c r="C1460" s="1400" t="s">
        <v>1084</v>
      </c>
      <c r="D1460" s="1400"/>
      <c r="E1460" s="1401">
        <v>5354870.1000000006</v>
      </c>
      <c r="F1460" s="1401">
        <v>8165392.709999999</v>
      </c>
      <c r="G1460" s="1401">
        <v>2885461.4100000006</v>
      </c>
      <c r="H1460" s="1401">
        <v>17763855.32</v>
      </c>
      <c r="I1460" s="1401">
        <v>34169579.539999999</v>
      </c>
    </row>
    <row r="1461" spans="2:9">
      <c r="B1461" s="1297" t="s">
        <v>1085</v>
      </c>
      <c r="C1461" s="1297" t="s">
        <v>1086</v>
      </c>
      <c r="D1461" s="1297" t="s">
        <v>906</v>
      </c>
      <c r="F1461" s="1399">
        <v>73521907.789999992</v>
      </c>
      <c r="I1461" s="1399">
        <v>73521907.789999992</v>
      </c>
    </row>
    <row r="1462" spans="2:9">
      <c r="B1462" s="1297"/>
      <c r="C1462" s="1297"/>
      <c r="D1462" s="1297" t="s">
        <v>952</v>
      </c>
      <c r="F1462" s="1399">
        <v>1083489.92</v>
      </c>
      <c r="I1462" s="1399">
        <v>1083489.92</v>
      </c>
    </row>
    <row r="1463" spans="2:9">
      <c r="B1463" s="1297"/>
      <c r="C1463" s="1297"/>
      <c r="D1463" s="1297" t="s">
        <v>907</v>
      </c>
      <c r="F1463" s="1399">
        <v>19188526.219999999</v>
      </c>
      <c r="I1463" s="1399">
        <v>19188526.219999999</v>
      </c>
    </row>
    <row r="1464" spans="2:9">
      <c r="B1464" s="1297"/>
      <c r="C1464" s="1297"/>
      <c r="D1464" s="1297" t="s">
        <v>908</v>
      </c>
      <c r="F1464" s="1399">
        <v>56682.93</v>
      </c>
      <c r="I1464" s="1399">
        <v>56682.93</v>
      </c>
    </row>
    <row r="1465" spans="2:9">
      <c r="B1465" s="1297"/>
      <c r="C1465" s="1297"/>
      <c r="D1465" s="1297" t="s">
        <v>909</v>
      </c>
      <c r="F1465" s="1399">
        <v>73219.899999999994</v>
      </c>
      <c r="I1465" s="1399">
        <v>73219.899999999994</v>
      </c>
    </row>
    <row r="1466" spans="2:9">
      <c r="B1466" s="1297"/>
      <c r="C1466" s="1297"/>
      <c r="D1466" s="1297" t="s">
        <v>1034</v>
      </c>
      <c r="F1466" s="1399">
        <v>512233.88</v>
      </c>
      <c r="I1466" s="1399">
        <v>512233.88</v>
      </c>
    </row>
    <row r="1467" spans="2:9">
      <c r="B1467" s="1297"/>
      <c r="C1467" s="1297"/>
      <c r="D1467" s="1297" t="s">
        <v>1035</v>
      </c>
      <c r="F1467" s="1399">
        <v>2300484.7000000002</v>
      </c>
      <c r="I1467" s="1399">
        <v>2300484.7000000002</v>
      </c>
    </row>
    <row r="1468" spans="2:9">
      <c r="B1468" s="1297"/>
      <c r="C1468" s="1297"/>
      <c r="D1468" s="1297" t="s">
        <v>1036</v>
      </c>
      <c r="F1468" s="1399">
        <v>586180.12</v>
      </c>
      <c r="I1468" s="1399">
        <v>586180.12</v>
      </c>
    </row>
    <row r="1469" spans="2:9">
      <c r="B1469" s="1297"/>
      <c r="C1469" s="1297"/>
      <c r="D1469" s="1297" t="s">
        <v>1037</v>
      </c>
      <c r="F1469" s="1399">
        <v>48400</v>
      </c>
      <c r="I1469" s="1399">
        <v>48400</v>
      </c>
    </row>
    <row r="1470" spans="2:9">
      <c r="B1470" s="1297"/>
      <c r="C1470" s="1297"/>
      <c r="D1470" s="1297" t="s">
        <v>1039</v>
      </c>
      <c r="F1470" s="1399">
        <v>177703.58</v>
      </c>
      <c r="I1470" s="1399">
        <v>177703.58</v>
      </c>
    </row>
    <row r="1471" spans="2:9">
      <c r="B1471" s="1297"/>
      <c r="C1471" s="1297"/>
      <c r="D1471" s="1297" t="s">
        <v>1040</v>
      </c>
      <c r="F1471" s="1399">
        <v>2781167.6400000011</v>
      </c>
      <c r="I1471" s="1399">
        <v>2781167.6400000011</v>
      </c>
    </row>
    <row r="1472" spans="2:9">
      <c r="B1472" s="1297"/>
      <c r="C1472" s="1297"/>
      <c r="D1472" s="1297" t="s">
        <v>1041</v>
      </c>
      <c r="F1472" s="1399">
        <v>109897.68</v>
      </c>
      <c r="I1472" s="1399">
        <v>109897.68</v>
      </c>
    </row>
    <row r="1473" spans="2:9">
      <c r="B1473" s="1297"/>
      <c r="C1473" s="1297"/>
      <c r="D1473" s="1297" t="s">
        <v>1042</v>
      </c>
      <c r="F1473" s="1399">
        <v>214087.50000000003</v>
      </c>
      <c r="I1473" s="1399">
        <v>214087.50000000003</v>
      </c>
    </row>
    <row r="1474" spans="2:9">
      <c r="B1474" s="1297"/>
      <c r="C1474" s="1297"/>
      <c r="D1474" s="1297" t="s">
        <v>985</v>
      </c>
      <c r="F1474" s="1399">
        <v>994443</v>
      </c>
      <c r="I1474" s="1399">
        <v>994443</v>
      </c>
    </row>
    <row r="1475" spans="2:9">
      <c r="B1475" s="1297"/>
      <c r="C1475" s="1297"/>
      <c r="D1475" s="1297" t="s">
        <v>1044</v>
      </c>
      <c r="F1475" s="1399">
        <v>244307.92</v>
      </c>
      <c r="I1475" s="1399">
        <v>244307.92</v>
      </c>
    </row>
    <row r="1476" spans="2:9">
      <c r="B1476" s="1297"/>
      <c r="C1476" s="1297"/>
      <c r="D1476" s="1297" t="s">
        <v>1045</v>
      </c>
      <c r="F1476" s="1399">
        <v>1031304.4099999999</v>
      </c>
      <c r="I1476" s="1399">
        <v>1031304.4099999999</v>
      </c>
    </row>
    <row r="1477" spans="2:9">
      <c r="B1477" s="1297"/>
      <c r="C1477" s="1297"/>
      <c r="D1477" s="1297" t="s">
        <v>1046</v>
      </c>
      <c r="H1477" s="1399">
        <v>118804604</v>
      </c>
      <c r="I1477" s="1399">
        <v>118804604</v>
      </c>
    </row>
    <row r="1478" spans="2:9">
      <c r="B1478" s="1297"/>
      <c r="C1478" s="1297"/>
      <c r="D1478" s="1297" t="s">
        <v>1129</v>
      </c>
      <c r="H1478" s="1399">
        <v>-14832476</v>
      </c>
      <c r="I1478" s="1399">
        <v>-14832476</v>
      </c>
    </row>
    <row r="1479" spans="2:9">
      <c r="B1479" s="1297"/>
      <c r="C1479" s="1297"/>
      <c r="D1479" s="1297" t="s">
        <v>1047</v>
      </c>
      <c r="H1479" s="1399">
        <v>2082429</v>
      </c>
      <c r="I1479" s="1399">
        <v>2082429</v>
      </c>
    </row>
    <row r="1480" spans="2:9">
      <c r="B1480" s="1297"/>
      <c r="C1480" s="1297"/>
      <c r="D1480" s="1297" t="s">
        <v>1048</v>
      </c>
      <c r="H1480" s="1399">
        <v>-20594102</v>
      </c>
      <c r="I1480" s="1399">
        <v>-20594102</v>
      </c>
    </row>
    <row r="1481" spans="2:9">
      <c r="B1481" s="1297"/>
      <c r="C1481" s="1297"/>
      <c r="D1481" s="1297" t="s">
        <v>932</v>
      </c>
      <c r="H1481" s="1399">
        <v>3510445</v>
      </c>
      <c r="I1481" s="1399">
        <v>3510445</v>
      </c>
    </row>
    <row r="1482" spans="2:9">
      <c r="B1482" s="1297"/>
      <c r="C1482" s="1297"/>
      <c r="D1482" s="1297" t="s">
        <v>955</v>
      </c>
      <c r="H1482" s="1399">
        <v>2520060.96</v>
      </c>
      <c r="I1482" s="1399">
        <v>2520060.96</v>
      </c>
    </row>
    <row r="1483" spans="2:9">
      <c r="B1483" s="1297"/>
      <c r="C1483" s="1297"/>
      <c r="D1483" s="1297" t="s">
        <v>934</v>
      </c>
      <c r="H1483" s="1399">
        <v>295742</v>
      </c>
      <c r="I1483" s="1399">
        <v>295742</v>
      </c>
    </row>
    <row r="1484" spans="2:9">
      <c r="B1484" s="1297"/>
      <c r="C1484" s="1297"/>
      <c r="D1484" s="1297" t="s">
        <v>1130</v>
      </c>
      <c r="H1484" s="1399">
        <v>2970251.88</v>
      </c>
      <c r="I1484" s="1399">
        <v>2970251.88</v>
      </c>
    </row>
    <row r="1485" spans="2:9">
      <c r="B1485" s="1297"/>
      <c r="C1485" s="1297"/>
      <c r="D1485" s="1297" t="s">
        <v>935</v>
      </c>
      <c r="H1485" s="1399">
        <v>1260595.4400000002</v>
      </c>
      <c r="I1485" s="1399">
        <v>1260595.4400000002</v>
      </c>
    </row>
    <row r="1486" spans="2:9">
      <c r="B1486" s="1297"/>
      <c r="C1486" s="1297"/>
      <c r="D1486" s="1297" t="s">
        <v>936</v>
      </c>
      <c r="H1486" s="1399">
        <v>335444.21000000002</v>
      </c>
      <c r="I1486" s="1399">
        <v>335444.21000000002</v>
      </c>
    </row>
    <row r="1487" spans="2:9">
      <c r="B1487" s="1297"/>
      <c r="C1487" s="1297"/>
      <c r="D1487" s="1297" t="s">
        <v>938</v>
      </c>
      <c r="H1487" s="1399">
        <v>125022</v>
      </c>
      <c r="I1487" s="1399">
        <v>125022</v>
      </c>
    </row>
    <row r="1488" spans="2:9">
      <c r="B1488" s="1297"/>
      <c r="C1488" s="1297"/>
      <c r="D1488" s="1297" t="s">
        <v>939</v>
      </c>
      <c r="H1488" s="1399">
        <v>40755.89</v>
      </c>
      <c r="I1488" s="1399">
        <v>40755.89</v>
      </c>
    </row>
    <row r="1489" spans="2:9">
      <c r="B1489" s="1297"/>
      <c r="C1489" s="1297"/>
      <c r="D1489" s="1297" t="s">
        <v>1131</v>
      </c>
      <c r="E1489" s="1399">
        <v>190339.52</v>
      </c>
      <c r="I1489" s="1399">
        <v>190339.52</v>
      </c>
    </row>
    <row r="1490" spans="2:9">
      <c r="B1490" s="1297"/>
      <c r="C1490" s="1297"/>
      <c r="D1490" s="1297" t="s">
        <v>940</v>
      </c>
      <c r="E1490" s="1399">
        <v>3968224.3999999994</v>
      </c>
      <c r="I1490" s="1399">
        <v>3968224.3999999994</v>
      </c>
    </row>
    <row r="1491" spans="2:9">
      <c r="B1491" s="1297"/>
      <c r="C1491" s="1297"/>
      <c r="D1491" s="1297" t="s">
        <v>941</v>
      </c>
      <c r="E1491" s="1399">
        <v>1042471.2600000002</v>
      </c>
      <c r="I1491" s="1399">
        <v>1042471.2600000002</v>
      </c>
    </row>
    <row r="1492" spans="2:9">
      <c r="B1492" s="1297"/>
      <c r="C1492" s="1297"/>
      <c r="D1492" s="1297" t="s">
        <v>944</v>
      </c>
      <c r="E1492" s="1399">
        <v>8268146.9299999997</v>
      </c>
      <c r="I1492" s="1399">
        <v>8268146.9299999997</v>
      </c>
    </row>
    <row r="1493" spans="2:9">
      <c r="B1493" s="1297"/>
      <c r="C1493" s="1297"/>
      <c r="D1493" s="1297" t="s">
        <v>945</v>
      </c>
      <c r="E1493" s="1399">
        <v>6995934.7299999995</v>
      </c>
      <c r="I1493" s="1399">
        <v>6995934.7299999995</v>
      </c>
    </row>
    <row r="1494" spans="2:9">
      <c r="B1494" s="1297"/>
      <c r="C1494" s="1297"/>
      <c r="D1494" s="1297" t="s">
        <v>946</v>
      </c>
      <c r="E1494" s="1399">
        <v>823248.13</v>
      </c>
      <c r="I1494" s="1399">
        <v>823248.13</v>
      </c>
    </row>
    <row r="1495" spans="2:9">
      <c r="B1495" s="1297"/>
      <c r="C1495" s="1297"/>
      <c r="D1495" s="1297" t="s">
        <v>947</v>
      </c>
      <c r="E1495" s="1399">
        <v>276717.33</v>
      </c>
      <c r="I1495" s="1399">
        <v>276717.33</v>
      </c>
    </row>
    <row r="1496" spans="2:9">
      <c r="B1496" s="1297"/>
      <c r="C1496" s="1297"/>
      <c r="D1496" s="1297" t="s">
        <v>948</v>
      </c>
      <c r="G1496" s="1399">
        <v>15766588.520000001</v>
      </c>
      <c r="I1496" s="1399">
        <v>15766588.520000001</v>
      </c>
    </row>
    <row r="1497" spans="2:9">
      <c r="B1497" s="1297"/>
      <c r="C1497" s="1297"/>
      <c r="D1497" s="1297" t="s">
        <v>956</v>
      </c>
      <c r="G1497" s="1399">
        <v>119568.12000000001</v>
      </c>
      <c r="I1497" s="1399">
        <v>119568.12000000001</v>
      </c>
    </row>
    <row r="1498" spans="2:9">
      <c r="B1498" s="1297"/>
      <c r="C1498" s="1400" t="s">
        <v>1087</v>
      </c>
      <c r="D1498" s="1400"/>
      <c r="E1498" s="1401">
        <v>21565082.299999997</v>
      </c>
      <c r="F1498" s="1401">
        <v>102924037.19000001</v>
      </c>
      <c r="G1498" s="1401">
        <v>15886156.640000001</v>
      </c>
      <c r="H1498" s="1401">
        <v>96518772.37999998</v>
      </c>
      <c r="I1498" s="1401">
        <v>236894048.51000002</v>
      </c>
    </row>
    <row r="1499" spans="2:9">
      <c r="B1499" s="1297" t="s">
        <v>1088</v>
      </c>
      <c r="C1499" s="1297" t="s">
        <v>1089</v>
      </c>
      <c r="D1499" s="1297" t="s">
        <v>906</v>
      </c>
      <c r="F1499" s="1399">
        <v>3978390.69</v>
      </c>
      <c r="I1499" s="1399">
        <v>3978390.69</v>
      </c>
    </row>
    <row r="1500" spans="2:9">
      <c r="B1500" s="1297"/>
      <c r="C1500" s="1297"/>
      <c r="D1500" s="1297" t="s">
        <v>952</v>
      </c>
      <c r="F1500" s="1399">
        <v>35506.14</v>
      </c>
      <c r="I1500" s="1399">
        <v>35506.14</v>
      </c>
    </row>
    <row r="1501" spans="2:9">
      <c r="B1501" s="1297"/>
      <c r="C1501" s="1297"/>
      <c r="D1501" s="1297" t="s">
        <v>907</v>
      </c>
      <c r="F1501" s="1399">
        <v>593403.49</v>
      </c>
      <c r="I1501" s="1399">
        <v>593403.49</v>
      </c>
    </row>
    <row r="1502" spans="2:9">
      <c r="B1502" s="1297"/>
      <c r="C1502" s="1297"/>
      <c r="D1502" s="1297" t="s">
        <v>908</v>
      </c>
      <c r="F1502" s="1399">
        <v>4262</v>
      </c>
      <c r="I1502" s="1399">
        <v>4262</v>
      </c>
    </row>
    <row r="1503" spans="2:9">
      <c r="B1503" s="1297"/>
      <c r="C1503" s="1297"/>
      <c r="D1503" s="1297" t="s">
        <v>909</v>
      </c>
      <c r="F1503" s="1399">
        <v>8243.0600000000013</v>
      </c>
      <c r="I1503" s="1399">
        <v>8243.0600000000013</v>
      </c>
    </row>
    <row r="1504" spans="2:9">
      <c r="B1504" s="1297"/>
      <c r="C1504" s="1297"/>
      <c r="D1504" s="1297" t="s">
        <v>910</v>
      </c>
      <c r="F1504" s="1399">
        <v>137635.85999999999</v>
      </c>
      <c r="I1504" s="1399">
        <v>137635.85999999999</v>
      </c>
    </row>
    <row r="1505" spans="2:9">
      <c r="B1505" s="1297"/>
      <c r="C1505" s="1297"/>
      <c r="D1505" s="1297" t="s">
        <v>1034</v>
      </c>
      <c r="F1505" s="1399">
        <v>16188.259999999998</v>
      </c>
      <c r="I1505" s="1399">
        <v>16188.259999999998</v>
      </c>
    </row>
    <row r="1506" spans="2:9">
      <c r="B1506" s="1297"/>
      <c r="C1506" s="1297"/>
      <c r="D1506" s="1297" t="s">
        <v>1035</v>
      </c>
      <c r="F1506" s="1399">
        <v>144240.60999999999</v>
      </c>
      <c r="I1506" s="1399">
        <v>144240.60999999999</v>
      </c>
    </row>
    <row r="1507" spans="2:9">
      <c r="B1507" s="1297"/>
      <c r="C1507" s="1297"/>
      <c r="D1507" s="1297" t="s">
        <v>1036</v>
      </c>
      <c r="F1507" s="1399">
        <v>55080.25</v>
      </c>
      <c r="I1507" s="1399">
        <v>55080.25</v>
      </c>
    </row>
    <row r="1508" spans="2:9">
      <c r="B1508" s="1297"/>
      <c r="C1508" s="1297"/>
      <c r="D1508" s="1297" t="s">
        <v>1039</v>
      </c>
      <c r="F1508" s="1399">
        <v>5240.45</v>
      </c>
      <c r="I1508" s="1399">
        <v>5240.45</v>
      </c>
    </row>
    <row r="1509" spans="2:9">
      <c r="B1509" s="1297"/>
      <c r="C1509" s="1297"/>
      <c r="D1509" s="1297" t="s">
        <v>1040</v>
      </c>
      <c r="F1509" s="1399">
        <v>115796.65</v>
      </c>
      <c r="I1509" s="1399">
        <v>115796.65</v>
      </c>
    </row>
    <row r="1510" spans="2:9">
      <c r="B1510" s="1297"/>
      <c r="C1510" s="1297"/>
      <c r="D1510" s="1297" t="s">
        <v>1041</v>
      </c>
      <c r="F1510" s="1399">
        <v>30519.200000000001</v>
      </c>
      <c r="I1510" s="1399">
        <v>30519.200000000001</v>
      </c>
    </row>
    <row r="1511" spans="2:9">
      <c r="B1511" s="1297"/>
      <c r="C1511" s="1297"/>
      <c r="D1511" s="1297" t="s">
        <v>1042</v>
      </c>
      <c r="F1511" s="1399">
        <v>39260.980000000003</v>
      </c>
      <c r="I1511" s="1399">
        <v>39260.980000000003</v>
      </c>
    </row>
    <row r="1512" spans="2:9">
      <c r="B1512" s="1297"/>
      <c r="C1512" s="1297"/>
      <c r="D1512" s="1297" t="s">
        <v>1045</v>
      </c>
      <c r="F1512" s="1399">
        <v>130524.79</v>
      </c>
      <c r="I1512" s="1399">
        <v>130524.79</v>
      </c>
    </row>
    <row r="1513" spans="2:9">
      <c r="B1513" s="1297"/>
      <c r="C1513" s="1297"/>
      <c r="D1513" s="1297" t="s">
        <v>1046</v>
      </c>
      <c r="H1513" s="1399">
        <v>10356672</v>
      </c>
      <c r="I1513" s="1399">
        <v>10356672</v>
      </c>
    </row>
    <row r="1514" spans="2:9">
      <c r="B1514" s="1297"/>
      <c r="C1514" s="1297"/>
      <c r="D1514" s="1297" t="s">
        <v>1129</v>
      </c>
      <c r="H1514" s="1399">
        <v>-1254798</v>
      </c>
      <c r="I1514" s="1399">
        <v>-1254798</v>
      </c>
    </row>
    <row r="1515" spans="2:9">
      <c r="B1515" s="1297"/>
      <c r="C1515" s="1297"/>
      <c r="D1515" s="1297" t="s">
        <v>1047</v>
      </c>
      <c r="H1515" s="1399">
        <v>369566</v>
      </c>
      <c r="I1515" s="1399">
        <v>369566</v>
      </c>
    </row>
    <row r="1516" spans="2:9">
      <c r="B1516" s="1297"/>
      <c r="C1516" s="1297"/>
      <c r="D1516" s="1297" t="s">
        <v>1048</v>
      </c>
      <c r="H1516" s="1399">
        <v>-1336712</v>
      </c>
      <c r="I1516" s="1399">
        <v>-1336712</v>
      </c>
    </row>
    <row r="1517" spans="2:9">
      <c r="B1517" s="1297"/>
      <c r="C1517" s="1297"/>
      <c r="D1517" s="1297" t="s">
        <v>932</v>
      </c>
      <c r="H1517" s="1399">
        <v>613294</v>
      </c>
      <c r="I1517" s="1399">
        <v>613294</v>
      </c>
    </row>
    <row r="1518" spans="2:9">
      <c r="B1518" s="1297"/>
      <c r="C1518" s="1297"/>
      <c r="D1518" s="1297" t="s">
        <v>933</v>
      </c>
      <c r="H1518" s="1399">
        <v>445286.96</v>
      </c>
      <c r="I1518" s="1399">
        <v>445286.96</v>
      </c>
    </row>
    <row r="1519" spans="2:9">
      <c r="B1519" s="1297"/>
      <c r="C1519" s="1297"/>
      <c r="D1519" s="1297" t="s">
        <v>934</v>
      </c>
      <c r="H1519" s="1399">
        <v>33538</v>
      </c>
      <c r="I1519" s="1399">
        <v>33538</v>
      </c>
    </row>
    <row r="1520" spans="2:9">
      <c r="B1520" s="1297"/>
      <c r="C1520" s="1297"/>
      <c r="D1520" s="1297" t="s">
        <v>1130</v>
      </c>
      <c r="H1520" s="1399">
        <v>496498</v>
      </c>
      <c r="I1520" s="1399">
        <v>496498</v>
      </c>
    </row>
    <row r="1521" spans="2:9">
      <c r="B1521" s="1297"/>
      <c r="C1521" s="1297"/>
      <c r="D1521" s="1297" t="s">
        <v>935</v>
      </c>
      <c r="H1521" s="1399">
        <v>-347136.67000000004</v>
      </c>
      <c r="I1521" s="1399">
        <v>-347136.67000000004</v>
      </c>
    </row>
    <row r="1522" spans="2:9">
      <c r="B1522" s="1297"/>
      <c r="C1522" s="1297"/>
      <c r="D1522" s="1297" t="s">
        <v>936</v>
      </c>
      <c r="H1522" s="1399">
        <v>27661.89</v>
      </c>
      <c r="I1522" s="1399">
        <v>27661.89</v>
      </c>
    </row>
    <row r="1523" spans="2:9">
      <c r="B1523" s="1297"/>
      <c r="C1523" s="1297"/>
      <c r="D1523" s="1297" t="s">
        <v>937</v>
      </c>
      <c r="H1523" s="1399">
        <v>14234.79</v>
      </c>
      <c r="I1523" s="1399">
        <v>14234.79</v>
      </c>
    </row>
    <row r="1524" spans="2:9">
      <c r="B1524" s="1297"/>
      <c r="C1524" s="1297"/>
      <c r="D1524" s="1297" t="s">
        <v>938</v>
      </c>
      <c r="H1524" s="1399">
        <v>10855</v>
      </c>
      <c r="I1524" s="1399">
        <v>10855</v>
      </c>
    </row>
    <row r="1525" spans="2:9">
      <c r="B1525" s="1297"/>
      <c r="C1525" s="1297"/>
      <c r="D1525" s="1297" t="s">
        <v>939</v>
      </c>
      <c r="H1525" s="1399">
        <v>6880.13</v>
      </c>
      <c r="I1525" s="1399">
        <v>6880.13</v>
      </c>
    </row>
    <row r="1526" spans="2:9">
      <c r="B1526" s="1297"/>
      <c r="C1526" s="1297"/>
      <c r="D1526" s="1297" t="s">
        <v>1131</v>
      </c>
      <c r="E1526" s="1399">
        <v>60353.61</v>
      </c>
      <c r="I1526" s="1399">
        <v>60353.61</v>
      </c>
    </row>
    <row r="1527" spans="2:9">
      <c r="B1527" s="1297"/>
      <c r="C1527" s="1297"/>
      <c r="D1527" s="1297" t="s">
        <v>940</v>
      </c>
      <c r="E1527" s="1399">
        <v>609572.48</v>
      </c>
      <c r="I1527" s="1399">
        <v>609572.48</v>
      </c>
    </row>
    <row r="1528" spans="2:9">
      <c r="B1528" s="1297"/>
      <c r="C1528" s="1297"/>
      <c r="D1528" s="1297" t="s">
        <v>941</v>
      </c>
      <c r="E1528" s="1399">
        <v>268246.68</v>
      </c>
      <c r="I1528" s="1399">
        <v>268246.68</v>
      </c>
    </row>
    <row r="1529" spans="2:9">
      <c r="B1529" s="1297"/>
      <c r="C1529" s="1297"/>
      <c r="D1529" s="1297" t="s">
        <v>944</v>
      </c>
      <c r="E1529" s="1399">
        <v>1400865.83</v>
      </c>
      <c r="I1529" s="1399">
        <v>1400865.83</v>
      </c>
    </row>
    <row r="1530" spans="2:9">
      <c r="B1530" s="1297"/>
      <c r="C1530" s="1297"/>
      <c r="D1530" s="1297" t="s">
        <v>945</v>
      </c>
      <c r="E1530" s="1399">
        <v>740220.23</v>
      </c>
      <c r="I1530" s="1399">
        <v>740220.23</v>
      </c>
    </row>
    <row r="1531" spans="2:9">
      <c r="B1531" s="1297"/>
      <c r="C1531" s="1297"/>
      <c r="D1531" s="1297" t="s">
        <v>947</v>
      </c>
      <c r="E1531" s="1399">
        <v>72328.66</v>
      </c>
      <c r="I1531" s="1399">
        <v>72328.66</v>
      </c>
    </row>
    <row r="1532" spans="2:9">
      <c r="B1532" s="1297"/>
      <c r="C1532" s="1297"/>
      <c r="D1532" s="1297" t="s">
        <v>948</v>
      </c>
      <c r="G1532" s="1399">
        <v>78693.34</v>
      </c>
      <c r="I1532" s="1399">
        <v>78693.34</v>
      </c>
    </row>
    <row r="1533" spans="2:9">
      <c r="B1533" s="1297"/>
      <c r="C1533" s="1297"/>
      <c r="D1533" s="1297" t="s">
        <v>1051</v>
      </c>
      <c r="G1533" s="1399">
        <v>209478.44</v>
      </c>
      <c r="I1533" s="1399">
        <v>209478.44</v>
      </c>
    </row>
    <row r="1534" spans="2:9">
      <c r="B1534" s="1297"/>
      <c r="C1534" s="1400" t="s">
        <v>1090</v>
      </c>
      <c r="D1534" s="1400"/>
      <c r="E1534" s="1401">
        <v>3151587.49</v>
      </c>
      <c r="F1534" s="1401">
        <v>5294292.4300000016</v>
      </c>
      <c r="G1534" s="1401">
        <v>288171.78000000003</v>
      </c>
      <c r="H1534" s="1401">
        <v>9435840.1000000015</v>
      </c>
      <c r="I1534" s="1401">
        <v>18169891.800000004</v>
      </c>
    </row>
    <row r="1535" spans="2:9">
      <c r="B1535" s="1297" t="s">
        <v>1091</v>
      </c>
      <c r="C1535" s="1297" t="s">
        <v>1092</v>
      </c>
      <c r="D1535" s="1297" t="s">
        <v>906</v>
      </c>
      <c r="F1535" s="1399">
        <v>8374983.4000000004</v>
      </c>
      <c r="I1535" s="1399">
        <v>8374983.4000000004</v>
      </c>
    </row>
    <row r="1536" spans="2:9">
      <c r="B1536" s="1297"/>
      <c r="C1536" s="1297"/>
      <c r="D1536" s="1297" t="s">
        <v>952</v>
      </c>
      <c r="F1536" s="1399">
        <v>86798.51</v>
      </c>
      <c r="I1536" s="1399">
        <v>86798.51</v>
      </c>
    </row>
    <row r="1537" spans="2:9">
      <c r="B1537" s="1297"/>
      <c r="C1537" s="1297"/>
      <c r="D1537" s="1297" t="s">
        <v>907</v>
      </c>
      <c r="F1537" s="1399">
        <v>3826976.84</v>
      </c>
      <c r="I1537" s="1399">
        <v>3826976.84</v>
      </c>
    </row>
    <row r="1538" spans="2:9">
      <c r="B1538" s="1297"/>
      <c r="C1538" s="1297"/>
      <c r="D1538" s="1297" t="s">
        <v>908</v>
      </c>
      <c r="F1538" s="1399">
        <v>41362.92</v>
      </c>
      <c r="I1538" s="1399">
        <v>41362.92</v>
      </c>
    </row>
    <row r="1539" spans="2:9">
      <c r="B1539" s="1297"/>
      <c r="C1539" s="1297"/>
      <c r="D1539" s="1297" t="s">
        <v>909</v>
      </c>
      <c r="F1539" s="1399">
        <v>35388.46</v>
      </c>
      <c r="I1539" s="1399">
        <v>35388.46</v>
      </c>
    </row>
    <row r="1540" spans="2:9">
      <c r="B1540" s="1297"/>
      <c r="C1540" s="1297"/>
      <c r="D1540" s="1297" t="s">
        <v>910</v>
      </c>
      <c r="F1540" s="1399">
        <v>140296.37</v>
      </c>
      <c r="I1540" s="1399">
        <v>140296.37</v>
      </c>
    </row>
    <row r="1541" spans="2:9">
      <c r="B1541" s="1297"/>
      <c r="C1541" s="1297"/>
      <c r="D1541" s="1297" t="s">
        <v>1034</v>
      </c>
      <c r="F1541" s="1399">
        <v>31092.16</v>
      </c>
      <c r="I1541" s="1399">
        <v>31092.16</v>
      </c>
    </row>
    <row r="1542" spans="2:9">
      <c r="B1542" s="1297"/>
      <c r="C1542" s="1297"/>
      <c r="D1542" s="1297" t="s">
        <v>1035</v>
      </c>
      <c r="F1542" s="1399">
        <v>193301.45</v>
      </c>
      <c r="I1542" s="1399">
        <v>193301.45</v>
      </c>
    </row>
    <row r="1543" spans="2:9">
      <c r="B1543" s="1297"/>
      <c r="C1543" s="1297"/>
      <c r="D1543" s="1297" t="s">
        <v>1036</v>
      </c>
      <c r="F1543" s="1399">
        <v>120506.32999999999</v>
      </c>
      <c r="I1543" s="1399">
        <v>120506.32999999999</v>
      </c>
    </row>
    <row r="1544" spans="2:9">
      <c r="B1544" s="1297"/>
      <c r="C1544" s="1297"/>
      <c r="D1544" s="1297" t="s">
        <v>1037</v>
      </c>
      <c r="F1544" s="1399">
        <v>58000.62</v>
      </c>
      <c r="I1544" s="1399">
        <v>58000.62</v>
      </c>
    </row>
    <row r="1545" spans="2:9">
      <c r="B1545" s="1297"/>
      <c r="C1545" s="1297"/>
      <c r="D1545" s="1297" t="s">
        <v>1039</v>
      </c>
      <c r="F1545" s="1399">
        <v>37616.229999999996</v>
      </c>
      <c r="I1545" s="1399">
        <v>37616.229999999996</v>
      </c>
    </row>
    <row r="1546" spans="2:9">
      <c r="B1546" s="1297"/>
      <c r="C1546" s="1297"/>
      <c r="D1546" s="1297" t="s">
        <v>1040</v>
      </c>
      <c r="F1546" s="1399">
        <v>143183.9</v>
      </c>
      <c r="I1546" s="1399">
        <v>143183.9</v>
      </c>
    </row>
    <row r="1547" spans="2:9">
      <c r="B1547" s="1297"/>
      <c r="C1547" s="1297"/>
      <c r="D1547" s="1297" t="s">
        <v>1041</v>
      </c>
      <c r="F1547" s="1399">
        <v>81327.520000000004</v>
      </c>
      <c r="I1547" s="1399">
        <v>81327.520000000004</v>
      </c>
    </row>
    <row r="1548" spans="2:9">
      <c r="B1548" s="1297"/>
      <c r="C1548" s="1297"/>
      <c r="D1548" s="1297" t="s">
        <v>1042</v>
      </c>
      <c r="F1548" s="1399">
        <v>56594.34</v>
      </c>
      <c r="I1548" s="1399">
        <v>56594.34</v>
      </c>
    </row>
    <row r="1549" spans="2:9">
      <c r="B1549" s="1297"/>
      <c r="C1549" s="1297"/>
      <c r="D1549" s="1297" t="s">
        <v>953</v>
      </c>
      <c r="F1549" s="1399">
        <v>49171.81</v>
      </c>
      <c r="I1549" s="1399">
        <v>49171.81</v>
      </c>
    </row>
    <row r="1550" spans="2:9">
      <c r="B1550" s="1297"/>
      <c r="C1550" s="1297"/>
      <c r="D1550" s="1297" t="s">
        <v>1043</v>
      </c>
      <c r="F1550" s="1399">
        <v>16095</v>
      </c>
      <c r="I1550" s="1399">
        <v>16095</v>
      </c>
    </row>
    <row r="1551" spans="2:9">
      <c r="B1551" s="1297"/>
      <c r="C1551" s="1297"/>
      <c r="D1551" s="1297" t="s">
        <v>1044</v>
      </c>
      <c r="F1551" s="1399">
        <v>33776.269999999997</v>
      </c>
      <c r="I1551" s="1399">
        <v>33776.269999999997</v>
      </c>
    </row>
    <row r="1552" spans="2:9">
      <c r="B1552" s="1297"/>
      <c r="C1552" s="1297"/>
      <c r="D1552" s="1297" t="s">
        <v>1045</v>
      </c>
      <c r="F1552" s="1399">
        <v>228534.43000000002</v>
      </c>
      <c r="I1552" s="1399">
        <v>228534.43000000002</v>
      </c>
    </row>
    <row r="1553" spans="2:9">
      <c r="B1553" s="1297"/>
      <c r="C1553" s="1297"/>
      <c r="D1553" s="1297" t="s">
        <v>1046</v>
      </c>
      <c r="H1553" s="1399">
        <v>21767236</v>
      </c>
      <c r="I1553" s="1399">
        <v>21767236</v>
      </c>
    </row>
    <row r="1554" spans="2:9">
      <c r="B1554" s="1297"/>
      <c r="C1554" s="1297"/>
      <c r="D1554" s="1297" t="s">
        <v>1128</v>
      </c>
      <c r="H1554" s="1399">
        <v>1715498</v>
      </c>
      <c r="I1554" s="1399">
        <v>1715498</v>
      </c>
    </row>
    <row r="1555" spans="2:9">
      <c r="B1555" s="1297"/>
      <c r="C1555" s="1297"/>
      <c r="D1555" s="1297" t="s">
        <v>1129</v>
      </c>
      <c r="H1555" s="1399">
        <v>-3090113</v>
      </c>
      <c r="I1555" s="1399">
        <v>-3090113</v>
      </c>
    </row>
    <row r="1556" spans="2:9">
      <c r="B1556" s="1297"/>
      <c r="C1556" s="1297"/>
      <c r="D1556" s="1297" t="s">
        <v>1047</v>
      </c>
      <c r="H1556" s="1399">
        <v>597922</v>
      </c>
      <c r="I1556" s="1399">
        <v>597922</v>
      </c>
    </row>
    <row r="1557" spans="2:9">
      <c r="B1557" s="1297"/>
      <c r="C1557" s="1297"/>
      <c r="D1557" s="1297" t="s">
        <v>1048</v>
      </c>
      <c r="H1557" s="1399">
        <v>-2841899</v>
      </c>
      <c r="I1557" s="1399">
        <v>-2841899</v>
      </c>
    </row>
    <row r="1558" spans="2:9">
      <c r="B1558" s="1297"/>
      <c r="C1558" s="1297"/>
      <c r="D1558" s="1297" t="s">
        <v>932</v>
      </c>
      <c r="H1558" s="1399">
        <v>1922707</v>
      </c>
      <c r="I1558" s="1399">
        <v>1922707</v>
      </c>
    </row>
    <row r="1559" spans="2:9">
      <c r="B1559" s="1297"/>
      <c r="C1559" s="1297"/>
      <c r="D1559" s="1297" t="s">
        <v>955</v>
      </c>
      <c r="H1559" s="1399">
        <v>1353278.95</v>
      </c>
      <c r="I1559" s="1399">
        <v>1353278.95</v>
      </c>
    </row>
    <row r="1560" spans="2:9">
      <c r="B1560" s="1297"/>
      <c r="C1560" s="1297"/>
      <c r="D1560" s="1297" t="s">
        <v>934</v>
      </c>
      <c r="H1560" s="1399">
        <v>74790</v>
      </c>
      <c r="I1560" s="1399">
        <v>74790</v>
      </c>
    </row>
    <row r="1561" spans="2:9">
      <c r="B1561" s="1297"/>
      <c r="C1561" s="1297"/>
      <c r="D1561" s="1297" t="s">
        <v>935</v>
      </c>
      <c r="H1561" s="1399">
        <v>1586035.33</v>
      </c>
      <c r="I1561" s="1399">
        <v>1586035.33</v>
      </c>
    </row>
    <row r="1562" spans="2:9">
      <c r="B1562" s="1297"/>
      <c r="C1562" s="1297"/>
      <c r="D1562" s="1297" t="s">
        <v>936</v>
      </c>
      <c r="H1562" s="1399">
        <v>81234.92</v>
      </c>
      <c r="I1562" s="1399">
        <v>81234.92</v>
      </c>
    </row>
    <row r="1563" spans="2:9">
      <c r="B1563" s="1297"/>
      <c r="C1563" s="1297"/>
      <c r="D1563" s="1297" t="s">
        <v>937</v>
      </c>
      <c r="H1563" s="1399">
        <v>24356.65</v>
      </c>
      <c r="I1563" s="1399">
        <v>24356.65</v>
      </c>
    </row>
    <row r="1564" spans="2:9">
      <c r="B1564" s="1297"/>
      <c r="C1564" s="1297"/>
      <c r="D1564" s="1297" t="s">
        <v>938</v>
      </c>
      <c r="H1564" s="1399">
        <v>26202</v>
      </c>
      <c r="I1564" s="1399">
        <v>26202</v>
      </c>
    </row>
    <row r="1565" spans="2:9">
      <c r="B1565" s="1297"/>
      <c r="C1565" s="1297"/>
      <c r="D1565" s="1297" t="s">
        <v>940</v>
      </c>
      <c r="E1565" s="1399">
        <v>1450475.14</v>
      </c>
      <c r="I1565" s="1399">
        <v>1450475.14</v>
      </c>
    </row>
    <row r="1566" spans="2:9">
      <c r="B1566" s="1297"/>
      <c r="C1566" s="1297"/>
      <c r="D1566" s="1297" t="s">
        <v>941</v>
      </c>
      <c r="E1566" s="1399">
        <v>508601</v>
      </c>
      <c r="I1566" s="1399">
        <v>508601</v>
      </c>
    </row>
    <row r="1567" spans="2:9">
      <c r="B1567" s="1297"/>
      <c r="C1567" s="1297"/>
      <c r="D1567" s="1297" t="s">
        <v>943</v>
      </c>
      <c r="E1567" s="1399">
        <v>11052.64</v>
      </c>
      <c r="I1567" s="1399">
        <v>11052.64</v>
      </c>
    </row>
    <row r="1568" spans="2:9">
      <c r="B1568" s="1297"/>
      <c r="C1568" s="1297"/>
      <c r="D1568" s="1297" t="s">
        <v>944</v>
      </c>
      <c r="E1568" s="1399">
        <v>4450978.92</v>
      </c>
      <c r="I1568" s="1399">
        <v>4450978.92</v>
      </c>
    </row>
    <row r="1569" spans="2:9">
      <c r="B1569" s="1297"/>
      <c r="C1569" s="1297"/>
      <c r="D1569" s="1297" t="s">
        <v>945</v>
      </c>
      <c r="E1569" s="1399">
        <v>2188464.83</v>
      </c>
      <c r="I1569" s="1399">
        <v>2188464.83</v>
      </c>
    </row>
    <row r="1570" spans="2:9">
      <c r="B1570" s="1297"/>
      <c r="C1570" s="1297"/>
      <c r="D1570" s="1297" t="s">
        <v>946</v>
      </c>
      <c r="E1570" s="1399">
        <v>69819.570000000007</v>
      </c>
      <c r="I1570" s="1399">
        <v>69819.570000000007</v>
      </c>
    </row>
    <row r="1571" spans="2:9">
      <c r="B1571" s="1297"/>
      <c r="C1571" s="1297"/>
      <c r="D1571" s="1297" t="s">
        <v>978</v>
      </c>
      <c r="E1571" s="1399">
        <v>29990.47</v>
      </c>
      <c r="I1571" s="1399">
        <v>29990.47</v>
      </c>
    </row>
    <row r="1572" spans="2:9">
      <c r="B1572" s="1297"/>
      <c r="C1572" s="1297"/>
      <c r="D1572" s="1297" t="s">
        <v>1006</v>
      </c>
      <c r="E1572" s="1399">
        <v>13370.04</v>
      </c>
      <c r="I1572" s="1399">
        <v>13370.04</v>
      </c>
    </row>
    <row r="1573" spans="2:9">
      <c r="B1573" s="1297"/>
      <c r="C1573" s="1297"/>
      <c r="D1573" s="1297" t="s">
        <v>947</v>
      </c>
      <c r="E1573" s="1399">
        <v>90323.15</v>
      </c>
      <c r="I1573" s="1399">
        <v>90323.15</v>
      </c>
    </row>
    <row r="1574" spans="2:9">
      <c r="B1574" s="1297"/>
      <c r="C1574" s="1297"/>
      <c r="D1574" s="1297" t="s">
        <v>948</v>
      </c>
      <c r="G1574" s="1399">
        <v>523402.30999999994</v>
      </c>
      <c r="I1574" s="1399">
        <v>523402.30999999994</v>
      </c>
    </row>
    <row r="1575" spans="2:9">
      <c r="B1575" s="1297"/>
      <c r="C1575" s="1400" t="s">
        <v>1093</v>
      </c>
      <c r="D1575" s="1400"/>
      <c r="E1575" s="1401">
        <v>8813075.7599999998</v>
      </c>
      <c r="F1575" s="1401">
        <v>13555006.559999999</v>
      </c>
      <c r="G1575" s="1401">
        <v>523402.30999999994</v>
      </c>
      <c r="H1575" s="1401">
        <v>23217248.850000001</v>
      </c>
      <c r="I1575" s="1401">
        <v>46108733.480000004</v>
      </c>
    </row>
    <row r="1576" spans="2:9">
      <c r="B1576" s="1297" t="s">
        <v>1094</v>
      </c>
      <c r="C1576" s="1297" t="s">
        <v>1095</v>
      </c>
      <c r="D1576" s="1297" t="s">
        <v>906</v>
      </c>
      <c r="F1576" s="1399">
        <v>5174587.59</v>
      </c>
      <c r="I1576" s="1399">
        <v>5174587.59</v>
      </c>
    </row>
    <row r="1577" spans="2:9">
      <c r="B1577" s="1297"/>
      <c r="C1577" s="1297"/>
      <c r="D1577" s="1297" t="s">
        <v>952</v>
      </c>
      <c r="F1577" s="1399">
        <v>83520.44</v>
      </c>
      <c r="I1577" s="1399">
        <v>83520.44</v>
      </c>
    </row>
    <row r="1578" spans="2:9">
      <c r="B1578" s="1297"/>
      <c r="C1578" s="1297"/>
      <c r="D1578" s="1297" t="s">
        <v>907</v>
      </c>
      <c r="F1578" s="1399">
        <v>1943255.73</v>
      </c>
      <c r="I1578" s="1399">
        <v>1943255.73</v>
      </c>
    </row>
    <row r="1579" spans="2:9">
      <c r="B1579" s="1297"/>
      <c r="C1579" s="1297"/>
      <c r="D1579" s="1297" t="s">
        <v>908</v>
      </c>
      <c r="F1579" s="1399">
        <v>206797.84</v>
      </c>
      <c r="I1579" s="1399">
        <v>206797.84</v>
      </c>
    </row>
    <row r="1580" spans="2:9">
      <c r="B1580" s="1297"/>
      <c r="C1580" s="1297"/>
      <c r="D1580" s="1297" t="s">
        <v>1036</v>
      </c>
      <c r="F1580" s="1399">
        <v>115508.6</v>
      </c>
      <c r="I1580" s="1399">
        <v>115508.6</v>
      </c>
    </row>
    <row r="1581" spans="2:9">
      <c r="B1581" s="1297"/>
      <c r="C1581" s="1297"/>
      <c r="D1581" s="1297" t="s">
        <v>1037</v>
      </c>
      <c r="F1581" s="1399">
        <v>2238</v>
      </c>
      <c r="I1581" s="1399">
        <v>2238</v>
      </c>
    </row>
    <row r="1582" spans="2:9">
      <c r="B1582" s="1297"/>
      <c r="C1582" s="1297"/>
      <c r="D1582" s="1297" t="s">
        <v>1039</v>
      </c>
      <c r="F1582" s="1399">
        <v>238547.27</v>
      </c>
      <c r="I1582" s="1399">
        <v>238547.27</v>
      </c>
    </row>
    <row r="1583" spans="2:9">
      <c r="B1583" s="1297"/>
      <c r="C1583" s="1297"/>
      <c r="D1583" s="1297" t="s">
        <v>1040</v>
      </c>
      <c r="F1583" s="1399">
        <v>354822.32</v>
      </c>
      <c r="I1583" s="1399">
        <v>354822.32</v>
      </c>
    </row>
    <row r="1584" spans="2:9">
      <c r="B1584" s="1297"/>
      <c r="C1584" s="1297"/>
      <c r="D1584" s="1297" t="s">
        <v>1041</v>
      </c>
      <c r="F1584" s="1399">
        <v>22859.93</v>
      </c>
      <c r="I1584" s="1399">
        <v>22859.93</v>
      </c>
    </row>
    <row r="1585" spans="2:9">
      <c r="B1585" s="1297"/>
      <c r="C1585" s="1297"/>
      <c r="D1585" s="1297" t="s">
        <v>1042</v>
      </c>
      <c r="F1585" s="1399">
        <v>37950.1</v>
      </c>
      <c r="I1585" s="1399">
        <v>37950.1</v>
      </c>
    </row>
    <row r="1586" spans="2:9">
      <c r="B1586" s="1297"/>
      <c r="C1586" s="1297"/>
      <c r="D1586" s="1297" t="s">
        <v>953</v>
      </c>
      <c r="F1586" s="1399">
        <v>44597.05</v>
      </c>
      <c r="I1586" s="1399">
        <v>44597.05</v>
      </c>
    </row>
    <row r="1587" spans="2:9">
      <c r="B1587" s="1297"/>
      <c r="C1587" s="1297"/>
      <c r="D1587" s="1297" t="s">
        <v>986</v>
      </c>
      <c r="F1587" s="1399">
        <v>25173.01</v>
      </c>
      <c r="I1587" s="1399">
        <v>25173.01</v>
      </c>
    </row>
    <row r="1588" spans="2:9">
      <c r="B1588" s="1297"/>
      <c r="C1588" s="1297"/>
      <c r="D1588" s="1297" t="s">
        <v>1044</v>
      </c>
      <c r="F1588" s="1399">
        <v>4234.45</v>
      </c>
      <c r="I1588" s="1399">
        <v>4234.45</v>
      </c>
    </row>
    <row r="1589" spans="2:9">
      <c r="B1589" s="1297"/>
      <c r="C1589" s="1297"/>
      <c r="D1589" s="1297" t="s">
        <v>1045</v>
      </c>
      <c r="F1589" s="1399">
        <v>614214.55999999994</v>
      </c>
      <c r="I1589" s="1399">
        <v>614214.55999999994</v>
      </c>
    </row>
    <row r="1590" spans="2:9">
      <c r="B1590" s="1297"/>
      <c r="C1590" s="1297"/>
      <c r="D1590" s="1297" t="s">
        <v>1046</v>
      </c>
      <c r="H1590" s="1399">
        <v>12123461</v>
      </c>
      <c r="I1590" s="1399">
        <v>12123461</v>
      </c>
    </row>
    <row r="1591" spans="2:9">
      <c r="B1591" s="1297"/>
      <c r="C1591" s="1297"/>
      <c r="D1591" s="1297" t="s">
        <v>1047</v>
      </c>
      <c r="H1591" s="1399">
        <v>338015</v>
      </c>
      <c r="I1591" s="1399">
        <v>338015</v>
      </c>
    </row>
    <row r="1592" spans="2:9">
      <c r="B1592" s="1297"/>
      <c r="C1592" s="1297"/>
      <c r="D1592" s="1297" t="s">
        <v>1048</v>
      </c>
      <c r="H1592" s="1399">
        <v>-1961377</v>
      </c>
      <c r="I1592" s="1399">
        <v>-1961377</v>
      </c>
    </row>
    <row r="1593" spans="2:9">
      <c r="B1593" s="1297"/>
      <c r="C1593" s="1297"/>
      <c r="D1593" s="1297" t="s">
        <v>932</v>
      </c>
      <c r="H1593" s="1399">
        <v>552582</v>
      </c>
      <c r="I1593" s="1399">
        <v>552582</v>
      </c>
    </row>
    <row r="1594" spans="2:9">
      <c r="B1594" s="1297"/>
      <c r="C1594" s="1297"/>
      <c r="D1594" s="1297" t="s">
        <v>933</v>
      </c>
      <c r="H1594" s="1399">
        <v>716028.38</v>
      </c>
      <c r="I1594" s="1399">
        <v>716028.38</v>
      </c>
    </row>
    <row r="1595" spans="2:9">
      <c r="B1595" s="1297"/>
      <c r="C1595" s="1297"/>
      <c r="D1595" s="1297" t="s">
        <v>934</v>
      </c>
      <c r="H1595" s="1399">
        <v>39988</v>
      </c>
      <c r="I1595" s="1399">
        <v>39988</v>
      </c>
    </row>
    <row r="1596" spans="2:9">
      <c r="B1596" s="1297"/>
      <c r="C1596" s="1297"/>
      <c r="D1596" s="1297" t="s">
        <v>935</v>
      </c>
      <c r="H1596" s="1399">
        <v>288427.90999999997</v>
      </c>
      <c r="I1596" s="1399">
        <v>288427.90999999997</v>
      </c>
    </row>
    <row r="1597" spans="2:9">
      <c r="B1597" s="1297"/>
      <c r="C1597" s="1297"/>
      <c r="D1597" s="1297" t="s">
        <v>936</v>
      </c>
      <c r="H1597" s="1399">
        <v>37816.26</v>
      </c>
      <c r="I1597" s="1399">
        <v>37816.26</v>
      </c>
    </row>
    <row r="1598" spans="2:9">
      <c r="B1598" s="1297"/>
      <c r="C1598" s="1297"/>
      <c r="D1598" s="1297" t="s">
        <v>938</v>
      </c>
      <c r="H1598" s="1399">
        <v>11604</v>
      </c>
      <c r="I1598" s="1399">
        <v>11604</v>
      </c>
    </row>
    <row r="1599" spans="2:9">
      <c r="B1599" s="1297"/>
      <c r="C1599" s="1297"/>
      <c r="D1599" s="1297" t="s">
        <v>939</v>
      </c>
      <c r="H1599" s="1399">
        <v>104674.66</v>
      </c>
      <c r="I1599" s="1399">
        <v>104674.66</v>
      </c>
    </row>
    <row r="1600" spans="2:9">
      <c r="B1600" s="1297"/>
      <c r="C1600" s="1297"/>
      <c r="D1600" s="1297" t="s">
        <v>940</v>
      </c>
      <c r="E1600" s="1399">
        <v>548854.98</v>
      </c>
      <c r="I1600" s="1399">
        <v>548854.98</v>
      </c>
    </row>
    <row r="1601" spans="2:9">
      <c r="B1601" s="1297"/>
      <c r="C1601" s="1297"/>
      <c r="D1601" s="1297" t="s">
        <v>941</v>
      </c>
      <c r="E1601" s="1399">
        <v>181186.4</v>
      </c>
      <c r="I1601" s="1399">
        <v>181186.4</v>
      </c>
    </row>
    <row r="1602" spans="2:9">
      <c r="B1602" s="1297"/>
      <c r="C1602" s="1297"/>
      <c r="D1602" s="1297" t="s">
        <v>943</v>
      </c>
      <c r="E1602" s="1399">
        <v>2148.2199999999998</v>
      </c>
      <c r="I1602" s="1399">
        <v>2148.2199999999998</v>
      </c>
    </row>
    <row r="1603" spans="2:9">
      <c r="B1603" s="1297"/>
      <c r="C1603" s="1297"/>
      <c r="D1603" s="1297" t="s">
        <v>944</v>
      </c>
      <c r="E1603" s="1399">
        <v>1177639.6399999999</v>
      </c>
      <c r="I1603" s="1399">
        <v>1177639.6399999999</v>
      </c>
    </row>
    <row r="1604" spans="2:9">
      <c r="B1604" s="1297"/>
      <c r="C1604" s="1297"/>
      <c r="D1604" s="1297" t="s">
        <v>945</v>
      </c>
      <c r="E1604" s="1399">
        <v>1668072.8199999998</v>
      </c>
      <c r="I1604" s="1399">
        <v>1668072.8199999998</v>
      </c>
    </row>
    <row r="1605" spans="2:9">
      <c r="B1605" s="1297"/>
      <c r="C1605" s="1297"/>
      <c r="D1605" s="1297" t="s">
        <v>947</v>
      </c>
      <c r="E1605" s="1399">
        <v>90943.86</v>
      </c>
      <c r="I1605" s="1399">
        <v>90943.86</v>
      </c>
    </row>
    <row r="1606" spans="2:9">
      <c r="B1606" s="1297"/>
      <c r="C1606" s="1297"/>
      <c r="D1606" s="1297" t="s">
        <v>948</v>
      </c>
      <c r="G1606" s="1399">
        <v>2375412.98</v>
      </c>
      <c r="I1606" s="1399">
        <v>2375412.98</v>
      </c>
    </row>
    <row r="1607" spans="2:9">
      <c r="B1607" s="1297"/>
      <c r="C1607" s="1297"/>
      <c r="D1607" s="1297" t="s">
        <v>1051</v>
      </c>
      <c r="G1607" s="1399">
        <v>200000</v>
      </c>
      <c r="I1607" s="1399">
        <v>200000</v>
      </c>
    </row>
    <row r="1608" spans="2:9">
      <c r="B1608" s="1297"/>
      <c r="C1608" s="1400" t="s">
        <v>1096</v>
      </c>
      <c r="D1608" s="1400"/>
      <c r="E1608" s="1401">
        <v>3668845.9199999995</v>
      </c>
      <c r="F1608" s="1401">
        <v>8868306.8899999987</v>
      </c>
      <c r="G1608" s="1401">
        <v>2575412.98</v>
      </c>
      <c r="H1608" s="1401">
        <v>12251220.210000001</v>
      </c>
      <c r="I1608" s="1401">
        <v>27363786</v>
      </c>
    </row>
    <row r="1609" spans="2:9">
      <c r="B1609" s="1297" t="s">
        <v>1097</v>
      </c>
      <c r="C1609" s="1297" t="s">
        <v>1098</v>
      </c>
      <c r="D1609" s="1297" t="s">
        <v>906</v>
      </c>
      <c r="F1609" s="1399">
        <v>19634715.949999999</v>
      </c>
      <c r="I1609" s="1399">
        <v>19634715.949999999</v>
      </c>
    </row>
    <row r="1610" spans="2:9">
      <c r="B1610" s="1297"/>
      <c r="C1610" s="1297"/>
      <c r="D1610" s="1297" t="s">
        <v>952</v>
      </c>
      <c r="F1610" s="1399">
        <v>263834.98</v>
      </c>
      <c r="I1610" s="1399">
        <v>263834.98</v>
      </c>
    </row>
    <row r="1611" spans="2:9">
      <c r="B1611" s="1297"/>
      <c r="C1611" s="1297"/>
      <c r="D1611" s="1297" t="s">
        <v>907</v>
      </c>
      <c r="F1611" s="1399">
        <v>4904355.63</v>
      </c>
      <c r="I1611" s="1399">
        <v>4904355.63</v>
      </c>
    </row>
    <row r="1612" spans="2:9">
      <c r="B1612" s="1297"/>
      <c r="C1612" s="1297"/>
      <c r="D1612" s="1297" t="s">
        <v>909</v>
      </c>
      <c r="F1612" s="1399">
        <v>26431.16</v>
      </c>
      <c r="I1612" s="1399">
        <v>26431.16</v>
      </c>
    </row>
    <row r="1613" spans="2:9">
      <c r="B1613" s="1297"/>
      <c r="C1613" s="1297"/>
      <c r="D1613" s="1297" t="s">
        <v>910</v>
      </c>
      <c r="F1613" s="1399">
        <v>27794</v>
      </c>
      <c r="I1613" s="1399">
        <v>27794</v>
      </c>
    </row>
    <row r="1614" spans="2:9">
      <c r="B1614" s="1297"/>
      <c r="C1614" s="1297"/>
      <c r="D1614" s="1297" t="s">
        <v>1034</v>
      </c>
      <c r="F1614" s="1399">
        <v>18773.25</v>
      </c>
      <c r="I1614" s="1399">
        <v>18773.25</v>
      </c>
    </row>
    <row r="1615" spans="2:9">
      <c r="B1615" s="1297"/>
      <c r="C1615" s="1297"/>
      <c r="D1615" s="1297" t="s">
        <v>1035</v>
      </c>
      <c r="F1615" s="1399">
        <v>69128.600000000006</v>
      </c>
      <c r="I1615" s="1399">
        <v>69128.600000000006</v>
      </c>
    </row>
    <row r="1616" spans="2:9">
      <c r="B1616" s="1297"/>
      <c r="C1616" s="1297"/>
      <c r="D1616" s="1297" t="s">
        <v>1036</v>
      </c>
      <c r="F1616" s="1399">
        <v>117729.45</v>
      </c>
      <c r="I1616" s="1399">
        <v>117729.45</v>
      </c>
    </row>
    <row r="1617" spans="2:9">
      <c r="B1617" s="1297"/>
      <c r="C1617" s="1297"/>
      <c r="D1617" s="1297" t="s">
        <v>1039</v>
      </c>
      <c r="F1617" s="1399">
        <v>51910.09</v>
      </c>
      <c r="I1617" s="1399">
        <v>51910.09</v>
      </c>
    </row>
    <row r="1618" spans="2:9">
      <c r="B1618" s="1297"/>
      <c r="C1618" s="1297"/>
      <c r="D1618" s="1297" t="s">
        <v>1040</v>
      </c>
      <c r="F1618" s="1399">
        <v>594927.59</v>
      </c>
      <c r="I1618" s="1399">
        <v>594927.59</v>
      </c>
    </row>
    <row r="1619" spans="2:9">
      <c r="B1619" s="1297"/>
      <c r="C1619" s="1297"/>
      <c r="D1619" s="1297" t="s">
        <v>1041</v>
      </c>
      <c r="F1619" s="1399">
        <v>183351</v>
      </c>
      <c r="I1619" s="1399">
        <v>183351</v>
      </c>
    </row>
    <row r="1620" spans="2:9">
      <c r="B1620" s="1297"/>
      <c r="C1620" s="1297"/>
      <c r="D1620" s="1297" t="s">
        <v>1042</v>
      </c>
      <c r="F1620" s="1399">
        <v>90740.4</v>
      </c>
      <c r="I1620" s="1399">
        <v>90740.4</v>
      </c>
    </row>
    <row r="1621" spans="2:9">
      <c r="B1621" s="1297"/>
      <c r="C1621" s="1297"/>
      <c r="D1621" s="1297" t="s">
        <v>986</v>
      </c>
      <c r="F1621" s="1399">
        <v>66128.95</v>
      </c>
      <c r="I1621" s="1399">
        <v>66128.95</v>
      </c>
    </row>
    <row r="1622" spans="2:9">
      <c r="B1622" s="1297"/>
      <c r="C1622" s="1297"/>
      <c r="D1622" s="1297" t="s">
        <v>1044</v>
      </c>
      <c r="F1622" s="1399">
        <v>17056</v>
      </c>
      <c r="I1622" s="1399">
        <v>17056</v>
      </c>
    </row>
    <row r="1623" spans="2:9">
      <c r="B1623" s="1297"/>
      <c r="C1623" s="1297"/>
      <c r="D1623" s="1297" t="s">
        <v>1045</v>
      </c>
      <c r="F1623" s="1399">
        <v>835313.12999999989</v>
      </c>
      <c r="I1623" s="1399">
        <v>835313.12999999989</v>
      </c>
    </row>
    <row r="1624" spans="2:9">
      <c r="B1624" s="1297"/>
      <c r="C1624" s="1297"/>
      <c r="D1624" s="1297" t="s">
        <v>1046</v>
      </c>
      <c r="H1624" s="1399">
        <v>18302384</v>
      </c>
      <c r="I1624" s="1399">
        <v>18302384</v>
      </c>
    </row>
    <row r="1625" spans="2:9">
      <c r="B1625" s="1297"/>
      <c r="C1625" s="1297"/>
      <c r="D1625" s="1297" t="s">
        <v>1047</v>
      </c>
      <c r="H1625" s="1399">
        <v>440152</v>
      </c>
      <c r="I1625" s="1399">
        <v>440152</v>
      </c>
    </row>
    <row r="1626" spans="2:9">
      <c r="B1626" s="1297"/>
      <c r="C1626" s="1297"/>
      <c r="D1626" s="1297" t="s">
        <v>1048</v>
      </c>
      <c r="H1626" s="1399">
        <v>-6538429</v>
      </c>
      <c r="I1626" s="1399">
        <v>-6538429</v>
      </c>
    </row>
    <row r="1627" spans="2:9">
      <c r="B1627" s="1297"/>
      <c r="C1627" s="1297"/>
      <c r="D1627" s="1297" t="s">
        <v>955</v>
      </c>
      <c r="H1627" s="1399">
        <v>251991.79</v>
      </c>
      <c r="I1627" s="1399">
        <v>251991.79</v>
      </c>
    </row>
    <row r="1628" spans="2:9">
      <c r="B1628" s="1297"/>
      <c r="C1628" s="1297"/>
      <c r="D1628" s="1297" t="s">
        <v>934</v>
      </c>
      <c r="H1628" s="1399">
        <v>55028</v>
      </c>
      <c r="I1628" s="1399">
        <v>55028</v>
      </c>
    </row>
    <row r="1629" spans="2:9">
      <c r="B1629" s="1297"/>
      <c r="C1629" s="1297"/>
      <c r="D1629" s="1297" t="s">
        <v>935</v>
      </c>
      <c r="H1629" s="1399">
        <v>378428.88</v>
      </c>
      <c r="I1629" s="1399">
        <v>378428.88</v>
      </c>
    </row>
    <row r="1630" spans="2:9">
      <c r="B1630" s="1297"/>
      <c r="C1630" s="1297"/>
      <c r="D1630" s="1297" t="s">
        <v>936</v>
      </c>
      <c r="H1630" s="1399">
        <v>70030.11</v>
      </c>
      <c r="I1630" s="1399">
        <v>70030.11</v>
      </c>
    </row>
    <row r="1631" spans="2:9">
      <c r="B1631" s="1297"/>
      <c r="C1631" s="1297"/>
      <c r="D1631" s="1297" t="s">
        <v>937</v>
      </c>
      <c r="H1631" s="1399">
        <v>51310.9</v>
      </c>
      <c r="I1631" s="1399">
        <v>51310.9</v>
      </c>
    </row>
    <row r="1632" spans="2:9">
      <c r="B1632" s="1297"/>
      <c r="C1632" s="1297"/>
      <c r="D1632" s="1297" t="s">
        <v>938</v>
      </c>
      <c r="H1632" s="1399">
        <v>18529</v>
      </c>
      <c r="I1632" s="1399">
        <v>18529</v>
      </c>
    </row>
    <row r="1633" spans="2:9">
      <c r="B1633" s="1297"/>
      <c r="C1633" s="1297"/>
      <c r="D1633" s="1297" t="s">
        <v>940</v>
      </c>
      <c r="E1633" s="1399">
        <v>692909.96</v>
      </c>
      <c r="I1633" s="1399">
        <v>692909.96</v>
      </c>
    </row>
    <row r="1634" spans="2:9">
      <c r="B1634" s="1297"/>
      <c r="C1634" s="1297"/>
      <c r="D1634" s="1297" t="s">
        <v>941</v>
      </c>
      <c r="E1634" s="1399">
        <v>200974.2</v>
      </c>
      <c r="I1634" s="1399">
        <v>200974.2</v>
      </c>
    </row>
    <row r="1635" spans="2:9">
      <c r="B1635" s="1297"/>
      <c r="C1635" s="1297"/>
      <c r="D1635" s="1297" t="s">
        <v>943</v>
      </c>
      <c r="E1635" s="1399">
        <v>2405.7399999999998</v>
      </c>
      <c r="I1635" s="1399">
        <v>2405.7399999999998</v>
      </c>
    </row>
    <row r="1636" spans="2:9">
      <c r="B1636" s="1297"/>
      <c r="C1636" s="1297"/>
      <c r="D1636" s="1297" t="s">
        <v>944</v>
      </c>
      <c r="E1636" s="1399">
        <v>1488468.2299999997</v>
      </c>
      <c r="I1636" s="1399">
        <v>1488468.2299999997</v>
      </c>
    </row>
    <row r="1637" spans="2:9">
      <c r="B1637" s="1297"/>
      <c r="C1637" s="1297"/>
      <c r="D1637" s="1297" t="s">
        <v>945</v>
      </c>
      <c r="E1637" s="1399">
        <v>1470183.86</v>
      </c>
      <c r="I1637" s="1399">
        <v>1470183.86</v>
      </c>
    </row>
    <row r="1638" spans="2:9">
      <c r="B1638" s="1297"/>
      <c r="C1638" s="1297"/>
      <c r="D1638" s="1297" t="s">
        <v>1214</v>
      </c>
      <c r="E1638" s="1399">
        <v>18063.02</v>
      </c>
      <c r="I1638" s="1399">
        <v>18063.02</v>
      </c>
    </row>
    <row r="1639" spans="2:9">
      <c r="B1639" s="1297"/>
      <c r="C1639" s="1297"/>
      <c r="D1639" s="1297" t="s">
        <v>947</v>
      </c>
      <c r="E1639" s="1399">
        <v>99656.610000000015</v>
      </c>
      <c r="I1639" s="1399">
        <v>99656.610000000015</v>
      </c>
    </row>
    <row r="1640" spans="2:9">
      <c r="B1640" s="1297"/>
      <c r="C1640" s="1297"/>
      <c r="D1640" s="1297" t="s">
        <v>1115</v>
      </c>
      <c r="E1640" s="1399">
        <v>1688.8500000000001</v>
      </c>
      <c r="I1640" s="1399">
        <v>1688.8500000000001</v>
      </c>
    </row>
    <row r="1641" spans="2:9">
      <c r="B1641" s="1297"/>
      <c r="C1641" s="1297"/>
      <c r="D1641" s="1297" t="s">
        <v>948</v>
      </c>
      <c r="G1641" s="1399">
        <v>14398458.300000001</v>
      </c>
      <c r="I1641" s="1399">
        <v>14398458.300000001</v>
      </c>
    </row>
    <row r="1642" spans="2:9">
      <c r="B1642" s="1297"/>
      <c r="C1642" s="1400" t="s">
        <v>1099</v>
      </c>
      <c r="D1642" s="1400"/>
      <c r="E1642" s="1401">
        <v>3974350.47</v>
      </c>
      <c r="F1642" s="1401">
        <v>26902190.179999996</v>
      </c>
      <c r="G1642" s="1401">
        <v>14398458.300000001</v>
      </c>
      <c r="H1642" s="1401">
        <v>13029425.68</v>
      </c>
      <c r="I1642" s="1401">
        <v>58304424.629999995</v>
      </c>
    </row>
    <row r="1643" spans="2:9">
      <c r="B1643" s="1297" t="s">
        <v>1100</v>
      </c>
      <c r="C1643" s="1297" t="s">
        <v>1101</v>
      </c>
      <c r="D1643" s="1297" t="s">
        <v>906</v>
      </c>
      <c r="F1643" s="1399">
        <v>10745033.85</v>
      </c>
      <c r="I1643" s="1399">
        <v>10745033.85</v>
      </c>
    </row>
    <row r="1644" spans="2:9">
      <c r="B1644" s="1297"/>
      <c r="C1644" s="1297"/>
      <c r="D1644" s="1297" t="s">
        <v>952</v>
      </c>
      <c r="F1644" s="1399">
        <v>79053.259999999995</v>
      </c>
      <c r="I1644" s="1399">
        <v>79053.259999999995</v>
      </c>
    </row>
    <row r="1645" spans="2:9">
      <c r="B1645" s="1297"/>
      <c r="C1645" s="1297"/>
      <c r="D1645" s="1297" t="s">
        <v>907</v>
      </c>
      <c r="F1645" s="1399">
        <v>4712515.55</v>
      </c>
      <c r="I1645" s="1399">
        <v>4712515.55</v>
      </c>
    </row>
    <row r="1646" spans="2:9">
      <c r="B1646" s="1297"/>
      <c r="C1646" s="1297"/>
      <c r="D1646" s="1297" t="s">
        <v>908</v>
      </c>
      <c r="F1646" s="1399">
        <v>29879.78</v>
      </c>
      <c r="I1646" s="1399">
        <v>29879.78</v>
      </c>
    </row>
    <row r="1647" spans="2:9">
      <c r="B1647" s="1297"/>
      <c r="C1647" s="1297"/>
      <c r="D1647" s="1297" t="s">
        <v>1037</v>
      </c>
      <c r="F1647" s="1399">
        <v>1400</v>
      </c>
      <c r="I1647" s="1399">
        <v>1400</v>
      </c>
    </row>
    <row r="1648" spans="2:9">
      <c r="B1648" s="1297"/>
      <c r="C1648" s="1297"/>
      <c r="D1648" s="1297" t="s">
        <v>1039</v>
      </c>
      <c r="F1648" s="1399">
        <v>27300.67</v>
      </c>
      <c r="I1648" s="1399">
        <v>27300.67</v>
      </c>
    </row>
    <row r="1649" spans="2:9">
      <c r="B1649" s="1297"/>
      <c r="C1649" s="1297"/>
      <c r="D1649" s="1297" t="s">
        <v>1040</v>
      </c>
      <c r="F1649" s="1399">
        <v>328799.48</v>
      </c>
      <c r="I1649" s="1399">
        <v>328799.48</v>
      </c>
    </row>
    <row r="1650" spans="2:9">
      <c r="B1650" s="1297"/>
      <c r="C1650" s="1297"/>
      <c r="D1650" s="1297" t="s">
        <v>1041</v>
      </c>
      <c r="F1650" s="1399">
        <v>37240.79</v>
      </c>
      <c r="I1650" s="1399">
        <v>37240.79</v>
      </c>
    </row>
    <row r="1651" spans="2:9">
      <c r="B1651" s="1297"/>
      <c r="C1651" s="1297"/>
      <c r="D1651" s="1297" t="s">
        <v>1042</v>
      </c>
      <c r="F1651" s="1399">
        <v>45970.87</v>
      </c>
      <c r="I1651" s="1399">
        <v>45970.87</v>
      </c>
    </row>
    <row r="1652" spans="2:9">
      <c r="B1652" s="1297"/>
      <c r="C1652" s="1297"/>
      <c r="D1652" s="1297" t="s">
        <v>954</v>
      </c>
      <c r="F1652" s="1399">
        <v>1275149.8</v>
      </c>
      <c r="I1652" s="1399">
        <v>1275149.8</v>
      </c>
    </row>
    <row r="1653" spans="2:9">
      <c r="B1653" s="1297"/>
      <c r="C1653" s="1297"/>
      <c r="D1653" s="1297" t="s">
        <v>1043</v>
      </c>
      <c r="F1653" s="1399">
        <v>6000</v>
      </c>
      <c r="I1653" s="1399">
        <v>6000</v>
      </c>
    </row>
    <row r="1654" spans="2:9">
      <c r="B1654" s="1297"/>
      <c r="C1654" s="1297"/>
      <c r="D1654" s="1297" t="s">
        <v>986</v>
      </c>
      <c r="F1654" s="1399">
        <v>26557.919999999998</v>
      </c>
      <c r="I1654" s="1399">
        <v>26557.919999999998</v>
      </c>
    </row>
    <row r="1655" spans="2:9">
      <c r="B1655" s="1297"/>
      <c r="C1655" s="1297"/>
      <c r="D1655" s="1297" t="s">
        <v>1044</v>
      </c>
      <c r="F1655" s="1399">
        <v>39053.519999999997</v>
      </c>
      <c r="I1655" s="1399">
        <v>39053.519999999997</v>
      </c>
    </row>
    <row r="1656" spans="2:9">
      <c r="B1656" s="1297"/>
      <c r="C1656" s="1297"/>
      <c r="D1656" s="1297" t="s">
        <v>1045</v>
      </c>
      <c r="F1656" s="1399">
        <v>362561.84</v>
      </c>
      <c r="I1656" s="1399">
        <v>362561.84</v>
      </c>
    </row>
    <row r="1657" spans="2:9">
      <c r="B1657" s="1297"/>
      <c r="C1657" s="1297"/>
      <c r="D1657" s="1297" t="s">
        <v>1046</v>
      </c>
      <c r="H1657" s="1399">
        <v>28062223</v>
      </c>
      <c r="I1657" s="1399">
        <v>28062223</v>
      </c>
    </row>
    <row r="1658" spans="2:9">
      <c r="B1658" s="1297"/>
      <c r="C1658" s="1297"/>
      <c r="D1658" s="1297" t="s">
        <v>1128</v>
      </c>
      <c r="H1658" s="1399">
        <v>2287908</v>
      </c>
      <c r="I1658" s="1399">
        <v>2287908</v>
      </c>
    </row>
    <row r="1659" spans="2:9">
      <c r="B1659" s="1297"/>
      <c r="C1659" s="1297"/>
      <c r="D1659" s="1297" t="s">
        <v>1129</v>
      </c>
      <c r="H1659" s="1399">
        <v>-3867672</v>
      </c>
      <c r="I1659" s="1399">
        <v>-3867672</v>
      </c>
    </row>
    <row r="1660" spans="2:9">
      <c r="B1660" s="1297"/>
      <c r="C1660" s="1297"/>
      <c r="D1660" s="1297" t="s">
        <v>1047</v>
      </c>
      <c r="H1660" s="1399">
        <v>914587</v>
      </c>
      <c r="I1660" s="1399">
        <v>914587</v>
      </c>
    </row>
    <row r="1661" spans="2:9">
      <c r="B1661" s="1297"/>
      <c r="C1661" s="1297"/>
      <c r="D1661" s="1297" t="s">
        <v>1048</v>
      </c>
      <c r="H1661" s="1399">
        <v>-4133722</v>
      </c>
      <c r="I1661" s="1399">
        <v>-4133722</v>
      </c>
    </row>
    <row r="1662" spans="2:9">
      <c r="B1662" s="1297"/>
      <c r="C1662" s="1297"/>
      <c r="D1662" s="1297" t="s">
        <v>932</v>
      </c>
      <c r="H1662" s="1399">
        <v>1702187</v>
      </c>
      <c r="I1662" s="1399">
        <v>1702187</v>
      </c>
    </row>
    <row r="1663" spans="2:9">
      <c r="B1663" s="1297"/>
      <c r="C1663" s="1297"/>
      <c r="D1663" s="1297" t="s">
        <v>933</v>
      </c>
      <c r="H1663" s="1399">
        <v>1496664.74</v>
      </c>
      <c r="I1663" s="1399">
        <v>1496664.74</v>
      </c>
    </row>
    <row r="1664" spans="2:9">
      <c r="B1664" s="1297"/>
      <c r="C1664" s="1297"/>
      <c r="D1664" s="1297" t="s">
        <v>934</v>
      </c>
      <c r="H1664" s="1399">
        <v>92128</v>
      </c>
      <c r="I1664" s="1399">
        <v>92128</v>
      </c>
    </row>
    <row r="1665" spans="2:9">
      <c r="B1665" s="1297"/>
      <c r="C1665" s="1297"/>
      <c r="D1665" s="1297" t="s">
        <v>935</v>
      </c>
      <c r="H1665" s="1399">
        <v>682121.08000000007</v>
      </c>
      <c r="I1665" s="1399">
        <v>682121.08000000007</v>
      </c>
    </row>
    <row r="1666" spans="2:9">
      <c r="B1666" s="1297"/>
      <c r="C1666" s="1297"/>
      <c r="D1666" s="1297" t="s">
        <v>936</v>
      </c>
      <c r="H1666" s="1399">
        <v>107496.21</v>
      </c>
      <c r="I1666" s="1399">
        <v>107496.21</v>
      </c>
    </row>
    <row r="1667" spans="2:9">
      <c r="B1667" s="1297"/>
      <c r="C1667" s="1297"/>
      <c r="D1667" s="1297" t="s">
        <v>937</v>
      </c>
      <c r="H1667" s="1399">
        <v>17991.16</v>
      </c>
      <c r="I1667" s="1399">
        <v>17991.16</v>
      </c>
    </row>
    <row r="1668" spans="2:9">
      <c r="B1668" s="1297"/>
      <c r="C1668" s="1297"/>
      <c r="D1668" s="1297" t="s">
        <v>938</v>
      </c>
      <c r="H1668" s="1399">
        <v>31068</v>
      </c>
      <c r="I1668" s="1399">
        <v>31068</v>
      </c>
    </row>
    <row r="1669" spans="2:9">
      <c r="B1669" s="1297"/>
      <c r="C1669" s="1297"/>
      <c r="D1669" s="1297" t="s">
        <v>939</v>
      </c>
      <c r="H1669" s="1399">
        <v>201834.02</v>
      </c>
      <c r="I1669" s="1399">
        <v>201834.02</v>
      </c>
    </row>
    <row r="1670" spans="2:9">
      <c r="B1670" s="1297"/>
      <c r="C1670" s="1297"/>
      <c r="D1670" s="1297" t="s">
        <v>940</v>
      </c>
      <c r="E1670" s="1399">
        <v>1720068.58</v>
      </c>
      <c r="I1670" s="1399">
        <v>1720068.58</v>
      </c>
    </row>
    <row r="1671" spans="2:9">
      <c r="B1671" s="1297"/>
      <c r="C1671" s="1297"/>
      <c r="D1671" s="1297" t="s">
        <v>941</v>
      </c>
      <c r="E1671" s="1399">
        <v>877641.04</v>
      </c>
      <c r="I1671" s="1399">
        <v>877641.04</v>
      </c>
    </row>
    <row r="1672" spans="2:9">
      <c r="B1672" s="1297"/>
      <c r="C1672" s="1297"/>
      <c r="D1672" s="1297" t="s">
        <v>943</v>
      </c>
      <c r="E1672" s="1399">
        <v>31184.34</v>
      </c>
      <c r="I1672" s="1399">
        <v>31184.34</v>
      </c>
    </row>
    <row r="1673" spans="2:9">
      <c r="B1673" s="1297"/>
      <c r="C1673" s="1297"/>
      <c r="D1673" s="1297" t="s">
        <v>944</v>
      </c>
      <c r="E1673" s="1399">
        <v>5447897.1099999994</v>
      </c>
      <c r="I1673" s="1399">
        <v>5447897.1099999994</v>
      </c>
    </row>
    <row r="1674" spans="2:9">
      <c r="B1674" s="1297"/>
      <c r="C1674" s="1297"/>
      <c r="D1674" s="1297" t="s">
        <v>945</v>
      </c>
      <c r="E1674" s="1399">
        <v>2840240.1700000004</v>
      </c>
      <c r="I1674" s="1399">
        <v>2840240.1700000004</v>
      </c>
    </row>
    <row r="1675" spans="2:9">
      <c r="B1675" s="1297"/>
      <c r="C1675" s="1297"/>
      <c r="D1675" s="1297" t="s">
        <v>946</v>
      </c>
      <c r="E1675" s="1399">
        <v>196215.28</v>
      </c>
      <c r="I1675" s="1399">
        <v>196215.28</v>
      </c>
    </row>
    <row r="1676" spans="2:9">
      <c r="B1676" s="1297"/>
      <c r="C1676" s="1297"/>
      <c r="D1676" s="1297" t="s">
        <v>947</v>
      </c>
      <c r="E1676" s="1399">
        <v>155535.59</v>
      </c>
      <c r="I1676" s="1399">
        <v>155535.59</v>
      </c>
    </row>
    <row r="1677" spans="2:9">
      <c r="B1677" s="1297"/>
      <c r="C1677" s="1297"/>
      <c r="D1677" s="1297" t="s">
        <v>948</v>
      </c>
      <c r="G1677" s="1399">
        <v>5743059.2299999995</v>
      </c>
      <c r="I1677" s="1399">
        <v>5743059.2299999995</v>
      </c>
    </row>
    <row r="1678" spans="2:9">
      <c r="B1678" s="1297"/>
      <c r="C1678" s="1297"/>
      <c r="D1678" s="1297" t="s">
        <v>956</v>
      </c>
      <c r="G1678" s="1399">
        <v>181634</v>
      </c>
      <c r="I1678" s="1399">
        <v>181634</v>
      </c>
    </row>
    <row r="1679" spans="2:9">
      <c r="B1679" s="1297"/>
      <c r="C1679" s="1400" t="s">
        <v>1102</v>
      </c>
      <c r="D1679" s="1400"/>
      <c r="E1679" s="1401">
        <v>11268782.109999999</v>
      </c>
      <c r="F1679" s="1401">
        <v>17716517.329999998</v>
      </c>
      <c r="G1679" s="1401">
        <v>5924693.2299999995</v>
      </c>
      <c r="H1679" s="1401">
        <v>27594814.210000001</v>
      </c>
      <c r="I1679" s="1401">
        <v>62504806.880000003</v>
      </c>
    </row>
    <row r="1680" spans="2:9">
      <c r="B1680" s="1297" t="s">
        <v>1103</v>
      </c>
      <c r="C1680" s="1297" t="s">
        <v>1104</v>
      </c>
      <c r="D1680" s="1297" t="s">
        <v>906</v>
      </c>
      <c r="F1680" s="1399">
        <v>446762804.91000003</v>
      </c>
      <c r="I1680" s="1399">
        <v>446762804.91000003</v>
      </c>
    </row>
    <row r="1681" spans="2:9">
      <c r="B1681" s="1297"/>
      <c r="C1681" s="1297"/>
      <c r="D1681" s="1297" t="s">
        <v>952</v>
      </c>
      <c r="F1681" s="1399">
        <v>5245556.91</v>
      </c>
      <c r="I1681" s="1399">
        <v>5245556.91</v>
      </c>
    </row>
    <row r="1682" spans="2:9">
      <c r="B1682" s="1297"/>
      <c r="C1682" s="1297"/>
      <c r="D1682" s="1297" t="s">
        <v>907</v>
      </c>
      <c r="F1682" s="1399">
        <v>104440242.56</v>
      </c>
      <c r="I1682" s="1399">
        <v>104440242.56</v>
      </c>
    </row>
    <row r="1683" spans="2:9">
      <c r="B1683" s="1297"/>
      <c r="C1683" s="1297"/>
      <c r="D1683" s="1297" t="s">
        <v>908</v>
      </c>
      <c r="F1683" s="1399">
        <v>5358375.92</v>
      </c>
      <c r="I1683" s="1399">
        <v>5358375.92</v>
      </c>
    </row>
    <row r="1684" spans="2:9">
      <c r="B1684" s="1297"/>
      <c r="C1684" s="1297"/>
      <c r="D1684" s="1297" t="s">
        <v>1035</v>
      </c>
      <c r="F1684" s="1399">
        <v>8165594.4000000004</v>
      </c>
      <c r="I1684" s="1399">
        <v>8165594.4000000004</v>
      </c>
    </row>
    <row r="1685" spans="2:9">
      <c r="B1685" s="1297"/>
      <c r="C1685" s="1297"/>
      <c r="D1685" s="1297" t="s">
        <v>1036</v>
      </c>
      <c r="F1685" s="1399">
        <v>10562284.57</v>
      </c>
      <c r="I1685" s="1399">
        <v>10562284.57</v>
      </c>
    </row>
    <row r="1686" spans="2:9">
      <c r="B1686" s="1297"/>
      <c r="C1686" s="1297"/>
      <c r="D1686" s="1297" t="s">
        <v>1105</v>
      </c>
      <c r="F1686" s="1399">
        <v>17994.8</v>
      </c>
      <c r="I1686" s="1399">
        <v>17994.8</v>
      </c>
    </row>
    <row r="1687" spans="2:9">
      <c r="B1687" s="1297"/>
      <c r="C1687" s="1297"/>
      <c r="D1687" s="1297" t="s">
        <v>1038</v>
      </c>
      <c r="F1687" s="1399">
        <v>50050</v>
      </c>
      <c r="I1687" s="1399">
        <v>50050</v>
      </c>
    </row>
    <row r="1688" spans="2:9">
      <c r="B1688" s="1297"/>
      <c r="C1688" s="1297"/>
      <c r="D1688" s="1297" t="s">
        <v>1003</v>
      </c>
      <c r="F1688" s="1399">
        <v>709973.81</v>
      </c>
      <c r="I1688" s="1399">
        <v>709973.81</v>
      </c>
    </row>
    <row r="1689" spans="2:9">
      <c r="B1689" s="1297"/>
      <c r="C1689" s="1297"/>
      <c r="D1689" s="1297" t="s">
        <v>1039</v>
      </c>
      <c r="F1689" s="1399">
        <v>2298416.7000000002</v>
      </c>
      <c r="I1689" s="1399">
        <v>2298416.7000000002</v>
      </c>
    </row>
    <row r="1690" spans="2:9">
      <c r="B1690" s="1297"/>
      <c r="C1690" s="1297"/>
      <c r="D1690" s="1297" t="s">
        <v>1040</v>
      </c>
      <c r="F1690" s="1399">
        <v>3060997.3300000005</v>
      </c>
      <c r="I1690" s="1399">
        <v>3060997.3300000005</v>
      </c>
    </row>
    <row r="1691" spans="2:9">
      <c r="B1691" s="1297"/>
      <c r="C1691" s="1297"/>
      <c r="D1691" s="1297" t="s">
        <v>1127</v>
      </c>
      <c r="F1691" s="1399">
        <v>47827.549999999988</v>
      </c>
      <c r="I1691" s="1399">
        <v>47827.549999999988</v>
      </c>
    </row>
    <row r="1692" spans="2:9">
      <c r="B1692" s="1297"/>
      <c r="C1692" s="1297"/>
      <c r="D1692" s="1297" t="s">
        <v>1041</v>
      </c>
      <c r="F1692" s="1399">
        <v>735265.99</v>
      </c>
      <c r="I1692" s="1399">
        <v>735265.99</v>
      </c>
    </row>
    <row r="1693" spans="2:9">
      <c r="B1693" s="1297"/>
      <c r="C1693" s="1297"/>
      <c r="D1693" s="1297" t="s">
        <v>1042</v>
      </c>
      <c r="F1693" s="1399">
        <v>635087.79</v>
      </c>
      <c r="I1693" s="1399">
        <v>635087.79</v>
      </c>
    </row>
    <row r="1694" spans="2:9">
      <c r="B1694" s="1297"/>
      <c r="C1694" s="1297"/>
      <c r="D1694" s="1297" t="s">
        <v>1043</v>
      </c>
      <c r="F1694" s="1399">
        <v>-680</v>
      </c>
      <c r="I1694" s="1399">
        <v>-680</v>
      </c>
    </row>
    <row r="1695" spans="2:9">
      <c r="B1695" s="1297"/>
      <c r="C1695" s="1297"/>
      <c r="D1695" s="1297" t="s">
        <v>1045</v>
      </c>
      <c r="F1695" s="1399">
        <v>31644188.000000004</v>
      </c>
      <c r="I1695" s="1399">
        <v>31644188.000000004</v>
      </c>
    </row>
    <row r="1696" spans="2:9">
      <c r="B1696" s="1297"/>
      <c r="C1696" s="1297"/>
      <c r="D1696" s="1297" t="s">
        <v>1046</v>
      </c>
      <c r="H1696" s="1399">
        <v>480203456.99999994</v>
      </c>
      <c r="I1696" s="1399">
        <v>480203456.99999994</v>
      </c>
    </row>
    <row r="1697" spans="2:9">
      <c r="B1697" s="1297"/>
      <c r="C1697" s="1297"/>
      <c r="D1697" s="1297" t="s">
        <v>1128</v>
      </c>
      <c r="H1697" s="1399">
        <v>41113467</v>
      </c>
      <c r="I1697" s="1399">
        <v>41113467</v>
      </c>
    </row>
    <row r="1698" spans="2:9">
      <c r="B1698" s="1297"/>
      <c r="C1698" s="1297"/>
      <c r="D1698" s="1297" t="s">
        <v>1129</v>
      </c>
      <c r="H1698" s="1399">
        <v>-61457248</v>
      </c>
      <c r="I1698" s="1399">
        <v>-61457248</v>
      </c>
    </row>
    <row r="1699" spans="2:9">
      <c r="B1699" s="1297"/>
      <c r="C1699" s="1297"/>
      <c r="D1699" s="1297" t="s">
        <v>1047</v>
      </c>
      <c r="H1699" s="1399">
        <v>9812982</v>
      </c>
      <c r="I1699" s="1399">
        <v>9812982</v>
      </c>
    </row>
    <row r="1700" spans="2:9">
      <c r="B1700" s="1297"/>
      <c r="C1700" s="1297"/>
      <c r="D1700" s="1297" t="s">
        <v>1048</v>
      </c>
      <c r="H1700" s="1399">
        <v>-113919515</v>
      </c>
      <c r="I1700" s="1399">
        <v>-113919515</v>
      </c>
    </row>
    <row r="1701" spans="2:9">
      <c r="B1701" s="1297"/>
      <c r="C1701" s="1297"/>
      <c r="D1701" s="1297" t="s">
        <v>955</v>
      </c>
      <c r="H1701" s="1399">
        <v>8934160.0099999998</v>
      </c>
      <c r="I1701" s="1399">
        <v>8934160.0099999998</v>
      </c>
    </row>
    <row r="1702" spans="2:9">
      <c r="B1702" s="1297"/>
      <c r="C1702" s="1297"/>
      <c r="D1702" s="1297" t="s">
        <v>934</v>
      </c>
      <c r="H1702" s="1399">
        <v>1407904.5800000003</v>
      </c>
      <c r="I1702" s="1399">
        <v>1407904.5800000003</v>
      </c>
    </row>
    <row r="1703" spans="2:9">
      <c r="B1703" s="1297"/>
      <c r="C1703" s="1297"/>
      <c r="D1703" s="1297" t="s">
        <v>1130</v>
      </c>
      <c r="H1703" s="1399">
        <v>448403.8</v>
      </c>
      <c r="I1703" s="1399">
        <v>448403.8</v>
      </c>
    </row>
    <row r="1704" spans="2:9">
      <c r="B1704" s="1297"/>
      <c r="C1704" s="1297"/>
      <c r="D1704" s="1297" t="s">
        <v>935</v>
      </c>
      <c r="H1704" s="1399">
        <v>6504188.4900000002</v>
      </c>
      <c r="I1704" s="1399">
        <v>6504188.4900000002</v>
      </c>
    </row>
    <row r="1705" spans="2:9">
      <c r="B1705" s="1297"/>
      <c r="C1705" s="1297"/>
      <c r="D1705" s="1297" t="s">
        <v>936</v>
      </c>
      <c r="H1705" s="1399">
        <v>1546264.76</v>
      </c>
      <c r="I1705" s="1399">
        <v>1546264.76</v>
      </c>
    </row>
    <row r="1706" spans="2:9">
      <c r="B1706" s="1297"/>
      <c r="C1706" s="1297"/>
      <c r="D1706" s="1297" t="s">
        <v>937</v>
      </c>
      <c r="H1706" s="1399">
        <v>632924.77</v>
      </c>
      <c r="I1706" s="1399">
        <v>632924.77</v>
      </c>
    </row>
    <row r="1707" spans="2:9">
      <c r="B1707" s="1297"/>
      <c r="C1707" s="1297"/>
      <c r="D1707" s="1297" t="s">
        <v>938</v>
      </c>
      <c r="H1707" s="1399">
        <v>434021</v>
      </c>
      <c r="I1707" s="1399">
        <v>434021</v>
      </c>
    </row>
    <row r="1708" spans="2:9">
      <c r="B1708" s="1297"/>
      <c r="C1708" s="1297"/>
      <c r="D1708" s="1297" t="s">
        <v>939</v>
      </c>
      <c r="H1708" s="1399">
        <v>27709.83</v>
      </c>
      <c r="I1708" s="1399">
        <v>27709.83</v>
      </c>
    </row>
    <row r="1709" spans="2:9">
      <c r="B1709" s="1297"/>
      <c r="C1709" s="1297"/>
      <c r="D1709" s="1297" t="s">
        <v>1131</v>
      </c>
      <c r="E1709" s="1399">
        <v>1938128.12</v>
      </c>
      <c r="I1709" s="1399">
        <v>1938128.12</v>
      </c>
    </row>
    <row r="1710" spans="2:9">
      <c r="B1710" s="1297"/>
      <c r="C1710" s="1297"/>
      <c r="D1710" s="1297" t="s">
        <v>940</v>
      </c>
      <c r="E1710" s="1399">
        <v>27576216.460000008</v>
      </c>
      <c r="I1710" s="1399">
        <v>27576216.460000008</v>
      </c>
    </row>
    <row r="1711" spans="2:9">
      <c r="B1711" s="1297"/>
      <c r="C1711" s="1297"/>
      <c r="D1711" s="1297" t="s">
        <v>941</v>
      </c>
      <c r="E1711" s="1399">
        <v>7864429.299999997</v>
      </c>
      <c r="I1711" s="1399">
        <v>7864429.299999997</v>
      </c>
    </row>
    <row r="1712" spans="2:9">
      <c r="B1712" s="1297"/>
      <c r="C1712" s="1297"/>
      <c r="D1712" s="1297" t="s">
        <v>943</v>
      </c>
      <c r="E1712" s="1399">
        <v>260462.46000000014</v>
      </c>
      <c r="I1712" s="1399">
        <v>260462.46000000014</v>
      </c>
    </row>
    <row r="1713" spans="2:9">
      <c r="B1713" s="1297"/>
      <c r="C1713" s="1297"/>
      <c r="D1713" s="1297" t="s">
        <v>944</v>
      </c>
      <c r="E1713" s="1399">
        <v>54536423.250000022</v>
      </c>
      <c r="I1713" s="1399">
        <v>54536423.250000022</v>
      </c>
    </row>
    <row r="1714" spans="2:9">
      <c r="B1714" s="1297"/>
      <c r="C1714" s="1297"/>
      <c r="D1714" s="1297" t="s">
        <v>945</v>
      </c>
      <c r="E1714" s="1399">
        <v>42735961.240000002</v>
      </c>
      <c r="I1714" s="1399">
        <v>42735961.240000002</v>
      </c>
    </row>
    <row r="1715" spans="2:9">
      <c r="B1715" s="1297"/>
      <c r="C1715" s="1297"/>
      <c r="D1715" s="1297" t="s">
        <v>946</v>
      </c>
      <c r="E1715" s="1399">
        <v>1658420.3</v>
      </c>
      <c r="I1715" s="1399">
        <v>1658420.3</v>
      </c>
    </row>
    <row r="1716" spans="2:9">
      <c r="B1716" s="1297"/>
      <c r="C1716" s="1297"/>
      <c r="D1716" s="1297" t="s">
        <v>978</v>
      </c>
      <c r="E1716" s="1399">
        <v>3600</v>
      </c>
      <c r="I1716" s="1399">
        <v>3600</v>
      </c>
    </row>
    <row r="1717" spans="2:9">
      <c r="B1717" s="1297"/>
      <c r="C1717" s="1297"/>
      <c r="D1717" s="1297" t="s">
        <v>947</v>
      </c>
      <c r="E1717" s="1399">
        <v>6135464.3800000045</v>
      </c>
      <c r="I1717" s="1399">
        <v>6135464.3800000045</v>
      </c>
    </row>
    <row r="1718" spans="2:9">
      <c r="B1718" s="1297"/>
      <c r="C1718" s="1297"/>
      <c r="D1718" s="1297" t="s">
        <v>948</v>
      </c>
      <c r="G1718" s="1399">
        <v>98424434.530000001</v>
      </c>
      <c r="I1718" s="1399">
        <v>98424434.530000001</v>
      </c>
    </row>
    <row r="1719" spans="2:9">
      <c r="B1719" s="1297"/>
      <c r="C1719" s="1297"/>
      <c r="D1719" s="1297" t="s">
        <v>956</v>
      </c>
      <c r="G1719" s="1399">
        <v>2933.05</v>
      </c>
      <c r="I1719" s="1399">
        <v>2933.05</v>
      </c>
    </row>
    <row r="1720" spans="2:9">
      <c r="B1720" s="1297"/>
      <c r="C1720" s="1297"/>
      <c r="D1720" s="1297" t="s">
        <v>1118</v>
      </c>
      <c r="G1720" s="1399">
        <v>2062299.81</v>
      </c>
      <c r="I1720" s="1399">
        <v>2062299.81</v>
      </c>
    </row>
    <row r="1721" spans="2:9">
      <c r="B1721" s="1297"/>
      <c r="C1721" s="1297"/>
      <c r="D1721" s="1297" t="s">
        <v>1051</v>
      </c>
      <c r="G1721" s="1399">
        <v>300000</v>
      </c>
      <c r="I1721" s="1399">
        <v>300000</v>
      </c>
    </row>
    <row r="1722" spans="2:9">
      <c r="B1722" s="1297"/>
      <c r="C1722" s="1400" t="s">
        <v>1106</v>
      </c>
      <c r="D1722" s="1400"/>
      <c r="E1722" s="1401">
        <v>142709105.51000005</v>
      </c>
      <c r="F1722" s="1401">
        <v>619733981.24000001</v>
      </c>
      <c r="G1722" s="1401">
        <v>100789667.39</v>
      </c>
      <c r="H1722" s="1401">
        <v>375688720.23999989</v>
      </c>
      <c r="I1722" s="1401">
        <v>1238921474.3800001</v>
      </c>
    </row>
    <row r="1723" spans="2:9">
      <c r="B1723" s="1297" t="s">
        <v>1107</v>
      </c>
      <c r="C1723" s="1297" t="s">
        <v>1108</v>
      </c>
      <c r="D1723" s="1297" t="s">
        <v>906</v>
      </c>
      <c r="F1723" s="1399">
        <v>4426909.45</v>
      </c>
      <c r="I1723" s="1399">
        <v>4426909.45</v>
      </c>
    </row>
    <row r="1724" spans="2:9">
      <c r="B1724" s="1297"/>
      <c r="C1724" s="1297"/>
      <c r="D1724" s="1297" t="s">
        <v>952</v>
      </c>
      <c r="F1724" s="1399">
        <v>35884.449999999997</v>
      </c>
      <c r="I1724" s="1399">
        <v>35884.449999999997</v>
      </c>
    </row>
    <row r="1725" spans="2:9">
      <c r="B1725" s="1297"/>
      <c r="C1725" s="1297"/>
      <c r="D1725" s="1297" t="s">
        <v>907</v>
      </c>
      <c r="F1725" s="1399">
        <v>1945875.75</v>
      </c>
      <c r="I1725" s="1399">
        <v>1945875.75</v>
      </c>
    </row>
    <row r="1726" spans="2:9">
      <c r="B1726" s="1297"/>
      <c r="C1726" s="1297"/>
      <c r="D1726" s="1297" t="s">
        <v>908</v>
      </c>
      <c r="F1726" s="1399">
        <v>21452.19</v>
      </c>
      <c r="I1726" s="1399">
        <v>21452.19</v>
      </c>
    </row>
    <row r="1727" spans="2:9">
      <c r="B1727" s="1297"/>
      <c r="C1727" s="1297"/>
      <c r="D1727" s="1297" t="s">
        <v>1035</v>
      </c>
      <c r="F1727" s="1399">
        <v>234095.84</v>
      </c>
      <c r="I1727" s="1399">
        <v>234095.84</v>
      </c>
    </row>
    <row r="1728" spans="2:9">
      <c r="B1728" s="1297"/>
      <c r="C1728" s="1297"/>
      <c r="D1728" s="1297" t="s">
        <v>1038</v>
      </c>
      <c r="F1728" s="1399">
        <v>15064</v>
      </c>
      <c r="I1728" s="1399">
        <v>15064</v>
      </c>
    </row>
    <row r="1729" spans="2:9">
      <c r="B1729" s="1297"/>
      <c r="C1729" s="1297"/>
      <c r="D1729" s="1297" t="s">
        <v>1039</v>
      </c>
      <c r="F1729" s="1399">
        <v>8312.15</v>
      </c>
      <c r="I1729" s="1399">
        <v>8312.15</v>
      </c>
    </row>
    <row r="1730" spans="2:9">
      <c r="B1730" s="1297"/>
      <c r="C1730" s="1297"/>
      <c r="D1730" s="1297" t="s">
        <v>1040</v>
      </c>
      <c r="F1730" s="1399">
        <v>228540.33</v>
      </c>
      <c r="I1730" s="1399">
        <v>228540.33</v>
      </c>
    </row>
    <row r="1731" spans="2:9">
      <c r="B1731" s="1297"/>
      <c r="C1731" s="1297"/>
      <c r="D1731" s="1297" t="s">
        <v>1041</v>
      </c>
      <c r="F1731" s="1399">
        <v>31130.53</v>
      </c>
      <c r="I1731" s="1399">
        <v>31130.53</v>
      </c>
    </row>
    <row r="1732" spans="2:9">
      <c r="B1732" s="1297"/>
      <c r="C1732" s="1297"/>
      <c r="D1732" s="1297" t="s">
        <v>1042</v>
      </c>
      <c r="F1732" s="1399">
        <v>67736.83</v>
      </c>
      <c r="I1732" s="1399">
        <v>67736.83</v>
      </c>
    </row>
    <row r="1733" spans="2:9">
      <c r="B1733" s="1297"/>
      <c r="C1733" s="1297"/>
      <c r="D1733" s="1297" t="s">
        <v>1045</v>
      </c>
      <c r="F1733" s="1399">
        <v>1340661.8599999999</v>
      </c>
      <c r="I1733" s="1399">
        <v>1340661.8599999999</v>
      </c>
    </row>
    <row r="1734" spans="2:9">
      <c r="B1734" s="1297"/>
      <c r="C1734" s="1297"/>
      <c r="D1734" s="1297" t="s">
        <v>1046</v>
      </c>
      <c r="H1734" s="1399">
        <v>16155369</v>
      </c>
      <c r="I1734" s="1399">
        <v>16155369</v>
      </c>
    </row>
    <row r="1735" spans="2:9">
      <c r="B1735" s="1297"/>
      <c r="C1735" s="1297"/>
      <c r="D1735" s="1297" t="s">
        <v>1047</v>
      </c>
      <c r="H1735" s="1399">
        <v>671659</v>
      </c>
      <c r="I1735" s="1399">
        <v>671659</v>
      </c>
    </row>
    <row r="1736" spans="2:9">
      <c r="B1736" s="1297"/>
      <c r="C1736" s="1297"/>
      <c r="D1736" s="1297" t="s">
        <v>1048</v>
      </c>
      <c r="H1736" s="1399">
        <v>-1613376</v>
      </c>
      <c r="I1736" s="1399">
        <v>-1613376</v>
      </c>
    </row>
    <row r="1737" spans="2:9">
      <c r="B1737" s="1297"/>
      <c r="C1737" s="1297"/>
      <c r="D1737" s="1297" t="s">
        <v>932</v>
      </c>
      <c r="H1737" s="1399">
        <v>2106401</v>
      </c>
      <c r="I1737" s="1399">
        <v>2106401</v>
      </c>
    </row>
    <row r="1738" spans="2:9">
      <c r="B1738" s="1297"/>
      <c r="C1738" s="1297"/>
      <c r="D1738" s="1297" t="s">
        <v>933</v>
      </c>
      <c r="H1738" s="1399">
        <v>748047</v>
      </c>
      <c r="I1738" s="1399">
        <v>748047</v>
      </c>
    </row>
    <row r="1739" spans="2:9">
      <c r="B1739" s="1297"/>
      <c r="C1739" s="1297"/>
      <c r="D1739" s="1297" t="s">
        <v>934</v>
      </c>
      <c r="H1739" s="1399">
        <v>61870</v>
      </c>
      <c r="I1739" s="1399">
        <v>61870</v>
      </c>
    </row>
    <row r="1740" spans="2:9">
      <c r="B1740" s="1297"/>
      <c r="C1740" s="1297"/>
      <c r="D1740" s="1297" t="s">
        <v>935</v>
      </c>
      <c r="H1740" s="1399">
        <v>428102.92000000004</v>
      </c>
      <c r="I1740" s="1399">
        <v>428102.92000000004</v>
      </c>
    </row>
    <row r="1741" spans="2:9">
      <c r="B1741" s="1297"/>
      <c r="C1741" s="1297"/>
      <c r="D1741" s="1297" t="s">
        <v>936</v>
      </c>
      <c r="H1741" s="1399">
        <v>60225.89</v>
      </c>
      <c r="I1741" s="1399">
        <v>60225.89</v>
      </c>
    </row>
    <row r="1742" spans="2:9">
      <c r="B1742" s="1297"/>
      <c r="C1742" s="1297"/>
      <c r="D1742" s="1297" t="s">
        <v>937</v>
      </c>
      <c r="H1742" s="1399">
        <v>17212.23</v>
      </c>
      <c r="I1742" s="1399">
        <v>17212.23</v>
      </c>
    </row>
    <row r="1743" spans="2:9">
      <c r="B1743" s="1297"/>
      <c r="C1743" s="1297"/>
      <c r="D1743" s="1297" t="s">
        <v>938</v>
      </c>
      <c r="H1743" s="1399">
        <v>18903</v>
      </c>
      <c r="I1743" s="1399">
        <v>18903</v>
      </c>
    </row>
    <row r="1744" spans="2:9">
      <c r="B1744" s="1297"/>
      <c r="C1744" s="1297"/>
      <c r="D1744" s="1297" t="s">
        <v>1131</v>
      </c>
      <c r="E1744" s="1399">
        <v>498579.16</v>
      </c>
      <c r="I1744" s="1399">
        <v>498579.16</v>
      </c>
    </row>
    <row r="1745" spans="2:9">
      <c r="B1745" s="1297"/>
      <c r="C1745" s="1297"/>
      <c r="D1745" s="1297" t="s">
        <v>940</v>
      </c>
      <c r="E1745" s="1399">
        <v>1207174.22</v>
      </c>
      <c r="I1745" s="1399">
        <v>1207174.22</v>
      </c>
    </row>
    <row r="1746" spans="2:9">
      <c r="B1746" s="1297"/>
      <c r="C1746" s="1297"/>
      <c r="D1746" s="1297" t="s">
        <v>941</v>
      </c>
      <c r="E1746" s="1399">
        <v>393653.2</v>
      </c>
      <c r="I1746" s="1399">
        <v>393653.2</v>
      </c>
    </row>
    <row r="1747" spans="2:9">
      <c r="B1747" s="1297"/>
      <c r="C1747" s="1297"/>
      <c r="D1747" s="1297" t="s">
        <v>943</v>
      </c>
      <c r="E1747" s="1399">
        <v>21135.88</v>
      </c>
      <c r="I1747" s="1399">
        <v>21135.88</v>
      </c>
    </row>
    <row r="1748" spans="2:9">
      <c r="B1748" s="1297"/>
      <c r="C1748" s="1297"/>
      <c r="D1748" s="1297" t="s">
        <v>944</v>
      </c>
      <c r="E1748" s="1399">
        <v>2733443.59</v>
      </c>
      <c r="I1748" s="1399">
        <v>2733443.59</v>
      </c>
    </row>
    <row r="1749" spans="2:9">
      <c r="B1749" s="1297"/>
      <c r="C1749" s="1297"/>
      <c r="D1749" s="1297" t="s">
        <v>945</v>
      </c>
      <c r="E1749" s="1399">
        <v>1485848.25</v>
      </c>
      <c r="I1749" s="1399">
        <v>1485848.25</v>
      </c>
    </row>
    <row r="1750" spans="2:9">
      <c r="B1750" s="1297"/>
      <c r="C1750" s="1297"/>
      <c r="D1750" s="1297" t="s">
        <v>946</v>
      </c>
      <c r="E1750" s="1399">
        <v>386485.92</v>
      </c>
      <c r="I1750" s="1399">
        <v>386485.92</v>
      </c>
    </row>
    <row r="1751" spans="2:9">
      <c r="B1751" s="1297"/>
      <c r="C1751" s="1297"/>
      <c r="D1751" s="1297" t="s">
        <v>947</v>
      </c>
      <c r="E1751" s="1399">
        <v>107349.41</v>
      </c>
      <c r="I1751" s="1399">
        <v>107349.41</v>
      </c>
    </row>
    <row r="1752" spans="2:9">
      <c r="B1752" s="1297"/>
      <c r="C1752" s="1297"/>
      <c r="D1752" s="1297" t="s">
        <v>1115</v>
      </c>
      <c r="E1752" s="1399">
        <v>0</v>
      </c>
      <c r="I1752" s="1399">
        <v>0</v>
      </c>
    </row>
    <row r="1753" spans="2:9">
      <c r="B1753" s="1297"/>
      <c r="C1753" s="1297"/>
      <c r="D1753" s="1297" t="s">
        <v>948</v>
      </c>
      <c r="G1753" s="1399">
        <v>2134103.84</v>
      </c>
      <c r="I1753" s="1399">
        <v>2134103.84</v>
      </c>
    </row>
    <row r="1754" spans="2:9">
      <c r="B1754" s="1297"/>
      <c r="C1754" s="1297"/>
      <c r="D1754" s="1297" t="s">
        <v>956</v>
      </c>
      <c r="G1754" s="1399">
        <v>6185</v>
      </c>
      <c r="I1754" s="1399">
        <v>6185</v>
      </c>
    </row>
    <row r="1755" spans="2:9">
      <c r="B1755" s="1297"/>
      <c r="C1755" s="1400" t="s">
        <v>1109</v>
      </c>
      <c r="D1755" s="1400"/>
      <c r="E1755" s="1401">
        <v>6833669.6299999999</v>
      </c>
      <c r="F1755" s="1401">
        <v>8355663.3800000008</v>
      </c>
      <c r="G1755" s="1401">
        <v>2140288.84</v>
      </c>
      <c r="H1755" s="1401">
        <v>18654414.040000003</v>
      </c>
      <c r="I1755" s="1401">
        <v>35984035.890000001</v>
      </c>
    </row>
    <row r="1756" spans="2:9">
      <c r="B1756" s="1297" t="s">
        <v>1110</v>
      </c>
      <c r="C1756" s="1297" t="s">
        <v>1111</v>
      </c>
      <c r="D1756" s="1297" t="s">
        <v>906</v>
      </c>
      <c r="F1756" s="1399">
        <v>4230476.6900000004</v>
      </c>
      <c r="I1756" s="1399">
        <v>4230476.6900000004</v>
      </c>
    </row>
    <row r="1757" spans="2:9">
      <c r="B1757" s="1297"/>
      <c r="C1757" s="1297"/>
      <c r="D1757" s="1297" t="s">
        <v>952</v>
      </c>
      <c r="F1757" s="1399">
        <v>29906.720000000001</v>
      </c>
      <c r="I1757" s="1399">
        <v>29906.720000000001</v>
      </c>
    </row>
    <row r="1758" spans="2:9">
      <c r="B1758" s="1297"/>
      <c r="C1758" s="1297"/>
      <c r="D1758" s="1297" t="s">
        <v>907</v>
      </c>
      <c r="F1758" s="1399">
        <v>1583064.18</v>
      </c>
      <c r="I1758" s="1399">
        <v>1583064.18</v>
      </c>
    </row>
    <row r="1759" spans="2:9">
      <c r="B1759" s="1297"/>
      <c r="C1759" s="1297"/>
      <c r="D1759" s="1297" t="s">
        <v>908</v>
      </c>
      <c r="F1759" s="1399">
        <v>22843.89</v>
      </c>
      <c r="I1759" s="1399">
        <v>22843.89</v>
      </c>
    </row>
    <row r="1760" spans="2:9">
      <c r="B1760" s="1297"/>
      <c r="C1760" s="1297"/>
      <c r="D1760" s="1297" t="s">
        <v>1035</v>
      </c>
      <c r="F1760" s="1399">
        <v>289761.01</v>
      </c>
      <c r="I1760" s="1399">
        <v>289761.01</v>
      </c>
    </row>
    <row r="1761" spans="2:9">
      <c r="B1761" s="1297"/>
      <c r="C1761" s="1297"/>
      <c r="D1761" s="1297" t="s">
        <v>1039</v>
      </c>
      <c r="F1761" s="1399">
        <v>18676.829999999998</v>
      </c>
      <c r="I1761" s="1399">
        <v>18676.829999999998</v>
      </c>
    </row>
    <row r="1762" spans="2:9">
      <c r="B1762" s="1297"/>
      <c r="C1762" s="1297"/>
      <c r="D1762" s="1297" t="s">
        <v>1041</v>
      </c>
      <c r="F1762" s="1399">
        <v>3058.21</v>
      </c>
      <c r="I1762" s="1399">
        <v>3058.21</v>
      </c>
    </row>
    <row r="1763" spans="2:9">
      <c r="B1763" s="1297"/>
      <c r="C1763" s="1297"/>
      <c r="D1763" s="1297" t="s">
        <v>1042</v>
      </c>
      <c r="F1763" s="1399">
        <v>19619.21</v>
      </c>
      <c r="I1763" s="1399">
        <v>19619.21</v>
      </c>
    </row>
    <row r="1764" spans="2:9">
      <c r="B1764" s="1297"/>
      <c r="C1764" s="1297"/>
      <c r="D1764" s="1297" t="s">
        <v>953</v>
      </c>
      <c r="F1764" s="1399">
        <v>2867.99</v>
      </c>
      <c r="I1764" s="1399">
        <v>2867.99</v>
      </c>
    </row>
    <row r="1765" spans="2:9">
      <c r="B1765" s="1297"/>
      <c r="C1765" s="1297"/>
      <c r="D1765" s="1297" t="s">
        <v>986</v>
      </c>
      <c r="F1765" s="1399">
        <v>19570</v>
      </c>
      <c r="I1765" s="1399">
        <v>19570</v>
      </c>
    </row>
    <row r="1766" spans="2:9">
      <c r="B1766" s="1297"/>
      <c r="C1766" s="1297"/>
      <c r="D1766" s="1297" t="s">
        <v>1045</v>
      </c>
      <c r="F1766" s="1399">
        <v>56030.42</v>
      </c>
      <c r="I1766" s="1399">
        <v>56030.42</v>
      </c>
    </row>
    <row r="1767" spans="2:9">
      <c r="B1767" s="1297"/>
      <c r="C1767" s="1297"/>
      <c r="D1767" s="1297" t="s">
        <v>1046</v>
      </c>
      <c r="H1767" s="1399">
        <v>7080828</v>
      </c>
      <c r="I1767" s="1399">
        <v>7080828</v>
      </c>
    </row>
    <row r="1768" spans="2:9">
      <c r="B1768" s="1297"/>
      <c r="C1768" s="1297"/>
      <c r="D1768" s="1297" t="s">
        <v>1047</v>
      </c>
      <c r="H1768" s="1399">
        <v>364884</v>
      </c>
      <c r="I1768" s="1399">
        <v>364884</v>
      </c>
    </row>
    <row r="1769" spans="2:9">
      <c r="B1769" s="1297"/>
      <c r="C1769" s="1297"/>
      <c r="D1769" s="1297" t="s">
        <v>1048</v>
      </c>
      <c r="H1769" s="1399">
        <v>-1292918</v>
      </c>
      <c r="I1769" s="1399">
        <v>-1292918</v>
      </c>
    </row>
    <row r="1770" spans="2:9">
      <c r="B1770" s="1297"/>
      <c r="C1770" s="1297"/>
      <c r="D1770" s="1297" t="s">
        <v>932</v>
      </c>
      <c r="H1770" s="1399">
        <v>168536</v>
      </c>
      <c r="I1770" s="1399">
        <v>168536</v>
      </c>
    </row>
    <row r="1771" spans="2:9">
      <c r="B1771" s="1297"/>
      <c r="C1771" s="1297"/>
      <c r="D1771" s="1297" t="s">
        <v>955</v>
      </c>
      <c r="H1771" s="1399">
        <v>511333.71</v>
      </c>
      <c r="I1771" s="1399">
        <v>511333.71</v>
      </c>
    </row>
    <row r="1772" spans="2:9">
      <c r="B1772" s="1297"/>
      <c r="C1772" s="1297"/>
      <c r="D1772" s="1297" t="s">
        <v>934</v>
      </c>
      <c r="H1772" s="1399">
        <v>27452</v>
      </c>
      <c r="I1772" s="1399">
        <v>27452</v>
      </c>
    </row>
    <row r="1773" spans="2:9">
      <c r="B1773" s="1297"/>
      <c r="C1773" s="1297"/>
      <c r="D1773" s="1297" t="s">
        <v>935</v>
      </c>
      <c r="H1773" s="1399">
        <v>243722.04</v>
      </c>
      <c r="I1773" s="1399">
        <v>243722.04</v>
      </c>
    </row>
    <row r="1774" spans="2:9">
      <c r="B1774" s="1297"/>
      <c r="C1774" s="1297"/>
      <c r="D1774" s="1297" t="s">
        <v>936</v>
      </c>
      <c r="H1774" s="1399">
        <v>31513.55</v>
      </c>
      <c r="I1774" s="1399">
        <v>31513.55</v>
      </c>
    </row>
    <row r="1775" spans="2:9">
      <c r="B1775" s="1297"/>
      <c r="C1775" s="1297"/>
      <c r="D1775" s="1297" t="s">
        <v>937</v>
      </c>
      <c r="H1775" s="1399">
        <v>5795.51</v>
      </c>
      <c r="I1775" s="1399">
        <v>5795.51</v>
      </c>
    </row>
    <row r="1776" spans="2:9">
      <c r="B1776" s="1297"/>
      <c r="C1776" s="1297"/>
      <c r="D1776" s="1297" t="s">
        <v>938</v>
      </c>
      <c r="H1776" s="1399">
        <v>11604</v>
      </c>
      <c r="I1776" s="1399">
        <v>11604</v>
      </c>
    </row>
    <row r="1777" spans="2:9">
      <c r="B1777" s="1297"/>
      <c r="C1777" s="1297"/>
      <c r="D1777" s="1297" t="s">
        <v>939</v>
      </c>
      <c r="H1777" s="1399">
        <v>77460.84</v>
      </c>
      <c r="I1777" s="1399">
        <v>77460.84</v>
      </c>
    </row>
    <row r="1778" spans="2:9">
      <c r="B1778" s="1297"/>
      <c r="C1778" s="1297"/>
      <c r="D1778" s="1297" t="s">
        <v>1131</v>
      </c>
      <c r="E1778" s="1399">
        <v>140595.85999999999</v>
      </c>
      <c r="I1778" s="1399">
        <v>140595.85999999999</v>
      </c>
    </row>
    <row r="1779" spans="2:9">
      <c r="B1779" s="1297"/>
      <c r="C1779" s="1297"/>
      <c r="D1779" s="1297" t="s">
        <v>940</v>
      </c>
      <c r="E1779" s="1399">
        <v>553221.81999999995</v>
      </c>
      <c r="I1779" s="1399">
        <v>553221.81999999995</v>
      </c>
    </row>
    <row r="1780" spans="2:9">
      <c r="B1780" s="1297"/>
      <c r="C1780" s="1297"/>
      <c r="D1780" s="1297" t="s">
        <v>941</v>
      </c>
      <c r="E1780" s="1399">
        <v>258789.16</v>
      </c>
      <c r="I1780" s="1399">
        <v>258789.16</v>
      </c>
    </row>
    <row r="1781" spans="2:9">
      <c r="B1781" s="1297"/>
      <c r="C1781" s="1297"/>
      <c r="D1781" s="1297" t="s">
        <v>943</v>
      </c>
      <c r="E1781" s="1399">
        <v>2456.06</v>
      </c>
      <c r="I1781" s="1399">
        <v>2456.06</v>
      </c>
    </row>
    <row r="1782" spans="2:9">
      <c r="B1782" s="1297"/>
      <c r="C1782" s="1297"/>
      <c r="D1782" s="1297" t="s">
        <v>944</v>
      </c>
      <c r="E1782" s="1399">
        <v>1645859.5499999998</v>
      </c>
      <c r="I1782" s="1399">
        <v>1645859.5499999998</v>
      </c>
    </row>
    <row r="1783" spans="2:9">
      <c r="B1783" s="1297"/>
      <c r="C1783" s="1297"/>
      <c r="D1783" s="1297" t="s">
        <v>945</v>
      </c>
      <c r="E1783" s="1399">
        <v>2032851.32</v>
      </c>
      <c r="I1783" s="1399">
        <v>2032851.32</v>
      </c>
    </row>
    <row r="1784" spans="2:9">
      <c r="B1784" s="1297"/>
      <c r="C1784" s="1297"/>
      <c r="D1784" s="1297" t="s">
        <v>946</v>
      </c>
      <c r="E1784" s="1399">
        <v>35526.61</v>
      </c>
      <c r="I1784" s="1399">
        <v>35526.61</v>
      </c>
    </row>
    <row r="1785" spans="2:9">
      <c r="B1785" s="1297"/>
      <c r="C1785" s="1297"/>
      <c r="D1785" s="1297" t="s">
        <v>978</v>
      </c>
      <c r="E1785" s="1399">
        <v>18285.599999999999</v>
      </c>
      <c r="I1785" s="1399">
        <v>18285.599999999999</v>
      </c>
    </row>
    <row r="1786" spans="2:9">
      <c r="B1786" s="1297"/>
      <c r="C1786" s="1297"/>
      <c r="D1786" s="1297" t="s">
        <v>1006</v>
      </c>
      <c r="E1786" s="1399">
        <v>7487.01</v>
      </c>
      <c r="I1786" s="1399">
        <v>7487.01</v>
      </c>
    </row>
    <row r="1787" spans="2:9">
      <c r="B1787" s="1297"/>
      <c r="C1787" s="1297"/>
      <c r="D1787" s="1297" t="s">
        <v>947</v>
      </c>
      <c r="E1787" s="1399">
        <v>52396.08</v>
      </c>
      <c r="I1787" s="1399">
        <v>52396.08</v>
      </c>
    </row>
    <row r="1788" spans="2:9">
      <c r="B1788" s="1297"/>
      <c r="C1788" s="1297"/>
      <c r="D1788" s="1297" t="s">
        <v>1115</v>
      </c>
      <c r="E1788" s="1399">
        <v>348.87</v>
      </c>
      <c r="I1788" s="1399">
        <v>348.87</v>
      </c>
    </row>
    <row r="1789" spans="2:9">
      <c r="B1789" s="1297"/>
      <c r="C1789" s="1297"/>
      <c r="D1789" s="1297" t="s">
        <v>948</v>
      </c>
      <c r="G1789" s="1399">
        <v>1229977.7100000002</v>
      </c>
      <c r="I1789" s="1399">
        <v>1229977.7100000002</v>
      </c>
    </row>
    <row r="1790" spans="2:9">
      <c r="B1790" s="1297"/>
      <c r="C1790" s="1297"/>
      <c r="D1790" s="1297" t="s">
        <v>1118</v>
      </c>
      <c r="G1790" s="1399">
        <v>71.69</v>
      </c>
      <c r="I1790" s="1399">
        <v>71.69</v>
      </c>
    </row>
    <row r="1791" spans="2:9">
      <c r="B1791" s="1297"/>
      <c r="C1791" s="1400" t="s">
        <v>1112</v>
      </c>
      <c r="D1791" s="1400"/>
      <c r="E1791" s="1401">
        <v>4747817.9399999995</v>
      </c>
      <c r="F1791" s="1401">
        <v>6275875.1499999994</v>
      </c>
      <c r="G1791" s="1401">
        <v>1230049.4000000001</v>
      </c>
      <c r="H1791" s="1401">
        <v>7230211.6499999994</v>
      </c>
      <c r="I1791" s="1401">
        <v>19483954.140000004</v>
      </c>
    </row>
    <row r="1792" spans="2:9">
      <c r="B1792" s="1297" t="s">
        <v>1113</v>
      </c>
      <c r="C1792" s="1297" t="s">
        <v>1114</v>
      </c>
      <c r="D1792" s="1297" t="s">
        <v>906</v>
      </c>
      <c r="F1792" s="1399">
        <v>39170979.039999999</v>
      </c>
      <c r="I1792" s="1399">
        <v>39170979.039999999</v>
      </c>
    </row>
    <row r="1793" spans="2:9">
      <c r="B1793" s="1297"/>
      <c r="C1793" s="1297"/>
      <c r="D1793" s="1297" t="s">
        <v>952</v>
      </c>
      <c r="F1793" s="1399">
        <v>221370.14</v>
      </c>
      <c r="I1793" s="1399">
        <v>221370.14</v>
      </c>
    </row>
    <row r="1794" spans="2:9">
      <c r="B1794" s="1297"/>
      <c r="C1794" s="1297"/>
      <c r="D1794" s="1297" t="s">
        <v>907</v>
      </c>
      <c r="F1794" s="1399">
        <v>18160512.710000001</v>
      </c>
      <c r="I1794" s="1399">
        <v>18160512.710000001</v>
      </c>
    </row>
    <row r="1795" spans="2:9">
      <c r="B1795" s="1297"/>
      <c r="C1795" s="1297"/>
      <c r="D1795" s="1297" t="s">
        <v>908</v>
      </c>
      <c r="F1795" s="1399">
        <v>45379.73</v>
      </c>
      <c r="I1795" s="1399">
        <v>45379.73</v>
      </c>
    </row>
    <row r="1796" spans="2:9">
      <c r="B1796" s="1297"/>
      <c r="C1796" s="1297"/>
      <c r="D1796" s="1297" t="s">
        <v>909</v>
      </c>
      <c r="F1796" s="1399">
        <v>85406.63</v>
      </c>
      <c r="I1796" s="1399">
        <v>85406.63</v>
      </c>
    </row>
    <row r="1797" spans="2:9">
      <c r="B1797" s="1297"/>
      <c r="C1797" s="1297"/>
      <c r="D1797" s="1297" t="s">
        <v>1034</v>
      </c>
      <c r="F1797" s="1399">
        <v>91302.77</v>
      </c>
      <c r="I1797" s="1399">
        <v>91302.77</v>
      </c>
    </row>
    <row r="1798" spans="2:9">
      <c r="B1798" s="1297"/>
      <c r="C1798" s="1297"/>
      <c r="D1798" s="1297" t="s">
        <v>1035</v>
      </c>
      <c r="F1798" s="1399">
        <v>376846.62000000011</v>
      </c>
      <c r="I1798" s="1399">
        <v>376846.62000000011</v>
      </c>
    </row>
    <row r="1799" spans="2:9">
      <c r="B1799" s="1297"/>
      <c r="C1799" s="1297"/>
      <c r="D1799" s="1297" t="s">
        <v>1036</v>
      </c>
      <c r="F1799" s="1399">
        <v>698</v>
      </c>
      <c r="I1799" s="1399">
        <v>698</v>
      </c>
    </row>
    <row r="1800" spans="2:9">
      <c r="B1800" s="1297"/>
      <c r="C1800" s="1297"/>
      <c r="D1800" s="1297" t="s">
        <v>1037</v>
      </c>
      <c r="F1800" s="1399">
        <v>475435.45</v>
      </c>
      <c r="I1800" s="1399">
        <v>475435.45</v>
      </c>
    </row>
    <row r="1801" spans="2:9">
      <c r="B1801" s="1297"/>
      <c r="C1801" s="1297"/>
      <c r="D1801" s="1297" t="s">
        <v>1105</v>
      </c>
      <c r="F1801" s="1399">
        <v>46210</v>
      </c>
      <c r="I1801" s="1399">
        <v>46210</v>
      </c>
    </row>
    <row r="1802" spans="2:9">
      <c r="B1802" s="1297"/>
      <c r="C1802" s="1297"/>
      <c r="D1802" s="1297" t="s">
        <v>1003</v>
      </c>
      <c r="F1802" s="1399">
        <v>175269.7</v>
      </c>
      <c r="I1802" s="1399">
        <v>175269.7</v>
      </c>
    </row>
    <row r="1803" spans="2:9">
      <c r="B1803" s="1297"/>
      <c r="C1803" s="1297"/>
      <c r="D1803" s="1297" t="s">
        <v>1039</v>
      </c>
      <c r="F1803" s="1399">
        <v>61299.28</v>
      </c>
      <c r="I1803" s="1399">
        <v>61299.28</v>
      </c>
    </row>
    <row r="1804" spans="2:9">
      <c r="B1804" s="1297"/>
      <c r="C1804" s="1297"/>
      <c r="D1804" s="1297" t="s">
        <v>1040</v>
      </c>
      <c r="F1804" s="1399">
        <v>481721.81000000006</v>
      </c>
      <c r="I1804" s="1399">
        <v>481721.81000000006</v>
      </c>
    </row>
    <row r="1805" spans="2:9">
      <c r="B1805" s="1297"/>
      <c r="C1805" s="1297"/>
      <c r="D1805" s="1297" t="s">
        <v>1041</v>
      </c>
      <c r="F1805" s="1399">
        <v>63338.36</v>
      </c>
      <c r="I1805" s="1399">
        <v>63338.36</v>
      </c>
    </row>
    <row r="1806" spans="2:9">
      <c r="B1806" s="1297"/>
      <c r="C1806" s="1297"/>
      <c r="D1806" s="1297" t="s">
        <v>1042</v>
      </c>
      <c r="F1806" s="1399">
        <v>98988.71</v>
      </c>
      <c r="I1806" s="1399">
        <v>98988.71</v>
      </c>
    </row>
    <row r="1807" spans="2:9">
      <c r="B1807" s="1297"/>
      <c r="C1807" s="1297"/>
      <c r="D1807" s="1297" t="s">
        <v>953</v>
      </c>
      <c r="F1807" s="1399">
        <v>50696.25</v>
      </c>
      <c r="I1807" s="1399">
        <v>50696.25</v>
      </c>
    </row>
    <row r="1808" spans="2:9">
      <c r="B1808" s="1297"/>
      <c r="C1808" s="1297"/>
      <c r="D1808" s="1297" t="s">
        <v>954</v>
      </c>
      <c r="F1808" s="1399">
        <v>577867.44999999995</v>
      </c>
      <c r="I1808" s="1399">
        <v>577867.44999999995</v>
      </c>
    </row>
    <row r="1809" spans="2:9">
      <c r="B1809" s="1297"/>
      <c r="C1809" s="1297"/>
      <c r="D1809" s="1297" t="s">
        <v>1043</v>
      </c>
      <c r="F1809" s="1399">
        <v>65299.089999999989</v>
      </c>
      <c r="I1809" s="1399">
        <v>65299.089999999989</v>
      </c>
    </row>
    <row r="1810" spans="2:9">
      <c r="B1810" s="1297"/>
      <c r="C1810" s="1297"/>
      <c r="D1810" s="1297" t="s">
        <v>986</v>
      </c>
      <c r="F1810" s="1399">
        <v>179674.63</v>
      </c>
      <c r="I1810" s="1399">
        <v>179674.63</v>
      </c>
    </row>
    <row r="1811" spans="2:9">
      <c r="B1811" s="1297"/>
      <c r="C1811" s="1297"/>
      <c r="D1811" s="1297" t="s">
        <v>996</v>
      </c>
      <c r="F1811" s="1399">
        <v>191413.51</v>
      </c>
      <c r="I1811" s="1399">
        <v>191413.51</v>
      </c>
    </row>
    <row r="1812" spans="2:9">
      <c r="B1812" s="1297"/>
      <c r="C1812" s="1297"/>
      <c r="D1812" s="1297" t="s">
        <v>1044</v>
      </c>
      <c r="F1812" s="1399">
        <v>655092.65</v>
      </c>
      <c r="I1812" s="1399">
        <v>655092.65</v>
      </c>
    </row>
    <row r="1813" spans="2:9">
      <c r="B1813" s="1297"/>
      <c r="C1813" s="1297"/>
      <c r="D1813" s="1297" t="s">
        <v>1045</v>
      </c>
      <c r="F1813" s="1399">
        <v>1689331.3699999996</v>
      </c>
      <c r="I1813" s="1399">
        <v>1689331.3699999996</v>
      </c>
    </row>
    <row r="1814" spans="2:9">
      <c r="B1814" s="1297"/>
      <c r="C1814" s="1297"/>
      <c r="D1814" s="1297" t="s">
        <v>1046</v>
      </c>
      <c r="H1814" s="1399">
        <v>77529421</v>
      </c>
      <c r="I1814" s="1399">
        <v>77529421</v>
      </c>
    </row>
    <row r="1815" spans="2:9">
      <c r="B1815" s="1297"/>
      <c r="C1815" s="1297"/>
      <c r="D1815" s="1297" t="s">
        <v>1128</v>
      </c>
      <c r="H1815" s="1399">
        <v>6585115</v>
      </c>
      <c r="I1815" s="1399">
        <v>6585115</v>
      </c>
    </row>
    <row r="1816" spans="2:9">
      <c r="B1816" s="1297"/>
      <c r="C1816" s="1297"/>
      <c r="D1816" s="1297" t="s">
        <v>1129</v>
      </c>
      <c r="H1816" s="1399">
        <v>-11051841</v>
      </c>
      <c r="I1816" s="1399">
        <v>-11051841</v>
      </c>
    </row>
    <row r="1817" spans="2:9">
      <c r="B1817" s="1297"/>
      <c r="C1817" s="1297"/>
      <c r="D1817" s="1297" t="s">
        <v>1047</v>
      </c>
      <c r="H1817" s="1399">
        <v>1910014</v>
      </c>
      <c r="I1817" s="1399">
        <v>1910014</v>
      </c>
    </row>
    <row r="1818" spans="2:9">
      <c r="B1818" s="1297"/>
      <c r="C1818" s="1297"/>
      <c r="D1818" s="1297" t="s">
        <v>1048</v>
      </c>
      <c r="H1818" s="1399">
        <v>-10524484</v>
      </c>
      <c r="I1818" s="1399">
        <v>-10524484</v>
      </c>
    </row>
    <row r="1819" spans="2:9">
      <c r="B1819" s="1297"/>
      <c r="C1819" s="1297"/>
      <c r="D1819" s="1297" t="s">
        <v>932</v>
      </c>
      <c r="H1819" s="1399">
        <v>9558626</v>
      </c>
      <c r="I1819" s="1399">
        <v>9558626</v>
      </c>
    </row>
    <row r="1820" spans="2:9">
      <c r="B1820" s="1297"/>
      <c r="C1820" s="1297"/>
      <c r="D1820" s="1297" t="s">
        <v>955</v>
      </c>
      <c r="H1820" s="1399">
        <v>1113568.6000000001</v>
      </c>
      <c r="I1820" s="1399">
        <v>1113568.6000000001</v>
      </c>
    </row>
    <row r="1821" spans="2:9">
      <c r="B1821" s="1297"/>
      <c r="C1821" s="1297"/>
      <c r="D1821" s="1297" t="s">
        <v>934</v>
      </c>
      <c r="H1821" s="1399">
        <v>266983.64</v>
      </c>
      <c r="I1821" s="1399">
        <v>266983.64</v>
      </c>
    </row>
    <row r="1822" spans="2:9">
      <c r="B1822" s="1297"/>
      <c r="C1822" s="1297"/>
      <c r="D1822" s="1297" t="s">
        <v>935</v>
      </c>
      <c r="H1822" s="1399">
        <v>3066730.74</v>
      </c>
      <c r="I1822" s="1399">
        <v>3066730.74</v>
      </c>
    </row>
    <row r="1823" spans="2:9">
      <c r="B1823" s="1297"/>
      <c r="C1823" s="1297"/>
      <c r="D1823" s="1297" t="s">
        <v>936</v>
      </c>
      <c r="H1823" s="1399">
        <v>283972.08</v>
      </c>
      <c r="I1823" s="1399">
        <v>283972.08</v>
      </c>
    </row>
    <row r="1824" spans="2:9">
      <c r="B1824" s="1297"/>
      <c r="C1824" s="1297"/>
      <c r="D1824" s="1297" t="s">
        <v>937</v>
      </c>
      <c r="H1824" s="1399">
        <v>51483.82</v>
      </c>
      <c r="I1824" s="1399">
        <v>51483.82</v>
      </c>
    </row>
    <row r="1825" spans="2:9">
      <c r="B1825" s="1297"/>
      <c r="C1825" s="1297"/>
      <c r="D1825" s="1297" t="s">
        <v>938</v>
      </c>
      <c r="H1825" s="1399">
        <v>94702</v>
      </c>
      <c r="I1825" s="1399">
        <v>94702</v>
      </c>
    </row>
    <row r="1826" spans="2:9">
      <c r="B1826" s="1297"/>
      <c r="C1826" s="1297"/>
      <c r="D1826" s="1297" t="s">
        <v>1131</v>
      </c>
      <c r="E1826" s="1399">
        <v>248892.93</v>
      </c>
      <c r="I1826" s="1399">
        <v>248892.93</v>
      </c>
    </row>
    <row r="1827" spans="2:9">
      <c r="B1827" s="1297"/>
      <c r="C1827" s="1297"/>
      <c r="D1827" s="1297" t="s">
        <v>940</v>
      </c>
      <c r="E1827" s="1399">
        <v>5569711.3200000003</v>
      </c>
      <c r="I1827" s="1399">
        <v>5569711.3200000003</v>
      </c>
    </row>
    <row r="1828" spans="2:9">
      <c r="B1828" s="1297"/>
      <c r="C1828" s="1297"/>
      <c r="D1828" s="1297" t="s">
        <v>941</v>
      </c>
      <c r="E1828" s="1399">
        <v>2507484.48</v>
      </c>
      <c r="I1828" s="1399">
        <v>2507484.48</v>
      </c>
    </row>
    <row r="1829" spans="2:9">
      <c r="B1829" s="1297"/>
      <c r="C1829" s="1297"/>
      <c r="D1829" s="1297" t="s">
        <v>943</v>
      </c>
      <c r="E1829" s="1399">
        <v>106166.85999999999</v>
      </c>
      <c r="I1829" s="1399">
        <v>106166.85999999999</v>
      </c>
    </row>
    <row r="1830" spans="2:9">
      <c r="B1830" s="1297"/>
      <c r="C1830" s="1297"/>
      <c r="D1830" s="1297" t="s">
        <v>944</v>
      </c>
      <c r="E1830" s="1399">
        <v>14046194.749999996</v>
      </c>
      <c r="I1830" s="1399">
        <v>14046194.749999996</v>
      </c>
    </row>
    <row r="1831" spans="2:9">
      <c r="B1831" s="1297"/>
      <c r="C1831" s="1297"/>
      <c r="D1831" s="1297" t="s">
        <v>945</v>
      </c>
      <c r="E1831" s="1399">
        <v>8325692.9399999995</v>
      </c>
      <c r="I1831" s="1399">
        <v>8325692.9399999995</v>
      </c>
    </row>
    <row r="1832" spans="2:9">
      <c r="B1832" s="1297"/>
      <c r="C1832" s="1297"/>
      <c r="D1832" s="1297" t="s">
        <v>946</v>
      </c>
      <c r="E1832" s="1399">
        <v>85801.84</v>
      </c>
      <c r="I1832" s="1399">
        <v>85801.84</v>
      </c>
    </row>
    <row r="1833" spans="2:9">
      <c r="B1833" s="1297"/>
      <c r="C1833" s="1297"/>
      <c r="D1833" s="1297" t="s">
        <v>1006</v>
      </c>
      <c r="E1833" s="1399">
        <v>59270.78</v>
      </c>
      <c r="I1833" s="1399">
        <v>59270.78</v>
      </c>
    </row>
    <row r="1834" spans="2:9">
      <c r="B1834" s="1297"/>
      <c r="C1834" s="1297"/>
      <c r="D1834" s="1297" t="s">
        <v>947</v>
      </c>
      <c r="E1834" s="1399">
        <v>527097.31000000006</v>
      </c>
      <c r="I1834" s="1399">
        <v>527097.31000000006</v>
      </c>
    </row>
    <row r="1835" spans="2:9">
      <c r="B1835" s="1297"/>
      <c r="C1835" s="1297"/>
      <c r="D1835" s="1297" t="s">
        <v>948</v>
      </c>
      <c r="G1835" s="1399">
        <v>20774224.930000003</v>
      </c>
      <c r="I1835" s="1399">
        <v>20774224.930000003</v>
      </c>
    </row>
    <row r="1836" spans="2:9">
      <c r="B1836" s="1297"/>
      <c r="C1836" s="1297"/>
      <c r="D1836" s="1297" t="s">
        <v>956</v>
      </c>
      <c r="G1836" s="1399">
        <v>18649.96</v>
      </c>
      <c r="I1836" s="1399">
        <v>18649.96</v>
      </c>
    </row>
    <row r="1837" spans="2:9">
      <c r="B1837" s="1297"/>
      <c r="C1837" s="1297"/>
      <c r="D1837" s="1297" t="s">
        <v>1118</v>
      </c>
      <c r="G1837" s="1399">
        <v>2485787.83</v>
      </c>
      <c r="I1837" s="1399">
        <v>2485787.83</v>
      </c>
    </row>
    <row r="1838" spans="2:9">
      <c r="B1838" s="1297"/>
      <c r="C1838" s="1400" t="s">
        <v>1291</v>
      </c>
      <c r="D1838" s="1400"/>
      <c r="E1838" s="1401">
        <v>31476313.209999993</v>
      </c>
      <c r="F1838" s="1401">
        <v>62964133.900000013</v>
      </c>
      <c r="G1838" s="1401">
        <v>23278662.720000006</v>
      </c>
      <c r="H1838" s="1401">
        <v>78884291.87999998</v>
      </c>
      <c r="I1838" s="1401">
        <v>196603401.71000004</v>
      </c>
    </row>
    <row r="1839" spans="2:9">
      <c r="B1839" s="1297" t="s">
        <v>1292</v>
      </c>
      <c r="C1839" s="1297" t="s">
        <v>1293</v>
      </c>
      <c r="D1839" s="1297" t="s">
        <v>906</v>
      </c>
      <c r="F1839" s="1399">
        <v>81626660.859999999</v>
      </c>
      <c r="I1839" s="1399">
        <v>81626660.859999999</v>
      </c>
    </row>
    <row r="1840" spans="2:9">
      <c r="B1840" s="1297"/>
      <c r="C1840" s="1297"/>
      <c r="D1840" s="1297" t="s">
        <v>952</v>
      </c>
      <c r="F1840" s="1399">
        <v>912209.14999999991</v>
      </c>
      <c r="I1840" s="1399">
        <v>912209.14999999991</v>
      </c>
    </row>
    <row r="1841" spans="2:9">
      <c r="B1841" s="1297"/>
      <c r="C1841" s="1297"/>
      <c r="D1841" s="1297" t="s">
        <v>907</v>
      </c>
      <c r="F1841" s="1399">
        <v>20567360.07</v>
      </c>
      <c r="I1841" s="1399">
        <v>20567360.07</v>
      </c>
    </row>
    <row r="1842" spans="2:9">
      <c r="B1842" s="1297"/>
      <c r="C1842" s="1297"/>
      <c r="D1842" s="1297" t="s">
        <v>910</v>
      </c>
      <c r="F1842" s="1399">
        <v>174740.87</v>
      </c>
      <c r="I1842" s="1399">
        <v>174740.87</v>
      </c>
    </row>
    <row r="1843" spans="2:9">
      <c r="B1843" s="1297"/>
      <c r="C1843" s="1297"/>
      <c r="D1843" s="1297" t="s">
        <v>1034</v>
      </c>
      <c r="F1843" s="1399">
        <v>326839.15000000002</v>
      </c>
      <c r="I1843" s="1399">
        <v>326839.15000000002</v>
      </c>
    </row>
    <row r="1844" spans="2:9">
      <c r="B1844" s="1297"/>
      <c r="C1844" s="1297"/>
      <c r="D1844" s="1297" t="s">
        <v>1035</v>
      </c>
      <c r="F1844" s="1399">
        <v>3552342.0100000002</v>
      </c>
      <c r="I1844" s="1399">
        <v>3552342.0100000002</v>
      </c>
    </row>
    <row r="1845" spans="2:9">
      <c r="B1845" s="1297"/>
      <c r="C1845" s="1297"/>
      <c r="D1845" s="1297" t="s">
        <v>1036</v>
      </c>
      <c r="F1845" s="1399">
        <v>877101.11</v>
      </c>
      <c r="I1845" s="1399">
        <v>877101.11</v>
      </c>
    </row>
    <row r="1846" spans="2:9">
      <c r="B1846" s="1297"/>
      <c r="C1846" s="1297"/>
      <c r="D1846" s="1297" t="s">
        <v>1039</v>
      </c>
      <c r="F1846" s="1399">
        <v>389392.77</v>
      </c>
      <c r="I1846" s="1399">
        <v>389392.77</v>
      </c>
    </row>
    <row r="1847" spans="2:9">
      <c r="B1847" s="1297"/>
      <c r="C1847" s="1297"/>
      <c r="D1847" s="1297" t="s">
        <v>1040</v>
      </c>
      <c r="F1847" s="1399">
        <v>1906214.38</v>
      </c>
      <c r="I1847" s="1399">
        <v>1906214.38</v>
      </c>
    </row>
    <row r="1848" spans="2:9">
      <c r="B1848" s="1297"/>
      <c r="C1848" s="1297"/>
      <c r="D1848" s="1297" t="s">
        <v>1127</v>
      </c>
      <c r="F1848" s="1399">
        <v>492428.13</v>
      </c>
      <c r="I1848" s="1399">
        <v>492428.13</v>
      </c>
    </row>
    <row r="1849" spans="2:9">
      <c r="B1849" s="1297"/>
      <c r="C1849" s="1297"/>
      <c r="D1849" s="1297" t="s">
        <v>1207</v>
      </c>
      <c r="F1849" s="1399">
        <v>30845.1</v>
      </c>
      <c r="I1849" s="1399">
        <v>30845.1</v>
      </c>
    </row>
    <row r="1850" spans="2:9">
      <c r="B1850" s="1297"/>
      <c r="C1850" s="1297"/>
      <c r="D1850" s="1297" t="s">
        <v>1041</v>
      </c>
      <c r="F1850" s="1399">
        <v>333362.36</v>
      </c>
      <c r="I1850" s="1399">
        <v>333362.36</v>
      </c>
    </row>
    <row r="1851" spans="2:9">
      <c r="B1851" s="1297"/>
      <c r="C1851" s="1297"/>
      <c r="D1851" s="1297" t="s">
        <v>1042</v>
      </c>
      <c r="F1851" s="1399">
        <v>268036.45</v>
      </c>
      <c r="I1851" s="1399">
        <v>268036.45</v>
      </c>
    </row>
    <row r="1852" spans="2:9">
      <c r="B1852" s="1297"/>
      <c r="C1852" s="1297"/>
      <c r="D1852" s="1297" t="s">
        <v>1005</v>
      </c>
      <c r="F1852" s="1399">
        <v>107131.1</v>
      </c>
      <c r="I1852" s="1399">
        <v>107131.1</v>
      </c>
    </row>
    <row r="1853" spans="2:9">
      <c r="B1853" s="1297"/>
      <c r="C1853" s="1297"/>
      <c r="D1853" s="1297" t="s">
        <v>1044</v>
      </c>
      <c r="F1853" s="1399">
        <v>183354.13</v>
      </c>
      <c r="I1853" s="1399">
        <v>183354.13</v>
      </c>
    </row>
    <row r="1854" spans="2:9">
      <c r="B1854" s="1297"/>
      <c r="C1854" s="1297"/>
      <c r="D1854" s="1297" t="s">
        <v>1045</v>
      </c>
      <c r="F1854" s="1399">
        <v>1730845.37</v>
      </c>
      <c r="I1854" s="1399">
        <v>1730845.37</v>
      </c>
    </row>
    <row r="1855" spans="2:9">
      <c r="B1855" s="1297"/>
      <c r="C1855" s="1297"/>
      <c r="D1855" s="1297" t="s">
        <v>1046</v>
      </c>
      <c r="H1855" s="1399">
        <v>121270963</v>
      </c>
      <c r="I1855" s="1399">
        <v>121270963</v>
      </c>
    </row>
    <row r="1856" spans="2:9">
      <c r="B1856" s="1297"/>
      <c r="C1856" s="1297"/>
      <c r="D1856" s="1297" t="s">
        <v>1128</v>
      </c>
      <c r="H1856" s="1399">
        <v>10553117</v>
      </c>
      <c r="I1856" s="1399">
        <v>10553117</v>
      </c>
    </row>
    <row r="1857" spans="2:9">
      <c r="B1857" s="1297"/>
      <c r="C1857" s="1297"/>
      <c r="D1857" s="1297" t="s">
        <v>1129</v>
      </c>
      <c r="H1857" s="1399">
        <v>-16334460</v>
      </c>
      <c r="I1857" s="1399">
        <v>-16334460</v>
      </c>
    </row>
    <row r="1858" spans="2:9">
      <c r="B1858" s="1297"/>
      <c r="C1858" s="1297"/>
      <c r="D1858" s="1297" t="s">
        <v>1047</v>
      </c>
      <c r="H1858" s="1399">
        <v>2007078</v>
      </c>
      <c r="I1858" s="1399">
        <v>2007078</v>
      </c>
    </row>
    <row r="1859" spans="2:9">
      <c r="B1859" s="1297"/>
      <c r="C1859" s="1297"/>
      <c r="D1859" s="1297" t="s">
        <v>1048</v>
      </c>
      <c r="H1859" s="1399">
        <v>-21106454</v>
      </c>
      <c r="I1859" s="1399">
        <v>-21106454</v>
      </c>
    </row>
    <row r="1860" spans="2:9">
      <c r="B1860" s="1297"/>
      <c r="C1860" s="1297"/>
      <c r="D1860" s="1297" t="s">
        <v>932</v>
      </c>
      <c r="H1860" s="1399">
        <v>7500778</v>
      </c>
      <c r="I1860" s="1399">
        <v>7500778</v>
      </c>
    </row>
    <row r="1861" spans="2:9">
      <c r="B1861" s="1297"/>
      <c r="C1861" s="1297"/>
      <c r="D1861" s="1297" t="s">
        <v>934</v>
      </c>
      <c r="H1861" s="1399">
        <v>379910</v>
      </c>
      <c r="I1861" s="1399">
        <v>379910</v>
      </c>
    </row>
    <row r="1862" spans="2:9">
      <c r="B1862" s="1297"/>
      <c r="C1862" s="1297"/>
      <c r="D1862" s="1297" t="s">
        <v>1130</v>
      </c>
      <c r="H1862" s="1399">
        <v>18963475.859999999</v>
      </c>
      <c r="I1862" s="1399">
        <v>18963475.859999999</v>
      </c>
    </row>
    <row r="1863" spans="2:9">
      <c r="B1863" s="1297"/>
      <c r="C1863" s="1297"/>
      <c r="D1863" s="1297" t="s">
        <v>935</v>
      </c>
      <c r="H1863" s="1399">
        <v>2033476.5</v>
      </c>
      <c r="I1863" s="1399">
        <v>2033476.5</v>
      </c>
    </row>
    <row r="1864" spans="2:9">
      <c r="B1864" s="1297"/>
      <c r="C1864" s="1297"/>
      <c r="D1864" s="1297" t="s">
        <v>936</v>
      </c>
      <c r="H1864" s="1399">
        <v>336844.82</v>
      </c>
      <c r="I1864" s="1399">
        <v>336844.82</v>
      </c>
    </row>
    <row r="1865" spans="2:9">
      <c r="B1865" s="1297"/>
      <c r="C1865" s="1297"/>
      <c r="D1865" s="1297" t="s">
        <v>937</v>
      </c>
      <c r="H1865" s="1399">
        <v>49377</v>
      </c>
      <c r="I1865" s="1399">
        <v>49377</v>
      </c>
    </row>
    <row r="1866" spans="2:9">
      <c r="B1866" s="1297"/>
      <c r="C1866" s="1297"/>
      <c r="D1866" s="1297" t="s">
        <v>938</v>
      </c>
      <c r="H1866" s="1399">
        <v>125584</v>
      </c>
      <c r="I1866" s="1399">
        <v>125584</v>
      </c>
    </row>
    <row r="1867" spans="2:9">
      <c r="B1867" s="1297"/>
      <c r="C1867" s="1297"/>
      <c r="D1867" s="1297" t="s">
        <v>939</v>
      </c>
      <c r="H1867" s="1399">
        <v>1068382.43</v>
      </c>
      <c r="I1867" s="1399">
        <v>1068382.43</v>
      </c>
    </row>
    <row r="1868" spans="2:9">
      <c r="B1868" s="1297"/>
      <c r="C1868" s="1297"/>
      <c r="D1868" s="1297" t="s">
        <v>1131</v>
      </c>
      <c r="E1868" s="1399">
        <v>1186085.05</v>
      </c>
      <c r="I1868" s="1399">
        <v>1186085.05</v>
      </c>
    </row>
    <row r="1869" spans="2:9">
      <c r="B1869" s="1297"/>
      <c r="C1869" s="1297"/>
      <c r="D1869" s="1297" t="s">
        <v>940</v>
      </c>
      <c r="E1869" s="1399">
        <v>6123386.1799999997</v>
      </c>
      <c r="I1869" s="1399">
        <v>6123386.1799999997</v>
      </c>
    </row>
    <row r="1870" spans="2:9">
      <c r="B1870" s="1297"/>
      <c r="C1870" s="1297"/>
      <c r="D1870" s="1297" t="s">
        <v>941</v>
      </c>
      <c r="E1870" s="1399">
        <v>2401556.1800000002</v>
      </c>
      <c r="I1870" s="1399">
        <v>2401556.1800000002</v>
      </c>
    </row>
    <row r="1871" spans="2:9">
      <c r="B1871" s="1297"/>
      <c r="C1871" s="1297"/>
      <c r="D1871" s="1297" t="s">
        <v>943</v>
      </c>
      <c r="E1871" s="1399">
        <v>139708.81</v>
      </c>
      <c r="I1871" s="1399">
        <v>139708.81</v>
      </c>
    </row>
    <row r="1872" spans="2:9">
      <c r="B1872" s="1297"/>
      <c r="C1872" s="1297"/>
      <c r="D1872" s="1297" t="s">
        <v>944</v>
      </c>
      <c r="E1872" s="1399">
        <v>12557394.670000002</v>
      </c>
      <c r="I1872" s="1399">
        <v>12557394.670000002</v>
      </c>
    </row>
    <row r="1873" spans="2:9">
      <c r="B1873" s="1297"/>
      <c r="C1873" s="1297"/>
      <c r="D1873" s="1297" t="s">
        <v>945</v>
      </c>
      <c r="E1873" s="1399">
        <v>10004042.119999999</v>
      </c>
      <c r="I1873" s="1399">
        <v>10004042.119999999</v>
      </c>
    </row>
    <row r="1874" spans="2:9">
      <c r="B1874" s="1297"/>
      <c r="C1874" s="1297"/>
      <c r="D1874" s="1297" t="s">
        <v>946</v>
      </c>
      <c r="E1874" s="1399">
        <v>242570.12</v>
      </c>
      <c r="I1874" s="1399">
        <v>242570.12</v>
      </c>
    </row>
    <row r="1875" spans="2:9">
      <c r="B1875" s="1297"/>
      <c r="C1875" s="1297"/>
      <c r="D1875" s="1297" t="s">
        <v>947</v>
      </c>
      <c r="E1875" s="1399">
        <v>790162.89</v>
      </c>
      <c r="I1875" s="1399">
        <v>790162.89</v>
      </c>
    </row>
    <row r="1876" spans="2:9">
      <c r="B1876" s="1297"/>
      <c r="C1876" s="1297"/>
      <c r="D1876" s="1297" t="s">
        <v>1115</v>
      </c>
      <c r="E1876" s="1399">
        <v>-157.08000000000001</v>
      </c>
      <c r="I1876" s="1399">
        <v>-157.08000000000001</v>
      </c>
    </row>
    <row r="1877" spans="2:9">
      <c r="B1877" s="1297"/>
      <c r="C1877" s="1297"/>
      <c r="D1877" s="1297" t="s">
        <v>948</v>
      </c>
      <c r="G1877" s="1399">
        <v>33137807.039999999</v>
      </c>
      <c r="I1877" s="1399">
        <v>33137807.039999999</v>
      </c>
    </row>
    <row r="1878" spans="2:9">
      <c r="B1878" s="1297"/>
      <c r="C1878" s="1297"/>
      <c r="D1878" s="1297" t="s">
        <v>956</v>
      </c>
      <c r="G1878" s="1399">
        <v>46268.97</v>
      </c>
      <c r="I1878" s="1399">
        <v>46268.97</v>
      </c>
    </row>
    <row r="1879" spans="2:9">
      <c r="B1879" s="1297"/>
      <c r="C1879" s="1297"/>
      <c r="D1879" s="1297" t="s">
        <v>1118</v>
      </c>
      <c r="G1879" s="1399">
        <v>3860.35</v>
      </c>
      <c r="I1879" s="1399">
        <v>3860.35</v>
      </c>
    </row>
    <row r="1880" spans="2:9">
      <c r="B1880" s="1297"/>
      <c r="C1880" s="1400" t="s">
        <v>1294</v>
      </c>
      <c r="D1880" s="1400"/>
      <c r="E1880" s="1401">
        <v>33444748.940000001</v>
      </c>
      <c r="F1880" s="1401">
        <v>113478863.01000001</v>
      </c>
      <c r="G1880" s="1401">
        <v>33187936.359999999</v>
      </c>
      <c r="H1880" s="1401">
        <v>126848072.61</v>
      </c>
      <c r="I1880" s="1401">
        <v>306959620.92000014</v>
      </c>
    </row>
    <row r="1881" spans="2:9">
      <c r="B1881" s="1297" t="s">
        <v>1295</v>
      </c>
      <c r="C1881" s="1297" t="s">
        <v>1296</v>
      </c>
      <c r="D1881" s="1297" t="s">
        <v>906</v>
      </c>
      <c r="F1881" s="1399">
        <v>5504121.4699999997</v>
      </c>
      <c r="I1881" s="1399">
        <v>5504121.4699999997</v>
      </c>
    </row>
    <row r="1882" spans="2:9">
      <c r="B1882" s="1297"/>
      <c r="C1882" s="1297"/>
      <c r="D1882" s="1297" t="s">
        <v>907</v>
      </c>
      <c r="F1882" s="1399">
        <v>2016609.9100000001</v>
      </c>
      <c r="I1882" s="1399">
        <v>2016609.9100000001</v>
      </c>
    </row>
    <row r="1883" spans="2:9">
      <c r="B1883" s="1297"/>
      <c r="C1883" s="1297"/>
      <c r="D1883" s="1297" t="s">
        <v>908</v>
      </c>
      <c r="F1883" s="1399">
        <v>379040.88</v>
      </c>
      <c r="I1883" s="1399">
        <v>379040.88</v>
      </c>
    </row>
    <row r="1884" spans="2:9">
      <c r="B1884" s="1297"/>
      <c r="C1884" s="1297"/>
      <c r="D1884" s="1297" t="s">
        <v>1122</v>
      </c>
      <c r="F1884" s="1399">
        <v>-49410</v>
      </c>
      <c r="I1884" s="1399">
        <v>-49410</v>
      </c>
    </row>
    <row r="1885" spans="2:9">
      <c r="B1885" s="1297"/>
      <c r="C1885" s="1297"/>
      <c r="D1885" s="1297" t="s">
        <v>909</v>
      </c>
      <c r="F1885" s="1399">
        <v>62334.03</v>
      </c>
      <c r="I1885" s="1399">
        <v>62334.03</v>
      </c>
    </row>
    <row r="1886" spans="2:9">
      <c r="B1886" s="1297"/>
      <c r="C1886" s="1297"/>
      <c r="D1886" s="1297" t="s">
        <v>1034</v>
      </c>
      <c r="F1886" s="1399">
        <v>2327</v>
      </c>
      <c r="I1886" s="1399">
        <v>2327</v>
      </c>
    </row>
    <row r="1887" spans="2:9">
      <c r="B1887" s="1297"/>
      <c r="C1887" s="1297"/>
      <c r="D1887" s="1297" t="s">
        <v>1035</v>
      </c>
      <c r="F1887" s="1399">
        <v>383692.87999999995</v>
      </c>
      <c r="I1887" s="1399">
        <v>383692.87999999995</v>
      </c>
    </row>
    <row r="1888" spans="2:9">
      <c r="B1888" s="1297"/>
      <c r="C1888" s="1297"/>
      <c r="D1888" s="1297" t="s">
        <v>1036</v>
      </c>
      <c r="F1888" s="1399">
        <v>105276.28</v>
      </c>
      <c r="I1888" s="1399">
        <v>105276.28</v>
      </c>
    </row>
    <row r="1889" spans="2:9">
      <c r="B1889" s="1297"/>
      <c r="C1889" s="1297"/>
      <c r="D1889" s="1297" t="s">
        <v>1037</v>
      </c>
      <c r="F1889" s="1399">
        <v>53488.29</v>
      </c>
      <c r="I1889" s="1399">
        <v>53488.29</v>
      </c>
    </row>
    <row r="1890" spans="2:9">
      <c r="B1890" s="1297"/>
      <c r="C1890" s="1297"/>
      <c r="D1890" s="1297" t="s">
        <v>1039</v>
      </c>
      <c r="F1890" s="1399">
        <v>120294.54000000002</v>
      </c>
      <c r="I1890" s="1399">
        <v>120294.54000000002</v>
      </c>
    </row>
    <row r="1891" spans="2:9">
      <c r="B1891" s="1297"/>
      <c r="C1891" s="1297"/>
      <c r="D1891" s="1297" t="s">
        <v>1040</v>
      </c>
      <c r="F1891" s="1399">
        <v>98637.38</v>
      </c>
      <c r="I1891" s="1399">
        <v>98637.38</v>
      </c>
    </row>
    <row r="1892" spans="2:9">
      <c r="B1892" s="1297"/>
      <c r="C1892" s="1297"/>
      <c r="D1892" s="1297" t="s">
        <v>1041</v>
      </c>
      <c r="F1892" s="1399">
        <v>33673.56</v>
      </c>
      <c r="I1892" s="1399">
        <v>33673.56</v>
      </c>
    </row>
    <row r="1893" spans="2:9">
      <c r="B1893" s="1297"/>
      <c r="C1893" s="1297"/>
      <c r="D1893" s="1297" t="s">
        <v>1042</v>
      </c>
      <c r="F1893" s="1399">
        <v>14230.15</v>
      </c>
      <c r="I1893" s="1399">
        <v>14230.15</v>
      </c>
    </row>
    <row r="1894" spans="2:9">
      <c r="B1894" s="1297"/>
      <c r="C1894" s="1297"/>
      <c r="D1894" s="1297" t="s">
        <v>953</v>
      </c>
      <c r="F1894" s="1399">
        <v>19040</v>
      </c>
      <c r="I1894" s="1399">
        <v>19040</v>
      </c>
    </row>
    <row r="1895" spans="2:9">
      <c r="B1895" s="1297"/>
      <c r="C1895" s="1297"/>
      <c r="D1895" s="1297" t="s">
        <v>991</v>
      </c>
      <c r="F1895" s="1399">
        <v>25498.489999999998</v>
      </c>
      <c r="I1895" s="1399">
        <v>25498.489999999998</v>
      </c>
    </row>
    <row r="1896" spans="2:9">
      <c r="B1896" s="1297"/>
      <c r="C1896" s="1297"/>
      <c r="D1896" s="1297" t="s">
        <v>1044</v>
      </c>
      <c r="F1896" s="1399">
        <v>26359.13</v>
      </c>
      <c r="I1896" s="1399">
        <v>26359.13</v>
      </c>
    </row>
    <row r="1897" spans="2:9">
      <c r="B1897" s="1297"/>
      <c r="C1897" s="1297"/>
      <c r="D1897" s="1297" t="s">
        <v>1045</v>
      </c>
      <c r="F1897" s="1399">
        <v>131893.48000000001</v>
      </c>
      <c r="I1897" s="1399">
        <v>131893.48000000001</v>
      </c>
    </row>
    <row r="1898" spans="2:9">
      <c r="B1898" s="1297"/>
      <c r="C1898" s="1297"/>
      <c r="D1898" s="1297" t="s">
        <v>1046</v>
      </c>
      <c r="H1898" s="1399">
        <v>11803727.5</v>
      </c>
      <c r="I1898" s="1399">
        <v>11803727.5</v>
      </c>
    </row>
    <row r="1899" spans="2:9">
      <c r="B1899" s="1297"/>
      <c r="C1899" s="1297"/>
      <c r="D1899" s="1297" t="s">
        <v>1047</v>
      </c>
      <c r="H1899" s="1399">
        <v>391365</v>
      </c>
      <c r="I1899" s="1399">
        <v>391365</v>
      </c>
    </row>
    <row r="1900" spans="2:9">
      <c r="B1900" s="1297"/>
      <c r="C1900" s="1297"/>
      <c r="D1900" s="1297" t="s">
        <v>1048</v>
      </c>
      <c r="H1900" s="1399">
        <v>-1786618.5</v>
      </c>
      <c r="I1900" s="1399">
        <v>-1786618.5</v>
      </c>
    </row>
    <row r="1901" spans="2:9">
      <c r="B1901" s="1297"/>
      <c r="C1901" s="1297"/>
      <c r="D1901" s="1297" t="s">
        <v>932</v>
      </c>
      <c r="H1901" s="1399">
        <v>867793</v>
      </c>
      <c r="I1901" s="1399">
        <v>867793</v>
      </c>
    </row>
    <row r="1902" spans="2:9">
      <c r="B1902" s="1297"/>
      <c r="C1902" s="1297"/>
      <c r="D1902" s="1297" t="s">
        <v>955</v>
      </c>
      <c r="H1902" s="1399">
        <v>569302.1</v>
      </c>
      <c r="I1902" s="1399">
        <v>569302.1</v>
      </c>
    </row>
    <row r="1903" spans="2:9">
      <c r="B1903" s="1297"/>
      <c r="C1903" s="1297"/>
      <c r="D1903" s="1297" t="s">
        <v>934</v>
      </c>
      <c r="H1903" s="1399">
        <v>37572</v>
      </c>
      <c r="I1903" s="1399">
        <v>37572</v>
      </c>
    </row>
    <row r="1904" spans="2:9">
      <c r="B1904" s="1297"/>
      <c r="C1904" s="1297"/>
      <c r="D1904" s="1297" t="s">
        <v>1130</v>
      </c>
      <c r="H1904" s="1399">
        <v>1348422.3</v>
      </c>
      <c r="I1904" s="1399">
        <v>1348422.3</v>
      </c>
    </row>
    <row r="1905" spans="2:9">
      <c r="B1905" s="1297"/>
      <c r="C1905" s="1297"/>
      <c r="D1905" s="1297" t="s">
        <v>935</v>
      </c>
      <c r="H1905" s="1399">
        <v>321754.71999999997</v>
      </c>
      <c r="I1905" s="1399">
        <v>321754.71999999997</v>
      </c>
    </row>
    <row r="1906" spans="2:9">
      <c r="B1906" s="1297"/>
      <c r="C1906" s="1297"/>
      <c r="D1906" s="1297" t="s">
        <v>936</v>
      </c>
      <c r="H1906" s="1399">
        <v>38166.410000000003</v>
      </c>
      <c r="I1906" s="1399">
        <v>38166.410000000003</v>
      </c>
    </row>
    <row r="1907" spans="2:9">
      <c r="B1907" s="1297"/>
      <c r="C1907" s="1297"/>
      <c r="D1907" s="1297" t="s">
        <v>937</v>
      </c>
      <c r="H1907" s="1399">
        <v>11670.68</v>
      </c>
      <c r="I1907" s="1399">
        <v>11670.68</v>
      </c>
    </row>
    <row r="1908" spans="2:9">
      <c r="B1908" s="1297"/>
      <c r="C1908" s="1297"/>
      <c r="D1908" s="1297" t="s">
        <v>938</v>
      </c>
      <c r="H1908" s="1399">
        <v>9732</v>
      </c>
      <c r="I1908" s="1399">
        <v>9732</v>
      </c>
    </row>
    <row r="1909" spans="2:9">
      <c r="B1909" s="1297"/>
      <c r="C1909" s="1297"/>
      <c r="D1909" s="1297" t="s">
        <v>940</v>
      </c>
      <c r="E1909" s="1399">
        <v>714157.58</v>
      </c>
      <c r="I1909" s="1399">
        <v>714157.58</v>
      </c>
    </row>
    <row r="1910" spans="2:9">
      <c r="B1910" s="1297"/>
      <c r="C1910" s="1297"/>
      <c r="D1910" s="1297" t="s">
        <v>941</v>
      </c>
      <c r="E1910" s="1399">
        <v>216266.01999999996</v>
      </c>
      <c r="I1910" s="1399">
        <v>216266.01999999996</v>
      </c>
    </row>
    <row r="1911" spans="2:9">
      <c r="B1911" s="1297"/>
      <c r="C1911" s="1297"/>
      <c r="D1911" s="1297" t="s">
        <v>943</v>
      </c>
      <c r="E1911" s="1399">
        <v>3698.52</v>
      </c>
      <c r="I1911" s="1399">
        <v>3698.52</v>
      </c>
    </row>
    <row r="1912" spans="2:9">
      <c r="B1912" s="1297"/>
      <c r="C1912" s="1297"/>
      <c r="D1912" s="1297" t="s">
        <v>944</v>
      </c>
      <c r="E1912" s="1399">
        <v>3416952.58</v>
      </c>
      <c r="I1912" s="1399">
        <v>3416952.58</v>
      </c>
    </row>
    <row r="1913" spans="2:9">
      <c r="B1913" s="1297"/>
      <c r="C1913" s="1297"/>
      <c r="D1913" s="1297" t="s">
        <v>945</v>
      </c>
      <c r="E1913" s="1399">
        <v>1441803.71</v>
      </c>
      <c r="I1913" s="1399">
        <v>1441803.71</v>
      </c>
    </row>
    <row r="1914" spans="2:9">
      <c r="B1914" s="1297"/>
      <c r="C1914" s="1297"/>
      <c r="D1914" s="1297" t="s">
        <v>946</v>
      </c>
      <c r="E1914" s="1399">
        <v>68380.83</v>
      </c>
      <c r="I1914" s="1399">
        <v>68380.83</v>
      </c>
    </row>
    <row r="1915" spans="2:9">
      <c r="B1915" s="1297"/>
      <c r="C1915" s="1297"/>
      <c r="D1915" s="1297" t="s">
        <v>947</v>
      </c>
      <c r="E1915" s="1399">
        <v>33944.67</v>
      </c>
      <c r="I1915" s="1399">
        <v>33944.67</v>
      </c>
    </row>
    <row r="1916" spans="2:9">
      <c r="B1916" s="1297"/>
      <c r="C1916" s="1297"/>
      <c r="D1916" s="1297" t="s">
        <v>948</v>
      </c>
      <c r="G1916" s="1399">
        <v>5386.34</v>
      </c>
      <c r="I1916" s="1399">
        <v>5386.34</v>
      </c>
    </row>
    <row r="1917" spans="2:9">
      <c r="B1917" s="1297"/>
      <c r="C1917" s="1297"/>
      <c r="D1917" s="1297" t="s">
        <v>1118</v>
      </c>
      <c r="G1917" s="1399">
        <v>35371.89</v>
      </c>
      <c r="I1917" s="1399">
        <v>35371.89</v>
      </c>
    </row>
    <row r="1918" spans="2:9">
      <c r="B1918" s="1297"/>
      <c r="C1918" s="1400" t="s">
        <v>1297</v>
      </c>
      <c r="D1918" s="1400"/>
      <c r="E1918" s="1401">
        <v>5895203.9100000001</v>
      </c>
      <c r="F1918" s="1401">
        <v>8927107.4700000007</v>
      </c>
      <c r="G1918" s="1401">
        <v>40758.229999999996</v>
      </c>
      <c r="H1918" s="1401">
        <v>13612887.210000001</v>
      </c>
      <c r="I1918" s="1401">
        <v>28475956.819999997</v>
      </c>
    </row>
    <row r="1919" spans="2:9">
      <c r="B1919" s="1297" t="s">
        <v>1298</v>
      </c>
      <c r="C1919" s="1297" t="s">
        <v>1299</v>
      </c>
      <c r="D1919" s="1297" t="s">
        <v>906</v>
      </c>
      <c r="F1919" s="1399">
        <v>2045996.7</v>
      </c>
      <c r="I1919" s="1399">
        <v>2045996.7</v>
      </c>
    </row>
    <row r="1920" spans="2:9">
      <c r="B1920" s="1297"/>
      <c r="C1920" s="1297"/>
      <c r="D1920" s="1297" t="s">
        <v>952</v>
      </c>
      <c r="F1920" s="1399">
        <v>7552.46</v>
      </c>
      <c r="I1920" s="1399">
        <v>7552.46</v>
      </c>
    </row>
    <row r="1921" spans="2:9">
      <c r="B1921" s="1297"/>
      <c r="C1921" s="1297"/>
      <c r="D1921" s="1297" t="s">
        <v>907</v>
      </c>
      <c r="F1921" s="1399">
        <v>164111.43</v>
      </c>
      <c r="I1921" s="1399">
        <v>164111.43</v>
      </c>
    </row>
    <row r="1922" spans="2:9">
      <c r="B1922" s="1297"/>
      <c r="C1922" s="1297"/>
      <c r="D1922" s="1297" t="s">
        <v>908</v>
      </c>
      <c r="F1922" s="1399">
        <v>13831.9</v>
      </c>
      <c r="I1922" s="1399">
        <v>13831.9</v>
      </c>
    </row>
    <row r="1923" spans="2:9">
      <c r="B1923" s="1297"/>
      <c r="C1923" s="1297"/>
      <c r="D1923" s="1297" t="s">
        <v>1034</v>
      </c>
      <c r="F1923" s="1399">
        <v>250</v>
      </c>
      <c r="I1923" s="1399">
        <v>250</v>
      </c>
    </row>
    <row r="1924" spans="2:9">
      <c r="B1924" s="1297"/>
      <c r="C1924" s="1297"/>
      <c r="D1924" s="1297" t="s">
        <v>1037</v>
      </c>
      <c r="F1924" s="1399">
        <v>7265.59</v>
      </c>
      <c r="I1924" s="1399">
        <v>7265.59</v>
      </c>
    </row>
    <row r="1925" spans="2:9">
      <c r="B1925" s="1297"/>
      <c r="C1925" s="1297"/>
      <c r="D1925" s="1297" t="s">
        <v>1039</v>
      </c>
      <c r="F1925" s="1399">
        <v>32963.980000000003</v>
      </c>
      <c r="I1925" s="1399">
        <v>32963.980000000003</v>
      </c>
    </row>
    <row r="1926" spans="2:9">
      <c r="B1926" s="1297"/>
      <c r="C1926" s="1297"/>
      <c r="D1926" s="1297" t="s">
        <v>1040</v>
      </c>
      <c r="F1926" s="1399">
        <v>42015.23</v>
      </c>
      <c r="I1926" s="1399">
        <v>42015.23</v>
      </c>
    </row>
    <row r="1927" spans="2:9">
      <c r="B1927" s="1297"/>
      <c r="C1927" s="1297"/>
      <c r="D1927" s="1297" t="s">
        <v>1041</v>
      </c>
      <c r="F1927" s="1399">
        <v>1691.65</v>
      </c>
      <c r="I1927" s="1399">
        <v>1691.65</v>
      </c>
    </row>
    <row r="1928" spans="2:9">
      <c r="B1928" s="1297"/>
      <c r="C1928" s="1297"/>
      <c r="D1928" s="1297" t="s">
        <v>1042</v>
      </c>
      <c r="F1928" s="1399">
        <v>18296.75</v>
      </c>
      <c r="I1928" s="1399">
        <v>18296.75</v>
      </c>
    </row>
    <row r="1929" spans="2:9">
      <c r="B1929" s="1297"/>
      <c r="C1929" s="1297"/>
      <c r="D1929" s="1297" t="s">
        <v>1043</v>
      </c>
      <c r="F1929" s="1399">
        <v>2000</v>
      </c>
      <c r="I1929" s="1399">
        <v>2000</v>
      </c>
    </row>
    <row r="1930" spans="2:9">
      <c r="B1930" s="1297"/>
      <c r="C1930" s="1297"/>
      <c r="D1930" s="1297" t="s">
        <v>986</v>
      </c>
      <c r="F1930" s="1399">
        <v>18017.07</v>
      </c>
      <c r="I1930" s="1399">
        <v>18017.07</v>
      </c>
    </row>
    <row r="1931" spans="2:9">
      <c r="B1931" s="1297"/>
      <c r="C1931" s="1297"/>
      <c r="D1931" s="1297" t="s">
        <v>1045</v>
      </c>
      <c r="F1931" s="1399">
        <v>209238.96</v>
      </c>
      <c r="I1931" s="1399">
        <v>209238.96</v>
      </c>
    </row>
    <row r="1932" spans="2:9">
      <c r="B1932" s="1297"/>
      <c r="C1932" s="1297"/>
      <c r="D1932" s="1297" t="s">
        <v>1046</v>
      </c>
      <c r="H1932" s="1399">
        <v>3763021</v>
      </c>
      <c r="I1932" s="1399">
        <v>3763021</v>
      </c>
    </row>
    <row r="1933" spans="2:9">
      <c r="B1933" s="1297"/>
      <c r="C1933" s="1297"/>
      <c r="D1933" s="1297" t="s">
        <v>1047</v>
      </c>
      <c r="H1933" s="1399">
        <v>425329</v>
      </c>
      <c r="I1933" s="1399">
        <v>425329</v>
      </c>
    </row>
    <row r="1934" spans="2:9">
      <c r="B1934" s="1297"/>
      <c r="C1934" s="1297"/>
      <c r="D1934" s="1297" t="s">
        <v>1048</v>
      </c>
      <c r="H1934" s="1399">
        <v>-460678</v>
      </c>
      <c r="I1934" s="1399">
        <v>-460678</v>
      </c>
    </row>
    <row r="1935" spans="2:9">
      <c r="B1935" s="1297"/>
      <c r="C1935" s="1297"/>
      <c r="D1935" s="1297" t="s">
        <v>932</v>
      </c>
      <c r="H1935" s="1399">
        <v>399674</v>
      </c>
      <c r="I1935" s="1399">
        <v>399674</v>
      </c>
    </row>
    <row r="1936" spans="2:9">
      <c r="B1936" s="1297"/>
      <c r="C1936" s="1297"/>
      <c r="D1936" s="1297" t="s">
        <v>955</v>
      </c>
      <c r="H1936" s="1399">
        <v>252877.29</v>
      </c>
      <c r="I1936" s="1399">
        <v>252877.29</v>
      </c>
    </row>
    <row r="1937" spans="2:9">
      <c r="B1937" s="1297"/>
      <c r="C1937" s="1297"/>
      <c r="D1937" s="1297" t="s">
        <v>934</v>
      </c>
      <c r="H1937" s="1399">
        <v>12138</v>
      </c>
      <c r="I1937" s="1399">
        <v>12138</v>
      </c>
    </row>
    <row r="1938" spans="2:9">
      <c r="B1938" s="1297"/>
      <c r="C1938" s="1297"/>
      <c r="D1938" s="1297" t="s">
        <v>935</v>
      </c>
      <c r="H1938" s="1399">
        <v>123423.84</v>
      </c>
      <c r="I1938" s="1399">
        <v>123423.84</v>
      </c>
    </row>
    <row r="1939" spans="2:9">
      <c r="B1939" s="1297"/>
      <c r="C1939" s="1297"/>
      <c r="D1939" s="1297" t="s">
        <v>936</v>
      </c>
      <c r="H1939" s="1399">
        <v>12605.42</v>
      </c>
      <c r="I1939" s="1399">
        <v>12605.42</v>
      </c>
    </row>
    <row r="1940" spans="2:9">
      <c r="B1940" s="1297"/>
      <c r="C1940" s="1297"/>
      <c r="D1940" s="1297" t="s">
        <v>937</v>
      </c>
      <c r="H1940" s="1399">
        <v>11776.72</v>
      </c>
      <c r="I1940" s="1399">
        <v>11776.72</v>
      </c>
    </row>
    <row r="1941" spans="2:9">
      <c r="B1941" s="1297"/>
      <c r="C1941" s="1297"/>
      <c r="D1941" s="1297" t="s">
        <v>938</v>
      </c>
      <c r="H1941" s="1399">
        <v>3556</v>
      </c>
      <c r="I1941" s="1399">
        <v>3556</v>
      </c>
    </row>
    <row r="1942" spans="2:9">
      <c r="B1942" s="1297"/>
      <c r="C1942" s="1297"/>
      <c r="D1942" s="1297" t="s">
        <v>939</v>
      </c>
      <c r="H1942" s="1399">
        <v>34928.639999999999</v>
      </c>
      <c r="I1942" s="1399">
        <v>34928.639999999999</v>
      </c>
    </row>
    <row r="1943" spans="2:9">
      <c r="B1943" s="1297"/>
      <c r="C1943" s="1297"/>
      <c r="D1943" s="1297" t="s">
        <v>940</v>
      </c>
      <c r="E1943" s="1399">
        <v>234686.8</v>
      </c>
      <c r="I1943" s="1399">
        <v>234686.8</v>
      </c>
    </row>
    <row r="1944" spans="2:9">
      <c r="B1944" s="1297"/>
      <c r="C1944" s="1297"/>
      <c r="D1944" s="1297" t="s">
        <v>941</v>
      </c>
      <c r="E1944" s="1399">
        <v>81711.960000000006</v>
      </c>
      <c r="I1944" s="1399">
        <v>81711.960000000006</v>
      </c>
    </row>
    <row r="1945" spans="2:9">
      <c r="B1945" s="1297"/>
      <c r="C1945" s="1297"/>
      <c r="D1945" s="1297" t="s">
        <v>944</v>
      </c>
      <c r="E1945" s="1399">
        <v>734708.55999999994</v>
      </c>
      <c r="I1945" s="1399">
        <v>734708.55999999994</v>
      </c>
    </row>
    <row r="1946" spans="2:9">
      <c r="B1946" s="1297"/>
      <c r="C1946" s="1297"/>
      <c r="D1946" s="1297" t="s">
        <v>945</v>
      </c>
      <c r="E1946" s="1399">
        <v>288192.29000000004</v>
      </c>
      <c r="I1946" s="1399">
        <v>288192.29000000004</v>
      </c>
    </row>
    <row r="1947" spans="2:9">
      <c r="B1947" s="1297"/>
      <c r="C1947" s="1297"/>
      <c r="D1947" s="1297" t="s">
        <v>947</v>
      </c>
      <c r="E1947" s="1399">
        <v>21873.38</v>
      </c>
      <c r="I1947" s="1399">
        <v>21873.38</v>
      </c>
    </row>
    <row r="1948" spans="2:9">
      <c r="B1948" s="1297"/>
      <c r="C1948" s="1297"/>
      <c r="D1948" s="1297" t="s">
        <v>948</v>
      </c>
      <c r="G1948" s="1399">
        <v>256407.15</v>
      </c>
      <c r="I1948" s="1399">
        <v>256407.15</v>
      </c>
    </row>
    <row r="1949" spans="2:9">
      <c r="B1949" s="1297"/>
      <c r="C1949" s="1297"/>
      <c r="D1949" s="1297" t="s">
        <v>956</v>
      </c>
      <c r="G1949" s="1399">
        <v>3011.17</v>
      </c>
      <c r="I1949" s="1399">
        <v>3011.17</v>
      </c>
    </row>
    <row r="1950" spans="2:9">
      <c r="B1950" s="1297"/>
      <c r="C1950" s="1297"/>
      <c r="D1950" s="1297" t="s">
        <v>1218</v>
      </c>
      <c r="G1950" s="1399">
        <v>368610.45</v>
      </c>
      <c r="I1950" s="1399">
        <v>368610.45</v>
      </c>
    </row>
    <row r="1951" spans="2:9">
      <c r="B1951" s="1297"/>
      <c r="C1951" s="1400" t="s">
        <v>1300</v>
      </c>
      <c r="D1951" s="1400"/>
      <c r="E1951" s="1401">
        <v>1361172.9899999998</v>
      </c>
      <c r="F1951" s="1401">
        <v>2563231.7199999993</v>
      </c>
      <c r="G1951" s="1401">
        <v>628028.77</v>
      </c>
      <c r="H1951" s="1401">
        <v>4578651.9099999992</v>
      </c>
      <c r="I1951" s="1401">
        <v>9131085.3899999987</v>
      </c>
    </row>
    <row r="1952" spans="2:9">
      <c r="B1952" s="1297" t="s">
        <v>1301</v>
      </c>
      <c r="C1952" s="1297" t="s">
        <v>1302</v>
      </c>
      <c r="D1952" s="1297" t="s">
        <v>906</v>
      </c>
      <c r="F1952" s="1399">
        <v>26394812.969999999</v>
      </c>
      <c r="I1952" s="1399">
        <v>26394812.969999999</v>
      </c>
    </row>
    <row r="1953" spans="2:9">
      <c r="B1953" s="1297"/>
      <c r="C1953" s="1297"/>
      <c r="D1953" s="1297" t="s">
        <v>907</v>
      </c>
      <c r="F1953" s="1399">
        <v>8835412.1400000006</v>
      </c>
      <c r="I1953" s="1399">
        <v>8835412.1400000006</v>
      </c>
    </row>
    <row r="1954" spans="2:9">
      <c r="B1954" s="1297"/>
      <c r="C1954" s="1297"/>
      <c r="D1954" s="1297" t="s">
        <v>908</v>
      </c>
      <c r="F1954" s="1399">
        <v>1578939.26</v>
      </c>
      <c r="I1954" s="1399">
        <v>1578939.26</v>
      </c>
    </row>
    <row r="1955" spans="2:9">
      <c r="B1955" s="1297"/>
      <c r="C1955" s="1297"/>
      <c r="D1955" s="1297" t="s">
        <v>909</v>
      </c>
      <c r="F1955" s="1399">
        <v>97578.03</v>
      </c>
      <c r="I1955" s="1399">
        <v>97578.03</v>
      </c>
    </row>
    <row r="1956" spans="2:9">
      <c r="B1956" s="1297"/>
      <c r="C1956" s="1297"/>
      <c r="D1956" s="1297" t="s">
        <v>910</v>
      </c>
      <c r="F1956" s="1399">
        <v>270250.02</v>
      </c>
      <c r="I1956" s="1399">
        <v>270250.02</v>
      </c>
    </row>
    <row r="1957" spans="2:9">
      <c r="B1957" s="1297"/>
      <c r="C1957" s="1297"/>
      <c r="D1957" s="1297" t="s">
        <v>1034</v>
      </c>
      <c r="F1957" s="1399">
        <v>102205.22</v>
      </c>
      <c r="I1957" s="1399">
        <v>102205.22</v>
      </c>
    </row>
    <row r="1958" spans="2:9">
      <c r="B1958" s="1297"/>
      <c r="C1958" s="1297"/>
      <c r="D1958" s="1297" t="s">
        <v>1035</v>
      </c>
      <c r="F1958" s="1399">
        <v>1612110.8199999998</v>
      </c>
      <c r="I1958" s="1399">
        <v>1612110.8199999998</v>
      </c>
    </row>
    <row r="1959" spans="2:9">
      <c r="B1959" s="1297"/>
      <c r="C1959" s="1297"/>
      <c r="D1959" s="1297" t="s">
        <v>1036</v>
      </c>
      <c r="F1959" s="1399">
        <v>272743.71000000002</v>
      </c>
      <c r="I1959" s="1399">
        <v>272743.71000000002</v>
      </c>
    </row>
    <row r="1960" spans="2:9">
      <c r="B1960" s="1297"/>
      <c r="C1960" s="1297"/>
      <c r="D1960" s="1297" t="s">
        <v>1039</v>
      </c>
      <c r="F1960" s="1399">
        <v>260102.58</v>
      </c>
      <c r="I1960" s="1399">
        <v>260102.58</v>
      </c>
    </row>
    <row r="1961" spans="2:9">
      <c r="B1961" s="1297"/>
      <c r="C1961" s="1297"/>
      <c r="D1961" s="1297" t="s">
        <v>1040</v>
      </c>
      <c r="F1961" s="1399">
        <v>1251779.3400000001</v>
      </c>
      <c r="I1961" s="1399">
        <v>1251779.3400000001</v>
      </c>
    </row>
    <row r="1962" spans="2:9">
      <c r="B1962" s="1297"/>
      <c r="C1962" s="1297"/>
      <c r="D1962" s="1297" t="s">
        <v>1127</v>
      </c>
      <c r="F1962" s="1399">
        <v>186707.49</v>
      </c>
      <c r="I1962" s="1399">
        <v>186707.49</v>
      </c>
    </row>
    <row r="1963" spans="2:9">
      <c r="B1963" s="1297"/>
      <c r="C1963" s="1297"/>
      <c r="D1963" s="1297" t="s">
        <v>1041</v>
      </c>
      <c r="F1963" s="1399">
        <v>238109.18</v>
      </c>
      <c r="I1963" s="1399">
        <v>238109.18</v>
      </c>
    </row>
    <row r="1964" spans="2:9">
      <c r="B1964" s="1297"/>
      <c r="C1964" s="1297"/>
      <c r="D1964" s="1297" t="s">
        <v>1042</v>
      </c>
      <c r="F1964" s="1399">
        <v>132844.06</v>
      </c>
      <c r="I1964" s="1399">
        <v>132844.06</v>
      </c>
    </row>
    <row r="1965" spans="2:9">
      <c r="B1965" s="1297"/>
      <c r="C1965" s="1297"/>
      <c r="D1965" s="1297" t="s">
        <v>953</v>
      </c>
      <c r="F1965" s="1399">
        <v>57671</v>
      </c>
      <c r="I1965" s="1399">
        <v>57671</v>
      </c>
    </row>
    <row r="1966" spans="2:9">
      <c r="B1966" s="1297"/>
      <c r="C1966" s="1297"/>
      <c r="D1966" s="1297" t="s">
        <v>986</v>
      </c>
      <c r="F1966" s="1399">
        <v>6818.32</v>
      </c>
      <c r="I1966" s="1399">
        <v>6818.32</v>
      </c>
    </row>
    <row r="1967" spans="2:9">
      <c r="B1967" s="1297"/>
      <c r="C1967" s="1297"/>
      <c r="D1967" s="1297" t="s">
        <v>1203</v>
      </c>
      <c r="F1967" s="1399">
        <v>16709</v>
      </c>
      <c r="I1967" s="1399">
        <v>16709</v>
      </c>
    </row>
    <row r="1968" spans="2:9">
      <c r="B1968" s="1297"/>
      <c r="C1968" s="1297"/>
      <c r="D1968" s="1297" t="s">
        <v>996</v>
      </c>
      <c r="F1968" s="1399">
        <v>27400.21</v>
      </c>
      <c r="I1968" s="1399">
        <v>27400.21</v>
      </c>
    </row>
    <row r="1969" spans="2:9">
      <c r="B1969" s="1297"/>
      <c r="C1969" s="1297"/>
      <c r="D1969" s="1297" t="s">
        <v>1045</v>
      </c>
      <c r="F1969" s="1399">
        <v>879696.38000000012</v>
      </c>
      <c r="I1969" s="1399">
        <v>879696.38000000012</v>
      </c>
    </row>
    <row r="1970" spans="2:9">
      <c r="B1970" s="1297"/>
      <c r="C1970" s="1297"/>
      <c r="D1970" s="1297" t="s">
        <v>1046</v>
      </c>
      <c r="H1970" s="1399">
        <v>56285902</v>
      </c>
      <c r="I1970" s="1399">
        <v>56285902</v>
      </c>
    </row>
    <row r="1971" spans="2:9">
      <c r="B1971" s="1297"/>
      <c r="C1971" s="1297"/>
      <c r="D1971" s="1297" t="s">
        <v>1128</v>
      </c>
      <c r="H1971" s="1399">
        <v>4814613</v>
      </c>
      <c r="I1971" s="1399">
        <v>4814613</v>
      </c>
    </row>
    <row r="1972" spans="2:9">
      <c r="B1972" s="1297"/>
      <c r="C1972" s="1297"/>
      <c r="D1972" s="1297" t="s">
        <v>1129</v>
      </c>
      <c r="H1972" s="1399">
        <v>-7883630</v>
      </c>
      <c r="I1972" s="1399">
        <v>-7883630</v>
      </c>
    </row>
    <row r="1973" spans="2:9">
      <c r="B1973" s="1297"/>
      <c r="C1973" s="1297"/>
      <c r="D1973" s="1297" t="s">
        <v>1047</v>
      </c>
      <c r="H1973" s="1399">
        <v>1400958</v>
      </c>
      <c r="I1973" s="1399">
        <v>1400958</v>
      </c>
    </row>
    <row r="1974" spans="2:9">
      <c r="B1974" s="1297"/>
      <c r="C1974" s="1297"/>
      <c r="D1974" s="1297" t="s">
        <v>1048</v>
      </c>
      <c r="H1974" s="1399">
        <v>-7472115</v>
      </c>
      <c r="I1974" s="1399">
        <v>-7472115</v>
      </c>
    </row>
    <row r="1975" spans="2:9">
      <c r="B1975" s="1297"/>
      <c r="C1975" s="1297"/>
      <c r="D1975" s="1297" t="s">
        <v>932</v>
      </c>
      <c r="H1975" s="1399">
        <v>6119179</v>
      </c>
      <c r="I1975" s="1399">
        <v>6119179</v>
      </c>
    </row>
    <row r="1976" spans="2:9">
      <c r="B1976" s="1297"/>
      <c r="C1976" s="1297"/>
      <c r="D1976" s="1297" t="s">
        <v>955</v>
      </c>
      <c r="H1976" s="1399">
        <v>2237488.9700000002</v>
      </c>
      <c r="I1976" s="1399">
        <v>2237488.9700000002</v>
      </c>
    </row>
    <row r="1977" spans="2:9">
      <c r="B1977" s="1297"/>
      <c r="C1977" s="1297"/>
      <c r="D1977" s="1297" t="s">
        <v>934</v>
      </c>
      <c r="H1977" s="1399">
        <v>163865.74</v>
      </c>
      <c r="I1977" s="1399">
        <v>163865.74</v>
      </c>
    </row>
    <row r="1978" spans="2:9">
      <c r="B1978" s="1297"/>
      <c r="C1978" s="1297"/>
      <c r="D1978" s="1297" t="s">
        <v>935</v>
      </c>
      <c r="H1978" s="1399">
        <v>970162.44</v>
      </c>
      <c r="I1978" s="1399">
        <v>970162.44</v>
      </c>
    </row>
    <row r="1979" spans="2:9">
      <c r="B1979" s="1297"/>
      <c r="C1979" s="1297"/>
      <c r="D1979" s="1297" t="s">
        <v>936</v>
      </c>
      <c r="H1979" s="1399">
        <v>160368.95000000001</v>
      </c>
      <c r="I1979" s="1399">
        <v>160368.95000000001</v>
      </c>
    </row>
    <row r="1980" spans="2:9">
      <c r="B1980" s="1297"/>
      <c r="C1980" s="1297"/>
      <c r="D1980" s="1297" t="s">
        <v>937</v>
      </c>
      <c r="H1980" s="1399">
        <v>48960.959999999999</v>
      </c>
      <c r="I1980" s="1399">
        <v>48960.959999999999</v>
      </c>
    </row>
    <row r="1981" spans="2:9">
      <c r="B1981" s="1297"/>
      <c r="C1981" s="1297"/>
      <c r="D1981" s="1297" t="s">
        <v>938</v>
      </c>
      <c r="H1981" s="1399">
        <v>54089</v>
      </c>
      <c r="I1981" s="1399">
        <v>54089</v>
      </c>
    </row>
    <row r="1982" spans="2:9">
      <c r="B1982" s="1297"/>
      <c r="C1982" s="1297"/>
      <c r="D1982" s="1297" t="s">
        <v>1131</v>
      </c>
      <c r="E1982" s="1399">
        <v>20594.23</v>
      </c>
      <c r="I1982" s="1399">
        <v>20594.23</v>
      </c>
    </row>
    <row r="1983" spans="2:9">
      <c r="B1983" s="1297"/>
      <c r="C1983" s="1297"/>
      <c r="D1983" s="1297" t="s">
        <v>940</v>
      </c>
      <c r="E1983" s="1399">
        <v>1965326.59</v>
      </c>
      <c r="I1983" s="1399">
        <v>1965326.59</v>
      </c>
    </row>
    <row r="1984" spans="2:9">
      <c r="B1984" s="1297"/>
      <c r="C1984" s="1297"/>
      <c r="D1984" s="1297" t="s">
        <v>941</v>
      </c>
      <c r="E1984" s="1399">
        <v>609663.26</v>
      </c>
      <c r="I1984" s="1399">
        <v>609663.26</v>
      </c>
    </row>
    <row r="1985" spans="2:9">
      <c r="B1985" s="1297"/>
      <c r="C1985" s="1297"/>
      <c r="D1985" s="1297" t="s">
        <v>944</v>
      </c>
      <c r="E1985" s="1399">
        <v>4605907.6500000004</v>
      </c>
      <c r="I1985" s="1399">
        <v>4605907.6500000004</v>
      </c>
    </row>
    <row r="1986" spans="2:9">
      <c r="B1986" s="1297"/>
      <c r="C1986" s="1297"/>
      <c r="D1986" s="1297" t="s">
        <v>945</v>
      </c>
      <c r="E1986" s="1399">
        <v>4508018.7700000005</v>
      </c>
      <c r="I1986" s="1399">
        <v>4508018.7700000005</v>
      </c>
    </row>
    <row r="1987" spans="2:9">
      <c r="B1987" s="1297"/>
      <c r="C1987" s="1297"/>
      <c r="D1987" s="1297" t="s">
        <v>946</v>
      </c>
      <c r="E1987" s="1399">
        <v>124790.62</v>
      </c>
      <c r="I1987" s="1399">
        <v>124790.62</v>
      </c>
    </row>
    <row r="1988" spans="2:9">
      <c r="B1988" s="1297"/>
      <c r="C1988" s="1297"/>
      <c r="D1988" s="1297" t="s">
        <v>947</v>
      </c>
      <c r="E1988" s="1399">
        <v>367408.16</v>
      </c>
      <c r="I1988" s="1399">
        <v>367408.16</v>
      </c>
    </row>
    <row r="1989" spans="2:9">
      <c r="B1989" s="1297"/>
      <c r="C1989" s="1297"/>
      <c r="D1989" s="1297" t="s">
        <v>948</v>
      </c>
      <c r="G1989" s="1399">
        <v>5036077.63</v>
      </c>
      <c r="I1989" s="1399">
        <v>5036077.63</v>
      </c>
    </row>
    <row r="1990" spans="2:9">
      <c r="B1990" s="1297"/>
      <c r="C1990" s="1400" t="s">
        <v>1303</v>
      </c>
      <c r="D1990" s="1400"/>
      <c r="E1990" s="1401">
        <v>12201709.279999999</v>
      </c>
      <c r="F1990" s="1401">
        <v>42221889.730000012</v>
      </c>
      <c r="G1990" s="1401">
        <v>5036077.63</v>
      </c>
      <c r="H1990" s="1401">
        <v>56899843.060000002</v>
      </c>
      <c r="I1990" s="1401">
        <v>116359519.70000002</v>
      </c>
    </row>
    <row r="1991" spans="2:9">
      <c r="B1991" s="1297" t="s">
        <v>1304</v>
      </c>
      <c r="C1991" s="1297" t="s">
        <v>1305</v>
      </c>
      <c r="D1991" s="1297" t="s">
        <v>906</v>
      </c>
      <c r="F1991" s="1399">
        <v>8814861.0800000001</v>
      </c>
      <c r="I1991" s="1399">
        <v>8814861.0800000001</v>
      </c>
    </row>
    <row r="1992" spans="2:9">
      <c r="B1992" s="1297"/>
      <c r="C1992" s="1297"/>
      <c r="D1992" s="1297" t="s">
        <v>907</v>
      </c>
      <c r="F1992" s="1399">
        <v>2199893.39</v>
      </c>
      <c r="I1992" s="1399">
        <v>2199893.39</v>
      </c>
    </row>
    <row r="1993" spans="2:9">
      <c r="B1993" s="1297"/>
      <c r="C1993" s="1297"/>
      <c r="D1993" s="1297" t="s">
        <v>1034</v>
      </c>
      <c r="F1993" s="1399">
        <v>2879</v>
      </c>
      <c r="I1993" s="1399">
        <v>2879</v>
      </c>
    </row>
    <row r="1994" spans="2:9">
      <c r="B1994" s="1297"/>
      <c r="C1994" s="1297"/>
      <c r="D1994" s="1297" t="s">
        <v>1037</v>
      </c>
      <c r="F1994" s="1399">
        <v>2476.14</v>
      </c>
      <c r="I1994" s="1399">
        <v>2476.14</v>
      </c>
    </row>
    <row r="1995" spans="2:9">
      <c r="B1995" s="1297"/>
      <c r="C1995" s="1297"/>
      <c r="D1995" s="1297" t="s">
        <v>1039</v>
      </c>
      <c r="F1995" s="1399">
        <v>9997.2199999999993</v>
      </c>
      <c r="I1995" s="1399">
        <v>9997.2199999999993</v>
      </c>
    </row>
    <row r="1996" spans="2:9">
      <c r="B1996" s="1297"/>
      <c r="C1996" s="1297"/>
      <c r="D1996" s="1297" t="s">
        <v>1040</v>
      </c>
      <c r="F1996" s="1399">
        <v>339378.23000000004</v>
      </c>
      <c r="I1996" s="1399">
        <v>339378.23000000004</v>
      </c>
    </row>
    <row r="1997" spans="2:9">
      <c r="B1997" s="1297"/>
      <c r="C1997" s="1297"/>
      <c r="D1997" s="1297" t="s">
        <v>1041</v>
      </c>
      <c r="F1997" s="1399">
        <v>42991.680000000008</v>
      </c>
      <c r="I1997" s="1399">
        <v>42991.680000000008</v>
      </c>
    </row>
    <row r="1998" spans="2:9">
      <c r="B1998" s="1297"/>
      <c r="C1998" s="1297"/>
      <c r="D1998" s="1297" t="s">
        <v>1042</v>
      </c>
      <c r="F1998" s="1399">
        <v>64497.80000000001</v>
      </c>
      <c r="I1998" s="1399">
        <v>64497.80000000001</v>
      </c>
    </row>
    <row r="1999" spans="2:9">
      <c r="B1999" s="1297"/>
      <c r="C1999" s="1297"/>
      <c r="D1999" s="1297" t="s">
        <v>953</v>
      </c>
      <c r="F1999" s="1399">
        <v>16544.349999999999</v>
      </c>
      <c r="I1999" s="1399">
        <v>16544.349999999999</v>
      </c>
    </row>
    <row r="2000" spans="2:9">
      <c r="B2000" s="1297"/>
      <c r="C2000" s="1297"/>
      <c r="D2000" s="1297" t="s">
        <v>1005</v>
      </c>
      <c r="F2000" s="1399">
        <v>16634.64</v>
      </c>
      <c r="I2000" s="1399">
        <v>16634.64</v>
      </c>
    </row>
    <row r="2001" spans="2:9">
      <c r="B2001" s="1297"/>
      <c r="C2001" s="1297"/>
      <c r="D2001" s="1297" t="s">
        <v>1044</v>
      </c>
      <c r="F2001" s="1399">
        <v>162129.5</v>
      </c>
      <c r="I2001" s="1399">
        <v>162129.5</v>
      </c>
    </row>
    <row r="2002" spans="2:9">
      <c r="B2002" s="1297"/>
      <c r="C2002" s="1297"/>
      <c r="D2002" s="1297" t="s">
        <v>1045</v>
      </c>
      <c r="F2002" s="1399">
        <v>170588.24</v>
      </c>
      <c r="I2002" s="1399">
        <v>170588.24</v>
      </c>
    </row>
    <row r="2003" spans="2:9">
      <c r="B2003" s="1297"/>
      <c r="C2003" s="1297"/>
      <c r="D2003" s="1297" t="s">
        <v>1046</v>
      </c>
      <c r="H2003" s="1399">
        <v>18866684</v>
      </c>
      <c r="I2003" s="1399">
        <v>18866684</v>
      </c>
    </row>
    <row r="2004" spans="2:9">
      <c r="B2004" s="1297"/>
      <c r="C2004" s="1297"/>
      <c r="D2004" s="1297" t="s">
        <v>1128</v>
      </c>
      <c r="H2004" s="1399">
        <v>1401289</v>
      </c>
      <c r="I2004" s="1399">
        <v>1401289</v>
      </c>
    </row>
    <row r="2005" spans="2:9">
      <c r="B2005" s="1297"/>
      <c r="C2005" s="1297"/>
      <c r="D2005" s="1297" t="s">
        <v>1129</v>
      </c>
      <c r="H2005" s="1399">
        <v>-2675939</v>
      </c>
      <c r="I2005" s="1399">
        <v>-2675939</v>
      </c>
    </row>
    <row r="2006" spans="2:9">
      <c r="B2006" s="1297"/>
      <c r="C2006" s="1297"/>
      <c r="D2006" s="1297" t="s">
        <v>1047</v>
      </c>
      <c r="H2006" s="1399">
        <v>662546</v>
      </c>
      <c r="I2006" s="1399">
        <v>662546</v>
      </c>
    </row>
    <row r="2007" spans="2:9">
      <c r="B2007" s="1297"/>
      <c r="C2007" s="1297"/>
      <c r="D2007" s="1297" t="s">
        <v>1048</v>
      </c>
      <c r="H2007" s="1399">
        <v>-2324933</v>
      </c>
      <c r="I2007" s="1399">
        <v>-2324933</v>
      </c>
    </row>
    <row r="2008" spans="2:9">
      <c r="B2008" s="1297"/>
      <c r="C2008" s="1297"/>
      <c r="D2008" s="1297" t="s">
        <v>932</v>
      </c>
      <c r="H2008" s="1399">
        <v>1970263</v>
      </c>
      <c r="I2008" s="1399">
        <v>1970263</v>
      </c>
    </row>
    <row r="2009" spans="2:9">
      <c r="B2009" s="1297"/>
      <c r="C2009" s="1297"/>
      <c r="D2009" s="1297" t="s">
        <v>955</v>
      </c>
      <c r="H2009" s="1399">
        <v>838868.31</v>
      </c>
      <c r="I2009" s="1399">
        <v>838868.31</v>
      </c>
    </row>
    <row r="2010" spans="2:9">
      <c r="B2010" s="1297"/>
      <c r="C2010" s="1297"/>
      <c r="D2010" s="1297" t="s">
        <v>934</v>
      </c>
      <c r="H2010" s="1399">
        <v>61890</v>
      </c>
      <c r="I2010" s="1399">
        <v>61890</v>
      </c>
    </row>
    <row r="2011" spans="2:9">
      <c r="B2011" s="1297"/>
      <c r="C2011" s="1297"/>
      <c r="D2011" s="1297" t="s">
        <v>935</v>
      </c>
      <c r="H2011" s="1399">
        <v>344996.28</v>
      </c>
      <c r="I2011" s="1399">
        <v>344996.28</v>
      </c>
    </row>
    <row r="2012" spans="2:9">
      <c r="B2012" s="1297"/>
      <c r="C2012" s="1297"/>
      <c r="D2012" s="1297" t="s">
        <v>936</v>
      </c>
      <c r="H2012" s="1399">
        <v>75982.67</v>
      </c>
      <c r="I2012" s="1399">
        <v>75982.67</v>
      </c>
    </row>
    <row r="2013" spans="2:9">
      <c r="B2013" s="1297"/>
      <c r="C2013" s="1297"/>
      <c r="D2013" s="1297" t="s">
        <v>937</v>
      </c>
      <c r="H2013" s="1399">
        <v>27602.400000000001</v>
      </c>
      <c r="I2013" s="1399">
        <v>27602.400000000001</v>
      </c>
    </row>
    <row r="2014" spans="2:9">
      <c r="B2014" s="1297"/>
      <c r="C2014" s="1297"/>
      <c r="D2014" s="1297" t="s">
        <v>938</v>
      </c>
      <c r="H2014" s="1399">
        <v>19465</v>
      </c>
      <c r="I2014" s="1399">
        <v>19465</v>
      </c>
    </row>
    <row r="2015" spans="2:9">
      <c r="B2015" s="1297"/>
      <c r="C2015" s="1297"/>
      <c r="D2015" s="1297" t="s">
        <v>1131</v>
      </c>
      <c r="E2015" s="1399">
        <v>86626.53</v>
      </c>
      <c r="I2015" s="1399">
        <v>86626.53</v>
      </c>
    </row>
    <row r="2016" spans="2:9">
      <c r="B2016" s="1297"/>
      <c r="C2016" s="1297"/>
      <c r="D2016" s="1297" t="s">
        <v>940</v>
      </c>
      <c r="E2016" s="1399">
        <v>1026704.54</v>
      </c>
      <c r="I2016" s="1399">
        <v>1026704.54</v>
      </c>
    </row>
    <row r="2017" spans="2:9">
      <c r="B2017" s="1297"/>
      <c r="C2017" s="1297"/>
      <c r="D2017" s="1297" t="s">
        <v>941</v>
      </c>
      <c r="E2017" s="1399">
        <v>415991.80000000005</v>
      </c>
      <c r="I2017" s="1399">
        <v>415991.80000000005</v>
      </c>
    </row>
    <row r="2018" spans="2:9">
      <c r="B2018" s="1297"/>
      <c r="C2018" s="1297"/>
      <c r="D2018" s="1297" t="s">
        <v>943</v>
      </c>
      <c r="E2018" s="1399">
        <v>19749.120000000003</v>
      </c>
      <c r="I2018" s="1399">
        <v>19749.120000000003</v>
      </c>
    </row>
    <row r="2019" spans="2:9">
      <c r="B2019" s="1297"/>
      <c r="C2019" s="1297"/>
      <c r="D2019" s="1297" t="s">
        <v>944</v>
      </c>
      <c r="E2019" s="1399">
        <v>3423236.9</v>
      </c>
      <c r="I2019" s="1399">
        <v>3423236.9</v>
      </c>
    </row>
    <row r="2020" spans="2:9">
      <c r="B2020" s="1297"/>
      <c r="C2020" s="1297"/>
      <c r="D2020" s="1297" t="s">
        <v>945</v>
      </c>
      <c r="E2020" s="1399">
        <v>722403</v>
      </c>
      <c r="I2020" s="1399">
        <v>722403</v>
      </c>
    </row>
    <row r="2021" spans="2:9">
      <c r="B2021" s="1297"/>
      <c r="C2021" s="1297"/>
      <c r="D2021" s="1297" t="s">
        <v>947</v>
      </c>
      <c r="E2021" s="1399">
        <v>119292.23</v>
      </c>
      <c r="I2021" s="1399">
        <v>119292.23</v>
      </c>
    </row>
    <row r="2022" spans="2:9">
      <c r="B2022" s="1297"/>
      <c r="C2022" s="1400" t="s">
        <v>1306</v>
      </c>
      <c r="D2022" s="1400"/>
      <c r="E2022" s="1401">
        <v>5814004.120000001</v>
      </c>
      <c r="F2022" s="1401">
        <v>11842871.270000003</v>
      </c>
      <c r="G2022" s="1401"/>
      <c r="H2022" s="1401">
        <v>19268714.66</v>
      </c>
      <c r="I2022" s="1401">
        <v>36925590.050000004</v>
      </c>
    </row>
    <row r="2023" spans="2:9">
      <c r="B2023" s="1297" t="s">
        <v>1307</v>
      </c>
      <c r="C2023" s="1297" t="s">
        <v>1308</v>
      </c>
      <c r="D2023" s="1297" t="s">
        <v>906</v>
      </c>
      <c r="F2023" s="1399">
        <v>5837684.5099999998</v>
      </c>
      <c r="I2023" s="1399">
        <v>5837684.5099999998</v>
      </c>
    </row>
    <row r="2024" spans="2:9">
      <c r="B2024" s="1297"/>
      <c r="C2024" s="1297"/>
      <c r="D2024" s="1297" t="s">
        <v>952</v>
      </c>
      <c r="F2024" s="1399">
        <v>8024.22</v>
      </c>
      <c r="I2024" s="1399">
        <v>8024.22</v>
      </c>
    </row>
    <row r="2025" spans="2:9">
      <c r="B2025" s="1297"/>
      <c r="C2025" s="1297"/>
      <c r="D2025" s="1297" t="s">
        <v>907</v>
      </c>
      <c r="F2025" s="1399">
        <v>2611381.5300000003</v>
      </c>
      <c r="I2025" s="1399">
        <v>2611381.5300000003</v>
      </c>
    </row>
    <row r="2026" spans="2:9">
      <c r="B2026" s="1297"/>
      <c r="C2026" s="1297"/>
      <c r="D2026" s="1297" t="s">
        <v>909</v>
      </c>
      <c r="F2026" s="1399">
        <v>25479.550000000003</v>
      </c>
      <c r="I2026" s="1399">
        <v>25479.550000000003</v>
      </c>
    </row>
    <row r="2027" spans="2:9">
      <c r="B2027" s="1297"/>
      <c r="C2027" s="1297"/>
      <c r="D2027" s="1297" t="s">
        <v>910</v>
      </c>
      <c r="F2027" s="1399">
        <v>17331.239999999998</v>
      </c>
      <c r="I2027" s="1399">
        <v>17331.239999999998</v>
      </c>
    </row>
    <row r="2028" spans="2:9">
      <c r="B2028" s="1297"/>
      <c r="C2028" s="1297"/>
      <c r="D2028" s="1297" t="s">
        <v>1035</v>
      </c>
      <c r="F2028" s="1399">
        <v>266673.50999999995</v>
      </c>
      <c r="I2028" s="1399">
        <v>266673.50999999995</v>
      </c>
    </row>
    <row r="2029" spans="2:9">
      <c r="B2029" s="1297"/>
      <c r="C2029" s="1297"/>
      <c r="D2029" s="1297" t="s">
        <v>1036</v>
      </c>
      <c r="F2029" s="1399">
        <v>234970.23999999999</v>
      </c>
      <c r="I2029" s="1399">
        <v>234970.23999999999</v>
      </c>
    </row>
    <row r="2030" spans="2:9">
      <c r="B2030" s="1297"/>
      <c r="C2030" s="1297"/>
      <c r="D2030" s="1297" t="s">
        <v>1039</v>
      </c>
      <c r="F2030" s="1399">
        <v>23333.57</v>
      </c>
      <c r="I2030" s="1399">
        <v>23333.57</v>
      </c>
    </row>
    <row r="2031" spans="2:9">
      <c r="B2031" s="1297"/>
      <c r="C2031" s="1297"/>
      <c r="D2031" s="1297" t="s">
        <v>1040</v>
      </c>
      <c r="F2031" s="1399">
        <v>220302.87</v>
      </c>
      <c r="I2031" s="1399">
        <v>220302.87</v>
      </c>
    </row>
    <row r="2032" spans="2:9">
      <c r="B2032" s="1297"/>
      <c r="C2032" s="1297"/>
      <c r="D2032" s="1297" t="s">
        <v>1041</v>
      </c>
      <c r="F2032" s="1399">
        <v>67993.960000000006</v>
      </c>
      <c r="I2032" s="1399">
        <v>67993.960000000006</v>
      </c>
    </row>
    <row r="2033" spans="2:9">
      <c r="B2033" s="1297"/>
      <c r="C2033" s="1297"/>
      <c r="D2033" s="1297" t="s">
        <v>1042</v>
      </c>
      <c r="F2033" s="1399">
        <v>94826.25</v>
      </c>
      <c r="I2033" s="1399">
        <v>94826.25</v>
      </c>
    </row>
    <row r="2034" spans="2:9">
      <c r="B2034" s="1297"/>
      <c r="C2034" s="1297"/>
      <c r="D2034" s="1297" t="s">
        <v>954</v>
      </c>
      <c r="F2034" s="1399">
        <v>349694.93</v>
      </c>
      <c r="I2034" s="1399">
        <v>349694.93</v>
      </c>
    </row>
    <row r="2035" spans="2:9">
      <c r="B2035" s="1297"/>
      <c r="C2035" s="1297"/>
      <c r="D2035" s="1297" t="s">
        <v>1043</v>
      </c>
      <c r="F2035" s="1399">
        <v>200</v>
      </c>
      <c r="I2035" s="1399">
        <v>200</v>
      </c>
    </row>
    <row r="2036" spans="2:9">
      <c r="B2036" s="1297"/>
      <c r="C2036" s="1297"/>
      <c r="D2036" s="1297" t="s">
        <v>986</v>
      </c>
      <c r="F2036" s="1399">
        <v>147757.53999999998</v>
      </c>
      <c r="I2036" s="1399">
        <v>147757.53999999998</v>
      </c>
    </row>
    <row r="2037" spans="2:9">
      <c r="B2037" s="1297"/>
      <c r="C2037" s="1297"/>
      <c r="D2037" s="1297" t="s">
        <v>1044</v>
      </c>
      <c r="F2037" s="1399">
        <v>88453.01</v>
      </c>
      <c r="I2037" s="1399">
        <v>88453.01</v>
      </c>
    </row>
    <row r="2038" spans="2:9">
      <c r="B2038" s="1297"/>
      <c r="C2038" s="1297"/>
      <c r="D2038" s="1297" t="s">
        <v>1045</v>
      </c>
      <c r="F2038" s="1399">
        <v>562402.6</v>
      </c>
      <c r="I2038" s="1399">
        <v>562402.6</v>
      </c>
    </row>
    <row r="2039" spans="2:9">
      <c r="B2039" s="1297"/>
      <c r="C2039" s="1297"/>
      <c r="D2039" s="1297" t="s">
        <v>1046</v>
      </c>
      <c r="H2039" s="1399">
        <v>21982815</v>
      </c>
      <c r="I2039" s="1399">
        <v>21982815</v>
      </c>
    </row>
    <row r="2040" spans="2:9">
      <c r="B2040" s="1297"/>
      <c r="C2040" s="1297"/>
      <c r="D2040" s="1297" t="s">
        <v>1128</v>
      </c>
      <c r="H2040" s="1399">
        <v>2161090</v>
      </c>
      <c r="I2040" s="1399">
        <v>2161090</v>
      </c>
    </row>
    <row r="2041" spans="2:9">
      <c r="B2041" s="1297"/>
      <c r="C2041" s="1297"/>
      <c r="D2041" s="1297" t="s">
        <v>1129</v>
      </c>
      <c r="H2041" s="1399">
        <v>-3182433</v>
      </c>
      <c r="I2041" s="1399">
        <v>-3182433</v>
      </c>
    </row>
    <row r="2042" spans="2:9">
      <c r="B2042" s="1297"/>
      <c r="C2042" s="1297"/>
      <c r="D2042" s="1297" t="s">
        <v>1047</v>
      </c>
      <c r="H2042" s="1399">
        <v>739640</v>
      </c>
      <c r="I2042" s="1399">
        <v>739640</v>
      </c>
    </row>
    <row r="2043" spans="2:9">
      <c r="B2043" s="1297"/>
      <c r="C2043" s="1297"/>
      <c r="D2043" s="1297" t="s">
        <v>1048</v>
      </c>
      <c r="H2043" s="1399">
        <v>-1903717</v>
      </c>
      <c r="I2043" s="1399">
        <v>-1903717</v>
      </c>
    </row>
    <row r="2044" spans="2:9">
      <c r="B2044" s="1297"/>
      <c r="C2044" s="1297"/>
      <c r="D2044" s="1297" t="s">
        <v>932</v>
      </c>
      <c r="H2044" s="1399">
        <v>3138114</v>
      </c>
      <c r="I2044" s="1399">
        <v>3138114</v>
      </c>
    </row>
    <row r="2045" spans="2:9">
      <c r="B2045" s="1297"/>
      <c r="C2045" s="1297"/>
      <c r="D2045" s="1297" t="s">
        <v>955</v>
      </c>
      <c r="H2045" s="1399">
        <v>1400357.93</v>
      </c>
      <c r="I2045" s="1399">
        <v>1400357.93</v>
      </c>
    </row>
    <row r="2046" spans="2:9">
      <c r="B2046" s="1297"/>
      <c r="C2046" s="1297"/>
      <c r="D2046" s="1297" t="s">
        <v>934</v>
      </c>
      <c r="H2046" s="1399">
        <v>78526</v>
      </c>
      <c r="I2046" s="1399">
        <v>78526</v>
      </c>
    </row>
    <row r="2047" spans="2:9">
      <c r="B2047" s="1297"/>
      <c r="C2047" s="1297"/>
      <c r="D2047" s="1297" t="s">
        <v>935</v>
      </c>
      <c r="H2047" s="1399">
        <v>916137.04</v>
      </c>
      <c r="I2047" s="1399">
        <v>916137.04</v>
      </c>
    </row>
    <row r="2048" spans="2:9">
      <c r="B2048" s="1297"/>
      <c r="C2048" s="1297"/>
      <c r="D2048" s="1297" t="s">
        <v>936</v>
      </c>
      <c r="H2048" s="1399">
        <v>80534.62</v>
      </c>
      <c r="I2048" s="1399">
        <v>80534.62</v>
      </c>
    </row>
    <row r="2049" spans="2:9">
      <c r="B2049" s="1297"/>
      <c r="C2049" s="1297"/>
      <c r="D2049" s="1297" t="s">
        <v>937</v>
      </c>
      <c r="H2049" s="1399">
        <v>28454.46</v>
      </c>
      <c r="I2049" s="1399">
        <v>28454.46</v>
      </c>
    </row>
    <row r="2050" spans="2:9">
      <c r="B2050" s="1297"/>
      <c r="C2050" s="1297"/>
      <c r="D2050" s="1297" t="s">
        <v>938</v>
      </c>
      <c r="H2050" s="1399">
        <v>23956</v>
      </c>
      <c r="I2050" s="1399">
        <v>23956</v>
      </c>
    </row>
    <row r="2051" spans="2:9">
      <c r="B2051" s="1297"/>
      <c r="C2051" s="1297"/>
      <c r="D2051" s="1297" t="s">
        <v>939</v>
      </c>
      <c r="H2051" s="1399">
        <v>199355.38</v>
      </c>
      <c r="I2051" s="1399">
        <v>199355.38</v>
      </c>
    </row>
    <row r="2052" spans="2:9">
      <c r="B2052" s="1297"/>
      <c r="C2052" s="1297"/>
      <c r="D2052" s="1297" t="s">
        <v>940</v>
      </c>
      <c r="E2052" s="1399">
        <v>1457702.2</v>
      </c>
      <c r="I2052" s="1399">
        <v>1457702.2</v>
      </c>
    </row>
    <row r="2053" spans="2:9">
      <c r="B2053" s="1297"/>
      <c r="C2053" s="1297"/>
      <c r="D2053" s="1297" t="s">
        <v>941</v>
      </c>
      <c r="E2053" s="1399">
        <v>513971.02</v>
      </c>
      <c r="I2053" s="1399">
        <v>513971.02</v>
      </c>
    </row>
    <row r="2054" spans="2:9">
      <c r="B2054" s="1297"/>
      <c r="C2054" s="1297"/>
      <c r="D2054" s="1297" t="s">
        <v>943</v>
      </c>
      <c r="E2054" s="1399">
        <v>2351.7199999999998</v>
      </c>
      <c r="I2054" s="1399">
        <v>2351.7199999999998</v>
      </c>
    </row>
    <row r="2055" spans="2:9">
      <c r="B2055" s="1297"/>
      <c r="C2055" s="1297"/>
      <c r="D2055" s="1297" t="s">
        <v>944</v>
      </c>
      <c r="E2055" s="1399">
        <v>3686233.38</v>
      </c>
      <c r="I2055" s="1399">
        <v>3686233.38</v>
      </c>
    </row>
    <row r="2056" spans="2:9">
      <c r="B2056" s="1297"/>
      <c r="C2056" s="1297"/>
      <c r="D2056" s="1297" t="s">
        <v>945</v>
      </c>
      <c r="E2056" s="1399">
        <v>3500059.7099999995</v>
      </c>
      <c r="I2056" s="1399">
        <v>3500059.7099999995</v>
      </c>
    </row>
    <row r="2057" spans="2:9">
      <c r="B2057" s="1297"/>
      <c r="C2057" s="1297"/>
      <c r="D2057" s="1297" t="s">
        <v>946</v>
      </c>
      <c r="E2057" s="1399">
        <v>715274.12</v>
      </c>
      <c r="I2057" s="1399">
        <v>715274.12</v>
      </c>
    </row>
    <row r="2058" spans="2:9">
      <c r="B2058" s="1297"/>
      <c r="C2058" s="1297"/>
      <c r="D2058" s="1297" t="s">
        <v>947</v>
      </c>
      <c r="E2058" s="1399">
        <v>183093.15</v>
      </c>
      <c r="I2058" s="1399">
        <v>183093.15</v>
      </c>
    </row>
    <row r="2059" spans="2:9">
      <c r="B2059" s="1297"/>
      <c r="C2059" s="1297"/>
      <c r="D2059" s="1297" t="s">
        <v>1115</v>
      </c>
      <c r="E2059" s="1399">
        <v>1171.8599999999999</v>
      </c>
      <c r="I2059" s="1399">
        <v>1171.8599999999999</v>
      </c>
    </row>
    <row r="2060" spans="2:9">
      <c r="B2060" s="1297"/>
      <c r="C2060" s="1297"/>
      <c r="D2060" s="1297" t="s">
        <v>948</v>
      </c>
      <c r="G2060" s="1399">
        <v>145361.19999999998</v>
      </c>
      <c r="I2060" s="1399">
        <v>145361.19999999998</v>
      </c>
    </row>
    <row r="2061" spans="2:9">
      <c r="B2061" s="1297"/>
      <c r="C2061" s="1400" t="s">
        <v>1309</v>
      </c>
      <c r="D2061" s="1400"/>
      <c r="E2061" s="1401">
        <v>10059857.159999998</v>
      </c>
      <c r="F2061" s="1401">
        <v>10556509.529999999</v>
      </c>
      <c r="G2061" s="1401">
        <v>145361.19999999998</v>
      </c>
      <c r="H2061" s="1401">
        <v>25662830.43</v>
      </c>
      <c r="I2061" s="1401">
        <v>46424558.320000008</v>
      </c>
    </row>
    <row r="2062" spans="2:9">
      <c r="B2062" s="1297" t="s">
        <v>1310</v>
      </c>
      <c r="C2062" s="1297" t="s">
        <v>1311</v>
      </c>
      <c r="D2062" s="1297" t="s">
        <v>906</v>
      </c>
      <c r="F2062" s="1399">
        <v>2858742.11</v>
      </c>
      <c r="I2062" s="1399">
        <v>2858742.11</v>
      </c>
    </row>
    <row r="2063" spans="2:9">
      <c r="B2063" s="1297"/>
      <c r="C2063" s="1297"/>
      <c r="D2063" s="1297" t="s">
        <v>952</v>
      </c>
      <c r="F2063" s="1399">
        <v>3453.24</v>
      </c>
      <c r="I2063" s="1399">
        <v>3453.24</v>
      </c>
    </row>
    <row r="2064" spans="2:9">
      <c r="B2064" s="1297"/>
      <c r="C2064" s="1297"/>
      <c r="D2064" s="1297" t="s">
        <v>907</v>
      </c>
      <c r="F2064" s="1399">
        <v>1329883.48</v>
      </c>
      <c r="I2064" s="1399">
        <v>1329883.48</v>
      </c>
    </row>
    <row r="2065" spans="2:9">
      <c r="B2065" s="1297"/>
      <c r="C2065" s="1297"/>
      <c r="D2065" s="1297" t="s">
        <v>908</v>
      </c>
      <c r="F2065" s="1399">
        <v>7288.74</v>
      </c>
      <c r="I2065" s="1399">
        <v>7288.74</v>
      </c>
    </row>
    <row r="2066" spans="2:9">
      <c r="B2066" s="1297"/>
      <c r="C2066" s="1297"/>
      <c r="D2066" s="1297" t="s">
        <v>909</v>
      </c>
      <c r="F2066" s="1399">
        <v>4608.63</v>
      </c>
      <c r="I2066" s="1399">
        <v>4608.63</v>
      </c>
    </row>
    <row r="2067" spans="2:9">
      <c r="B2067" s="1297"/>
      <c r="C2067" s="1297"/>
      <c r="D2067" s="1297" t="s">
        <v>1035</v>
      </c>
      <c r="F2067" s="1399">
        <v>43128.31</v>
      </c>
      <c r="I2067" s="1399">
        <v>43128.31</v>
      </c>
    </row>
    <row r="2068" spans="2:9">
      <c r="B2068" s="1297"/>
      <c r="C2068" s="1297"/>
      <c r="D2068" s="1297" t="s">
        <v>1036</v>
      </c>
      <c r="F2068" s="1399">
        <v>91547.35</v>
      </c>
      <c r="I2068" s="1399">
        <v>91547.35</v>
      </c>
    </row>
    <row r="2069" spans="2:9">
      <c r="B2069" s="1297"/>
      <c r="C2069" s="1297"/>
      <c r="D2069" s="1297" t="s">
        <v>1039</v>
      </c>
      <c r="F2069" s="1399">
        <v>32918.32</v>
      </c>
      <c r="I2069" s="1399">
        <v>32918.32</v>
      </c>
    </row>
    <row r="2070" spans="2:9">
      <c r="B2070" s="1297"/>
      <c r="C2070" s="1297"/>
      <c r="D2070" s="1297" t="s">
        <v>1040</v>
      </c>
      <c r="F2070" s="1399">
        <v>104804.38</v>
      </c>
      <c r="I2070" s="1399">
        <v>104804.38</v>
      </c>
    </row>
    <row r="2071" spans="2:9">
      <c r="B2071" s="1297"/>
      <c r="C2071" s="1297"/>
      <c r="D2071" s="1297" t="s">
        <v>1041</v>
      </c>
      <c r="F2071" s="1399">
        <v>42423.82</v>
      </c>
      <c r="I2071" s="1399">
        <v>42423.82</v>
      </c>
    </row>
    <row r="2072" spans="2:9">
      <c r="B2072" s="1297"/>
      <c r="C2072" s="1297"/>
      <c r="D2072" s="1297" t="s">
        <v>1042</v>
      </c>
      <c r="F2072" s="1399">
        <v>43511.01</v>
      </c>
      <c r="I2072" s="1399">
        <v>43511.01</v>
      </c>
    </row>
    <row r="2073" spans="2:9">
      <c r="B2073" s="1297"/>
      <c r="C2073" s="1297"/>
      <c r="D2073" s="1297" t="s">
        <v>986</v>
      </c>
      <c r="F2073" s="1399">
        <v>171617.33</v>
      </c>
      <c r="I2073" s="1399">
        <v>171617.33</v>
      </c>
    </row>
    <row r="2074" spans="2:9">
      <c r="B2074" s="1297"/>
      <c r="C2074" s="1297"/>
      <c r="D2074" s="1297" t="s">
        <v>1044</v>
      </c>
      <c r="F2074" s="1399">
        <v>101816.89</v>
      </c>
      <c r="I2074" s="1399">
        <v>101816.89</v>
      </c>
    </row>
    <row r="2075" spans="2:9">
      <c r="B2075" s="1297"/>
      <c r="C2075" s="1297"/>
      <c r="D2075" s="1297" t="s">
        <v>1045</v>
      </c>
      <c r="F2075" s="1399">
        <v>401149.99</v>
      </c>
      <c r="I2075" s="1399">
        <v>401149.99</v>
      </c>
    </row>
    <row r="2076" spans="2:9">
      <c r="B2076" s="1297"/>
      <c r="C2076" s="1297"/>
      <c r="D2076" s="1297" t="s">
        <v>1046</v>
      </c>
      <c r="H2076" s="1399">
        <v>10062172</v>
      </c>
      <c r="I2076" s="1399">
        <v>10062172</v>
      </c>
    </row>
    <row r="2077" spans="2:9">
      <c r="B2077" s="1297"/>
      <c r="C2077" s="1297"/>
      <c r="D2077" s="1297" t="s">
        <v>1129</v>
      </c>
      <c r="H2077" s="1399">
        <v>-1274377</v>
      </c>
      <c r="I2077" s="1399">
        <v>-1274377</v>
      </c>
    </row>
    <row r="2078" spans="2:9">
      <c r="B2078" s="1297"/>
      <c r="C2078" s="1297"/>
      <c r="D2078" s="1297" t="s">
        <v>1047</v>
      </c>
      <c r="H2078" s="1399">
        <v>303193</v>
      </c>
      <c r="I2078" s="1399">
        <v>303193</v>
      </c>
    </row>
    <row r="2079" spans="2:9">
      <c r="B2079" s="1297"/>
      <c r="C2079" s="1297"/>
      <c r="D2079" s="1297" t="s">
        <v>1048</v>
      </c>
      <c r="H2079" s="1399">
        <v>-1003724</v>
      </c>
      <c r="I2079" s="1399">
        <v>-1003724</v>
      </c>
    </row>
    <row r="2080" spans="2:9">
      <c r="B2080" s="1297"/>
      <c r="C2080" s="1297"/>
      <c r="D2080" s="1297" t="s">
        <v>932</v>
      </c>
      <c r="H2080" s="1399">
        <v>888317</v>
      </c>
      <c r="I2080" s="1399">
        <v>888317</v>
      </c>
    </row>
    <row r="2081" spans="2:9">
      <c r="B2081" s="1297"/>
      <c r="C2081" s="1297"/>
      <c r="D2081" s="1297" t="s">
        <v>934</v>
      </c>
      <c r="H2081" s="1399">
        <v>34198</v>
      </c>
      <c r="I2081" s="1399">
        <v>34198</v>
      </c>
    </row>
    <row r="2082" spans="2:9">
      <c r="B2082" s="1297"/>
      <c r="C2082" s="1297"/>
      <c r="D2082" s="1297" t="s">
        <v>935</v>
      </c>
      <c r="H2082" s="1399">
        <v>108154.66999999998</v>
      </c>
      <c r="I2082" s="1399">
        <v>108154.66999999998</v>
      </c>
    </row>
    <row r="2083" spans="2:9">
      <c r="B2083" s="1297"/>
      <c r="C2083" s="1297"/>
      <c r="D2083" s="1297" t="s">
        <v>936</v>
      </c>
      <c r="H2083" s="1399">
        <v>28712.34</v>
      </c>
      <c r="I2083" s="1399">
        <v>28712.34</v>
      </c>
    </row>
    <row r="2084" spans="2:9">
      <c r="B2084" s="1297"/>
      <c r="C2084" s="1297"/>
      <c r="D2084" s="1297" t="s">
        <v>937</v>
      </c>
      <c r="H2084" s="1399">
        <v>10095.58</v>
      </c>
      <c r="I2084" s="1399">
        <v>10095.58</v>
      </c>
    </row>
    <row r="2085" spans="2:9">
      <c r="B2085" s="1297"/>
      <c r="C2085" s="1297"/>
      <c r="D2085" s="1297" t="s">
        <v>938</v>
      </c>
      <c r="H2085" s="1399">
        <v>9171</v>
      </c>
      <c r="I2085" s="1399">
        <v>9171</v>
      </c>
    </row>
    <row r="2086" spans="2:9">
      <c r="B2086" s="1297"/>
      <c r="C2086" s="1297"/>
      <c r="D2086" s="1297" t="s">
        <v>939</v>
      </c>
      <c r="H2086" s="1399">
        <v>750668.3</v>
      </c>
      <c r="I2086" s="1399">
        <v>750668.3</v>
      </c>
    </row>
    <row r="2087" spans="2:9">
      <c r="B2087" s="1297"/>
      <c r="C2087" s="1297"/>
      <c r="D2087" s="1297" t="s">
        <v>940</v>
      </c>
      <c r="E2087" s="1399">
        <v>701126.72</v>
      </c>
      <c r="I2087" s="1399">
        <v>701126.72</v>
      </c>
    </row>
    <row r="2088" spans="2:9">
      <c r="B2088" s="1297"/>
      <c r="C2088" s="1297"/>
      <c r="D2088" s="1297" t="s">
        <v>941</v>
      </c>
      <c r="E2088" s="1399">
        <v>267825.14</v>
      </c>
      <c r="I2088" s="1399">
        <v>267825.14</v>
      </c>
    </row>
    <row r="2089" spans="2:9">
      <c r="B2089" s="1297"/>
      <c r="C2089" s="1297"/>
      <c r="D2089" s="1297" t="s">
        <v>943</v>
      </c>
      <c r="E2089" s="1399">
        <v>2085.3200000000002</v>
      </c>
      <c r="I2089" s="1399">
        <v>2085.3200000000002</v>
      </c>
    </row>
    <row r="2090" spans="2:9">
      <c r="B2090" s="1297"/>
      <c r="C2090" s="1297"/>
      <c r="D2090" s="1297" t="s">
        <v>944</v>
      </c>
      <c r="E2090" s="1399">
        <v>1802063.96</v>
      </c>
      <c r="I2090" s="1399">
        <v>1802063.96</v>
      </c>
    </row>
    <row r="2091" spans="2:9">
      <c r="B2091" s="1297"/>
      <c r="C2091" s="1297"/>
      <c r="D2091" s="1297" t="s">
        <v>945</v>
      </c>
      <c r="E2091" s="1399">
        <v>969903.33</v>
      </c>
      <c r="I2091" s="1399">
        <v>969903.33</v>
      </c>
    </row>
    <row r="2092" spans="2:9">
      <c r="B2092" s="1297"/>
      <c r="C2092" s="1297"/>
      <c r="D2092" s="1297" t="s">
        <v>947</v>
      </c>
      <c r="E2092" s="1399">
        <v>58428.02</v>
      </c>
      <c r="I2092" s="1399">
        <v>58428.02</v>
      </c>
    </row>
    <row r="2093" spans="2:9">
      <c r="B2093" s="1297"/>
      <c r="C2093" s="1297"/>
      <c r="D2093" s="1297" t="s">
        <v>948</v>
      </c>
      <c r="G2093" s="1399">
        <v>23094.01</v>
      </c>
      <c r="I2093" s="1399">
        <v>23094.01</v>
      </c>
    </row>
    <row r="2094" spans="2:9">
      <c r="B2094" s="1297"/>
      <c r="C2094" s="1400" t="s">
        <v>1312</v>
      </c>
      <c r="D2094" s="1400"/>
      <c r="E2094" s="1401">
        <v>3801432.4899999998</v>
      </c>
      <c r="F2094" s="1401">
        <v>5236893.5999999996</v>
      </c>
      <c r="G2094" s="1401">
        <v>23094.01</v>
      </c>
      <c r="H2094" s="1401">
        <v>9916580.8900000006</v>
      </c>
      <c r="I2094" s="1401">
        <v>18978000.990000002</v>
      </c>
    </row>
    <row r="2095" spans="2:9">
      <c r="B2095" s="1297" t="s">
        <v>1313</v>
      </c>
      <c r="C2095" s="1297" t="s">
        <v>1314</v>
      </c>
      <c r="D2095" s="1297" t="s">
        <v>906</v>
      </c>
      <c r="F2095" s="1399">
        <v>14413670.57</v>
      </c>
      <c r="I2095" s="1399">
        <v>14413670.57</v>
      </c>
    </row>
    <row r="2096" spans="2:9">
      <c r="B2096" s="1297"/>
      <c r="C2096" s="1297"/>
      <c r="D2096" s="1297" t="s">
        <v>952</v>
      </c>
      <c r="F2096" s="1399">
        <v>356665.37</v>
      </c>
      <c r="I2096" s="1399">
        <v>356665.37</v>
      </c>
    </row>
    <row r="2097" spans="2:9">
      <c r="B2097" s="1297"/>
      <c r="C2097" s="1297"/>
      <c r="D2097" s="1297" t="s">
        <v>907</v>
      </c>
      <c r="F2097" s="1399">
        <v>3430656.62</v>
      </c>
      <c r="I2097" s="1399">
        <v>3430656.62</v>
      </c>
    </row>
    <row r="2098" spans="2:9">
      <c r="B2098" s="1297"/>
      <c r="C2098" s="1297"/>
      <c r="D2098" s="1297" t="s">
        <v>908</v>
      </c>
      <c r="F2098" s="1399">
        <v>1125525.05</v>
      </c>
      <c r="I2098" s="1399">
        <v>1125525.05</v>
      </c>
    </row>
    <row r="2099" spans="2:9">
      <c r="B2099" s="1297"/>
      <c r="C2099" s="1297"/>
      <c r="D2099" s="1297" t="s">
        <v>1034</v>
      </c>
      <c r="F2099" s="1399">
        <v>137722.04999999999</v>
      </c>
      <c r="I2099" s="1399">
        <v>137722.04999999999</v>
      </c>
    </row>
    <row r="2100" spans="2:9">
      <c r="B2100" s="1297"/>
      <c r="C2100" s="1297"/>
      <c r="D2100" s="1297" t="s">
        <v>1035</v>
      </c>
      <c r="F2100" s="1399">
        <v>133306.45000000001</v>
      </c>
      <c r="I2100" s="1399">
        <v>133306.45000000001</v>
      </c>
    </row>
    <row r="2101" spans="2:9">
      <c r="B2101" s="1297"/>
      <c r="C2101" s="1297"/>
      <c r="D2101" s="1297" t="s">
        <v>1036</v>
      </c>
      <c r="F2101" s="1399">
        <v>117444.25</v>
      </c>
      <c r="I2101" s="1399">
        <v>117444.25</v>
      </c>
    </row>
    <row r="2102" spans="2:9">
      <c r="B2102" s="1297"/>
      <c r="C2102" s="1297"/>
      <c r="D2102" s="1297" t="s">
        <v>1039</v>
      </c>
      <c r="F2102" s="1399">
        <v>225263.34</v>
      </c>
      <c r="I2102" s="1399">
        <v>225263.34</v>
      </c>
    </row>
    <row r="2103" spans="2:9">
      <c r="B2103" s="1297"/>
      <c r="C2103" s="1297"/>
      <c r="D2103" s="1297" t="s">
        <v>1040</v>
      </c>
      <c r="F2103" s="1399">
        <v>252490.13</v>
      </c>
      <c r="I2103" s="1399">
        <v>252490.13</v>
      </c>
    </row>
    <row r="2104" spans="2:9">
      <c r="B2104" s="1297"/>
      <c r="C2104" s="1297"/>
      <c r="D2104" s="1297" t="s">
        <v>1041</v>
      </c>
      <c r="F2104" s="1399">
        <v>51662.67</v>
      </c>
      <c r="I2104" s="1399">
        <v>51662.67</v>
      </c>
    </row>
    <row r="2105" spans="2:9">
      <c r="B2105" s="1297"/>
      <c r="C2105" s="1297"/>
      <c r="D2105" s="1297" t="s">
        <v>1042</v>
      </c>
      <c r="F2105" s="1399">
        <v>49988.99</v>
      </c>
      <c r="I2105" s="1399">
        <v>49988.99</v>
      </c>
    </row>
    <row r="2106" spans="2:9">
      <c r="B2106" s="1297"/>
      <c r="C2106" s="1297"/>
      <c r="D2106" s="1297" t="s">
        <v>953</v>
      </c>
      <c r="F2106" s="1399">
        <v>21620.82</v>
      </c>
      <c r="I2106" s="1399">
        <v>21620.82</v>
      </c>
    </row>
    <row r="2107" spans="2:9">
      <c r="B2107" s="1297"/>
      <c r="C2107" s="1297"/>
      <c r="D2107" s="1297" t="s">
        <v>954</v>
      </c>
      <c r="F2107" s="1399">
        <v>63628.89</v>
      </c>
      <c r="I2107" s="1399">
        <v>63628.89</v>
      </c>
    </row>
    <row r="2108" spans="2:9">
      <c r="B2108" s="1297"/>
      <c r="C2108" s="1297"/>
      <c r="D2108" s="1297" t="s">
        <v>985</v>
      </c>
      <c r="F2108" s="1399">
        <v>11926</v>
      </c>
      <c r="I2108" s="1399">
        <v>11926</v>
      </c>
    </row>
    <row r="2109" spans="2:9">
      <c r="B2109" s="1297"/>
      <c r="C2109" s="1297"/>
      <c r="D2109" s="1297" t="s">
        <v>986</v>
      </c>
      <c r="F2109" s="1399">
        <v>168986.65000000002</v>
      </c>
      <c r="I2109" s="1399">
        <v>168986.65000000002</v>
      </c>
    </row>
    <row r="2110" spans="2:9">
      <c r="B2110" s="1297"/>
      <c r="C2110" s="1297"/>
      <c r="D2110" s="1297" t="s">
        <v>1045</v>
      </c>
      <c r="F2110" s="1399">
        <v>215810.65000000002</v>
      </c>
      <c r="I2110" s="1399">
        <v>215810.65000000002</v>
      </c>
    </row>
    <row r="2111" spans="2:9">
      <c r="B2111" s="1297"/>
      <c r="C2111" s="1297"/>
      <c r="D2111" s="1297" t="s">
        <v>1046</v>
      </c>
      <c r="H2111" s="1399">
        <v>18574588</v>
      </c>
      <c r="I2111" s="1399">
        <v>18574588</v>
      </c>
    </row>
    <row r="2112" spans="2:9">
      <c r="B2112" s="1297"/>
      <c r="C2112" s="1297"/>
      <c r="D2112" s="1297" t="s">
        <v>1129</v>
      </c>
      <c r="H2112" s="1399">
        <v>-2070055</v>
      </c>
      <c r="I2112" s="1399">
        <v>-2070055</v>
      </c>
    </row>
    <row r="2113" spans="2:9">
      <c r="B2113" s="1297"/>
      <c r="C2113" s="1297"/>
      <c r="D2113" s="1297" t="s">
        <v>1047</v>
      </c>
      <c r="H2113" s="1399">
        <v>561591</v>
      </c>
      <c r="I2113" s="1399">
        <v>561591</v>
      </c>
    </row>
    <row r="2114" spans="2:9">
      <c r="B2114" s="1297"/>
      <c r="C2114" s="1297"/>
      <c r="D2114" s="1297" t="s">
        <v>1048</v>
      </c>
      <c r="H2114" s="1399">
        <v>-4789754</v>
      </c>
      <c r="I2114" s="1399">
        <v>-4789754</v>
      </c>
    </row>
    <row r="2115" spans="2:9">
      <c r="B2115" s="1297"/>
      <c r="C2115" s="1297"/>
      <c r="D2115" s="1297" t="s">
        <v>934</v>
      </c>
      <c r="H2115" s="1399">
        <v>47258</v>
      </c>
      <c r="I2115" s="1399">
        <v>47258</v>
      </c>
    </row>
    <row r="2116" spans="2:9">
      <c r="B2116" s="1297"/>
      <c r="C2116" s="1297"/>
      <c r="D2116" s="1297" t="s">
        <v>935</v>
      </c>
      <c r="H2116" s="1399">
        <v>400613.9</v>
      </c>
      <c r="I2116" s="1399">
        <v>400613.9</v>
      </c>
    </row>
    <row r="2117" spans="2:9">
      <c r="B2117" s="1297"/>
      <c r="C2117" s="1297"/>
      <c r="D2117" s="1297" t="s">
        <v>936</v>
      </c>
      <c r="H2117" s="1399">
        <v>72831.31</v>
      </c>
      <c r="I2117" s="1399">
        <v>72831.31</v>
      </c>
    </row>
    <row r="2118" spans="2:9">
      <c r="B2118" s="1297"/>
      <c r="C2118" s="1297"/>
      <c r="D2118" s="1297" t="s">
        <v>937</v>
      </c>
      <c r="H2118" s="1399">
        <v>35788.160000000003</v>
      </c>
      <c r="I2118" s="1399">
        <v>35788.160000000003</v>
      </c>
    </row>
    <row r="2119" spans="2:9">
      <c r="B2119" s="1297"/>
      <c r="C2119" s="1297"/>
      <c r="D2119" s="1297" t="s">
        <v>938</v>
      </c>
      <c r="H2119" s="1399">
        <v>17967</v>
      </c>
      <c r="I2119" s="1399">
        <v>17967</v>
      </c>
    </row>
    <row r="2120" spans="2:9">
      <c r="B2120" s="1297"/>
      <c r="C2120" s="1297"/>
      <c r="D2120" s="1297" t="s">
        <v>940</v>
      </c>
      <c r="E2120" s="1399">
        <v>769878.86</v>
      </c>
      <c r="I2120" s="1399">
        <v>769878.86</v>
      </c>
    </row>
    <row r="2121" spans="2:9">
      <c r="B2121" s="1297"/>
      <c r="C2121" s="1297"/>
      <c r="D2121" s="1297" t="s">
        <v>941</v>
      </c>
      <c r="E2121" s="1399">
        <v>358299.32</v>
      </c>
      <c r="I2121" s="1399">
        <v>358299.32</v>
      </c>
    </row>
    <row r="2122" spans="2:9">
      <c r="B2122" s="1297"/>
      <c r="C2122" s="1297"/>
      <c r="D2122" s="1297" t="s">
        <v>944</v>
      </c>
      <c r="E2122" s="1399">
        <v>2002827.7999999998</v>
      </c>
      <c r="I2122" s="1399">
        <v>2002827.7999999998</v>
      </c>
    </row>
    <row r="2123" spans="2:9">
      <c r="B2123" s="1297"/>
      <c r="C2123" s="1297"/>
      <c r="D2123" s="1297" t="s">
        <v>945</v>
      </c>
      <c r="E2123" s="1399">
        <v>1269438.1000000001</v>
      </c>
      <c r="I2123" s="1399">
        <v>1269438.1000000001</v>
      </c>
    </row>
    <row r="2124" spans="2:9">
      <c r="B2124" s="1297"/>
      <c r="C2124" s="1297"/>
      <c r="D2124" s="1297" t="s">
        <v>1214</v>
      </c>
      <c r="E2124" s="1399">
        <v>0</v>
      </c>
      <c r="I2124" s="1399">
        <v>0</v>
      </c>
    </row>
    <row r="2125" spans="2:9">
      <c r="B2125" s="1297"/>
      <c r="C2125" s="1297"/>
      <c r="D2125" s="1297" t="s">
        <v>947</v>
      </c>
      <c r="E2125" s="1399">
        <v>86131.64</v>
      </c>
      <c r="I2125" s="1399">
        <v>86131.64</v>
      </c>
    </row>
    <row r="2126" spans="2:9">
      <c r="B2126" s="1297"/>
      <c r="C2126" s="1297"/>
      <c r="D2126" s="1297" t="s">
        <v>948</v>
      </c>
      <c r="G2126" s="1399">
        <v>5171646.76</v>
      </c>
      <c r="I2126" s="1399">
        <v>5171646.76</v>
      </c>
    </row>
    <row r="2127" spans="2:9">
      <c r="B2127" s="1297"/>
      <c r="C2127" s="1400" t="s">
        <v>1315</v>
      </c>
      <c r="D2127" s="1400"/>
      <c r="E2127" s="1401">
        <v>4486575.72</v>
      </c>
      <c r="F2127" s="1401">
        <v>20776368.499999996</v>
      </c>
      <c r="G2127" s="1401">
        <v>5171646.76</v>
      </c>
      <c r="H2127" s="1401">
        <v>12850828.370000001</v>
      </c>
      <c r="I2127" s="1401">
        <v>43285419.349999994</v>
      </c>
    </row>
    <row r="2128" spans="2:9">
      <c r="B2128" s="1297" t="s">
        <v>1316</v>
      </c>
      <c r="C2128" s="1297" t="s">
        <v>1317</v>
      </c>
      <c r="D2128" s="1297" t="s">
        <v>906</v>
      </c>
      <c r="F2128" s="1399">
        <v>102059055.41</v>
      </c>
      <c r="I2128" s="1399">
        <v>102059055.41</v>
      </c>
    </row>
    <row r="2129" spans="2:9">
      <c r="B2129" s="1297"/>
      <c r="C2129" s="1297"/>
      <c r="D2129" s="1297" t="s">
        <v>907</v>
      </c>
      <c r="F2129" s="1399">
        <v>18620275.280000001</v>
      </c>
      <c r="I2129" s="1399">
        <v>18620275.280000001</v>
      </c>
    </row>
    <row r="2130" spans="2:9">
      <c r="B2130" s="1297"/>
      <c r="C2130" s="1297"/>
      <c r="D2130" s="1297" t="s">
        <v>1039</v>
      </c>
      <c r="F2130" s="1399">
        <v>108536.70999999999</v>
      </c>
      <c r="I2130" s="1399">
        <v>108536.70999999999</v>
      </c>
    </row>
    <row r="2131" spans="2:9">
      <c r="B2131" s="1297"/>
      <c r="C2131" s="1297"/>
      <c r="D2131" s="1297" t="s">
        <v>1040</v>
      </c>
      <c r="F2131" s="1399">
        <v>3070322.27</v>
      </c>
      <c r="I2131" s="1399">
        <v>3070322.27</v>
      </c>
    </row>
    <row r="2132" spans="2:9">
      <c r="B2132" s="1297"/>
      <c r="C2132" s="1297"/>
      <c r="D2132" s="1297" t="s">
        <v>1127</v>
      </c>
      <c r="F2132" s="1399">
        <v>171.35</v>
      </c>
      <c r="I2132" s="1399">
        <v>171.35</v>
      </c>
    </row>
    <row r="2133" spans="2:9">
      <c r="B2133" s="1297"/>
      <c r="C2133" s="1297"/>
      <c r="D2133" s="1297" t="s">
        <v>1041</v>
      </c>
      <c r="F2133" s="1399">
        <v>630105.88</v>
      </c>
      <c r="I2133" s="1399">
        <v>630105.88</v>
      </c>
    </row>
    <row r="2134" spans="2:9">
      <c r="B2134" s="1297"/>
      <c r="C2134" s="1297"/>
      <c r="D2134" s="1297" t="s">
        <v>1042</v>
      </c>
      <c r="F2134" s="1399">
        <v>221677.51</v>
      </c>
      <c r="I2134" s="1399">
        <v>221677.51</v>
      </c>
    </row>
    <row r="2135" spans="2:9">
      <c r="B2135" s="1297"/>
      <c r="C2135" s="1297"/>
      <c r="D2135" s="1297" t="s">
        <v>1045</v>
      </c>
      <c r="F2135" s="1399">
        <v>11214468.359999999</v>
      </c>
      <c r="I2135" s="1399">
        <v>11214468.359999999</v>
      </c>
    </row>
    <row r="2136" spans="2:9">
      <c r="B2136" s="1297"/>
      <c r="C2136" s="1297"/>
      <c r="D2136" s="1297" t="s">
        <v>1046</v>
      </c>
      <c r="H2136" s="1399">
        <v>120920996</v>
      </c>
      <c r="I2136" s="1399">
        <v>120920996</v>
      </c>
    </row>
    <row r="2137" spans="2:9">
      <c r="B2137" s="1297"/>
      <c r="C2137" s="1297"/>
      <c r="D2137" s="1297" t="s">
        <v>1129</v>
      </c>
      <c r="H2137" s="1399">
        <v>-14432172</v>
      </c>
      <c r="I2137" s="1399">
        <v>-14432172</v>
      </c>
    </row>
    <row r="2138" spans="2:9">
      <c r="B2138" s="1297"/>
      <c r="C2138" s="1297"/>
      <c r="D2138" s="1297" t="s">
        <v>1047</v>
      </c>
      <c r="H2138" s="1399">
        <v>1728212</v>
      </c>
      <c r="I2138" s="1399">
        <v>1728212</v>
      </c>
    </row>
    <row r="2139" spans="2:9">
      <c r="B2139" s="1297"/>
      <c r="C2139" s="1297"/>
      <c r="D2139" s="1297" t="s">
        <v>1048</v>
      </c>
      <c r="H2139" s="1399">
        <v>-24913965</v>
      </c>
      <c r="I2139" s="1399">
        <v>-24913965</v>
      </c>
    </row>
    <row r="2140" spans="2:9">
      <c r="B2140" s="1297"/>
      <c r="C2140" s="1297"/>
      <c r="D2140" s="1297" t="s">
        <v>933</v>
      </c>
      <c r="H2140" s="1399">
        <v>790036.84</v>
      </c>
      <c r="I2140" s="1399">
        <v>790036.84</v>
      </c>
    </row>
    <row r="2141" spans="2:9">
      <c r="B2141" s="1297"/>
      <c r="C2141" s="1297"/>
      <c r="D2141" s="1297" t="s">
        <v>934</v>
      </c>
      <c r="H2141" s="1399">
        <v>206462</v>
      </c>
      <c r="I2141" s="1399">
        <v>206462</v>
      </c>
    </row>
    <row r="2142" spans="2:9">
      <c r="B2142" s="1297"/>
      <c r="C2142" s="1297"/>
      <c r="D2142" s="1297" t="s">
        <v>935</v>
      </c>
      <c r="H2142" s="1399">
        <v>953058.46</v>
      </c>
      <c r="I2142" s="1399">
        <v>953058.46</v>
      </c>
    </row>
    <row r="2143" spans="2:9">
      <c r="B2143" s="1297"/>
      <c r="C2143" s="1297"/>
      <c r="D2143" s="1297" t="s">
        <v>936</v>
      </c>
      <c r="H2143" s="1399">
        <v>335444.21000000002</v>
      </c>
      <c r="I2143" s="1399">
        <v>335444.21000000002</v>
      </c>
    </row>
    <row r="2144" spans="2:9">
      <c r="B2144" s="1297"/>
      <c r="C2144" s="1297"/>
      <c r="D2144" s="1297" t="s">
        <v>937</v>
      </c>
      <c r="H2144" s="1399">
        <v>169171</v>
      </c>
      <c r="I2144" s="1399">
        <v>169171</v>
      </c>
    </row>
    <row r="2145" spans="2:9">
      <c r="B2145" s="1297"/>
      <c r="C2145" s="1297"/>
      <c r="D2145" s="1297" t="s">
        <v>938</v>
      </c>
      <c r="H2145" s="1399">
        <v>81227</v>
      </c>
      <c r="I2145" s="1399">
        <v>81227</v>
      </c>
    </row>
    <row r="2146" spans="2:9">
      <c r="B2146" s="1297"/>
      <c r="C2146" s="1297"/>
      <c r="D2146" s="1297" t="s">
        <v>939</v>
      </c>
      <c r="H2146" s="1399">
        <v>797869.57</v>
      </c>
      <c r="I2146" s="1399">
        <v>797869.57</v>
      </c>
    </row>
    <row r="2147" spans="2:9">
      <c r="B2147" s="1297"/>
      <c r="C2147" s="1297"/>
      <c r="D2147" s="1297" t="s">
        <v>940</v>
      </c>
      <c r="E2147" s="1399">
        <v>1971402.88</v>
      </c>
      <c r="I2147" s="1399">
        <v>1971402.88</v>
      </c>
    </row>
    <row r="2148" spans="2:9">
      <c r="B2148" s="1297"/>
      <c r="C2148" s="1297"/>
      <c r="D2148" s="1297" t="s">
        <v>941</v>
      </c>
      <c r="E2148" s="1399">
        <v>218184.28</v>
      </c>
      <c r="I2148" s="1399">
        <v>218184.28</v>
      </c>
    </row>
    <row r="2149" spans="2:9">
      <c r="B2149" s="1297"/>
      <c r="C2149" s="1297"/>
      <c r="D2149" s="1297" t="s">
        <v>943</v>
      </c>
      <c r="E2149" s="1399">
        <v>28033.73</v>
      </c>
      <c r="I2149" s="1399">
        <v>28033.73</v>
      </c>
    </row>
    <row r="2150" spans="2:9">
      <c r="B2150" s="1297"/>
      <c r="C2150" s="1297"/>
      <c r="D2150" s="1297" t="s">
        <v>944</v>
      </c>
      <c r="E2150" s="1399">
        <v>5439025.330000001</v>
      </c>
      <c r="I2150" s="1399">
        <v>5439025.330000001</v>
      </c>
    </row>
    <row r="2151" spans="2:9">
      <c r="B2151" s="1297"/>
      <c r="C2151" s="1297"/>
      <c r="D2151" s="1297" t="s">
        <v>945</v>
      </c>
      <c r="E2151" s="1399">
        <v>6039085.1200000001</v>
      </c>
      <c r="I2151" s="1399">
        <v>6039085.1200000001</v>
      </c>
    </row>
    <row r="2152" spans="2:9">
      <c r="B2152" s="1297"/>
      <c r="C2152" s="1297"/>
      <c r="D2152" s="1297" t="s">
        <v>946</v>
      </c>
      <c r="E2152" s="1399">
        <v>858477.74</v>
      </c>
      <c r="I2152" s="1399">
        <v>858477.74</v>
      </c>
    </row>
    <row r="2153" spans="2:9">
      <c r="B2153" s="1297"/>
      <c r="C2153" s="1297"/>
      <c r="D2153" s="1297" t="s">
        <v>947</v>
      </c>
      <c r="E2153" s="1399">
        <v>418757.1</v>
      </c>
      <c r="I2153" s="1399">
        <v>418757.1</v>
      </c>
    </row>
    <row r="2154" spans="2:9">
      <c r="B2154" s="1297"/>
      <c r="C2154" s="1297"/>
      <c r="D2154" s="1297" t="s">
        <v>948</v>
      </c>
      <c r="G2154" s="1399">
        <v>10940930.309999999</v>
      </c>
      <c r="I2154" s="1399">
        <v>10940930.309999999</v>
      </c>
    </row>
    <row r="2155" spans="2:9">
      <c r="B2155" s="1297"/>
      <c r="C2155" s="1400" t="s">
        <v>1318</v>
      </c>
      <c r="D2155" s="1400"/>
      <c r="E2155" s="1401">
        <v>14972966.18</v>
      </c>
      <c r="F2155" s="1401">
        <v>135924612.76999998</v>
      </c>
      <c r="G2155" s="1401">
        <v>10940930.309999999</v>
      </c>
      <c r="H2155" s="1401">
        <v>86636340.079999983</v>
      </c>
      <c r="I2155" s="1401">
        <v>248474849.34</v>
      </c>
    </row>
    <row r="2156" spans="2:9">
      <c r="B2156" s="1297" t="s">
        <v>1319</v>
      </c>
      <c r="C2156" s="1297" t="s">
        <v>1320</v>
      </c>
      <c r="D2156" s="1297" t="s">
        <v>906</v>
      </c>
      <c r="F2156" s="1399">
        <v>31556951.27</v>
      </c>
      <c r="I2156" s="1399">
        <v>31556951.27</v>
      </c>
    </row>
    <row r="2157" spans="2:9">
      <c r="B2157" s="1297"/>
      <c r="C2157" s="1297"/>
      <c r="D2157" s="1297" t="s">
        <v>952</v>
      </c>
      <c r="F2157" s="1399">
        <v>363285.72</v>
      </c>
      <c r="I2157" s="1399">
        <v>363285.72</v>
      </c>
    </row>
    <row r="2158" spans="2:9">
      <c r="B2158" s="1297"/>
      <c r="C2158" s="1297"/>
      <c r="D2158" s="1297" t="s">
        <v>907</v>
      </c>
      <c r="F2158" s="1399">
        <v>9554879.9699999988</v>
      </c>
      <c r="I2158" s="1399">
        <v>9554879.9699999988</v>
      </c>
    </row>
    <row r="2159" spans="2:9">
      <c r="B2159" s="1297"/>
      <c r="C2159" s="1297"/>
      <c r="D2159" s="1297" t="s">
        <v>908</v>
      </c>
      <c r="F2159" s="1399">
        <v>40904.29</v>
      </c>
      <c r="I2159" s="1399">
        <v>40904.29</v>
      </c>
    </row>
    <row r="2160" spans="2:9">
      <c r="B2160" s="1297"/>
      <c r="C2160" s="1297"/>
      <c r="D2160" s="1297" t="s">
        <v>909</v>
      </c>
      <c r="F2160" s="1399">
        <v>156870.99</v>
      </c>
      <c r="I2160" s="1399">
        <v>156870.99</v>
      </c>
    </row>
    <row r="2161" spans="2:9">
      <c r="B2161" s="1297"/>
      <c r="C2161" s="1297"/>
      <c r="D2161" s="1297" t="s">
        <v>910</v>
      </c>
      <c r="F2161" s="1399">
        <v>515959.05999999988</v>
      </c>
      <c r="I2161" s="1399">
        <v>515959.05999999988</v>
      </c>
    </row>
    <row r="2162" spans="2:9">
      <c r="B2162" s="1297"/>
      <c r="C2162" s="1297"/>
      <c r="D2162" s="1297" t="s">
        <v>1034</v>
      </c>
      <c r="F2162" s="1399">
        <v>499574.70999999996</v>
      </c>
      <c r="I2162" s="1399">
        <v>499574.70999999996</v>
      </c>
    </row>
    <row r="2163" spans="2:9">
      <c r="B2163" s="1297"/>
      <c r="C2163" s="1297"/>
      <c r="D2163" s="1297" t="s">
        <v>1035</v>
      </c>
      <c r="F2163" s="1399">
        <v>1483520.1699999997</v>
      </c>
      <c r="I2163" s="1399">
        <v>1483520.1699999997</v>
      </c>
    </row>
    <row r="2164" spans="2:9">
      <c r="B2164" s="1297"/>
      <c r="C2164" s="1297"/>
      <c r="D2164" s="1297" t="s">
        <v>1036</v>
      </c>
      <c r="F2164" s="1399">
        <v>372051.87</v>
      </c>
      <c r="I2164" s="1399">
        <v>372051.87</v>
      </c>
    </row>
    <row r="2165" spans="2:9">
      <c r="B2165" s="1297"/>
      <c r="C2165" s="1297"/>
      <c r="D2165" s="1297" t="s">
        <v>1037</v>
      </c>
      <c r="F2165" s="1399">
        <v>222991.55000000002</v>
      </c>
      <c r="I2165" s="1399">
        <v>222991.55000000002</v>
      </c>
    </row>
    <row r="2166" spans="2:9">
      <c r="B2166" s="1297"/>
      <c r="C2166" s="1297"/>
      <c r="D2166" s="1297" t="s">
        <v>1038</v>
      </c>
      <c r="F2166" s="1399">
        <v>86534.66</v>
      </c>
      <c r="I2166" s="1399">
        <v>86534.66</v>
      </c>
    </row>
    <row r="2167" spans="2:9">
      <c r="B2167" s="1297"/>
      <c r="C2167" s="1297"/>
      <c r="D2167" s="1297" t="s">
        <v>1003</v>
      </c>
      <c r="F2167" s="1399">
        <v>33369.01</v>
      </c>
      <c r="I2167" s="1399">
        <v>33369.01</v>
      </c>
    </row>
    <row r="2168" spans="2:9">
      <c r="B2168" s="1297"/>
      <c r="C2168" s="1297"/>
      <c r="D2168" s="1297" t="s">
        <v>1039</v>
      </c>
      <c r="F2168" s="1399">
        <v>106393.53000000003</v>
      </c>
      <c r="I2168" s="1399">
        <v>106393.53000000003</v>
      </c>
    </row>
    <row r="2169" spans="2:9">
      <c r="B2169" s="1297"/>
      <c r="C2169" s="1297"/>
      <c r="D2169" s="1297" t="s">
        <v>1040</v>
      </c>
      <c r="F2169" s="1399">
        <v>965727.77</v>
      </c>
      <c r="I2169" s="1399">
        <v>965727.77</v>
      </c>
    </row>
    <row r="2170" spans="2:9">
      <c r="B2170" s="1297"/>
      <c r="C2170" s="1297"/>
      <c r="D2170" s="1297" t="s">
        <v>1041</v>
      </c>
      <c r="F2170" s="1399">
        <v>443899.65</v>
      </c>
      <c r="I2170" s="1399">
        <v>443899.65</v>
      </c>
    </row>
    <row r="2171" spans="2:9">
      <c r="B2171" s="1297"/>
      <c r="C2171" s="1297"/>
      <c r="D2171" s="1297" t="s">
        <v>1042</v>
      </c>
      <c r="F2171" s="1399">
        <v>152522.54999999996</v>
      </c>
      <c r="I2171" s="1399">
        <v>152522.54999999996</v>
      </c>
    </row>
    <row r="2172" spans="2:9">
      <c r="B2172" s="1297"/>
      <c r="C2172" s="1297"/>
      <c r="D2172" s="1297" t="s">
        <v>986</v>
      </c>
      <c r="F2172" s="1399">
        <v>21399.37</v>
      </c>
      <c r="I2172" s="1399">
        <v>21399.37</v>
      </c>
    </row>
    <row r="2173" spans="2:9">
      <c r="B2173" s="1297"/>
      <c r="C2173" s="1297"/>
      <c r="D2173" s="1297" t="s">
        <v>996</v>
      </c>
      <c r="F2173" s="1399">
        <v>120805.8</v>
      </c>
      <c r="I2173" s="1399">
        <v>120805.8</v>
      </c>
    </row>
    <row r="2174" spans="2:9">
      <c r="B2174" s="1297"/>
      <c r="C2174" s="1297"/>
      <c r="D2174" s="1297" t="s">
        <v>1044</v>
      </c>
      <c r="F2174" s="1399">
        <v>104366.29</v>
      </c>
      <c r="I2174" s="1399">
        <v>104366.29</v>
      </c>
    </row>
    <row r="2175" spans="2:9">
      <c r="B2175" s="1297"/>
      <c r="C2175" s="1297"/>
      <c r="D2175" s="1297" t="s">
        <v>1045</v>
      </c>
      <c r="F2175" s="1399">
        <v>1030689.0900000001</v>
      </c>
      <c r="I2175" s="1399">
        <v>1030689.0900000001</v>
      </c>
    </row>
    <row r="2176" spans="2:9">
      <c r="B2176" s="1297"/>
      <c r="C2176" s="1297"/>
      <c r="D2176" s="1297" t="s">
        <v>1046</v>
      </c>
      <c r="H2176" s="1399">
        <v>63084283</v>
      </c>
      <c r="I2176" s="1399">
        <v>63084283</v>
      </c>
    </row>
    <row r="2177" spans="2:9">
      <c r="B2177" s="1297"/>
      <c r="C2177" s="1297"/>
      <c r="D2177" s="1297" t="s">
        <v>1128</v>
      </c>
      <c r="H2177" s="1399">
        <v>4423047</v>
      </c>
      <c r="I2177" s="1399">
        <v>4423047</v>
      </c>
    </row>
    <row r="2178" spans="2:9">
      <c r="B2178" s="1297"/>
      <c r="C2178" s="1297"/>
      <c r="D2178" s="1297" t="s">
        <v>1129</v>
      </c>
      <c r="H2178" s="1399">
        <v>-8522354</v>
      </c>
      <c r="I2178" s="1399">
        <v>-8522354</v>
      </c>
    </row>
    <row r="2179" spans="2:9">
      <c r="B2179" s="1297"/>
      <c r="C2179" s="1297"/>
      <c r="D2179" s="1297" t="s">
        <v>1047</v>
      </c>
      <c r="H2179" s="1399">
        <v>1445244</v>
      </c>
      <c r="I2179" s="1399">
        <v>1445244</v>
      </c>
    </row>
    <row r="2180" spans="2:9">
      <c r="B2180" s="1297"/>
      <c r="C2180" s="1297"/>
      <c r="D2180" s="1297" t="s">
        <v>1048</v>
      </c>
      <c r="H2180" s="1399">
        <v>-7762129</v>
      </c>
      <c r="I2180" s="1399">
        <v>-7762129</v>
      </c>
    </row>
    <row r="2181" spans="2:9">
      <c r="B2181" s="1297"/>
      <c r="C2181" s="1297"/>
      <c r="D2181" s="1297" t="s">
        <v>932</v>
      </c>
      <c r="H2181" s="1399">
        <v>6607324</v>
      </c>
      <c r="I2181" s="1399">
        <v>6607324</v>
      </c>
    </row>
    <row r="2182" spans="2:9">
      <c r="B2182" s="1297"/>
      <c r="C2182" s="1297"/>
      <c r="D2182" s="1297" t="s">
        <v>955</v>
      </c>
      <c r="H2182" s="1399">
        <v>1802635.58</v>
      </c>
      <c r="I2182" s="1399">
        <v>1802635.58</v>
      </c>
    </row>
    <row r="2183" spans="2:9">
      <c r="B2183" s="1297"/>
      <c r="C2183" s="1297"/>
      <c r="D2183" s="1297" t="s">
        <v>934</v>
      </c>
      <c r="H2183" s="1399">
        <v>167020</v>
      </c>
      <c r="I2183" s="1399">
        <v>167020</v>
      </c>
    </row>
    <row r="2184" spans="2:9">
      <c r="B2184" s="1297"/>
      <c r="C2184" s="1297"/>
      <c r="D2184" s="1297" t="s">
        <v>1130</v>
      </c>
      <c r="H2184" s="1399">
        <v>805546</v>
      </c>
      <c r="I2184" s="1399">
        <v>805546</v>
      </c>
    </row>
    <row r="2185" spans="2:9">
      <c r="B2185" s="1297"/>
      <c r="C2185" s="1297"/>
      <c r="D2185" s="1297" t="s">
        <v>935</v>
      </c>
      <c r="H2185" s="1399">
        <v>1159050.83</v>
      </c>
      <c r="I2185" s="1399">
        <v>1159050.83</v>
      </c>
    </row>
    <row r="2186" spans="2:9">
      <c r="B2186" s="1297"/>
      <c r="C2186" s="1297"/>
      <c r="D2186" s="1297" t="s">
        <v>936</v>
      </c>
      <c r="H2186" s="1399">
        <v>181728.13</v>
      </c>
      <c r="I2186" s="1399">
        <v>181728.13</v>
      </c>
    </row>
    <row r="2187" spans="2:9">
      <c r="B2187" s="1297"/>
      <c r="C2187" s="1297"/>
      <c r="D2187" s="1297" t="s">
        <v>937</v>
      </c>
      <c r="H2187" s="1399">
        <v>30782.52</v>
      </c>
      <c r="I2187" s="1399">
        <v>30782.52</v>
      </c>
    </row>
    <row r="2188" spans="2:9">
      <c r="B2188" s="1297"/>
      <c r="C2188" s="1297"/>
      <c r="D2188" s="1297" t="s">
        <v>938</v>
      </c>
      <c r="H2188" s="1399">
        <v>43982</v>
      </c>
      <c r="I2188" s="1399">
        <v>43982</v>
      </c>
    </row>
    <row r="2189" spans="2:9">
      <c r="B2189" s="1297"/>
      <c r="C2189" s="1297"/>
      <c r="D2189" s="1297" t="s">
        <v>939</v>
      </c>
      <c r="H2189" s="1399">
        <v>25658</v>
      </c>
      <c r="I2189" s="1399">
        <v>25658</v>
      </c>
    </row>
    <row r="2190" spans="2:9">
      <c r="B2190" s="1297"/>
      <c r="C2190" s="1297"/>
      <c r="D2190" s="1297" t="s">
        <v>940</v>
      </c>
      <c r="E2190" s="1399">
        <v>2370089.7399999998</v>
      </c>
      <c r="I2190" s="1399">
        <v>2370089.7399999998</v>
      </c>
    </row>
    <row r="2191" spans="2:9">
      <c r="B2191" s="1297"/>
      <c r="C2191" s="1297"/>
      <c r="D2191" s="1297" t="s">
        <v>941</v>
      </c>
      <c r="E2191" s="1399">
        <v>770609.40000000014</v>
      </c>
      <c r="I2191" s="1399">
        <v>770609.40000000014</v>
      </c>
    </row>
    <row r="2192" spans="2:9">
      <c r="B2192" s="1297"/>
      <c r="C2192" s="1297"/>
      <c r="D2192" s="1297" t="s">
        <v>943</v>
      </c>
      <c r="E2192" s="1399">
        <v>44459.94</v>
      </c>
      <c r="I2192" s="1399">
        <v>44459.94</v>
      </c>
    </row>
    <row r="2193" spans="2:9">
      <c r="B2193" s="1297"/>
      <c r="C2193" s="1297"/>
      <c r="D2193" s="1297" t="s">
        <v>944</v>
      </c>
      <c r="E2193" s="1399">
        <v>5383241.3500000006</v>
      </c>
      <c r="I2193" s="1399">
        <v>5383241.3500000006</v>
      </c>
    </row>
    <row r="2194" spans="2:9">
      <c r="B2194" s="1297"/>
      <c r="C2194" s="1297"/>
      <c r="D2194" s="1297" t="s">
        <v>945</v>
      </c>
      <c r="E2194" s="1399">
        <v>4177780.05</v>
      </c>
      <c r="I2194" s="1399">
        <v>4177780.05</v>
      </c>
    </row>
    <row r="2195" spans="2:9">
      <c r="B2195" s="1297"/>
      <c r="C2195" s="1297"/>
      <c r="D2195" s="1297" t="s">
        <v>946</v>
      </c>
      <c r="E2195" s="1399">
        <v>4776.6899999999996</v>
      </c>
      <c r="I2195" s="1399">
        <v>4776.6899999999996</v>
      </c>
    </row>
    <row r="2196" spans="2:9">
      <c r="B2196" s="1297"/>
      <c r="C2196" s="1297"/>
      <c r="D2196" s="1297" t="s">
        <v>947</v>
      </c>
      <c r="E2196" s="1399">
        <v>496006.40999999992</v>
      </c>
      <c r="I2196" s="1399">
        <v>496006.40999999992</v>
      </c>
    </row>
    <row r="2197" spans="2:9">
      <c r="B2197" s="1297"/>
      <c r="C2197" s="1297"/>
      <c r="D2197" s="1297" t="s">
        <v>1115</v>
      </c>
      <c r="E2197" s="1399">
        <v>646929.5</v>
      </c>
      <c r="I2197" s="1399">
        <v>646929.5</v>
      </c>
    </row>
    <row r="2198" spans="2:9">
      <c r="B2198" s="1297"/>
      <c r="C2198" s="1297"/>
      <c r="D2198" s="1297" t="s">
        <v>948</v>
      </c>
      <c r="G2198" s="1399">
        <v>11896077.01</v>
      </c>
      <c r="I2198" s="1399">
        <v>11896077.01</v>
      </c>
    </row>
    <row r="2199" spans="2:9">
      <c r="B2199" s="1297"/>
      <c r="C2199" s="1297"/>
      <c r="D2199" s="1297" t="s">
        <v>956</v>
      </c>
      <c r="G2199" s="1399">
        <v>272390.81000000006</v>
      </c>
      <c r="I2199" s="1399">
        <v>272390.81000000006</v>
      </c>
    </row>
    <row r="2200" spans="2:9">
      <c r="B2200" s="1297"/>
      <c r="C2200" s="1400" t="s">
        <v>1321</v>
      </c>
      <c r="D2200" s="1400"/>
      <c r="E2200" s="1401">
        <v>13893893.08</v>
      </c>
      <c r="F2200" s="1401">
        <v>47832697.319999985</v>
      </c>
      <c r="G2200" s="1401">
        <v>12168467.82</v>
      </c>
      <c r="H2200" s="1401">
        <v>63491818.060000002</v>
      </c>
      <c r="I2200" s="1401">
        <v>137386876.27999997</v>
      </c>
    </row>
    <row r="2201" spans="2:9">
      <c r="B2201" s="1297" t="s">
        <v>1322</v>
      </c>
      <c r="C2201" s="1297" t="s">
        <v>1323</v>
      </c>
      <c r="D2201" s="1297" t="s">
        <v>906</v>
      </c>
      <c r="F2201" s="1399">
        <v>141862011.48000002</v>
      </c>
      <c r="I2201" s="1399">
        <v>141862011.48000002</v>
      </c>
    </row>
    <row r="2202" spans="2:9">
      <c r="B2202" s="1297"/>
      <c r="C2202" s="1297"/>
      <c r="D2202" s="1297" t="s">
        <v>907</v>
      </c>
      <c r="F2202" s="1399">
        <v>27759501.399999999</v>
      </c>
      <c r="I2202" s="1399">
        <v>27759501.399999999</v>
      </c>
    </row>
    <row r="2203" spans="2:9">
      <c r="B2203" s="1297"/>
      <c r="C2203" s="1297"/>
      <c r="D2203" s="1297" t="s">
        <v>908</v>
      </c>
      <c r="F2203" s="1399">
        <v>3673486.78</v>
      </c>
      <c r="I2203" s="1399">
        <v>3673486.78</v>
      </c>
    </row>
    <row r="2204" spans="2:9">
      <c r="B2204" s="1297"/>
      <c r="C2204" s="1297"/>
      <c r="D2204" s="1297" t="s">
        <v>909</v>
      </c>
      <c r="F2204" s="1399">
        <v>65308.78</v>
      </c>
      <c r="I2204" s="1399">
        <v>65308.78</v>
      </c>
    </row>
    <row r="2205" spans="2:9">
      <c r="B2205" s="1297"/>
      <c r="C2205" s="1297"/>
      <c r="D2205" s="1297" t="s">
        <v>1035</v>
      </c>
      <c r="F2205" s="1399">
        <v>1701136.86</v>
      </c>
      <c r="I2205" s="1399">
        <v>1701136.86</v>
      </c>
    </row>
    <row r="2206" spans="2:9">
      <c r="B2206" s="1297"/>
      <c r="C2206" s="1297"/>
      <c r="D2206" s="1297" t="s">
        <v>1036</v>
      </c>
      <c r="F2206" s="1399">
        <v>1097744.22</v>
      </c>
      <c r="I2206" s="1399">
        <v>1097744.22</v>
      </c>
    </row>
    <row r="2207" spans="2:9">
      <c r="B2207" s="1297"/>
      <c r="C2207" s="1297"/>
      <c r="D2207" s="1297" t="s">
        <v>1037</v>
      </c>
      <c r="F2207" s="1399">
        <v>199164.5</v>
      </c>
      <c r="I2207" s="1399">
        <v>199164.5</v>
      </c>
    </row>
    <row r="2208" spans="2:9">
      <c r="B2208" s="1297"/>
      <c r="C2208" s="1297"/>
      <c r="D2208" s="1297" t="s">
        <v>1039</v>
      </c>
      <c r="F2208" s="1399">
        <v>230374.48</v>
      </c>
      <c r="I2208" s="1399">
        <v>230374.48</v>
      </c>
    </row>
    <row r="2209" spans="2:9">
      <c r="B2209" s="1297"/>
      <c r="C2209" s="1297"/>
      <c r="D2209" s="1297" t="s">
        <v>1040</v>
      </c>
      <c r="F2209" s="1399">
        <v>6342247.2800000003</v>
      </c>
      <c r="I2209" s="1399">
        <v>6342247.2800000003</v>
      </c>
    </row>
    <row r="2210" spans="2:9">
      <c r="B2210" s="1297"/>
      <c r="C2210" s="1297"/>
      <c r="D2210" s="1297" t="s">
        <v>1041</v>
      </c>
      <c r="F2210" s="1399">
        <v>1832545.63</v>
      </c>
      <c r="I2210" s="1399">
        <v>1832545.63</v>
      </c>
    </row>
    <row r="2211" spans="2:9">
      <c r="B2211" s="1297"/>
      <c r="C2211" s="1297"/>
      <c r="D2211" s="1297" t="s">
        <v>1042</v>
      </c>
      <c r="F2211" s="1399">
        <v>390877.1</v>
      </c>
      <c r="I2211" s="1399">
        <v>390877.1</v>
      </c>
    </row>
    <row r="2212" spans="2:9">
      <c r="B2212" s="1297"/>
      <c r="C2212" s="1297"/>
      <c r="D2212" s="1297" t="s">
        <v>986</v>
      </c>
      <c r="F2212" s="1399">
        <v>170967.67</v>
      </c>
      <c r="I2212" s="1399">
        <v>170967.67</v>
      </c>
    </row>
    <row r="2213" spans="2:9">
      <c r="B2213" s="1297"/>
      <c r="C2213" s="1297"/>
      <c r="D2213" s="1297" t="s">
        <v>1044</v>
      </c>
      <c r="F2213" s="1399">
        <v>50444.35</v>
      </c>
      <c r="I2213" s="1399">
        <v>50444.35</v>
      </c>
    </row>
    <row r="2214" spans="2:9">
      <c r="B2214" s="1297"/>
      <c r="C2214" s="1297"/>
      <c r="D2214" s="1297" t="s">
        <v>1045</v>
      </c>
      <c r="F2214" s="1399">
        <v>9540827.2999999989</v>
      </c>
      <c r="I2214" s="1399">
        <v>9540827.2999999989</v>
      </c>
    </row>
    <row r="2215" spans="2:9">
      <c r="B2215" s="1297"/>
      <c r="C2215" s="1297"/>
      <c r="D2215" s="1297" t="s">
        <v>1046</v>
      </c>
      <c r="H2215" s="1399">
        <v>175029617</v>
      </c>
      <c r="I2215" s="1399">
        <v>175029617</v>
      </c>
    </row>
    <row r="2216" spans="2:9">
      <c r="B2216" s="1297"/>
      <c r="C2216" s="1297"/>
      <c r="D2216" s="1297" t="s">
        <v>1128</v>
      </c>
      <c r="H2216" s="1399">
        <v>15265763</v>
      </c>
      <c r="I2216" s="1399">
        <v>15265763</v>
      </c>
    </row>
    <row r="2217" spans="2:9">
      <c r="B2217" s="1297"/>
      <c r="C2217" s="1297"/>
      <c r="D2217" s="1297" t="s">
        <v>1129</v>
      </c>
      <c r="H2217" s="1399">
        <v>-20057476</v>
      </c>
      <c r="I2217" s="1399">
        <v>-20057476</v>
      </c>
    </row>
    <row r="2218" spans="2:9">
      <c r="B2218" s="1297"/>
      <c r="C2218" s="1297"/>
      <c r="D2218" s="1297" t="s">
        <v>1047</v>
      </c>
      <c r="H2218" s="1399">
        <v>1991415</v>
      </c>
      <c r="I2218" s="1399">
        <v>1991415</v>
      </c>
    </row>
    <row r="2219" spans="2:9">
      <c r="B2219" s="1297"/>
      <c r="C2219" s="1297"/>
      <c r="D2219" s="1297" t="s">
        <v>1048</v>
      </c>
      <c r="H2219" s="1399">
        <v>-44539944</v>
      </c>
      <c r="I2219" s="1399">
        <v>-44539944</v>
      </c>
    </row>
    <row r="2220" spans="2:9">
      <c r="B2220" s="1297"/>
      <c r="C2220" s="1297"/>
      <c r="D2220" s="1297" t="s">
        <v>934</v>
      </c>
      <c r="H2220" s="1399">
        <v>410642</v>
      </c>
      <c r="I2220" s="1399">
        <v>410642</v>
      </c>
    </row>
    <row r="2221" spans="2:9">
      <c r="B2221" s="1297"/>
      <c r="C2221" s="1297"/>
      <c r="D2221" s="1297" t="s">
        <v>1130</v>
      </c>
      <c r="H2221" s="1399">
        <v>430982.2</v>
      </c>
      <c r="I2221" s="1399">
        <v>430982.2</v>
      </c>
    </row>
    <row r="2222" spans="2:9">
      <c r="B2222" s="1297"/>
      <c r="C2222" s="1297"/>
      <c r="D2222" s="1297" t="s">
        <v>935</v>
      </c>
      <c r="H2222" s="1399">
        <v>1911178.42</v>
      </c>
      <c r="I2222" s="1399">
        <v>1911178.42</v>
      </c>
    </row>
    <row r="2223" spans="2:9">
      <c r="B2223" s="1297"/>
      <c r="C2223" s="1297"/>
      <c r="D2223" s="1297" t="s">
        <v>940</v>
      </c>
      <c r="E2223" s="1399">
        <v>3457713.92</v>
      </c>
      <c r="I2223" s="1399">
        <v>3457713.92</v>
      </c>
    </row>
    <row r="2224" spans="2:9">
      <c r="B2224" s="1297"/>
      <c r="C2224" s="1297"/>
      <c r="D2224" s="1297" t="s">
        <v>941</v>
      </c>
      <c r="E2224" s="1399">
        <v>988905.08</v>
      </c>
      <c r="I2224" s="1399">
        <v>988905.08</v>
      </c>
    </row>
    <row r="2225" spans="2:9">
      <c r="B2225" s="1297"/>
      <c r="C2225" s="1297"/>
      <c r="D2225" s="1297" t="s">
        <v>944</v>
      </c>
      <c r="E2225" s="1399">
        <v>6279789.5399999991</v>
      </c>
      <c r="I2225" s="1399">
        <v>6279789.5399999991</v>
      </c>
    </row>
    <row r="2226" spans="2:9">
      <c r="B2226" s="1297"/>
      <c r="C2226" s="1297"/>
      <c r="D2226" s="1297" t="s">
        <v>945</v>
      </c>
      <c r="E2226" s="1399">
        <v>10974447.359999999</v>
      </c>
      <c r="I2226" s="1399">
        <v>10974447.359999999</v>
      </c>
    </row>
    <row r="2227" spans="2:9">
      <c r="B2227" s="1297"/>
      <c r="C2227" s="1297"/>
      <c r="D2227" s="1297" t="s">
        <v>946</v>
      </c>
      <c r="E2227" s="1399">
        <v>66328.12</v>
      </c>
      <c r="I2227" s="1399">
        <v>66328.12</v>
      </c>
    </row>
    <row r="2228" spans="2:9">
      <c r="B2228" s="1297"/>
      <c r="C2228" s="1297"/>
      <c r="D2228" s="1297" t="s">
        <v>1214</v>
      </c>
      <c r="E2228" s="1399">
        <v>175984.9</v>
      </c>
      <c r="I2228" s="1399">
        <v>175984.9</v>
      </c>
    </row>
    <row r="2229" spans="2:9">
      <c r="B2229" s="1297"/>
      <c r="C2229" s="1297"/>
      <c r="D2229" s="1297" t="s">
        <v>947</v>
      </c>
      <c r="E2229" s="1399">
        <v>795724.67</v>
      </c>
      <c r="I2229" s="1399">
        <v>795724.67</v>
      </c>
    </row>
    <row r="2230" spans="2:9">
      <c r="B2230" s="1297"/>
      <c r="C2230" s="1297"/>
      <c r="D2230" s="1297" t="s">
        <v>1116</v>
      </c>
      <c r="G2230" s="1399">
        <v>25865650</v>
      </c>
      <c r="I2230" s="1399">
        <v>25865650</v>
      </c>
    </row>
    <row r="2231" spans="2:9">
      <c r="B2231" s="1297"/>
      <c r="C2231" s="1297"/>
      <c r="D2231" s="1297" t="s">
        <v>948</v>
      </c>
      <c r="G2231" s="1399">
        <v>30958425</v>
      </c>
      <c r="I2231" s="1399">
        <v>30958425</v>
      </c>
    </row>
    <row r="2232" spans="2:9">
      <c r="B2232" s="1297"/>
      <c r="C2232" s="1297"/>
      <c r="D2232" s="1297" t="s">
        <v>956</v>
      </c>
      <c r="G2232" s="1399">
        <v>216601.5</v>
      </c>
      <c r="I2232" s="1399">
        <v>216601.5</v>
      </c>
    </row>
    <row r="2233" spans="2:9">
      <c r="B2233" s="1297"/>
      <c r="C2233" s="1400" t="s">
        <v>1132</v>
      </c>
      <c r="D2233" s="1400"/>
      <c r="E2233" s="1401">
        <v>22738893.59</v>
      </c>
      <c r="F2233" s="1401">
        <v>194916637.83000001</v>
      </c>
      <c r="G2233" s="1401">
        <v>57040676.5</v>
      </c>
      <c r="H2233" s="1401">
        <v>130442177.62</v>
      </c>
      <c r="I2233" s="1401">
        <v>405138385.54000008</v>
      </c>
    </row>
    <row r="2234" spans="2:9">
      <c r="B2234" s="1297" t="s">
        <v>1133</v>
      </c>
      <c r="C2234" s="1297" t="s">
        <v>1134</v>
      </c>
      <c r="D2234" s="1297" t="s">
        <v>906</v>
      </c>
      <c r="F2234" s="1399">
        <v>9528335.75</v>
      </c>
      <c r="I2234" s="1399">
        <v>9528335.75</v>
      </c>
    </row>
    <row r="2235" spans="2:9">
      <c r="B2235" s="1297"/>
      <c r="C2235" s="1297"/>
      <c r="D2235" s="1297" t="s">
        <v>907</v>
      </c>
      <c r="F2235" s="1399">
        <v>2921555.48</v>
      </c>
      <c r="I2235" s="1399">
        <v>2921555.48</v>
      </c>
    </row>
    <row r="2236" spans="2:9">
      <c r="B2236" s="1297"/>
      <c r="C2236" s="1297"/>
      <c r="D2236" s="1297" t="s">
        <v>908</v>
      </c>
      <c r="F2236" s="1399">
        <v>139833.29</v>
      </c>
      <c r="I2236" s="1399">
        <v>139833.29</v>
      </c>
    </row>
    <row r="2237" spans="2:9">
      <c r="B2237" s="1297"/>
      <c r="C2237" s="1297"/>
      <c r="D2237" s="1297" t="s">
        <v>909</v>
      </c>
      <c r="F2237" s="1399">
        <v>49838.14</v>
      </c>
      <c r="I2237" s="1399">
        <v>49838.14</v>
      </c>
    </row>
    <row r="2238" spans="2:9">
      <c r="B2238" s="1297"/>
      <c r="C2238" s="1297"/>
      <c r="D2238" s="1297" t="s">
        <v>910</v>
      </c>
      <c r="F2238" s="1399">
        <v>122300.26</v>
      </c>
      <c r="I2238" s="1399">
        <v>122300.26</v>
      </c>
    </row>
    <row r="2239" spans="2:9">
      <c r="B2239" s="1297"/>
      <c r="C2239" s="1297"/>
      <c r="D2239" s="1297" t="s">
        <v>1034</v>
      </c>
      <c r="F2239" s="1399">
        <v>303333.40999999997</v>
      </c>
      <c r="I2239" s="1399">
        <v>303333.40999999997</v>
      </c>
    </row>
    <row r="2240" spans="2:9">
      <c r="B2240" s="1297"/>
      <c r="C2240" s="1297"/>
      <c r="D2240" s="1297" t="s">
        <v>1035</v>
      </c>
      <c r="F2240" s="1399">
        <v>496905.64</v>
      </c>
      <c r="I2240" s="1399">
        <v>496905.64</v>
      </c>
    </row>
    <row r="2241" spans="2:9">
      <c r="B2241" s="1297"/>
      <c r="C2241" s="1297"/>
      <c r="D2241" s="1297" t="s">
        <v>1036</v>
      </c>
      <c r="F2241" s="1399">
        <v>130953.20999999999</v>
      </c>
      <c r="I2241" s="1399">
        <v>130953.20999999999</v>
      </c>
    </row>
    <row r="2242" spans="2:9">
      <c r="B2242" s="1297"/>
      <c r="C2242" s="1297"/>
      <c r="D2242" s="1297" t="s">
        <v>1037</v>
      </c>
      <c r="F2242" s="1399">
        <v>14800</v>
      </c>
      <c r="I2242" s="1399">
        <v>14800</v>
      </c>
    </row>
    <row r="2243" spans="2:9">
      <c r="B2243" s="1297"/>
      <c r="C2243" s="1297"/>
      <c r="D2243" s="1297" t="s">
        <v>1003</v>
      </c>
      <c r="F2243" s="1399">
        <v>66629.649999999994</v>
      </c>
      <c r="I2243" s="1399">
        <v>66629.649999999994</v>
      </c>
    </row>
    <row r="2244" spans="2:9">
      <c r="B2244" s="1297"/>
      <c r="C2244" s="1297"/>
      <c r="D2244" s="1297" t="s">
        <v>1039</v>
      </c>
      <c r="F2244" s="1399">
        <v>52190.85</v>
      </c>
      <c r="I2244" s="1399">
        <v>52190.85</v>
      </c>
    </row>
    <row r="2245" spans="2:9">
      <c r="B2245" s="1297"/>
      <c r="C2245" s="1297"/>
      <c r="D2245" s="1297" t="s">
        <v>1040</v>
      </c>
      <c r="F2245" s="1399">
        <v>325342.08999999997</v>
      </c>
      <c r="I2245" s="1399">
        <v>325342.08999999997</v>
      </c>
    </row>
    <row r="2246" spans="2:9">
      <c r="B2246" s="1297"/>
      <c r="C2246" s="1297"/>
      <c r="D2246" s="1297" t="s">
        <v>1041</v>
      </c>
      <c r="F2246" s="1399">
        <v>26682.92</v>
      </c>
      <c r="I2246" s="1399">
        <v>26682.92</v>
      </c>
    </row>
    <row r="2247" spans="2:9">
      <c r="B2247" s="1297"/>
      <c r="C2247" s="1297"/>
      <c r="D2247" s="1297" t="s">
        <v>1042</v>
      </c>
      <c r="F2247" s="1399">
        <v>54014.18</v>
      </c>
      <c r="I2247" s="1399">
        <v>54014.18</v>
      </c>
    </row>
    <row r="2248" spans="2:9">
      <c r="B2248" s="1297"/>
      <c r="C2248" s="1297"/>
      <c r="D2248" s="1297" t="s">
        <v>985</v>
      </c>
      <c r="F2248" s="1399">
        <v>2239.65</v>
      </c>
      <c r="I2248" s="1399">
        <v>2239.65</v>
      </c>
    </row>
    <row r="2249" spans="2:9">
      <c r="B2249" s="1297"/>
      <c r="C2249" s="1297"/>
      <c r="D2249" s="1297" t="s">
        <v>1043</v>
      </c>
      <c r="F2249" s="1399">
        <v>53025</v>
      </c>
      <c r="I2249" s="1399">
        <v>53025</v>
      </c>
    </row>
    <row r="2250" spans="2:9">
      <c r="B2250" s="1297"/>
      <c r="C2250" s="1297"/>
      <c r="D2250" s="1297" t="s">
        <v>986</v>
      </c>
      <c r="F2250" s="1399">
        <v>20042.12</v>
      </c>
      <c r="I2250" s="1399">
        <v>20042.12</v>
      </c>
    </row>
    <row r="2251" spans="2:9">
      <c r="B2251" s="1297"/>
      <c r="C2251" s="1297"/>
      <c r="D2251" s="1297" t="s">
        <v>1045</v>
      </c>
      <c r="F2251" s="1399">
        <v>45742.48</v>
      </c>
      <c r="I2251" s="1399">
        <v>45742.48</v>
      </c>
    </row>
    <row r="2252" spans="2:9">
      <c r="B2252" s="1297"/>
      <c r="C2252" s="1297"/>
      <c r="D2252" s="1297" t="s">
        <v>1046</v>
      </c>
      <c r="H2252" s="1399">
        <v>20131702</v>
      </c>
      <c r="I2252" s="1399">
        <v>20131702</v>
      </c>
    </row>
    <row r="2253" spans="2:9">
      <c r="B2253" s="1297"/>
      <c r="C2253" s="1297"/>
      <c r="D2253" s="1297" t="s">
        <v>1128</v>
      </c>
      <c r="H2253" s="1399">
        <v>1579408</v>
      </c>
      <c r="I2253" s="1399">
        <v>1579408</v>
      </c>
    </row>
    <row r="2254" spans="2:9">
      <c r="B2254" s="1297"/>
      <c r="C2254" s="1297"/>
      <c r="D2254" s="1297" t="s">
        <v>1129</v>
      </c>
      <c r="H2254" s="1399">
        <v>-2740308</v>
      </c>
      <c r="I2254" s="1399">
        <v>-2740308</v>
      </c>
    </row>
    <row r="2255" spans="2:9">
      <c r="B2255" s="1297"/>
      <c r="C2255" s="1297"/>
      <c r="D2255" s="1297" t="s">
        <v>1047</v>
      </c>
      <c r="H2255" s="1399">
        <v>666697</v>
      </c>
      <c r="I2255" s="1399">
        <v>666697</v>
      </c>
    </row>
    <row r="2256" spans="2:9">
      <c r="B2256" s="1297"/>
      <c r="C2256" s="1297"/>
      <c r="D2256" s="1297" t="s">
        <v>1048</v>
      </c>
      <c r="H2256" s="1399">
        <v>-3039270</v>
      </c>
      <c r="I2256" s="1399">
        <v>-3039270</v>
      </c>
    </row>
    <row r="2257" spans="2:9">
      <c r="B2257" s="1297"/>
      <c r="C2257" s="1297"/>
      <c r="D2257" s="1297" t="s">
        <v>932</v>
      </c>
      <c r="H2257" s="1399">
        <v>920599</v>
      </c>
      <c r="I2257" s="1399">
        <v>920599</v>
      </c>
    </row>
    <row r="2258" spans="2:9">
      <c r="B2258" s="1297"/>
      <c r="C2258" s="1297"/>
      <c r="D2258" s="1297" t="s">
        <v>934</v>
      </c>
      <c r="H2258" s="1399">
        <v>56616</v>
      </c>
      <c r="I2258" s="1399">
        <v>56616</v>
      </c>
    </row>
    <row r="2259" spans="2:9">
      <c r="B2259" s="1297"/>
      <c r="C2259" s="1297"/>
      <c r="D2259" s="1297" t="s">
        <v>935</v>
      </c>
      <c r="H2259" s="1399">
        <v>550731.48</v>
      </c>
      <c r="I2259" s="1399">
        <v>550731.48</v>
      </c>
    </row>
    <row r="2260" spans="2:9">
      <c r="B2260" s="1297"/>
      <c r="C2260" s="1297"/>
      <c r="D2260" s="1297" t="s">
        <v>936</v>
      </c>
      <c r="H2260" s="1399">
        <v>67929.2</v>
      </c>
      <c r="I2260" s="1399">
        <v>67929.2</v>
      </c>
    </row>
    <row r="2261" spans="2:9">
      <c r="B2261" s="1297"/>
      <c r="C2261" s="1297"/>
      <c r="D2261" s="1297" t="s">
        <v>937</v>
      </c>
      <c r="H2261" s="1399">
        <v>16970.72</v>
      </c>
      <c r="I2261" s="1399">
        <v>16970.72</v>
      </c>
    </row>
    <row r="2262" spans="2:9">
      <c r="B2262" s="1297"/>
      <c r="C2262" s="1297"/>
      <c r="D2262" s="1297" t="s">
        <v>938</v>
      </c>
      <c r="H2262" s="1399">
        <v>25266</v>
      </c>
      <c r="I2262" s="1399">
        <v>25266</v>
      </c>
    </row>
    <row r="2263" spans="2:9">
      <c r="B2263" s="1297"/>
      <c r="C2263" s="1297"/>
      <c r="D2263" s="1297" t="s">
        <v>939</v>
      </c>
      <c r="H2263" s="1399">
        <v>40944.15</v>
      </c>
      <c r="I2263" s="1399">
        <v>40944.15</v>
      </c>
    </row>
    <row r="2264" spans="2:9">
      <c r="B2264" s="1297"/>
      <c r="C2264" s="1297"/>
      <c r="D2264" s="1297" t="s">
        <v>940</v>
      </c>
      <c r="E2264" s="1399">
        <v>809301.1</v>
      </c>
      <c r="I2264" s="1399">
        <v>809301.1</v>
      </c>
    </row>
    <row r="2265" spans="2:9">
      <c r="B2265" s="1297"/>
      <c r="C2265" s="1297"/>
      <c r="D2265" s="1297" t="s">
        <v>941</v>
      </c>
      <c r="E2265" s="1399">
        <v>248308.48000000001</v>
      </c>
      <c r="I2265" s="1399">
        <v>248308.48000000001</v>
      </c>
    </row>
    <row r="2266" spans="2:9">
      <c r="B2266" s="1297"/>
      <c r="C2266" s="1297"/>
      <c r="D2266" s="1297" t="s">
        <v>943</v>
      </c>
      <c r="E2266" s="1399">
        <v>2863.8</v>
      </c>
      <c r="I2266" s="1399">
        <v>2863.8</v>
      </c>
    </row>
    <row r="2267" spans="2:9">
      <c r="B2267" s="1297"/>
      <c r="C2267" s="1297"/>
      <c r="D2267" s="1297" t="s">
        <v>944</v>
      </c>
      <c r="E2267" s="1399">
        <v>2673703.3100000005</v>
      </c>
      <c r="I2267" s="1399">
        <v>2673703.3100000005</v>
      </c>
    </row>
    <row r="2268" spans="2:9">
      <c r="B2268" s="1297"/>
      <c r="C2268" s="1297"/>
      <c r="D2268" s="1297" t="s">
        <v>945</v>
      </c>
      <c r="E2268" s="1399">
        <v>1059197.5899999999</v>
      </c>
      <c r="I2268" s="1399">
        <v>1059197.5899999999</v>
      </c>
    </row>
    <row r="2269" spans="2:9">
      <c r="B2269" s="1297"/>
      <c r="C2269" s="1297"/>
      <c r="D2269" s="1297" t="s">
        <v>947</v>
      </c>
      <c r="E2269" s="1399">
        <v>38879.089999999997</v>
      </c>
      <c r="I2269" s="1399">
        <v>38879.089999999997</v>
      </c>
    </row>
    <row r="2270" spans="2:9">
      <c r="B2270" s="1297"/>
      <c r="C2270" s="1297"/>
      <c r="D2270" s="1297" t="s">
        <v>948</v>
      </c>
      <c r="G2270" s="1399">
        <v>383636.37999999995</v>
      </c>
      <c r="I2270" s="1399">
        <v>383636.37999999995</v>
      </c>
    </row>
    <row r="2271" spans="2:9">
      <c r="B2271" s="1297"/>
      <c r="C2271" s="1297"/>
      <c r="D2271" s="1297" t="s">
        <v>1118</v>
      </c>
      <c r="G2271" s="1399">
        <v>46329.36</v>
      </c>
      <c r="I2271" s="1399">
        <v>46329.36</v>
      </c>
    </row>
    <row r="2272" spans="2:9">
      <c r="B2272" s="1297"/>
      <c r="C2272" s="1400" t="s">
        <v>1135</v>
      </c>
      <c r="D2272" s="1400"/>
      <c r="E2272" s="1401">
        <v>4832253.37</v>
      </c>
      <c r="F2272" s="1401">
        <v>14353764.120000001</v>
      </c>
      <c r="G2272" s="1401">
        <v>429965.73999999993</v>
      </c>
      <c r="H2272" s="1401">
        <v>18277285.549999997</v>
      </c>
      <c r="I2272" s="1401">
        <v>37893268.780000009</v>
      </c>
    </row>
    <row r="2273" spans="2:9">
      <c r="B2273" s="1297" t="s">
        <v>1136</v>
      </c>
      <c r="C2273" s="1297" t="s">
        <v>1137</v>
      </c>
      <c r="D2273" s="1297" t="s">
        <v>906</v>
      </c>
      <c r="F2273" s="1399">
        <v>534160031.81</v>
      </c>
      <c r="I2273" s="1399">
        <v>534160031.81</v>
      </c>
    </row>
    <row r="2274" spans="2:9">
      <c r="B2274" s="1297"/>
      <c r="C2274" s="1297"/>
      <c r="D2274" s="1297" t="s">
        <v>907</v>
      </c>
      <c r="F2274" s="1399">
        <v>130265771.02</v>
      </c>
      <c r="I2274" s="1399">
        <v>130265771.02</v>
      </c>
    </row>
    <row r="2275" spans="2:9">
      <c r="B2275" s="1297"/>
      <c r="C2275" s="1297"/>
      <c r="D2275" s="1297" t="s">
        <v>908</v>
      </c>
      <c r="F2275" s="1399">
        <v>1387621.51</v>
      </c>
      <c r="I2275" s="1399">
        <v>1387621.51</v>
      </c>
    </row>
    <row r="2276" spans="2:9">
      <c r="B2276" s="1297"/>
      <c r="C2276" s="1297"/>
      <c r="D2276" s="1297" t="s">
        <v>1122</v>
      </c>
      <c r="F2276" s="1399">
        <v>-476313</v>
      </c>
      <c r="I2276" s="1399">
        <v>-476313</v>
      </c>
    </row>
    <row r="2277" spans="2:9">
      <c r="B2277" s="1297"/>
      <c r="C2277" s="1297"/>
      <c r="D2277" s="1297" t="s">
        <v>1034</v>
      </c>
      <c r="F2277" s="1399">
        <v>76965.06</v>
      </c>
      <c r="I2277" s="1399">
        <v>76965.06</v>
      </c>
    </row>
    <row r="2278" spans="2:9">
      <c r="B2278" s="1297"/>
      <c r="C2278" s="1297"/>
      <c r="D2278" s="1297" t="s">
        <v>1035</v>
      </c>
      <c r="F2278" s="1399">
        <v>9311</v>
      </c>
      <c r="I2278" s="1399">
        <v>9311</v>
      </c>
    </row>
    <row r="2279" spans="2:9">
      <c r="B2279" s="1297"/>
      <c r="C2279" s="1297"/>
      <c r="D2279" s="1297" t="s">
        <v>1037</v>
      </c>
      <c r="F2279" s="1399">
        <v>292811.46999999997</v>
      </c>
      <c r="I2279" s="1399">
        <v>292811.46999999997</v>
      </c>
    </row>
    <row r="2280" spans="2:9">
      <c r="B2280" s="1297"/>
      <c r="C2280" s="1297"/>
      <c r="D2280" s="1297" t="s">
        <v>1038</v>
      </c>
      <c r="F2280" s="1399">
        <v>484751.59</v>
      </c>
      <c r="I2280" s="1399">
        <v>484751.59</v>
      </c>
    </row>
    <row r="2281" spans="2:9">
      <c r="B2281" s="1297"/>
      <c r="C2281" s="1297"/>
      <c r="D2281" s="1297" t="s">
        <v>1039</v>
      </c>
      <c r="F2281" s="1399">
        <v>830474.47</v>
      </c>
      <c r="I2281" s="1399">
        <v>830474.47</v>
      </c>
    </row>
    <row r="2282" spans="2:9">
      <c r="B2282" s="1297"/>
      <c r="C2282" s="1297"/>
      <c r="D2282" s="1297" t="s">
        <v>1040</v>
      </c>
      <c r="F2282" s="1399">
        <v>6206395.0999999987</v>
      </c>
      <c r="I2282" s="1399">
        <v>6206395.0999999987</v>
      </c>
    </row>
    <row r="2283" spans="2:9">
      <c r="B2283" s="1297"/>
      <c r="C2283" s="1297"/>
      <c r="D2283" s="1297" t="s">
        <v>1041</v>
      </c>
      <c r="F2283" s="1399">
        <v>8382524.9400000004</v>
      </c>
      <c r="I2283" s="1399">
        <v>8382524.9400000004</v>
      </c>
    </row>
    <row r="2284" spans="2:9">
      <c r="B2284" s="1297"/>
      <c r="C2284" s="1297"/>
      <c r="D2284" s="1297" t="s">
        <v>1042</v>
      </c>
      <c r="F2284" s="1399">
        <v>395325.37999999983</v>
      </c>
      <c r="I2284" s="1399">
        <v>395325.37999999983</v>
      </c>
    </row>
    <row r="2285" spans="2:9">
      <c r="B2285" s="1297"/>
      <c r="C2285" s="1297"/>
      <c r="D2285" s="1297" t="s">
        <v>953</v>
      </c>
      <c r="F2285" s="1399">
        <v>365645.6999999999</v>
      </c>
      <c r="I2285" s="1399">
        <v>365645.6999999999</v>
      </c>
    </row>
    <row r="2286" spans="2:9">
      <c r="B2286" s="1297"/>
      <c r="C2286" s="1297"/>
      <c r="D2286" s="1297" t="s">
        <v>954</v>
      </c>
      <c r="F2286" s="1399">
        <v>781787.8</v>
      </c>
      <c r="I2286" s="1399">
        <v>781787.8</v>
      </c>
    </row>
    <row r="2287" spans="2:9">
      <c r="B2287" s="1297"/>
      <c r="C2287" s="1297"/>
      <c r="D2287" s="1297" t="s">
        <v>1043</v>
      </c>
      <c r="F2287" s="1399">
        <v>1226485.18</v>
      </c>
      <c r="I2287" s="1399">
        <v>1226485.18</v>
      </c>
    </row>
    <row r="2288" spans="2:9">
      <c r="B2288" s="1297"/>
      <c r="C2288" s="1297"/>
      <c r="D2288" s="1297" t="s">
        <v>986</v>
      </c>
      <c r="F2288" s="1399">
        <v>412996.45</v>
      </c>
      <c r="I2288" s="1399">
        <v>412996.45</v>
      </c>
    </row>
    <row r="2289" spans="2:9">
      <c r="B2289" s="1297"/>
      <c r="C2289" s="1297"/>
      <c r="D2289" s="1297" t="s">
        <v>1005</v>
      </c>
      <c r="F2289" s="1399">
        <v>586597.14</v>
      </c>
      <c r="I2289" s="1399">
        <v>586597.14</v>
      </c>
    </row>
    <row r="2290" spans="2:9">
      <c r="B2290" s="1297"/>
      <c r="C2290" s="1297"/>
      <c r="D2290" s="1297" t="s">
        <v>1044</v>
      </c>
      <c r="F2290" s="1399">
        <v>2749759.76</v>
      </c>
      <c r="I2290" s="1399">
        <v>2749759.76</v>
      </c>
    </row>
    <row r="2291" spans="2:9">
      <c r="B2291" s="1297"/>
      <c r="C2291" s="1297"/>
      <c r="D2291" s="1297" t="s">
        <v>1045</v>
      </c>
      <c r="F2291" s="1399">
        <v>42700171.349999994</v>
      </c>
      <c r="I2291" s="1399">
        <v>42700171.349999994</v>
      </c>
    </row>
    <row r="2292" spans="2:9">
      <c r="B2292" s="1297"/>
      <c r="C2292" s="1297"/>
      <c r="D2292" s="1297" t="s">
        <v>1046</v>
      </c>
      <c r="H2292" s="1399">
        <v>440772565</v>
      </c>
      <c r="I2292" s="1399">
        <v>440772565</v>
      </c>
    </row>
    <row r="2293" spans="2:9">
      <c r="B2293" s="1297"/>
      <c r="C2293" s="1297"/>
      <c r="D2293" s="1297" t="s">
        <v>1128</v>
      </c>
      <c r="H2293" s="1399">
        <v>39949156</v>
      </c>
      <c r="I2293" s="1399">
        <v>39949156</v>
      </c>
    </row>
    <row r="2294" spans="2:9">
      <c r="B2294" s="1297"/>
      <c r="C2294" s="1297"/>
      <c r="D2294" s="1297" t="s">
        <v>1129</v>
      </c>
      <c r="H2294" s="1399">
        <v>-50343585</v>
      </c>
      <c r="I2294" s="1399">
        <v>-50343585</v>
      </c>
    </row>
    <row r="2295" spans="2:9">
      <c r="B2295" s="1297"/>
      <c r="C2295" s="1297"/>
      <c r="D2295" s="1297" t="s">
        <v>1047</v>
      </c>
      <c r="H2295" s="1399">
        <v>6240199</v>
      </c>
      <c r="I2295" s="1399">
        <v>6240199</v>
      </c>
    </row>
    <row r="2296" spans="2:9">
      <c r="B2296" s="1297"/>
      <c r="C2296" s="1297"/>
      <c r="D2296" s="1297" t="s">
        <v>1048</v>
      </c>
      <c r="H2296" s="1399">
        <v>-151179186</v>
      </c>
      <c r="I2296" s="1399">
        <v>-151179186</v>
      </c>
    </row>
    <row r="2297" spans="2:9">
      <c r="B2297" s="1297"/>
      <c r="C2297" s="1297"/>
      <c r="D2297" s="1297" t="s">
        <v>955</v>
      </c>
      <c r="H2297" s="1399">
        <v>5668445.4800000004</v>
      </c>
      <c r="I2297" s="1399">
        <v>5668445.4800000004</v>
      </c>
    </row>
    <row r="2298" spans="2:9">
      <c r="B2298" s="1297"/>
      <c r="C2298" s="1297"/>
      <c r="D2298" s="1297" t="s">
        <v>934</v>
      </c>
      <c r="H2298" s="1399">
        <v>969998</v>
      </c>
      <c r="I2298" s="1399">
        <v>969998</v>
      </c>
    </row>
    <row r="2299" spans="2:9">
      <c r="B2299" s="1297"/>
      <c r="C2299" s="1297"/>
      <c r="D2299" s="1297" t="s">
        <v>1130</v>
      </c>
      <c r="H2299" s="1399">
        <v>13179901.5</v>
      </c>
      <c r="I2299" s="1399">
        <v>13179901.5</v>
      </c>
    </row>
    <row r="2300" spans="2:9">
      <c r="B2300" s="1297"/>
      <c r="C2300" s="1297"/>
      <c r="D2300" s="1297" t="s">
        <v>935</v>
      </c>
      <c r="H2300" s="1399">
        <v>4521147.7299999995</v>
      </c>
      <c r="I2300" s="1399">
        <v>4521147.7299999995</v>
      </c>
    </row>
    <row r="2301" spans="2:9">
      <c r="B2301" s="1297"/>
      <c r="C2301" s="1297"/>
      <c r="D2301" s="1297" t="s">
        <v>936</v>
      </c>
      <c r="H2301" s="1399">
        <v>1184209.1100000001</v>
      </c>
      <c r="I2301" s="1399">
        <v>1184209.1100000001</v>
      </c>
    </row>
    <row r="2302" spans="2:9">
      <c r="B2302" s="1297"/>
      <c r="C2302" s="1297"/>
      <c r="D2302" s="1297" t="s">
        <v>937</v>
      </c>
      <c r="H2302" s="1399">
        <v>67627.17</v>
      </c>
      <c r="I2302" s="1399">
        <v>67627.17</v>
      </c>
    </row>
    <row r="2303" spans="2:9">
      <c r="B2303" s="1297"/>
      <c r="C2303" s="1297"/>
      <c r="D2303" s="1297" t="s">
        <v>1131</v>
      </c>
      <c r="E2303" s="1399">
        <v>2540034.7399999998</v>
      </c>
      <c r="I2303" s="1399">
        <v>2540034.7399999998</v>
      </c>
    </row>
    <row r="2304" spans="2:9">
      <c r="B2304" s="1297"/>
      <c r="C2304" s="1297"/>
      <c r="D2304" s="1297" t="s">
        <v>940</v>
      </c>
      <c r="E2304" s="1399">
        <v>15151517.840000004</v>
      </c>
      <c r="I2304" s="1399">
        <v>15151517.840000004</v>
      </c>
    </row>
    <row r="2305" spans="2:9">
      <c r="B2305" s="1297"/>
      <c r="C2305" s="1297"/>
      <c r="D2305" s="1297" t="s">
        <v>941</v>
      </c>
      <c r="E2305" s="1399">
        <v>5196159.26</v>
      </c>
      <c r="I2305" s="1399">
        <v>5196159.26</v>
      </c>
    </row>
    <row r="2306" spans="2:9">
      <c r="B2306" s="1297"/>
      <c r="C2306" s="1297"/>
      <c r="D2306" s="1297" t="s">
        <v>943</v>
      </c>
      <c r="E2306" s="1399">
        <v>97617.989999999947</v>
      </c>
      <c r="I2306" s="1399">
        <v>97617.989999999947</v>
      </c>
    </row>
    <row r="2307" spans="2:9">
      <c r="B2307" s="1297"/>
      <c r="C2307" s="1297"/>
      <c r="D2307" s="1297" t="s">
        <v>944</v>
      </c>
      <c r="E2307" s="1399">
        <v>39766151.75</v>
      </c>
      <c r="I2307" s="1399">
        <v>39766151.75</v>
      </c>
    </row>
    <row r="2308" spans="2:9">
      <c r="B2308" s="1297"/>
      <c r="C2308" s="1297"/>
      <c r="D2308" s="1297" t="s">
        <v>945</v>
      </c>
      <c r="E2308" s="1399">
        <v>29856814.489999998</v>
      </c>
      <c r="I2308" s="1399">
        <v>29856814.489999998</v>
      </c>
    </row>
    <row r="2309" spans="2:9">
      <c r="B2309" s="1297"/>
      <c r="C2309" s="1297"/>
      <c r="D2309" s="1297" t="s">
        <v>946</v>
      </c>
      <c r="E2309" s="1399">
        <v>836373.04</v>
      </c>
      <c r="I2309" s="1399">
        <v>836373.04</v>
      </c>
    </row>
    <row r="2310" spans="2:9">
      <c r="B2310" s="1297"/>
      <c r="C2310" s="1297"/>
      <c r="D2310" s="1297" t="s">
        <v>1138</v>
      </c>
      <c r="E2310" s="1399">
        <v>36792.25</v>
      </c>
      <c r="I2310" s="1399">
        <v>36792.25</v>
      </c>
    </row>
    <row r="2311" spans="2:9">
      <c r="B2311" s="1297"/>
      <c r="C2311" s="1297"/>
      <c r="D2311" s="1297" t="s">
        <v>947</v>
      </c>
      <c r="E2311" s="1399">
        <v>1970704.95</v>
      </c>
      <c r="I2311" s="1399">
        <v>1970704.95</v>
      </c>
    </row>
    <row r="2312" spans="2:9">
      <c r="B2312" s="1297"/>
      <c r="C2312" s="1297"/>
      <c r="D2312" s="1297" t="s">
        <v>948</v>
      </c>
      <c r="G2312" s="1399">
        <v>23942778.370000001</v>
      </c>
      <c r="I2312" s="1399">
        <v>23942778.370000001</v>
      </c>
    </row>
    <row r="2313" spans="2:9">
      <c r="B2313" s="1297"/>
      <c r="C2313" s="1297"/>
      <c r="D2313" s="1297" t="s">
        <v>956</v>
      </c>
      <c r="G2313" s="1399">
        <v>41261.229999999996</v>
      </c>
      <c r="I2313" s="1399">
        <v>41261.229999999996</v>
      </c>
    </row>
    <row r="2314" spans="2:9">
      <c r="B2314" s="1297"/>
      <c r="C2314" s="1400" t="s">
        <v>1139</v>
      </c>
      <c r="D2314" s="1400"/>
      <c r="E2314" s="1401">
        <v>95452166.310000002</v>
      </c>
      <c r="F2314" s="1401">
        <v>730839113.73000014</v>
      </c>
      <c r="G2314" s="1401">
        <v>23984039.600000001</v>
      </c>
      <c r="H2314" s="1401">
        <v>311030477.99000007</v>
      </c>
      <c r="I2314" s="1401">
        <v>1161305797.6300001</v>
      </c>
    </row>
    <row r="2315" spans="2:9">
      <c r="B2315" s="1297" t="s">
        <v>1140</v>
      </c>
      <c r="C2315" s="1297" t="s">
        <v>1141</v>
      </c>
      <c r="D2315" s="1297" t="s">
        <v>906</v>
      </c>
      <c r="F2315" s="1399">
        <v>19887613.16</v>
      </c>
      <c r="I2315" s="1399">
        <v>19887613.16</v>
      </c>
    </row>
    <row r="2316" spans="2:9">
      <c r="B2316" s="1297"/>
      <c r="C2316" s="1297"/>
      <c r="D2316" s="1297" t="s">
        <v>952</v>
      </c>
      <c r="F2316" s="1399">
        <v>73029.850000000006</v>
      </c>
      <c r="I2316" s="1399">
        <v>73029.850000000006</v>
      </c>
    </row>
    <row r="2317" spans="2:9">
      <c r="B2317" s="1297"/>
      <c r="C2317" s="1297"/>
      <c r="D2317" s="1297" t="s">
        <v>907</v>
      </c>
      <c r="F2317" s="1399">
        <v>3587502.36</v>
      </c>
      <c r="I2317" s="1399">
        <v>3587502.36</v>
      </c>
    </row>
    <row r="2318" spans="2:9">
      <c r="B2318" s="1297"/>
      <c r="C2318" s="1297"/>
      <c r="D2318" s="1297" t="s">
        <v>908</v>
      </c>
      <c r="F2318" s="1399">
        <v>6413.76</v>
      </c>
      <c r="I2318" s="1399">
        <v>6413.76</v>
      </c>
    </row>
    <row r="2319" spans="2:9">
      <c r="B2319" s="1297"/>
      <c r="C2319" s="1297"/>
      <c r="D2319" s="1297" t="s">
        <v>909</v>
      </c>
      <c r="F2319" s="1399">
        <v>1266.8</v>
      </c>
      <c r="I2319" s="1399">
        <v>1266.8</v>
      </c>
    </row>
    <row r="2320" spans="2:9">
      <c r="B2320" s="1297"/>
      <c r="C2320" s="1297"/>
      <c r="D2320" s="1297" t="s">
        <v>1034</v>
      </c>
      <c r="F2320" s="1399">
        <v>41448.97</v>
      </c>
      <c r="I2320" s="1399">
        <v>41448.97</v>
      </c>
    </row>
    <row r="2321" spans="2:9">
      <c r="B2321" s="1297"/>
      <c r="C2321" s="1297"/>
      <c r="D2321" s="1297" t="s">
        <v>1035</v>
      </c>
      <c r="F2321" s="1399">
        <v>414414.5</v>
      </c>
      <c r="I2321" s="1399">
        <v>414414.5</v>
      </c>
    </row>
    <row r="2322" spans="2:9">
      <c r="B2322" s="1297"/>
      <c r="C2322" s="1297"/>
      <c r="D2322" s="1297" t="s">
        <v>1036</v>
      </c>
      <c r="F2322" s="1399">
        <v>85914</v>
      </c>
      <c r="I2322" s="1399">
        <v>85914</v>
      </c>
    </row>
    <row r="2323" spans="2:9">
      <c r="B2323" s="1297"/>
      <c r="C2323" s="1297"/>
      <c r="D2323" s="1297" t="s">
        <v>1039</v>
      </c>
      <c r="F2323" s="1399">
        <v>431868.42</v>
      </c>
      <c r="I2323" s="1399">
        <v>431868.42</v>
      </c>
    </row>
    <row r="2324" spans="2:9">
      <c r="B2324" s="1297"/>
      <c r="C2324" s="1297"/>
      <c r="D2324" s="1297" t="s">
        <v>1040</v>
      </c>
      <c r="F2324" s="1399">
        <v>273830.83999999997</v>
      </c>
      <c r="I2324" s="1399">
        <v>273830.83999999997</v>
      </c>
    </row>
    <row r="2325" spans="2:9">
      <c r="B2325" s="1297"/>
      <c r="C2325" s="1297"/>
      <c r="D2325" s="1297" t="s">
        <v>1127</v>
      </c>
      <c r="F2325" s="1399">
        <v>85044.140000000014</v>
      </c>
      <c r="I2325" s="1399">
        <v>85044.140000000014</v>
      </c>
    </row>
    <row r="2326" spans="2:9">
      <c r="B2326" s="1297"/>
      <c r="C2326" s="1297"/>
      <c r="D2326" s="1297" t="s">
        <v>1041</v>
      </c>
      <c r="F2326" s="1399">
        <v>32005.890000000003</v>
      </c>
      <c r="I2326" s="1399">
        <v>32005.890000000003</v>
      </c>
    </row>
    <row r="2327" spans="2:9">
      <c r="B2327" s="1297"/>
      <c r="C2327" s="1297"/>
      <c r="D2327" s="1297" t="s">
        <v>1042</v>
      </c>
      <c r="F2327" s="1399">
        <v>71015.650000000009</v>
      </c>
      <c r="I2327" s="1399">
        <v>71015.650000000009</v>
      </c>
    </row>
    <row r="2328" spans="2:9">
      <c r="B2328" s="1297"/>
      <c r="C2328" s="1297"/>
      <c r="D2328" s="1297" t="s">
        <v>986</v>
      </c>
      <c r="F2328" s="1399">
        <v>185663.39</v>
      </c>
      <c r="I2328" s="1399">
        <v>185663.39</v>
      </c>
    </row>
    <row r="2329" spans="2:9">
      <c r="B2329" s="1297"/>
      <c r="C2329" s="1297"/>
      <c r="D2329" s="1297" t="s">
        <v>1045</v>
      </c>
      <c r="F2329" s="1399">
        <v>792378.71</v>
      </c>
      <c r="I2329" s="1399">
        <v>792378.71</v>
      </c>
    </row>
    <row r="2330" spans="2:9">
      <c r="B2330" s="1297"/>
      <c r="C2330" s="1297"/>
      <c r="D2330" s="1297" t="s">
        <v>1046</v>
      </c>
      <c r="H2330" s="1399">
        <v>22694304</v>
      </c>
      <c r="I2330" s="1399">
        <v>22694304</v>
      </c>
    </row>
    <row r="2331" spans="2:9">
      <c r="B2331" s="1297"/>
      <c r="C2331" s="1297"/>
      <c r="D2331" s="1297" t="s">
        <v>1047</v>
      </c>
      <c r="H2331" s="1399">
        <v>564004</v>
      </c>
      <c r="I2331" s="1399">
        <v>564004</v>
      </c>
    </row>
    <row r="2332" spans="2:9">
      <c r="B2332" s="1297"/>
      <c r="C2332" s="1297"/>
      <c r="D2332" s="1297" t="s">
        <v>1048</v>
      </c>
      <c r="H2332" s="1399">
        <v>-7229289</v>
      </c>
      <c r="I2332" s="1399">
        <v>-7229289</v>
      </c>
    </row>
    <row r="2333" spans="2:9">
      <c r="B2333" s="1297"/>
      <c r="C2333" s="1297"/>
      <c r="D2333" s="1297" t="s">
        <v>955</v>
      </c>
      <c r="H2333" s="1399">
        <v>746730.5</v>
      </c>
      <c r="I2333" s="1399">
        <v>746730.5</v>
      </c>
    </row>
    <row r="2334" spans="2:9">
      <c r="B2334" s="1297"/>
      <c r="C2334" s="1297"/>
      <c r="D2334" s="1297" t="s">
        <v>934</v>
      </c>
      <c r="H2334" s="1399">
        <v>73176</v>
      </c>
      <c r="I2334" s="1399">
        <v>73176</v>
      </c>
    </row>
    <row r="2335" spans="2:9">
      <c r="B2335" s="1297"/>
      <c r="C2335" s="1297"/>
      <c r="D2335" s="1297" t="s">
        <v>935</v>
      </c>
      <c r="H2335" s="1399">
        <v>475523.77</v>
      </c>
      <c r="I2335" s="1399">
        <v>475523.77</v>
      </c>
    </row>
    <row r="2336" spans="2:9">
      <c r="B2336" s="1297"/>
      <c r="C2336" s="1297"/>
      <c r="D2336" s="1297" t="s">
        <v>936</v>
      </c>
      <c r="H2336" s="1399">
        <v>94540.64</v>
      </c>
      <c r="I2336" s="1399">
        <v>94540.64</v>
      </c>
    </row>
    <row r="2337" spans="2:9">
      <c r="B2337" s="1297"/>
      <c r="C2337" s="1297"/>
      <c r="D2337" s="1297" t="s">
        <v>937</v>
      </c>
      <c r="H2337" s="1399">
        <v>27820.9</v>
      </c>
      <c r="I2337" s="1399">
        <v>27820.9</v>
      </c>
    </row>
    <row r="2338" spans="2:9">
      <c r="B2338" s="1297"/>
      <c r="C2338" s="1297"/>
      <c r="D2338" s="1297" t="s">
        <v>938</v>
      </c>
      <c r="H2338" s="1399">
        <v>24518</v>
      </c>
      <c r="I2338" s="1399">
        <v>24518</v>
      </c>
    </row>
    <row r="2339" spans="2:9">
      <c r="B2339" s="1297"/>
      <c r="C2339" s="1297"/>
      <c r="D2339" s="1297" t="s">
        <v>939</v>
      </c>
      <c r="H2339" s="1399">
        <v>20568.79</v>
      </c>
      <c r="I2339" s="1399">
        <v>20568.79</v>
      </c>
    </row>
    <row r="2340" spans="2:9">
      <c r="B2340" s="1297"/>
      <c r="C2340" s="1297"/>
      <c r="D2340" s="1297" t="s">
        <v>940</v>
      </c>
      <c r="E2340" s="1399">
        <v>1247018.08</v>
      </c>
      <c r="I2340" s="1399">
        <v>1247018.08</v>
      </c>
    </row>
    <row r="2341" spans="2:9">
      <c r="B2341" s="1297"/>
      <c r="C2341" s="1297"/>
      <c r="D2341" s="1297" t="s">
        <v>941</v>
      </c>
      <c r="E2341" s="1399">
        <v>395106.94</v>
      </c>
      <c r="I2341" s="1399">
        <v>395106.94</v>
      </c>
    </row>
    <row r="2342" spans="2:9">
      <c r="B2342" s="1297"/>
      <c r="C2342" s="1297"/>
      <c r="D2342" s="1297" t="s">
        <v>943</v>
      </c>
      <c r="E2342" s="1399">
        <v>14572.82</v>
      </c>
      <c r="I2342" s="1399">
        <v>14572.82</v>
      </c>
    </row>
    <row r="2343" spans="2:9">
      <c r="B2343" s="1297"/>
      <c r="C2343" s="1297"/>
      <c r="D2343" s="1297" t="s">
        <v>944</v>
      </c>
      <c r="E2343" s="1399">
        <v>2867298.9700000007</v>
      </c>
      <c r="I2343" s="1399">
        <v>2867298.9700000007</v>
      </c>
    </row>
    <row r="2344" spans="2:9">
      <c r="B2344" s="1297"/>
      <c r="C2344" s="1297"/>
      <c r="D2344" s="1297" t="s">
        <v>945</v>
      </c>
      <c r="E2344" s="1399">
        <v>1144560.25</v>
      </c>
      <c r="I2344" s="1399">
        <v>1144560.25</v>
      </c>
    </row>
    <row r="2345" spans="2:9">
      <c r="B2345" s="1297"/>
      <c r="C2345" s="1297"/>
      <c r="D2345" s="1297" t="s">
        <v>946</v>
      </c>
      <c r="E2345" s="1399">
        <v>368729.07</v>
      </c>
      <c r="I2345" s="1399">
        <v>368729.07</v>
      </c>
    </row>
    <row r="2346" spans="2:9">
      <c r="B2346" s="1297"/>
      <c r="C2346" s="1297"/>
      <c r="D2346" s="1297" t="s">
        <v>947</v>
      </c>
      <c r="E2346" s="1399">
        <v>188019.66</v>
      </c>
      <c r="I2346" s="1399">
        <v>188019.66</v>
      </c>
    </row>
    <row r="2347" spans="2:9">
      <c r="B2347" s="1297"/>
      <c r="C2347" s="1297"/>
      <c r="D2347" s="1297" t="s">
        <v>1116</v>
      </c>
      <c r="G2347" s="1399">
        <v>0</v>
      </c>
      <c r="I2347" s="1399">
        <v>0</v>
      </c>
    </row>
    <row r="2348" spans="2:9">
      <c r="B2348" s="1297"/>
      <c r="C2348" s="1297"/>
      <c r="D2348" s="1297" t="s">
        <v>948</v>
      </c>
      <c r="G2348" s="1399">
        <v>8004477.2400000002</v>
      </c>
      <c r="I2348" s="1399">
        <v>8004477.2400000002</v>
      </c>
    </row>
    <row r="2349" spans="2:9">
      <c r="B2349" s="1297"/>
      <c r="C2349" s="1297"/>
      <c r="D2349" s="1297" t="s">
        <v>956</v>
      </c>
      <c r="G2349" s="1399">
        <v>50</v>
      </c>
      <c r="I2349" s="1399">
        <v>50</v>
      </c>
    </row>
    <row r="2350" spans="2:9">
      <c r="B2350" s="1297"/>
      <c r="C2350" s="1297"/>
      <c r="D2350" s="1297" t="s">
        <v>1118</v>
      </c>
      <c r="G2350" s="1399">
        <v>431818.01999999996</v>
      </c>
      <c r="I2350" s="1399">
        <v>431818.01999999996</v>
      </c>
    </row>
    <row r="2351" spans="2:9">
      <c r="B2351" s="1297"/>
      <c r="C2351" s="1400" t="s">
        <v>1142</v>
      </c>
      <c r="D2351" s="1400"/>
      <c r="E2351" s="1401">
        <v>6225305.790000001</v>
      </c>
      <c r="F2351" s="1401">
        <v>25969410.440000005</v>
      </c>
      <c r="G2351" s="1401">
        <v>8436345.2599999998</v>
      </c>
      <c r="H2351" s="1401">
        <v>17491897.599999998</v>
      </c>
      <c r="I2351" s="1401">
        <v>58122959.090000004</v>
      </c>
    </row>
    <row r="2352" spans="2:9">
      <c r="B2352" s="1297" t="s">
        <v>1143</v>
      </c>
      <c r="C2352" s="1297" t="s">
        <v>1144</v>
      </c>
      <c r="D2352" s="1297" t="s">
        <v>906</v>
      </c>
      <c r="F2352" s="1399">
        <v>969659.37</v>
      </c>
      <c r="I2352" s="1399">
        <v>969659.37</v>
      </c>
    </row>
    <row r="2353" spans="2:9">
      <c r="B2353" s="1297"/>
      <c r="C2353" s="1297"/>
      <c r="D2353" s="1297" t="s">
        <v>1126</v>
      </c>
      <c r="F2353" s="1399">
        <v>196220.57</v>
      </c>
      <c r="I2353" s="1399">
        <v>196220.57</v>
      </c>
    </row>
    <row r="2354" spans="2:9">
      <c r="B2354" s="1297"/>
      <c r="C2354" s="1297"/>
      <c r="D2354" s="1297" t="s">
        <v>952</v>
      </c>
      <c r="F2354" s="1399">
        <v>6887.3</v>
      </c>
      <c r="I2354" s="1399">
        <v>6887.3</v>
      </c>
    </row>
    <row r="2355" spans="2:9">
      <c r="B2355" s="1297"/>
      <c r="C2355" s="1297"/>
      <c r="D2355" s="1297" t="s">
        <v>1145</v>
      </c>
      <c r="F2355" s="1399">
        <v>31837.15</v>
      </c>
      <c r="I2355" s="1399">
        <v>31837.15</v>
      </c>
    </row>
    <row r="2356" spans="2:9">
      <c r="B2356" s="1297"/>
      <c r="C2356" s="1297"/>
      <c r="D2356" s="1297" t="s">
        <v>908</v>
      </c>
      <c r="F2356" s="1399">
        <v>29629.82</v>
      </c>
      <c r="I2356" s="1399">
        <v>29629.82</v>
      </c>
    </row>
    <row r="2357" spans="2:9">
      <c r="B2357" s="1297"/>
      <c r="C2357" s="1297"/>
      <c r="D2357" s="1297" t="s">
        <v>1034</v>
      </c>
      <c r="F2357" s="1399">
        <v>12984.15</v>
      </c>
      <c r="I2357" s="1399">
        <v>12984.15</v>
      </c>
    </row>
    <row r="2358" spans="2:9">
      <c r="B2358" s="1297"/>
      <c r="C2358" s="1297"/>
      <c r="D2358" s="1297" t="s">
        <v>1035</v>
      </c>
      <c r="F2358" s="1399">
        <v>242901.34000000003</v>
      </c>
      <c r="I2358" s="1399">
        <v>242901.34000000003</v>
      </c>
    </row>
    <row r="2359" spans="2:9">
      <c r="B2359" s="1297"/>
      <c r="C2359" s="1297"/>
      <c r="D2359" s="1297" t="s">
        <v>1036</v>
      </c>
      <c r="F2359" s="1399">
        <v>31968.87</v>
      </c>
      <c r="I2359" s="1399">
        <v>31968.87</v>
      </c>
    </row>
    <row r="2360" spans="2:9">
      <c r="B2360" s="1297"/>
      <c r="C2360" s="1297"/>
      <c r="D2360" s="1297" t="s">
        <v>1037</v>
      </c>
      <c r="F2360" s="1399">
        <v>11765.76</v>
      </c>
      <c r="I2360" s="1399">
        <v>11765.76</v>
      </c>
    </row>
    <row r="2361" spans="2:9">
      <c r="B2361" s="1297"/>
      <c r="C2361" s="1297"/>
      <c r="D2361" s="1297" t="s">
        <v>1039</v>
      </c>
      <c r="F2361" s="1399">
        <v>3703.92</v>
      </c>
      <c r="I2361" s="1399">
        <v>3703.92</v>
      </c>
    </row>
    <row r="2362" spans="2:9">
      <c r="B2362" s="1297"/>
      <c r="C2362" s="1297"/>
      <c r="D2362" s="1297" t="s">
        <v>1040</v>
      </c>
      <c r="F2362" s="1399">
        <v>85432.99</v>
      </c>
      <c r="I2362" s="1399">
        <v>85432.99</v>
      </c>
    </row>
    <row r="2363" spans="2:9">
      <c r="B2363" s="1297"/>
      <c r="C2363" s="1297"/>
      <c r="D2363" s="1297" t="s">
        <v>1041</v>
      </c>
      <c r="F2363" s="1399">
        <v>544.78</v>
      </c>
      <c r="I2363" s="1399">
        <v>544.78</v>
      </c>
    </row>
    <row r="2364" spans="2:9">
      <c r="B2364" s="1297"/>
      <c r="C2364" s="1297"/>
      <c r="D2364" s="1297" t="s">
        <v>1042</v>
      </c>
      <c r="F2364" s="1399">
        <v>14983.85</v>
      </c>
      <c r="I2364" s="1399">
        <v>14983.85</v>
      </c>
    </row>
    <row r="2365" spans="2:9">
      <c r="B2365" s="1297"/>
      <c r="C2365" s="1297"/>
      <c r="D2365" s="1297" t="s">
        <v>953</v>
      </c>
      <c r="F2365" s="1399">
        <v>12035.25</v>
      </c>
      <c r="I2365" s="1399">
        <v>12035.25</v>
      </c>
    </row>
    <row r="2366" spans="2:9">
      <c r="B2366" s="1297"/>
      <c r="C2366" s="1297"/>
      <c r="D2366" s="1297" t="s">
        <v>991</v>
      </c>
      <c r="F2366" s="1399">
        <v>9499.33</v>
      </c>
      <c r="I2366" s="1399">
        <v>9499.33</v>
      </c>
    </row>
    <row r="2367" spans="2:9">
      <c r="B2367" s="1297"/>
      <c r="C2367" s="1297"/>
      <c r="D2367" s="1297" t="s">
        <v>1045</v>
      </c>
      <c r="F2367" s="1399">
        <v>4979.96</v>
      </c>
      <c r="I2367" s="1399">
        <v>4979.96</v>
      </c>
    </row>
    <row r="2368" spans="2:9">
      <c r="B2368" s="1297"/>
      <c r="C2368" s="1297"/>
      <c r="D2368" s="1297" t="s">
        <v>1046</v>
      </c>
      <c r="H2368" s="1399">
        <v>2933680</v>
      </c>
      <c r="I2368" s="1399">
        <v>2933680</v>
      </c>
    </row>
    <row r="2369" spans="2:9">
      <c r="B2369" s="1297"/>
      <c r="C2369" s="1297"/>
      <c r="D2369" s="1297" t="s">
        <v>1047</v>
      </c>
      <c r="H2369" s="1399">
        <v>151132</v>
      </c>
      <c r="I2369" s="1399">
        <v>151132</v>
      </c>
    </row>
    <row r="2370" spans="2:9">
      <c r="B2370" s="1297"/>
      <c r="C2370" s="1297"/>
      <c r="D2370" s="1297" t="s">
        <v>1048</v>
      </c>
      <c r="H2370" s="1399">
        <v>-391540</v>
      </c>
      <c r="I2370" s="1399">
        <v>-391540</v>
      </c>
    </row>
    <row r="2371" spans="2:9">
      <c r="B2371" s="1297"/>
      <c r="C2371" s="1297"/>
      <c r="D2371" s="1297" t="s">
        <v>932</v>
      </c>
      <c r="H2371" s="1399">
        <v>180894</v>
      </c>
      <c r="I2371" s="1399">
        <v>180894</v>
      </c>
    </row>
    <row r="2372" spans="2:9">
      <c r="B2372" s="1297"/>
      <c r="C2372" s="1297"/>
      <c r="D2372" s="1297" t="s">
        <v>955</v>
      </c>
      <c r="H2372" s="1399">
        <v>165846.56</v>
      </c>
      <c r="I2372" s="1399">
        <v>165846.56</v>
      </c>
    </row>
    <row r="2373" spans="2:9">
      <c r="B2373" s="1297"/>
      <c r="C2373" s="1297"/>
      <c r="D2373" s="1297" t="s">
        <v>934</v>
      </c>
      <c r="H2373" s="1399">
        <v>10792</v>
      </c>
      <c r="I2373" s="1399">
        <v>10792</v>
      </c>
    </row>
    <row r="2374" spans="2:9">
      <c r="B2374" s="1297"/>
      <c r="C2374" s="1297"/>
      <c r="D2374" s="1297" t="s">
        <v>935</v>
      </c>
      <c r="H2374" s="1399">
        <v>44470</v>
      </c>
      <c r="I2374" s="1399">
        <v>44470</v>
      </c>
    </row>
    <row r="2375" spans="2:9">
      <c r="B2375" s="1297"/>
      <c r="C2375" s="1297"/>
      <c r="D2375" s="1297" t="s">
        <v>936</v>
      </c>
      <c r="H2375" s="1399">
        <v>12605.42</v>
      </c>
      <c r="I2375" s="1399">
        <v>12605.42</v>
      </c>
    </row>
    <row r="2376" spans="2:9">
      <c r="B2376" s="1297"/>
      <c r="C2376" s="1297"/>
      <c r="D2376" s="1297" t="s">
        <v>938</v>
      </c>
      <c r="H2376" s="1399">
        <v>4492</v>
      </c>
      <c r="I2376" s="1399">
        <v>4492</v>
      </c>
    </row>
    <row r="2377" spans="2:9">
      <c r="B2377" s="1297"/>
      <c r="C2377" s="1297"/>
      <c r="D2377" s="1297" t="s">
        <v>939</v>
      </c>
      <c r="H2377" s="1399">
        <v>282159.15999999997</v>
      </c>
      <c r="I2377" s="1399">
        <v>282159.15999999997</v>
      </c>
    </row>
    <row r="2378" spans="2:9">
      <c r="B2378" s="1297"/>
      <c r="C2378" s="1297"/>
      <c r="D2378" s="1297" t="s">
        <v>1131</v>
      </c>
      <c r="E2378" s="1399">
        <v>6616.31</v>
      </c>
      <c r="I2378" s="1399">
        <v>6616.31</v>
      </c>
    </row>
    <row r="2379" spans="2:9">
      <c r="B2379" s="1297"/>
      <c r="C2379" s="1297"/>
      <c r="D2379" s="1297" t="s">
        <v>940</v>
      </c>
      <c r="E2379" s="1399">
        <v>147149.82</v>
      </c>
      <c r="I2379" s="1399">
        <v>147149.82</v>
      </c>
    </row>
    <row r="2380" spans="2:9">
      <c r="B2380" s="1297"/>
      <c r="C2380" s="1297"/>
      <c r="D2380" s="1297" t="s">
        <v>941</v>
      </c>
      <c r="E2380" s="1399">
        <v>36635.72</v>
      </c>
      <c r="I2380" s="1399">
        <v>36635.72</v>
      </c>
    </row>
    <row r="2381" spans="2:9">
      <c r="B2381" s="1297"/>
      <c r="C2381" s="1297"/>
      <c r="D2381" s="1297" t="s">
        <v>942</v>
      </c>
      <c r="E2381" s="1399">
        <v>5840.89</v>
      </c>
      <c r="I2381" s="1399">
        <v>5840.89</v>
      </c>
    </row>
    <row r="2382" spans="2:9">
      <c r="B2382" s="1297"/>
      <c r="C2382" s="1297"/>
      <c r="D2382" s="1297" t="s">
        <v>944</v>
      </c>
      <c r="E2382" s="1399">
        <v>539113.52</v>
      </c>
      <c r="I2382" s="1399">
        <v>539113.52</v>
      </c>
    </row>
    <row r="2383" spans="2:9">
      <c r="B2383" s="1297"/>
      <c r="C2383" s="1297"/>
      <c r="D2383" s="1297" t="s">
        <v>945</v>
      </c>
      <c r="E2383" s="1399">
        <v>189679.11000000002</v>
      </c>
      <c r="I2383" s="1399">
        <v>189679.11000000002</v>
      </c>
    </row>
    <row r="2384" spans="2:9">
      <c r="B2384" s="1297"/>
      <c r="C2384" s="1297"/>
      <c r="D2384" s="1297" t="s">
        <v>978</v>
      </c>
      <c r="E2384" s="1399">
        <v>1200</v>
      </c>
      <c r="I2384" s="1399">
        <v>1200</v>
      </c>
    </row>
    <row r="2385" spans="2:9">
      <c r="B2385" s="1297"/>
      <c r="C2385" s="1297"/>
      <c r="D2385" s="1297" t="s">
        <v>947</v>
      </c>
      <c r="E2385" s="1399">
        <v>28475.09</v>
      </c>
      <c r="I2385" s="1399">
        <v>28475.09</v>
      </c>
    </row>
    <row r="2386" spans="2:9">
      <c r="B2386" s="1297"/>
      <c r="C2386" s="1297"/>
      <c r="D2386" s="1297" t="s">
        <v>1115</v>
      </c>
      <c r="E2386" s="1399">
        <v>42229.31</v>
      </c>
      <c r="I2386" s="1399">
        <v>42229.31</v>
      </c>
    </row>
    <row r="2387" spans="2:9">
      <c r="B2387" s="1297"/>
      <c r="C2387" s="1297"/>
      <c r="D2387" s="1297" t="s">
        <v>1118</v>
      </c>
      <c r="G2387" s="1399">
        <v>71476.83</v>
      </c>
      <c r="I2387" s="1399">
        <v>71476.83</v>
      </c>
    </row>
    <row r="2388" spans="2:9">
      <c r="B2388" s="1297"/>
      <c r="C2388" s="1400" t="s">
        <v>1146</v>
      </c>
      <c r="D2388" s="1400"/>
      <c r="E2388" s="1401">
        <v>996939.77</v>
      </c>
      <c r="F2388" s="1401">
        <v>1665034.4100000001</v>
      </c>
      <c r="G2388" s="1401">
        <v>71476.83</v>
      </c>
      <c r="H2388" s="1401">
        <v>3394531.14</v>
      </c>
      <c r="I2388" s="1401">
        <v>6127982.1499999985</v>
      </c>
    </row>
    <row r="2389" spans="2:9">
      <c r="B2389" s="1297" t="s">
        <v>1147</v>
      </c>
      <c r="C2389" s="1297" t="s">
        <v>1148</v>
      </c>
      <c r="D2389" s="1297" t="s">
        <v>906</v>
      </c>
      <c r="F2389" s="1399">
        <v>71443355.859999999</v>
      </c>
      <c r="I2389" s="1399">
        <v>71443355.859999999</v>
      </c>
    </row>
    <row r="2390" spans="2:9">
      <c r="B2390" s="1297"/>
      <c r="C2390" s="1297"/>
      <c r="D2390" s="1297" t="s">
        <v>907</v>
      </c>
      <c r="F2390" s="1399">
        <v>17585815.039999999</v>
      </c>
      <c r="I2390" s="1399">
        <v>17585815.039999999</v>
      </c>
    </row>
    <row r="2391" spans="2:9">
      <c r="B2391" s="1297"/>
      <c r="C2391" s="1297"/>
      <c r="D2391" s="1297" t="s">
        <v>908</v>
      </c>
      <c r="F2391" s="1399">
        <v>1072556.25</v>
      </c>
      <c r="I2391" s="1399">
        <v>1072556.25</v>
      </c>
    </row>
    <row r="2392" spans="2:9">
      <c r="B2392" s="1297"/>
      <c r="C2392" s="1297"/>
      <c r="D2392" s="1297" t="s">
        <v>1064</v>
      </c>
      <c r="F2392" s="1399">
        <v>13790.58</v>
      </c>
      <c r="I2392" s="1399">
        <v>13790.58</v>
      </c>
    </row>
    <row r="2393" spans="2:9">
      <c r="B2393" s="1297"/>
      <c r="C2393" s="1297"/>
      <c r="D2393" s="1297" t="s">
        <v>1039</v>
      </c>
      <c r="F2393" s="1399">
        <v>407617.81000000006</v>
      </c>
      <c r="I2393" s="1399">
        <v>407617.81000000006</v>
      </c>
    </row>
    <row r="2394" spans="2:9">
      <c r="B2394" s="1297"/>
      <c r="C2394" s="1297"/>
      <c r="D2394" s="1297" t="s">
        <v>1040</v>
      </c>
      <c r="F2394" s="1399">
        <v>792407.63</v>
      </c>
      <c r="I2394" s="1399">
        <v>792407.63</v>
      </c>
    </row>
    <row r="2395" spans="2:9">
      <c r="B2395" s="1297"/>
      <c r="C2395" s="1297"/>
      <c r="D2395" s="1297" t="s">
        <v>1207</v>
      </c>
      <c r="F2395" s="1399">
        <v>17742.75</v>
      </c>
      <c r="I2395" s="1399">
        <v>17742.75</v>
      </c>
    </row>
    <row r="2396" spans="2:9">
      <c r="B2396" s="1297"/>
      <c r="C2396" s="1297"/>
      <c r="D2396" s="1297" t="s">
        <v>1041</v>
      </c>
      <c r="F2396" s="1399">
        <v>313575.8</v>
      </c>
      <c r="I2396" s="1399">
        <v>313575.8</v>
      </c>
    </row>
    <row r="2397" spans="2:9">
      <c r="B2397" s="1297"/>
      <c r="C2397" s="1297"/>
      <c r="D2397" s="1297" t="s">
        <v>1042</v>
      </c>
      <c r="F2397" s="1399">
        <v>135941</v>
      </c>
      <c r="I2397" s="1399">
        <v>135941</v>
      </c>
    </row>
    <row r="2398" spans="2:9">
      <c r="B2398" s="1297"/>
      <c r="C2398" s="1297"/>
      <c r="D2398" s="1297" t="s">
        <v>953</v>
      </c>
      <c r="F2398" s="1399">
        <v>36358.300000000003</v>
      </c>
      <c r="I2398" s="1399">
        <v>36358.300000000003</v>
      </c>
    </row>
    <row r="2399" spans="2:9">
      <c r="B2399" s="1297"/>
      <c r="C2399" s="1297"/>
      <c r="D2399" s="1297" t="s">
        <v>954</v>
      </c>
      <c r="F2399" s="1399">
        <v>303771.02</v>
      </c>
      <c r="I2399" s="1399">
        <v>303771.02</v>
      </c>
    </row>
    <row r="2400" spans="2:9">
      <c r="B2400" s="1297"/>
      <c r="C2400" s="1297"/>
      <c r="D2400" s="1297" t="s">
        <v>986</v>
      </c>
      <c r="F2400" s="1399">
        <v>5398.17</v>
      </c>
      <c r="I2400" s="1399">
        <v>5398.17</v>
      </c>
    </row>
    <row r="2401" spans="2:9">
      <c r="B2401" s="1297"/>
      <c r="C2401" s="1297"/>
      <c r="D2401" s="1297" t="s">
        <v>1203</v>
      </c>
      <c r="F2401" s="1399">
        <v>15352.53</v>
      </c>
      <c r="I2401" s="1399">
        <v>15352.53</v>
      </c>
    </row>
    <row r="2402" spans="2:9">
      <c r="B2402" s="1297"/>
      <c r="C2402" s="1297"/>
      <c r="D2402" s="1297" t="s">
        <v>1044</v>
      </c>
      <c r="F2402" s="1399">
        <v>181393.97</v>
      </c>
      <c r="I2402" s="1399">
        <v>181393.97</v>
      </c>
    </row>
    <row r="2403" spans="2:9">
      <c r="B2403" s="1297"/>
      <c r="C2403" s="1297"/>
      <c r="D2403" s="1297" t="s">
        <v>1045</v>
      </c>
      <c r="F2403" s="1399">
        <v>4167247.1599999997</v>
      </c>
      <c r="I2403" s="1399">
        <v>4167247.1599999997</v>
      </c>
    </row>
    <row r="2404" spans="2:9">
      <c r="B2404" s="1297"/>
      <c r="C2404" s="1297"/>
      <c r="D2404" s="1297" t="s">
        <v>1046</v>
      </c>
      <c r="H2404" s="1399">
        <v>63596669</v>
      </c>
      <c r="I2404" s="1399">
        <v>63596669</v>
      </c>
    </row>
    <row r="2405" spans="2:9">
      <c r="B2405" s="1297"/>
      <c r="C2405" s="1297"/>
      <c r="D2405" s="1297" t="s">
        <v>1128</v>
      </c>
      <c r="H2405" s="1399">
        <v>5277803</v>
      </c>
      <c r="I2405" s="1399">
        <v>5277803</v>
      </c>
    </row>
    <row r="2406" spans="2:9">
      <c r="B2406" s="1297"/>
      <c r="C2406" s="1297"/>
      <c r="D2406" s="1297" t="s">
        <v>1129</v>
      </c>
      <c r="H2406" s="1399">
        <v>-6402694</v>
      </c>
      <c r="I2406" s="1399">
        <v>-6402694</v>
      </c>
    </row>
    <row r="2407" spans="2:9">
      <c r="B2407" s="1297"/>
      <c r="C2407" s="1297"/>
      <c r="D2407" s="1297" t="s">
        <v>1047</v>
      </c>
      <c r="H2407" s="1399">
        <v>1389837</v>
      </c>
      <c r="I2407" s="1399">
        <v>1389837</v>
      </c>
    </row>
    <row r="2408" spans="2:9">
      <c r="B2408" s="1297"/>
      <c r="C2408" s="1297"/>
      <c r="D2408" s="1297" t="s">
        <v>1048</v>
      </c>
      <c r="H2408" s="1399">
        <v>-28293570</v>
      </c>
      <c r="I2408" s="1399">
        <v>-28293570</v>
      </c>
    </row>
    <row r="2409" spans="2:9">
      <c r="B2409" s="1297"/>
      <c r="C2409" s="1297"/>
      <c r="D2409" s="1297" t="s">
        <v>955</v>
      </c>
      <c r="H2409" s="1399">
        <v>2117210.15</v>
      </c>
      <c r="I2409" s="1399">
        <v>2117210.15</v>
      </c>
    </row>
    <row r="2410" spans="2:9">
      <c r="B2410" s="1297"/>
      <c r="C2410" s="1297"/>
      <c r="D2410" s="1297" t="s">
        <v>934</v>
      </c>
      <c r="H2410" s="1399">
        <v>185492</v>
      </c>
      <c r="I2410" s="1399">
        <v>185492</v>
      </c>
    </row>
    <row r="2411" spans="2:9">
      <c r="B2411" s="1297"/>
      <c r="C2411" s="1297"/>
      <c r="D2411" s="1297" t="s">
        <v>1130</v>
      </c>
      <c r="H2411" s="1399">
        <v>1135530</v>
      </c>
      <c r="I2411" s="1399">
        <v>1135530</v>
      </c>
    </row>
    <row r="2412" spans="2:9">
      <c r="B2412" s="1297"/>
      <c r="C2412" s="1297"/>
      <c r="D2412" s="1297" t="s">
        <v>935</v>
      </c>
      <c r="H2412" s="1399">
        <v>-551104.67000000004</v>
      </c>
      <c r="I2412" s="1399">
        <v>-551104.67000000004</v>
      </c>
    </row>
    <row r="2413" spans="2:9">
      <c r="B2413" s="1297"/>
      <c r="C2413" s="1297"/>
      <c r="D2413" s="1297" t="s">
        <v>936</v>
      </c>
      <c r="H2413" s="1399">
        <v>217793.63</v>
      </c>
      <c r="I2413" s="1399">
        <v>217793.63</v>
      </c>
    </row>
    <row r="2414" spans="2:9">
      <c r="B2414" s="1297"/>
      <c r="C2414" s="1297"/>
      <c r="D2414" s="1297" t="s">
        <v>937</v>
      </c>
      <c r="H2414" s="1399">
        <v>13531.72</v>
      </c>
      <c r="I2414" s="1399">
        <v>13531.72</v>
      </c>
    </row>
    <row r="2415" spans="2:9">
      <c r="B2415" s="1297"/>
      <c r="C2415" s="1297"/>
      <c r="D2415" s="1297" t="s">
        <v>938</v>
      </c>
      <c r="H2415" s="1399">
        <v>69249</v>
      </c>
      <c r="I2415" s="1399">
        <v>69249</v>
      </c>
    </row>
    <row r="2416" spans="2:9">
      <c r="B2416" s="1297"/>
      <c r="C2416" s="1297"/>
      <c r="D2416" s="1297" t="s">
        <v>939</v>
      </c>
      <c r="H2416" s="1399">
        <v>50087.6</v>
      </c>
      <c r="I2416" s="1399">
        <v>50087.6</v>
      </c>
    </row>
    <row r="2417" spans="2:9">
      <c r="B2417" s="1297"/>
      <c r="C2417" s="1297"/>
      <c r="D2417" s="1297" t="s">
        <v>940</v>
      </c>
      <c r="E2417" s="1399">
        <v>3332567.58</v>
      </c>
      <c r="I2417" s="1399">
        <v>3332567.58</v>
      </c>
    </row>
    <row r="2418" spans="2:9">
      <c r="B2418" s="1297"/>
      <c r="C2418" s="1297"/>
      <c r="D2418" s="1297" t="s">
        <v>941</v>
      </c>
      <c r="E2418" s="1399">
        <v>1450570.7399999998</v>
      </c>
      <c r="I2418" s="1399">
        <v>1450570.7399999998</v>
      </c>
    </row>
    <row r="2419" spans="2:9">
      <c r="B2419" s="1297"/>
      <c r="C2419" s="1297"/>
      <c r="D2419" s="1297" t="s">
        <v>942</v>
      </c>
      <c r="E2419" s="1399">
        <v>100458.67</v>
      </c>
      <c r="I2419" s="1399">
        <v>100458.67</v>
      </c>
    </row>
    <row r="2420" spans="2:9">
      <c r="B2420" s="1297"/>
      <c r="C2420" s="1297"/>
      <c r="D2420" s="1297" t="s">
        <v>944</v>
      </c>
      <c r="E2420" s="1399">
        <v>11294395.68</v>
      </c>
      <c r="I2420" s="1399">
        <v>11294395.68</v>
      </c>
    </row>
    <row r="2421" spans="2:9">
      <c r="B2421" s="1297"/>
      <c r="C2421" s="1297"/>
      <c r="D2421" s="1297" t="s">
        <v>945</v>
      </c>
      <c r="E2421" s="1399">
        <v>2496689</v>
      </c>
      <c r="I2421" s="1399">
        <v>2496689</v>
      </c>
    </row>
    <row r="2422" spans="2:9">
      <c r="B2422" s="1297"/>
      <c r="C2422" s="1297"/>
      <c r="D2422" s="1297" t="s">
        <v>946</v>
      </c>
      <c r="E2422" s="1399">
        <v>233746.3</v>
      </c>
      <c r="I2422" s="1399">
        <v>233746.3</v>
      </c>
    </row>
    <row r="2423" spans="2:9">
      <c r="B2423" s="1297"/>
      <c r="C2423" s="1297"/>
      <c r="D2423" s="1297" t="s">
        <v>1006</v>
      </c>
      <c r="E2423" s="1399">
        <v>17731.669999999998</v>
      </c>
      <c r="I2423" s="1399">
        <v>17731.669999999998</v>
      </c>
    </row>
    <row r="2424" spans="2:9">
      <c r="B2424" s="1297"/>
      <c r="C2424" s="1297"/>
      <c r="D2424" s="1297" t="s">
        <v>1116</v>
      </c>
      <c r="G2424" s="1399">
        <v>56538149.979999997</v>
      </c>
      <c r="I2424" s="1399">
        <v>56538149.979999997</v>
      </c>
    </row>
    <row r="2425" spans="2:9">
      <c r="B2425" s="1297"/>
      <c r="C2425" s="1297"/>
      <c r="D2425" s="1297" t="s">
        <v>948</v>
      </c>
      <c r="G2425" s="1399">
        <v>15624028.899999999</v>
      </c>
      <c r="I2425" s="1399">
        <v>15624028.899999999</v>
      </c>
    </row>
    <row r="2426" spans="2:9">
      <c r="B2426" s="1297"/>
      <c r="C2426" s="1297"/>
      <c r="D2426" s="1297" t="s">
        <v>956</v>
      </c>
      <c r="G2426" s="1399">
        <v>23200.5</v>
      </c>
      <c r="I2426" s="1399">
        <v>23200.5</v>
      </c>
    </row>
    <row r="2427" spans="2:9">
      <c r="B2427" s="1297"/>
      <c r="C2427" s="1297"/>
      <c r="D2427" s="1297" t="s">
        <v>1118</v>
      </c>
      <c r="G2427" s="1399">
        <v>249756</v>
      </c>
      <c r="I2427" s="1399">
        <v>249756</v>
      </c>
    </row>
    <row r="2428" spans="2:9">
      <c r="B2428" s="1297"/>
      <c r="C2428" s="1400" t="s">
        <v>1149</v>
      </c>
      <c r="D2428" s="1400"/>
      <c r="E2428" s="1401">
        <v>18926159.640000004</v>
      </c>
      <c r="F2428" s="1401">
        <v>96492323.86999999</v>
      </c>
      <c r="G2428" s="1401">
        <v>72435135.379999995</v>
      </c>
      <c r="H2428" s="1401">
        <v>38805834.43</v>
      </c>
      <c r="I2428" s="1401">
        <v>226659453.32000002</v>
      </c>
    </row>
    <row r="2429" spans="2:9">
      <c r="B2429" s="1297" t="s">
        <v>1150</v>
      </c>
      <c r="C2429" s="1297" t="s">
        <v>1151</v>
      </c>
      <c r="D2429" s="1297" t="s">
        <v>906</v>
      </c>
      <c r="F2429" s="1399">
        <v>14448871.33</v>
      </c>
      <c r="I2429" s="1399">
        <v>14448871.33</v>
      </c>
    </row>
    <row r="2430" spans="2:9">
      <c r="B2430" s="1297"/>
      <c r="C2430" s="1297"/>
      <c r="D2430" s="1297" t="s">
        <v>952</v>
      </c>
      <c r="F2430" s="1399">
        <v>276006.40000000002</v>
      </c>
      <c r="I2430" s="1399">
        <v>276006.40000000002</v>
      </c>
    </row>
    <row r="2431" spans="2:9">
      <c r="B2431" s="1297"/>
      <c r="C2431" s="1297"/>
      <c r="D2431" s="1297" t="s">
        <v>907</v>
      </c>
      <c r="F2431" s="1399">
        <v>5148650.37</v>
      </c>
      <c r="I2431" s="1399">
        <v>5148650.37</v>
      </c>
    </row>
    <row r="2432" spans="2:9">
      <c r="B2432" s="1297"/>
      <c r="C2432" s="1297"/>
      <c r="D2432" s="1297" t="s">
        <v>908</v>
      </c>
      <c r="F2432" s="1399">
        <v>496916.45</v>
      </c>
      <c r="I2432" s="1399">
        <v>496916.45</v>
      </c>
    </row>
    <row r="2433" spans="2:9">
      <c r="B2433" s="1297"/>
      <c r="C2433" s="1297"/>
      <c r="D2433" s="1297" t="s">
        <v>909</v>
      </c>
      <c r="F2433" s="1399">
        <v>19580.150000000001</v>
      </c>
      <c r="I2433" s="1399">
        <v>19580.150000000001</v>
      </c>
    </row>
    <row r="2434" spans="2:9">
      <c r="B2434" s="1297"/>
      <c r="C2434" s="1297"/>
      <c r="D2434" s="1297" t="s">
        <v>910</v>
      </c>
      <c r="F2434" s="1399">
        <v>38867.299999999996</v>
      </c>
      <c r="I2434" s="1399">
        <v>38867.299999999996</v>
      </c>
    </row>
    <row r="2435" spans="2:9">
      <c r="B2435" s="1297"/>
      <c r="C2435" s="1297"/>
      <c r="D2435" s="1297" t="s">
        <v>1034</v>
      </c>
      <c r="F2435" s="1399">
        <v>142843.64000000001</v>
      </c>
      <c r="I2435" s="1399">
        <v>142843.64000000001</v>
      </c>
    </row>
    <row r="2436" spans="2:9">
      <c r="B2436" s="1297"/>
      <c r="C2436" s="1297"/>
      <c r="D2436" s="1297" t="s">
        <v>1035</v>
      </c>
      <c r="F2436" s="1399">
        <v>457653.44</v>
      </c>
      <c r="I2436" s="1399">
        <v>457653.44</v>
      </c>
    </row>
    <row r="2437" spans="2:9">
      <c r="B2437" s="1297"/>
      <c r="C2437" s="1297"/>
      <c r="D2437" s="1297" t="s">
        <v>1036</v>
      </c>
      <c r="F2437" s="1399">
        <v>178650.95</v>
      </c>
      <c r="I2437" s="1399">
        <v>178650.95</v>
      </c>
    </row>
    <row r="2438" spans="2:9">
      <c r="B2438" s="1297"/>
      <c r="C2438" s="1297"/>
      <c r="D2438" s="1297" t="s">
        <v>1038</v>
      </c>
      <c r="F2438" s="1399">
        <v>7565</v>
      </c>
      <c r="I2438" s="1399">
        <v>7565</v>
      </c>
    </row>
    <row r="2439" spans="2:9">
      <c r="B2439" s="1297"/>
      <c r="C2439" s="1297"/>
      <c r="D2439" s="1297" t="s">
        <v>1039</v>
      </c>
      <c r="F2439" s="1399">
        <v>28881.249999999993</v>
      </c>
      <c r="I2439" s="1399">
        <v>28881.249999999993</v>
      </c>
    </row>
    <row r="2440" spans="2:9">
      <c r="B2440" s="1297"/>
      <c r="C2440" s="1297"/>
      <c r="D2440" s="1297" t="s">
        <v>1040</v>
      </c>
      <c r="F2440" s="1399">
        <v>702617.84</v>
      </c>
      <c r="I2440" s="1399">
        <v>702617.84</v>
      </c>
    </row>
    <row r="2441" spans="2:9">
      <c r="B2441" s="1297"/>
      <c r="C2441" s="1297"/>
      <c r="D2441" s="1297" t="s">
        <v>1041</v>
      </c>
      <c r="F2441" s="1399">
        <v>251239.84999999998</v>
      </c>
      <c r="I2441" s="1399">
        <v>251239.84999999998</v>
      </c>
    </row>
    <row r="2442" spans="2:9">
      <c r="B2442" s="1297"/>
      <c r="C2442" s="1297"/>
      <c r="D2442" s="1297" t="s">
        <v>1042</v>
      </c>
      <c r="F2442" s="1399">
        <v>101307.74</v>
      </c>
      <c r="I2442" s="1399">
        <v>101307.74</v>
      </c>
    </row>
    <row r="2443" spans="2:9">
      <c r="B2443" s="1297"/>
      <c r="C2443" s="1297"/>
      <c r="D2443" s="1297" t="s">
        <v>954</v>
      </c>
      <c r="F2443" s="1399">
        <v>557478.99999999988</v>
      </c>
      <c r="I2443" s="1399">
        <v>557478.99999999988</v>
      </c>
    </row>
    <row r="2444" spans="2:9">
      <c r="B2444" s="1297"/>
      <c r="C2444" s="1297"/>
      <c r="D2444" s="1297" t="s">
        <v>985</v>
      </c>
      <c r="F2444" s="1399">
        <v>308132.64</v>
      </c>
      <c r="I2444" s="1399">
        <v>308132.64</v>
      </c>
    </row>
    <row r="2445" spans="2:9">
      <c r="B2445" s="1297"/>
      <c r="C2445" s="1297"/>
      <c r="D2445" s="1297" t="s">
        <v>1043</v>
      </c>
      <c r="F2445" s="1399">
        <v>10066.67</v>
      </c>
      <c r="I2445" s="1399">
        <v>10066.67</v>
      </c>
    </row>
    <row r="2446" spans="2:9">
      <c r="B2446" s="1297"/>
      <c r="C2446" s="1297"/>
      <c r="D2446" s="1297" t="s">
        <v>1203</v>
      </c>
      <c r="F2446" s="1399">
        <v>30000</v>
      </c>
      <c r="I2446" s="1399">
        <v>30000</v>
      </c>
    </row>
    <row r="2447" spans="2:9">
      <c r="B2447" s="1297"/>
      <c r="C2447" s="1297"/>
      <c r="D2447" s="1297" t="s">
        <v>991</v>
      </c>
      <c r="F2447" s="1399">
        <v>12563.31</v>
      </c>
      <c r="I2447" s="1399">
        <v>12563.31</v>
      </c>
    </row>
    <row r="2448" spans="2:9">
      <c r="B2448" s="1297"/>
      <c r="C2448" s="1297"/>
      <c r="D2448" s="1297" t="s">
        <v>1045</v>
      </c>
      <c r="F2448" s="1399">
        <v>1076498.5100000002</v>
      </c>
      <c r="I2448" s="1399">
        <v>1076498.5100000002</v>
      </c>
    </row>
    <row r="2449" spans="2:9">
      <c r="B2449" s="1297"/>
      <c r="C2449" s="1297"/>
      <c r="D2449" s="1297" t="s">
        <v>1046</v>
      </c>
      <c r="H2449" s="1399">
        <v>34205691</v>
      </c>
      <c r="I2449" s="1399">
        <v>34205691</v>
      </c>
    </row>
    <row r="2450" spans="2:9">
      <c r="B2450" s="1297"/>
      <c r="C2450" s="1297"/>
      <c r="D2450" s="1297" t="s">
        <v>1128</v>
      </c>
      <c r="H2450" s="1399">
        <v>2832071</v>
      </c>
      <c r="I2450" s="1399">
        <v>2832071</v>
      </c>
    </row>
    <row r="2451" spans="2:9">
      <c r="B2451" s="1297"/>
      <c r="C2451" s="1297"/>
      <c r="D2451" s="1297" t="s">
        <v>1129</v>
      </c>
      <c r="H2451" s="1399">
        <v>-4748788</v>
      </c>
      <c r="I2451" s="1399">
        <v>-4748788</v>
      </c>
    </row>
    <row r="2452" spans="2:9">
      <c r="B2452" s="1297"/>
      <c r="C2452" s="1297"/>
      <c r="D2452" s="1297" t="s">
        <v>1047</v>
      </c>
      <c r="H2452" s="1399">
        <v>1142819</v>
      </c>
      <c r="I2452" s="1399">
        <v>1142819</v>
      </c>
    </row>
    <row r="2453" spans="2:9">
      <c r="B2453" s="1297"/>
      <c r="C2453" s="1297"/>
      <c r="D2453" s="1297" t="s">
        <v>1048</v>
      </c>
      <c r="H2453" s="1399">
        <v>-4428808</v>
      </c>
      <c r="I2453" s="1399">
        <v>-4428808</v>
      </c>
    </row>
    <row r="2454" spans="2:9">
      <c r="B2454" s="1297"/>
      <c r="C2454" s="1297"/>
      <c r="D2454" s="1297" t="s">
        <v>932</v>
      </c>
      <c r="H2454" s="1399">
        <v>3818490</v>
      </c>
      <c r="I2454" s="1399">
        <v>3818490</v>
      </c>
    </row>
    <row r="2455" spans="2:9">
      <c r="B2455" s="1297"/>
      <c r="C2455" s="1297"/>
      <c r="D2455" s="1297" t="s">
        <v>955</v>
      </c>
      <c r="H2455" s="1399">
        <v>1812187.51</v>
      </c>
      <c r="I2455" s="1399">
        <v>1812187.51</v>
      </c>
    </row>
    <row r="2456" spans="2:9">
      <c r="B2456" s="1297"/>
      <c r="C2456" s="1297"/>
      <c r="D2456" s="1297" t="s">
        <v>934</v>
      </c>
      <c r="H2456" s="1399">
        <v>114192</v>
      </c>
      <c r="I2456" s="1399">
        <v>114192</v>
      </c>
    </row>
    <row r="2457" spans="2:9">
      <c r="B2457" s="1297"/>
      <c r="C2457" s="1297"/>
      <c r="D2457" s="1297" t="s">
        <v>935</v>
      </c>
      <c r="H2457" s="1399">
        <v>684789.88</v>
      </c>
      <c r="I2457" s="1399">
        <v>684789.88</v>
      </c>
    </row>
    <row r="2458" spans="2:9">
      <c r="B2458" s="1297"/>
      <c r="C2458" s="1297"/>
      <c r="D2458" s="1297" t="s">
        <v>936</v>
      </c>
      <c r="H2458" s="1399">
        <v>103294.41</v>
      </c>
      <c r="I2458" s="1399">
        <v>103294.41</v>
      </c>
    </row>
    <row r="2459" spans="2:9">
      <c r="B2459" s="1297"/>
      <c r="C2459" s="1297"/>
      <c r="D2459" s="1297" t="s">
        <v>937</v>
      </c>
      <c r="H2459" s="1399">
        <v>31035.32</v>
      </c>
      <c r="I2459" s="1399">
        <v>31035.32</v>
      </c>
    </row>
    <row r="2460" spans="2:9">
      <c r="B2460" s="1297"/>
      <c r="C2460" s="1297"/>
      <c r="D2460" s="1297" t="s">
        <v>938</v>
      </c>
      <c r="H2460" s="1399">
        <v>26015</v>
      </c>
      <c r="I2460" s="1399">
        <v>26015</v>
      </c>
    </row>
    <row r="2461" spans="2:9">
      <c r="B2461" s="1297"/>
      <c r="C2461" s="1297"/>
      <c r="D2461" s="1297" t="s">
        <v>939</v>
      </c>
      <c r="H2461" s="1399">
        <v>84477.17</v>
      </c>
      <c r="I2461" s="1399">
        <v>84477.17</v>
      </c>
    </row>
    <row r="2462" spans="2:9">
      <c r="B2462" s="1297"/>
      <c r="C2462" s="1297"/>
      <c r="D2462" s="1297" t="s">
        <v>1131</v>
      </c>
      <c r="E2462" s="1399">
        <v>46946.26</v>
      </c>
      <c r="I2462" s="1399">
        <v>46946.26</v>
      </c>
    </row>
    <row r="2463" spans="2:9">
      <c r="B2463" s="1297"/>
      <c r="C2463" s="1297"/>
      <c r="D2463" s="1297" t="s">
        <v>940</v>
      </c>
      <c r="E2463" s="1399">
        <v>1811573.5000000002</v>
      </c>
      <c r="I2463" s="1399">
        <v>1811573.5000000002</v>
      </c>
    </row>
    <row r="2464" spans="2:9">
      <c r="B2464" s="1297"/>
      <c r="C2464" s="1297"/>
      <c r="D2464" s="1297" t="s">
        <v>941</v>
      </c>
      <c r="E2464" s="1399">
        <v>656905.46</v>
      </c>
      <c r="I2464" s="1399">
        <v>656905.46</v>
      </c>
    </row>
    <row r="2465" spans="2:9">
      <c r="B2465" s="1297"/>
      <c r="C2465" s="1297"/>
      <c r="D2465" s="1297" t="s">
        <v>943</v>
      </c>
      <c r="E2465" s="1399">
        <v>56596.68</v>
      </c>
      <c r="I2465" s="1399">
        <v>56596.68</v>
      </c>
    </row>
    <row r="2466" spans="2:9">
      <c r="B2466" s="1297"/>
      <c r="C2466" s="1297"/>
      <c r="D2466" s="1297" t="s">
        <v>944</v>
      </c>
      <c r="E2466" s="1399">
        <v>3750673.66</v>
      </c>
      <c r="I2466" s="1399">
        <v>3750673.66</v>
      </c>
    </row>
    <row r="2467" spans="2:9">
      <c r="B2467" s="1297"/>
      <c r="C2467" s="1297"/>
      <c r="D2467" s="1297" t="s">
        <v>945</v>
      </c>
      <c r="E2467" s="1399">
        <v>1777482.05</v>
      </c>
      <c r="I2467" s="1399">
        <v>1777482.05</v>
      </c>
    </row>
    <row r="2468" spans="2:9">
      <c r="B2468" s="1297"/>
      <c r="C2468" s="1297"/>
      <c r="D2468" s="1297" t="s">
        <v>1214</v>
      </c>
      <c r="E2468" s="1399">
        <v>8439.07</v>
      </c>
      <c r="I2468" s="1399">
        <v>8439.07</v>
      </c>
    </row>
    <row r="2469" spans="2:9">
      <c r="B2469" s="1297"/>
      <c r="C2469" s="1297"/>
      <c r="D2469" s="1297" t="s">
        <v>947</v>
      </c>
      <c r="E2469" s="1399">
        <v>131182.97</v>
      </c>
      <c r="I2469" s="1399">
        <v>131182.97</v>
      </c>
    </row>
    <row r="2470" spans="2:9">
      <c r="B2470" s="1297"/>
      <c r="C2470" s="1297"/>
      <c r="D2470" s="1297" t="s">
        <v>948</v>
      </c>
      <c r="G2470" s="1399">
        <v>12160975.23</v>
      </c>
      <c r="I2470" s="1399">
        <v>12160975.23</v>
      </c>
    </row>
    <row r="2471" spans="2:9">
      <c r="B2471" s="1297"/>
      <c r="C2471" s="1297"/>
      <c r="D2471" s="1297" t="s">
        <v>956</v>
      </c>
      <c r="G2471" s="1399">
        <v>172867.26</v>
      </c>
      <c r="I2471" s="1399">
        <v>172867.26</v>
      </c>
    </row>
    <row r="2472" spans="2:9">
      <c r="B2472" s="1297"/>
      <c r="C2472" s="1400" t="s">
        <v>1152</v>
      </c>
      <c r="D2472" s="1400"/>
      <c r="E2472" s="1401">
        <v>8239799.6500000004</v>
      </c>
      <c r="F2472" s="1401">
        <v>24294391.840000004</v>
      </c>
      <c r="G2472" s="1401">
        <v>12333842.49</v>
      </c>
      <c r="H2472" s="1401">
        <v>35677466.289999999</v>
      </c>
      <c r="I2472" s="1401">
        <v>80545500.269999996</v>
      </c>
    </row>
    <row r="2473" spans="2:9">
      <c r="B2473" s="1297" t="s">
        <v>1153</v>
      </c>
      <c r="C2473" s="1297" t="s">
        <v>1154</v>
      </c>
      <c r="D2473" s="1297" t="s">
        <v>906</v>
      </c>
      <c r="F2473" s="1399">
        <v>7531688.2699999996</v>
      </c>
      <c r="I2473" s="1399">
        <v>7531688.2699999996</v>
      </c>
    </row>
    <row r="2474" spans="2:9">
      <c r="B2474" s="1297"/>
      <c r="C2474" s="1297"/>
      <c r="D2474" s="1297" t="s">
        <v>907</v>
      </c>
      <c r="F2474" s="1399">
        <v>2659638.12</v>
      </c>
      <c r="I2474" s="1399">
        <v>2659638.12</v>
      </c>
    </row>
    <row r="2475" spans="2:9">
      <c r="B2475" s="1297"/>
      <c r="C2475" s="1297"/>
      <c r="D2475" s="1297" t="s">
        <v>908</v>
      </c>
      <c r="F2475" s="1399">
        <v>91895.73</v>
      </c>
      <c r="I2475" s="1399">
        <v>91895.73</v>
      </c>
    </row>
    <row r="2476" spans="2:9">
      <c r="B2476" s="1297"/>
      <c r="C2476" s="1297"/>
      <c r="D2476" s="1297" t="s">
        <v>909</v>
      </c>
      <c r="F2476" s="1399">
        <v>68139.7</v>
      </c>
      <c r="I2476" s="1399">
        <v>68139.7</v>
      </c>
    </row>
    <row r="2477" spans="2:9">
      <c r="B2477" s="1297"/>
      <c r="C2477" s="1297"/>
      <c r="D2477" s="1297" t="s">
        <v>910</v>
      </c>
      <c r="F2477" s="1399">
        <v>294263.69</v>
      </c>
      <c r="I2477" s="1399">
        <v>294263.69</v>
      </c>
    </row>
    <row r="2478" spans="2:9">
      <c r="B2478" s="1297"/>
      <c r="C2478" s="1297"/>
      <c r="D2478" s="1297" t="s">
        <v>1034</v>
      </c>
      <c r="F2478" s="1399">
        <v>79582.31</v>
      </c>
      <c r="I2478" s="1399">
        <v>79582.31</v>
      </c>
    </row>
    <row r="2479" spans="2:9">
      <c r="B2479" s="1297"/>
      <c r="C2479" s="1297"/>
      <c r="D2479" s="1297" t="s">
        <v>1035</v>
      </c>
      <c r="F2479" s="1399">
        <v>412898.2</v>
      </c>
      <c r="I2479" s="1399">
        <v>412898.2</v>
      </c>
    </row>
    <row r="2480" spans="2:9">
      <c r="B2480" s="1297"/>
      <c r="C2480" s="1297"/>
      <c r="D2480" s="1297" t="s">
        <v>1036</v>
      </c>
      <c r="F2480" s="1399">
        <v>215880.68</v>
      </c>
      <c r="I2480" s="1399">
        <v>215880.68</v>
      </c>
    </row>
    <row r="2481" spans="2:9">
      <c r="B2481" s="1297"/>
      <c r="C2481" s="1297"/>
      <c r="D2481" s="1297" t="s">
        <v>1037</v>
      </c>
      <c r="F2481" s="1399">
        <v>9390</v>
      </c>
      <c r="I2481" s="1399">
        <v>9390</v>
      </c>
    </row>
    <row r="2482" spans="2:9">
      <c r="B2482" s="1297"/>
      <c r="C2482" s="1297"/>
      <c r="D2482" s="1297" t="s">
        <v>1039</v>
      </c>
      <c r="F2482" s="1399">
        <v>13062.32</v>
      </c>
      <c r="I2482" s="1399">
        <v>13062.32</v>
      </c>
    </row>
    <row r="2483" spans="2:9">
      <c r="B2483" s="1297"/>
      <c r="C2483" s="1297"/>
      <c r="D2483" s="1297" t="s">
        <v>1040</v>
      </c>
      <c r="F2483" s="1399">
        <v>174414.55</v>
      </c>
      <c r="I2483" s="1399">
        <v>174414.55</v>
      </c>
    </row>
    <row r="2484" spans="2:9">
      <c r="B2484" s="1297"/>
      <c r="C2484" s="1297"/>
      <c r="D2484" s="1297" t="s">
        <v>1041</v>
      </c>
      <c r="F2484" s="1399">
        <v>19509.8</v>
      </c>
      <c r="I2484" s="1399">
        <v>19509.8</v>
      </c>
    </row>
    <row r="2485" spans="2:9">
      <c r="B2485" s="1297"/>
      <c r="C2485" s="1297"/>
      <c r="D2485" s="1297" t="s">
        <v>1042</v>
      </c>
      <c r="F2485" s="1399">
        <v>50834</v>
      </c>
      <c r="I2485" s="1399">
        <v>50834</v>
      </c>
    </row>
    <row r="2486" spans="2:9">
      <c r="B2486" s="1297"/>
      <c r="C2486" s="1297"/>
      <c r="D2486" s="1297" t="s">
        <v>985</v>
      </c>
      <c r="F2486" s="1399">
        <v>91339.75</v>
      </c>
      <c r="I2486" s="1399">
        <v>91339.75</v>
      </c>
    </row>
    <row r="2487" spans="2:9">
      <c r="B2487" s="1297"/>
      <c r="C2487" s="1297"/>
      <c r="D2487" s="1297" t="s">
        <v>986</v>
      </c>
      <c r="F2487" s="1399">
        <v>86500</v>
      </c>
      <c r="I2487" s="1399">
        <v>86500</v>
      </c>
    </row>
    <row r="2488" spans="2:9">
      <c r="B2488" s="1297"/>
      <c r="C2488" s="1297"/>
      <c r="D2488" s="1297" t="s">
        <v>1044</v>
      </c>
      <c r="F2488" s="1399">
        <v>24753</v>
      </c>
      <c r="I2488" s="1399">
        <v>24753</v>
      </c>
    </row>
    <row r="2489" spans="2:9">
      <c r="B2489" s="1297"/>
      <c r="C2489" s="1297"/>
      <c r="D2489" s="1297" t="s">
        <v>1045</v>
      </c>
      <c r="F2489" s="1399">
        <v>153049.31999999998</v>
      </c>
      <c r="I2489" s="1399">
        <v>153049.31999999998</v>
      </c>
    </row>
    <row r="2490" spans="2:9">
      <c r="B2490" s="1297"/>
      <c r="C2490" s="1297"/>
      <c r="D2490" s="1297" t="s">
        <v>1046</v>
      </c>
      <c r="H2490" s="1399">
        <v>22824923</v>
      </c>
      <c r="I2490" s="1399">
        <v>22824923</v>
      </c>
    </row>
    <row r="2491" spans="2:9">
      <c r="B2491" s="1297"/>
      <c r="C2491" s="1297"/>
      <c r="D2491" s="1297" t="s">
        <v>1128</v>
      </c>
      <c r="H2491" s="1399">
        <v>1833449</v>
      </c>
      <c r="I2491" s="1399">
        <v>1833449</v>
      </c>
    </row>
    <row r="2492" spans="2:9">
      <c r="B2492" s="1297"/>
      <c r="C2492" s="1297"/>
      <c r="D2492" s="1297" t="s">
        <v>1129</v>
      </c>
      <c r="H2492" s="1399">
        <v>-3230025</v>
      </c>
      <c r="I2492" s="1399">
        <v>-3230025</v>
      </c>
    </row>
    <row r="2493" spans="2:9">
      <c r="B2493" s="1297"/>
      <c r="C2493" s="1297"/>
      <c r="D2493" s="1297" t="s">
        <v>1047</v>
      </c>
      <c r="H2493" s="1399">
        <v>641686</v>
      </c>
      <c r="I2493" s="1399">
        <v>641686</v>
      </c>
    </row>
    <row r="2494" spans="2:9">
      <c r="B2494" s="1297"/>
      <c r="C2494" s="1297"/>
      <c r="D2494" s="1297" t="s">
        <v>1048</v>
      </c>
      <c r="H2494" s="1399">
        <v>-2615676</v>
      </c>
      <c r="I2494" s="1399">
        <v>-2615676</v>
      </c>
    </row>
    <row r="2495" spans="2:9">
      <c r="B2495" s="1297"/>
      <c r="C2495" s="1297"/>
      <c r="D2495" s="1297" t="s">
        <v>932</v>
      </c>
      <c r="H2495" s="1399">
        <v>2051522</v>
      </c>
      <c r="I2495" s="1399">
        <v>2051522</v>
      </c>
    </row>
    <row r="2496" spans="2:9">
      <c r="B2496" s="1297"/>
      <c r="C2496" s="1297"/>
      <c r="D2496" s="1297" t="s">
        <v>955</v>
      </c>
      <c r="H2496" s="1399">
        <v>1044359.87</v>
      </c>
      <c r="I2496" s="1399">
        <v>1044359.87</v>
      </c>
    </row>
    <row r="2497" spans="2:9">
      <c r="B2497" s="1297"/>
      <c r="C2497" s="1297"/>
      <c r="D2497" s="1297" t="s">
        <v>934</v>
      </c>
      <c r="H2497" s="1399">
        <v>66950</v>
      </c>
      <c r="I2497" s="1399">
        <v>66950</v>
      </c>
    </row>
    <row r="2498" spans="2:9">
      <c r="B2498" s="1297"/>
      <c r="C2498" s="1297"/>
      <c r="D2498" s="1297" t="s">
        <v>935</v>
      </c>
      <c r="H2498" s="1399">
        <v>99349.03</v>
      </c>
      <c r="I2498" s="1399">
        <v>99349.03</v>
      </c>
    </row>
    <row r="2499" spans="2:9">
      <c r="B2499" s="1297"/>
      <c r="C2499" s="1297"/>
      <c r="D2499" s="1297" t="s">
        <v>936</v>
      </c>
      <c r="H2499" s="1399">
        <v>74932.210000000006</v>
      </c>
      <c r="I2499" s="1399">
        <v>74932.210000000006</v>
      </c>
    </row>
    <row r="2500" spans="2:9">
      <c r="B2500" s="1297"/>
      <c r="C2500" s="1297"/>
      <c r="D2500" s="1297" t="s">
        <v>938</v>
      </c>
      <c r="H2500" s="1399">
        <v>23395</v>
      </c>
      <c r="I2500" s="1399">
        <v>23395</v>
      </c>
    </row>
    <row r="2501" spans="2:9">
      <c r="B2501" s="1297"/>
      <c r="C2501" s="1297"/>
      <c r="D2501" s="1297" t="s">
        <v>940</v>
      </c>
      <c r="E2501" s="1399">
        <v>1333517.8999999999</v>
      </c>
      <c r="I2501" s="1399">
        <v>1333517.8999999999</v>
      </c>
    </row>
    <row r="2502" spans="2:9">
      <c r="B2502" s="1297"/>
      <c r="C2502" s="1297"/>
      <c r="D2502" s="1297" t="s">
        <v>941</v>
      </c>
      <c r="E2502" s="1399">
        <v>576495.1</v>
      </c>
      <c r="I2502" s="1399">
        <v>576495.1</v>
      </c>
    </row>
    <row r="2503" spans="2:9">
      <c r="B2503" s="1297"/>
      <c r="C2503" s="1297"/>
      <c r="D2503" s="1297" t="s">
        <v>943</v>
      </c>
      <c r="E2503" s="1399">
        <v>3850.22</v>
      </c>
      <c r="I2503" s="1399">
        <v>3850.22</v>
      </c>
    </row>
    <row r="2504" spans="2:9">
      <c r="B2504" s="1297"/>
      <c r="C2504" s="1297"/>
      <c r="D2504" s="1297" t="s">
        <v>944</v>
      </c>
      <c r="E2504" s="1399">
        <v>3518205.33</v>
      </c>
      <c r="I2504" s="1399">
        <v>3518205.33</v>
      </c>
    </row>
    <row r="2505" spans="2:9">
      <c r="B2505" s="1297"/>
      <c r="C2505" s="1297"/>
      <c r="D2505" s="1297" t="s">
        <v>945</v>
      </c>
      <c r="E2505" s="1399">
        <v>1917365.52</v>
      </c>
      <c r="I2505" s="1399">
        <v>1917365.52</v>
      </c>
    </row>
    <row r="2506" spans="2:9">
      <c r="B2506" s="1297"/>
      <c r="C2506" s="1297"/>
      <c r="D2506" s="1297" t="s">
        <v>946</v>
      </c>
      <c r="E2506" s="1399">
        <v>194911.71000000002</v>
      </c>
      <c r="I2506" s="1399">
        <v>194911.71000000002</v>
      </c>
    </row>
    <row r="2507" spans="2:9">
      <c r="B2507" s="1297"/>
      <c r="C2507" s="1297"/>
      <c r="D2507" s="1297" t="s">
        <v>947</v>
      </c>
      <c r="E2507" s="1399">
        <v>160321.59</v>
      </c>
      <c r="I2507" s="1399">
        <v>160321.59</v>
      </c>
    </row>
    <row r="2508" spans="2:9">
      <c r="B2508" s="1297"/>
      <c r="C2508" s="1297"/>
      <c r="D2508" s="1297" t="s">
        <v>948</v>
      </c>
      <c r="G2508" s="1399">
        <v>315395.37</v>
      </c>
      <c r="I2508" s="1399">
        <v>315395.37</v>
      </c>
    </row>
    <row r="2509" spans="2:9">
      <c r="B2509" s="1297"/>
      <c r="C2509" s="1297"/>
      <c r="D2509" s="1297" t="s">
        <v>956</v>
      </c>
      <c r="G2509" s="1399">
        <v>679.1</v>
      </c>
      <c r="I2509" s="1399">
        <v>679.1</v>
      </c>
    </row>
    <row r="2510" spans="2:9">
      <c r="B2510" s="1297"/>
      <c r="C2510" s="1400" t="s">
        <v>1155</v>
      </c>
      <c r="D2510" s="1400"/>
      <c r="E2510" s="1401">
        <v>7704667.3700000001</v>
      </c>
      <c r="F2510" s="1401">
        <v>11976839.440000001</v>
      </c>
      <c r="G2510" s="1401">
        <v>316074.46999999997</v>
      </c>
      <c r="H2510" s="1401">
        <v>22814865.110000003</v>
      </c>
      <c r="I2510" s="1401">
        <v>42812446.390000001</v>
      </c>
    </row>
    <row r="2511" spans="2:9">
      <c r="B2511" s="1297" t="s">
        <v>1156</v>
      </c>
      <c r="C2511" s="1297" t="s">
        <v>1157</v>
      </c>
      <c r="D2511" s="1297" t="s">
        <v>906</v>
      </c>
      <c r="F2511" s="1399">
        <v>17693729.260000002</v>
      </c>
      <c r="I2511" s="1399">
        <v>17693729.260000002</v>
      </c>
    </row>
    <row r="2512" spans="2:9">
      <c r="B2512" s="1297"/>
      <c r="C2512" s="1297"/>
      <c r="D2512" s="1297" t="s">
        <v>907</v>
      </c>
      <c r="F2512" s="1399">
        <v>2978428.74</v>
      </c>
      <c r="I2512" s="1399">
        <v>2978428.74</v>
      </c>
    </row>
    <row r="2513" spans="2:9">
      <c r="B2513" s="1297"/>
      <c r="C2513" s="1297"/>
      <c r="D2513" s="1297" t="s">
        <v>908</v>
      </c>
      <c r="F2513" s="1399">
        <v>121537.36</v>
      </c>
      <c r="I2513" s="1399">
        <v>121537.36</v>
      </c>
    </row>
    <row r="2514" spans="2:9">
      <c r="B2514" s="1297"/>
      <c r="C2514" s="1297"/>
      <c r="D2514" s="1297" t="s">
        <v>909</v>
      </c>
      <c r="F2514" s="1399">
        <v>12622.52</v>
      </c>
      <c r="I2514" s="1399">
        <v>12622.52</v>
      </c>
    </row>
    <row r="2515" spans="2:9">
      <c r="B2515" s="1297"/>
      <c r="C2515" s="1297"/>
      <c r="D2515" s="1297" t="s">
        <v>910</v>
      </c>
      <c r="F2515" s="1399">
        <v>2067.9</v>
      </c>
      <c r="I2515" s="1399">
        <v>2067.9</v>
      </c>
    </row>
    <row r="2516" spans="2:9">
      <c r="B2516" s="1297"/>
      <c r="C2516" s="1297"/>
      <c r="D2516" s="1297" t="s">
        <v>1034</v>
      </c>
      <c r="F2516" s="1399">
        <v>8530.57</v>
      </c>
      <c r="I2516" s="1399">
        <v>8530.57</v>
      </c>
    </row>
    <row r="2517" spans="2:9">
      <c r="B2517" s="1297"/>
      <c r="C2517" s="1297"/>
      <c r="D2517" s="1297" t="s">
        <v>1035</v>
      </c>
      <c r="F2517" s="1399">
        <v>81961.210000000006</v>
      </c>
      <c r="I2517" s="1399">
        <v>81961.210000000006</v>
      </c>
    </row>
    <row r="2518" spans="2:9">
      <c r="B2518" s="1297"/>
      <c r="C2518" s="1297"/>
      <c r="D2518" s="1297" t="s">
        <v>1036</v>
      </c>
      <c r="F2518" s="1399">
        <v>97772.43</v>
      </c>
      <c r="I2518" s="1399">
        <v>97772.43</v>
      </c>
    </row>
    <row r="2519" spans="2:9">
      <c r="B2519" s="1297"/>
      <c r="C2519" s="1297"/>
      <c r="D2519" s="1297" t="s">
        <v>1105</v>
      </c>
      <c r="F2519" s="1399">
        <v>37919.520000000004</v>
      </c>
      <c r="I2519" s="1399">
        <v>37919.520000000004</v>
      </c>
    </row>
    <row r="2520" spans="2:9">
      <c r="B2520" s="1297"/>
      <c r="C2520" s="1297"/>
      <c r="D2520" s="1297" t="s">
        <v>1039</v>
      </c>
      <c r="F2520" s="1399">
        <v>92372.85</v>
      </c>
      <c r="I2520" s="1399">
        <v>92372.85</v>
      </c>
    </row>
    <row r="2521" spans="2:9">
      <c r="B2521" s="1297"/>
      <c r="C2521" s="1297"/>
      <c r="D2521" s="1297" t="s">
        <v>1041</v>
      </c>
      <c r="F2521" s="1399">
        <v>5224.26</v>
      </c>
      <c r="I2521" s="1399">
        <v>5224.26</v>
      </c>
    </row>
    <row r="2522" spans="2:9">
      <c r="B2522" s="1297"/>
      <c r="C2522" s="1297"/>
      <c r="D2522" s="1297" t="s">
        <v>1042</v>
      </c>
      <c r="F2522" s="1399">
        <v>42706.39</v>
      </c>
      <c r="I2522" s="1399">
        <v>42706.39</v>
      </c>
    </row>
    <row r="2523" spans="2:9">
      <c r="B2523" s="1297"/>
      <c r="C2523" s="1297"/>
      <c r="D2523" s="1297" t="s">
        <v>986</v>
      </c>
      <c r="F2523" s="1399">
        <v>60262.38</v>
      </c>
      <c r="I2523" s="1399">
        <v>60262.38</v>
      </c>
    </row>
    <row r="2524" spans="2:9">
      <c r="B2524" s="1297"/>
      <c r="C2524" s="1297"/>
      <c r="D2524" s="1297" t="s">
        <v>991</v>
      </c>
      <c r="F2524" s="1399">
        <v>90</v>
      </c>
      <c r="I2524" s="1399">
        <v>90</v>
      </c>
    </row>
    <row r="2525" spans="2:9">
      <c r="B2525" s="1297"/>
      <c r="C2525" s="1297"/>
      <c r="D2525" s="1297" t="s">
        <v>1044</v>
      </c>
      <c r="F2525" s="1399">
        <v>44166</v>
      </c>
      <c r="I2525" s="1399">
        <v>44166</v>
      </c>
    </row>
    <row r="2526" spans="2:9">
      <c r="B2526" s="1297"/>
      <c r="C2526" s="1297"/>
      <c r="D2526" s="1297" t="s">
        <v>1045</v>
      </c>
      <c r="F2526" s="1399">
        <v>1406391.9900000002</v>
      </c>
      <c r="I2526" s="1399">
        <v>1406391.9900000002</v>
      </c>
    </row>
    <row r="2527" spans="2:9">
      <c r="B2527" s="1297"/>
      <c r="C2527" s="1297"/>
      <c r="D2527" s="1297" t="s">
        <v>1046</v>
      </c>
      <c r="H2527" s="1399">
        <v>11040897</v>
      </c>
      <c r="I2527" s="1399">
        <v>11040897</v>
      </c>
    </row>
    <row r="2528" spans="2:9">
      <c r="B2528" s="1297"/>
      <c r="C2528" s="1297"/>
      <c r="D2528" s="1297" t="s">
        <v>1047</v>
      </c>
      <c r="H2528" s="1399">
        <v>408104</v>
      </c>
      <c r="I2528" s="1399">
        <v>408104</v>
      </c>
    </row>
    <row r="2529" spans="2:9">
      <c r="B2529" s="1297"/>
      <c r="C2529" s="1297"/>
      <c r="D2529" s="1297" t="s">
        <v>1048</v>
      </c>
      <c r="H2529" s="1399">
        <v>-7664471</v>
      </c>
      <c r="I2529" s="1399">
        <v>-7664471</v>
      </c>
    </row>
    <row r="2530" spans="2:9">
      <c r="B2530" s="1297"/>
      <c r="C2530" s="1297"/>
      <c r="D2530" s="1297" t="s">
        <v>933</v>
      </c>
      <c r="H2530" s="1399">
        <v>537965.01</v>
      </c>
      <c r="I2530" s="1399">
        <v>537965.01</v>
      </c>
    </row>
    <row r="2531" spans="2:9">
      <c r="B2531" s="1297"/>
      <c r="C2531" s="1297"/>
      <c r="D2531" s="1297" t="s">
        <v>934</v>
      </c>
      <c r="H2531" s="1399">
        <v>36656</v>
      </c>
      <c r="I2531" s="1399">
        <v>36656</v>
      </c>
    </row>
    <row r="2532" spans="2:9">
      <c r="B2532" s="1297"/>
      <c r="C2532" s="1297"/>
      <c r="D2532" s="1297" t="s">
        <v>935</v>
      </c>
      <c r="H2532" s="1399">
        <v>316196.74</v>
      </c>
      <c r="I2532" s="1399">
        <v>316196.74</v>
      </c>
    </row>
    <row r="2533" spans="2:9">
      <c r="B2533" s="1297"/>
      <c r="C2533" s="1297"/>
      <c r="D2533" s="1297" t="s">
        <v>936</v>
      </c>
      <c r="H2533" s="1399">
        <v>39917.160000000003</v>
      </c>
      <c r="I2533" s="1399">
        <v>39917.160000000003</v>
      </c>
    </row>
    <row r="2534" spans="2:9">
      <c r="B2534" s="1297"/>
      <c r="C2534" s="1297"/>
      <c r="D2534" s="1297" t="s">
        <v>937</v>
      </c>
      <c r="H2534" s="1399">
        <v>37618.04</v>
      </c>
      <c r="I2534" s="1399">
        <v>37618.04</v>
      </c>
    </row>
    <row r="2535" spans="2:9">
      <c r="B2535" s="1297"/>
      <c r="C2535" s="1297"/>
      <c r="D2535" s="1297" t="s">
        <v>938</v>
      </c>
      <c r="H2535" s="1399">
        <v>11978</v>
      </c>
      <c r="I2535" s="1399">
        <v>11978</v>
      </c>
    </row>
    <row r="2536" spans="2:9">
      <c r="B2536" s="1297"/>
      <c r="C2536" s="1297"/>
      <c r="D2536" s="1297" t="s">
        <v>939</v>
      </c>
      <c r="H2536" s="1399">
        <v>85092.41</v>
      </c>
      <c r="I2536" s="1399">
        <v>85092.41</v>
      </c>
    </row>
    <row r="2537" spans="2:9">
      <c r="B2537" s="1297"/>
      <c r="C2537" s="1297"/>
      <c r="D2537" s="1297" t="s">
        <v>1131</v>
      </c>
      <c r="E2537" s="1399">
        <v>533070.05000000005</v>
      </c>
      <c r="I2537" s="1399">
        <v>533070.05000000005</v>
      </c>
    </row>
    <row r="2538" spans="2:9">
      <c r="B2538" s="1297"/>
      <c r="C2538" s="1297"/>
      <c r="D2538" s="1297" t="s">
        <v>940</v>
      </c>
      <c r="E2538" s="1399">
        <v>741560.94</v>
      </c>
      <c r="I2538" s="1399">
        <v>741560.94</v>
      </c>
    </row>
    <row r="2539" spans="2:9">
      <c r="B2539" s="1297"/>
      <c r="C2539" s="1297"/>
      <c r="D2539" s="1297" t="s">
        <v>941</v>
      </c>
      <c r="E2539" s="1399">
        <v>398318.3</v>
      </c>
      <c r="I2539" s="1399">
        <v>398318.3</v>
      </c>
    </row>
    <row r="2540" spans="2:9">
      <c r="B2540" s="1297"/>
      <c r="C2540" s="1297"/>
      <c r="D2540" s="1297" t="s">
        <v>943</v>
      </c>
      <c r="E2540" s="1399">
        <v>19050.560000000001</v>
      </c>
      <c r="I2540" s="1399">
        <v>19050.560000000001</v>
      </c>
    </row>
    <row r="2541" spans="2:9">
      <c r="B2541" s="1297"/>
      <c r="C2541" s="1297"/>
      <c r="D2541" s="1297" t="s">
        <v>944</v>
      </c>
      <c r="E2541" s="1399">
        <v>2153924.15</v>
      </c>
      <c r="I2541" s="1399">
        <v>2153924.15</v>
      </c>
    </row>
    <row r="2542" spans="2:9">
      <c r="B2542" s="1297"/>
      <c r="C2542" s="1297"/>
      <c r="D2542" s="1297" t="s">
        <v>945</v>
      </c>
      <c r="E2542" s="1399">
        <v>740046</v>
      </c>
      <c r="I2542" s="1399">
        <v>740046</v>
      </c>
    </row>
    <row r="2543" spans="2:9">
      <c r="B2543" s="1297"/>
      <c r="C2543" s="1297"/>
      <c r="D2543" s="1297" t="s">
        <v>1214</v>
      </c>
      <c r="E2543" s="1399">
        <v>33954.639999999999</v>
      </c>
      <c r="I2543" s="1399">
        <v>33954.639999999999</v>
      </c>
    </row>
    <row r="2544" spans="2:9">
      <c r="B2544" s="1297"/>
      <c r="C2544" s="1297"/>
      <c r="D2544" s="1297" t="s">
        <v>947</v>
      </c>
      <c r="E2544" s="1399">
        <v>77831.929999999993</v>
      </c>
      <c r="I2544" s="1399">
        <v>77831.929999999993</v>
      </c>
    </row>
    <row r="2545" spans="2:9">
      <c r="B2545" s="1297"/>
      <c r="C2545" s="1297"/>
      <c r="D2545" s="1297" t="s">
        <v>948</v>
      </c>
      <c r="G2545" s="1399">
        <v>4835314.0100000007</v>
      </c>
      <c r="I2545" s="1399">
        <v>4835314.0100000007</v>
      </c>
    </row>
    <row r="2546" spans="2:9">
      <c r="B2546" s="1297"/>
      <c r="C2546" s="1297"/>
      <c r="D2546" s="1297" t="s">
        <v>1118</v>
      </c>
      <c r="G2546" s="1399">
        <v>13602.28</v>
      </c>
      <c r="I2546" s="1399">
        <v>13602.28</v>
      </c>
    </row>
    <row r="2547" spans="2:9">
      <c r="B2547" s="1297"/>
      <c r="C2547" s="1400" t="s">
        <v>1158</v>
      </c>
      <c r="D2547" s="1400"/>
      <c r="E2547" s="1401">
        <v>4697756.5699999994</v>
      </c>
      <c r="F2547" s="1401">
        <v>22685783.380000003</v>
      </c>
      <c r="G2547" s="1401">
        <v>4848916.290000001</v>
      </c>
      <c r="H2547" s="1401">
        <v>4849953.3600000003</v>
      </c>
      <c r="I2547" s="1401">
        <v>37082409.600000001</v>
      </c>
    </row>
    <row r="2548" spans="2:9">
      <c r="B2548" s="1297" t="s">
        <v>1159</v>
      </c>
      <c r="C2548" s="1297" t="s">
        <v>1160</v>
      </c>
      <c r="D2548" s="1297" t="s">
        <v>906</v>
      </c>
      <c r="F2548" s="1399">
        <v>557912137.34000003</v>
      </c>
      <c r="I2548" s="1399">
        <v>557912137.34000003</v>
      </c>
    </row>
    <row r="2549" spans="2:9">
      <c r="B2549" s="1297"/>
      <c r="C2549" s="1297"/>
      <c r="D2549" s="1297" t="s">
        <v>952</v>
      </c>
      <c r="F2549" s="1399">
        <v>7078157.5499999998</v>
      </c>
      <c r="I2549" s="1399">
        <v>7078157.5499999998</v>
      </c>
    </row>
    <row r="2550" spans="2:9">
      <c r="B2550" s="1297"/>
      <c r="C2550" s="1297"/>
      <c r="D2550" s="1297" t="s">
        <v>907</v>
      </c>
      <c r="F2550" s="1399">
        <v>128178527.06</v>
      </c>
      <c r="I2550" s="1399">
        <v>128178527.06</v>
      </c>
    </row>
    <row r="2551" spans="2:9">
      <c r="B2551" s="1297"/>
      <c r="C2551" s="1297"/>
      <c r="D2551" s="1297" t="s">
        <v>908</v>
      </c>
      <c r="F2551" s="1399">
        <v>59262.09</v>
      </c>
      <c r="I2551" s="1399">
        <v>59262.09</v>
      </c>
    </row>
    <row r="2552" spans="2:9">
      <c r="B2552" s="1297"/>
      <c r="C2552" s="1297"/>
      <c r="D2552" s="1297" t="s">
        <v>1122</v>
      </c>
      <c r="F2552" s="1399">
        <v>-1102776</v>
      </c>
      <c r="I2552" s="1399">
        <v>-1102776</v>
      </c>
    </row>
    <row r="2553" spans="2:9">
      <c r="B2553" s="1297"/>
      <c r="C2553" s="1297"/>
      <c r="D2553" s="1297" t="s">
        <v>909</v>
      </c>
      <c r="F2553" s="1399">
        <v>3339314.8599999985</v>
      </c>
      <c r="I2553" s="1399">
        <v>3339314.8599999985</v>
      </c>
    </row>
    <row r="2554" spans="2:9">
      <c r="B2554" s="1297"/>
      <c r="C2554" s="1297"/>
      <c r="D2554" s="1297" t="s">
        <v>910</v>
      </c>
      <c r="F2554" s="1399">
        <v>13430200.320000008</v>
      </c>
      <c r="I2554" s="1399">
        <v>13430200.320000008</v>
      </c>
    </row>
    <row r="2555" spans="2:9">
      <c r="B2555" s="1297"/>
      <c r="C2555" s="1297"/>
      <c r="D2555" s="1297" t="s">
        <v>1034</v>
      </c>
      <c r="F2555" s="1399">
        <v>2956248.060000001</v>
      </c>
      <c r="I2555" s="1399">
        <v>2956248.060000001</v>
      </c>
    </row>
    <row r="2556" spans="2:9">
      <c r="B2556" s="1297"/>
      <c r="C2556" s="1297"/>
      <c r="D2556" s="1297" t="s">
        <v>1035</v>
      </c>
      <c r="F2556" s="1399">
        <v>5239168.0400000038</v>
      </c>
      <c r="I2556" s="1399">
        <v>5239168.0400000038</v>
      </c>
    </row>
    <row r="2557" spans="2:9">
      <c r="B2557" s="1297"/>
      <c r="C2557" s="1297"/>
      <c r="D2557" s="1297" t="s">
        <v>1036</v>
      </c>
      <c r="F2557" s="1399">
        <v>3085313.7500000005</v>
      </c>
      <c r="I2557" s="1399">
        <v>3085313.7500000005</v>
      </c>
    </row>
    <row r="2558" spans="2:9">
      <c r="B2558" s="1297"/>
      <c r="C2558" s="1297"/>
      <c r="D2558" s="1297" t="s">
        <v>1037</v>
      </c>
      <c r="F2558" s="1399">
        <v>289615.61</v>
      </c>
      <c r="I2558" s="1399">
        <v>289615.61</v>
      </c>
    </row>
    <row r="2559" spans="2:9">
      <c r="B2559" s="1297"/>
      <c r="C2559" s="1297"/>
      <c r="D2559" s="1297" t="s">
        <v>1105</v>
      </c>
      <c r="F2559" s="1399">
        <v>656897.31999999995</v>
      </c>
      <c r="I2559" s="1399">
        <v>656897.31999999995</v>
      </c>
    </row>
    <row r="2560" spans="2:9">
      <c r="B2560" s="1297"/>
      <c r="C2560" s="1297"/>
      <c r="D2560" s="1297" t="s">
        <v>1038</v>
      </c>
      <c r="F2560" s="1399">
        <v>1178624.5499999998</v>
      </c>
      <c r="I2560" s="1399">
        <v>1178624.5499999998</v>
      </c>
    </row>
    <row r="2561" spans="2:9">
      <c r="B2561" s="1297"/>
      <c r="C2561" s="1297"/>
      <c r="D2561" s="1297" t="s">
        <v>1039</v>
      </c>
      <c r="F2561" s="1399">
        <v>1198194.7899999996</v>
      </c>
      <c r="I2561" s="1399">
        <v>1198194.7899999996</v>
      </c>
    </row>
    <row r="2562" spans="2:9">
      <c r="B2562" s="1297"/>
      <c r="C2562" s="1297"/>
      <c r="D2562" s="1297" t="s">
        <v>1040</v>
      </c>
      <c r="F2562" s="1399">
        <v>17472611.630000006</v>
      </c>
      <c r="I2562" s="1399">
        <v>17472611.630000006</v>
      </c>
    </row>
    <row r="2563" spans="2:9">
      <c r="B2563" s="1297"/>
      <c r="C2563" s="1297"/>
      <c r="D2563" s="1297" t="s">
        <v>1127</v>
      </c>
      <c r="F2563" s="1399">
        <v>1569687.0099999988</v>
      </c>
      <c r="I2563" s="1399">
        <v>1569687.0099999988</v>
      </c>
    </row>
    <row r="2564" spans="2:9">
      <c r="B2564" s="1297"/>
      <c r="C2564" s="1297"/>
      <c r="D2564" s="1297" t="s">
        <v>1041</v>
      </c>
      <c r="F2564" s="1399">
        <v>3300887.3200000008</v>
      </c>
      <c r="I2564" s="1399">
        <v>3300887.3200000008</v>
      </c>
    </row>
    <row r="2565" spans="2:9">
      <c r="B2565" s="1297"/>
      <c r="C2565" s="1297"/>
      <c r="D2565" s="1297" t="s">
        <v>1042</v>
      </c>
      <c r="F2565" s="1399">
        <v>1986634.7799999984</v>
      </c>
      <c r="I2565" s="1399">
        <v>1986634.7799999984</v>
      </c>
    </row>
    <row r="2566" spans="2:9">
      <c r="B2566" s="1297"/>
      <c r="C2566" s="1297"/>
      <c r="D2566" s="1297" t="s">
        <v>986</v>
      </c>
      <c r="F2566" s="1399">
        <v>180651.06</v>
      </c>
      <c r="I2566" s="1399">
        <v>180651.06</v>
      </c>
    </row>
    <row r="2567" spans="2:9">
      <c r="B2567" s="1297"/>
      <c r="C2567" s="1297"/>
      <c r="D2567" s="1297" t="s">
        <v>1203</v>
      </c>
      <c r="F2567" s="1399">
        <v>-85289.19</v>
      </c>
      <c r="I2567" s="1399">
        <v>-85289.19</v>
      </c>
    </row>
    <row r="2568" spans="2:9">
      <c r="B2568" s="1297"/>
      <c r="C2568" s="1297"/>
      <c r="D2568" s="1297" t="s">
        <v>996</v>
      </c>
      <c r="F2568" s="1399">
        <v>110017.75</v>
      </c>
      <c r="I2568" s="1399">
        <v>110017.75</v>
      </c>
    </row>
    <row r="2569" spans="2:9">
      <c r="B2569" s="1297"/>
      <c r="C2569" s="1297"/>
      <c r="D2569" s="1297" t="s">
        <v>1004</v>
      </c>
      <c r="F2569" s="1399">
        <v>-11799810.310000001</v>
      </c>
      <c r="I2569" s="1399">
        <v>-11799810.310000001</v>
      </c>
    </row>
    <row r="2570" spans="2:9">
      <c r="B2570" s="1297"/>
      <c r="C2570" s="1297"/>
      <c r="D2570" s="1297" t="s">
        <v>1005</v>
      </c>
      <c r="F2570" s="1399">
        <v>17987291.330000002</v>
      </c>
      <c r="I2570" s="1399">
        <v>17987291.330000002</v>
      </c>
    </row>
    <row r="2571" spans="2:9">
      <c r="B2571" s="1297"/>
      <c r="C2571" s="1297"/>
      <c r="D2571" s="1297" t="s">
        <v>991</v>
      </c>
      <c r="F2571" s="1399">
        <v>549633.42000000004</v>
      </c>
      <c r="I2571" s="1399">
        <v>549633.42000000004</v>
      </c>
    </row>
    <row r="2572" spans="2:9">
      <c r="B2572" s="1297"/>
      <c r="C2572" s="1297"/>
      <c r="D2572" s="1297" t="s">
        <v>1044</v>
      </c>
      <c r="F2572" s="1399">
        <v>5544572.6900000004</v>
      </c>
      <c r="I2572" s="1399">
        <v>5544572.6900000004</v>
      </c>
    </row>
    <row r="2573" spans="2:9">
      <c r="B2573" s="1297"/>
      <c r="C2573" s="1297"/>
      <c r="D2573" s="1297" t="s">
        <v>1045</v>
      </c>
      <c r="F2573" s="1399">
        <v>29565191.669999983</v>
      </c>
      <c r="I2573" s="1399">
        <v>29565191.669999983</v>
      </c>
    </row>
    <row r="2574" spans="2:9">
      <c r="B2574" s="1297"/>
      <c r="C2574" s="1297"/>
      <c r="D2574" s="1297" t="s">
        <v>1046</v>
      </c>
      <c r="H2574" s="1399">
        <v>808707844</v>
      </c>
      <c r="I2574" s="1399">
        <v>808707844</v>
      </c>
    </row>
    <row r="2575" spans="2:9">
      <c r="B2575" s="1297"/>
      <c r="C2575" s="1297"/>
      <c r="D2575" s="1297" t="s">
        <v>1128</v>
      </c>
      <c r="H2575" s="1399">
        <v>68616611.010000005</v>
      </c>
      <c r="I2575" s="1399">
        <v>68616611.010000005</v>
      </c>
    </row>
    <row r="2576" spans="2:9">
      <c r="B2576" s="1297"/>
      <c r="C2576" s="1297"/>
      <c r="D2576" s="1297" t="s">
        <v>1129</v>
      </c>
      <c r="H2576" s="1399">
        <v>-107906576</v>
      </c>
      <c r="I2576" s="1399">
        <v>-107906576</v>
      </c>
    </row>
    <row r="2577" spans="2:9">
      <c r="B2577" s="1297"/>
      <c r="C2577" s="1297"/>
      <c r="D2577" s="1297" t="s">
        <v>1047</v>
      </c>
      <c r="H2577" s="1399">
        <v>7687864</v>
      </c>
      <c r="I2577" s="1399">
        <v>7687864</v>
      </c>
    </row>
    <row r="2578" spans="2:9">
      <c r="B2578" s="1297"/>
      <c r="C2578" s="1297"/>
      <c r="D2578" s="1297" t="s">
        <v>1048</v>
      </c>
      <c r="H2578" s="1399">
        <v>-147960534</v>
      </c>
      <c r="I2578" s="1399">
        <v>-147960534</v>
      </c>
    </row>
    <row r="2579" spans="2:9">
      <c r="B2579" s="1297"/>
      <c r="C2579" s="1297"/>
      <c r="D2579" s="1297" t="s">
        <v>932</v>
      </c>
      <c r="H2579" s="1399">
        <v>37297686</v>
      </c>
      <c r="I2579" s="1399">
        <v>37297686</v>
      </c>
    </row>
    <row r="2580" spans="2:9">
      <c r="B2580" s="1297"/>
      <c r="C2580" s="1297"/>
      <c r="D2580" s="1297" t="s">
        <v>934</v>
      </c>
      <c r="H2580" s="1399">
        <v>2361880</v>
      </c>
      <c r="I2580" s="1399">
        <v>2361880</v>
      </c>
    </row>
    <row r="2581" spans="2:9">
      <c r="B2581" s="1297"/>
      <c r="C2581" s="1297"/>
      <c r="D2581" s="1297" t="s">
        <v>1130</v>
      </c>
      <c r="H2581" s="1399">
        <v>45542245.539999999</v>
      </c>
      <c r="I2581" s="1399">
        <v>45542245.539999999</v>
      </c>
    </row>
    <row r="2582" spans="2:9">
      <c r="B2582" s="1297"/>
      <c r="C2582" s="1297"/>
      <c r="D2582" s="1297" t="s">
        <v>935</v>
      </c>
      <c r="H2582" s="1399">
        <v>4123174.12</v>
      </c>
      <c r="I2582" s="1399">
        <v>4123174.12</v>
      </c>
    </row>
    <row r="2583" spans="2:9">
      <c r="B2583" s="1297"/>
      <c r="C2583" s="1297"/>
      <c r="D2583" s="1297" t="s">
        <v>936</v>
      </c>
      <c r="H2583" s="1399">
        <v>2235361.02</v>
      </c>
      <c r="I2583" s="1399">
        <v>2235361.02</v>
      </c>
    </row>
    <row r="2584" spans="2:9">
      <c r="B2584" s="1297"/>
      <c r="C2584" s="1297"/>
      <c r="D2584" s="1297" t="s">
        <v>937</v>
      </c>
      <c r="H2584" s="1399">
        <v>419832.18</v>
      </c>
      <c r="I2584" s="1399">
        <v>419832.18</v>
      </c>
    </row>
    <row r="2585" spans="2:9">
      <c r="B2585" s="1297"/>
      <c r="C2585" s="1297"/>
      <c r="D2585" s="1297" t="s">
        <v>938</v>
      </c>
      <c r="H2585" s="1399">
        <v>659739</v>
      </c>
      <c r="I2585" s="1399">
        <v>659739</v>
      </c>
    </row>
    <row r="2586" spans="2:9">
      <c r="B2586" s="1297"/>
      <c r="C2586" s="1297"/>
      <c r="D2586" s="1297" t="s">
        <v>939</v>
      </c>
      <c r="H2586" s="1399">
        <v>242074.32</v>
      </c>
      <c r="I2586" s="1399">
        <v>242074.32</v>
      </c>
    </row>
    <row r="2587" spans="2:9">
      <c r="B2587" s="1297"/>
      <c r="C2587" s="1297"/>
      <c r="D2587" s="1297" t="s">
        <v>1131</v>
      </c>
      <c r="E2587" s="1399">
        <v>1253351.28</v>
      </c>
      <c r="I2587" s="1399">
        <v>1253351.28</v>
      </c>
    </row>
    <row r="2588" spans="2:9">
      <c r="B2588" s="1297"/>
      <c r="C2588" s="1297"/>
      <c r="D2588" s="1297" t="s">
        <v>940</v>
      </c>
      <c r="E2588" s="1399">
        <v>38138602.260000005</v>
      </c>
      <c r="I2588" s="1399">
        <v>38138602.260000005</v>
      </c>
    </row>
    <row r="2589" spans="2:9">
      <c r="B2589" s="1297"/>
      <c r="C2589" s="1297"/>
      <c r="D2589" s="1297" t="s">
        <v>941</v>
      </c>
      <c r="E2589" s="1399">
        <v>13812630.540000001</v>
      </c>
      <c r="I2589" s="1399">
        <v>13812630.540000001</v>
      </c>
    </row>
    <row r="2590" spans="2:9">
      <c r="B2590" s="1297"/>
      <c r="C2590" s="1297"/>
      <c r="D2590" s="1297" t="s">
        <v>943</v>
      </c>
      <c r="E2590" s="1399">
        <v>78901.760000000009</v>
      </c>
      <c r="I2590" s="1399">
        <v>78901.760000000009</v>
      </c>
    </row>
    <row r="2591" spans="2:9">
      <c r="B2591" s="1297"/>
      <c r="C2591" s="1297"/>
      <c r="D2591" s="1297" t="s">
        <v>944</v>
      </c>
      <c r="E2591" s="1399">
        <v>60250114.780000009</v>
      </c>
      <c r="I2591" s="1399">
        <v>60250114.780000009</v>
      </c>
    </row>
    <row r="2592" spans="2:9">
      <c r="B2592" s="1297"/>
      <c r="C2592" s="1297"/>
      <c r="D2592" s="1297" t="s">
        <v>945</v>
      </c>
      <c r="E2592" s="1399">
        <v>51698032.850000001</v>
      </c>
      <c r="I2592" s="1399">
        <v>51698032.850000001</v>
      </c>
    </row>
    <row r="2593" spans="2:9">
      <c r="B2593" s="1297"/>
      <c r="C2593" s="1297"/>
      <c r="D2593" s="1297" t="s">
        <v>946</v>
      </c>
      <c r="E2593" s="1399">
        <v>175536.83000000002</v>
      </c>
      <c r="I2593" s="1399">
        <v>175536.83000000002</v>
      </c>
    </row>
    <row r="2594" spans="2:9">
      <c r="B2594" s="1297"/>
      <c r="C2594" s="1297"/>
      <c r="D2594" s="1297" t="s">
        <v>947</v>
      </c>
      <c r="E2594" s="1399">
        <v>2147901.0699999998</v>
      </c>
      <c r="I2594" s="1399">
        <v>2147901.0699999998</v>
      </c>
    </row>
    <row r="2595" spans="2:9">
      <c r="B2595" s="1297"/>
      <c r="C2595" s="1297"/>
      <c r="D2595" s="1297" t="s">
        <v>1115</v>
      </c>
      <c r="E2595" s="1399">
        <v>209084.17</v>
      </c>
      <c r="I2595" s="1399">
        <v>209084.17</v>
      </c>
    </row>
    <row r="2596" spans="2:9">
      <c r="B2596" s="1297"/>
      <c r="C2596" s="1297"/>
      <c r="D2596" s="1297" t="s">
        <v>1116</v>
      </c>
      <c r="G2596" s="1399">
        <v>19640000</v>
      </c>
      <c r="I2596" s="1399">
        <v>19640000</v>
      </c>
    </row>
    <row r="2597" spans="2:9">
      <c r="B2597" s="1297"/>
      <c r="C2597" s="1297"/>
      <c r="D2597" s="1297" t="s">
        <v>948</v>
      </c>
      <c r="G2597" s="1399">
        <v>85454032.450000003</v>
      </c>
      <c r="I2597" s="1399">
        <v>85454032.450000003</v>
      </c>
    </row>
    <row r="2598" spans="2:9">
      <c r="B2598" s="1297"/>
      <c r="C2598" s="1297"/>
      <c r="D2598" s="1297" t="s">
        <v>956</v>
      </c>
      <c r="G2598" s="1399">
        <v>-687041.19</v>
      </c>
      <c r="I2598" s="1399">
        <v>-687041.19</v>
      </c>
    </row>
    <row r="2599" spans="2:9">
      <c r="B2599" s="1297"/>
      <c r="C2599" s="1297"/>
      <c r="D2599" s="1297" t="s">
        <v>1118</v>
      </c>
      <c r="G2599" s="1399">
        <v>509210.46</v>
      </c>
      <c r="I2599" s="1399">
        <v>509210.46</v>
      </c>
    </row>
    <row r="2600" spans="2:9">
      <c r="B2600" s="1297"/>
      <c r="C2600" s="1400" t="s">
        <v>1161</v>
      </c>
      <c r="D2600" s="1400"/>
      <c r="E2600" s="1401">
        <v>167764155.53999999</v>
      </c>
      <c r="F2600" s="1401">
        <v>789880964.5</v>
      </c>
      <c r="G2600" s="1401">
        <v>104916201.72</v>
      </c>
      <c r="H2600" s="1401">
        <v>722027201.18999994</v>
      </c>
      <c r="I2600" s="1401">
        <v>1784588522.9499996</v>
      </c>
    </row>
    <row r="2601" spans="2:9">
      <c r="B2601" s="1297" t="s">
        <v>1162</v>
      </c>
      <c r="C2601" s="1297" t="s">
        <v>1163</v>
      </c>
      <c r="D2601" s="1297" t="s">
        <v>906</v>
      </c>
      <c r="F2601" s="1399">
        <v>16156368.140000001</v>
      </c>
      <c r="I2601" s="1399">
        <v>16156368.140000001</v>
      </c>
    </row>
    <row r="2602" spans="2:9">
      <c r="B2602" s="1297"/>
      <c r="C2602" s="1297"/>
      <c r="D2602" s="1297" t="s">
        <v>1126</v>
      </c>
      <c r="F2602" s="1399">
        <v>5137251.2</v>
      </c>
      <c r="I2602" s="1399">
        <v>5137251.2</v>
      </c>
    </row>
    <row r="2603" spans="2:9">
      <c r="B2603" s="1297"/>
      <c r="C2603" s="1297"/>
      <c r="D2603" s="1297" t="s">
        <v>952</v>
      </c>
      <c r="F2603" s="1399">
        <v>259744.17</v>
      </c>
      <c r="I2603" s="1399">
        <v>259744.17</v>
      </c>
    </row>
    <row r="2604" spans="2:9">
      <c r="B2604" s="1297"/>
      <c r="C2604" s="1297"/>
      <c r="D2604" s="1297" t="s">
        <v>907</v>
      </c>
      <c r="F2604" s="1399">
        <v>5138076.3899999997</v>
      </c>
      <c r="I2604" s="1399">
        <v>5138076.3899999997</v>
      </c>
    </row>
    <row r="2605" spans="2:9">
      <c r="B2605" s="1297"/>
      <c r="C2605" s="1297"/>
      <c r="D2605" s="1297" t="s">
        <v>908</v>
      </c>
      <c r="F2605" s="1399">
        <v>305428.26</v>
      </c>
      <c r="I2605" s="1399">
        <v>305428.26</v>
      </c>
    </row>
    <row r="2606" spans="2:9">
      <c r="B2606" s="1297"/>
      <c r="C2606" s="1297"/>
      <c r="D2606" s="1297" t="s">
        <v>909</v>
      </c>
      <c r="F2606" s="1399">
        <v>37555.69</v>
      </c>
      <c r="I2606" s="1399">
        <v>37555.69</v>
      </c>
    </row>
    <row r="2607" spans="2:9">
      <c r="B2607" s="1297"/>
      <c r="C2607" s="1297"/>
      <c r="D2607" s="1297" t="s">
        <v>910</v>
      </c>
      <c r="F2607" s="1399">
        <v>459202.32</v>
      </c>
      <c r="I2607" s="1399">
        <v>459202.32</v>
      </c>
    </row>
    <row r="2608" spans="2:9">
      <c r="B2608" s="1297"/>
      <c r="C2608" s="1297"/>
      <c r="D2608" s="1297" t="s">
        <v>1034</v>
      </c>
      <c r="F2608" s="1399">
        <v>99293.88</v>
      </c>
      <c r="I2608" s="1399">
        <v>99293.88</v>
      </c>
    </row>
    <row r="2609" spans="2:9">
      <c r="B2609" s="1297"/>
      <c r="C2609" s="1297"/>
      <c r="D2609" s="1297" t="s">
        <v>1035</v>
      </c>
      <c r="F2609" s="1399">
        <v>104950.82</v>
      </c>
      <c r="I2609" s="1399">
        <v>104950.82</v>
      </c>
    </row>
    <row r="2610" spans="2:9">
      <c r="B2610" s="1297"/>
      <c r="C2610" s="1297"/>
      <c r="D2610" s="1297" t="s">
        <v>1036</v>
      </c>
      <c r="F2610" s="1399">
        <v>225676.5</v>
      </c>
      <c r="I2610" s="1399">
        <v>225676.5</v>
      </c>
    </row>
    <row r="2611" spans="2:9">
      <c r="B2611" s="1297"/>
      <c r="C2611" s="1297"/>
      <c r="D2611" s="1297" t="s">
        <v>1037</v>
      </c>
      <c r="F2611" s="1399">
        <v>2000</v>
      </c>
      <c r="I2611" s="1399">
        <v>2000</v>
      </c>
    </row>
    <row r="2612" spans="2:9">
      <c r="B2612" s="1297"/>
      <c r="C2612" s="1297"/>
      <c r="D2612" s="1297" t="s">
        <v>1105</v>
      </c>
      <c r="F2612" s="1399">
        <v>17201.62</v>
      </c>
      <c r="I2612" s="1399">
        <v>17201.62</v>
      </c>
    </row>
    <row r="2613" spans="2:9">
      <c r="B2613" s="1297"/>
      <c r="C2613" s="1297"/>
      <c r="D2613" s="1297" t="s">
        <v>1039</v>
      </c>
      <c r="F2613" s="1399">
        <v>98262.900000000009</v>
      </c>
      <c r="I2613" s="1399">
        <v>98262.900000000009</v>
      </c>
    </row>
    <row r="2614" spans="2:9">
      <c r="B2614" s="1297"/>
      <c r="C2614" s="1297"/>
      <c r="D2614" s="1297" t="s">
        <v>1040</v>
      </c>
      <c r="F2614" s="1399">
        <v>536283.62000000011</v>
      </c>
      <c r="I2614" s="1399">
        <v>536283.62000000011</v>
      </c>
    </row>
    <row r="2615" spans="2:9">
      <c r="B2615" s="1297"/>
      <c r="C2615" s="1297"/>
      <c r="D2615" s="1297" t="s">
        <v>1041</v>
      </c>
      <c r="F2615" s="1399">
        <v>134814.39999999999</v>
      </c>
      <c r="I2615" s="1399">
        <v>134814.39999999999</v>
      </c>
    </row>
    <row r="2616" spans="2:9">
      <c r="B2616" s="1297"/>
      <c r="C2616" s="1297"/>
      <c r="D2616" s="1297" t="s">
        <v>1042</v>
      </c>
      <c r="F2616" s="1399">
        <v>96261.06</v>
      </c>
      <c r="I2616" s="1399">
        <v>96261.06</v>
      </c>
    </row>
    <row r="2617" spans="2:9">
      <c r="B2617" s="1297"/>
      <c r="C2617" s="1297"/>
      <c r="D2617" s="1297" t="s">
        <v>953</v>
      </c>
      <c r="F2617" s="1399">
        <v>4029.79</v>
      </c>
      <c r="I2617" s="1399">
        <v>4029.79</v>
      </c>
    </row>
    <row r="2618" spans="2:9">
      <c r="B2618" s="1297"/>
      <c r="C2618" s="1297"/>
      <c r="D2618" s="1297" t="s">
        <v>985</v>
      </c>
      <c r="F2618" s="1399">
        <v>3192.26</v>
      </c>
      <c r="I2618" s="1399">
        <v>3192.26</v>
      </c>
    </row>
    <row r="2619" spans="2:9">
      <c r="B2619" s="1297"/>
      <c r="C2619" s="1297"/>
      <c r="D2619" s="1297" t="s">
        <v>1203</v>
      </c>
      <c r="F2619" s="1399">
        <v>-22218.65</v>
      </c>
      <c r="I2619" s="1399">
        <v>-22218.65</v>
      </c>
    </row>
    <row r="2620" spans="2:9">
      <c r="B2620" s="1297"/>
      <c r="C2620" s="1297"/>
      <c r="D2620" s="1297" t="s">
        <v>996</v>
      </c>
      <c r="F2620" s="1399">
        <v>1715</v>
      </c>
      <c r="I2620" s="1399">
        <v>1715</v>
      </c>
    </row>
    <row r="2621" spans="2:9">
      <c r="B2621" s="1297"/>
      <c r="C2621" s="1297"/>
      <c r="D2621" s="1297" t="s">
        <v>1045</v>
      </c>
      <c r="F2621" s="1399">
        <v>1014173.3</v>
      </c>
      <c r="I2621" s="1399">
        <v>1014173.3</v>
      </c>
    </row>
    <row r="2622" spans="2:9">
      <c r="B2622" s="1297"/>
      <c r="C2622" s="1297"/>
      <c r="D2622" s="1297" t="s">
        <v>1046</v>
      </c>
      <c r="H2622" s="1399">
        <v>38068021</v>
      </c>
      <c r="I2622" s="1399">
        <v>38068021</v>
      </c>
    </row>
    <row r="2623" spans="2:9">
      <c r="B2623" s="1297"/>
      <c r="C2623" s="1297"/>
      <c r="D2623" s="1297" t="s">
        <v>1128</v>
      </c>
      <c r="H2623" s="1399">
        <v>2934247</v>
      </c>
      <c r="I2623" s="1399">
        <v>2934247</v>
      </c>
    </row>
    <row r="2624" spans="2:9">
      <c r="B2624" s="1297"/>
      <c r="C2624" s="1297"/>
      <c r="D2624" s="1297" t="s">
        <v>1129</v>
      </c>
      <c r="H2624" s="1399">
        <v>-5209868</v>
      </c>
      <c r="I2624" s="1399">
        <v>-5209868</v>
      </c>
    </row>
    <row r="2625" spans="2:9">
      <c r="B2625" s="1297"/>
      <c r="C2625" s="1297"/>
      <c r="D2625" s="1297" t="s">
        <v>1047</v>
      </c>
      <c r="H2625" s="1399">
        <v>901606</v>
      </c>
      <c r="I2625" s="1399">
        <v>901606</v>
      </c>
    </row>
    <row r="2626" spans="2:9">
      <c r="B2626" s="1297"/>
      <c r="C2626" s="1297"/>
      <c r="D2626" s="1297" t="s">
        <v>1048</v>
      </c>
      <c r="H2626" s="1399">
        <v>-6166417</v>
      </c>
      <c r="I2626" s="1399">
        <v>-6166417</v>
      </c>
    </row>
    <row r="2627" spans="2:9">
      <c r="B2627" s="1297"/>
      <c r="C2627" s="1297"/>
      <c r="D2627" s="1297" t="s">
        <v>932</v>
      </c>
      <c r="H2627" s="1399">
        <v>2063651</v>
      </c>
      <c r="I2627" s="1399">
        <v>2063651</v>
      </c>
    </row>
    <row r="2628" spans="2:9">
      <c r="B2628" s="1297"/>
      <c r="C2628" s="1297"/>
      <c r="D2628" s="1297" t="s">
        <v>955</v>
      </c>
      <c r="H2628" s="1399">
        <v>464986.15</v>
      </c>
      <c r="I2628" s="1399">
        <v>464986.15</v>
      </c>
    </row>
    <row r="2629" spans="2:9">
      <c r="B2629" s="1297"/>
      <c r="C2629" s="1297"/>
      <c r="D2629" s="1297" t="s">
        <v>934</v>
      </c>
      <c r="H2629" s="1399">
        <v>116812</v>
      </c>
      <c r="I2629" s="1399">
        <v>116812</v>
      </c>
    </row>
    <row r="2630" spans="2:9">
      <c r="B2630" s="1297"/>
      <c r="C2630" s="1297"/>
      <c r="D2630" s="1297" t="s">
        <v>935</v>
      </c>
      <c r="H2630" s="1399">
        <v>562296.94000000006</v>
      </c>
      <c r="I2630" s="1399">
        <v>562296.94000000006</v>
      </c>
    </row>
    <row r="2631" spans="2:9">
      <c r="B2631" s="1297"/>
      <c r="C2631" s="1297"/>
      <c r="D2631" s="1297" t="s">
        <v>936</v>
      </c>
      <c r="H2631" s="1399">
        <v>114149.07</v>
      </c>
      <c r="I2631" s="1399">
        <v>114149.07</v>
      </c>
    </row>
    <row r="2632" spans="2:9">
      <c r="B2632" s="1297"/>
      <c r="C2632" s="1297"/>
      <c r="D2632" s="1297" t="s">
        <v>937</v>
      </c>
      <c r="H2632" s="1399">
        <v>21437.56</v>
      </c>
      <c r="I2632" s="1399">
        <v>21437.56</v>
      </c>
    </row>
    <row r="2633" spans="2:9">
      <c r="B2633" s="1297"/>
      <c r="C2633" s="1297"/>
      <c r="D2633" s="1297" t="s">
        <v>938</v>
      </c>
      <c r="H2633" s="1399">
        <v>37432</v>
      </c>
      <c r="I2633" s="1399">
        <v>37432</v>
      </c>
    </row>
    <row r="2634" spans="2:9">
      <c r="B2634" s="1297"/>
      <c r="C2634" s="1297"/>
      <c r="D2634" s="1297" t="s">
        <v>939</v>
      </c>
      <c r="H2634" s="1399">
        <v>136058.03</v>
      </c>
      <c r="I2634" s="1399">
        <v>136058.03</v>
      </c>
    </row>
    <row r="2635" spans="2:9">
      <c r="B2635" s="1297"/>
      <c r="C2635" s="1297"/>
      <c r="D2635" s="1297" t="s">
        <v>1131</v>
      </c>
      <c r="E2635" s="1399">
        <v>62332.45</v>
      </c>
      <c r="I2635" s="1399">
        <v>62332.45</v>
      </c>
    </row>
    <row r="2636" spans="2:9">
      <c r="B2636" s="1297"/>
      <c r="C2636" s="1297"/>
      <c r="D2636" s="1297" t="s">
        <v>940</v>
      </c>
      <c r="E2636" s="1399">
        <v>1716302.16</v>
      </c>
      <c r="I2636" s="1399">
        <v>1716302.16</v>
      </c>
    </row>
    <row r="2637" spans="2:9">
      <c r="B2637" s="1297"/>
      <c r="C2637" s="1297"/>
      <c r="D2637" s="1297" t="s">
        <v>941</v>
      </c>
      <c r="E2637" s="1399">
        <v>624721.93999999994</v>
      </c>
      <c r="I2637" s="1399">
        <v>624721.93999999994</v>
      </c>
    </row>
    <row r="2638" spans="2:9">
      <c r="B2638" s="1297"/>
      <c r="C2638" s="1297"/>
      <c r="D2638" s="1297" t="s">
        <v>943</v>
      </c>
      <c r="E2638" s="1399">
        <v>21620.09</v>
      </c>
      <c r="I2638" s="1399">
        <v>21620.09</v>
      </c>
    </row>
    <row r="2639" spans="2:9">
      <c r="B2639" s="1297"/>
      <c r="C2639" s="1297"/>
      <c r="D2639" s="1297" t="s">
        <v>944</v>
      </c>
      <c r="E2639" s="1399">
        <v>3399402.2599999993</v>
      </c>
      <c r="I2639" s="1399">
        <v>3399402.2599999993</v>
      </c>
    </row>
    <row r="2640" spans="2:9">
      <c r="B2640" s="1297"/>
      <c r="C2640" s="1297"/>
      <c r="D2640" s="1297" t="s">
        <v>945</v>
      </c>
      <c r="E2640" s="1399">
        <v>2545112.02</v>
      </c>
      <c r="I2640" s="1399">
        <v>2545112.02</v>
      </c>
    </row>
    <row r="2641" spans="2:9">
      <c r="B2641" s="1297"/>
      <c r="C2641" s="1297"/>
      <c r="D2641" s="1297" t="s">
        <v>946</v>
      </c>
      <c r="E2641" s="1399">
        <v>126207.35</v>
      </c>
      <c r="I2641" s="1399">
        <v>126207.35</v>
      </c>
    </row>
    <row r="2642" spans="2:9">
      <c r="B2642" s="1297"/>
      <c r="C2642" s="1297"/>
      <c r="D2642" s="1297" t="s">
        <v>1214</v>
      </c>
      <c r="E2642" s="1399">
        <v>40571.74</v>
      </c>
      <c r="I2642" s="1399">
        <v>40571.74</v>
      </c>
    </row>
    <row r="2643" spans="2:9">
      <c r="B2643" s="1297"/>
      <c r="C2643" s="1297"/>
      <c r="D2643" s="1297" t="s">
        <v>947</v>
      </c>
      <c r="E2643" s="1399">
        <v>260116.01000000004</v>
      </c>
      <c r="I2643" s="1399">
        <v>260116.01000000004</v>
      </c>
    </row>
    <row r="2644" spans="2:9">
      <c r="B2644" s="1297"/>
      <c r="C2644" s="1297"/>
      <c r="D2644" s="1297" t="s">
        <v>948</v>
      </c>
      <c r="G2644" s="1399">
        <v>46230765.350000001</v>
      </c>
      <c r="I2644" s="1399">
        <v>46230765.350000001</v>
      </c>
    </row>
    <row r="2645" spans="2:9">
      <c r="B2645" s="1297"/>
      <c r="C2645" s="1297"/>
      <c r="D2645" s="1297" t="s">
        <v>956</v>
      </c>
      <c r="G2645" s="1399">
        <v>17000</v>
      </c>
      <c r="I2645" s="1399">
        <v>17000</v>
      </c>
    </row>
    <row r="2646" spans="2:9">
      <c r="B2646" s="1297"/>
      <c r="C2646" s="1400" t="s">
        <v>1164</v>
      </c>
      <c r="D2646" s="1400"/>
      <c r="E2646" s="1401">
        <v>8796386.0199999977</v>
      </c>
      <c r="F2646" s="1401">
        <v>29809262.670000006</v>
      </c>
      <c r="G2646" s="1401">
        <v>46247765.350000001</v>
      </c>
      <c r="H2646" s="1401">
        <v>34044411.75</v>
      </c>
      <c r="I2646" s="1401">
        <v>118897825.78999999</v>
      </c>
    </row>
    <row r="2647" spans="2:9">
      <c r="B2647" s="1297" t="s">
        <v>1165</v>
      </c>
      <c r="C2647" s="1297" t="s">
        <v>1166</v>
      </c>
      <c r="D2647" s="1297" t="s">
        <v>906</v>
      </c>
      <c r="F2647" s="1399">
        <v>76512307.480000004</v>
      </c>
      <c r="I2647" s="1399">
        <v>76512307.480000004</v>
      </c>
    </row>
    <row r="2648" spans="2:9">
      <c r="B2648" s="1297"/>
      <c r="C2648" s="1297"/>
      <c r="D2648" s="1297" t="s">
        <v>952</v>
      </c>
      <c r="F2648" s="1399">
        <v>1243506.82</v>
      </c>
      <c r="I2648" s="1399">
        <v>1243506.82</v>
      </c>
    </row>
    <row r="2649" spans="2:9">
      <c r="B2649" s="1297"/>
      <c r="C2649" s="1297"/>
      <c r="D2649" s="1297" t="s">
        <v>907</v>
      </c>
      <c r="F2649" s="1399">
        <v>18749473.84</v>
      </c>
      <c r="I2649" s="1399">
        <v>18749473.84</v>
      </c>
    </row>
    <row r="2650" spans="2:9">
      <c r="B2650" s="1297"/>
      <c r="C2650" s="1297"/>
      <c r="D2650" s="1297" t="s">
        <v>908</v>
      </c>
      <c r="F2650" s="1399">
        <v>34982.449999999997</v>
      </c>
      <c r="I2650" s="1399">
        <v>34982.449999999997</v>
      </c>
    </row>
    <row r="2651" spans="2:9">
      <c r="B2651" s="1297"/>
      <c r="C2651" s="1297"/>
      <c r="D2651" s="1297" t="s">
        <v>910</v>
      </c>
      <c r="F2651" s="1399">
        <v>913542.62000000011</v>
      </c>
      <c r="I2651" s="1399">
        <v>913542.62000000011</v>
      </c>
    </row>
    <row r="2652" spans="2:9">
      <c r="B2652" s="1297"/>
      <c r="C2652" s="1297"/>
      <c r="D2652" s="1297" t="s">
        <v>1034</v>
      </c>
      <c r="F2652" s="1399">
        <v>582988.59</v>
      </c>
      <c r="I2652" s="1399">
        <v>582988.59</v>
      </c>
    </row>
    <row r="2653" spans="2:9">
      <c r="B2653" s="1297"/>
      <c r="C2653" s="1297"/>
      <c r="D2653" s="1297" t="s">
        <v>1035</v>
      </c>
      <c r="F2653" s="1399">
        <v>1524464.7799999998</v>
      </c>
      <c r="I2653" s="1399">
        <v>1524464.7799999998</v>
      </c>
    </row>
    <row r="2654" spans="2:9">
      <c r="B2654" s="1297"/>
      <c r="C2654" s="1297"/>
      <c r="D2654" s="1297" t="s">
        <v>1036</v>
      </c>
      <c r="F2654" s="1399">
        <v>595081.87000000011</v>
      </c>
      <c r="I2654" s="1399">
        <v>595081.87000000011</v>
      </c>
    </row>
    <row r="2655" spans="2:9">
      <c r="B2655" s="1297"/>
      <c r="C2655" s="1297"/>
      <c r="D2655" s="1297" t="s">
        <v>1037</v>
      </c>
      <c r="F2655" s="1399">
        <v>9931.5</v>
      </c>
      <c r="I2655" s="1399">
        <v>9931.5</v>
      </c>
    </row>
    <row r="2656" spans="2:9">
      <c r="B2656" s="1297"/>
      <c r="C2656" s="1297"/>
      <c r="D2656" s="1297" t="s">
        <v>1064</v>
      </c>
      <c r="F2656" s="1399">
        <v>21440</v>
      </c>
      <c r="I2656" s="1399">
        <v>21440</v>
      </c>
    </row>
    <row r="2657" spans="2:9">
      <c r="B2657" s="1297"/>
      <c r="C2657" s="1297"/>
      <c r="D2657" s="1297" t="s">
        <v>1038</v>
      </c>
      <c r="F2657" s="1399">
        <v>49675</v>
      </c>
      <c r="I2657" s="1399">
        <v>49675</v>
      </c>
    </row>
    <row r="2658" spans="2:9">
      <c r="B2658" s="1297"/>
      <c r="C2658" s="1297"/>
      <c r="D2658" s="1297" t="s">
        <v>1039</v>
      </c>
      <c r="F2658" s="1399">
        <v>216460.07</v>
      </c>
      <c r="I2658" s="1399">
        <v>216460.07</v>
      </c>
    </row>
    <row r="2659" spans="2:9">
      <c r="B2659" s="1297"/>
      <c r="C2659" s="1297"/>
      <c r="D2659" s="1297" t="s">
        <v>1040</v>
      </c>
      <c r="F2659" s="1399">
        <v>2243344.31</v>
      </c>
      <c r="I2659" s="1399">
        <v>2243344.31</v>
      </c>
    </row>
    <row r="2660" spans="2:9">
      <c r="B2660" s="1297"/>
      <c r="C2660" s="1297"/>
      <c r="D2660" s="1297" t="s">
        <v>1041</v>
      </c>
      <c r="F2660" s="1399">
        <v>62643.100000000006</v>
      </c>
      <c r="I2660" s="1399">
        <v>62643.100000000006</v>
      </c>
    </row>
    <row r="2661" spans="2:9">
      <c r="B2661" s="1297"/>
      <c r="C2661" s="1297"/>
      <c r="D2661" s="1297" t="s">
        <v>1042</v>
      </c>
      <c r="F2661" s="1399">
        <v>307591.34000000008</v>
      </c>
      <c r="I2661" s="1399">
        <v>307591.34000000008</v>
      </c>
    </row>
    <row r="2662" spans="2:9">
      <c r="B2662" s="1297"/>
      <c r="C2662" s="1297"/>
      <c r="D2662" s="1297" t="s">
        <v>953</v>
      </c>
      <c r="F2662" s="1399">
        <v>196588.48</v>
      </c>
      <c r="I2662" s="1399">
        <v>196588.48</v>
      </c>
    </row>
    <row r="2663" spans="2:9">
      <c r="B2663" s="1297"/>
      <c r="C2663" s="1297"/>
      <c r="D2663" s="1297" t="s">
        <v>1043</v>
      </c>
      <c r="F2663" s="1399">
        <v>37862.6</v>
      </c>
      <c r="I2663" s="1399">
        <v>37862.6</v>
      </c>
    </row>
    <row r="2664" spans="2:9">
      <c r="B2664" s="1297"/>
      <c r="C2664" s="1297"/>
      <c r="D2664" s="1297" t="s">
        <v>996</v>
      </c>
      <c r="F2664" s="1399">
        <v>89090.22</v>
      </c>
      <c r="I2664" s="1399">
        <v>89090.22</v>
      </c>
    </row>
    <row r="2665" spans="2:9">
      <c r="B2665" s="1297"/>
      <c r="C2665" s="1297"/>
      <c r="D2665" s="1297" t="s">
        <v>1004</v>
      </c>
      <c r="F2665" s="1399">
        <v>-809221.49</v>
      </c>
      <c r="I2665" s="1399">
        <v>-809221.49</v>
      </c>
    </row>
    <row r="2666" spans="2:9">
      <c r="B2666" s="1297"/>
      <c r="C2666" s="1297"/>
      <c r="D2666" s="1297" t="s">
        <v>991</v>
      </c>
      <c r="F2666" s="1399">
        <v>657468.00000000023</v>
      </c>
      <c r="I2666" s="1399">
        <v>657468.00000000023</v>
      </c>
    </row>
    <row r="2667" spans="2:9">
      <c r="B2667" s="1297"/>
      <c r="C2667" s="1297"/>
      <c r="D2667" s="1297" t="s">
        <v>1044</v>
      </c>
      <c r="F2667" s="1399">
        <v>492457.33</v>
      </c>
      <c r="I2667" s="1399">
        <v>492457.33</v>
      </c>
    </row>
    <row r="2668" spans="2:9">
      <c r="B2668" s="1297"/>
      <c r="C2668" s="1297"/>
      <c r="D2668" s="1297" t="s">
        <v>1045</v>
      </c>
      <c r="F2668" s="1399">
        <v>927952.7000000003</v>
      </c>
      <c r="I2668" s="1399">
        <v>927952.7000000003</v>
      </c>
    </row>
    <row r="2669" spans="2:9">
      <c r="B2669" s="1297"/>
      <c r="C2669" s="1297"/>
      <c r="D2669" s="1297" t="s">
        <v>1046</v>
      </c>
      <c r="H2669" s="1399">
        <v>143694843</v>
      </c>
      <c r="I2669" s="1399">
        <v>143694843</v>
      </c>
    </row>
    <row r="2670" spans="2:9">
      <c r="B2670" s="1297"/>
      <c r="C2670" s="1297"/>
      <c r="D2670" s="1297" t="s">
        <v>1129</v>
      </c>
      <c r="H2670" s="1399">
        <v>-18321064</v>
      </c>
      <c r="I2670" s="1399">
        <v>-18321064</v>
      </c>
    </row>
    <row r="2671" spans="2:9">
      <c r="B2671" s="1297"/>
      <c r="C2671" s="1297"/>
      <c r="D2671" s="1297" t="s">
        <v>1047</v>
      </c>
      <c r="H2671" s="1399">
        <v>2258402</v>
      </c>
      <c r="I2671" s="1399">
        <v>2258402</v>
      </c>
    </row>
    <row r="2672" spans="2:9">
      <c r="B2672" s="1297"/>
      <c r="C2672" s="1297"/>
      <c r="D2672" s="1297" t="s">
        <v>1048</v>
      </c>
      <c r="H2672" s="1399">
        <v>-24732814</v>
      </c>
      <c r="I2672" s="1399">
        <v>-24732814</v>
      </c>
    </row>
    <row r="2673" spans="2:9">
      <c r="B2673" s="1297"/>
      <c r="C2673" s="1297"/>
      <c r="D2673" s="1297" t="s">
        <v>932</v>
      </c>
      <c r="H2673" s="1399">
        <v>4530396</v>
      </c>
      <c r="I2673" s="1399">
        <v>4530396</v>
      </c>
    </row>
    <row r="2674" spans="2:9">
      <c r="B2674" s="1297"/>
      <c r="C2674" s="1297"/>
      <c r="D2674" s="1297" t="s">
        <v>955</v>
      </c>
      <c r="H2674" s="1399">
        <v>380577.39</v>
      </c>
      <c r="I2674" s="1399">
        <v>380577.39</v>
      </c>
    </row>
    <row r="2675" spans="2:9">
      <c r="B2675" s="1297"/>
      <c r="C2675" s="1297"/>
      <c r="D2675" s="1297" t="s">
        <v>934</v>
      </c>
      <c r="H2675" s="1399">
        <v>393642</v>
      </c>
      <c r="I2675" s="1399">
        <v>393642</v>
      </c>
    </row>
    <row r="2676" spans="2:9">
      <c r="B2676" s="1297"/>
      <c r="C2676" s="1297"/>
      <c r="D2676" s="1297" t="s">
        <v>1130</v>
      </c>
      <c r="H2676" s="1399">
        <v>3288530.59</v>
      </c>
      <c r="I2676" s="1399">
        <v>3288530.59</v>
      </c>
    </row>
    <row r="2677" spans="2:9">
      <c r="B2677" s="1297"/>
      <c r="C2677" s="1297"/>
      <c r="D2677" s="1297" t="s">
        <v>935</v>
      </c>
      <c r="H2677" s="1399">
        <v>1052264.2600000002</v>
      </c>
      <c r="I2677" s="1399">
        <v>1052264.2600000002</v>
      </c>
    </row>
    <row r="2678" spans="2:9">
      <c r="B2678" s="1297"/>
      <c r="C2678" s="1297"/>
      <c r="D2678" s="1297" t="s">
        <v>936</v>
      </c>
      <c r="H2678" s="1399">
        <v>399521.76</v>
      </c>
      <c r="I2678" s="1399">
        <v>399521.76</v>
      </c>
    </row>
    <row r="2679" spans="2:9">
      <c r="B2679" s="1297"/>
      <c r="C2679" s="1297"/>
      <c r="D2679" s="1297" t="s">
        <v>937</v>
      </c>
      <c r="H2679" s="1399">
        <v>176210.92</v>
      </c>
      <c r="I2679" s="1399">
        <v>176210.92</v>
      </c>
    </row>
    <row r="2680" spans="2:9">
      <c r="B2680" s="1297"/>
      <c r="C2680" s="1297"/>
      <c r="D2680" s="1297" t="s">
        <v>938</v>
      </c>
      <c r="H2680" s="1399">
        <v>133631</v>
      </c>
      <c r="I2680" s="1399">
        <v>133631</v>
      </c>
    </row>
    <row r="2681" spans="2:9">
      <c r="B2681" s="1297"/>
      <c r="C2681" s="1297"/>
      <c r="D2681" s="1297" t="s">
        <v>939</v>
      </c>
      <c r="H2681" s="1399">
        <v>70000</v>
      </c>
      <c r="I2681" s="1399">
        <v>70000</v>
      </c>
    </row>
    <row r="2682" spans="2:9">
      <c r="B2682" s="1297"/>
      <c r="C2682" s="1297"/>
      <c r="D2682" s="1297" t="s">
        <v>1131</v>
      </c>
      <c r="E2682" s="1399">
        <v>116170.55</v>
      </c>
      <c r="I2682" s="1399">
        <v>116170.55</v>
      </c>
    </row>
    <row r="2683" spans="2:9">
      <c r="B2683" s="1297"/>
      <c r="C2683" s="1297"/>
      <c r="D2683" s="1297" t="s">
        <v>940</v>
      </c>
      <c r="E2683" s="1399">
        <v>6486667.0199999986</v>
      </c>
      <c r="I2683" s="1399">
        <v>6486667.0199999986</v>
      </c>
    </row>
    <row r="2684" spans="2:9">
      <c r="B2684" s="1297"/>
      <c r="C2684" s="1297"/>
      <c r="D2684" s="1297" t="s">
        <v>941</v>
      </c>
      <c r="E2684" s="1399">
        <v>2725259.5599999996</v>
      </c>
      <c r="I2684" s="1399">
        <v>2725259.5599999996</v>
      </c>
    </row>
    <row r="2685" spans="2:9">
      <c r="B2685" s="1297"/>
      <c r="C2685" s="1297"/>
      <c r="D2685" s="1297" t="s">
        <v>943</v>
      </c>
      <c r="E2685" s="1399">
        <v>73021.659999999989</v>
      </c>
      <c r="I2685" s="1399">
        <v>73021.659999999989</v>
      </c>
    </row>
    <row r="2686" spans="2:9">
      <c r="B2686" s="1297"/>
      <c r="C2686" s="1297"/>
      <c r="D2686" s="1297" t="s">
        <v>944</v>
      </c>
      <c r="E2686" s="1399">
        <v>12470438.509999998</v>
      </c>
      <c r="I2686" s="1399">
        <v>12470438.509999998</v>
      </c>
    </row>
    <row r="2687" spans="2:9">
      <c r="B2687" s="1297"/>
      <c r="C2687" s="1297"/>
      <c r="D2687" s="1297" t="s">
        <v>945</v>
      </c>
      <c r="E2687" s="1399">
        <v>11730509.42</v>
      </c>
      <c r="I2687" s="1399">
        <v>11730509.42</v>
      </c>
    </row>
    <row r="2688" spans="2:9">
      <c r="B2688" s="1297"/>
      <c r="C2688" s="1297"/>
      <c r="D2688" s="1297" t="s">
        <v>946</v>
      </c>
      <c r="E2688" s="1399">
        <v>232390.1</v>
      </c>
      <c r="I2688" s="1399">
        <v>232390.1</v>
      </c>
    </row>
    <row r="2689" spans="2:9">
      <c r="B2689" s="1297"/>
      <c r="C2689" s="1297"/>
      <c r="D2689" s="1297" t="s">
        <v>1214</v>
      </c>
      <c r="E2689" s="1399">
        <v>264090.53000000003</v>
      </c>
      <c r="I2689" s="1399">
        <v>264090.53000000003</v>
      </c>
    </row>
    <row r="2690" spans="2:9">
      <c r="B2690" s="1297"/>
      <c r="C2690" s="1297"/>
      <c r="D2690" s="1297" t="s">
        <v>947</v>
      </c>
      <c r="E2690" s="1399">
        <v>613365.42999999993</v>
      </c>
      <c r="I2690" s="1399">
        <v>613365.42999999993</v>
      </c>
    </row>
    <row r="2691" spans="2:9">
      <c r="B2691" s="1297"/>
      <c r="C2691" s="1297"/>
      <c r="D2691" s="1297" t="s">
        <v>1115</v>
      </c>
      <c r="E2691" s="1399">
        <v>22833.55</v>
      </c>
      <c r="I2691" s="1399">
        <v>22833.55</v>
      </c>
    </row>
    <row r="2692" spans="2:9">
      <c r="B2692" s="1297"/>
      <c r="C2692" s="1297"/>
      <c r="D2692" s="1297" t="s">
        <v>1116</v>
      </c>
      <c r="G2692" s="1399">
        <v>9500000</v>
      </c>
      <c r="I2692" s="1399">
        <v>9500000</v>
      </c>
    </row>
    <row r="2693" spans="2:9">
      <c r="B2693" s="1297"/>
      <c r="C2693" s="1297"/>
      <c r="D2693" s="1297" t="s">
        <v>948</v>
      </c>
      <c r="G2693" s="1399">
        <v>58503730.370000005</v>
      </c>
      <c r="I2693" s="1399">
        <v>58503730.370000005</v>
      </c>
    </row>
    <row r="2694" spans="2:9">
      <c r="B2694" s="1297"/>
      <c r="C2694" s="1297"/>
      <c r="D2694" s="1297" t="s">
        <v>956</v>
      </c>
      <c r="G2694" s="1399">
        <v>148142.58000000002</v>
      </c>
      <c r="I2694" s="1399">
        <v>148142.58000000002</v>
      </c>
    </row>
    <row r="2695" spans="2:9">
      <c r="B2695" s="1297"/>
      <c r="C2695" s="1297"/>
      <c r="D2695" s="1297" t="s">
        <v>1167</v>
      </c>
      <c r="G2695" s="1399">
        <v>3000000</v>
      </c>
      <c r="I2695" s="1399">
        <v>3000000</v>
      </c>
    </row>
    <row r="2696" spans="2:9">
      <c r="B2696" s="1297"/>
      <c r="C2696" s="1400" t="s">
        <v>1168</v>
      </c>
      <c r="D2696" s="1400"/>
      <c r="E2696" s="1401">
        <v>34734746.329999998</v>
      </c>
      <c r="F2696" s="1401">
        <v>104659631.61000001</v>
      </c>
      <c r="G2696" s="1401">
        <v>71151872.950000003</v>
      </c>
      <c r="H2696" s="1401">
        <v>113324140.92000002</v>
      </c>
      <c r="I2696" s="1401">
        <v>323870391.81</v>
      </c>
    </row>
    <row r="2697" spans="2:9">
      <c r="B2697" s="1297" t="s">
        <v>1169</v>
      </c>
      <c r="C2697" s="1297" t="s">
        <v>1170</v>
      </c>
      <c r="D2697" s="1297" t="s">
        <v>906</v>
      </c>
      <c r="F2697" s="1399">
        <v>5291478.6900000004</v>
      </c>
      <c r="I2697" s="1399">
        <v>5291478.6900000004</v>
      </c>
    </row>
    <row r="2698" spans="2:9">
      <c r="B2698" s="1297"/>
      <c r="C2698" s="1297"/>
      <c r="D2698" s="1297" t="s">
        <v>907</v>
      </c>
      <c r="F2698" s="1399">
        <v>449613.72</v>
      </c>
      <c r="I2698" s="1399">
        <v>449613.72</v>
      </c>
    </row>
    <row r="2699" spans="2:9">
      <c r="B2699" s="1297"/>
      <c r="C2699" s="1297"/>
      <c r="D2699" s="1297" t="s">
        <v>1039</v>
      </c>
      <c r="F2699" s="1399">
        <v>7116.4699999999993</v>
      </c>
      <c r="I2699" s="1399">
        <v>7116.4699999999993</v>
      </c>
    </row>
    <row r="2700" spans="2:9">
      <c r="B2700" s="1297"/>
      <c r="C2700" s="1297"/>
      <c r="D2700" s="1297" t="s">
        <v>1041</v>
      </c>
      <c r="F2700" s="1399">
        <v>62.55</v>
      </c>
      <c r="I2700" s="1399">
        <v>62.55</v>
      </c>
    </row>
    <row r="2701" spans="2:9">
      <c r="B2701" s="1297"/>
      <c r="C2701" s="1297"/>
      <c r="D2701" s="1297" t="s">
        <v>1042</v>
      </c>
      <c r="F2701" s="1399">
        <v>33230.61</v>
      </c>
      <c r="I2701" s="1399">
        <v>33230.61</v>
      </c>
    </row>
    <row r="2702" spans="2:9">
      <c r="B2702" s="1297"/>
      <c r="C2702" s="1297"/>
      <c r="D2702" s="1297" t="s">
        <v>954</v>
      </c>
      <c r="F2702" s="1399">
        <v>250387.54</v>
      </c>
      <c r="I2702" s="1399">
        <v>250387.54</v>
      </c>
    </row>
    <row r="2703" spans="2:9">
      <c r="B2703" s="1297"/>
      <c r="C2703" s="1297"/>
      <c r="D2703" s="1297" t="s">
        <v>1044</v>
      </c>
      <c r="F2703" s="1399">
        <v>96698.07</v>
      </c>
      <c r="I2703" s="1399">
        <v>96698.07</v>
      </c>
    </row>
    <row r="2704" spans="2:9">
      <c r="B2704" s="1297"/>
      <c r="C2704" s="1297"/>
      <c r="D2704" s="1297" t="s">
        <v>1045</v>
      </c>
      <c r="F2704" s="1399">
        <v>273818.96000000002</v>
      </c>
      <c r="I2704" s="1399">
        <v>273818.96000000002</v>
      </c>
    </row>
    <row r="2705" spans="2:9">
      <c r="B2705" s="1297"/>
      <c r="C2705" s="1297"/>
      <c r="D2705" s="1297" t="s">
        <v>1046</v>
      </c>
      <c r="H2705" s="1399">
        <v>6511392</v>
      </c>
      <c r="I2705" s="1399">
        <v>6511392</v>
      </c>
    </row>
    <row r="2706" spans="2:9">
      <c r="B2706" s="1297"/>
      <c r="C2706" s="1297"/>
      <c r="D2706" s="1297" t="s">
        <v>1128</v>
      </c>
      <c r="H2706" s="1399">
        <v>478464</v>
      </c>
      <c r="I2706" s="1399">
        <v>478464</v>
      </c>
    </row>
    <row r="2707" spans="2:9">
      <c r="B2707" s="1297"/>
      <c r="C2707" s="1297"/>
      <c r="D2707" s="1297" t="s">
        <v>1129</v>
      </c>
      <c r="H2707" s="1399">
        <v>-778487</v>
      </c>
      <c r="I2707" s="1399">
        <v>-778487</v>
      </c>
    </row>
    <row r="2708" spans="2:9">
      <c r="B2708" s="1297"/>
      <c r="C2708" s="1297"/>
      <c r="D2708" s="1297" t="s">
        <v>1047</v>
      </c>
      <c r="H2708" s="1399">
        <v>362305</v>
      </c>
      <c r="I2708" s="1399">
        <v>362305</v>
      </c>
    </row>
    <row r="2709" spans="2:9">
      <c r="B2709" s="1297"/>
      <c r="C2709" s="1297"/>
      <c r="D2709" s="1297" t="s">
        <v>1048</v>
      </c>
      <c r="H2709" s="1399">
        <v>-2283612</v>
      </c>
      <c r="I2709" s="1399">
        <v>-2283612</v>
      </c>
    </row>
    <row r="2710" spans="2:9">
      <c r="B2710" s="1297"/>
      <c r="C2710" s="1297"/>
      <c r="D2710" s="1297" t="s">
        <v>934</v>
      </c>
      <c r="H2710" s="1399">
        <v>17992.900000000001</v>
      </c>
      <c r="I2710" s="1399">
        <v>17992.900000000001</v>
      </c>
    </row>
    <row r="2711" spans="2:9">
      <c r="B2711" s="1297"/>
      <c r="C2711" s="1297"/>
      <c r="D2711" s="1297" t="s">
        <v>935</v>
      </c>
      <c r="H2711" s="1399">
        <v>565872.5</v>
      </c>
      <c r="I2711" s="1399">
        <v>565872.5</v>
      </c>
    </row>
    <row r="2712" spans="2:9">
      <c r="B2712" s="1297"/>
      <c r="C2712" s="1297"/>
      <c r="D2712" s="1297" t="s">
        <v>939</v>
      </c>
      <c r="H2712" s="1399">
        <v>44395.76</v>
      </c>
      <c r="I2712" s="1399">
        <v>44395.76</v>
      </c>
    </row>
    <row r="2713" spans="2:9">
      <c r="B2713" s="1297"/>
      <c r="C2713" s="1297"/>
      <c r="D2713" s="1297" t="s">
        <v>1131</v>
      </c>
      <c r="E2713" s="1399">
        <v>2111905.52</v>
      </c>
      <c r="I2713" s="1399">
        <v>2111905.52</v>
      </c>
    </row>
    <row r="2714" spans="2:9">
      <c r="B2714" s="1297"/>
      <c r="C2714" s="1297"/>
      <c r="D2714" s="1297" t="s">
        <v>940</v>
      </c>
      <c r="E2714" s="1399">
        <v>513030.56</v>
      </c>
      <c r="I2714" s="1399">
        <v>513030.56</v>
      </c>
    </row>
    <row r="2715" spans="2:9">
      <c r="B2715" s="1297"/>
      <c r="C2715" s="1297"/>
      <c r="D2715" s="1297" t="s">
        <v>941</v>
      </c>
      <c r="E2715" s="1399">
        <v>237592.69999999998</v>
      </c>
      <c r="I2715" s="1399">
        <v>237592.69999999998</v>
      </c>
    </row>
    <row r="2716" spans="2:9">
      <c r="B2716" s="1297"/>
      <c r="C2716" s="1297"/>
      <c r="D2716" s="1297" t="s">
        <v>943</v>
      </c>
      <c r="E2716" s="1399">
        <v>36112</v>
      </c>
      <c r="I2716" s="1399">
        <v>36112</v>
      </c>
    </row>
    <row r="2717" spans="2:9">
      <c r="B2717" s="1297"/>
      <c r="C2717" s="1297"/>
      <c r="D2717" s="1297" t="s">
        <v>944</v>
      </c>
      <c r="E2717" s="1399">
        <v>1509113.47</v>
      </c>
      <c r="I2717" s="1399">
        <v>1509113.47</v>
      </c>
    </row>
    <row r="2718" spans="2:9">
      <c r="B2718" s="1297"/>
      <c r="C2718" s="1297"/>
      <c r="D2718" s="1297" t="s">
        <v>945</v>
      </c>
      <c r="E2718" s="1399">
        <v>346985.83999999997</v>
      </c>
      <c r="I2718" s="1399">
        <v>346985.83999999997</v>
      </c>
    </row>
    <row r="2719" spans="2:9">
      <c r="B2719" s="1297"/>
      <c r="C2719" s="1297"/>
      <c r="D2719" s="1297" t="s">
        <v>946</v>
      </c>
      <c r="E2719" s="1399">
        <v>16873.11</v>
      </c>
      <c r="I2719" s="1399">
        <v>16873.11</v>
      </c>
    </row>
    <row r="2720" spans="2:9">
      <c r="B2720" s="1297"/>
      <c r="C2720" s="1297"/>
      <c r="D2720" s="1297" t="s">
        <v>978</v>
      </c>
      <c r="E2720" s="1399">
        <v>26254.79</v>
      </c>
      <c r="I2720" s="1399">
        <v>26254.79</v>
      </c>
    </row>
    <row r="2721" spans="2:9">
      <c r="B2721" s="1297"/>
      <c r="C2721" s="1297"/>
      <c r="D2721" s="1297" t="s">
        <v>947</v>
      </c>
      <c r="E2721" s="1399">
        <v>15942.62</v>
      </c>
      <c r="I2721" s="1399">
        <v>15942.62</v>
      </c>
    </row>
    <row r="2722" spans="2:9">
      <c r="B2722" s="1297"/>
      <c r="C2722" s="1297"/>
      <c r="D2722" s="1297" t="s">
        <v>948</v>
      </c>
      <c r="G2722" s="1399">
        <v>790824.4800000001</v>
      </c>
      <c r="I2722" s="1399">
        <v>790824.4800000001</v>
      </c>
    </row>
    <row r="2723" spans="2:9">
      <c r="B2723" s="1297"/>
      <c r="C2723" s="1297"/>
      <c r="D2723" s="1297" t="s">
        <v>1118</v>
      </c>
      <c r="G2723" s="1399">
        <v>1500</v>
      </c>
      <c r="I2723" s="1399">
        <v>1500</v>
      </c>
    </row>
    <row r="2724" spans="2:9">
      <c r="B2724" s="1297"/>
      <c r="C2724" s="1400" t="s">
        <v>1171</v>
      </c>
      <c r="D2724" s="1400"/>
      <c r="E2724" s="1401">
        <v>4813810.6100000003</v>
      </c>
      <c r="F2724" s="1401">
        <v>6402406.6100000003</v>
      </c>
      <c r="G2724" s="1401">
        <v>792324.4800000001</v>
      </c>
      <c r="H2724" s="1401">
        <v>4918323.16</v>
      </c>
      <c r="I2724" s="1401">
        <v>16926864.859999996</v>
      </c>
    </row>
    <row r="2725" spans="2:9">
      <c r="B2725" s="1297" t="s">
        <v>1172</v>
      </c>
      <c r="C2725" s="1297" t="s">
        <v>1173</v>
      </c>
      <c r="D2725" s="1297" t="s">
        <v>906</v>
      </c>
      <c r="F2725" s="1399">
        <v>9902042.1099999994</v>
      </c>
      <c r="I2725" s="1399">
        <v>9902042.1099999994</v>
      </c>
    </row>
    <row r="2726" spans="2:9">
      <c r="B2726" s="1297"/>
      <c r="C2726" s="1297"/>
      <c r="D2726" s="1297" t="s">
        <v>952</v>
      </c>
      <c r="F2726" s="1399">
        <v>23602.41</v>
      </c>
      <c r="I2726" s="1399">
        <v>23602.41</v>
      </c>
    </row>
    <row r="2727" spans="2:9">
      <c r="B2727" s="1297"/>
      <c r="C2727" s="1297"/>
      <c r="D2727" s="1297" t="s">
        <v>907</v>
      </c>
      <c r="F2727" s="1399">
        <v>2422813.1100000003</v>
      </c>
      <c r="I2727" s="1399">
        <v>2422813.1100000003</v>
      </c>
    </row>
    <row r="2728" spans="2:9">
      <c r="B2728" s="1297"/>
      <c r="C2728" s="1297"/>
      <c r="D2728" s="1297" t="s">
        <v>908</v>
      </c>
      <c r="F2728" s="1399">
        <v>20529.37</v>
      </c>
      <c r="I2728" s="1399">
        <v>20529.37</v>
      </c>
    </row>
    <row r="2729" spans="2:9">
      <c r="B2729" s="1297"/>
      <c r="C2729" s="1297"/>
      <c r="D2729" s="1297" t="s">
        <v>1034</v>
      </c>
      <c r="F2729" s="1399">
        <v>5453.3</v>
      </c>
      <c r="I2729" s="1399">
        <v>5453.3</v>
      </c>
    </row>
    <row r="2730" spans="2:9">
      <c r="B2730" s="1297"/>
      <c r="C2730" s="1297"/>
      <c r="D2730" s="1297" t="s">
        <v>1037</v>
      </c>
      <c r="F2730" s="1399">
        <v>10954.41</v>
      </c>
      <c r="I2730" s="1399">
        <v>10954.41</v>
      </c>
    </row>
    <row r="2731" spans="2:9">
      <c r="B2731" s="1297"/>
      <c r="C2731" s="1297"/>
      <c r="D2731" s="1297" t="s">
        <v>1039</v>
      </c>
      <c r="F2731" s="1399">
        <v>97807.62000000001</v>
      </c>
      <c r="I2731" s="1399">
        <v>97807.62000000001</v>
      </c>
    </row>
    <row r="2732" spans="2:9">
      <c r="B2732" s="1297"/>
      <c r="C2732" s="1297"/>
      <c r="D2732" s="1297" t="s">
        <v>1040</v>
      </c>
      <c r="F2732" s="1399">
        <v>307199.69</v>
      </c>
      <c r="I2732" s="1399">
        <v>307199.69</v>
      </c>
    </row>
    <row r="2733" spans="2:9">
      <c r="B2733" s="1297"/>
      <c r="C2733" s="1297"/>
      <c r="D2733" s="1297" t="s">
        <v>1041</v>
      </c>
      <c r="F2733" s="1399">
        <v>10567.02</v>
      </c>
      <c r="I2733" s="1399">
        <v>10567.02</v>
      </c>
    </row>
    <row r="2734" spans="2:9">
      <c r="B2734" s="1297"/>
      <c r="C2734" s="1297"/>
      <c r="D2734" s="1297" t="s">
        <v>1042</v>
      </c>
      <c r="F2734" s="1399">
        <v>12221.82</v>
      </c>
      <c r="I2734" s="1399">
        <v>12221.82</v>
      </c>
    </row>
    <row r="2735" spans="2:9">
      <c r="B2735" s="1297"/>
      <c r="C2735" s="1297"/>
      <c r="D2735" s="1297" t="s">
        <v>954</v>
      </c>
      <c r="F2735" s="1399">
        <v>588539.76</v>
      </c>
      <c r="I2735" s="1399">
        <v>588539.76</v>
      </c>
    </row>
    <row r="2736" spans="2:9">
      <c r="B2736" s="1297"/>
      <c r="C2736" s="1297"/>
      <c r="D2736" s="1297" t="s">
        <v>986</v>
      </c>
      <c r="F2736" s="1399">
        <v>6910.02</v>
      </c>
      <c r="I2736" s="1399">
        <v>6910.02</v>
      </c>
    </row>
    <row r="2737" spans="2:9">
      <c r="B2737" s="1297"/>
      <c r="C2737" s="1297"/>
      <c r="D2737" s="1297" t="s">
        <v>991</v>
      </c>
      <c r="F2737" s="1399">
        <v>73983.909999999989</v>
      </c>
      <c r="I2737" s="1399">
        <v>73983.909999999989</v>
      </c>
    </row>
    <row r="2738" spans="2:9">
      <c r="B2738" s="1297"/>
      <c r="C2738" s="1297"/>
      <c r="D2738" s="1297" t="s">
        <v>1045</v>
      </c>
      <c r="F2738" s="1399">
        <v>418199.7</v>
      </c>
      <c r="I2738" s="1399">
        <v>418199.7</v>
      </c>
    </row>
    <row r="2739" spans="2:9">
      <c r="B2739" s="1297"/>
      <c r="C2739" s="1297"/>
      <c r="D2739" s="1297" t="s">
        <v>1046</v>
      </c>
      <c r="H2739" s="1399">
        <v>19216096</v>
      </c>
      <c r="I2739" s="1399">
        <v>19216096</v>
      </c>
    </row>
    <row r="2740" spans="2:9">
      <c r="B2740" s="1297"/>
      <c r="C2740" s="1297"/>
      <c r="D2740" s="1297" t="s">
        <v>1128</v>
      </c>
      <c r="H2740" s="1399">
        <v>1519530</v>
      </c>
      <c r="I2740" s="1399">
        <v>1519530</v>
      </c>
    </row>
    <row r="2741" spans="2:9">
      <c r="B2741" s="1297"/>
      <c r="C2741" s="1297"/>
      <c r="D2741" s="1297" t="s">
        <v>1129</v>
      </c>
      <c r="H2741" s="1399">
        <v>-2753779</v>
      </c>
      <c r="I2741" s="1399">
        <v>-2753779</v>
      </c>
    </row>
    <row r="2742" spans="2:9">
      <c r="B2742" s="1297"/>
      <c r="C2742" s="1297"/>
      <c r="D2742" s="1297" t="s">
        <v>1047</v>
      </c>
      <c r="H2742" s="1399">
        <v>636041</v>
      </c>
      <c r="I2742" s="1399">
        <v>636041</v>
      </c>
    </row>
    <row r="2743" spans="2:9">
      <c r="B2743" s="1297"/>
      <c r="C2743" s="1297"/>
      <c r="D2743" s="1297" t="s">
        <v>1048</v>
      </c>
      <c r="H2743" s="1399">
        <v>-2717482</v>
      </c>
      <c r="I2743" s="1399">
        <v>-2717482</v>
      </c>
    </row>
    <row r="2744" spans="2:9">
      <c r="B2744" s="1297"/>
      <c r="C2744" s="1297"/>
      <c r="D2744" s="1297" t="s">
        <v>932</v>
      </c>
      <c r="H2744" s="1399">
        <v>1872825</v>
      </c>
      <c r="I2744" s="1399">
        <v>1872825</v>
      </c>
    </row>
    <row r="2745" spans="2:9">
      <c r="B2745" s="1297"/>
      <c r="C2745" s="1297"/>
      <c r="D2745" s="1297" t="s">
        <v>934</v>
      </c>
      <c r="H2745" s="1399">
        <v>59728</v>
      </c>
      <c r="I2745" s="1399">
        <v>59728</v>
      </c>
    </row>
    <row r="2746" spans="2:9">
      <c r="B2746" s="1297"/>
      <c r="C2746" s="1297"/>
      <c r="D2746" s="1297" t="s">
        <v>935</v>
      </c>
      <c r="H2746" s="1399">
        <v>424825.86</v>
      </c>
      <c r="I2746" s="1399">
        <v>424825.86</v>
      </c>
    </row>
    <row r="2747" spans="2:9">
      <c r="B2747" s="1297"/>
      <c r="C2747" s="1297"/>
      <c r="D2747" s="1297" t="s">
        <v>936</v>
      </c>
      <c r="H2747" s="1399">
        <v>54973.63</v>
      </c>
      <c r="I2747" s="1399">
        <v>54973.63</v>
      </c>
    </row>
    <row r="2748" spans="2:9">
      <c r="B2748" s="1297"/>
      <c r="C2748" s="1297"/>
      <c r="D2748" s="1297" t="s">
        <v>937</v>
      </c>
      <c r="H2748" s="1399">
        <v>9735.76</v>
      </c>
      <c r="I2748" s="1399">
        <v>9735.76</v>
      </c>
    </row>
    <row r="2749" spans="2:9">
      <c r="B2749" s="1297"/>
      <c r="C2749" s="1297"/>
      <c r="D2749" s="1297" t="s">
        <v>938</v>
      </c>
      <c r="H2749" s="1399">
        <v>21336</v>
      </c>
      <c r="I2749" s="1399">
        <v>21336</v>
      </c>
    </row>
    <row r="2750" spans="2:9">
      <c r="B2750" s="1297"/>
      <c r="C2750" s="1297"/>
      <c r="D2750" s="1297" t="s">
        <v>939</v>
      </c>
      <c r="H2750" s="1399">
        <v>834443.79</v>
      </c>
      <c r="I2750" s="1399">
        <v>834443.79</v>
      </c>
    </row>
    <row r="2751" spans="2:9">
      <c r="B2751" s="1297"/>
      <c r="C2751" s="1297"/>
      <c r="D2751" s="1297" t="s">
        <v>1131</v>
      </c>
      <c r="E2751" s="1399">
        <v>340741.14</v>
      </c>
      <c r="I2751" s="1399">
        <v>340741.14</v>
      </c>
    </row>
    <row r="2752" spans="2:9">
      <c r="B2752" s="1297"/>
      <c r="C2752" s="1297"/>
      <c r="D2752" s="1297" t="s">
        <v>940</v>
      </c>
      <c r="E2752" s="1399">
        <v>740702.4</v>
      </c>
      <c r="I2752" s="1399">
        <v>740702.4</v>
      </c>
    </row>
    <row r="2753" spans="2:9">
      <c r="B2753" s="1297"/>
      <c r="C2753" s="1297"/>
      <c r="D2753" s="1297" t="s">
        <v>941</v>
      </c>
      <c r="E2753" s="1399">
        <v>257403.58</v>
      </c>
      <c r="I2753" s="1399">
        <v>257403.58</v>
      </c>
    </row>
    <row r="2754" spans="2:9">
      <c r="B2754" s="1297"/>
      <c r="C2754" s="1297"/>
      <c r="D2754" s="1297" t="s">
        <v>943</v>
      </c>
      <c r="E2754" s="1399">
        <v>5614.38</v>
      </c>
      <c r="I2754" s="1399">
        <v>5614.38</v>
      </c>
    </row>
    <row r="2755" spans="2:9">
      <c r="B2755" s="1297"/>
      <c r="C2755" s="1297"/>
      <c r="D2755" s="1297" t="s">
        <v>944</v>
      </c>
      <c r="E2755" s="1399">
        <v>3420952.1699999995</v>
      </c>
      <c r="I2755" s="1399">
        <v>3420952.1699999995</v>
      </c>
    </row>
    <row r="2756" spans="2:9">
      <c r="B2756" s="1297"/>
      <c r="C2756" s="1297"/>
      <c r="D2756" s="1297" t="s">
        <v>945</v>
      </c>
      <c r="E2756" s="1399">
        <v>2364753.14</v>
      </c>
      <c r="I2756" s="1399">
        <v>2364753.14</v>
      </c>
    </row>
    <row r="2757" spans="2:9">
      <c r="B2757" s="1297"/>
      <c r="C2757" s="1297"/>
      <c r="D2757" s="1297" t="s">
        <v>947</v>
      </c>
      <c r="E2757" s="1399">
        <v>53280.29</v>
      </c>
      <c r="I2757" s="1399">
        <v>53280.29</v>
      </c>
    </row>
    <row r="2758" spans="2:9">
      <c r="B2758" s="1297"/>
      <c r="C2758" s="1297"/>
      <c r="D2758" s="1297" t="s">
        <v>1115</v>
      </c>
      <c r="E2758" s="1399">
        <v>78260.97</v>
      </c>
      <c r="I2758" s="1399">
        <v>78260.97</v>
      </c>
    </row>
    <row r="2759" spans="2:9">
      <c r="B2759" s="1297"/>
      <c r="C2759" s="1297"/>
      <c r="D2759" s="1297" t="s">
        <v>948</v>
      </c>
      <c r="G2759" s="1399">
        <v>140806.32</v>
      </c>
      <c r="I2759" s="1399">
        <v>140806.32</v>
      </c>
    </row>
    <row r="2760" spans="2:9">
      <c r="B2760" s="1297"/>
      <c r="C2760" s="1400" t="s">
        <v>1174</v>
      </c>
      <c r="D2760" s="1400"/>
      <c r="E2760" s="1401">
        <v>7261708.0700000003</v>
      </c>
      <c r="F2760" s="1401">
        <v>13900824.249999996</v>
      </c>
      <c r="G2760" s="1401">
        <v>140806.32</v>
      </c>
      <c r="H2760" s="1401">
        <v>19178274.039999999</v>
      </c>
      <c r="I2760" s="1401">
        <v>40481612.68</v>
      </c>
    </row>
    <row r="2761" spans="2:9">
      <c r="B2761" s="1297" t="s">
        <v>1175</v>
      </c>
      <c r="C2761" s="1297" t="s">
        <v>1176</v>
      </c>
      <c r="D2761" s="1297" t="s">
        <v>906</v>
      </c>
      <c r="F2761" s="1399">
        <v>21480713.069999997</v>
      </c>
      <c r="I2761" s="1399">
        <v>21480713.069999997</v>
      </c>
    </row>
    <row r="2762" spans="2:9">
      <c r="B2762" s="1297"/>
      <c r="C2762" s="1297"/>
      <c r="D2762" s="1297" t="s">
        <v>952</v>
      </c>
      <c r="F2762" s="1399">
        <v>519482.76</v>
      </c>
      <c r="I2762" s="1399">
        <v>519482.76</v>
      </c>
    </row>
    <row r="2763" spans="2:9">
      <c r="B2763" s="1297"/>
      <c r="C2763" s="1297"/>
      <c r="D2763" s="1297" t="s">
        <v>907</v>
      </c>
      <c r="F2763" s="1399">
        <v>2343914.25</v>
      </c>
      <c r="I2763" s="1399">
        <v>2343914.25</v>
      </c>
    </row>
    <row r="2764" spans="2:9">
      <c r="B2764" s="1297"/>
      <c r="C2764" s="1297"/>
      <c r="D2764" s="1297" t="s">
        <v>908</v>
      </c>
      <c r="F2764" s="1399">
        <v>15109.87</v>
      </c>
      <c r="I2764" s="1399">
        <v>15109.87</v>
      </c>
    </row>
    <row r="2765" spans="2:9">
      <c r="B2765" s="1297"/>
      <c r="C2765" s="1297"/>
      <c r="D2765" s="1297" t="s">
        <v>909</v>
      </c>
      <c r="F2765" s="1399">
        <v>35048.61</v>
      </c>
      <c r="I2765" s="1399">
        <v>35048.61</v>
      </c>
    </row>
    <row r="2766" spans="2:9">
      <c r="B2766" s="1297"/>
      <c r="C2766" s="1297"/>
      <c r="D2766" s="1297" t="s">
        <v>910</v>
      </c>
      <c r="F2766" s="1399">
        <v>56702.38</v>
      </c>
      <c r="I2766" s="1399">
        <v>56702.38</v>
      </c>
    </row>
    <row r="2767" spans="2:9">
      <c r="B2767" s="1297"/>
      <c r="C2767" s="1297"/>
      <c r="D2767" s="1297" t="s">
        <v>1034</v>
      </c>
      <c r="F2767" s="1399">
        <v>94657.919999999998</v>
      </c>
      <c r="I2767" s="1399">
        <v>94657.919999999998</v>
      </c>
    </row>
    <row r="2768" spans="2:9">
      <c r="B2768" s="1297"/>
      <c r="C2768" s="1297"/>
      <c r="D2768" s="1297" t="s">
        <v>1035</v>
      </c>
      <c r="F2768" s="1399">
        <v>472747.58</v>
      </c>
      <c r="I2768" s="1399">
        <v>472747.58</v>
      </c>
    </row>
    <row r="2769" spans="2:9">
      <c r="B2769" s="1297"/>
      <c r="C2769" s="1297"/>
      <c r="D2769" s="1297" t="s">
        <v>1036</v>
      </c>
      <c r="F2769" s="1399">
        <v>91401.41</v>
      </c>
      <c r="I2769" s="1399">
        <v>91401.41</v>
      </c>
    </row>
    <row r="2770" spans="2:9">
      <c r="B2770" s="1297"/>
      <c r="C2770" s="1297"/>
      <c r="D2770" s="1297" t="s">
        <v>1037</v>
      </c>
      <c r="F2770" s="1399">
        <v>75600</v>
      </c>
      <c r="I2770" s="1399">
        <v>75600</v>
      </c>
    </row>
    <row r="2771" spans="2:9">
      <c r="B2771" s="1297"/>
      <c r="C2771" s="1297"/>
      <c r="D2771" s="1297" t="s">
        <v>1039</v>
      </c>
      <c r="F2771" s="1399">
        <v>18043.679999999997</v>
      </c>
      <c r="I2771" s="1399">
        <v>18043.679999999997</v>
      </c>
    </row>
    <row r="2772" spans="2:9">
      <c r="B2772" s="1297"/>
      <c r="C2772" s="1297"/>
      <c r="D2772" s="1297" t="s">
        <v>1040</v>
      </c>
      <c r="F2772" s="1399">
        <v>984073.45</v>
      </c>
      <c r="I2772" s="1399">
        <v>984073.45</v>
      </c>
    </row>
    <row r="2773" spans="2:9">
      <c r="B2773" s="1297"/>
      <c r="C2773" s="1297"/>
      <c r="D2773" s="1297" t="s">
        <v>1041</v>
      </c>
      <c r="F2773" s="1399">
        <v>85540.24</v>
      </c>
      <c r="I2773" s="1399">
        <v>85540.24</v>
      </c>
    </row>
    <row r="2774" spans="2:9">
      <c r="B2774" s="1297"/>
      <c r="C2774" s="1297"/>
      <c r="D2774" s="1297" t="s">
        <v>1042</v>
      </c>
      <c r="F2774" s="1399">
        <v>89101.48</v>
      </c>
      <c r="I2774" s="1399">
        <v>89101.48</v>
      </c>
    </row>
    <row r="2775" spans="2:9">
      <c r="B2775" s="1297"/>
      <c r="C2775" s="1297"/>
      <c r="D2775" s="1297" t="s">
        <v>954</v>
      </c>
      <c r="F2775" s="1399">
        <v>385632.75</v>
      </c>
      <c r="I2775" s="1399">
        <v>385632.75</v>
      </c>
    </row>
    <row r="2776" spans="2:9">
      <c r="B2776" s="1297"/>
      <c r="C2776" s="1297"/>
      <c r="D2776" s="1297" t="s">
        <v>985</v>
      </c>
      <c r="F2776" s="1399">
        <v>286467</v>
      </c>
      <c r="I2776" s="1399">
        <v>286467</v>
      </c>
    </row>
    <row r="2777" spans="2:9">
      <c r="B2777" s="1297"/>
      <c r="C2777" s="1297"/>
      <c r="D2777" s="1297" t="s">
        <v>1043</v>
      </c>
      <c r="F2777" s="1399">
        <v>11895.27</v>
      </c>
      <c r="I2777" s="1399">
        <v>11895.27</v>
      </c>
    </row>
    <row r="2778" spans="2:9">
      <c r="B2778" s="1297"/>
      <c r="C2778" s="1297"/>
      <c r="D2778" s="1297" t="s">
        <v>1044</v>
      </c>
      <c r="F2778" s="1399">
        <v>37426.15</v>
      </c>
      <c r="I2778" s="1399">
        <v>37426.15</v>
      </c>
    </row>
    <row r="2779" spans="2:9">
      <c r="B2779" s="1297"/>
      <c r="C2779" s="1297"/>
      <c r="D2779" s="1297" t="s">
        <v>1045</v>
      </c>
      <c r="F2779" s="1399">
        <v>304731.33</v>
      </c>
      <c r="I2779" s="1399">
        <v>304731.33</v>
      </c>
    </row>
    <row r="2780" spans="2:9">
      <c r="B2780" s="1297"/>
      <c r="C2780" s="1297"/>
      <c r="D2780" s="1297" t="s">
        <v>1046</v>
      </c>
      <c r="H2780" s="1399">
        <v>26169943</v>
      </c>
      <c r="I2780" s="1399">
        <v>26169943</v>
      </c>
    </row>
    <row r="2781" spans="2:9">
      <c r="B2781" s="1297"/>
      <c r="C2781" s="1297"/>
      <c r="D2781" s="1297" t="s">
        <v>1129</v>
      </c>
      <c r="H2781" s="1399">
        <v>-3021938</v>
      </c>
      <c r="I2781" s="1399">
        <v>-3021938</v>
      </c>
    </row>
    <row r="2782" spans="2:9">
      <c r="B2782" s="1297"/>
      <c r="C2782" s="1297"/>
      <c r="D2782" s="1297" t="s">
        <v>1047</v>
      </c>
      <c r="H2782" s="1399">
        <v>629164</v>
      </c>
      <c r="I2782" s="1399">
        <v>629164</v>
      </c>
    </row>
    <row r="2783" spans="2:9">
      <c r="B2783" s="1297"/>
      <c r="C2783" s="1297"/>
      <c r="D2783" s="1297" t="s">
        <v>1048</v>
      </c>
      <c r="H2783" s="1399">
        <v>-5586345</v>
      </c>
      <c r="I2783" s="1399">
        <v>-5586345</v>
      </c>
    </row>
    <row r="2784" spans="2:9">
      <c r="B2784" s="1297"/>
      <c r="C2784" s="1297"/>
      <c r="D2784" s="1297" t="s">
        <v>955</v>
      </c>
      <c r="H2784" s="1399">
        <v>1000687.71</v>
      </c>
      <c r="I2784" s="1399">
        <v>1000687.71</v>
      </c>
    </row>
    <row r="2785" spans="2:9">
      <c r="B2785" s="1297"/>
      <c r="C2785" s="1297"/>
      <c r="D2785" s="1297" t="s">
        <v>934</v>
      </c>
      <c r="H2785" s="1399">
        <v>74318</v>
      </c>
      <c r="I2785" s="1399">
        <v>74318</v>
      </c>
    </row>
    <row r="2786" spans="2:9">
      <c r="B2786" s="1297"/>
      <c r="C2786" s="1297"/>
      <c r="D2786" s="1297" t="s">
        <v>935</v>
      </c>
      <c r="H2786" s="1399">
        <v>122983.34</v>
      </c>
      <c r="I2786" s="1399">
        <v>122983.34</v>
      </c>
    </row>
    <row r="2787" spans="2:9">
      <c r="B2787" s="1297"/>
      <c r="C2787" s="1297"/>
      <c r="D2787" s="1297" t="s">
        <v>936</v>
      </c>
      <c r="H2787" s="1399">
        <v>84386.28</v>
      </c>
      <c r="I2787" s="1399">
        <v>84386.28</v>
      </c>
    </row>
    <row r="2788" spans="2:9">
      <c r="B2788" s="1297"/>
      <c r="C2788" s="1297"/>
      <c r="D2788" s="1297" t="s">
        <v>937</v>
      </c>
      <c r="H2788" s="1399">
        <v>11615.2</v>
      </c>
      <c r="I2788" s="1399">
        <v>11615.2</v>
      </c>
    </row>
    <row r="2789" spans="2:9">
      <c r="B2789" s="1297"/>
      <c r="C2789" s="1297"/>
      <c r="D2789" s="1297" t="s">
        <v>938</v>
      </c>
      <c r="H2789" s="1399">
        <v>26202</v>
      </c>
      <c r="I2789" s="1399">
        <v>26202</v>
      </c>
    </row>
    <row r="2790" spans="2:9">
      <c r="B2790" s="1297"/>
      <c r="C2790" s="1297"/>
      <c r="D2790" s="1297" t="s">
        <v>939</v>
      </c>
      <c r="H2790" s="1399">
        <v>49424.94</v>
      </c>
      <c r="I2790" s="1399">
        <v>49424.94</v>
      </c>
    </row>
    <row r="2791" spans="2:9">
      <c r="B2791" s="1297"/>
      <c r="C2791" s="1297"/>
      <c r="D2791" s="1297" t="s">
        <v>940</v>
      </c>
      <c r="E2791" s="1399">
        <v>749283.2</v>
      </c>
      <c r="I2791" s="1399">
        <v>749283.2</v>
      </c>
    </row>
    <row r="2792" spans="2:9">
      <c r="B2792" s="1297"/>
      <c r="C2792" s="1297"/>
      <c r="D2792" s="1297" t="s">
        <v>941</v>
      </c>
      <c r="E2792" s="1399">
        <v>220627.92</v>
      </c>
      <c r="I2792" s="1399">
        <v>220627.92</v>
      </c>
    </row>
    <row r="2793" spans="2:9">
      <c r="B2793" s="1297"/>
      <c r="C2793" s="1297"/>
      <c r="D2793" s="1297" t="s">
        <v>943</v>
      </c>
      <c r="E2793" s="1399">
        <v>16074.21</v>
      </c>
      <c r="I2793" s="1399">
        <v>16074.21</v>
      </c>
    </row>
    <row r="2794" spans="2:9">
      <c r="B2794" s="1297"/>
      <c r="C2794" s="1297"/>
      <c r="D2794" s="1297" t="s">
        <v>944</v>
      </c>
      <c r="E2794" s="1399">
        <v>1720318.22</v>
      </c>
      <c r="I2794" s="1399">
        <v>1720318.22</v>
      </c>
    </row>
    <row r="2795" spans="2:9">
      <c r="B2795" s="1297"/>
      <c r="C2795" s="1297"/>
      <c r="D2795" s="1297" t="s">
        <v>945</v>
      </c>
      <c r="E2795" s="1399">
        <v>1638996.71</v>
      </c>
      <c r="I2795" s="1399">
        <v>1638996.71</v>
      </c>
    </row>
    <row r="2796" spans="2:9">
      <c r="B2796" s="1297"/>
      <c r="C2796" s="1297"/>
      <c r="D2796" s="1297" t="s">
        <v>947</v>
      </c>
      <c r="E2796" s="1399">
        <v>69506.37999999999</v>
      </c>
      <c r="I2796" s="1399">
        <v>69506.37999999999</v>
      </c>
    </row>
    <row r="2797" spans="2:9">
      <c r="B2797" s="1297"/>
      <c r="C2797" s="1297"/>
      <c r="D2797" s="1297" t="s">
        <v>1115</v>
      </c>
      <c r="E2797" s="1399">
        <v>47363.55000000001</v>
      </c>
      <c r="I2797" s="1399">
        <v>47363.55000000001</v>
      </c>
    </row>
    <row r="2798" spans="2:9">
      <c r="B2798" s="1297"/>
      <c r="C2798" s="1297"/>
      <c r="D2798" s="1297" t="s">
        <v>948</v>
      </c>
      <c r="G2798" s="1399">
        <v>2124066.4</v>
      </c>
      <c r="I2798" s="1399">
        <v>2124066.4</v>
      </c>
    </row>
    <row r="2799" spans="2:9">
      <c r="B2799" s="1297"/>
      <c r="C2799" s="1400" t="s">
        <v>1177</v>
      </c>
      <c r="D2799" s="1400"/>
      <c r="E2799" s="1401">
        <v>4462170.1899999995</v>
      </c>
      <c r="F2799" s="1401">
        <v>27388289.199999992</v>
      </c>
      <c r="G2799" s="1401">
        <v>2124066.4</v>
      </c>
      <c r="H2799" s="1401">
        <v>19560441.470000003</v>
      </c>
      <c r="I2799" s="1401">
        <v>53534967.259999998</v>
      </c>
    </row>
    <row r="2800" spans="2:9">
      <c r="B2800" s="1297" t="s">
        <v>1178</v>
      </c>
      <c r="C2800" s="1297" t="s">
        <v>1179</v>
      </c>
      <c r="D2800" s="1297" t="s">
        <v>906</v>
      </c>
      <c r="F2800" s="1399">
        <v>12323259</v>
      </c>
      <c r="I2800" s="1399">
        <v>12323259</v>
      </c>
    </row>
    <row r="2801" spans="2:9">
      <c r="B2801" s="1297"/>
      <c r="C2801" s="1297"/>
      <c r="D2801" s="1297" t="s">
        <v>952</v>
      </c>
      <c r="F2801" s="1399">
        <v>191312.07</v>
      </c>
      <c r="I2801" s="1399">
        <v>191312.07</v>
      </c>
    </row>
    <row r="2802" spans="2:9">
      <c r="B2802" s="1297"/>
      <c r="C2802" s="1297"/>
      <c r="D2802" s="1297" t="s">
        <v>907</v>
      </c>
      <c r="F2802" s="1399">
        <v>3015784.26</v>
      </c>
      <c r="I2802" s="1399">
        <v>3015784.26</v>
      </c>
    </row>
    <row r="2803" spans="2:9">
      <c r="B2803" s="1297"/>
      <c r="C2803" s="1297"/>
      <c r="D2803" s="1297" t="s">
        <v>908</v>
      </c>
      <c r="F2803" s="1399">
        <v>5466.78</v>
      </c>
      <c r="I2803" s="1399">
        <v>5466.78</v>
      </c>
    </row>
    <row r="2804" spans="2:9">
      <c r="B2804" s="1297"/>
      <c r="C2804" s="1297"/>
      <c r="D2804" s="1297" t="s">
        <v>909</v>
      </c>
      <c r="F2804" s="1399">
        <v>67044.039999999994</v>
      </c>
      <c r="I2804" s="1399">
        <v>67044.039999999994</v>
      </c>
    </row>
    <row r="2805" spans="2:9">
      <c r="B2805" s="1297"/>
      <c r="C2805" s="1297"/>
      <c r="D2805" s="1297" t="s">
        <v>910</v>
      </c>
      <c r="F2805" s="1399">
        <v>102731.04</v>
      </c>
      <c r="I2805" s="1399">
        <v>102731.04</v>
      </c>
    </row>
    <row r="2806" spans="2:9">
      <c r="B2806" s="1297"/>
      <c r="C2806" s="1297"/>
      <c r="D2806" s="1297" t="s">
        <v>1034</v>
      </c>
      <c r="F2806" s="1399">
        <v>53909.85</v>
      </c>
      <c r="I2806" s="1399">
        <v>53909.85</v>
      </c>
    </row>
    <row r="2807" spans="2:9">
      <c r="B2807" s="1297"/>
      <c r="C2807" s="1297"/>
      <c r="D2807" s="1297" t="s">
        <v>1035</v>
      </c>
      <c r="F2807" s="1399">
        <v>402586.42</v>
      </c>
      <c r="I2807" s="1399">
        <v>402586.42</v>
      </c>
    </row>
    <row r="2808" spans="2:9">
      <c r="B2808" s="1297"/>
      <c r="C2808" s="1297"/>
      <c r="D2808" s="1297" t="s">
        <v>1036</v>
      </c>
      <c r="F2808" s="1399">
        <v>199960.03</v>
      </c>
      <c r="I2808" s="1399">
        <v>199960.03</v>
      </c>
    </row>
    <row r="2809" spans="2:9">
      <c r="B2809" s="1297"/>
      <c r="C2809" s="1297"/>
      <c r="D2809" s="1297" t="s">
        <v>1037</v>
      </c>
      <c r="F2809" s="1399">
        <v>4800</v>
      </c>
      <c r="I2809" s="1399">
        <v>4800</v>
      </c>
    </row>
    <row r="2810" spans="2:9">
      <c r="B2810" s="1297"/>
      <c r="C2810" s="1297"/>
      <c r="D2810" s="1297" t="s">
        <v>1039</v>
      </c>
      <c r="F2810" s="1399">
        <v>15644.34</v>
      </c>
      <c r="I2810" s="1399">
        <v>15644.34</v>
      </c>
    </row>
    <row r="2811" spans="2:9">
      <c r="B2811" s="1297"/>
      <c r="C2811" s="1297"/>
      <c r="D2811" s="1297" t="s">
        <v>1040</v>
      </c>
      <c r="F2811" s="1399">
        <v>315675.3</v>
      </c>
      <c r="I2811" s="1399">
        <v>315675.3</v>
      </c>
    </row>
    <row r="2812" spans="2:9">
      <c r="B2812" s="1297"/>
      <c r="C2812" s="1297"/>
      <c r="D2812" s="1297" t="s">
        <v>1041</v>
      </c>
      <c r="F2812" s="1399">
        <v>60033.120000000003</v>
      </c>
      <c r="I2812" s="1399">
        <v>60033.120000000003</v>
      </c>
    </row>
    <row r="2813" spans="2:9">
      <c r="B2813" s="1297"/>
      <c r="C2813" s="1297"/>
      <c r="D2813" s="1297" t="s">
        <v>1042</v>
      </c>
      <c r="F2813" s="1399">
        <v>40772.85</v>
      </c>
      <c r="I2813" s="1399">
        <v>40772.85</v>
      </c>
    </row>
    <row r="2814" spans="2:9">
      <c r="B2814" s="1297"/>
      <c r="C2814" s="1297"/>
      <c r="D2814" s="1297" t="s">
        <v>1043</v>
      </c>
      <c r="F2814" s="1399">
        <v>6700</v>
      </c>
      <c r="I2814" s="1399">
        <v>6700</v>
      </c>
    </row>
    <row r="2815" spans="2:9">
      <c r="B2815" s="1297"/>
      <c r="C2815" s="1297"/>
      <c r="D2815" s="1297" t="s">
        <v>986</v>
      </c>
      <c r="F2815" s="1399">
        <v>57632.18</v>
      </c>
      <c r="I2815" s="1399">
        <v>57632.18</v>
      </c>
    </row>
    <row r="2816" spans="2:9">
      <c r="B2816" s="1297"/>
      <c r="C2816" s="1297"/>
      <c r="D2816" s="1297" t="s">
        <v>1004</v>
      </c>
      <c r="F2816" s="1399">
        <v>-105961.78</v>
      </c>
      <c r="I2816" s="1399">
        <v>-105961.78</v>
      </c>
    </row>
    <row r="2817" spans="2:9">
      <c r="B2817" s="1297"/>
      <c r="C2817" s="1297"/>
      <c r="D2817" s="1297" t="s">
        <v>1005</v>
      </c>
      <c r="F2817" s="1399">
        <v>9571.2000000000007</v>
      </c>
      <c r="I2817" s="1399">
        <v>9571.2000000000007</v>
      </c>
    </row>
    <row r="2818" spans="2:9">
      <c r="B2818" s="1297"/>
      <c r="C2818" s="1297"/>
      <c r="D2818" s="1297" t="s">
        <v>1045</v>
      </c>
      <c r="F2818" s="1399">
        <v>177939.12000000002</v>
      </c>
      <c r="I2818" s="1399">
        <v>177939.12000000002</v>
      </c>
    </row>
    <row r="2819" spans="2:9">
      <c r="B2819" s="1297"/>
      <c r="C2819" s="1297"/>
      <c r="D2819" s="1297" t="s">
        <v>1046</v>
      </c>
      <c r="H2819" s="1399">
        <v>17838699</v>
      </c>
      <c r="I2819" s="1399">
        <v>17838699</v>
      </c>
    </row>
    <row r="2820" spans="2:9">
      <c r="B2820" s="1297"/>
      <c r="C2820" s="1297"/>
      <c r="D2820" s="1297" t="s">
        <v>1047</v>
      </c>
      <c r="H2820" s="1399">
        <v>550922</v>
      </c>
      <c r="I2820" s="1399">
        <v>550922</v>
      </c>
    </row>
    <row r="2821" spans="2:9">
      <c r="B2821" s="1297"/>
      <c r="C2821" s="1297"/>
      <c r="D2821" s="1297" t="s">
        <v>1048</v>
      </c>
      <c r="H2821" s="1399">
        <v>-5513663</v>
      </c>
      <c r="I2821" s="1399">
        <v>-5513663</v>
      </c>
    </row>
    <row r="2822" spans="2:9">
      <c r="B2822" s="1297"/>
      <c r="C2822" s="1297"/>
      <c r="D2822" s="1297" t="s">
        <v>934</v>
      </c>
      <c r="H2822" s="1399">
        <v>56992</v>
      </c>
      <c r="I2822" s="1399">
        <v>56992</v>
      </c>
    </row>
    <row r="2823" spans="2:9">
      <c r="B2823" s="1297"/>
      <c r="C2823" s="1297"/>
      <c r="D2823" s="1297" t="s">
        <v>935</v>
      </c>
      <c r="H2823" s="1399">
        <v>762591.39999999991</v>
      </c>
      <c r="I2823" s="1399">
        <v>762591.39999999991</v>
      </c>
    </row>
    <row r="2824" spans="2:9">
      <c r="B2824" s="1297"/>
      <c r="C2824" s="1297"/>
      <c r="D2824" s="1297" t="s">
        <v>936</v>
      </c>
      <c r="H2824" s="1399">
        <v>60225.89</v>
      </c>
      <c r="I2824" s="1399">
        <v>60225.89</v>
      </c>
    </row>
    <row r="2825" spans="2:9">
      <c r="B2825" s="1297"/>
      <c r="C2825" s="1297"/>
      <c r="D2825" s="1297" t="s">
        <v>937</v>
      </c>
      <c r="H2825" s="1399">
        <v>22358.49</v>
      </c>
      <c r="I2825" s="1399">
        <v>22358.49</v>
      </c>
    </row>
    <row r="2826" spans="2:9">
      <c r="B2826" s="1297"/>
      <c r="C2826" s="1297"/>
      <c r="D2826" s="1297" t="s">
        <v>938</v>
      </c>
      <c r="H2826" s="1399">
        <v>23769</v>
      </c>
      <c r="I2826" s="1399">
        <v>23769</v>
      </c>
    </row>
    <row r="2827" spans="2:9">
      <c r="B2827" s="1297"/>
      <c r="C2827" s="1297"/>
      <c r="D2827" s="1297" t="s">
        <v>939</v>
      </c>
      <c r="H2827" s="1399">
        <v>42237.58</v>
      </c>
      <c r="I2827" s="1399">
        <v>42237.58</v>
      </c>
    </row>
    <row r="2828" spans="2:9">
      <c r="B2828" s="1297"/>
      <c r="C2828" s="1297"/>
      <c r="D2828" s="1297" t="s">
        <v>940</v>
      </c>
      <c r="E2828" s="1399">
        <v>850365.02</v>
      </c>
      <c r="I2828" s="1399">
        <v>850365.02</v>
      </c>
    </row>
    <row r="2829" spans="2:9">
      <c r="B2829" s="1297"/>
      <c r="C2829" s="1297"/>
      <c r="D2829" s="1297" t="s">
        <v>941</v>
      </c>
      <c r="E2829" s="1399">
        <v>371949.56</v>
      </c>
      <c r="I2829" s="1399">
        <v>371949.56</v>
      </c>
    </row>
    <row r="2830" spans="2:9">
      <c r="B2830" s="1297"/>
      <c r="C2830" s="1297"/>
      <c r="D2830" s="1297" t="s">
        <v>944</v>
      </c>
      <c r="E2830" s="1399">
        <v>2230758.6899999995</v>
      </c>
      <c r="I2830" s="1399">
        <v>2230758.6899999995</v>
      </c>
    </row>
    <row r="2831" spans="2:9">
      <c r="B2831" s="1297"/>
      <c r="C2831" s="1297"/>
      <c r="D2831" s="1297" t="s">
        <v>945</v>
      </c>
      <c r="E2831" s="1399">
        <v>980848.14</v>
      </c>
      <c r="I2831" s="1399">
        <v>980848.14</v>
      </c>
    </row>
    <row r="2832" spans="2:9">
      <c r="B2832" s="1297"/>
      <c r="C2832" s="1297"/>
      <c r="D2832" s="1297" t="s">
        <v>947</v>
      </c>
      <c r="E2832" s="1399">
        <v>81996.58</v>
      </c>
      <c r="I2832" s="1399">
        <v>81996.58</v>
      </c>
    </row>
    <row r="2833" spans="2:9">
      <c r="B2833" s="1297"/>
      <c r="C2833" s="1297"/>
      <c r="D2833" s="1297" t="s">
        <v>948</v>
      </c>
      <c r="G2833" s="1399">
        <v>801.23</v>
      </c>
      <c r="I2833" s="1399">
        <v>801.23</v>
      </c>
    </row>
    <row r="2834" spans="2:9">
      <c r="B2834" s="1297"/>
      <c r="C2834" s="1297"/>
      <c r="D2834" s="1297" t="s">
        <v>1118</v>
      </c>
      <c r="G2834" s="1399">
        <v>0</v>
      </c>
      <c r="I2834" s="1399">
        <v>0</v>
      </c>
    </row>
    <row r="2835" spans="2:9">
      <c r="B2835" s="1297"/>
      <c r="C2835" s="1400" t="s">
        <v>1180</v>
      </c>
      <c r="D2835" s="1400"/>
      <c r="E2835" s="1401">
        <v>4515917.9899999993</v>
      </c>
      <c r="F2835" s="1401">
        <v>16944859.819999997</v>
      </c>
      <c r="G2835" s="1401">
        <v>801.23</v>
      </c>
      <c r="H2835" s="1401">
        <v>13844132.360000001</v>
      </c>
      <c r="I2835" s="1401">
        <v>35305711.399999984</v>
      </c>
    </row>
    <row r="2836" spans="2:9">
      <c r="B2836" s="1297" t="s">
        <v>1181</v>
      </c>
      <c r="C2836" s="1297" t="s">
        <v>1182</v>
      </c>
      <c r="D2836" s="1297" t="s">
        <v>906</v>
      </c>
      <c r="F2836" s="1399">
        <v>6539302.6799999997</v>
      </c>
      <c r="I2836" s="1399">
        <v>6539302.6799999997</v>
      </c>
    </row>
    <row r="2837" spans="2:9">
      <c r="B2837" s="1297"/>
      <c r="C2837" s="1297"/>
      <c r="D2837" s="1297" t="s">
        <v>952</v>
      </c>
      <c r="F2837" s="1399">
        <v>66423.25</v>
      </c>
      <c r="I2837" s="1399">
        <v>66423.25</v>
      </c>
    </row>
    <row r="2838" spans="2:9">
      <c r="B2838" s="1297"/>
      <c r="C2838" s="1297"/>
      <c r="D2838" s="1297" t="s">
        <v>907</v>
      </c>
      <c r="F2838" s="1399">
        <v>5617705.1399999997</v>
      </c>
      <c r="I2838" s="1399">
        <v>5617705.1399999997</v>
      </c>
    </row>
    <row r="2839" spans="2:9">
      <c r="B2839" s="1297"/>
      <c r="C2839" s="1297"/>
      <c r="D2839" s="1297" t="s">
        <v>1145</v>
      </c>
      <c r="F2839" s="1399">
        <v>0</v>
      </c>
      <c r="I2839" s="1399">
        <v>0</v>
      </c>
    </row>
    <row r="2840" spans="2:9">
      <c r="B2840" s="1297"/>
      <c r="C2840" s="1297"/>
      <c r="D2840" s="1297" t="s">
        <v>1036</v>
      </c>
      <c r="F2840" s="1399">
        <v>76490.78</v>
      </c>
      <c r="I2840" s="1399">
        <v>76490.78</v>
      </c>
    </row>
    <row r="2841" spans="2:9">
      <c r="B2841" s="1297"/>
      <c r="C2841" s="1297"/>
      <c r="D2841" s="1297" t="s">
        <v>1039</v>
      </c>
      <c r="F2841" s="1399">
        <v>93887.989999999991</v>
      </c>
      <c r="I2841" s="1399">
        <v>93887.989999999991</v>
      </c>
    </row>
    <row r="2842" spans="2:9">
      <c r="B2842" s="1297"/>
      <c r="C2842" s="1297"/>
      <c r="D2842" s="1297" t="s">
        <v>1040</v>
      </c>
      <c r="F2842" s="1399">
        <v>181313.03</v>
      </c>
      <c r="I2842" s="1399">
        <v>181313.03</v>
      </c>
    </row>
    <row r="2843" spans="2:9">
      <c r="B2843" s="1297"/>
      <c r="C2843" s="1297"/>
      <c r="D2843" s="1297" t="s">
        <v>1041</v>
      </c>
      <c r="F2843" s="1399">
        <v>32853.300000000003</v>
      </c>
      <c r="I2843" s="1399">
        <v>32853.300000000003</v>
      </c>
    </row>
    <row r="2844" spans="2:9">
      <c r="B2844" s="1297"/>
      <c r="C2844" s="1297"/>
      <c r="D2844" s="1297" t="s">
        <v>1042</v>
      </c>
      <c r="F2844" s="1399">
        <v>36900.300000000003</v>
      </c>
      <c r="I2844" s="1399">
        <v>36900.300000000003</v>
      </c>
    </row>
    <row r="2845" spans="2:9">
      <c r="B2845" s="1297"/>
      <c r="C2845" s="1297"/>
      <c r="D2845" s="1297" t="s">
        <v>953</v>
      </c>
      <c r="F2845" s="1399">
        <v>2489.9899999999998</v>
      </c>
      <c r="I2845" s="1399">
        <v>2489.9899999999998</v>
      </c>
    </row>
    <row r="2846" spans="2:9">
      <c r="B2846" s="1297"/>
      <c r="C2846" s="1297"/>
      <c r="D2846" s="1297" t="s">
        <v>1045</v>
      </c>
      <c r="F2846" s="1399">
        <v>734629.69000000006</v>
      </c>
      <c r="I2846" s="1399">
        <v>734629.69000000006</v>
      </c>
    </row>
    <row r="2847" spans="2:9">
      <c r="B2847" s="1297"/>
      <c r="C2847" s="1297"/>
      <c r="D2847" s="1297" t="s">
        <v>1046</v>
      </c>
      <c r="H2847" s="1399">
        <v>10331093</v>
      </c>
      <c r="I2847" s="1399">
        <v>10331093</v>
      </c>
    </row>
    <row r="2848" spans="2:9">
      <c r="B2848" s="1297"/>
      <c r="C2848" s="1297"/>
      <c r="D2848" s="1297" t="s">
        <v>1047</v>
      </c>
      <c r="H2848" s="1399">
        <v>344110</v>
      </c>
      <c r="I2848" s="1399">
        <v>344110</v>
      </c>
    </row>
    <row r="2849" spans="2:9">
      <c r="B2849" s="1297"/>
      <c r="C2849" s="1297"/>
      <c r="D2849" s="1297" t="s">
        <v>1048</v>
      </c>
      <c r="H2849" s="1399">
        <v>-1800344</v>
      </c>
      <c r="I2849" s="1399">
        <v>-1800344</v>
      </c>
    </row>
    <row r="2850" spans="2:9">
      <c r="B2850" s="1297"/>
      <c r="C2850" s="1297"/>
      <c r="D2850" s="1297" t="s">
        <v>932</v>
      </c>
      <c r="H2850" s="1399">
        <v>438084</v>
      </c>
      <c r="I2850" s="1399">
        <v>438084</v>
      </c>
    </row>
    <row r="2851" spans="2:9">
      <c r="B2851" s="1297"/>
      <c r="C2851" s="1297"/>
      <c r="D2851" s="1297" t="s">
        <v>955</v>
      </c>
      <c r="H2851" s="1399">
        <v>552703.9</v>
      </c>
      <c r="I2851" s="1399">
        <v>552703.9</v>
      </c>
    </row>
    <row r="2852" spans="2:9">
      <c r="B2852" s="1297"/>
      <c r="C2852" s="1297"/>
      <c r="D2852" s="1297" t="s">
        <v>934</v>
      </c>
      <c r="H2852" s="1399">
        <v>38127</v>
      </c>
      <c r="I2852" s="1399">
        <v>38127</v>
      </c>
    </row>
    <row r="2853" spans="2:9">
      <c r="B2853" s="1297"/>
      <c r="C2853" s="1297"/>
      <c r="D2853" s="1297" t="s">
        <v>935</v>
      </c>
      <c r="H2853" s="1399">
        <v>273465.34000000003</v>
      </c>
      <c r="I2853" s="1399">
        <v>273465.34000000003</v>
      </c>
    </row>
    <row r="2854" spans="2:9">
      <c r="B2854" s="1297"/>
      <c r="C2854" s="1297"/>
      <c r="D2854" s="1297" t="s">
        <v>936</v>
      </c>
      <c r="H2854" s="1399">
        <v>32914.15</v>
      </c>
      <c r="I2854" s="1399">
        <v>32914.15</v>
      </c>
    </row>
    <row r="2855" spans="2:9">
      <c r="B2855" s="1297"/>
      <c r="C2855" s="1297"/>
      <c r="D2855" s="1297" t="s">
        <v>938</v>
      </c>
      <c r="H2855" s="1399">
        <v>9545</v>
      </c>
      <c r="I2855" s="1399">
        <v>9545</v>
      </c>
    </row>
    <row r="2856" spans="2:9">
      <c r="B2856" s="1297"/>
      <c r="C2856" s="1297"/>
      <c r="D2856" s="1297" t="s">
        <v>940</v>
      </c>
      <c r="E2856" s="1399">
        <v>551509.56000000006</v>
      </c>
      <c r="I2856" s="1399">
        <v>551509.56000000006</v>
      </c>
    </row>
    <row r="2857" spans="2:9">
      <c r="B2857" s="1297"/>
      <c r="C2857" s="1297"/>
      <c r="D2857" s="1297" t="s">
        <v>941</v>
      </c>
      <c r="E2857" s="1399">
        <v>174927.46</v>
      </c>
      <c r="I2857" s="1399">
        <v>174927.46</v>
      </c>
    </row>
    <row r="2858" spans="2:9">
      <c r="B2858" s="1297"/>
      <c r="C2858" s="1297"/>
      <c r="D2858" s="1297" t="s">
        <v>942</v>
      </c>
      <c r="E2858" s="1399">
        <v>8648.5499999999993</v>
      </c>
      <c r="I2858" s="1399">
        <v>8648.5499999999993</v>
      </c>
    </row>
    <row r="2859" spans="2:9">
      <c r="B2859" s="1297"/>
      <c r="C2859" s="1297"/>
      <c r="D2859" s="1297" t="s">
        <v>943</v>
      </c>
      <c r="E2859" s="1399">
        <v>15572.56</v>
      </c>
      <c r="I2859" s="1399">
        <v>15572.56</v>
      </c>
    </row>
    <row r="2860" spans="2:9">
      <c r="B2860" s="1297"/>
      <c r="C2860" s="1297"/>
      <c r="D2860" s="1297" t="s">
        <v>944</v>
      </c>
      <c r="E2860" s="1399">
        <v>1220439.6399999999</v>
      </c>
      <c r="I2860" s="1399">
        <v>1220439.6399999999</v>
      </c>
    </row>
    <row r="2861" spans="2:9">
      <c r="B2861" s="1297"/>
      <c r="C2861" s="1297"/>
      <c r="D2861" s="1297" t="s">
        <v>945</v>
      </c>
      <c r="E2861" s="1399">
        <v>780062.05</v>
      </c>
      <c r="I2861" s="1399">
        <v>780062.05</v>
      </c>
    </row>
    <row r="2862" spans="2:9">
      <c r="B2862" s="1297"/>
      <c r="C2862" s="1297"/>
      <c r="D2862" s="1297" t="s">
        <v>946</v>
      </c>
      <c r="E2862" s="1399">
        <v>50</v>
      </c>
      <c r="I2862" s="1399">
        <v>50</v>
      </c>
    </row>
    <row r="2863" spans="2:9">
      <c r="B2863" s="1297"/>
      <c r="C2863" s="1297"/>
      <c r="D2863" s="1297" t="s">
        <v>947</v>
      </c>
      <c r="E2863" s="1399">
        <v>95313.87</v>
      </c>
      <c r="I2863" s="1399">
        <v>95313.87</v>
      </c>
    </row>
    <row r="2864" spans="2:9">
      <c r="B2864" s="1297"/>
      <c r="C2864" s="1297"/>
      <c r="D2864" s="1297" t="s">
        <v>1116</v>
      </c>
      <c r="G2864" s="1399">
        <v>11465000</v>
      </c>
      <c r="I2864" s="1399">
        <v>11465000</v>
      </c>
    </row>
    <row r="2865" spans="2:9">
      <c r="B2865" s="1297"/>
      <c r="C2865" s="1297"/>
      <c r="D2865" s="1297" t="s">
        <v>1117</v>
      </c>
      <c r="G2865" s="1399">
        <v>704585.35000000009</v>
      </c>
      <c r="I2865" s="1399">
        <v>704585.35000000009</v>
      </c>
    </row>
    <row r="2866" spans="2:9">
      <c r="B2866" s="1297"/>
      <c r="C2866" s="1297"/>
      <c r="D2866" s="1297" t="s">
        <v>948</v>
      </c>
      <c r="G2866" s="1399">
        <v>16795175.579999998</v>
      </c>
      <c r="I2866" s="1399">
        <v>16795175.579999998</v>
      </c>
    </row>
    <row r="2867" spans="2:9">
      <c r="B2867" s="1297"/>
      <c r="C2867" s="1297"/>
      <c r="D2867" s="1297" t="s">
        <v>956</v>
      </c>
      <c r="G2867" s="1399">
        <v>63000</v>
      </c>
      <c r="I2867" s="1399">
        <v>63000</v>
      </c>
    </row>
    <row r="2868" spans="2:9">
      <c r="B2868" s="1297"/>
      <c r="C2868" s="1400" t="s">
        <v>1183</v>
      </c>
      <c r="D2868" s="1400"/>
      <c r="E2868" s="1401">
        <v>2846523.6900000004</v>
      </c>
      <c r="F2868" s="1401">
        <v>13381996.15</v>
      </c>
      <c r="G2868" s="1401">
        <v>29027760.93</v>
      </c>
      <c r="H2868" s="1401">
        <v>10219698.390000001</v>
      </c>
      <c r="I2868" s="1401">
        <v>55475979.159999996</v>
      </c>
    </row>
    <row r="2869" spans="2:9">
      <c r="B2869" s="1297" t="s">
        <v>1184</v>
      </c>
      <c r="C2869" s="1297" t="s">
        <v>1185</v>
      </c>
      <c r="D2869" s="1297" t="s">
        <v>906</v>
      </c>
      <c r="F2869" s="1399">
        <v>137382774.94</v>
      </c>
      <c r="I2869" s="1399">
        <v>137382774.94</v>
      </c>
    </row>
    <row r="2870" spans="2:9">
      <c r="B2870" s="1297"/>
      <c r="C2870" s="1297"/>
      <c r="D2870" s="1297" t="s">
        <v>907</v>
      </c>
      <c r="F2870" s="1399">
        <v>28079306.390000001</v>
      </c>
      <c r="I2870" s="1399">
        <v>28079306.390000001</v>
      </c>
    </row>
    <row r="2871" spans="2:9">
      <c r="B2871" s="1297"/>
      <c r="C2871" s="1297"/>
      <c r="D2871" s="1297" t="s">
        <v>908</v>
      </c>
      <c r="F2871" s="1399">
        <v>1887756.07</v>
      </c>
      <c r="I2871" s="1399">
        <v>1887756.07</v>
      </c>
    </row>
    <row r="2872" spans="2:9">
      <c r="B2872" s="1297"/>
      <c r="C2872" s="1297"/>
      <c r="D2872" s="1297" t="s">
        <v>909</v>
      </c>
      <c r="F2872" s="1399">
        <v>257443.05000000002</v>
      </c>
      <c r="I2872" s="1399">
        <v>257443.05000000002</v>
      </c>
    </row>
    <row r="2873" spans="2:9">
      <c r="B2873" s="1297"/>
      <c r="C2873" s="1297"/>
      <c r="D2873" s="1297" t="s">
        <v>910</v>
      </c>
      <c r="F2873" s="1399">
        <v>1004716.6800000002</v>
      </c>
      <c r="I2873" s="1399">
        <v>1004716.6800000002</v>
      </c>
    </row>
    <row r="2874" spans="2:9">
      <c r="B2874" s="1297"/>
      <c r="C2874" s="1297"/>
      <c r="D2874" s="1297" t="s">
        <v>1034</v>
      </c>
      <c r="F2874" s="1399">
        <v>429934.87999999995</v>
      </c>
      <c r="I2874" s="1399">
        <v>429934.87999999995</v>
      </c>
    </row>
    <row r="2875" spans="2:9">
      <c r="B2875" s="1297"/>
      <c r="C2875" s="1297"/>
      <c r="D2875" s="1297" t="s">
        <v>1035</v>
      </c>
      <c r="F2875" s="1399">
        <v>3419170.1000000006</v>
      </c>
      <c r="I2875" s="1399">
        <v>3419170.1000000006</v>
      </c>
    </row>
    <row r="2876" spans="2:9">
      <c r="B2876" s="1297"/>
      <c r="C2876" s="1297"/>
      <c r="D2876" s="1297" t="s">
        <v>1036</v>
      </c>
      <c r="F2876" s="1399">
        <v>744044.08000000007</v>
      </c>
      <c r="I2876" s="1399">
        <v>744044.08000000007</v>
      </c>
    </row>
    <row r="2877" spans="2:9">
      <c r="B2877" s="1297"/>
      <c r="C2877" s="1297"/>
      <c r="D2877" s="1297" t="s">
        <v>1037</v>
      </c>
      <c r="F2877" s="1399">
        <v>2989316.11</v>
      </c>
      <c r="I2877" s="1399">
        <v>2989316.11</v>
      </c>
    </row>
    <row r="2878" spans="2:9">
      <c r="B2878" s="1297"/>
      <c r="C2878" s="1297"/>
      <c r="D2878" s="1297" t="s">
        <v>1105</v>
      </c>
      <c r="F2878" s="1399">
        <v>69150</v>
      </c>
      <c r="I2878" s="1399">
        <v>69150</v>
      </c>
    </row>
    <row r="2879" spans="2:9">
      <c r="B2879" s="1297"/>
      <c r="C2879" s="1297"/>
      <c r="D2879" s="1297" t="s">
        <v>1038</v>
      </c>
      <c r="F2879" s="1399">
        <v>25780</v>
      </c>
      <c r="I2879" s="1399">
        <v>25780</v>
      </c>
    </row>
    <row r="2880" spans="2:9">
      <c r="B2880" s="1297"/>
      <c r="C2880" s="1297"/>
      <c r="D2880" s="1297" t="s">
        <v>1039</v>
      </c>
      <c r="F2880" s="1399">
        <v>159036.9</v>
      </c>
      <c r="I2880" s="1399">
        <v>159036.9</v>
      </c>
    </row>
    <row r="2881" spans="2:9">
      <c r="B2881" s="1297"/>
      <c r="C2881" s="1297"/>
      <c r="D2881" s="1297" t="s">
        <v>1040</v>
      </c>
      <c r="F2881" s="1399">
        <v>3465649.0400000005</v>
      </c>
      <c r="I2881" s="1399">
        <v>3465649.0400000005</v>
      </c>
    </row>
    <row r="2882" spans="2:9">
      <c r="B2882" s="1297"/>
      <c r="C2882" s="1297"/>
      <c r="D2882" s="1297" t="s">
        <v>1127</v>
      </c>
      <c r="F2882" s="1399">
        <v>399450.94000000006</v>
      </c>
      <c r="I2882" s="1399">
        <v>399450.94000000006</v>
      </c>
    </row>
    <row r="2883" spans="2:9">
      <c r="B2883" s="1297"/>
      <c r="C2883" s="1297"/>
      <c r="D2883" s="1297" t="s">
        <v>1041</v>
      </c>
      <c r="F2883" s="1399">
        <v>321371.15999999997</v>
      </c>
      <c r="I2883" s="1399">
        <v>321371.15999999997</v>
      </c>
    </row>
    <row r="2884" spans="2:9">
      <c r="B2884" s="1297"/>
      <c r="C2884" s="1297"/>
      <c r="D2884" s="1297" t="s">
        <v>1042</v>
      </c>
      <c r="F2884" s="1399">
        <v>294880.73000000004</v>
      </c>
      <c r="I2884" s="1399">
        <v>294880.73000000004</v>
      </c>
    </row>
    <row r="2885" spans="2:9">
      <c r="B2885" s="1297"/>
      <c r="C2885" s="1297"/>
      <c r="D2885" s="1297" t="s">
        <v>1044</v>
      </c>
      <c r="F2885" s="1399">
        <v>486696</v>
      </c>
      <c r="I2885" s="1399">
        <v>486696</v>
      </c>
    </row>
    <row r="2886" spans="2:9">
      <c r="B2886" s="1297"/>
      <c r="C2886" s="1297"/>
      <c r="D2886" s="1297" t="s">
        <v>1045</v>
      </c>
      <c r="F2886" s="1399">
        <v>6907019.9499999993</v>
      </c>
      <c r="I2886" s="1399">
        <v>6907019.9499999993</v>
      </c>
    </row>
    <row r="2887" spans="2:9">
      <c r="B2887" s="1297"/>
      <c r="C2887" s="1297"/>
      <c r="D2887" s="1297" t="s">
        <v>1046</v>
      </c>
      <c r="H2887" s="1399">
        <v>209770791</v>
      </c>
      <c r="I2887" s="1399">
        <v>209770791</v>
      </c>
    </row>
    <row r="2888" spans="2:9">
      <c r="B2888" s="1297"/>
      <c r="C2888" s="1297"/>
      <c r="D2888" s="1297" t="s">
        <v>1128</v>
      </c>
      <c r="H2888" s="1399">
        <v>17690924</v>
      </c>
      <c r="I2888" s="1399">
        <v>17690924</v>
      </c>
    </row>
    <row r="2889" spans="2:9">
      <c r="B2889" s="1297"/>
      <c r="C2889" s="1297"/>
      <c r="D2889" s="1297" t="s">
        <v>1129</v>
      </c>
      <c r="H2889" s="1399">
        <v>-27568410</v>
      </c>
      <c r="I2889" s="1399">
        <v>-27568410</v>
      </c>
    </row>
    <row r="2890" spans="2:9">
      <c r="B2890" s="1297"/>
      <c r="C2890" s="1297"/>
      <c r="D2890" s="1297" t="s">
        <v>1047</v>
      </c>
      <c r="H2890" s="1399">
        <v>2096441</v>
      </c>
      <c r="I2890" s="1399">
        <v>2096441</v>
      </c>
    </row>
    <row r="2891" spans="2:9">
      <c r="B2891" s="1297"/>
      <c r="C2891" s="1297"/>
      <c r="D2891" s="1297" t="s">
        <v>1048</v>
      </c>
      <c r="H2891" s="1399">
        <v>-34993975</v>
      </c>
      <c r="I2891" s="1399">
        <v>-34993975</v>
      </c>
    </row>
    <row r="2892" spans="2:9">
      <c r="B2892" s="1297"/>
      <c r="C2892" s="1297"/>
      <c r="D2892" s="1297" t="s">
        <v>932</v>
      </c>
      <c r="H2892" s="1399">
        <v>12092484</v>
      </c>
      <c r="I2892" s="1399">
        <v>12092484</v>
      </c>
    </row>
    <row r="2893" spans="2:9">
      <c r="B2893" s="1297"/>
      <c r="C2893" s="1297"/>
      <c r="D2893" s="1297" t="s">
        <v>934</v>
      </c>
      <c r="H2893" s="1399">
        <v>1027228.62</v>
      </c>
      <c r="I2893" s="1399">
        <v>1027228.62</v>
      </c>
    </row>
    <row r="2894" spans="2:9">
      <c r="B2894" s="1297"/>
      <c r="C2894" s="1297"/>
      <c r="D2894" s="1297" t="s">
        <v>935</v>
      </c>
      <c r="H2894" s="1399">
        <v>1798875.23</v>
      </c>
      <c r="I2894" s="1399">
        <v>1798875.23</v>
      </c>
    </row>
    <row r="2895" spans="2:9">
      <c r="B2895" s="1297"/>
      <c r="C2895" s="1297"/>
      <c r="D2895" s="1297" t="s">
        <v>936</v>
      </c>
      <c r="H2895" s="1399">
        <v>448192.69</v>
      </c>
      <c r="I2895" s="1399">
        <v>448192.69</v>
      </c>
    </row>
    <row r="2896" spans="2:9">
      <c r="B2896" s="1297"/>
      <c r="C2896" s="1297"/>
      <c r="D2896" s="1297" t="s">
        <v>937</v>
      </c>
      <c r="H2896" s="1399">
        <v>236643.48</v>
      </c>
      <c r="I2896" s="1399">
        <v>236643.48</v>
      </c>
    </row>
    <row r="2897" spans="2:9">
      <c r="B2897" s="1297"/>
      <c r="C2897" s="1297"/>
      <c r="D2897" s="1297" t="s">
        <v>938</v>
      </c>
      <c r="H2897" s="1399">
        <v>172935</v>
      </c>
      <c r="I2897" s="1399">
        <v>172935</v>
      </c>
    </row>
    <row r="2898" spans="2:9">
      <c r="B2898" s="1297"/>
      <c r="C2898" s="1297"/>
      <c r="D2898" s="1297" t="s">
        <v>1131</v>
      </c>
      <c r="E2898" s="1399">
        <v>585212.14</v>
      </c>
      <c r="I2898" s="1399">
        <v>585212.14</v>
      </c>
    </row>
    <row r="2899" spans="2:9">
      <c r="B2899" s="1297"/>
      <c r="C2899" s="1297"/>
      <c r="D2899" s="1297" t="s">
        <v>940</v>
      </c>
      <c r="E2899" s="1399">
        <v>7771200.8200000003</v>
      </c>
      <c r="I2899" s="1399">
        <v>7771200.8200000003</v>
      </c>
    </row>
    <row r="2900" spans="2:9">
      <c r="B2900" s="1297"/>
      <c r="C2900" s="1297"/>
      <c r="D2900" s="1297" t="s">
        <v>941</v>
      </c>
      <c r="E2900" s="1399">
        <v>2303645.08</v>
      </c>
      <c r="I2900" s="1399">
        <v>2303645.08</v>
      </c>
    </row>
    <row r="2901" spans="2:9">
      <c r="B2901" s="1297"/>
      <c r="C2901" s="1297"/>
      <c r="D2901" s="1297" t="s">
        <v>944</v>
      </c>
      <c r="E2901" s="1399">
        <v>13082750.499999998</v>
      </c>
      <c r="I2901" s="1399">
        <v>13082750.499999998</v>
      </c>
    </row>
    <row r="2902" spans="2:9">
      <c r="B2902" s="1297"/>
      <c r="C2902" s="1297"/>
      <c r="D2902" s="1297" t="s">
        <v>945</v>
      </c>
      <c r="E2902" s="1399">
        <v>17319045.609999999</v>
      </c>
      <c r="I2902" s="1399">
        <v>17319045.609999999</v>
      </c>
    </row>
    <row r="2903" spans="2:9">
      <c r="B2903" s="1297"/>
      <c r="C2903" s="1297"/>
      <c r="D2903" s="1297" t="s">
        <v>946</v>
      </c>
      <c r="E2903" s="1399">
        <v>958060.36</v>
      </c>
      <c r="I2903" s="1399">
        <v>958060.36</v>
      </c>
    </row>
    <row r="2904" spans="2:9">
      <c r="B2904" s="1297"/>
      <c r="C2904" s="1297"/>
      <c r="D2904" s="1297" t="s">
        <v>947</v>
      </c>
      <c r="E2904" s="1399">
        <v>931989.45</v>
      </c>
      <c r="I2904" s="1399">
        <v>931989.45</v>
      </c>
    </row>
    <row r="2905" spans="2:9">
      <c r="B2905" s="1297"/>
      <c r="C2905" s="1297"/>
      <c r="D2905" s="1297" t="s">
        <v>1115</v>
      </c>
      <c r="E2905" s="1399">
        <v>745413.2</v>
      </c>
      <c r="I2905" s="1399">
        <v>745413.2</v>
      </c>
    </row>
    <row r="2906" spans="2:9">
      <c r="B2906" s="1297"/>
      <c r="C2906" s="1297"/>
      <c r="D2906" s="1297" t="s">
        <v>948</v>
      </c>
      <c r="G2906" s="1399">
        <v>14639195.199999997</v>
      </c>
      <c r="I2906" s="1399">
        <v>14639195.199999997</v>
      </c>
    </row>
    <row r="2907" spans="2:9">
      <c r="B2907" s="1297"/>
      <c r="C2907" s="1400" t="s">
        <v>1186</v>
      </c>
      <c r="D2907" s="1400"/>
      <c r="E2907" s="1401">
        <v>43697317.160000004</v>
      </c>
      <c r="F2907" s="1401">
        <v>188323497.01999998</v>
      </c>
      <c r="G2907" s="1401">
        <v>14639195.199999997</v>
      </c>
      <c r="H2907" s="1401">
        <v>182772130.01999998</v>
      </c>
      <c r="I2907" s="1401">
        <v>429432139.39999998</v>
      </c>
    </row>
    <row r="2908" spans="2:9">
      <c r="B2908" s="1297" t="s">
        <v>1187</v>
      </c>
      <c r="C2908" s="1297" t="s">
        <v>1188</v>
      </c>
      <c r="D2908" s="1297" t="s">
        <v>906</v>
      </c>
      <c r="F2908" s="1399">
        <v>48993245.75</v>
      </c>
      <c r="I2908" s="1399">
        <v>48993245.75</v>
      </c>
    </row>
    <row r="2909" spans="2:9">
      <c r="B2909" s="1297"/>
      <c r="C2909" s="1297"/>
      <c r="D2909" s="1297" t="s">
        <v>1126</v>
      </c>
      <c r="F2909" s="1399">
        <v>21202664.010000002</v>
      </c>
      <c r="I2909" s="1399">
        <v>21202664.010000002</v>
      </c>
    </row>
    <row r="2910" spans="2:9">
      <c r="B2910" s="1297"/>
      <c r="C2910" s="1297"/>
      <c r="D2910" s="1297" t="s">
        <v>952</v>
      </c>
      <c r="F2910" s="1399">
        <v>872056.21</v>
      </c>
      <c r="I2910" s="1399">
        <v>872056.21</v>
      </c>
    </row>
    <row r="2911" spans="2:9">
      <c r="B2911" s="1297"/>
      <c r="C2911" s="1297"/>
      <c r="D2911" s="1297" t="s">
        <v>907</v>
      </c>
      <c r="F2911" s="1399">
        <v>20301080.850000001</v>
      </c>
      <c r="I2911" s="1399">
        <v>20301080.850000001</v>
      </c>
    </row>
    <row r="2912" spans="2:9">
      <c r="B2912" s="1297"/>
      <c r="C2912" s="1297"/>
      <c r="D2912" s="1297" t="s">
        <v>908</v>
      </c>
      <c r="F2912" s="1399">
        <v>20738.79</v>
      </c>
      <c r="I2912" s="1399">
        <v>20738.79</v>
      </c>
    </row>
    <row r="2913" spans="2:9">
      <c r="B2913" s="1297"/>
      <c r="C2913" s="1297"/>
      <c r="D2913" s="1297" t="s">
        <v>909</v>
      </c>
      <c r="F2913" s="1399">
        <v>344609.47</v>
      </c>
      <c r="I2913" s="1399">
        <v>344609.47</v>
      </c>
    </row>
    <row r="2914" spans="2:9">
      <c r="B2914" s="1297"/>
      <c r="C2914" s="1297"/>
      <c r="D2914" s="1297" t="s">
        <v>910</v>
      </c>
      <c r="F2914" s="1399">
        <v>23085</v>
      </c>
      <c r="I2914" s="1399">
        <v>23085</v>
      </c>
    </row>
    <row r="2915" spans="2:9">
      <c r="B2915" s="1297"/>
      <c r="C2915" s="1297"/>
      <c r="D2915" s="1297" t="s">
        <v>1034</v>
      </c>
      <c r="F2915" s="1399">
        <v>649558.88</v>
      </c>
      <c r="I2915" s="1399">
        <v>649558.88</v>
      </c>
    </row>
    <row r="2916" spans="2:9">
      <c r="B2916" s="1297"/>
      <c r="C2916" s="1297"/>
      <c r="D2916" s="1297" t="s">
        <v>1035</v>
      </c>
      <c r="F2916" s="1399">
        <v>2186188.9500000002</v>
      </c>
      <c r="I2916" s="1399">
        <v>2186188.9500000002</v>
      </c>
    </row>
    <row r="2917" spans="2:9">
      <c r="B2917" s="1297"/>
      <c r="C2917" s="1297"/>
      <c r="D2917" s="1297" t="s">
        <v>1036</v>
      </c>
      <c r="F2917" s="1399">
        <v>752533.58</v>
      </c>
      <c r="I2917" s="1399">
        <v>752533.58</v>
      </c>
    </row>
    <row r="2918" spans="2:9">
      <c r="B2918" s="1297"/>
      <c r="C2918" s="1297"/>
      <c r="D2918" s="1297" t="s">
        <v>1037</v>
      </c>
      <c r="F2918" s="1399">
        <v>174421.86</v>
      </c>
      <c r="I2918" s="1399">
        <v>174421.86</v>
      </c>
    </row>
    <row r="2919" spans="2:9">
      <c r="B2919" s="1297"/>
      <c r="C2919" s="1297"/>
      <c r="D2919" s="1297" t="s">
        <v>1038</v>
      </c>
      <c r="F2919" s="1399">
        <v>104953.54000000001</v>
      </c>
      <c r="I2919" s="1399">
        <v>104953.54000000001</v>
      </c>
    </row>
    <row r="2920" spans="2:9">
      <c r="B2920" s="1297"/>
      <c r="C2920" s="1297"/>
      <c r="D2920" s="1297" t="s">
        <v>1003</v>
      </c>
      <c r="F2920" s="1399">
        <v>105076.93</v>
      </c>
      <c r="I2920" s="1399">
        <v>105076.93</v>
      </c>
    </row>
    <row r="2921" spans="2:9">
      <c r="B2921" s="1297"/>
      <c r="C2921" s="1297"/>
      <c r="D2921" s="1297" t="s">
        <v>1039</v>
      </c>
      <c r="F2921" s="1399">
        <v>177776.79</v>
      </c>
      <c r="I2921" s="1399">
        <v>177776.79</v>
      </c>
    </row>
    <row r="2922" spans="2:9">
      <c r="B2922" s="1297"/>
      <c r="C2922" s="1297"/>
      <c r="D2922" s="1297" t="s">
        <v>1040</v>
      </c>
      <c r="F2922" s="1399">
        <v>3997981.0500000003</v>
      </c>
      <c r="I2922" s="1399">
        <v>3997981.0500000003</v>
      </c>
    </row>
    <row r="2923" spans="2:9">
      <c r="B2923" s="1297"/>
      <c r="C2923" s="1297"/>
      <c r="D2923" s="1297" t="s">
        <v>1127</v>
      </c>
      <c r="F2923" s="1399">
        <v>14135.169999999998</v>
      </c>
      <c r="I2923" s="1399">
        <v>14135.169999999998</v>
      </c>
    </row>
    <row r="2924" spans="2:9">
      <c r="B2924" s="1297"/>
      <c r="C2924" s="1297"/>
      <c r="D2924" s="1297" t="s">
        <v>1041</v>
      </c>
      <c r="F2924" s="1399">
        <v>348625.8000000001</v>
      </c>
      <c r="I2924" s="1399">
        <v>348625.8000000001</v>
      </c>
    </row>
    <row r="2925" spans="2:9">
      <c r="B2925" s="1297"/>
      <c r="C2925" s="1297"/>
      <c r="D2925" s="1297" t="s">
        <v>1042</v>
      </c>
      <c r="F2925" s="1399">
        <v>347618.63</v>
      </c>
      <c r="I2925" s="1399">
        <v>347618.63</v>
      </c>
    </row>
    <row r="2926" spans="2:9">
      <c r="B2926" s="1297"/>
      <c r="C2926" s="1297"/>
      <c r="D2926" s="1297" t="s">
        <v>985</v>
      </c>
      <c r="F2926" s="1399">
        <v>1025020.42</v>
      </c>
      <c r="I2926" s="1399">
        <v>1025020.42</v>
      </c>
    </row>
    <row r="2927" spans="2:9">
      <c r="B2927" s="1297"/>
      <c r="C2927" s="1297"/>
      <c r="D2927" s="1297" t="s">
        <v>1043</v>
      </c>
      <c r="F2927" s="1399">
        <v>8502.6200000000008</v>
      </c>
      <c r="I2927" s="1399">
        <v>8502.6200000000008</v>
      </c>
    </row>
    <row r="2928" spans="2:9">
      <c r="B2928" s="1297"/>
      <c r="C2928" s="1297"/>
      <c r="D2928" s="1297" t="s">
        <v>986</v>
      </c>
      <c r="F2928" s="1399">
        <v>34852.68</v>
      </c>
      <c r="I2928" s="1399">
        <v>34852.68</v>
      </c>
    </row>
    <row r="2929" spans="2:9">
      <c r="B2929" s="1297"/>
      <c r="C2929" s="1297"/>
      <c r="D2929" s="1297" t="s">
        <v>1005</v>
      </c>
      <c r="F2929" s="1399">
        <v>185431.69999999998</v>
      </c>
      <c r="I2929" s="1399">
        <v>185431.69999999998</v>
      </c>
    </row>
    <row r="2930" spans="2:9">
      <c r="B2930" s="1297"/>
      <c r="C2930" s="1297"/>
      <c r="D2930" s="1297" t="s">
        <v>991</v>
      </c>
      <c r="F2930" s="1399">
        <v>40305.65</v>
      </c>
      <c r="I2930" s="1399">
        <v>40305.65</v>
      </c>
    </row>
    <row r="2931" spans="2:9">
      <c r="B2931" s="1297"/>
      <c r="C2931" s="1297"/>
      <c r="D2931" s="1297" t="s">
        <v>1044</v>
      </c>
      <c r="F2931" s="1399">
        <v>230093.7</v>
      </c>
      <c r="I2931" s="1399">
        <v>230093.7</v>
      </c>
    </row>
    <row r="2932" spans="2:9">
      <c r="B2932" s="1297"/>
      <c r="C2932" s="1297"/>
      <c r="D2932" s="1297" t="s">
        <v>1045</v>
      </c>
      <c r="F2932" s="1399">
        <v>4164285.4600000023</v>
      </c>
      <c r="I2932" s="1399">
        <v>4164285.4600000023</v>
      </c>
    </row>
    <row r="2933" spans="2:9">
      <c r="B2933" s="1297"/>
      <c r="C2933" s="1297"/>
      <c r="D2933" s="1297" t="s">
        <v>1046</v>
      </c>
      <c r="H2933" s="1399">
        <v>146610344</v>
      </c>
      <c r="I2933" s="1399">
        <v>146610344</v>
      </c>
    </row>
    <row r="2934" spans="2:9">
      <c r="B2934" s="1297"/>
      <c r="C2934" s="1297"/>
      <c r="D2934" s="1297" t="s">
        <v>1129</v>
      </c>
      <c r="H2934" s="1399">
        <v>-19023492</v>
      </c>
      <c r="I2934" s="1399">
        <v>-19023492</v>
      </c>
    </row>
    <row r="2935" spans="2:9">
      <c r="B2935" s="1297"/>
      <c r="C2935" s="1297"/>
      <c r="D2935" s="1297" t="s">
        <v>1047</v>
      </c>
      <c r="H2935" s="1399">
        <v>1943594</v>
      </c>
      <c r="I2935" s="1399">
        <v>1943594</v>
      </c>
    </row>
    <row r="2936" spans="2:9">
      <c r="B2936" s="1297"/>
      <c r="C2936" s="1297"/>
      <c r="D2936" s="1297" t="s">
        <v>1048</v>
      </c>
      <c r="H2936" s="1399">
        <v>-16483844</v>
      </c>
      <c r="I2936" s="1399">
        <v>-16483844</v>
      </c>
    </row>
    <row r="2937" spans="2:9">
      <c r="B2937" s="1297"/>
      <c r="C2937" s="1297"/>
      <c r="D2937" s="1297" t="s">
        <v>932</v>
      </c>
      <c r="H2937" s="1399">
        <v>21475487</v>
      </c>
      <c r="I2937" s="1399">
        <v>21475487</v>
      </c>
    </row>
    <row r="2938" spans="2:9">
      <c r="B2938" s="1297"/>
      <c r="C2938" s="1297"/>
      <c r="D2938" s="1297" t="s">
        <v>955</v>
      </c>
      <c r="H2938" s="1399">
        <v>4015246.33</v>
      </c>
      <c r="I2938" s="1399">
        <v>4015246.33</v>
      </c>
    </row>
    <row r="2939" spans="2:9">
      <c r="B2939" s="1297"/>
      <c r="C2939" s="1297"/>
      <c r="D2939" s="1297" t="s">
        <v>934</v>
      </c>
      <c r="H2939" s="1399">
        <v>414616</v>
      </c>
      <c r="I2939" s="1399">
        <v>414616</v>
      </c>
    </row>
    <row r="2940" spans="2:9">
      <c r="B2940" s="1297"/>
      <c r="C2940" s="1297"/>
      <c r="D2940" s="1297" t="s">
        <v>1130</v>
      </c>
      <c r="H2940" s="1399">
        <v>953882.31</v>
      </c>
      <c r="I2940" s="1399">
        <v>953882.31</v>
      </c>
    </row>
    <row r="2941" spans="2:9">
      <c r="B2941" s="1297"/>
      <c r="C2941" s="1297"/>
      <c r="D2941" s="1297" t="s">
        <v>935</v>
      </c>
      <c r="H2941" s="1399">
        <v>2006673.24</v>
      </c>
      <c r="I2941" s="1399">
        <v>2006673.24</v>
      </c>
    </row>
    <row r="2942" spans="2:9">
      <c r="B2942" s="1297"/>
      <c r="C2942" s="1297"/>
      <c r="D2942" s="1297" t="s">
        <v>936</v>
      </c>
      <c r="H2942" s="1399">
        <v>337895.27</v>
      </c>
      <c r="I2942" s="1399">
        <v>337895.27</v>
      </c>
    </row>
    <row r="2943" spans="2:9">
      <c r="B2943" s="1297"/>
      <c r="C2943" s="1297"/>
      <c r="D2943" s="1297" t="s">
        <v>937</v>
      </c>
      <c r="H2943" s="1399">
        <v>80250.59</v>
      </c>
      <c r="I2943" s="1399">
        <v>80250.59</v>
      </c>
    </row>
    <row r="2944" spans="2:9">
      <c r="B2944" s="1297"/>
      <c r="C2944" s="1297"/>
      <c r="D2944" s="1297" t="s">
        <v>938</v>
      </c>
      <c r="H2944" s="1399">
        <v>139246</v>
      </c>
      <c r="I2944" s="1399">
        <v>139246</v>
      </c>
    </row>
    <row r="2945" spans="2:9">
      <c r="B2945" s="1297"/>
      <c r="C2945" s="1297"/>
      <c r="D2945" s="1297" t="s">
        <v>939</v>
      </c>
      <c r="H2945" s="1399">
        <v>42250</v>
      </c>
      <c r="I2945" s="1399">
        <v>42250</v>
      </c>
    </row>
    <row r="2946" spans="2:9">
      <c r="B2946" s="1297"/>
      <c r="C2946" s="1297"/>
      <c r="D2946" s="1297" t="s">
        <v>1131</v>
      </c>
      <c r="E2946" s="1399">
        <v>808826</v>
      </c>
      <c r="I2946" s="1399">
        <v>808826</v>
      </c>
    </row>
    <row r="2947" spans="2:9">
      <c r="B2947" s="1297"/>
      <c r="C2947" s="1297"/>
      <c r="D2947" s="1297" t="s">
        <v>940</v>
      </c>
      <c r="E2947" s="1399">
        <v>6714274.5000000019</v>
      </c>
      <c r="I2947" s="1399">
        <v>6714274.5000000019</v>
      </c>
    </row>
    <row r="2948" spans="2:9">
      <c r="B2948" s="1297"/>
      <c r="C2948" s="1297"/>
      <c r="D2948" s="1297" t="s">
        <v>941</v>
      </c>
      <c r="E2948" s="1399">
        <v>2390341.6999999997</v>
      </c>
      <c r="I2948" s="1399">
        <v>2390341.6999999997</v>
      </c>
    </row>
    <row r="2949" spans="2:9">
      <c r="B2949" s="1297"/>
      <c r="C2949" s="1297"/>
      <c r="D2949" s="1297" t="s">
        <v>943</v>
      </c>
      <c r="E2949" s="1399">
        <v>43457.98</v>
      </c>
      <c r="I2949" s="1399">
        <v>43457.98</v>
      </c>
    </row>
    <row r="2950" spans="2:9">
      <c r="B2950" s="1297"/>
      <c r="C2950" s="1297"/>
      <c r="D2950" s="1297" t="s">
        <v>944</v>
      </c>
      <c r="E2950" s="1399">
        <v>11963478.009999998</v>
      </c>
      <c r="I2950" s="1399">
        <v>11963478.009999998</v>
      </c>
    </row>
    <row r="2951" spans="2:9">
      <c r="B2951" s="1297"/>
      <c r="C2951" s="1297"/>
      <c r="D2951" s="1297" t="s">
        <v>945</v>
      </c>
      <c r="E2951" s="1399">
        <v>10004270.289999999</v>
      </c>
      <c r="I2951" s="1399">
        <v>10004270.289999999</v>
      </c>
    </row>
    <row r="2952" spans="2:9">
      <c r="B2952" s="1297"/>
      <c r="C2952" s="1297"/>
      <c r="D2952" s="1297" t="s">
        <v>946</v>
      </c>
      <c r="E2952" s="1399">
        <v>61563.97</v>
      </c>
      <c r="I2952" s="1399">
        <v>61563.97</v>
      </c>
    </row>
    <row r="2953" spans="2:9">
      <c r="B2953" s="1297"/>
      <c r="C2953" s="1297"/>
      <c r="D2953" s="1297" t="s">
        <v>978</v>
      </c>
      <c r="E2953" s="1399">
        <v>107331.36</v>
      </c>
      <c r="I2953" s="1399">
        <v>107331.36</v>
      </c>
    </row>
    <row r="2954" spans="2:9">
      <c r="B2954" s="1297"/>
      <c r="C2954" s="1297"/>
      <c r="D2954" s="1297" t="s">
        <v>1006</v>
      </c>
      <c r="E2954" s="1399">
        <v>1925331.49</v>
      </c>
      <c r="I2954" s="1399">
        <v>1925331.49</v>
      </c>
    </row>
    <row r="2955" spans="2:9">
      <c r="B2955" s="1297"/>
      <c r="C2955" s="1297"/>
      <c r="D2955" s="1297" t="s">
        <v>947</v>
      </c>
      <c r="E2955" s="1399">
        <v>1091636.95</v>
      </c>
      <c r="I2955" s="1399">
        <v>1091636.95</v>
      </c>
    </row>
    <row r="2956" spans="2:9">
      <c r="B2956" s="1297"/>
      <c r="C2956" s="1297"/>
      <c r="D2956" s="1297" t="s">
        <v>948</v>
      </c>
      <c r="G2956" s="1399">
        <v>5145008.0600000005</v>
      </c>
      <c r="I2956" s="1399">
        <v>5145008.0600000005</v>
      </c>
    </row>
    <row r="2957" spans="2:9">
      <c r="B2957" s="1297"/>
      <c r="C2957" s="1400" t="s">
        <v>1189</v>
      </c>
      <c r="D2957" s="1400"/>
      <c r="E2957" s="1401">
        <v>35110512.25</v>
      </c>
      <c r="F2957" s="1401">
        <v>106304843.49000004</v>
      </c>
      <c r="G2957" s="1401">
        <v>5145008.0600000005</v>
      </c>
      <c r="H2957" s="1401">
        <v>142512148.74000004</v>
      </c>
      <c r="I2957" s="1401">
        <v>289072512.54000014</v>
      </c>
    </row>
    <row r="2958" spans="2:9">
      <c r="B2958" s="1297" t="s">
        <v>1190</v>
      </c>
      <c r="C2958" s="1297" t="s">
        <v>1191</v>
      </c>
      <c r="D2958" s="1297" t="s">
        <v>906</v>
      </c>
      <c r="F2958" s="1399">
        <v>3405146.9</v>
      </c>
      <c r="I2958" s="1399">
        <v>3405146.9</v>
      </c>
    </row>
    <row r="2959" spans="2:9">
      <c r="B2959" s="1297"/>
      <c r="C2959" s="1297"/>
      <c r="D2959" s="1297" t="s">
        <v>952</v>
      </c>
      <c r="F2959" s="1399">
        <v>23313.26</v>
      </c>
      <c r="I2959" s="1399">
        <v>23313.26</v>
      </c>
    </row>
    <row r="2960" spans="2:9">
      <c r="B2960" s="1297"/>
      <c r="C2960" s="1297"/>
      <c r="D2960" s="1297" t="s">
        <v>907</v>
      </c>
      <c r="F2960" s="1399">
        <v>674217.37</v>
      </c>
      <c r="I2960" s="1399">
        <v>674217.37</v>
      </c>
    </row>
    <row r="2961" spans="2:9">
      <c r="B2961" s="1297"/>
      <c r="C2961" s="1297"/>
      <c r="D2961" s="1297" t="s">
        <v>908</v>
      </c>
      <c r="F2961" s="1399">
        <v>7660.56</v>
      </c>
      <c r="I2961" s="1399">
        <v>7660.56</v>
      </c>
    </row>
    <row r="2962" spans="2:9">
      <c r="B2962" s="1297"/>
      <c r="C2962" s="1297"/>
      <c r="D2962" s="1297" t="s">
        <v>909</v>
      </c>
      <c r="F2962" s="1399">
        <v>55709.24</v>
      </c>
      <c r="I2962" s="1399">
        <v>55709.24</v>
      </c>
    </row>
    <row r="2963" spans="2:9">
      <c r="B2963" s="1297"/>
      <c r="C2963" s="1297"/>
      <c r="D2963" s="1297" t="s">
        <v>910</v>
      </c>
      <c r="F2963" s="1399">
        <v>111630.48</v>
      </c>
      <c r="I2963" s="1399">
        <v>111630.48</v>
      </c>
    </row>
    <row r="2964" spans="2:9">
      <c r="B2964" s="1297"/>
      <c r="C2964" s="1297"/>
      <c r="D2964" s="1297" t="s">
        <v>1034</v>
      </c>
      <c r="F2964" s="1399">
        <v>28544.959999999999</v>
      </c>
      <c r="I2964" s="1399">
        <v>28544.959999999999</v>
      </c>
    </row>
    <row r="2965" spans="2:9">
      <c r="B2965" s="1297"/>
      <c r="C2965" s="1297"/>
      <c r="D2965" s="1297" t="s">
        <v>1035</v>
      </c>
      <c r="F2965" s="1399">
        <v>177734.25</v>
      </c>
      <c r="I2965" s="1399">
        <v>177734.25</v>
      </c>
    </row>
    <row r="2966" spans="2:9">
      <c r="B2966" s="1297"/>
      <c r="C2966" s="1297"/>
      <c r="D2966" s="1297" t="s">
        <v>1036</v>
      </c>
      <c r="F2966" s="1399">
        <v>64098.25</v>
      </c>
      <c r="I2966" s="1399">
        <v>64098.25</v>
      </c>
    </row>
    <row r="2967" spans="2:9">
      <c r="B2967" s="1297"/>
      <c r="C2967" s="1297"/>
      <c r="D2967" s="1297" t="s">
        <v>1039</v>
      </c>
      <c r="F2967" s="1399">
        <v>23371.939999999995</v>
      </c>
      <c r="I2967" s="1399">
        <v>23371.939999999995</v>
      </c>
    </row>
    <row r="2968" spans="2:9">
      <c r="B2968" s="1297"/>
      <c r="C2968" s="1297"/>
      <c r="D2968" s="1297" t="s">
        <v>1040</v>
      </c>
      <c r="F2968" s="1399">
        <v>92403.6</v>
      </c>
      <c r="I2968" s="1399">
        <v>92403.6</v>
      </c>
    </row>
    <row r="2969" spans="2:9">
      <c r="B2969" s="1297"/>
      <c r="C2969" s="1297"/>
      <c r="D2969" s="1297" t="s">
        <v>1127</v>
      </c>
      <c r="F2969" s="1399">
        <v>7143.95</v>
      </c>
      <c r="I2969" s="1399">
        <v>7143.95</v>
      </c>
    </row>
    <row r="2970" spans="2:9">
      <c r="B2970" s="1297"/>
      <c r="C2970" s="1297"/>
      <c r="D2970" s="1297" t="s">
        <v>1041</v>
      </c>
      <c r="F2970" s="1399">
        <v>49265.91</v>
      </c>
      <c r="I2970" s="1399">
        <v>49265.91</v>
      </c>
    </row>
    <row r="2971" spans="2:9">
      <c r="B2971" s="1297"/>
      <c r="C2971" s="1297"/>
      <c r="D2971" s="1297" t="s">
        <v>1042</v>
      </c>
      <c r="F2971" s="1399">
        <v>32811.730000000003</v>
      </c>
      <c r="I2971" s="1399">
        <v>32811.730000000003</v>
      </c>
    </row>
    <row r="2972" spans="2:9">
      <c r="B2972" s="1297"/>
      <c r="C2972" s="1297"/>
      <c r="D2972" s="1297" t="s">
        <v>954</v>
      </c>
      <c r="F2972" s="1399">
        <v>0</v>
      </c>
      <c r="I2972" s="1399">
        <v>0</v>
      </c>
    </row>
    <row r="2973" spans="2:9">
      <c r="B2973" s="1297"/>
      <c r="C2973" s="1297"/>
      <c r="D2973" s="1297" t="s">
        <v>1043</v>
      </c>
      <c r="F2973" s="1399">
        <v>10050</v>
      </c>
      <c r="I2973" s="1399">
        <v>10050</v>
      </c>
    </row>
    <row r="2974" spans="2:9">
      <c r="B2974" s="1297"/>
      <c r="C2974" s="1297"/>
      <c r="D2974" s="1297" t="s">
        <v>986</v>
      </c>
      <c r="F2974" s="1399">
        <v>12775.3</v>
      </c>
      <c r="I2974" s="1399">
        <v>12775.3</v>
      </c>
    </row>
    <row r="2975" spans="2:9">
      <c r="B2975" s="1297"/>
      <c r="C2975" s="1297"/>
      <c r="D2975" s="1297" t="s">
        <v>990</v>
      </c>
      <c r="F2975" s="1399">
        <v>400</v>
      </c>
      <c r="I2975" s="1399">
        <v>400</v>
      </c>
    </row>
    <row r="2976" spans="2:9">
      <c r="B2976" s="1297"/>
      <c r="C2976" s="1297"/>
      <c r="D2976" s="1297" t="s">
        <v>996</v>
      </c>
      <c r="F2976" s="1399">
        <v>2500</v>
      </c>
      <c r="I2976" s="1399">
        <v>2500</v>
      </c>
    </row>
    <row r="2977" spans="2:9">
      <c r="B2977" s="1297"/>
      <c r="C2977" s="1297"/>
      <c r="D2977" s="1297" t="s">
        <v>1045</v>
      </c>
      <c r="F2977" s="1399">
        <v>311683.65000000002</v>
      </c>
      <c r="I2977" s="1399">
        <v>311683.65000000002</v>
      </c>
    </row>
    <row r="2978" spans="2:9">
      <c r="B2978" s="1297"/>
      <c r="C2978" s="1297"/>
      <c r="D2978" s="1297" t="s">
        <v>1046</v>
      </c>
      <c r="H2978" s="1399">
        <v>7771092</v>
      </c>
      <c r="I2978" s="1399">
        <v>7771092</v>
      </c>
    </row>
    <row r="2979" spans="2:9">
      <c r="B2979" s="1297"/>
      <c r="C2979" s="1297"/>
      <c r="D2979" s="1297" t="s">
        <v>1128</v>
      </c>
      <c r="H2979" s="1399">
        <v>885292</v>
      </c>
      <c r="I2979" s="1399">
        <v>885292</v>
      </c>
    </row>
    <row r="2980" spans="2:9">
      <c r="B2980" s="1297"/>
      <c r="C2980" s="1297"/>
      <c r="D2980" s="1297" t="s">
        <v>1047</v>
      </c>
      <c r="H2980" s="1399">
        <v>286217</v>
      </c>
      <c r="I2980" s="1399">
        <v>286217</v>
      </c>
    </row>
    <row r="2981" spans="2:9">
      <c r="B2981" s="1297"/>
      <c r="C2981" s="1297"/>
      <c r="D2981" s="1297" t="s">
        <v>1048</v>
      </c>
      <c r="H2981" s="1399">
        <v>-960179</v>
      </c>
      <c r="I2981" s="1399">
        <v>-960179</v>
      </c>
    </row>
    <row r="2982" spans="2:9">
      <c r="B2982" s="1297"/>
      <c r="C2982" s="1297"/>
      <c r="D2982" s="1297" t="s">
        <v>932</v>
      </c>
      <c r="H2982" s="1399">
        <v>1156744</v>
      </c>
      <c r="I2982" s="1399">
        <v>1156744</v>
      </c>
    </row>
    <row r="2983" spans="2:9">
      <c r="B2983" s="1297"/>
      <c r="C2983" s="1297"/>
      <c r="D2983" s="1297" t="s">
        <v>955</v>
      </c>
      <c r="H2983" s="1399">
        <v>539004.36</v>
      </c>
      <c r="I2983" s="1399">
        <v>539004.36</v>
      </c>
    </row>
    <row r="2984" spans="2:9">
      <c r="B2984" s="1297"/>
      <c r="C2984" s="1297"/>
      <c r="D2984" s="1297" t="s">
        <v>934</v>
      </c>
      <c r="H2984" s="1399">
        <v>26588</v>
      </c>
      <c r="I2984" s="1399">
        <v>26588</v>
      </c>
    </row>
    <row r="2985" spans="2:9">
      <c r="B2985" s="1297"/>
      <c r="C2985" s="1297"/>
      <c r="D2985" s="1297" t="s">
        <v>935</v>
      </c>
      <c r="H2985" s="1399">
        <v>342318.56</v>
      </c>
      <c r="I2985" s="1399">
        <v>342318.56</v>
      </c>
    </row>
    <row r="2986" spans="2:9">
      <c r="B2986" s="1297"/>
      <c r="C2986" s="1297"/>
      <c r="D2986" s="1297" t="s">
        <v>936</v>
      </c>
      <c r="H2986" s="1399">
        <v>23460.09</v>
      </c>
      <c r="I2986" s="1399">
        <v>23460.09</v>
      </c>
    </row>
    <row r="2987" spans="2:9">
      <c r="B2987" s="1297"/>
      <c r="C2987" s="1297"/>
      <c r="D2987" s="1297" t="s">
        <v>938</v>
      </c>
      <c r="H2987" s="1399">
        <v>7486</v>
      </c>
      <c r="I2987" s="1399">
        <v>7486</v>
      </c>
    </row>
    <row r="2988" spans="2:9">
      <c r="B2988" s="1297"/>
      <c r="C2988" s="1297"/>
      <c r="D2988" s="1297" t="s">
        <v>939</v>
      </c>
      <c r="H2988" s="1399">
        <v>42250</v>
      </c>
      <c r="I2988" s="1399">
        <v>42250</v>
      </c>
    </row>
    <row r="2989" spans="2:9">
      <c r="B2989" s="1297"/>
      <c r="C2989" s="1297"/>
      <c r="D2989" s="1297" t="s">
        <v>1131</v>
      </c>
      <c r="E2989" s="1399">
        <v>100000</v>
      </c>
      <c r="I2989" s="1399">
        <v>100000</v>
      </c>
    </row>
    <row r="2990" spans="2:9">
      <c r="B2990" s="1297"/>
      <c r="C2990" s="1297"/>
      <c r="D2990" s="1297" t="s">
        <v>940</v>
      </c>
      <c r="E2990" s="1399">
        <v>473616.8</v>
      </c>
      <c r="I2990" s="1399">
        <v>473616.8</v>
      </c>
    </row>
    <row r="2991" spans="2:9">
      <c r="B2991" s="1297"/>
      <c r="C2991" s="1297"/>
      <c r="D2991" s="1297" t="s">
        <v>941</v>
      </c>
      <c r="E2991" s="1399">
        <v>158056.66</v>
      </c>
      <c r="I2991" s="1399">
        <v>158056.66</v>
      </c>
    </row>
    <row r="2992" spans="2:9">
      <c r="B2992" s="1297"/>
      <c r="C2992" s="1297"/>
      <c r="D2992" s="1297" t="s">
        <v>943</v>
      </c>
      <c r="E2992" s="1399">
        <v>12139.7</v>
      </c>
      <c r="I2992" s="1399">
        <v>12139.7</v>
      </c>
    </row>
    <row r="2993" spans="2:9">
      <c r="B2993" s="1297"/>
      <c r="C2993" s="1297"/>
      <c r="D2993" s="1297" t="s">
        <v>944</v>
      </c>
      <c r="E2993" s="1399">
        <v>1080064.6899999997</v>
      </c>
      <c r="I2993" s="1399">
        <v>1080064.6899999997</v>
      </c>
    </row>
    <row r="2994" spans="2:9">
      <c r="B2994" s="1297"/>
      <c r="C2994" s="1297"/>
      <c r="D2994" s="1297" t="s">
        <v>945</v>
      </c>
      <c r="E2994" s="1399">
        <v>875514.89999999991</v>
      </c>
      <c r="I2994" s="1399">
        <v>875514.89999999991</v>
      </c>
    </row>
    <row r="2995" spans="2:9">
      <c r="B2995" s="1297"/>
      <c r="C2995" s="1297"/>
      <c r="D2995" s="1297" t="s">
        <v>946</v>
      </c>
      <c r="E2995" s="1399">
        <v>92197.36</v>
      </c>
      <c r="I2995" s="1399">
        <v>92197.36</v>
      </c>
    </row>
    <row r="2996" spans="2:9">
      <c r="B2996" s="1297"/>
      <c r="C2996" s="1297"/>
      <c r="D2996" s="1297" t="s">
        <v>947</v>
      </c>
      <c r="E2996" s="1399">
        <v>52944.17</v>
      </c>
      <c r="I2996" s="1399">
        <v>52944.17</v>
      </c>
    </row>
    <row r="2997" spans="2:9">
      <c r="B2997" s="1297"/>
      <c r="C2997" s="1297"/>
      <c r="D2997" s="1297" t="s">
        <v>948</v>
      </c>
      <c r="G2997" s="1399">
        <v>878082.61</v>
      </c>
      <c r="I2997" s="1399">
        <v>878082.61</v>
      </c>
    </row>
    <row r="2998" spans="2:9">
      <c r="B2998" s="1297"/>
      <c r="C2998" s="1297"/>
      <c r="D2998" s="1297" t="s">
        <v>956</v>
      </c>
      <c r="G2998" s="1399">
        <v>55.8</v>
      </c>
      <c r="I2998" s="1399">
        <v>55.8</v>
      </c>
    </row>
    <row r="2999" spans="2:9">
      <c r="B2999" s="1297"/>
      <c r="C2999" s="1400" t="s">
        <v>1192</v>
      </c>
      <c r="D2999" s="1400"/>
      <c r="E2999" s="1401">
        <v>2844534.2799999993</v>
      </c>
      <c r="F2999" s="1401">
        <v>5090461.3500000015</v>
      </c>
      <c r="G2999" s="1401">
        <v>878138.41</v>
      </c>
      <c r="H2999" s="1401">
        <v>10120273.01</v>
      </c>
      <c r="I2999" s="1401">
        <v>18933407.050000001</v>
      </c>
    </row>
    <row r="3000" spans="2:9">
      <c r="B3000" s="1297" t="s">
        <v>1193</v>
      </c>
      <c r="C3000" s="1297" t="s">
        <v>1194</v>
      </c>
      <c r="D3000" s="1297" t="s">
        <v>906</v>
      </c>
      <c r="F3000" s="1399">
        <v>36308367.079999998</v>
      </c>
      <c r="I3000" s="1399">
        <v>36308367.079999998</v>
      </c>
    </row>
    <row r="3001" spans="2:9">
      <c r="B3001" s="1297"/>
      <c r="C3001" s="1297"/>
      <c r="D3001" s="1297" t="s">
        <v>952</v>
      </c>
      <c r="F3001" s="1399">
        <v>522583.94</v>
      </c>
      <c r="I3001" s="1399">
        <v>522583.94</v>
      </c>
    </row>
    <row r="3002" spans="2:9">
      <c r="B3002" s="1297"/>
      <c r="C3002" s="1297"/>
      <c r="D3002" s="1297" t="s">
        <v>907</v>
      </c>
      <c r="F3002" s="1399">
        <v>5244991.4800000004</v>
      </c>
      <c r="I3002" s="1399">
        <v>5244991.4800000004</v>
      </c>
    </row>
    <row r="3003" spans="2:9">
      <c r="B3003" s="1297"/>
      <c r="C3003" s="1297"/>
      <c r="D3003" s="1297" t="s">
        <v>908</v>
      </c>
      <c r="F3003" s="1399">
        <v>33963.410000000003</v>
      </c>
      <c r="I3003" s="1399">
        <v>33963.410000000003</v>
      </c>
    </row>
    <row r="3004" spans="2:9">
      <c r="B3004" s="1297"/>
      <c r="C3004" s="1297"/>
      <c r="D3004" s="1297" t="s">
        <v>909</v>
      </c>
      <c r="F3004" s="1399">
        <v>52290.84</v>
      </c>
      <c r="I3004" s="1399">
        <v>52290.84</v>
      </c>
    </row>
    <row r="3005" spans="2:9">
      <c r="B3005" s="1297"/>
      <c r="C3005" s="1297"/>
      <c r="D3005" s="1297" t="s">
        <v>910</v>
      </c>
      <c r="F3005" s="1399">
        <v>253860.25</v>
      </c>
      <c r="I3005" s="1399">
        <v>253860.25</v>
      </c>
    </row>
    <row r="3006" spans="2:9">
      <c r="B3006" s="1297"/>
      <c r="C3006" s="1297"/>
      <c r="D3006" s="1297" t="s">
        <v>1034</v>
      </c>
      <c r="F3006" s="1399">
        <v>150677.9</v>
      </c>
      <c r="I3006" s="1399">
        <v>150677.9</v>
      </c>
    </row>
    <row r="3007" spans="2:9">
      <c r="B3007" s="1297"/>
      <c r="C3007" s="1297"/>
      <c r="D3007" s="1297" t="s">
        <v>1035</v>
      </c>
      <c r="F3007" s="1399">
        <v>695170.95</v>
      </c>
      <c r="I3007" s="1399">
        <v>695170.95</v>
      </c>
    </row>
    <row r="3008" spans="2:9">
      <c r="B3008" s="1297"/>
      <c r="C3008" s="1297"/>
      <c r="D3008" s="1297" t="s">
        <v>1036</v>
      </c>
      <c r="F3008" s="1399">
        <v>198655.40000000002</v>
      </c>
      <c r="I3008" s="1399">
        <v>198655.40000000002</v>
      </c>
    </row>
    <row r="3009" spans="2:9">
      <c r="B3009" s="1297"/>
      <c r="C3009" s="1297"/>
      <c r="D3009" s="1297" t="s">
        <v>1039</v>
      </c>
      <c r="F3009" s="1399">
        <v>45814.479999999989</v>
      </c>
      <c r="I3009" s="1399">
        <v>45814.479999999989</v>
      </c>
    </row>
    <row r="3010" spans="2:9">
      <c r="B3010" s="1297"/>
      <c r="C3010" s="1297"/>
      <c r="D3010" s="1297" t="s">
        <v>1040</v>
      </c>
      <c r="F3010" s="1399">
        <v>1030633.03</v>
      </c>
      <c r="I3010" s="1399">
        <v>1030633.03</v>
      </c>
    </row>
    <row r="3011" spans="2:9">
      <c r="B3011" s="1297"/>
      <c r="C3011" s="1297"/>
      <c r="D3011" s="1297" t="s">
        <v>1041</v>
      </c>
      <c r="F3011" s="1399">
        <v>134886.01</v>
      </c>
      <c r="I3011" s="1399">
        <v>134886.01</v>
      </c>
    </row>
    <row r="3012" spans="2:9">
      <c r="B3012" s="1297"/>
      <c r="C3012" s="1297"/>
      <c r="D3012" s="1297" t="s">
        <v>1042</v>
      </c>
      <c r="F3012" s="1399">
        <v>98599.930000000008</v>
      </c>
      <c r="I3012" s="1399">
        <v>98599.930000000008</v>
      </c>
    </row>
    <row r="3013" spans="2:9">
      <c r="B3013" s="1297"/>
      <c r="C3013" s="1297"/>
      <c r="D3013" s="1297" t="s">
        <v>985</v>
      </c>
      <c r="F3013" s="1399">
        <v>353192.15</v>
      </c>
      <c r="I3013" s="1399">
        <v>353192.15</v>
      </c>
    </row>
    <row r="3014" spans="2:9">
      <c r="B3014" s="1297"/>
      <c r="C3014" s="1297"/>
      <c r="D3014" s="1297" t="s">
        <v>1043</v>
      </c>
      <c r="F3014" s="1399">
        <v>15405</v>
      </c>
      <c r="I3014" s="1399">
        <v>15405</v>
      </c>
    </row>
    <row r="3015" spans="2:9">
      <c r="B3015" s="1297"/>
      <c r="C3015" s="1297"/>
      <c r="D3015" s="1297" t="s">
        <v>986</v>
      </c>
      <c r="F3015" s="1399">
        <v>1000</v>
      </c>
      <c r="I3015" s="1399">
        <v>1000</v>
      </c>
    </row>
    <row r="3016" spans="2:9">
      <c r="B3016" s="1297"/>
      <c r="C3016" s="1297"/>
      <c r="D3016" s="1297" t="s">
        <v>990</v>
      </c>
      <c r="F3016" s="1399">
        <v>628.5</v>
      </c>
      <c r="I3016" s="1399">
        <v>628.5</v>
      </c>
    </row>
    <row r="3017" spans="2:9">
      <c r="B3017" s="1297"/>
      <c r="C3017" s="1297"/>
      <c r="D3017" s="1297" t="s">
        <v>996</v>
      </c>
      <c r="F3017" s="1399">
        <v>38699.050000000003</v>
      </c>
      <c r="I3017" s="1399">
        <v>38699.050000000003</v>
      </c>
    </row>
    <row r="3018" spans="2:9">
      <c r="B3018" s="1297"/>
      <c r="C3018" s="1297"/>
      <c r="D3018" s="1297" t="s">
        <v>1044</v>
      </c>
      <c r="F3018" s="1399">
        <v>2802.91</v>
      </c>
      <c r="I3018" s="1399">
        <v>2802.91</v>
      </c>
    </row>
    <row r="3019" spans="2:9">
      <c r="B3019" s="1297"/>
      <c r="C3019" s="1297"/>
      <c r="D3019" s="1297" t="s">
        <v>1045</v>
      </c>
      <c r="F3019" s="1399">
        <v>755094.6</v>
      </c>
      <c r="I3019" s="1399">
        <v>755094.6</v>
      </c>
    </row>
    <row r="3020" spans="2:9">
      <c r="B3020" s="1297"/>
      <c r="C3020" s="1297"/>
      <c r="D3020" s="1297" t="s">
        <v>1046</v>
      </c>
      <c r="H3020" s="1399">
        <v>38346364</v>
      </c>
      <c r="I3020" s="1399">
        <v>38346364</v>
      </c>
    </row>
    <row r="3021" spans="2:9">
      <c r="B3021" s="1297"/>
      <c r="C3021" s="1297"/>
      <c r="D3021" s="1297" t="s">
        <v>1128</v>
      </c>
      <c r="H3021" s="1399">
        <v>3131452</v>
      </c>
      <c r="I3021" s="1399">
        <v>3131452</v>
      </c>
    </row>
    <row r="3022" spans="2:9">
      <c r="B3022" s="1297"/>
      <c r="C3022" s="1297"/>
      <c r="D3022" s="1297" t="s">
        <v>1129</v>
      </c>
      <c r="H3022" s="1399">
        <v>-4535764</v>
      </c>
      <c r="I3022" s="1399">
        <v>-4535764</v>
      </c>
    </row>
    <row r="3023" spans="2:9">
      <c r="B3023" s="1297"/>
      <c r="C3023" s="1297"/>
      <c r="D3023" s="1297" t="s">
        <v>1047</v>
      </c>
      <c r="H3023" s="1399">
        <v>1011995</v>
      </c>
      <c r="I3023" s="1399">
        <v>1011995</v>
      </c>
    </row>
    <row r="3024" spans="2:9">
      <c r="B3024" s="1297"/>
      <c r="C3024" s="1297"/>
      <c r="D3024" s="1297" t="s">
        <v>1048</v>
      </c>
      <c r="H3024" s="1399">
        <v>-8594999</v>
      </c>
      <c r="I3024" s="1399">
        <v>-8594999</v>
      </c>
    </row>
    <row r="3025" spans="2:9">
      <c r="B3025" s="1297"/>
      <c r="C3025" s="1297"/>
      <c r="D3025" s="1297" t="s">
        <v>955</v>
      </c>
      <c r="H3025" s="1399">
        <v>977332.21</v>
      </c>
      <c r="I3025" s="1399">
        <v>977332.21</v>
      </c>
    </row>
    <row r="3026" spans="2:9">
      <c r="B3026" s="1297"/>
      <c r="C3026" s="1297"/>
      <c r="D3026" s="1297" t="s">
        <v>934</v>
      </c>
      <c r="H3026" s="1399">
        <v>112428</v>
      </c>
      <c r="I3026" s="1399">
        <v>112428</v>
      </c>
    </row>
    <row r="3027" spans="2:9">
      <c r="B3027" s="1297"/>
      <c r="C3027" s="1297"/>
      <c r="D3027" s="1297" t="s">
        <v>935</v>
      </c>
      <c r="H3027" s="1399">
        <v>705716.32</v>
      </c>
      <c r="I3027" s="1399">
        <v>705716.32</v>
      </c>
    </row>
    <row r="3028" spans="2:9">
      <c r="B3028" s="1297"/>
      <c r="C3028" s="1297"/>
      <c r="D3028" s="1297" t="s">
        <v>936</v>
      </c>
      <c r="H3028" s="1399">
        <v>122202.54</v>
      </c>
      <c r="I3028" s="1399">
        <v>122202.54</v>
      </c>
    </row>
    <row r="3029" spans="2:9">
      <c r="B3029" s="1297"/>
      <c r="C3029" s="1297"/>
      <c r="D3029" s="1297" t="s">
        <v>937</v>
      </c>
      <c r="H3029" s="1399">
        <v>26524.83</v>
      </c>
      <c r="I3029" s="1399">
        <v>26524.83</v>
      </c>
    </row>
    <row r="3030" spans="2:9">
      <c r="B3030" s="1297"/>
      <c r="C3030" s="1297"/>
      <c r="D3030" s="1297" t="s">
        <v>938</v>
      </c>
      <c r="H3030" s="1399">
        <v>40801</v>
      </c>
      <c r="I3030" s="1399">
        <v>40801</v>
      </c>
    </row>
    <row r="3031" spans="2:9">
      <c r="B3031" s="1297"/>
      <c r="C3031" s="1297"/>
      <c r="D3031" s="1297" t="s">
        <v>939</v>
      </c>
      <c r="H3031" s="1399">
        <v>55616.23</v>
      </c>
      <c r="I3031" s="1399">
        <v>55616.23</v>
      </c>
    </row>
    <row r="3032" spans="2:9">
      <c r="B3032" s="1297"/>
      <c r="C3032" s="1297"/>
      <c r="D3032" s="1297" t="s">
        <v>1131</v>
      </c>
      <c r="E3032" s="1399">
        <v>116556.82</v>
      </c>
      <c r="I3032" s="1399">
        <v>116556.82</v>
      </c>
    </row>
    <row r="3033" spans="2:9">
      <c r="B3033" s="1297"/>
      <c r="C3033" s="1297"/>
      <c r="D3033" s="1297" t="s">
        <v>940</v>
      </c>
      <c r="E3033" s="1399">
        <v>1632700.1400000001</v>
      </c>
      <c r="I3033" s="1399">
        <v>1632700.1400000001</v>
      </c>
    </row>
    <row r="3034" spans="2:9">
      <c r="B3034" s="1297"/>
      <c r="C3034" s="1297"/>
      <c r="D3034" s="1297" t="s">
        <v>941</v>
      </c>
      <c r="E3034" s="1399">
        <v>661419.00000000012</v>
      </c>
      <c r="I3034" s="1399">
        <v>661419.00000000012</v>
      </c>
    </row>
    <row r="3035" spans="2:9">
      <c r="B3035" s="1297"/>
      <c r="C3035" s="1297"/>
      <c r="D3035" s="1297" t="s">
        <v>943</v>
      </c>
      <c r="E3035" s="1399">
        <v>21288.32</v>
      </c>
      <c r="I3035" s="1399">
        <v>21288.32</v>
      </c>
    </row>
    <row r="3036" spans="2:9">
      <c r="B3036" s="1297"/>
      <c r="C3036" s="1297"/>
      <c r="D3036" s="1297" t="s">
        <v>944</v>
      </c>
      <c r="E3036" s="1399">
        <v>3499638.6800000006</v>
      </c>
      <c r="I3036" s="1399">
        <v>3499638.6800000006</v>
      </c>
    </row>
    <row r="3037" spans="2:9">
      <c r="B3037" s="1297"/>
      <c r="C3037" s="1297"/>
      <c r="D3037" s="1297" t="s">
        <v>945</v>
      </c>
      <c r="E3037" s="1399">
        <v>2383383.4499999997</v>
      </c>
      <c r="I3037" s="1399">
        <v>2383383.4499999997</v>
      </c>
    </row>
    <row r="3038" spans="2:9">
      <c r="B3038" s="1297"/>
      <c r="C3038" s="1297"/>
      <c r="D3038" s="1297" t="s">
        <v>946</v>
      </c>
      <c r="E3038" s="1399">
        <v>120704.35</v>
      </c>
      <c r="I3038" s="1399">
        <v>120704.35</v>
      </c>
    </row>
    <row r="3039" spans="2:9">
      <c r="B3039" s="1297"/>
      <c r="C3039" s="1297"/>
      <c r="D3039" s="1297" t="s">
        <v>947</v>
      </c>
      <c r="E3039" s="1399">
        <v>109205.97</v>
      </c>
      <c r="I3039" s="1399">
        <v>109205.97</v>
      </c>
    </row>
    <row r="3040" spans="2:9">
      <c r="B3040" s="1297"/>
      <c r="C3040" s="1297"/>
      <c r="D3040" s="1297" t="s">
        <v>948</v>
      </c>
      <c r="G3040" s="1399">
        <v>37922179.720000006</v>
      </c>
      <c r="I3040" s="1399">
        <v>37922179.720000006</v>
      </c>
    </row>
    <row r="3041" spans="2:9">
      <c r="B3041" s="1297"/>
      <c r="C3041" s="1297"/>
      <c r="D3041" s="1297" t="s">
        <v>1118</v>
      </c>
      <c r="G3041" s="1399">
        <v>3000.1600000000003</v>
      </c>
      <c r="I3041" s="1399">
        <v>3000.1600000000003</v>
      </c>
    </row>
    <row r="3042" spans="2:9">
      <c r="B3042" s="1297"/>
      <c r="C3042" s="1400" t="s">
        <v>1195</v>
      </c>
      <c r="D3042" s="1400"/>
      <c r="E3042" s="1401">
        <v>8544896.7300000004</v>
      </c>
      <c r="F3042" s="1401">
        <v>45937316.909999989</v>
      </c>
      <c r="G3042" s="1401">
        <v>37925179.880000003</v>
      </c>
      <c r="H3042" s="1401">
        <v>31399669.129999999</v>
      </c>
      <c r="I3042" s="1401">
        <v>123807062.64999998</v>
      </c>
    </row>
    <row r="3043" spans="2:9">
      <c r="B3043" s="1297" t="s">
        <v>1196</v>
      </c>
      <c r="C3043" s="1297" t="s">
        <v>1197</v>
      </c>
      <c r="D3043" s="1297" t="s">
        <v>906</v>
      </c>
      <c r="F3043" s="1399">
        <v>6485543.7199999997</v>
      </c>
      <c r="I3043" s="1399">
        <v>6485543.7199999997</v>
      </c>
    </row>
    <row r="3044" spans="2:9">
      <c r="B3044" s="1297"/>
      <c r="C3044" s="1297"/>
      <c r="D3044" s="1297" t="s">
        <v>952</v>
      </c>
      <c r="F3044" s="1399">
        <v>11485.01</v>
      </c>
      <c r="I3044" s="1399">
        <v>11485.01</v>
      </c>
    </row>
    <row r="3045" spans="2:9">
      <c r="B3045" s="1297"/>
      <c r="C3045" s="1297"/>
      <c r="D3045" s="1297" t="s">
        <v>907</v>
      </c>
      <c r="F3045" s="1399">
        <v>879329.21</v>
      </c>
      <c r="I3045" s="1399">
        <v>879329.21</v>
      </c>
    </row>
    <row r="3046" spans="2:9">
      <c r="B3046" s="1297"/>
      <c r="C3046" s="1297"/>
      <c r="D3046" s="1297" t="s">
        <v>908</v>
      </c>
      <c r="F3046" s="1399">
        <v>215259.87</v>
      </c>
      <c r="I3046" s="1399">
        <v>215259.87</v>
      </c>
    </row>
    <row r="3047" spans="2:9">
      <c r="B3047" s="1297"/>
      <c r="C3047" s="1297"/>
      <c r="D3047" s="1297" t="s">
        <v>910</v>
      </c>
      <c r="F3047" s="1399">
        <v>36189.820000000007</v>
      </c>
      <c r="I3047" s="1399">
        <v>36189.820000000007</v>
      </c>
    </row>
    <row r="3048" spans="2:9">
      <c r="B3048" s="1297"/>
      <c r="C3048" s="1297"/>
      <c r="D3048" s="1297" t="s">
        <v>1034</v>
      </c>
      <c r="F3048" s="1399">
        <v>29763.98</v>
      </c>
      <c r="I3048" s="1399">
        <v>29763.98</v>
      </c>
    </row>
    <row r="3049" spans="2:9">
      <c r="B3049" s="1297"/>
      <c r="C3049" s="1297"/>
      <c r="D3049" s="1297" t="s">
        <v>1035</v>
      </c>
      <c r="F3049" s="1399">
        <v>147870.28000000003</v>
      </c>
      <c r="I3049" s="1399">
        <v>147870.28000000003</v>
      </c>
    </row>
    <row r="3050" spans="2:9">
      <c r="B3050" s="1297"/>
      <c r="C3050" s="1297"/>
      <c r="D3050" s="1297" t="s">
        <v>1036</v>
      </c>
      <c r="F3050" s="1399">
        <v>60711.689999999995</v>
      </c>
      <c r="I3050" s="1399">
        <v>60711.689999999995</v>
      </c>
    </row>
    <row r="3051" spans="2:9">
      <c r="B3051" s="1297"/>
      <c r="C3051" s="1297"/>
      <c r="D3051" s="1297" t="s">
        <v>1039</v>
      </c>
      <c r="F3051" s="1399">
        <v>125815.20000000001</v>
      </c>
      <c r="I3051" s="1399">
        <v>125815.20000000001</v>
      </c>
    </row>
    <row r="3052" spans="2:9">
      <c r="B3052" s="1297"/>
      <c r="C3052" s="1297"/>
      <c r="D3052" s="1297" t="s">
        <v>1040</v>
      </c>
      <c r="F3052" s="1399">
        <v>148437.84</v>
      </c>
      <c r="I3052" s="1399">
        <v>148437.84</v>
      </c>
    </row>
    <row r="3053" spans="2:9">
      <c r="B3053" s="1297"/>
      <c r="C3053" s="1297"/>
      <c r="D3053" s="1297" t="s">
        <v>1207</v>
      </c>
      <c r="F3053" s="1399">
        <v>7872.75</v>
      </c>
      <c r="I3053" s="1399">
        <v>7872.75</v>
      </c>
    </row>
    <row r="3054" spans="2:9">
      <c r="B3054" s="1297"/>
      <c r="C3054" s="1297"/>
      <c r="D3054" s="1297" t="s">
        <v>1041</v>
      </c>
      <c r="F3054" s="1399">
        <v>38538.089999999997</v>
      </c>
      <c r="I3054" s="1399">
        <v>38538.089999999997</v>
      </c>
    </row>
    <row r="3055" spans="2:9">
      <c r="B3055" s="1297"/>
      <c r="C3055" s="1297"/>
      <c r="D3055" s="1297" t="s">
        <v>1042</v>
      </c>
      <c r="F3055" s="1399">
        <v>48930.99</v>
      </c>
      <c r="I3055" s="1399">
        <v>48930.99</v>
      </c>
    </row>
    <row r="3056" spans="2:9">
      <c r="B3056" s="1297"/>
      <c r="C3056" s="1297"/>
      <c r="D3056" s="1297" t="s">
        <v>1203</v>
      </c>
      <c r="F3056" s="1399">
        <v>11553</v>
      </c>
      <c r="I3056" s="1399">
        <v>11553</v>
      </c>
    </row>
    <row r="3057" spans="2:9">
      <c r="B3057" s="1297"/>
      <c r="C3057" s="1297"/>
      <c r="D3057" s="1297" t="s">
        <v>1004</v>
      </c>
      <c r="F3057" s="1399">
        <v>-101030.70000000001</v>
      </c>
      <c r="I3057" s="1399">
        <v>-101030.70000000001</v>
      </c>
    </row>
    <row r="3058" spans="2:9">
      <c r="B3058" s="1297"/>
      <c r="C3058" s="1297"/>
      <c r="D3058" s="1297" t="s">
        <v>1045</v>
      </c>
      <c r="F3058" s="1399">
        <v>136834.29999999999</v>
      </c>
      <c r="I3058" s="1399">
        <v>136834.29999999999</v>
      </c>
    </row>
    <row r="3059" spans="2:9">
      <c r="B3059" s="1297"/>
      <c r="C3059" s="1297"/>
      <c r="D3059" s="1297" t="s">
        <v>1046</v>
      </c>
      <c r="H3059" s="1399">
        <v>10362530</v>
      </c>
      <c r="I3059" s="1399">
        <v>10362530</v>
      </c>
    </row>
    <row r="3060" spans="2:9">
      <c r="B3060" s="1297"/>
      <c r="C3060" s="1297"/>
      <c r="D3060" s="1297" t="s">
        <v>1128</v>
      </c>
      <c r="H3060" s="1399">
        <v>898463</v>
      </c>
      <c r="I3060" s="1399">
        <v>898463</v>
      </c>
    </row>
    <row r="3061" spans="2:9">
      <c r="B3061" s="1297"/>
      <c r="C3061" s="1297"/>
      <c r="D3061" s="1297" t="s">
        <v>1129</v>
      </c>
      <c r="H3061" s="1399">
        <v>-1364802</v>
      </c>
      <c r="I3061" s="1399">
        <v>-1364802</v>
      </c>
    </row>
    <row r="3062" spans="2:9">
      <c r="B3062" s="1297"/>
      <c r="C3062" s="1297"/>
      <c r="D3062" s="1297" t="s">
        <v>1047</v>
      </c>
      <c r="H3062" s="1399">
        <v>373324</v>
      </c>
      <c r="I3062" s="1399">
        <v>373324</v>
      </c>
    </row>
    <row r="3063" spans="2:9">
      <c r="B3063" s="1297"/>
      <c r="C3063" s="1297"/>
      <c r="D3063" s="1297" t="s">
        <v>1048</v>
      </c>
      <c r="H3063" s="1399">
        <v>-1961432</v>
      </c>
      <c r="I3063" s="1399">
        <v>-1961432</v>
      </c>
    </row>
    <row r="3064" spans="2:9">
      <c r="B3064" s="1297"/>
      <c r="C3064" s="1297"/>
      <c r="D3064" s="1297" t="s">
        <v>932</v>
      </c>
      <c r="H3064" s="1399">
        <v>258173</v>
      </c>
      <c r="I3064" s="1399">
        <v>258173</v>
      </c>
    </row>
    <row r="3065" spans="2:9">
      <c r="B3065" s="1297"/>
      <c r="C3065" s="1297"/>
      <c r="D3065" s="1297" t="s">
        <v>955</v>
      </c>
      <c r="H3065" s="1399">
        <v>270666.46000000002</v>
      </c>
      <c r="I3065" s="1399">
        <v>270666.46000000002</v>
      </c>
    </row>
    <row r="3066" spans="2:9">
      <c r="B3066" s="1297"/>
      <c r="C3066" s="1297"/>
      <c r="D3066" s="1297" t="s">
        <v>934</v>
      </c>
      <c r="H3066" s="1399">
        <v>37202</v>
      </c>
      <c r="I3066" s="1399">
        <v>37202</v>
      </c>
    </row>
    <row r="3067" spans="2:9">
      <c r="B3067" s="1297"/>
      <c r="C3067" s="1297"/>
      <c r="D3067" s="1297" t="s">
        <v>935</v>
      </c>
      <c r="H3067" s="1399">
        <v>238218.44</v>
      </c>
      <c r="I3067" s="1399">
        <v>238218.44</v>
      </c>
    </row>
    <row r="3068" spans="2:9">
      <c r="B3068" s="1297"/>
      <c r="C3068" s="1297"/>
      <c r="D3068" s="1297" t="s">
        <v>936</v>
      </c>
      <c r="H3068" s="1399">
        <v>39917.160000000003</v>
      </c>
      <c r="I3068" s="1399">
        <v>39917.160000000003</v>
      </c>
    </row>
    <row r="3069" spans="2:9">
      <c r="B3069" s="1297"/>
      <c r="C3069" s="1297"/>
      <c r="D3069" s="1297" t="s">
        <v>937</v>
      </c>
      <c r="H3069" s="1399">
        <v>19629.23</v>
      </c>
      <c r="I3069" s="1399">
        <v>19629.23</v>
      </c>
    </row>
    <row r="3070" spans="2:9">
      <c r="B3070" s="1297"/>
      <c r="C3070" s="1297"/>
      <c r="D3070" s="1297" t="s">
        <v>938</v>
      </c>
      <c r="H3070" s="1399">
        <v>13288</v>
      </c>
      <c r="I3070" s="1399">
        <v>13288</v>
      </c>
    </row>
    <row r="3071" spans="2:9">
      <c r="B3071" s="1297"/>
      <c r="C3071" s="1297"/>
      <c r="D3071" s="1297" t="s">
        <v>1131</v>
      </c>
      <c r="E3071" s="1399">
        <v>604806</v>
      </c>
      <c r="I3071" s="1399">
        <v>604806</v>
      </c>
    </row>
    <row r="3072" spans="2:9">
      <c r="B3072" s="1297"/>
      <c r="C3072" s="1297"/>
      <c r="D3072" s="1297" t="s">
        <v>940</v>
      </c>
      <c r="E3072" s="1399">
        <v>654642.1</v>
      </c>
      <c r="I3072" s="1399">
        <v>654642.1</v>
      </c>
    </row>
    <row r="3073" spans="2:9">
      <c r="B3073" s="1297"/>
      <c r="C3073" s="1297"/>
      <c r="D3073" s="1297" t="s">
        <v>941</v>
      </c>
      <c r="E3073" s="1399">
        <v>297802.71999999997</v>
      </c>
      <c r="I3073" s="1399">
        <v>297802.71999999997</v>
      </c>
    </row>
    <row r="3074" spans="2:9">
      <c r="B3074" s="1297"/>
      <c r="C3074" s="1297"/>
      <c r="D3074" s="1297" t="s">
        <v>943</v>
      </c>
      <c r="E3074" s="1399">
        <v>0</v>
      </c>
      <c r="I3074" s="1399">
        <v>0</v>
      </c>
    </row>
    <row r="3075" spans="2:9">
      <c r="B3075" s="1297"/>
      <c r="C3075" s="1297"/>
      <c r="D3075" s="1297" t="s">
        <v>944</v>
      </c>
      <c r="E3075" s="1399">
        <v>2316498.1099999994</v>
      </c>
      <c r="I3075" s="1399">
        <v>2316498.1099999994</v>
      </c>
    </row>
    <row r="3076" spans="2:9">
      <c r="B3076" s="1297"/>
      <c r="C3076" s="1297"/>
      <c r="D3076" s="1297" t="s">
        <v>945</v>
      </c>
      <c r="E3076" s="1399">
        <v>734609.12</v>
      </c>
      <c r="I3076" s="1399">
        <v>734609.12</v>
      </c>
    </row>
    <row r="3077" spans="2:9">
      <c r="B3077" s="1297"/>
      <c r="C3077" s="1297"/>
      <c r="D3077" s="1297" t="s">
        <v>1214</v>
      </c>
      <c r="E3077" s="1399">
        <v>85666.21</v>
      </c>
      <c r="I3077" s="1399">
        <v>85666.21</v>
      </c>
    </row>
    <row r="3078" spans="2:9">
      <c r="B3078" s="1297"/>
      <c r="C3078" s="1297"/>
      <c r="D3078" s="1297" t="s">
        <v>947</v>
      </c>
      <c r="E3078" s="1399">
        <v>91691.74</v>
      </c>
      <c r="I3078" s="1399">
        <v>91691.74</v>
      </c>
    </row>
    <row r="3079" spans="2:9">
      <c r="B3079" s="1297"/>
      <c r="C3079" s="1297"/>
      <c r="D3079" s="1297" t="s">
        <v>948</v>
      </c>
      <c r="G3079" s="1399">
        <v>10997306.59</v>
      </c>
      <c r="I3079" s="1399">
        <v>10997306.59</v>
      </c>
    </row>
    <row r="3080" spans="2:9">
      <c r="B3080" s="1297"/>
      <c r="C3080" s="1297"/>
      <c r="D3080" s="1297" t="s">
        <v>1118</v>
      </c>
      <c r="G3080" s="1399">
        <v>278</v>
      </c>
      <c r="I3080" s="1399">
        <v>278</v>
      </c>
    </row>
    <row r="3081" spans="2:9">
      <c r="B3081" s="1297"/>
      <c r="C3081" s="1400" t="s">
        <v>1198</v>
      </c>
      <c r="D3081" s="1400"/>
      <c r="E3081" s="1401">
        <v>4785716</v>
      </c>
      <c r="F3081" s="1401">
        <v>8283105.0500000007</v>
      </c>
      <c r="G3081" s="1401">
        <v>10997584.59</v>
      </c>
      <c r="H3081" s="1401">
        <v>9185177.290000001</v>
      </c>
      <c r="I3081" s="1401">
        <v>33251582.930000003</v>
      </c>
    </row>
    <row r="3082" spans="2:9">
      <c r="B3082" s="1297" t="s">
        <v>1393</v>
      </c>
      <c r="C3082" s="1297" t="s">
        <v>1394</v>
      </c>
      <c r="D3082" s="1297" t="s">
        <v>906</v>
      </c>
      <c r="F3082" s="1399">
        <v>3249738.47</v>
      </c>
      <c r="I3082" s="1399">
        <v>3249738.47</v>
      </c>
    </row>
    <row r="3083" spans="2:9">
      <c r="B3083" s="1297"/>
      <c r="C3083" s="1297"/>
      <c r="D3083" s="1297" t="s">
        <v>952</v>
      </c>
      <c r="F3083" s="1399">
        <v>33616.629999999997</v>
      </c>
      <c r="I3083" s="1399">
        <v>33616.629999999997</v>
      </c>
    </row>
    <row r="3084" spans="2:9">
      <c r="B3084" s="1297"/>
      <c r="C3084" s="1297"/>
      <c r="D3084" s="1297" t="s">
        <v>907</v>
      </c>
      <c r="F3084" s="1399">
        <v>2002576.11</v>
      </c>
      <c r="I3084" s="1399">
        <v>2002576.11</v>
      </c>
    </row>
    <row r="3085" spans="2:9">
      <c r="B3085" s="1297"/>
      <c r="C3085" s="1297"/>
      <c r="D3085" s="1297" t="s">
        <v>908</v>
      </c>
      <c r="F3085" s="1399">
        <v>9992.16</v>
      </c>
      <c r="I3085" s="1399">
        <v>9992.16</v>
      </c>
    </row>
    <row r="3086" spans="2:9">
      <c r="B3086" s="1297"/>
      <c r="C3086" s="1297"/>
      <c r="D3086" s="1297" t="s">
        <v>909</v>
      </c>
      <c r="F3086" s="1399">
        <v>209091.53</v>
      </c>
      <c r="I3086" s="1399">
        <v>209091.53</v>
      </c>
    </row>
    <row r="3087" spans="2:9">
      <c r="B3087" s="1297"/>
      <c r="C3087" s="1297"/>
      <c r="D3087" s="1297" t="s">
        <v>910</v>
      </c>
      <c r="F3087" s="1399">
        <v>9773.0499999999993</v>
      </c>
      <c r="I3087" s="1399">
        <v>9773.0499999999993</v>
      </c>
    </row>
    <row r="3088" spans="2:9">
      <c r="B3088" s="1297"/>
      <c r="C3088" s="1297"/>
      <c r="D3088" s="1297" t="s">
        <v>1034</v>
      </c>
      <c r="F3088" s="1399">
        <v>108529.38999999998</v>
      </c>
      <c r="I3088" s="1399">
        <v>108529.38999999998</v>
      </c>
    </row>
    <row r="3089" spans="2:9">
      <c r="B3089" s="1297"/>
      <c r="C3089" s="1297"/>
      <c r="D3089" s="1297" t="s">
        <v>1035</v>
      </c>
      <c r="F3089" s="1399">
        <v>134381.51999999999</v>
      </c>
      <c r="I3089" s="1399">
        <v>134381.51999999999</v>
      </c>
    </row>
    <row r="3090" spans="2:9">
      <c r="B3090" s="1297"/>
      <c r="C3090" s="1297"/>
      <c r="D3090" s="1297" t="s">
        <v>1036</v>
      </c>
      <c r="F3090" s="1399">
        <v>33187.42</v>
      </c>
      <c r="I3090" s="1399">
        <v>33187.42</v>
      </c>
    </row>
    <row r="3091" spans="2:9">
      <c r="B3091" s="1297"/>
      <c r="C3091" s="1297"/>
      <c r="D3091" s="1297" t="s">
        <v>1037</v>
      </c>
      <c r="F3091" s="1399">
        <v>40116.33</v>
      </c>
      <c r="I3091" s="1399">
        <v>40116.33</v>
      </c>
    </row>
    <row r="3092" spans="2:9">
      <c r="B3092" s="1297"/>
      <c r="C3092" s="1297"/>
      <c r="D3092" s="1297" t="s">
        <v>1039</v>
      </c>
      <c r="F3092" s="1399">
        <v>38946.26</v>
      </c>
      <c r="I3092" s="1399">
        <v>38946.26</v>
      </c>
    </row>
    <row r="3093" spans="2:9">
      <c r="B3093" s="1297"/>
      <c r="C3093" s="1297"/>
      <c r="D3093" s="1297" t="s">
        <v>1040</v>
      </c>
      <c r="F3093" s="1399">
        <v>156251.72</v>
      </c>
      <c r="I3093" s="1399">
        <v>156251.72</v>
      </c>
    </row>
    <row r="3094" spans="2:9">
      <c r="B3094" s="1297"/>
      <c r="C3094" s="1297"/>
      <c r="D3094" s="1297" t="s">
        <v>1041</v>
      </c>
      <c r="F3094" s="1399">
        <v>13074.85</v>
      </c>
      <c r="I3094" s="1399">
        <v>13074.85</v>
      </c>
    </row>
    <row r="3095" spans="2:9">
      <c r="B3095" s="1297"/>
      <c r="C3095" s="1297"/>
      <c r="D3095" s="1297" t="s">
        <v>1042</v>
      </c>
      <c r="F3095" s="1399">
        <v>50704.51</v>
      </c>
      <c r="I3095" s="1399">
        <v>50704.51</v>
      </c>
    </row>
    <row r="3096" spans="2:9">
      <c r="B3096" s="1297"/>
      <c r="C3096" s="1297"/>
      <c r="D3096" s="1297" t="s">
        <v>953</v>
      </c>
      <c r="F3096" s="1399">
        <v>24686</v>
      </c>
      <c r="I3096" s="1399">
        <v>24686</v>
      </c>
    </row>
    <row r="3097" spans="2:9">
      <c r="B3097" s="1297"/>
      <c r="C3097" s="1297"/>
      <c r="D3097" s="1297" t="s">
        <v>985</v>
      </c>
      <c r="F3097" s="1399">
        <v>9992.31</v>
      </c>
      <c r="I3097" s="1399">
        <v>9992.31</v>
      </c>
    </row>
    <row r="3098" spans="2:9">
      <c r="B3098" s="1297"/>
      <c r="C3098" s="1297"/>
      <c r="D3098" s="1297" t="s">
        <v>1045</v>
      </c>
      <c r="F3098" s="1399">
        <v>193607.71</v>
      </c>
      <c r="I3098" s="1399">
        <v>193607.71</v>
      </c>
    </row>
    <row r="3099" spans="2:9">
      <c r="B3099" s="1297"/>
      <c r="C3099" s="1297"/>
      <c r="D3099" s="1297" t="s">
        <v>1046</v>
      </c>
      <c r="H3099" s="1399">
        <v>14292313</v>
      </c>
      <c r="I3099" s="1399">
        <v>14292313</v>
      </c>
    </row>
    <row r="3100" spans="2:9">
      <c r="B3100" s="1297"/>
      <c r="C3100" s="1297"/>
      <c r="D3100" s="1297" t="s">
        <v>1047</v>
      </c>
      <c r="H3100" s="1399">
        <v>466779</v>
      </c>
      <c r="I3100" s="1399">
        <v>466779</v>
      </c>
    </row>
    <row r="3101" spans="2:9">
      <c r="B3101" s="1297"/>
      <c r="C3101" s="1297"/>
      <c r="D3101" s="1297" t="s">
        <v>1048</v>
      </c>
      <c r="H3101" s="1399">
        <v>-1492121</v>
      </c>
      <c r="I3101" s="1399">
        <v>-1492121</v>
      </c>
    </row>
    <row r="3102" spans="2:9">
      <c r="B3102" s="1297"/>
      <c r="C3102" s="1297"/>
      <c r="D3102" s="1297" t="s">
        <v>932</v>
      </c>
      <c r="H3102" s="1399">
        <v>1277849</v>
      </c>
      <c r="I3102" s="1399">
        <v>1277849</v>
      </c>
    </row>
    <row r="3103" spans="2:9">
      <c r="B3103" s="1297"/>
      <c r="C3103" s="1297"/>
      <c r="D3103" s="1297" t="s">
        <v>955</v>
      </c>
      <c r="H3103" s="1399">
        <v>950323.81</v>
      </c>
      <c r="I3103" s="1399">
        <v>950323.81</v>
      </c>
    </row>
    <row r="3104" spans="2:9">
      <c r="B3104" s="1297"/>
      <c r="C3104" s="1297"/>
      <c r="D3104" s="1297" t="s">
        <v>934</v>
      </c>
      <c r="H3104" s="1399">
        <v>51616</v>
      </c>
      <c r="I3104" s="1399">
        <v>51616</v>
      </c>
    </row>
    <row r="3105" spans="2:9">
      <c r="B3105" s="1297"/>
      <c r="C3105" s="1297"/>
      <c r="D3105" s="1297" t="s">
        <v>1130</v>
      </c>
      <c r="H3105" s="1399">
        <v>1090303</v>
      </c>
      <c r="I3105" s="1399">
        <v>1090303</v>
      </c>
    </row>
    <row r="3106" spans="2:9">
      <c r="B3106" s="1297"/>
      <c r="C3106" s="1297"/>
      <c r="D3106" s="1297" t="s">
        <v>935</v>
      </c>
      <c r="H3106" s="1399">
        <v>358695.98000000004</v>
      </c>
      <c r="I3106" s="1399">
        <v>358695.98000000004</v>
      </c>
    </row>
    <row r="3107" spans="2:9">
      <c r="B3107" s="1297"/>
      <c r="C3107" s="1297"/>
      <c r="D3107" s="1297" t="s">
        <v>936</v>
      </c>
      <c r="H3107" s="1399">
        <v>46920.17</v>
      </c>
      <c r="I3107" s="1399">
        <v>46920.17</v>
      </c>
    </row>
    <row r="3108" spans="2:9">
      <c r="B3108" s="1297"/>
      <c r="C3108" s="1297"/>
      <c r="D3108" s="1297" t="s">
        <v>937</v>
      </c>
      <c r="H3108" s="1399">
        <v>13215.35</v>
      </c>
      <c r="I3108" s="1399">
        <v>13215.35</v>
      </c>
    </row>
    <row r="3109" spans="2:9">
      <c r="B3109" s="1297"/>
      <c r="C3109" s="1297"/>
      <c r="D3109" s="1297" t="s">
        <v>938</v>
      </c>
      <c r="H3109" s="1399">
        <v>15909</v>
      </c>
      <c r="I3109" s="1399">
        <v>15909</v>
      </c>
    </row>
    <row r="3110" spans="2:9">
      <c r="B3110" s="1297"/>
      <c r="C3110" s="1297"/>
      <c r="D3110" s="1297" t="s">
        <v>939</v>
      </c>
      <c r="H3110" s="1399">
        <v>146823.13</v>
      </c>
      <c r="I3110" s="1399">
        <v>146823.13</v>
      </c>
    </row>
    <row r="3111" spans="2:9">
      <c r="B3111" s="1297"/>
      <c r="C3111" s="1297"/>
      <c r="D3111" s="1297" t="s">
        <v>940</v>
      </c>
      <c r="E3111" s="1399">
        <v>929665.76</v>
      </c>
      <c r="I3111" s="1399">
        <v>929665.76</v>
      </c>
    </row>
    <row r="3112" spans="2:9">
      <c r="B3112" s="1297"/>
      <c r="C3112" s="1297"/>
      <c r="D3112" s="1297" t="s">
        <v>941</v>
      </c>
      <c r="E3112" s="1399">
        <v>298859.62</v>
      </c>
      <c r="I3112" s="1399">
        <v>298859.62</v>
      </c>
    </row>
    <row r="3113" spans="2:9">
      <c r="B3113" s="1297"/>
      <c r="C3113" s="1297"/>
      <c r="D3113" s="1297" t="s">
        <v>943</v>
      </c>
      <c r="E3113" s="1399">
        <v>15202.56</v>
      </c>
      <c r="I3113" s="1399">
        <v>15202.56</v>
      </c>
    </row>
    <row r="3114" spans="2:9">
      <c r="B3114" s="1297"/>
      <c r="C3114" s="1297"/>
      <c r="D3114" s="1297" t="s">
        <v>944</v>
      </c>
      <c r="E3114" s="1399">
        <v>1857877.8699999996</v>
      </c>
      <c r="I3114" s="1399">
        <v>1857877.8699999996</v>
      </c>
    </row>
    <row r="3115" spans="2:9">
      <c r="B3115" s="1297"/>
      <c r="C3115" s="1297"/>
      <c r="D3115" s="1297" t="s">
        <v>945</v>
      </c>
      <c r="E3115" s="1399">
        <v>1108010.6599999999</v>
      </c>
      <c r="I3115" s="1399">
        <v>1108010.6599999999</v>
      </c>
    </row>
    <row r="3116" spans="2:9">
      <c r="B3116" s="1297"/>
      <c r="C3116" s="1297"/>
      <c r="D3116" s="1297" t="s">
        <v>947</v>
      </c>
      <c r="E3116" s="1399">
        <v>78592.740000000005</v>
      </c>
      <c r="I3116" s="1399">
        <v>78592.740000000005</v>
      </c>
    </row>
    <row r="3117" spans="2:9">
      <c r="B3117" s="1297"/>
      <c r="C3117" s="1297"/>
      <c r="D3117" s="1297" t="s">
        <v>948</v>
      </c>
      <c r="G3117" s="1399">
        <v>1991949.73</v>
      </c>
      <c r="I3117" s="1399">
        <v>1991949.73</v>
      </c>
    </row>
    <row r="3118" spans="2:9">
      <c r="B3118" s="1297"/>
      <c r="C3118" s="1297"/>
      <c r="D3118" s="1297" t="s">
        <v>1118</v>
      </c>
      <c r="G3118" s="1399">
        <v>17273.55</v>
      </c>
      <c r="I3118" s="1399">
        <v>17273.55</v>
      </c>
    </row>
    <row r="3119" spans="2:9">
      <c r="B3119" s="1297"/>
      <c r="C3119" s="1400" t="s">
        <v>1395</v>
      </c>
      <c r="D3119" s="1400"/>
      <c r="E3119" s="1401">
        <v>4288209.21</v>
      </c>
      <c r="F3119" s="1401">
        <v>6318265.9699999979</v>
      </c>
      <c r="G3119" s="1401">
        <v>2009223.28</v>
      </c>
      <c r="H3119" s="1401">
        <v>17218626.440000001</v>
      </c>
      <c r="I3119" s="1401">
        <v>29834324.900000002</v>
      </c>
    </row>
    <row r="3120" spans="2:9">
      <c r="B3120" s="1297" t="s">
        <v>1396</v>
      </c>
      <c r="C3120" s="1297" t="s">
        <v>1397</v>
      </c>
      <c r="D3120" s="1297" t="s">
        <v>906</v>
      </c>
      <c r="F3120" s="1399">
        <v>5738790.25</v>
      </c>
      <c r="I3120" s="1399">
        <v>5738790.25</v>
      </c>
    </row>
    <row r="3121" spans="2:9">
      <c r="B3121" s="1297"/>
      <c r="C3121" s="1297"/>
      <c r="D3121" s="1297" t="s">
        <v>952</v>
      </c>
      <c r="F3121" s="1399">
        <v>8257.27</v>
      </c>
      <c r="I3121" s="1399">
        <v>8257.27</v>
      </c>
    </row>
    <row r="3122" spans="2:9">
      <c r="B3122" s="1297"/>
      <c r="C3122" s="1297"/>
      <c r="D3122" s="1297" t="s">
        <v>907</v>
      </c>
      <c r="F3122" s="1399">
        <v>1950911.97</v>
      </c>
      <c r="I3122" s="1399">
        <v>1950911.97</v>
      </c>
    </row>
    <row r="3123" spans="2:9">
      <c r="B3123" s="1297"/>
      <c r="C3123" s="1297"/>
      <c r="D3123" s="1297" t="s">
        <v>908</v>
      </c>
      <c r="F3123" s="1399">
        <v>25653.32</v>
      </c>
      <c r="I3123" s="1399">
        <v>25653.32</v>
      </c>
    </row>
    <row r="3124" spans="2:9">
      <c r="B3124" s="1297"/>
      <c r="C3124" s="1297"/>
      <c r="D3124" s="1297" t="s">
        <v>1003</v>
      </c>
      <c r="F3124" s="1399">
        <v>52800</v>
      </c>
      <c r="I3124" s="1399">
        <v>52800</v>
      </c>
    </row>
    <row r="3125" spans="2:9">
      <c r="B3125" s="1297"/>
      <c r="C3125" s="1297"/>
      <c r="D3125" s="1297" t="s">
        <v>1039</v>
      </c>
      <c r="F3125" s="1399">
        <v>26806.37</v>
      </c>
      <c r="I3125" s="1399">
        <v>26806.37</v>
      </c>
    </row>
    <row r="3126" spans="2:9">
      <c r="B3126" s="1297"/>
      <c r="C3126" s="1297"/>
      <c r="D3126" s="1297" t="s">
        <v>1040</v>
      </c>
      <c r="F3126" s="1399">
        <v>85133.86</v>
      </c>
      <c r="I3126" s="1399">
        <v>85133.86</v>
      </c>
    </row>
    <row r="3127" spans="2:9">
      <c r="B3127" s="1297"/>
      <c r="C3127" s="1297"/>
      <c r="D3127" s="1297" t="s">
        <v>1127</v>
      </c>
      <c r="F3127" s="1399">
        <v>10745.1</v>
      </c>
      <c r="I3127" s="1399">
        <v>10745.1</v>
      </c>
    </row>
    <row r="3128" spans="2:9">
      <c r="B3128" s="1297"/>
      <c r="C3128" s="1297"/>
      <c r="D3128" s="1297" t="s">
        <v>1041</v>
      </c>
      <c r="F3128" s="1399">
        <v>2121.0700000000002</v>
      </c>
      <c r="I3128" s="1399">
        <v>2121.0700000000002</v>
      </c>
    </row>
    <row r="3129" spans="2:9">
      <c r="B3129" s="1297"/>
      <c r="C3129" s="1297"/>
      <c r="D3129" s="1297" t="s">
        <v>1042</v>
      </c>
      <c r="F3129" s="1399">
        <v>48737.5</v>
      </c>
      <c r="I3129" s="1399">
        <v>48737.5</v>
      </c>
    </row>
    <row r="3130" spans="2:9">
      <c r="B3130" s="1297"/>
      <c r="C3130" s="1297"/>
      <c r="D3130" s="1297" t="s">
        <v>1043</v>
      </c>
      <c r="F3130" s="1399">
        <v>18000</v>
      </c>
      <c r="I3130" s="1399">
        <v>18000</v>
      </c>
    </row>
    <row r="3131" spans="2:9">
      <c r="B3131" s="1297"/>
      <c r="C3131" s="1297"/>
      <c r="D3131" s="1297" t="s">
        <v>986</v>
      </c>
      <c r="F3131" s="1399">
        <v>165284.18</v>
      </c>
      <c r="I3131" s="1399">
        <v>165284.18</v>
      </c>
    </row>
    <row r="3132" spans="2:9">
      <c r="B3132" s="1297"/>
      <c r="C3132" s="1297"/>
      <c r="D3132" s="1297" t="s">
        <v>1005</v>
      </c>
      <c r="F3132" s="1399">
        <v>248675.46999999997</v>
      </c>
      <c r="I3132" s="1399">
        <v>248675.46999999997</v>
      </c>
    </row>
    <row r="3133" spans="2:9">
      <c r="B3133" s="1297"/>
      <c r="C3133" s="1297"/>
      <c r="D3133" s="1297" t="s">
        <v>1045</v>
      </c>
      <c r="F3133" s="1399">
        <v>237529.34999999998</v>
      </c>
      <c r="I3133" s="1399">
        <v>237529.34999999998</v>
      </c>
    </row>
    <row r="3134" spans="2:9">
      <c r="B3134" s="1297"/>
      <c r="C3134" s="1297"/>
      <c r="D3134" s="1297" t="s">
        <v>1046</v>
      </c>
      <c r="H3134" s="1399">
        <v>14710896</v>
      </c>
      <c r="I3134" s="1399">
        <v>14710896</v>
      </c>
    </row>
    <row r="3135" spans="2:9">
      <c r="B3135" s="1297"/>
      <c r="C3135" s="1297"/>
      <c r="D3135" s="1297" t="s">
        <v>1047</v>
      </c>
      <c r="H3135" s="1399">
        <v>593694</v>
      </c>
      <c r="I3135" s="1399">
        <v>593694</v>
      </c>
    </row>
    <row r="3136" spans="2:9">
      <c r="B3136" s="1297"/>
      <c r="C3136" s="1297"/>
      <c r="D3136" s="1297" t="s">
        <v>1048</v>
      </c>
      <c r="H3136" s="1399">
        <v>-1976549</v>
      </c>
      <c r="I3136" s="1399">
        <v>-1976549</v>
      </c>
    </row>
    <row r="3137" spans="2:9">
      <c r="B3137" s="1297"/>
      <c r="C3137" s="1297"/>
      <c r="D3137" s="1297" t="s">
        <v>932</v>
      </c>
      <c r="H3137" s="1399">
        <v>1308675</v>
      </c>
      <c r="I3137" s="1399">
        <v>1308675</v>
      </c>
    </row>
    <row r="3138" spans="2:9">
      <c r="B3138" s="1297"/>
      <c r="C3138" s="1297"/>
      <c r="D3138" s="1297" t="s">
        <v>934</v>
      </c>
      <c r="H3138" s="1399">
        <v>54110</v>
      </c>
      <c r="I3138" s="1399">
        <v>54110</v>
      </c>
    </row>
    <row r="3139" spans="2:9">
      <c r="B3139" s="1297"/>
      <c r="C3139" s="1297"/>
      <c r="D3139" s="1297" t="s">
        <v>935</v>
      </c>
      <c r="H3139" s="1399">
        <v>377364</v>
      </c>
      <c r="I3139" s="1399">
        <v>377364</v>
      </c>
    </row>
    <row r="3140" spans="2:9">
      <c r="B3140" s="1297"/>
      <c r="C3140" s="1297"/>
      <c r="D3140" s="1297" t="s">
        <v>936</v>
      </c>
      <c r="H3140" s="1399">
        <v>52522.58</v>
      </c>
      <c r="I3140" s="1399">
        <v>52522.58</v>
      </c>
    </row>
    <row r="3141" spans="2:9">
      <c r="B3141" s="1297"/>
      <c r="C3141" s="1297"/>
      <c r="D3141" s="1297" t="s">
        <v>937</v>
      </c>
      <c r="H3141" s="1399">
        <v>980.13</v>
      </c>
      <c r="I3141" s="1399">
        <v>980.13</v>
      </c>
    </row>
    <row r="3142" spans="2:9">
      <c r="B3142" s="1297"/>
      <c r="C3142" s="1297"/>
      <c r="D3142" s="1297" t="s">
        <v>938</v>
      </c>
      <c r="H3142" s="1399">
        <v>19465</v>
      </c>
      <c r="I3142" s="1399">
        <v>19465</v>
      </c>
    </row>
    <row r="3143" spans="2:9">
      <c r="B3143" s="1297"/>
      <c r="C3143" s="1297"/>
      <c r="D3143" s="1297" t="s">
        <v>939</v>
      </c>
      <c r="H3143" s="1399">
        <v>853361.31</v>
      </c>
      <c r="I3143" s="1399">
        <v>853361.31</v>
      </c>
    </row>
    <row r="3144" spans="2:9">
      <c r="B3144" s="1297"/>
      <c r="C3144" s="1297"/>
      <c r="D3144" s="1297" t="s">
        <v>1131</v>
      </c>
      <c r="E3144" s="1399">
        <v>115943.84</v>
      </c>
      <c r="I3144" s="1399">
        <v>115943.84</v>
      </c>
    </row>
    <row r="3145" spans="2:9">
      <c r="B3145" s="1297"/>
      <c r="C3145" s="1297"/>
      <c r="D3145" s="1297" t="s">
        <v>940</v>
      </c>
      <c r="E3145" s="1399">
        <v>1091498.06</v>
      </c>
      <c r="I3145" s="1399">
        <v>1091498.06</v>
      </c>
    </row>
    <row r="3146" spans="2:9">
      <c r="B3146" s="1297"/>
      <c r="C3146" s="1297"/>
      <c r="D3146" s="1297" t="s">
        <v>941</v>
      </c>
      <c r="E3146" s="1399">
        <v>390970.82</v>
      </c>
      <c r="I3146" s="1399">
        <v>390970.82</v>
      </c>
    </row>
    <row r="3147" spans="2:9">
      <c r="B3147" s="1297"/>
      <c r="C3147" s="1297"/>
      <c r="D3147" s="1297" t="s">
        <v>944</v>
      </c>
      <c r="E3147" s="1399">
        <v>2121960.71</v>
      </c>
      <c r="I3147" s="1399">
        <v>2121960.71</v>
      </c>
    </row>
    <row r="3148" spans="2:9">
      <c r="B3148" s="1297"/>
      <c r="C3148" s="1297"/>
      <c r="D3148" s="1297" t="s">
        <v>945</v>
      </c>
      <c r="E3148" s="1399">
        <v>1599701.8499999999</v>
      </c>
      <c r="I3148" s="1399">
        <v>1599701.8499999999</v>
      </c>
    </row>
    <row r="3149" spans="2:9">
      <c r="B3149" s="1297"/>
      <c r="C3149" s="1297"/>
      <c r="D3149" s="1297" t="s">
        <v>946</v>
      </c>
      <c r="E3149" s="1399">
        <v>0</v>
      </c>
      <c r="I3149" s="1399">
        <v>0</v>
      </c>
    </row>
    <row r="3150" spans="2:9">
      <c r="B3150" s="1297"/>
      <c r="C3150" s="1297"/>
      <c r="D3150" s="1297" t="s">
        <v>947</v>
      </c>
      <c r="E3150" s="1399">
        <v>97870.2</v>
      </c>
      <c r="I3150" s="1399">
        <v>97870.2</v>
      </c>
    </row>
    <row r="3151" spans="2:9">
      <c r="B3151" s="1297"/>
      <c r="C3151" s="1297"/>
      <c r="D3151" s="1297" t="s">
        <v>948</v>
      </c>
      <c r="G3151" s="1399">
        <v>2713153.1199999996</v>
      </c>
      <c r="I3151" s="1399">
        <v>2713153.1199999996</v>
      </c>
    </row>
    <row r="3152" spans="2:9">
      <c r="B3152" s="1297"/>
      <c r="C3152" s="1400" t="s">
        <v>1398</v>
      </c>
      <c r="D3152" s="1400"/>
      <c r="E3152" s="1401">
        <v>5417945.4800000004</v>
      </c>
      <c r="F3152" s="1401">
        <v>8619445.709999999</v>
      </c>
      <c r="G3152" s="1401">
        <v>2713153.1199999996</v>
      </c>
      <c r="H3152" s="1401">
        <v>15994519.020000001</v>
      </c>
      <c r="I3152" s="1401">
        <v>32745063.329999998</v>
      </c>
    </row>
    <row r="3153" spans="2:9">
      <c r="B3153" s="1297" t="s">
        <v>1399</v>
      </c>
      <c r="C3153" s="1297" t="s">
        <v>1400</v>
      </c>
      <c r="D3153" s="1297" t="s">
        <v>906</v>
      </c>
      <c r="F3153" s="1399">
        <v>2577197.7000000002</v>
      </c>
      <c r="I3153" s="1399">
        <v>2577197.7000000002</v>
      </c>
    </row>
    <row r="3154" spans="2:9">
      <c r="B3154" s="1297"/>
      <c r="C3154" s="1297"/>
      <c r="D3154" s="1297" t="s">
        <v>952</v>
      </c>
      <c r="F3154" s="1399">
        <v>16773.09</v>
      </c>
      <c r="I3154" s="1399">
        <v>16773.09</v>
      </c>
    </row>
    <row r="3155" spans="2:9">
      <c r="B3155" s="1297"/>
      <c r="C3155" s="1297"/>
      <c r="D3155" s="1297" t="s">
        <v>907</v>
      </c>
      <c r="F3155" s="1399">
        <v>837857.8</v>
      </c>
      <c r="I3155" s="1399">
        <v>837857.8</v>
      </c>
    </row>
    <row r="3156" spans="2:9">
      <c r="B3156" s="1297"/>
      <c r="C3156" s="1297"/>
      <c r="D3156" s="1297" t="s">
        <v>908</v>
      </c>
      <c r="F3156" s="1399">
        <v>16005.11</v>
      </c>
      <c r="I3156" s="1399">
        <v>16005.11</v>
      </c>
    </row>
    <row r="3157" spans="2:9">
      <c r="B3157" s="1297"/>
      <c r="C3157" s="1297"/>
      <c r="D3157" s="1297" t="s">
        <v>910</v>
      </c>
      <c r="F3157" s="1399">
        <v>71404.63</v>
      </c>
      <c r="I3157" s="1399">
        <v>71404.63</v>
      </c>
    </row>
    <row r="3158" spans="2:9">
      <c r="B3158" s="1297"/>
      <c r="C3158" s="1297"/>
      <c r="D3158" s="1297" t="s">
        <v>1034</v>
      </c>
      <c r="F3158" s="1399">
        <v>60854.400000000001</v>
      </c>
      <c r="I3158" s="1399">
        <v>60854.400000000001</v>
      </c>
    </row>
    <row r="3159" spans="2:9">
      <c r="B3159" s="1297"/>
      <c r="C3159" s="1297"/>
      <c r="D3159" s="1297" t="s">
        <v>1035</v>
      </c>
      <c r="F3159" s="1399">
        <v>130317.67</v>
      </c>
      <c r="I3159" s="1399">
        <v>130317.67</v>
      </c>
    </row>
    <row r="3160" spans="2:9">
      <c r="B3160" s="1297"/>
      <c r="C3160" s="1297"/>
      <c r="D3160" s="1297" t="s">
        <v>1036</v>
      </c>
      <c r="F3160" s="1399">
        <v>56020.85</v>
      </c>
      <c r="I3160" s="1399">
        <v>56020.85</v>
      </c>
    </row>
    <row r="3161" spans="2:9">
      <c r="B3161" s="1297"/>
      <c r="C3161" s="1297"/>
      <c r="D3161" s="1297" t="s">
        <v>1038</v>
      </c>
      <c r="F3161" s="1399">
        <v>2400</v>
      </c>
      <c r="I3161" s="1399">
        <v>2400</v>
      </c>
    </row>
    <row r="3162" spans="2:9">
      <c r="B3162" s="1297"/>
      <c r="C3162" s="1297"/>
      <c r="D3162" s="1297" t="s">
        <v>1003</v>
      </c>
      <c r="F3162" s="1399">
        <v>19046.86</v>
      </c>
      <c r="I3162" s="1399">
        <v>19046.86</v>
      </c>
    </row>
    <row r="3163" spans="2:9">
      <c r="B3163" s="1297"/>
      <c r="C3163" s="1297"/>
      <c r="D3163" s="1297" t="s">
        <v>1039</v>
      </c>
      <c r="F3163" s="1399">
        <v>17720.830000000002</v>
      </c>
      <c r="I3163" s="1399">
        <v>17720.830000000002</v>
      </c>
    </row>
    <row r="3164" spans="2:9">
      <c r="B3164" s="1297"/>
      <c r="C3164" s="1297"/>
      <c r="D3164" s="1297" t="s">
        <v>1041</v>
      </c>
      <c r="F3164" s="1399">
        <v>12104.900000000001</v>
      </c>
      <c r="I3164" s="1399">
        <v>12104.900000000001</v>
      </c>
    </row>
    <row r="3165" spans="2:9">
      <c r="B3165" s="1297"/>
      <c r="C3165" s="1297"/>
      <c r="D3165" s="1297" t="s">
        <v>1042</v>
      </c>
      <c r="F3165" s="1399">
        <v>15871.1</v>
      </c>
      <c r="I3165" s="1399">
        <v>15871.1</v>
      </c>
    </row>
    <row r="3166" spans="2:9">
      <c r="B3166" s="1297"/>
      <c r="C3166" s="1297"/>
      <c r="D3166" s="1297" t="s">
        <v>1043</v>
      </c>
      <c r="F3166" s="1399">
        <v>4595</v>
      </c>
      <c r="I3166" s="1399">
        <v>4595</v>
      </c>
    </row>
    <row r="3167" spans="2:9">
      <c r="B3167" s="1297"/>
      <c r="C3167" s="1297"/>
      <c r="D3167" s="1297" t="s">
        <v>990</v>
      </c>
      <c r="F3167" s="1399">
        <v>500</v>
      </c>
      <c r="I3167" s="1399">
        <v>500</v>
      </c>
    </row>
    <row r="3168" spans="2:9">
      <c r="B3168" s="1297"/>
      <c r="C3168" s="1297"/>
      <c r="D3168" s="1297" t="s">
        <v>1044</v>
      </c>
      <c r="F3168" s="1399">
        <v>63731</v>
      </c>
      <c r="I3168" s="1399">
        <v>63731</v>
      </c>
    </row>
    <row r="3169" spans="2:9">
      <c r="B3169" s="1297"/>
      <c r="C3169" s="1297"/>
      <c r="D3169" s="1297" t="s">
        <v>1045</v>
      </c>
      <c r="F3169" s="1399">
        <v>14542.67</v>
      </c>
      <c r="I3169" s="1399">
        <v>14542.67</v>
      </c>
    </row>
    <row r="3170" spans="2:9">
      <c r="B3170" s="1297"/>
      <c r="C3170" s="1297"/>
      <c r="D3170" s="1297" t="s">
        <v>1046</v>
      </c>
      <c r="H3170" s="1399">
        <v>7530946</v>
      </c>
      <c r="I3170" s="1399">
        <v>7530946</v>
      </c>
    </row>
    <row r="3171" spans="2:9">
      <c r="B3171" s="1297"/>
      <c r="C3171" s="1297"/>
      <c r="D3171" s="1297" t="s">
        <v>1047</v>
      </c>
      <c r="H3171" s="1399">
        <v>303797</v>
      </c>
      <c r="I3171" s="1399">
        <v>303797</v>
      </c>
    </row>
    <row r="3172" spans="2:9">
      <c r="B3172" s="1297"/>
      <c r="C3172" s="1297"/>
      <c r="D3172" s="1297" t="s">
        <v>1048</v>
      </c>
      <c r="H3172" s="1399">
        <v>-1031650</v>
      </c>
      <c r="I3172" s="1399">
        <v>-1031650</v>
      </c>
    </row>
    <row r="3173" spans="2:9">
      <c r="B3173" s="1297"/>
      <c r="C3173" s="1297"/>
      <c r="D3173" s="1297" t="s">
        <v>932</v>
      </c>
      <c r="H3173" s="1399">
        <v>470712</v>
      </c>
      <c r="I3173" s="1399">
        <v>470712</v>
      </c>
    </row>
    <row r="3174" spans="2:9">
      <c r="B3174" s="1297"/>
      <c r="C3174" s="1297"/>
      <c r="D3174" s="1297" t="s">
        <v>955</v>
      </c>
      <c r="H3174" s="1399">
        <v>542671.35</v>
      </c>
      <c r="I3174" s="1399">
        <v>542671.35</v>
      </c>
    </row>
    <row r="3175" spans="2:9">
      <c r="B3175" s="1297"/>
      <c r="C3175" s="1297"/>
      <c r="D3175" s="1297" t="s">
        <v>934</v>
      </c>
      <c r="H3175" s="1399">
        <v>29326</v>
      </c>
      <c r="I3175" s="1399">
        <v>29326</v>
      </c>
    </row>
    <row r="3176" spans="2:9">
      <c r="B3176" s="1297"/>
      <c r="C3176" s="1297"/>
      <c r="D3176" s="1297" t="s">
        <v>935</v>
      </c>
      <c r="H3176" s="1399">
        <v>220769.79</v>
      </c>
      <c r="I3176" s="1399">
        <v>220769.79</v>
      </c>
    </row>
    <row r="3177" spans="2:9">
      <c r="B3177" s="1297"/>
      <c r="C3177" s="1297"/>
      <c r="D3177" s="1297" t="s">
        <v>936</v>
      </c>
      <c r="H3177" s="1399">
        <v>26961.59</v>
      </c>
      <c r="I3177" s="1399">
        <v>26961.59</v>
      </c>
    </row>
    <row r="3178" spans="2:9">
      <c r="B3178" s="1297"/>
      <c r="C3178" s="1297"/>
      <c r="D3178" s="1297" t="s">
        <v>937</v>
      </c>
      <c r="H3178" s="1399">
        <v>6995.75</v>
      </c>
      <c r="I3178" s="1399">
        <v>6995.75</v>
      </c>
    </row>
    <row r="3179" spans="2:9">
      <c r="B3179" s="1297"/>
      <c r="C3179" s="1297"/>
      <c r="D3179" s="1297" t="s">
        <v>938</v>
      </c>
      <c r="H3179" s="1399">
        <v>8984</v>
      </c>
      <c r="I3179" s="1399">
        <v>8984</v>
      </c>
    </row>
    <row r="3180" spans="2:9">
      <c r="B3180" s="1297"/>
      <c r="C3180" s="1297"/>
      <c r="D3180" s="1297" t="s">
        <v>939</v>
      </c>
      <c r="H3180" s="1399">
        <v>276835.15000000002</v>
      </c>
      <c r="I3180" s="1399">
        <v>276835.15000000002</v>
      </c>
    </row>
    <row r="3181" spans="2:9">
      <c r="B3181" s="1297"/>
      <c r="C3181" s="1297"/>
      <c r="D3181" s="1297" t="s">
        <v>1131</v>
      </c>
      <c r="E3181" s="1399">
        <v>56317.07</v>
      </c>
      <c r="I3181" s="1399">
        <v>56317.07</v>
      </c>
    </row>
    <row r="3182" spans="2:9">
      <c r="B3182" s="1297"/>
      <c r="C3182" s="1297"/>
      <c r="D3182" s="1297" t="s">
        <v>940</v>
      </c>
      <c r="E3182" s="1399">
        <v>513823.3</v>
      </c>
      <c r="I3182" s="1399">
        <v>513823.3</v>
      </c>
    </row>
    <row r="3183" spans="2:9">
      <c r="B3183" s="1297"/>
      <c r="C3183" s="1297"/>
      <c r="D3183" s="1297" t="s">
        <v>941</v>
      </c>
      <c r="E3183" s="1399">
        <v>233020.08000000002</v>
      </c>
      <c r="I3183" s="1399">
        <v>233020.08000000002</v>
      </c>
    </row>
    <row r="3184" spans="2:9">
      <c r="B3184" s="1297"/>
      <c r="C3184" s="1297"/>
      <c r="D3184" s="1297" t="s">
        <v>942</v>
      </c>
      <c r="E3184" s="1399">
        <v>7964.32</v>
      </c>
      <c r="I3184" s="1399">
        <v>7964.32</v>
      </c>
    </row>
    <row r="3185" spans="2:9">
      <c r="B3185" s="1297"/>
      <c r="C3185" s="1297"/>
      <c r="D3185" s="1297" t="s">
        <v>943</v>
      </c>
      <c r="E3185" s="1399">
        <v>3560.14</v>
      </c>
      <c r="I3185" s="1399">
        <v>3560.14</v>
      </c>
    </row>
    <row r="3186" spans="2:9">
      <c r="B3186" s="1297"/>
      <c r="C3186" s="1297"/>
      <c r="D3186" s="1297" t="s">
        <v>944</v>
      </c>
      <c r="E3186" s="1399">
        <v>1437993.22</v>
      </c>
      <c r="I3186" s="1399">
        <v>1437993.22</v>
      </c>
    </row>
    <row r="3187" spans="2:9">
      <c r="B3187" s="1297"/>
      <c r="C3187" s="1297"/>
      <c r="D3187" s="1297" t="s">
        <v>945</v>
      </c>
      <c r="E3187" s="1399">
        <v>1243626.5899999999</v>
      </c>
      <c r="I3187" s="1399">
        <v>1243626.5899999999</v>
      </c>
    </row>
    <row r="3188" spans="2:9">
      <c r="B3188" s="1297"/>
      <c r="C3188" s="1297"/>
      <c r="D3188" s="1297" t="s">
        <v>946</v>
      </c>
      <c r="E3188" s="1399">
        <v>19822.5</v>
      </c>
      <c r="I3188" s="1399">
        <v>19822.5</v>
      </c>
    </row>
    <row r="3189" spans="2:9">
      <c r="B3189" s="1297"/>
      <c r="C3189" s="1297"/>
      <c r="D3189" s="1297" t="s">
        <v>947</v>
      </c>
      <c r="E3189" s="1399">
        <v>62752.649999999994</v>
      </c>
      <c r="I3189" s="1399">
        <v>62752.649999999994</v>
      </c>
    </row>
    <row r="3190" spans="2:9">
      <c r="B3190" s="1297"/>
      <c r="C3190" s="1297"/>
      <c r="D3190" s="1297" t="s">
        <v>948</v>
      </c>
      <c r="G3190" s="1399">
        <v>89174.12000000001</v>
      </c>
      <c r="I3190" s="1399">
        <v>89174.12000000001</v>
      </c>
    </row>
    <row r="3191" spans="2:9">
      <c r="B3191" s="1297"/>
      <c r="C3191" s="1297"/>
      <c r="D3191" s="1297" t="s">
        <v>956</v>
      </c>
      <c r="G3191" s="1399">
        <v>600</v>
      </c>
      <c r="I3191" s="1399">
        <v>600</v>
      </c>
    </row>
    <row r="3192" spans="2:9">
      <c r="B3192" s="1297"/>
      <c r="C3192" s="1297"/>
      <c r="D3192" s="1297" t="s">
        <v>1118</v>
      </c>
      <c r="G3192" s="1399">
        <v>48257.32</v>
      </c>
      <c r="I3192" s="1399">
        <v>48257.32</v>
      </c>
    </row>
    <row r="3193" spans="2:9">
      <c r="B3193" s="1297"/>
      <c r="C3193" s="1400" t="s">
        <v>1401</v>
      </c>
      <c r="D3193" s="1400"/>
      <c r="E3193" s="1401">
        <v>3578879.8699999996</v>
      </c>
      <c r="F3193" s="1401">
        <v>3916943.6099999994</v>
      </c>
      <c r="G3193" s="1401">
        <v>138031.44</v>
      </c>
      <c r="H3193" s="1401">
        <v>8386348.6299999999</v>
      </c>
      <c r="I3193" s="1401">
        <v>16020203.550000001</v>
      </c>
    </row>
    <row r="3194" spans="2:9">
      <c r="B3194" s="1297" t="s">
        <v>1402</v>
      </c>
      <c r="C3194" s="1297" t="s">
        <v>1403</v>
      </c>
      <c r="D3194" s="1297" t="s">
        <v>906</v>
      </c>
      <c r="F3194" s="1399">
        <v>2140303.6</v>
      </c>
      <c r="I3194" s="1399">
        <v>2140303.6</v>
      </c>
    </row>
    <row r="3195" spans="2:9">
      <c r="B3195" s="1297"/>
      <c r="C3195" s="1297"/>
      <c r="D3195" s="1297" t="s">
        <v>952</v>
      </c>
      <c r="F3195" s="1399">
        <v>17584.55</v>
      </c>
      <c r="I3195" s="1399">
        <v>17584.55</v>
      </c>
    </row>
    <row r="3196" spans="2:9">
      <c r="B3196" s="1297"/>
      <c r="C3196" s="1297"/>
      <c r="D3196" s="1297" t="s">
        <v>907</v>
      </c>
      <c r="F3196" s="1399">
        <v>623712.53</v>
      </c>
      <c r="I3196" s="1399">
        <v>623712.53</v>
      </c>
    </row>
    <row r="3197" spans="2:9">
      <c r="B3197" s="1297"/>
      <c r="C3197" s="1297"/>
      <c r="D3197" s="1297" t="s">
        <v>1035</v>
      </c>
      <c r="F3197" s="1399">
        <v>134366.18</v>
      </c>
      <c r="I3197" s="1399">
        <v>134366.18</v>
      </c>
    </row>
    <row r="3198" spans="2:9">
      <c r="B3198" s="1297"/>
      <c r="C3198" s="1297"/>
      <c r="D3198" s="1297" t="s">
        <v>1039</v>
      </c>
      <c r="F3198" s="1399">
        <v>6541.79</v>
      </c>
      <c r="I3198" s="1399">
        <v>6541.79</v>
      </c>
    </row>
    <row r="3199" spans="2:9">
      <c r="B3199" s="1297"/>
      <c r="C3199" s="1297"/>
      <c r="D3199" s="1297" t="s">
        <v>1041</v>
      </c>
      <c r="F3199" s="1399">
        <v>58372.569999999992</v>
      </c>
      <c r="I3199" s="1399">
        <v>58372.569999999992</v>
      </c>
    </row>
    <row r="3200" spans="2:9">
      <c r="B3200" s="1297"/>
      <c r="C3200" s="1297"/>
      <c r="D3200" s="1297" t="s">
        <v>1042</v>
      </c>
      <c r="F3200" s="1399">
        <v>22419.75</v>
      </c>
      <c r="I3200" s="1399">
        <v>22419.75</v>
      </c>
    </row>
    <row r="3201" spans="2:9">
      <c r="B3201" s="1297"/>
      <c r="C3201" s="1297"/>
      <c r="D3201" s="1297" t="s">
        <v>986</v>
      </c>
      <c r="F3201" s="1399">
        <v>225100.71</v>
      </c>
      <c r="I3201" s="1399">
        <v>225100.71</v>
      </c>
    </row>
    <row r="3202" spans="2:9">
      <c r="B3202" s="1297"/>
      <c r="C3202" s="1297"/>
      <c r="D3202" s="1297" t="s">
        <v>1045</v>
      </c>
      <c r="F3202" s="1399">
        <v>383680.69</v>
      </c>
      <c r="I3202" s="1399">
        <v>383680.69</v>
      </c>
    </row>
    <row r="3203" spans="2:9">
      <c r="B3203" s="1297"/>
      <c r="C3203" s="1297"/>
      <c r="D3203" s="1297" t="s">
        <v>1046</v>
      </c>
      <c r="H3203" s="1399">
        <v>6149451</v>
      </c>
      <c r="I3203" s="1399">
        <v>6149451</v>
      </c>
    </row>
    <row r="3204" spans="2:9">
      <c r="B3204" s="1297"/>
      <c r="C3204" s="1297"/>
      <c r="D3204" s="1297" t="s">
        <v>1129</v>
      </c>
      <c r="H3204" s="1399">
        <v>-813844</v>
      </c>
      <c r="I3204" s="1399">
        <v>-813844</v>
      </c>
    </row>
    <row r="3205" spans="2:9">
      <c r="B3205" s="1297"/>
      <c r="C3205" s="1297"/>
      <c r="D3205" s="1297" t="s">
        <v>1047</v>
      </c>
      <c r="H3205" s="1399">
        <v>511716</v>
      </c>
      <c r="I3205" s="1399">
        <v>511716</v>
      </c>
    </row>
    <row r="3206" spans="2:9">
      <c r="B3206" s="1297"/>
      <c r="C3206" s="1297"/>
      <c r="D3206" s="1297" t="s">
        <v>1048</v>
      </c>
      <c r="H3206" s="1399">
        <v>-665903</v>
      </c>
      <c r="I3206" s="1399">
        <v>-665903</v>
      </c>
    </row>
    <row r="3207" spans="2:9">
      <c r="B3207" s="1297"/>
      <c r="C3207" s="1297"/>
      <c r="D3207" s="1297" t="s">
        <v>932</v>
      </c>
      <c r="H3207" s="1399">
        <v>450308</v>
      </c>
      <c r="I3207" s="1399">
        <v>450308</v>
      </c>
    </row>
    <row r="3208" spans="2:9">
      <c r="B3208" s="1297"/>
      <c r="C3208" s="1297"/>
      <c r="D3208" s="1297" t="s">
        <v>955</v>
      </c>
      <c r="H3208" s="1399">
        <v>394794.73</v>
      </c>
      <c r="I3208" s="1399">
        <v>394794.73</v>
      </c>
    </row>
    <row r="3209" spans="2:9">
      <c r="B3209" s="1297"/>
      <c r="C3209" s="1297"/>
      <c r="D3209" s="1297" t="s">
        <v>934</v>
      </c>
      <c r="H3209" s="1399">
        <v>24266</v>
      </c>
      <c r="I3209" s="1399">
        <v>24266</v>
      </c>
    </row>
    <row r="3210" spans="2:9">
      <c r="B3210" s="1297"/>
      <c r="C3210" s="1297"/>
      <c r="D3210" s="1297" t="s">
        <v>935</v>
      </c>
      <c r="H3210" s="1399">
        <v>316970.84999999998</v>
      </c>
      <c r="I3210" s="1399">
        <v>316970.84999999998</v>
      </c>
    </row>
    <row r="3211" spans="2:9">
      <c r="B3211" s="1297"/>
      <c r="C3211" s="1297"/>
      <c r="D3211" s="1297" t="s">
        <v>936</v>
      </c>
      <c r="H3211" s="1399">
        <v>24860.69</v>
      </c>
      <c r="I3211" s="1399">
        <v>24860.69</v>
      </c>
    </row>
    <row r="3212" spans="2:9">
      <c r="B3212" s="1297"/>
      <c r="C3212" s="1297"/>
      <c r="D3212" s="1297" t="s">
        <v>937</v>
      </c>
      <c r="H3212" s="1399">
        <v>13523.48</v>
      </c>
      <c r="I3212" s="1399">
        <v>13523.48</v>
      </c>
    </row>
    <row r="3213" spans="2:9">
      <c r="B3213" s="1297"/>
      <c r="C3213" s="1297"/>
      <c r="D3213" s="1297" t="s">
        <v>938</v>
      </c>
      <c r="H3213" s="1399">
        <v>7112</v>
      </c>
      <c r="I3213" s="1399">
        <v>7112</v>
      </c>
    </row>
    <row r="3214" spans="2:9">
      <c r="B3214" s="1297"/>
      <c r="C3214" s="1297"/>
      <c r="D3214" s="1297" t="s">
        <v>939</v>
      </c>
      <c r="H3214" s="1399">
        <v>106983.5</v>
      </c>
      <c r="I3214" s="1399">
        <v>106983.5</v>
      </c>
    </row>
    <row r="3215" spans="2:9">
      <c r="B3215" s="1297"/>
      <c r="C3215" s="1297"/>
      <c r="D3215" s="1297" t="s">
        <v>940</v>
      </c>
      <c r="E3215" s="1399">
        <v>458187</v>
      </c>
      <c r="I3215" s="1399">
        <v>458187</v>
      </c>
    </row>
    <row r="3216" spans="2:9">
      <c r="B3216" s="1297"/>
      <c r="C3216" s="1297"/>
      <c r="D3216" s="1297" t="s">
        <v>941</v>
      </c>
      <c r="E3216" s="1399">
        <v>237880.84</v>
      </c>
      <c r="I3216" s="1399">
        <v>237880.84</v>
      </c>
    </row>
    <row r="3217" spans="2:9">
      <c r="B3217" s="1297"/>
      <c r="C3217" s="1297"/>
      <c r="D3217" s="1297" t="s">
        <v>943</v>
      </c>
      <c r="E3217" s="1399">
        <v>8466.34</v>
      </c>
      <c r="I3217" s="1399">
        <v>8466.34</v>
      </c>
    </row>
    <row r="3218" spans="2:9">
      <c r="B3218" s="1297"/>
      <c r="C3218" s="1297"/>
      <c r="D3218" s="1297" t="s">
        <v>944</v>
      </c>
      <c r="E3218" s="1399">
        <v>1439818.83</v>
      </c>
      <c r="I3218" s="1399">
        <v>1439818.83</v>
      </c>
    </row>
    <row r="3219" spans="2:9">
      <c r="B3219" s="1297"/>
      <c r="C3219" s="1297"/>
      <c r="D3219" s="1297" t="s">
        <v>945</v>
      </c>
      <c r="E3219" s="1399">
        <v>667562.22</v>
      </c>
      <c r="I3219" s="1399">
        <v>667562.22</v>
      </c>
    </row>
    <row r="3220" spans="2:9">
      <c r="B3220" s="1297"/>
      <c r="C3220" s="1297"/>
      <c r="D3220" s="1297" t="s">
        <v>947</v>
      </c>
      <c r="E3220" s="1399">
        <v>36962.769999999997</v>
      </c>
      <c r="I3220" s="1399">
        <v>36962.769999999997</v>
      </c>
    </row>
    <row r="3221" spans="2:9">
      <c r="B3221" s="1297"/>
      <c r="C3221" s="1297"/>
      <c r="D3221" s="1297" t="s">
        <v>948</v>
      </c>
      <c r="G3221" s="1399">
        <v>0</v>
      </c>
      <c r="I3221" s="1399">
        <v>0</v>
      </c>
    </row>
    <row r="3222" spans="2:9">
      <c r="B3222" s="1297"/>
      <c r="C3222" s="1400" t="s">
        <v>1404</v>
      </c>
      <c r="D3222" s="1400"/>
      <c r="E3222" s="1401">
        <v>2848877.9999999995</v>
      </c>
      <c r="F3222" s="1401">
        <v>3612082.3699999996</v>
      </c>
      <c r="G3222" s="1401">
        <v>0</v>
      </c>
      <c r="H3222" s="1401">
        <v>6520239.2500000009</v>
      </c>
      <c r="I3222" s="1401">
        <v>12981199.619999999</v>
      </c>
    </row>
    <row r="3223" spans="2:9">
      <c r="B3223" s="1297" t="s">
        <v>1405</v>
      </c>
      <c r="C3223" s="1297" t="s">
        <v>1406</v>
      </c>
      <c r="D3223" s="1297" t="s">
        <v>906</v>
      </c>
      <c r="F3223" s="1399">
        <v>12702990.75</v>
      </c>
      <c r="I3223" s="1399">
        <v>12702990.75</v>
      </c>
    </row>
    <row r="3224" spans="2:9">
      <c r="B3224" s="1297"/>
      <c r="C3224" s="1297"/>
      <c r="D3224" s="1297" t="s">
        <v>952</v>
      </c>
      <c r="F3224" s="1399">
        <v>93323.55</v>
      </c>
      <c r="I3224" s="1399">
        <v>93323.55</v>
      </c>
    </row>
    <row r="3225" spans="2:9">
      <c r="B3225" s="1297"/>
      <c r="C3225" s="1297"/>
      <c r="D3225" s="1297" t="s">
        <v>907</v>
      </c>
      <c r="F3225" s="1399">
        <v>2500614.2200000002</v>
      </c>
      <c r="I3225" s="1399">
        <v>2500614.2200000002</v>
      </c>
    </row>
    <row r="3226" spans="2:9">
      <c r="B3226" s="1297"/>
      <c r="C3226" s="1297"/>
      <c r="D3226" s="1297" t="s">
        <v>908</v>
      </c>
      <c r="F3226" s="1399">
        <v>27294.12</v>
      </c>
      <c r="I3226" s="1399">
        <v>27294.12</v>
      </c>
    </row>
    <row r="3227" spans="2:9">
      <c r="B3227" s="1297"/>
      <c r="C3227" s="1297"/>
      <c r="D3227" s="1297" t="s">
        <v>909</v>
      </c>
      <c r="F3227" s="1399">
        <v>215902.04</v>
      </c>
      <c r="I3227" s="1399">
        <v>215902.04</v>
      </c>
    </row>
    <row r="3228" spans="2:9">
      <c r="B3228" s="1297"/>
      <c r="C3228" s="1297"/>
      <c r="D3228" s="1297" t="s">
        <v>910</v>
      </c>
      <c r="F3228" s="1399">
        <v>182470.65</v>
      </c>
      <c r="I3228" s="1399">
        <v>182470.65</v>
      </c>
    </row>
    <row r="3229" spans="2:9">
      <c r="B3229" s="1297"/>
      <c r="C3229" s="1297"/>
      <c r="D3229" s="1297" t="s">
        <v>1034</v>
      </c>
      <c r="F3229" s="1399">
        <v>146221.60000000003</v>
      </c>
      <c r="I3229" s="1399">
        <v>146221.60000000003</v>
      </c>
    </row>
    <row r="3230" spans="2:9">
      <c r="B3230" s="1297"/>
      <c r="C3230" s="1297"/>
      <c r="D3230" s="1297" t="s">
        <v>1035</v>
      </c>
      <c r="F3230" s="1399">
        <v>575542.12</v>
      </c>
      <c r="I3230" s="1399">
        <v>575542.12</v>
      </c>
    </row>
    <row r="3231" spans="2:9">
      <c r="B3231" s="1297"/>
      <c r="C3231" s="1297"/>
      <c r="D3231" s="1297" t="s">
        <v>1036</v>
      </c>
      <c r="F3231" s="1399">
        <v>108925.66</v>
      </c>
      <c r="I3231" s="1399">
        <v>108925.66</v>
      </c>
    </row>
    <row r="3232" spans="2:9">
      <c r="B3232" s="1297"/>
      <c r="C3232" s="1297"/>
      <c r="D3232" s="1297" t="s">
        <v>1039</v>
      </c>
      <c r="F3232" s="1399">
        <v>96445.459999999992</v>
      </c>
      <c r="I3232" s="1399">
        <v>96445.459999999992</v>
      </c>
    </row>
    <row r="3233" spans="2:9">
      <c r="B3233" s="1297"/>
      <c r="C3233" s="1297"/>
      <c r="D3233" s="1297" t="s">
        <v>1040</v>
      </c>
      <c r="F3233" s="1399">
        <v>283020.95</v>
      </c>
      <c r="I3233" s="1399">
        <v>283020.95</v>
      </c>
    </row>
    <row r="3234" spans="2:9">
      <c r="B3234" s="1297"/>
      <c r="C3234" s="1297"/>
      <c r="D3234" s="1297" t="s">
        <v>1127</v>
      </c>
      <c r="F3234" s="1399">
        <v>189256.38</v>
      </c>
      <c r="I3234" s="1399">
        <v>189256.38</v>
      </c>
    </row>
    <row r="3235" spans="2:9">
      <c r="B3235" s="1297"/>
      <c r="C3235" s="1297"/>
      <c r="D3235" s="1297" t="s">
        <v>1041</v>
      </c>
      <c r="F3235" s="1399">
        <v>72934.960000000006</v>
      </c>
      <c r="I3235" s="1399">
        <v>72934.960000000006</v>
      </c>
    </row>
    <row r="3236" spans="2:9">
      <c r="B3236" s="1297"/>
      <c r="C3236" s="1297"/>
      <c r="D3236" s="1297" t="s">
        <v>1042</v>
      </c>
      <c r="F3236" s="1399">
        <v>61883.03</v>
      </c>
      <c r="I3236" s="1399">
        <v>61883.03</v>
      </c>
    </row>
    <row r="3237" spans="2:9">
      <c r="B3237" s="1297"/>
      <c r="C3237" s="1297"/>
      <c r="D3237" s="1297" t="s">
        <v>954</v>
      </c>
      <c r="F3237" s="1399">
        <v>4757.6900000000005</v>
      </c>
      <c r="I3237" s="1399">
        <v>4757.6900000000005</v>
      </c>
    </row>
    <row r="3238" spans="2:9">
      <c r="B3238" s="1297"/>
      <c r="C3238" s="1297"/>
      <c r="D3238" s="1297" t="s">
        <v>985</v>
      </c>
      <c r="F3238" s="1399">
        <v>641.91</v>
      </c>
      <c r="I3238" s="1399">
        <v>641.91</v>
      </c>
    </row>
    <row r="3239" spans="2:9">
      <c r="B3239" s="1297"/>
      <c r="C3239" s="1297"/>
      <c r="D3239" s="1297" t="s">
        <v>991</v>
      </c>
      <c r="F3239" s="1399">
        <v>521608.95</v>
      </c>
      <c r="I3239" s="1399">
        <v>521608.95</v>
      </c>
    </row>
    <row r="3240" spans="2:9">
      <c r="B3240" s="1297"/>
      <c r="C3240" s="1297"/>
      <c r="D3240" s="1297" t="s">
        <v>1044</v>
      </c>
      <c r="F3240" s="1399">
        <v>3957</v>
      </c>
      <c r="I3240" s="1399">
        <v>3957</v>
      </c>
    </row>
    <row r="3241" spans="2:9">
      <c r="B3241" s="1297"/>
      <c r="C3241" s="1297"/>
      <c r="D3241" s="1297" t="s">
        <v>1045</v>
      </c>
      <c r="F3241" s="1399">
        <v>955331.10000000021</v>
      </c>
      <c r="I3241" s="1399">
        <v>955331.10000000021</v>
      </c>
    </row>
    <row r="3242" spans="2:9">
      <c r="B3242" s="1297"/>
      <c r="C3242" s="1297"/>
      <c r="D3242" s="1297" t="s">
        <v>1046</v>
      </c>
      <c r="H3242" s="1399">
        <v>28860806.999999996</v>
      </c>
      <c r="I3242" s="1399">
        <v>28860806.999999996</v>
      </c>
    </row>
    <row r="3243" spans="2:9">
      <c r="B3243" s="1297"/>
      <c r="C3243" s="1297"/>
      <c r="D3243" s="1297" t="s">
        <v>1128</v>
      </c>
      <c r="H3243" s="1399">
        <v>2316712</v>
      </c>
      <c r="I3243" s="1399">
        <v>2316712</v>
      </c>
    </row>
    <row r="3244" spans="2:9">
      <c r="B3244" s="1297"/>
      <c r="C3244" s="1297"/>
      <c r="D3244" s="1297" t="s">
        <v>1129</v>
      </c>
      <c r="H3244" s="1399">
        <v>-3950380</v>
      </c>
      <c r="I3244" s="1399">
        <v>-3950380</v>
      </c>
    </row>
    <row r="3245" spans="2:9">
      <c r="B3245" s="1297"/>
      <c r="C3245" s="1297"/>
      <c r="D3245" s="1297" t="s">
        <v>1047</v>
      </c>
      <c r="H3245" s="1399">
        <v>816264</v>
      </c>
      <c r="I3245" s="1399">
        <v>816264</v>
      </c>
    </row>
    <row r="3246" spans="2:9">
      <c r="B3246" s="1297"/>
      <c r="C3246" s="1297"/>
      <c r="D3246" s="1297" t="s">
        <v>1048</v>
      </c>
      <c r="H3246" s="1399">
        <v>-3336420</v>
      </c>
      <c r="I3246" s="1399">
        <v>-3336420</v>
      </c>
    </row>
    <row r="3247" spans="2:9">
      <c r="B3247" s="1297"/>
      <c r="C3247" s="1297"/>
      <c r="D3247" s="1297" t="s">
        <v>932</v>
      </c>
      <c r="H3247" s="1399">
        <v>3657313</v>
      </c>
      <c r="I3247" s="1399">
        <v>3657313</v>
      </c>
    </row>
    <row r="3248" spans="2:9">
      <c r="B3248" s="1297"/>
      <c r="C3248" s="1297"/>
      <c r="D3248" s="1297" t="s">
        <v>955</v>
      </c>
      <c r="H3248" s="1399">
        <v>1074144.1200000001</v>
      </c>
      <c r="I3248" s="1399">
        <v>1074144.1200000001</v>
      </c>
    </row>
    <row r="3249" spans="2:9">
      <c r="B3249" s="1297"/>
      <c r="C3249" s="1297"/>
      <c r="D3249" s="1297" t="s">
        <v>934</v>
      </c>
      <c r="H3249" s="1399">
        <v>77586</v>
      </c>
      <c r="I3249" s="1399">
        <v>77586</v>
      </c>
    </row>
    <row r="3250" spans="2:9">
      <c r="B3250" s="1297"/>
      <c r="C3250" s="1297"/>
      <c r="D3250" s="1297" t="s">
        <v>1130</v>
      </c>
      <c r="H3250" s="1399">
        <v>1261621</v>
      </c>
      <c r="I3250" s="1399">
        <v>1261621</v>
      </c>
    </row>
    <row r="3251" spans="2:9">
      <c r="B3251" s="1297"/>
      <c r="C3251" s="1297"/>
      <c r="D3251" s="1297" t="s">
        <v>935</v>
      </c>
      <c r="H3251" s="1399">
        <v>170534.23</v>
      </c>
      <c r="I3251" s="1399">
        <v>170534.23</v>
      </c>
    </row>
    <row r="3252" spans="2:9">
      <c r="B3252" s="1297"/>
      <c r="C3252" s="1297"/>
      <c r="D3252" s="1297" t="s">
        <v>936</v>
      </c>
      <c r="H3252" s="1399">
        <v>80534.62</v>
      </c>
      <c r="I3252" s="1399">
        <v>80534.62</v>
      </c>
    </row>
    <row r="3253" spans="2:9">
      <c r="B3253" s="1297"/>
      <c r="C3253" s="1297"/>
      <c r="D3253" s="1297" t="s">
        <v>937</v>
      </c>
      <c r="H3253" s="1399">
        <v>40010.29</v>
      </c>
      <c r="I3253" s="1399">
        <v>40010.29</v>
      </c>
    </row>
    <row r="3254" spans="2:9">
      <c r="B3254" s="1297"/>
      <c r="C3254" s="1297"/>
      <c r="D3254" s="1297" t="s">
        <v>938</v>
      </c>
      <c r="H3254" s="1399">
        <v>26951</v>
      </c>
      <c r="I3254" s="1399">
        <v>26951</v>
      </c>
    </row>
    <row r="3255" spans="2:9">
      <c r="B3255" s="1297"/>
      <c r="C3255" s="1297"/>
      <c r="D3255" s="1297" t="s">
        <v>939</v>
      </c>
      <c r="H3255" s="1399">
        <v>173939.46</v>
      </c>
      <c r="I3255" s="1399">
        <v>173939.46</v>
      </c>
    </row>
    <row r="3256" spans="2:9">
      <c r="B3256" s="1297"/>
      <c r="C3256" s="1297"/>
      <c r="D3256" s="1297" t="s">
        <v>1131</v>
      </c>
      <c r="E3256" s="1399">
        <v>1021135.24</v>
      </c>
      <c r="I3256" s="1399">
        <v>1021135.24</v>
      </c>
    </row>
    <row r="3257" spans="2:9">
      <c r="B3257" s="1297"/>
      <c r="C3257" s="1297"/>
      <c r="D3257" s="1297" t="s">
        <v>940</v>
      </c>
      <c r="E3257" s="1399">
        <v>1005940.02</v>
      </c>
      <c r="I3257" s="1399">
        <v>1005940.02</v>
      </c>
    </row>
    <row r="3258" spans="2:9">
      <c r="B3258" s="1297"/>
      <c r="C3258" s="1297"/>
      <c r="D3258" s="1297" t="s">
        <v>941</v>
      </c>
      <c r="E3258" s="1399">
        <v>385525.72</v>
      </c>
      <c r="I3258" s="1399">
        <v>385525.72</v>
      </c>
    </row>
    <row r="3259" spans="2:9">
      <c r="B3259" s="1297"/>
      <c r="C3259" s="1297"/>
      <c r="D3259" s="1297" t="s">
        <v>944</v>
      </c>
      <c r="E3259" s="1399">
        <v>1747650.1199999999</v>
      </c>
      <c r="I3259" s="1399">
        <v>1747650.1199999999</v>
      </c>
    </row>
    <row r="3260" spans="2:9">
      <c r="B3260" s="1297"/>
      <c r="C3260" s="1297"/>
      <c r="D3260" s="1297" t="s">
        <v>945</v>
      </c>
      <c r="E3260" s="1399">
        <v>1993261.59</v>
      </c>
      <c r="I3260" s="1399">
        <v>1993261.59</v>
      </c>
    </row>
    <row r="3261" spans="2:9">
      <c r="B3261" s="1297"/>
      <c r="C3261" s="1297"/>
      <c r="D3261" s="1297" t="s">
        <v>1214</v>
      </c>
      <c r="E3261" s="1399">
        <v>113661.26</v>
      </c>
      <c r="I3261" s="1399">
        <v>113661.26</v>
      </c>
    </row>
    <row r="3262" spans="2:9">
      <c r="B3262" s="1297"/>
      <c r="C3262" s="1297"/>
      <c r="D3262" s="1297" t="s">
        <v>947</v>
      </c>
      <c r="E3262" s="1399">
        <v>206887.25</v>
      </c>
      <c r="I3262" s="1399">
        <v>206887.25</v>
      </c>
    </row>
    <row r="3263" spans="2:9">
      <c r="B3263" s="1297"/>
      <c r="C3263" s="1297"/>
      <c r="D3263" s="1297" t="s">
        <v>1115</v>
      </c>
      <c r="E3263" s="1399">
        <v>106.26</v>
      </c>
      <c r="I3263" s="1399">
        <v>106.26</v>
      </c>
    </row>
    <row r="3264" spans="2:9">
      <c r="B3264" s="1297"/>
      <c r="C3264" s="1297"/>
      <c r="D3264" s="1297" t="s">
        <v>948</v>
      </c>
      <c r="G3264" s="1399">
        <v>9774948.8099999968</v>
      </c>
      <c r="I3264" s="1399">
        <v>9774948.8099999968</v>
      </c>
    </row>
    <row r="3265" spans="2:9">
      <c r="B3265" s="1297"/>
      <c r="C3265" s="1297"/>
      <c r="D3265" s="1297" t="s">
        <v>956</v>
      </c>
      <c r="G3265" s="1399">
        <v>21569.25</v>
      </c>
      <c r="I3265" s="1399">
        <v>21569.25</v>
      </c>
    </row>
    <row r="3266" spans="2:9">
      <c r="B3266" s="1297"/>
      <c r="C3266" s="1400" t="s">
        <v>1407</v>
      </c>
      <c r="D3266" s="1400"/>
      <c r="E3266" s="1401">
        <v>6474167.459999999</v>
      </c>
      <c r="F3266" s="1401">
        <v>18743122.140000004</v>
      </c>
      <c r="G3266" s="1401">
        <v>9796518.0599999968</v>
      </c>
      <c r="H3266" s="1401">
        <v>31269616.719999999</v>
      </c>
      <c r="I3266" s="1401">
        <v>66283424.379999988</v>
      </c>
    </row>
    <row r="3267" spans="2:9">
      <c r="B3267" s="1297" t="s">
        <v>1408</v>
      </c>
      <c r="C3267" s="1297" t="s">
        <v>1409</v>
      </c>
      <c r="D3267" s="1297" t="s">
        <v>906</v>
      </c>
      <c r="F3267" s="1399">
        <v>7607037.3399999999</v>
      </c>
      <c r="I3267" s="1399">
        <v>7607037.3399999999</v>
      </c>
    </row>
    <row r="3268" spans="2:9">
      <c r="B3268" s="1297"/>
      <c r="C3268" s="1297"/>
      <c r="D3268" s="1297" t="s">
        <v>952</v>
      </c>
      <c r="F3268" s="1399">
        <v>67839.11</v>
      </c>
      <c r="I3268" s="1399">
        <v>67839.11</v>
      </c>
    </row>
    <row r="3269" spans="2:9">
      <c r="B3269" s="1297"/>
      <c r="C3269" s="1297"/>
      <c r="D3269" s="1297" t="s">
        <v>907</v>
      </c>
      <c r="F3269" s="1399">
        <v>1574136.04</v>
      </c>
      <c r="I3269" s="1399">
        <v>1574136.04</v>
      </c>
    </row>
    <row r="3270" spans="2:9">
      <c r="B3270" s="1297"/>
      <c r="C3270" s="1297"/>
      <c r="D3270" s="1297" t="s">
        <v>908</v>
      </c>
      <c r="F3270" s="1399">
        <v>18337.04</v>
      </c>
      <c r="I3270" s="1399">
        <v>18337.04</v>
      </c>
    </row>
    <row r="3271" spans="2:9">
      <c r="B3271" s="1297"/>
      <c r="C3271" s="1297"/>
      <c r="D3271" s="1297" t="s">
        <v>909</v>
      </c>
      <c r="F3271" s="1399">
        <v>45475.59</v>
      </c>
      <c r="I3271" s="1399">
        <v>45475.59</v>
      </c>
    </row>
    <row r="3272" spans="2:9">
      <c r="B3272" s="1297"/>
      <c r="C3272" s="1297"/>
      <c r="D3272" s="1297" t="s">
        <v>1034</v>
      </c>
      <c r="F3272" s="1399">
        <v>2941</v>
      </c>
      <c r="I3272" s="1399">
        <v>2941</v>
      </c>
    </row>
    <row r="3273" spans="2:9">
      <c r="B3273" s="1297"/>
      <c r="C3273" s="1297"/>
      <c r="D3273" s="1297" t="s">
        <v>1035</v>
      </c>
      <c r="F3273" s="1399">
        <v>137380.60999999999</v>
      </c>
      <c r="I3273" s="1399">
        <v>137380.60999999999</v>
      </c>
    </row>
    <row r="3274" spans="2:9">
      <c r="B3274" s="1297"/>
      <c r="C3274" s="1297"/>
      <c r="D3274" s="1297" t="s">
        <v>1036</v>
      </c>
      <c r="F3274" s="1399">
        <v>97583.51</v>
      </c>
      <c r="I3274" s="1399">
        <v>97583.51</v>
      </c>
    </row>
    <row r="3275" spans="2:9">
      <c r="B3275" s="1297"/>
      <c r="C3275" s="1297"/>
      <c r="D3275" s="1297" t="s">
        <v>1037</v>
      </c>
      <c r="F3275" s="1399">
        <v>4450.1099999999997</v>
      </c>
      <c r="I3275" s="1399">
        <v>4450.1099999999997</v>
      </c>
    </row>
    <row r="3276" spans="2:9">
      <c r="B3276" s="1297"/>
      <c r="C3276" s="1297"/>
      <c r="D3276" s="1297" t="s">
        <v>1003</v>
      </c>
      <c r="F3276" s="1399">
        <v>15057.8</v>
      </c>
      <c r="I3276" s="1399">
        <v>15057.8</v>
      </c>
    </row>
    <row r="3277" spans="2:9">
      <c r="B3277" s="1297"/>
      <c r="C3277" s="1297"/>
      <c r="D3277" s="1297" t="s">
        <v>1039</v>
      </c>
      <c r="F3277" s="1399">
        <v>36981.78</v>
      </c>
      <c r="I3277" s="1399">
        <v>36981.78</v>
      </c>
    </row>
    <row r="3278" spans="2:9">
      <c r="B3278" s="1297"/>
      <c r="C3278" s="1297"/>
      <c r="D3278" s="1297" t="s">
        <v>1040</v>
      </c>
      <c r="F3278" s="1399">
        <v>189688.97</v>
      </c>
      <c r="I3278" s="1399">
        <v>189688.97</v>
      </c>
    </row>
    <row r="3279" spans="2:9">
      <c r="B3279" s="1297"/>
      <c r="C3279" s="1297"/>
      <c r="D3279" s="1297" t="s">
        <v>1041</v>
      </c>
      <c r="F3279" s="1399">
        <v>18349.75</v>
      </c>
      <c r="I3279" s="1399">
        <v>18349.75</v>
      </c>
    </row>
    <row r="3280" spans="2:9">
      <c r="B3280" s="1297"/>
      <c r="C3280" s="1297"/>
      <c r="D3280" s="1297" t="s">
        <v>1042</v>
      </c>
      <c r="F3280" s="1399">
        <v>43388.32</v>
      </c>
      <c r="I3280" s="1399">
        <v>43388.32</v>
      </c>
    </row>
    <row r="3281" spans="2:9">
      <c r="B3281" s="1297"/>
      <c r="C3281" s="1297"/>
      <c r="D3281" s="1297" t="s">
        <v>953</v>
      </c>
      <c r="F3281" s="1399">
        <v>31507.3</v>
      </c>
      <c r="I3281" s="1399">
        <v>31507.3</v>
      </c>
    </row>
    <row r="3282" spans="2:9">
      <c r="B3282" s="1297"/>
      <c r="C3282" s="1297"/>
      <c r="D3282" s="1297" t="s">
        <v>954</v>
      </c>
      <c r="F3282" s="1399">
        <v>72579.06</v>
      </c>
      <c r="I3282" s="1399">
        <v>72579.06</v>
      </c>
    </row>
    <row r="3283" spans="2:9">
      <c r="B3283" s="1297"/>
      <c r="C3283" s="1297"/>
      <c r="D3283" s="1297" t="s">
        <v>985</v>
      </c>
      <c r="F3283" s="1399">
        <v>38200.6</v>
      </c>
      <c r="I3283" s="1399">
        <v>38200.6</v>
      </c>
    </row>
    <row r="3284" spans="2:9">
      <c r="B3284" s="1297"/>
      <c r="C3284" s="1297"/>
      <c r="D3284" s="1297" t="s">
        <v>1043</v>
      </c>
      <c r="F3284" s="1399">
        <v>4262</v>
      </c>
      <c r="I3284" s="1399">
        <v>4262</v>
      </c>
    </row>
    <row r="3285" spans="2:9">
      <c r="B3285" s="1297"/>
      <c r="C3285" s="1297"/>
      <c r="D3285" s="1297" t="s">
        <v>986</v>
      </c>
      <c r="F3285" s="1399">
        <v>109290.55</v>
      </c>
      <c r="I3285" s="1399">
        <v>109290.55</v>
      </c>
    </row>
    <row r="3286" spans="2:9">
      <c r="B3286" s="1297"/>
      <c r="C3286" s="1297"/>
      <c r="D3286" s="1297" t="s">
        <v>996</v>
      </c>
      <c r="F3286" s="1399">
        <v>25326</v>
      </c>
      <c r="I3286" s="1399">
        <v>25326</v>
      </c>
    </row>
    <row r="3287" spans="2:9">
      <c r="B3287" s="1297"/>
      <c r="C3287" s="1297"/>
      <c r="D3287" s="1297" t="s">
        <v>1045</v>
      </c>
      <c r="F3287" s="1399">
        <v>451982.59999999992</v>
      </c>
      <c r="I3287" s="1399">
        <v>451982.59999999992</v>
      </c>
    </row>
    <row r="3288" spans="2:9">
      <c r="B3288" s="1297"/>
      <c r="C3288" s="1297"/>
      <c r="D3288" s="1297" t="s">
        <v>1046</v>
      </c>
      <c r="H3288" s="1399">
        <v>11950612</v>
      </c>
      <c r="I3288" s="1399">
        <v>11950612</v>
      </c>
    </row>
    <row r="3289" spans="2:9">
      <c r="B3289" s="1297"/>
      <c r="C3289" s="1297"/>
      <c r="D3289" s="1297" t="s">
        <v>1047</v>
      </c>
      <c r="H3289" s="1399">
        <v>502498</v>
      </c>
      <c r="I3289" s="1399">
        <v>502498</v>
      </c>
    </row>
    <row r="3290" spans="2:9">
      <c r="B3290" s="1297"/>
      <c r="C3290" s="1297"/>
      <c r="D3290" s="1297" t="s">
        <v>1048</v>
      </c>
      <c r="H3290" s="1399">
        <v>-2191267</v>
      </c>
      <c r="I3290" s="1399">
        <v>-2191267</v>
      </c>
    </row>
    <row r="3291" spans="2:9">
      <c r="B3291" s="1297"/>
      <c r="C3291" s="1297"/>
      <c r="D3291" s="1297" t="s">
        <v>932</v>
      </c>
      <c r="H3291" s="1399">
        <v>428395</v>
      </c>
      <c r="I3291" s="1399">
        <v>428395</v>
      </c>
    </row>
    <row r="3292" spans="2:9">
      <c r="B3292" s="1297"/>
      <c r="C3292" s="1297"/>
      <c r="D3292" s="1297" t="s">
        <v>955</v>
      </c>
      <c r="H3292" s="1399">
        <v>491736.86</v>
      </c>
      <c r="I3292" s="1399">
        <v>491736.86</v>
      </c>
    </row>
    <row r="3293" spans="2:9">
      <c r="B3293" s="1297"/>
      <c r="C3293" s="1297"/>
      <c r="D3293" s="1297" t="s">
        <v>934</v>
      </c>
      <c r="H3293" s="1399">
        <v>41818</v>
      </c>
      <c r="I3293" s="1399">
        <v>41818</v>
      </c>
    </row>
    <row r="3294" spans="2:9">
      <c r="B3294" s="1297"/>
      <c r="C3294" s="1297"/>
      <c r="D3294" s="1297" t="s">
        <v>935</v>
      </c>
      <c r="H3294" s="1399">
        <v>316802.13999999996</v>
      </c>
      <c r="I3294" s="1399">
        <v>316802.13999999996</v>
      </c>
    </row>
    <row r="3295" spans="2:9">
      <c r="B3295" s="1297"/>
      <c r="C3295" s="1297"/>
      <c r="D3295" s="1297" t="s">
        <v>936</v>
      </c>
      <c r="H3295" s="1399">
        <v>47270.32</v>
      </c>
      <c r="I3295" s="1399">
        <v>47270.32</v>
      </c>
    </row>
    <row r="3296" spans="2:9">
      <c r="B3296" s="1297"/>
      <c r="C3296" s="1297"/>
      <c r="D3296" s="1297" t="s">
        <v>937</v>
      </c>
      <c r="H3296" s="1399">
        <v>18513.52</v>
      </c>
      <c r="I3296" s="1399">
        <v>18513.52</v>
      </c>
    </row>
    <row r="3297" spans="2:9">
      <c r="B3297" s="1297"/>
      <c r="C3297" s="1297"/>
      <c r="D3297" s="1297" t="s">
        <v>938</v>
      </c>
      <c r="H3297" s="1399">
        <v>16470</v>
      </c>
      <c r="I3297" s="1399">
        <v>16470</v>
      </c>
    </row>
    <row r="3298" spans="2:9">
      <c r="B3298" s="1297"/>
      <c r="C3298" s="1297"/>
      <c r="D3298" s="1297" t="s">
        <v>939</v>
      </c>
      <c r="H3298" s="1399">
        <v>66050.740000000005</v>
      </c>
      <c r="I3298" s="1399">
        <v>66050.740000000005</v>
      </c>
    </row>
    <row r="3299" spans="2:9">
      <c r="B3299" s="1297"/>
      <c r="C3299" s="1297"/>
      <c r="D3299" s="1297" t="s">
        <v>940</v>
      </c>
      <c r="E3299" s="1399">
        <v>764931.2</v>
      </c>
      <c r="I3299" s="1399">
        <v>764931.2</v>
      </c>
    </row>
    <row r="3300" spans="2:9">
      <c r="B3300" s="1297"/>
      <c r="C3300" s="1297"/>
      <c r="D3300" s="1297" t="s">
        <v>941</v>
      </c>
      <c r="E3300" s="1399">
        <v>253500.1</v>
      </c>
      <c r="I3300" s="1399">
        <v>253500.1</v>
      </c>
    </row>
    <row r="3301" spans="2:9">
      <c r="B3301" s="1297"/>
      <c r="C3301" s="1297"/>
      <c r="D3301" s="1297" t="s">
        <v>942</v>
      </c>
      <c r="E3301" s="1399">
        <v>0</v>
      </c>
      <c r="I3301" s="1399">
        <v>0</v>
      </c>
    </row>
    <row r="3302" spans="2:9">
      <c r="B3302" s="1297"/>
      <c r="C3302" s="1297"/>
      <c r="D3302" s="1297" t="s">
        <v>943</v>
      </c>
      <c r="E3302" s="1399">
        <v>7623.48</v>
      </c>
      <c r="I3302" s="1399">
        <v>7623.48</v>
      </c>
    </row>
    <row r="3303" spans="2:9">
      <c r="B3303" s="1297"/>
      <c r="C3303" s="1297"/>
      <c r="D3303" s="1297" t="s">
        <v>944</v>
      </c>
      <c r="E3303" s="1399">
        <v>1556441.8299999996</v>
      </c>
      <c r="I3303" s="1399">
        <v>1556441.8299999996</v>
      </c>
    </row>
    <row r="3304" spans="2:9">
      <c r="B3304" s="1297"/>
      <c r="C3304" s="1297"/>
      <c r="D3304" s="1297" t="s">
        <v>945</v>
      </c>
      <c r="E3304" s="1399">
        <v>942202.70000000007</v>
      </c>
      <c r="I3304" s="1399">
        <v>942202.70000000007</v>
      </c>
    </row>
    <row r="3305" spans="2:9">
      <c r="B3305" s="1297"/>
      <c r="C3305" s="1297"/>
      <c r="D3305" s="1297" t="s">
        <v>946</v>
      </c>
      <c r="E3305" s="1399">
        <v>57569.07</v>
      </c>
      <c r="I3305" s="1399">
        <v>57569.07</v>
      </c>
    </row>
    <row r="3306" spans="2:9">
      <c r="B3306" s="1297"/>
      <c r="C3306" s="1297"/>
      <c r="D3306" s="1297" t="s">
        <v>947</v>
      </c>
      <c r="E3306" s="1399">
        <v>90862.15</v>
      </c>
      <c r="I3306" s="1399">
        <v>90862.15</v>
      </c>
    </row>
    <row r="3307" spans="2:9">
      <c r="B3307" s="1297"/>
      <c r="C3307" s="1297"/>
      <c r="D3307" s="1297" t="s">
        <v>948</v>
      </c>
      <c r="G3307" s="1399">
        <v>146051.4</v>
      </c>
      <c r="I3307" s="1399">
        <v>146051.4</v>
      </c>
    </row>
    <row r="3308" spans="2:9">
      <c r="B3308" s="1297"/>
      <c r="C3308" s="1297"/>
      <c r="D3308" s="1297" t="s">
        <v>956</v>
      </c>
      <c r="G3308" s="1399">
        <v>5818.98</v>
      </c>
      <c r="I3308" s="1399">
        <v>5818.98</v>
      </c>
    </row>
    <row r="3309" spans="2:9">
      <c r="B3309" s="1297"/>
      <c r="C3309" s="1297"/>
      <c r="D3309" s="1297" t="s">
        <v>1118</v>
      </c>
      <c r="G3309" s="1399">
        <v>41067</v>
      </c>
      <c r="I3309" s="1399">
        <v>41067</v>
      </c>
    </row>
    <row r="3310" spans="2:9">
      <c r="B3310" s="1297"/>
      <c r="C3310" s="1400" t="s">
        <v>1410</v>
      </c>
      <c r="D3310" s="1400"/>
      <c r="E3310" s="1401">
        <v>3673130.5299999993</v>
      </c>
      <c r="F3310" s="1401">
        <v>10591795.08</v>
      </c>
      <c r="G3310" s="1401">
        <v>192937.38</v>
      </c>
      <c r="H3310" s="1401">
        <v>11688899.58</v>
      </c>
      <c r="I3310" s="1401">
        <v>26146762.569999993</v>
      </c>
    </row>
    <row r="3311" spans="2:9">
      <c r="B3311" s="1297" t="s">
        <v>1411</v>
      </c>
      <c r="C3311" s="1297" t="s">
        <v>1412</v>
      </c>
      <c r="D3311" s="1297" t="s">
        <v>906</v>
      </c>
      <c r="F3311" s="1399">
        <v>2973000.77</v>
      </c>
      <c r="I3311" s="1399">
        <v>2973000.77</v>
      </c>
    </row>
    <row r="3312" spans="2:9">
      <c r="B3312" s="1297"/>
      <c r="C3312" s="1297"/>
      <c r="D3312" s="1297" t="s">
        <v>952</v>
      </c>
      <c r="F3312" s="1399">
        <v>50792.65</v>
      </c>
      <c r="I3312" s="1399">
        <v>50792.65</v>
      </c>
    </row>
    <row r="3313" spans="2:9">
      <c r="B3313" s="1297"/>
      <c r="C3313" s="1297"/>
      <c r="D3313" s="1297" t="s">
        <v>907</v>
      </c>
      <c r="F3313" s="1399">
        <v>561019.31000000006</v>
      </c>
      <c r="I3313" s="1399">
        <v>561019.31000000006</v>
      </c>
    </row>
    <row r="3314" spans="2:9">
      <c r="B3314" s="1297"/>
      <c r="C3314" s="1297"/>
      <c r="D3314" s="1297" t="s">
        <v>908</v>
      </c>
      <c r="F3314" s="1399">
        <v>4866.62</v>
      </c>
      <c r="I3314" s="1399">
        <v>4866.62</v>
      </c>
    </row>
    <row r="3315" spans="2:9">
      <c r="B3315" s="1297"/>
      <c r="C3315" s="1297"/>
      <c r="D3315" s="1297" t="s">
        <v>909</v>
      </c>
      <c r="F3315" s="1399">
        <v>18193.810000000001</v>
      </c>
      <c r="I3315" s="1399">
        <v>18193.810000000001</v>
      </c>
    </row>
    <row r="3316" spans="2:9">
      <c r="B3316" s="1297"/>
      <c r="C3316" s="1297"/>
      <c r="D3316" s="1297" t="s">
        <v>910</v>
      </c>
      <c r="F3316" s="1399">
        <v>18674.66</v>
      </c>
      <c r="I3316" s="1399">
        <v>18674.66</v>
      </c>
    </row>
    <row r="3317" spans="2:9">
      <c r="B3317" s="1297"/>
      <c r="C3317" s="1297"/>
      <c r="D3317" s="1297" t="s">
        <v>1034</v>
      </c>
      <c r="F3317" s="1399">
        <v>16417.36</v>
      </c>
      <c r="I3317" s="1399">
        <v>16417.36</v>
      </c>
    </row>
    <row r="3318" spans="2:9">
      <c r="B3318" s="1297"/>
      <c r="C3318" s="1297"/>
      <c r="D3318" s="1297" t="s">
        <v>1035</v>
      </c>
      <c r="F3318" s="1399">
        <v>229232.53999999998</v>
      </c>
      <c r="I3318" s="1399">
        <v>229232.53999999998</v>
      </c>
    </row>
    <row r="3319" spans="2:9">
      <c r="B3319" s="1297"/>
      <c r="C3319" s="1297"/>
      <c r="D3319" s="1297" t="s">
        <v>1036</v>
      </c>
      <c r="F3319" s="1399">
        <v>53951.94</v>
      </c>
      <c r="I3319" s="1399">
        <v>53951.94</v>
      </c>
    </row>
    <row r="3320" spans="2:9">
      <c r="B3320" s="1297"/>
      <c r="C3320" s="1297"/>
      <c r="D3320" s="1297" t="s">
        <v>1039</v>
      </c>
      <c r="F3320" s="1399">
        <v>63682.200000000004</v>
      </c>
      <c r="I3320" s="1399">
        <v>63682.200000000004</v>
      </c>
    </row>
    <row r="3321" spans="2:9">
      <c r="B3321" s="1297"/>
      <c r="C3321" s="1297"/>
      <c r="D3321" s="1297" t="s">
        <v>1040</v>
      </c>
      <c r="F3321" s="1399">
        <v>114614.56</v>
      </c>
      <c r="I3321" s="1399">
        <v>114614.56</v>
      </c>
    </row>
    <row r="3322" spans="2:9">
      <c r="B3322" s="1297"/>
      <c r="C3322" s="1297"/>
      <c r="D3322" s="1297" t="s">
        <v>1041</v>
      </c>
      <c r="F3322" s="1399">
        <v>27435.74</v>
      </c>
      <c r="I3322" s="1399">
        <v>27435.74</v>
      </c>
    </row>
    <row r="3323" spans="2:9">
      <c r="B3323" s="1297"/>
      <c r="C3323" s="1297"/>
      <c r="D3323" s="1297" t="s">
        <v>1042</v>
      </c>
      <c r="F3323" s="1399">
        <v>24253.200000000001</v>
      </c>
      <c r="I3323" s="1399">
        <v>24253.200000000001</v>
      </c>
    </row>
    <row r="3324" spans="2:9">
      <c r="B3324" s="1297"/>
      <c r="C3324" s="1297"/>
      <c r="D3324" s="1297" t="s">
        <v>986</v>
      </c>
      <c r="F3324" s="1399">
        <v>0</v>
      </c>
      <c r="I3324" s="1399">
        <v>0</v>
      </c>
    </row>
    <row r="3325" spans="2:9">
      <c r="B3325" s="1297"/>
      <c r="C3325" s="1297"/>
      <c r="D3325" s="1297" t="s">
        <v>1044</v>
      </c>
      <c r="F3325" s="1399">
        <v>72460.490000000005</v>
      </c>
      <c r="I3325" s="1399">
        <v>72460.490000000005</v>
      </c>
    </row>
    <row r="3326" spans="2:9">
      <c r="B3326" s="1297"/>
      <c r="C3326" s="1297"/>
      <c r="D3326" s="1297" t="s">
        <v>1045</v>
      </c>
      <c r="F3326" s="1399">
        <v>85272.63</v>
      </c>
      <c r="I3326" s="1399">
        <v>85272.63</v>
      </c>
    </row>
    <row r="3327" spans="2:9">
      <c r="B3327" s="1297"/>
      <c r="C3327" s="1297"/>
      <c r="D3327" s="1297" t="s">
        <v>1046</v>
      </c>
      <c r="H3327" s="1399">
        <v>7700326</v>
      </c>
      <c r="I3327" s="1399">
        <v>7700326</v>
      </c>
    </row>
    <row r="3328" spans="2:9">
      <c r="B3328" s="1297"/>
      <c r="C3328" s="1297"/>
      <c r="D3328" s="1297" t="s">
        <v>1047</v>
      </c>
      <c r="H3328" s="1399">
        <v>642687</v>
      </c>
      <c r="I3328" s="1399">
        <v>642687</v>
      </c>
    </row>
    <row r="3329" spans="2:9">
      <c r="B3329" s="1297"/>
      <c r="C3329" s="1297"/>
      <c r="D3329" s="1297" t="s">
        <v>1048</v>
      </c>
      <c r="H3329" s="1399">
        <v>-697424</v>
      </c>
      <c r="I3329" s="1399">
        <v>-697424</v>
      </c>
    </row>
    <row r="3330" spans="2:9">
      <c r="B3330" s="1297"/>
      <c r="C3330" s="1297"/>
      <c r="D3330" s="1297" t="s">
        <v>932</v>
      </c>
      <c r="H3330" s="1399">
        <v>1893801</v>
      </c>
      <c r="I3330" s="1399">
        <v>1893801</v>
      </c>
    </row>
    <row r="3331" spans="2:9">
      <c r="B3331" s="1297"/>
      <c r="C3331" s="1297"/>
      <c r="D3331" s="1297" t="s">
        <v>955</v>
      </c>
      <c r="H3331" s="1399">
        <v>679196.58</v>
      </c>
      <c r="I3331" s="1399">
        <v>679196.58</v>
      </c>
    </row>
    <row r="3332" spans="2:9">
      <c r="B3332" s="1297"/>
      <c r="C3332" s="1297"/>
      <c r="D3332" s="1297" t="s">
        <v>934</v>
      </c>
      <c r="H3332" s="1399">
        <v>28160</v>
      </c>
      <c r="I3332" s="1399">
        <v>28160</v>
      </c>
    </row>
    <row r="3333" spans="2:9">
      <c r="B3333" s="1297"/>
      <c r="C3333" s="1297"/>
      <c r="D3333" s="1297" t="s">
        <v>1130</v>
      </c>
      <c r="H3333" s="1399">
        <v>192</v>
      </c>
      <c r="I3333" s="1399">
        <v>192</v>
      </c>
    </row>
    <row r="3334" spans="2:9">
      <c r="B3334" s="1297"/>
      <c r="C3334" s="1297"/>
      <c r="D3334" s="1297" t="s">
        <v>935</v>
      </c>
      <c r="H3334" s="1399">
        <v>220583.85</v>
      </c>
      <c r="I3334" s="1399">
        <v>220583.85</v>
      </c>
    </row>
    <row r="3335" spans="2:9">
      <c r="B3335" s="1297"/>
      <c r="C3335" s="1297"/>
      <c r="D3335" s="1297" t="s">
        <v>936</v>
      </c>
      <c r="H3335" s="1399">
        <v>22409.63</v>
      </c>
      <c r="I3335" s="1399">
        <v>22409.63</v>
      </c>
    </row>
    <row r="3336" spans="2:9">
      <c r="B3336" s="1297"/>
      <c r="C3336" s="1297"/>
      <c r="D3336" s="1297" t="s">
        <v>937</v>
      </c>
      <c r="H3336" s="1399">
        <v>6889.66</v>
      </c>
      <c r="I3336" s="1399">
        <v>6889.66</v>
      </c>
    </row>
    <row r="3337" spans="2:9">
      <c r="B3337" s="1297"/>
      <c r="C3337" s="1297"/>
      <c r="D3337" s="1297" t="s">
        <v>938</v>
      </c>
      <c r="H3337" s="1399">
        <v>5989</v>
      </c>
      <c r="I3337" s="1399">
        <v>5989</v>
      </c>
    </row>
    <row r="3338" spans="2:9">
      <c r="B3338" s="1297"/>
      <c r="C3338" s="1297"/>
      <c r="D3338" s="1297" t="s">
        <v>939</v>
      </c>
      <c r="H3338" s="1399">
        <v>42250</v>
      </c>
      <c r="I3338" s="1399">
        <v>42250</v>
      </c>
    </row>
    <row r="3339" spans="2:9">
      <c r="B3339" s="1297"/>
      <c r="C3339" s="1297"/>
      <c r="D3339" s="1297" t="s">
        <v>940</v>
      </c>
      <c r="E3339" s="1399">
        <v>507566.68</v>
      </c>
      <c r="I3339" s="1399">
        <v>507566.68</v>
      </c>
    </row>
    <row r="3340" spans="2:9">
      <c r="B3340" s="1297"/>
      <c r="C3340" s="1297"/>
      <c r="D3340" s="1297" t="s">
        <v>941</v>
      </c>
      <c r="E3340" s="1399">
        <v>220260.08</v>
      </c>
      <c r="I3340" s="1399">
        <v>220260.08</v>
      </c>
    </row>
    <row r="3341" spans="2:9">
      <c r="B3341" s="1297"/>
      <c r="C3341" s="1297"/>
      <c r="D3341" s="1297" t="s">
        <v>943</v>
      </c>
      <c r="E3341" s="1399">
        <v>2387.2399999999998</v>
      </c>
      <c r="I3341" s="1399">
        <v>2387.2399999999998</v>
      </c>
    </row>
    <row r="3342" spans="2:9">
      <c r="B3342" s="1297"/>
      <c r="C3342" s="1297"/>
      <c r="D3342" s="1297" t="s">
        <v>944</v>
      </c>
      <c r="E3342" s="1399">
        <v>1119710.1599999999</v>
      </c>
      <c r="I3342" s="1399">
        <v>1119710.1599999999</v>
      </c>
    </row>
    <row r="3343" spans="2:9">
      <c r="B3343" s="1297"/>
      <c r="C3343" s="1297"/>
      <c r="D3343" s="1297" t="s">
        <v>945</v>
      </c>
      <c r="E3343" s="1399">
        <v>874975.94</v>
      </c>
      <c r="I3343" s="1399">
        <v>874975.94</v>
      </c>
    </row>
    <row r="3344" spans="2:9">
      <c r="B3344" s="1297"/>
      <c r="C3344" s="1297"/>
      <c r="D3344" s="1297" t="s">
        <v>947</v>
      </c>
      <c r="E3344" s="1399">
        <v>47445.440000000002</v>
      </c>
      <c r="I3344" s="1399">
        <v>47445.440000000002</v>
      </c>
    </row>
    <row r="3345" spans="2:9">
      <c r="B3345" s="1297"/>
      <c r="C3345" s="1297"/>
      <c r="D3345" s="1297" t="s">
        <v>948</v>
      </c>
      <c r="G3345" s="1399">
        <v>1055587.5</v>
      </c>
      <c r="I3345" s="1399">
        <v>1055587.5</v>
      </c>
    </row>
    <row r="3346" spans="2:9">
      <c r="B3346" s="1297"/>
      <c r="C3346" s="1400" t="s">
        <v>1413</v>
      </c>
      <c r="D3346" s="1400"/>
      <c r="E3346" s="1401">
        <v>2772345.5399999996</v>
      </c>
      <c r="F3346" s="1401">
        <v>4313868.4800000004</v>
      </c>
      <c r="G3346" s="1401">
        <v>1055587.5</v>
      </c>
      <c r="H3346" s="1401">
        <v>10545060.720000001</v>
      </c>
      <c r="I3346" s="1401">
        <v>18686862.240000002</v>
      </c>
    </row>
    <row r="3347" spans="2:9">
      <c r="B3347" s="1297" t="s">
        <v>1414</v>
      </c>
      <c r="C3347" s="1297" t="s">
        <v>1415</v>
      </c>
      <c r="D3347" s="1297" t="s">
        <v>906</v>
      </c>
      <c r="F3347" s="1399">
        <v>10187522.34</v>
      </c>
      <c r="I3347" s="1399">
        <v>10187522.34</v>
      </c>
    </row>
    <row r="3348" spans="2:9">
      <c r="B3348" s="1297"/>
      <c r="C3348" s="1297"/>
      <c r="D3348" s="1297" t="s">
        <v>952</v>
      </c>
      <c r="F3348" s="1399">
        <v>149257.09</v>
      </c>
      <c r="I3348" s="1399">
        <v>149257.09</v>
      </c>
    </row>
    <row r="3349" spans="2:9">
      <c r="B3349" s="1297"/>
      <c r="C3349" s="1297"/>
      <c r="D3349" s="1297" t="s">
        <v>907</v>
      </c>
      <c r="F3349" s="1399">
        <v>5491905.0299999993</v>
      </c>
      <c r="I3349" s="1399">
        <v>5491905.0299999993</v>
      </c>
    </row>
    <row r="3350" spans="2:9">
      <c r="B3350" s="1297"/>
      <c r="C3350" s="1297"/>
      <c r="D3350" s="1297" t="s">
        <v>908</v>
      </c>
      <c r="F3350" s="1399">
        <v>27504.06</v>
      </c>
      <c r="I3350" s="1399">
        <v>27504.06</v>
      </c>
    </row>
    <row r="3351" spans="2:9">
      <c r="B3351" s="1297"/>
      <c r="C3351" s="1297"/>
      <c r="D3351" s="1297" t="s">
        <v>1037</v>
      </c>
      <c r="F3351" s="1399">
        <v>127629.06000000001</v>
      </c>
      <c r="I3351" s="1399">
        <v>127629.06000000001</v>
      </c>
    </row>
    <row r="3352" spans="2:9">
      <c r="B3352" s="1297"/>
      <c r="C3352" s="1297"/>
      <c r="D3352" s="1297" t="s">
        <v>1039</v>
      </c>
      <c r="F3352" s="1399">
        <v>31384.859999999997</v>
      </c>
      <c r="I3352" s="1399">
        <v>31384.859999999997</v>
      </c>
    </row>
    <row r="3353" spans="2:9">
      <c r="B3353" s="1297"/>
      <c r="C3353" s="1297"/>
      <c r="D3353" s="1297" t="s">
        <v>1040</v>
      </c>
      <c r="F3353" s="1399">
        <v>291401.42000000004</v>
      </c>
      <c r="I3353" s="1399">
        <v>291401.42000000004</v>
      </c>
    </row>
    <row r="3354" spans="2:9">
      <c r="B3354" s="1297"/>
      <c r="C3354" s="1297"/>
      <c r="D3354" s="1297" t="s">
        <v>1041</v>
      </c>
      <c r="F3354" s="1399">
        <v>80015.679999999993</v>
      </c>
      <c r="I3354" s="1399">
        <v>80015.679999999993</v>
      </c>
    </row>
    <row r="3355" spans="2:9">
      <c r="B3355" s="1297"/>
      <c r="C3355" s="1297"/>
      <c r="D3355" s="1297" t="s">
        <v>1042</v>
      </c>
      <c r="F3355" s="1399">
        <v>91320.99</v>
      </c>
      <c r="I3355" s="1399">
        <v>91320.99</v>
      </c>
    </row>
    <row r="3356" spans="2:9">
      <c r="B3356" s="1297"/>
      <c r="C3356" s="1297"/>
      <c r="D3356" s="1297" t="s">
        <v>954</v>
      </c>
      <c r="F3356" s="1399">
        <v>894269.97000000009</v>
      </c>
      <c r="I3356" s="1399">
        <v>894269.97000000009</v>
      </c>
    </row>
    <row r="3357" spans="2:9">
      <c r="B3357" s="1297"/>
      <c r="C3357" s="1297"/>
      <c r="D3357" s="1297" t="s">
        <v>985</v>
      </c>
      <c r="F3357" s="1399">
        <v>250</v>
      </c>
      <c r="I3357" s="1399">
        <v>250</v>
      </c>
    </row>
    <row r="3358" spans="2:9">
      <c r="B3358" s="1297"/>
      <c r="C3358" s="1297"/>
      <c r="D3358" s="1297" t="s">
        <v>986</v>
      </c>
      <c r="F3358" s="1399">
        <v>83872.97</v>
      </c>
      <c r="I3358" s="1399">
        <v>83872.97</v>
      </c>
    </row>
    <row r="3359" spans="2:9">
      <c r="B3359" s="1297"/>
      <c r="C3359" s="1297"/>
      <c r="D3359" s="1297" t="s">
        <v>1044</v>
      </c>
      <c r="F3359" s="1399">
        <v>37495.25</v>
      </c>
      <c r="I3359" s="1399">
        <v>37495.25</v>
      </c>
    </row>
    <row r="3360" spans="2:9">
      <c r="B3360" s="1297"/>
      <c r="C3360" s="1297"/>
      <c r="D3360" s="1297" t="s">
        <v>1045</v>
      </c>
      <c r="F3360" s="1399">
        <v>873613.15</v>
      </c>
      <c r="I3360" s="1399">
        <v>873613.15</v>
      </c>
    </row>
    <row r="3361" spans="2:9">
      <c r="B3361" s="1297"/>
      <c r="C3361" s="1297"/>
      <c r="D3361" s="1297" t="s">
        <v>1046</v>
      </c>
      <c r="H3361" s="1399">
        <v>32791254</v>
      </c>
      <c r="I3361" s="1399">
        <v>32791254</v>
      </c>
    </row>
    <row r="3362" spans="2:9">
      <c r="B3362" s="1297"/>
      <c r="C3362" s="1297"/>
      <c r="D3362" s="1297" t="s">
        <v>1128</v>
      </c>
      <c r="H3362" s="1399">
        <v>2562306</v>
      </c>
      <c r="I3362" s="1399">
        <v>2562306</v>
      </c>
    </row>
    <row r="3363" spans="2:9">
      <c r="B3363" s="1297"/>
      <c r="C3363" s="1297"/>
      <c r="D3363" s="1297" t="s">
        <v>1129</v>
      </c>
      <c r="H3363" s="1399">
        <v>-4738203</v>
      </c>
      <c r="I3363" s="1399">
        <v>-4738203</v>
      </c>
    </row>
    <row r="3364" spans="2:9">
      <c r="B3364" s="1297"/>
      <c r="C3364" s="1297"/>
      <c r="D3364" s="1297" t="s">
        <v>1047</v>
      </c>
      <c r="H3364" s="1399">
        <v>1276821</v>
      </c>
      <c r="I3364" s="1399">
        <v>1276821</v>
      </c>
    </row>
    <row r="3365" spans="2:9">
      <c r="B3365" s="1297"/>
      <c r="C3365" s="1297"/>
      <c r="D3365" s="1297" t="s">
        <v>1048</v>
      </c>
      <c r="H3365" s="1399">
        <v>-3784731</v>
      </c>
      <c r="I3365" s="1399">
        <v>-3784731</v>
      </c>
    </row>
    <row r="3366" spans="2:9">
      <c r="B3366" s="1297"/>
      <c r="C3366" s="1297"/>
      <c r="D3366" s="1297" t="s">
        <v>932</v>
      </c>
      <c r="H3366" s="1399">
        <v>2793308</v>
      </c>
      <c r="I3366" s="1399">
        <v>2793308</v>
      </c>
    </row>
    <row r="3367" spans="2:9">
      <c r="B3367" s="1297"/>
      <c r="C3367" s="1297"/>
      <c r="D3367" s="1297" t="s">
        <v>955</v>
      </c>
      <c r="H3367" s="1399">
        <v>1598099.43</v>
      </c>
      <c r="I3367" s="1399">
        <v>1598099.43</v>
      </c>
    </row>
    <row r="3368" spans="2:9">
      <c r="B3368" s="1297"/>
      <c r="C3368" s="1297"/>
      <c r="D3368" s="1297" t="s">
        <v>934</v>
      </c>
      <c r="H3368" s="1399">
        <v>109716</v>
      </c>
      <c r="I3368" s="1399">
        <v>109716</v>
      </c>
    </row>
    <row r="3369" spans="2:9">
      <c r="B3369" s="1297"/>
      <c r="C3369" s="1297"/>
      <c r="D3369" s="1297" t="s">
        <v>935</v>
      </c>
      <c r="H3369" s="1399">
        <v>811398.5</v>
      </c>
      <c r="I3369" s="1399">
        <v>811398.5</v>
      </c>
    </row>
    <row r="3370" spans="2:9">
      <c r="B3370" s="1297"/>
      <c r="C3370" s="1297"/>
      <c r="D3370" s="1297" t="s">
        <v>936</v>
      </c>
      <c r="H3370" s="1399">
        <v>85086.58</v>
      </c>
      <c r="I3370" s="1399">
        <v>85086.58</v>
      </c>
    </row>
    <row r="3371" spans="2:9">
      <c r="B3371" s="1297"/>
      <c r="C3371" s="1297"/>
      <c r="D3371" s="1297" t="s">
        <v>937</v>
      </c>
      <c r="H3371" s="1399">
        <v>29328.49</v>
      </c>
      <c r="I3371" s="1399">
        <v>29328.49</v>
      </c>
    </row>
    <row r="3372" spans="2:9">
      <c r="B3372" s="1297"/>
      <c r="C3372" s="1297"/>
      <c r="D3372" s="1297" t="s">
        <v>938</v>
      </c>
      <c r="H3372" s="1399">
        <v>32378</v>
      </c>
      <c r="I3372" s="1399">
        <v>32378</v>
      </c>
    </row>
    <row r="3373" spans="2:9">
      <c r="B3373" s="1297"/>
      <c r="C3373" s="1297"/>
      <c r="D3373" s="1297" t="s">
        <v>940</v>
      </c>
      <c r="E3373" s="1399">
        <v>1792048.06</v>
      </c>
      <c r="I3373" s="1399">
        <v>1792048.06</v>
      </c>
    </row>
    <row r="3374" spans="2:9">
      <c r="B3374" s="1297"/>
      <c r="C3374" s="1297"/>
      <c r="D3374" s="1297" t="s">
        <v>941</v>
      </c>
      <c r="E3374" s="1399">
        <v>655228.12</v>
      </c>
      <c r="I3374" s="1399">
        <v>655228.12</v>
      </c>
    </row>
    <row r="3375" spans="2:9">
      <c r="B3375" s="1297"/>
      <c r="C3375" s="1297"/>
      <c r="D3375" s="1297" t="s">
        <v>943</v>
      </c>
      <c r="E3375" s="1399">
        <v>30621.200000000001</v>
      </c>
      <c r="I3375" s="1399">
        <v>30621.200000000001</v>
      </c>
    </row>
    <row r="3376" spans="2:9">
      <c r="B3376" s="1297"/>
      <c r="C3376" s="1297"/>
      <c r="D3376" s="1297" t="s">
        <v>944</v>
      </c>
      <c r="E3376" s="1399">
        <v>2956652</v>
      </c>
      <c r="I3376" s="1399">
        <v>2956652</v>
      </c>
    </row>
    <row r="3377" spans="2:9">
      <c r="B3377" s="1297"/>
      <c r="C3377" s="1297"/>
      <c r="D3377" s="1297" t="s">
        <v>945</v>
      </c>
      <c r="E3377" s="1399">
        <v>3041451.65</v>
      </c>
      <c r="I3377" s="1399">
        <v>3041451.65</v>
      </c>
    </row>
    <row r="3378" spans="2:9">
      <c r="B3378" s="1297"/>
      <c r="C3378" s="1297"/>
      <c r="D3378" s="1297" t="s">
        <v>946</v>
      </c>
      <c r="E3378" s="1399">
        <v>1440.66</v>
      </c>
      <c r="I3378" s="1399">
        <v>1440.66</v>
      </c>
    </row>
    <row r="3379" spans="2:9">
      <c r="B3379" s="1297"/>
      <c r="C3379" s="1297"/>
      <c r="D3379" s="1297" t="s">
        <v>978</v>
      </c>
      <c r="E3379" s="1399">
        <v>1200</v>
      </c>
      <c r="I3379" s="1399">
        <v>1200</v>
      </c>
    </row>
    <row r="3380" spans="2:9">
      <c r="B3380" s="1297"/>
      <c r="C3380" s="1297"/>
      <c r="D3380" s="1297" t="s">
        <v>947</v>
      </c>
      <c r="E3380" s="1399">
        <v>221223.33000000002</v>
      </c>
      <c r="I3380" s="1399">
        <v>221223.33000000002</v>
      </c>
    </row>
    <row r="3381" spans="2:9">
      <c r="B3381" s="1297"/>
      <c r="C3381" s="1297"/>
      <c r="D3381" s="1297" t="s">
        <v>948</v>
      </c>
      <c r="G3381" s="1399">
        <v>1092455.8500000001</v>
      </c>
      <c r="I3381" s="1399">
        <v>1092455.8500000001</v>
      </c>
    </row>
    <row r="3382" spans="2:9">
      <c r="B3382" s="1297"/>
      <c r="C3382" s="1400" t="s">
        <v>1416</v>
      </c>
      <c r="D3382" s="1400"/>
      <c r="E3382" s="1401">
        <v>8699865.0200000014</v>
      </c>
      <c r="F3382" s="1401">
        <v>18367441.869999997</v>
      </c>
      <c r="G3382" s="1401">
        <v>1092455.8500000001</v>
      </c>
      <c r="H3382" s="1401">
        <v>33566762</v>
      </c>
      <c r="I3382" s="1401">
        <v>61726524.739999995</v>
      </c>
    </row>
    <row r="3383" spans="2:9">
      <c r="B3383" s="1297" t="s">
        <v>1417</v>
      </c>
      <c r="C3383" s="1297" t="s">
        <v>1418</v>
      </c>
      <c r="D3383" s="1297" t="s">
        <v>906</v>
      </c>
      <c r="F3383" s="1399">
        <v>13252497.729999999</v>
      </c>
      <c r="I3383" s="1399">
        <v>13252497.729999999</v>
      </c>
    </row>
    <row r="3384" spans="2:9">
      <c r="B3384" s="1297"/>
      <c r="C3384" s="1297"/>
      <c r="D3384" s="1297" t="s">
        <v>952</v>
      </c>
      <c r="F3384" s="1399">
        <v>246736.59</v>
      </c>
      <c r="I3384" s="1399">
        <v>246736.59</v>
      </c>
    </row>
    <row r="3385" spans="2:9">
      <c r="B3385" s="1297"/>
      <c r="C3385" s="1297"/>
      <c r="D3385" s="1297" t="s">
        <v>907</v>
      </c>
      <c r="F3385" s="1399">
        <v>3507965.79</v>
      </c>
      <c r="I3385" s="1399">
        <v>3507965.79</v>
      </c>
    </row>
    <row r="3386" spans="2:9">
      <c r="B3386" s="1297"/>
      <c r="C3386" s="1297"/>
      <c r="D3386" s="1297" t="s">
        <v>908</v>
      </c>
      <c r="F3386" s="1399">
        <v>16044.8</v>
      </c>
      <c r="I3386" s="1399">
        <v>16044.8</v>
      </c>
    </row>
    <row r="3387" spans="2:9">
      <c r="B3387" s="1297"/>
      <c r="C3387" s="1297"/>
      <c r="D3387" s="1297" t="s">
        <v>1035</v>
      </c>
      <c r="F3387" s="1399">
        <v>360524.9</v>
      </c>
      <c r="I3387" s="1399">
        <v>360524.9</v>
      </c>
    </row>
    <row r="3388" spans="2:9">
      <c r="B3388" s="1297"/>
      <c r="C3388" s="1297"/>
      <c r="D3388" s="1297" t="s">
        <v>1037</v>
      </c>
      <c r="F3388" s="1399">
        <v>84697.37</v>
      </c>
      <c r="I3388" s="1399">
        <v>84697.37</v>
      </c>
    </row>
    <row r="3389" spans="2:9">
      <c r="B3389" s="1297"/>
      <c r="C3389" s="1297"/>
      <c r="D3389" s="1297" t="s">
        <v>1039</v>
      </c>
      <c r="F3389" s="1399">
        <v>116415.01999999999</v>
      </c>
      <c r="I3389" s="1399">
        <v>116415.01999999999</v>
      </c>
    </row>
    <row r="3390" spans="2:9">
      <c r="B3390" s="1297"/>
      <c r="C3390" s="1297"/>
      <c r="D3390" s="1297" t="s">
        <v>1040</v>
      </c>
      <c r="F3390" s="1399">
        <v>710145.94</v>
      </c>
      <c r="I3390" s="1399">
        <v>710145.94</v>
      </c>
    </row>
    <row r="3391" spans="2:9">
      <c r="B3391" s="1297"/>
      <c r="C3391" s="1297"/>
      <c r="D3391" s="1297" t="s">
        <v>1041</v>
      </c>
      <c r="F3391" s="1399">
        <v>92520.02</v>
      </c>
      <c r="I3391" s="1399">
        <v>92520.02</v>
      </c>
    </row>
    <row r="3392" spans="2:9">
      <c r="B3392" s="1297"/>
      <c r="C3392" s="1297"/>
      <c r="D3392" s="1297" t="s">
        <v>1042</v>
      </c>
      <c r="F3392" s="1399">
        <v>69297.100000000006</v>
      </c>
      <c r="I3392" s="1399">
        <v>69297.100000000006</v>
      </c>
    </row>
    <row r="3393" spans="2:9">
      <c r="B3393" s="1297"/>
      <c r="C3393" s="1297"/>
      <c r="D3393" s="1297" t="s">
        <v>985</v>
      </c>
      <c r="F3393" s="1399">
        <v>247039.5</v>
      </c>
      <c r="I3393" s="1399">
        <v>247039.5</v>
      </c>
    </row>
    <row r="3394" spans="2:9">
      <c r="B3394" s="1297"/>
      <c r="C3394" s="1297"/>
      <c r="D3394" s="1297" t="s">
        <v>1043</v>
      </c>
      <c r="F3394" s="1399">
        <v>26241</v>
      </c>
      <c r="I3394" s="1399">
        <v>26241</v>
      </c>
    </row>
    <row r="3395" spans="2:9">
      <c r="B3395" s="1297"/>
      <c r="C3395" s="1297"/>
      <c r="D3395" s="1297" t="s">
        <v>986</v>
      </c>
      <c r="F3395" s="1399">
        <v>741472.08</v>
      </c>
      <c r="I3395" s="1399">
        <v>741472.08</v>
      </c>
    </row>
    <row r="3396" spans="2:9">
      <c r="B3396" s="1297"/>
      <c r="C3396" s="1297"/>
      <c r="D3396" s="1297" t="s">
        <v>1045</v>
      </c>
      <c r="F3396" s="1399">
        <v>579498.17999999993</v>
      </c>
      <c r="I3396" s="1399">
        <v>579498.17999999993</v>
      </c>
    </row>
    <row r="3397" spans="2:9">
      <c r="B3397" s="1297"/>
      <c r="C3397" s="1297"/>
      <c r="D3397" s="1297" t="s">
        <v>1046</v>
      </c>
      <c r="H3397" s="1399">
        <v>27323140</v>
      </c>
      <c r="I3397" s="1399">
        <v>27323140</v>
      </c>
    </row>
    <row r="3398" spans="2:9">
      <c r="B3398" s="1297"/>
      <c r="C3398" s="1297"/>
      <c r="D3398" s="1297" t="s">
        <v>1047</v>
      </c>
      <c r="H3398" s="1399">
        <v>875907</v>
      </c>
      <c r="I3398" s="1399">
        <v>875907</v>
      </c>
    </row>
    <row r="3399" spans="2:9">
      <c r="B3399" s="1297"/>
      <c r="C3399" s="1297"/>
      <c r="D3399" s="1297" t="s">
        <v>1048</v>
      </c>
      <c r="H3399" s="1399">
        <v>-3914837</v>
      </c>
      <c r="I3399" s="1399">
        <v>-3914837</v>
      </c>
    </row>
    <row r="3400" spans="2:9">
      <c r="B3400" s="1297"/>
      <c r="C3400" s="1297"/>
      <c r="D3400" s="1297" t="s">
        <v>932</v>
      </c>
      <c r="H3400" s="1399">
        <v>2807865</v>
      </c>
      <c r="I3400" s="1399">
        <v>2807865</v>
      </c>
    </row>
    <row r="3401" spans="2:9">
      <c r="B3401" s="1297"/>
      <c r="C3401" s="1297"/>
      <c r="D3401" s="1297" t="s">
        <v>955</v>
      </c>
      <c r="H3401" s="1399">
        <v>1168636.97</v>
      </c>
      <c r="I3401" s="1399">
        <v>1168636.97</v>
      </c>
    </row>
    <row r="3402" spans="2:9">
      <c r="B3402" s="1297"/>
      <c r="C3402" s="1297"/>
      <c r="D3402" s="1297" t="s">
        <v>934</v>
      </c>
      <c r="H3402" s="1399">
        <v>93000</v>
      </c>
      <c r="I3402" s="1399">
        <v>93000</v>
      </c>
    </row>
    <row r="3403" spans="2:9">
      <c r="B3403" s="1297"/>
      <c r="C3403" s="1297"/>
      <c r="D3403" s="1297" t="s">
        <v>935</v>
      </c>
      <c r="H3403" s="1399">
        <v>532172.13</v>
      </c>
      <c r="I3403" s="1399">
        <v>532172.13</v>
      </c>
    </row>
    <row r="3404" spans="2:9">
      <c r="B3404" s="1297"/>
      <c r="C3404" s="1297"/>
      <c r="D3404" s="1297" t="s">
        <v>936</v>
      </c>
      <c r="H3404" s="1399">
        <v>77733.42</v>
      </c>
      <c r="I3404" s="1399">
        <v>77733.42</v>
      </c>
    </row>
    <row r="3405" spans="2:9">
      <c r="B3405" s="1297"/>
      <c r="C3405" s="1297"/>
      <c r="D3405" s="1297" t="s">
        <v>937</v>
      </c>
      <c r="H3405" s="1399">
        <v>12797.28</v>
      </c>
      <c r="I3405" s="1399">
        <v>12797.28</v>
      </c>
    </row>
    <row r="3406" spans="2:9">
      <c r="B3406" s="1297"/>
      <c r="C3406" s="1297"/>
      <c r="D3406" s="1297" t="s">
        <v>938</v>
      </c>
      <c r="H3406" s="1399">
        <v>31817</v>
      </c>
      <c r="I3406" s="1399">
        <v>31817</v>
      </c>
    </row>
    <row r="3407" spans="2:9">
      <c r="B3407" s="1297"/>
      <c r="C3407" s="1297"/>
      <c r="D3407" s="1297" t="s">
        <v>1131</v>
      </c>
      <c r="E3407" s="1399">
        <v>72858</v>
      </c>
      <c r="I3407" s="1399">
        <v>72858</v>
      </c>
    </row>
    <row r="3408" spans="2:9">
      <c r="B3408" s="1297"/>
      <c r="C3408" s="1297"/>
      <c r="D3408" s="1297" t="s">
        <v>940</v>
      </c>
      <c r="E3408" s="1399">
        <v>1146711.76</v>
      </c>
      <c r="I3408" s="1399">
        <v>1146711.76</v>
      </c>
    </row>
    <row r="3409" spans="2:9">
      <c r="B3409" s="1297"/>
      <c r="C3409" s="1297"/>
      <c r="D3409" s="1297" t="s">
        <v>941</v>
      </c>
      <c r="E3409" s="1399">
        <v>320630.64</v>
      </c>
      <c r="I3409" s="1399">
        <v>320630.64</v>
      </c>
    </row>
    <row r="3410" spans="2:9">
      <c r="B3410" s="1297"/>
      <c r="C3410" s="1297"/>
      <c r="D3410" s="1297" t="s">
        <v>944</v>
      </c>
      <c r="E3410" s="1399">
        <v>2229802.9300000002</v>
      </c>
      <c r="I3410" s="1399">
        <v>2229802.9300000002</v>
      </c>
    </row>
    <row r="3411" spans="2:9">
      <c r="B3411" s="1297"/>
      <c r="C3411" s="1297"/>
      <c r="D3411" s="1297" t="s">
        <v>945</v>
      </c>
      <c r="E3411" s="1399">
        <v>1890278.33</v>
      </c>
      <c r="I3411" s="1399">
        <v>1890278.33</v>
      </c>
    </row>
    <row r="3412" spans="2:9">
      <c r="B3412" s="1297"/>
      <c r="C3412" s="1297"/>
      <c r="D3412" s="1297" t="s">
        <v>946</v>
      </c>
      <c r="E3412" s="1399">
        <v>89.31</v>
      </c>
      <c r="I3412" s="1399">
        <v>89.31</v>
      </c>
    </row>
    <row r="3413" spans="2:9">
      <c r="B3413" s="1297"/>
      <c r="C3413" s="1297"/>
      <c r="D3413" s="1297" t="s">
        <v>978</v>
      </c>
      <c r="E3413" s="1399">
        <v>3600</v>
      </c>
      <c r="I3413" s="1399">
        <v>3600</v>
      </c>
    </row>
    <row r="3414" spans="2:9">
      <c r="B3414" s="1297"/>
      <c r="C3414" s="1297"/>
      <c r="D3414" s="1297" t="s">
        <v>947</v>
      </c>
      <c r="E3414" s="1399">
        <v>121266.97</v>
      </c>
      <c r="I3414" s="1399">
        <v>121266.97</v>
      </c>
    </row>
    <row r="3415" spans="2:9">
      <c r="B3415" s="1297"/>
      <c r="C3415" s="1297"/>
      <c r="D3415" s="1297" t="s">
        <v>948</v>
      </c>
      <c r="G3415" s="1399">
        <v>585317.44999999995</v>
      </c>
      <c r="I3415" s="1399">
        <v>585317.44999999995</v>
      </c>
    </row>
    <row r="3416" spans="2:9">
      <c r="B3416" s="1297"/>
      <c r="C3416" s="1297"/>
      <c r="D3416" s="1297" t="s">
        <v>956</v>
      </c>
      <c r="G3416" s="1399">
        <v>29019.41</v>
      </c>
      <c r="I3416" s="1399">
        <v>29019.41</v>
      </c>
    </row>
    <row r="3417" spans="2:9">
      <c r="B3417" s="1297"/>
      <c r="C3417" s="1297"/>
      <c r="D3417" s="1297" t="s">
        <v>1118</v>
      </c>
      <c r="G3417" s="1399">
        <v>231</v>
      </c>
      <c r="I3417" s="1399">
        <v>231</v>
      </c>
    </row>
    <row r="3418" spans="2:9">
      <c r="B3418" s="1297"/>
      <c r="C3418" s="1400" t="s">
        <v>1419</v>
      </c>
      <c r="D3418" s="1400"/>
      <c r="E3418" s="1401">
        <v>5785237.9399999995</v>
      </c>
      <c r="F3418" s="1401">
        <v>20051096.02</v>
      </c>
      <c r="G3418" s="1401">
        <v>614567.86</v>
      </c>
      <c r="H3418" s="1401">
        <v>29008231.800000001</v>
      </c>
      <c r="I3418" s="1401">
        <v>55459133.619999997</v>
      </c>
    </row>
    <row r="3419" spans="2:9">
      <c r="B3419" s="1297" t="s">
        <v>1420</v>
      </c>
      <c r="C3419" s="1297" t="s">
        <v>1421</v>
      </c>
      <c r="D3419" s="1297" t="s">
        <v>906</v>
      </c>
      <c r="F3419" s="1399">
        <v>17397972.890000001</v>
      </c>
      <c r="I3419" s="1399">
        <v>17397972.890000001</v>
      </c>
    </row>
    <row r="3420" spans="2:9">
      <c r="B3420" s="1297"/>
      <c r="C3420" s="1297"/>
      <c r="D3420" s="1297" t="s">
        <v>907</v>
      </c>
      <c r="F3420" s="1399">
        <v>7921039.7800000003</v>
      </c>
      <c r="I3420" s="1399">
        <v>7921039.7800000003</v>
      </c>
    </row>
    <row r="3421" spans="2:9">
      <c r="B3421" s="1297"/>
      <c r="C3421" s="1297"/>
      <c r="D3421" s="1297" t="s">
        <v>995</v>
      </c>
      <c r="F3421" s="1399">
        <v>51308.23</v>
      </c>
      <c r="I3421" s="1399">
        <v>51308.23</v>
      </c>
    </row>
    <row r="3422" spans="2:9">
      <c r="B3422" s="1297"/>
      <c r="C3422" s="1297"/>
      <c r="D3422" s="1297" t="s">
        <v>908</v>
      </c>
      <c r="F3422" s="1399">
        <v>32634.639999999999</v>
      </c>
      <c r="I3422" s="1399">
        <v>32634.639999999999</v>
      </c>
    </row>
    <row r="3423" spans="2:9">
      <c r="B3423" s="1297"/>
      <c r="C3423" s="1297"/>
      <c r="D3423" s="1297" t="s">
        <v>909</v>
      </c>
      <c r="F3423" s="1399">
        <v>34547.26</v>
      </c>
      <c r="I3423" s="1399">
        <v>34547.26</v>
      </c>
    </row>
    <row r="3424" spans="2:9">
      <c r="B3424" s="1297"/>
      <c r="C3424" s="1297"/>
      <c r="D3424" s="1297" t="s">
        <v>910</v>
      </c>
      <c r="F3424" s="1399">
        <v>99818.15</v>
      </c>
      <c r="I3424" s="1399">
        <v>99818.15</v>
      </c>
    </row>
    <row r="3425" spans="2:9">
      <c r="B3425" s="1297"/>
      <c r="C3425" s="1297"/>
      <c r="D3425" s="1297" t="s">
        <v>1034</v>
      </c>
      <c r="F3425" s="1399">
        <v>49421.01</v>
      </c>
      <c r="I3425" s="1399">
        <v>49421.01</v>
      </c>
    </row>
    <row r="3426" spans="2:9">
      <c r="B3426" s="1297"/>
      <c r="C3426" s="1297"/>
      <c r="D3426" s="1297" t="s">
        <v>1035</v>
      </c>
      <c r="F3426" s="1399">
        <v>1229070.4099999999</v>
      </c>
      <c r="I3426" s="1399">
        <v>1229070.4099999999</v>
      </c>
    </row>
    <row r="3427" spans="2:9">
      <c r="B3427" s="1297"/>
      <c r="C3427" s="1297"/>
      <c r="D3427" s="1297" t="s">
        <v>1036</v>
      </c>
      <c r="F3427" s="1399">
        <v>139131.82</v>
      </c>
      <c r="I3427" s="1399">
        <v>139131.82</v>
      </c>
    </row>
    <row r="3428" spans="2:9">
      <c r="B3428" s="1297"/>
      <c r="C3428" s="1297"/>
      <c r="D3428" s="1297" t="s">
        <v>1039</v>
      </c>
      <c r="F3428" s="1399">
        <v>154712.9</v>
      </c>
      <c r="I3428" s="1399">
        <v>154712.9</v>
      </c>
    </row>
    <row r="3429" spans="2:9">
      <c r="B3429" s="1297"/>
      <c r="C3429" s="1297"/>
      <c r="D3429" s="1297" t="s">
        <v>1040</v>
      </c>
      <c r="F3429" s="1399">
        <v>1082349.32</v>
      </c>
      <c r="I3429" s="1399">
        <v>1082349.32</v>
      </c>
    </row>
    <row r="3430" spans="2:9">
      <c r="B3430" s="1297"/>
      <c r="C3430" s="1297"/>
      <c r="D3430" s="1297" t="s">
        <v>1041</v>
      </c>
      <c r="F3430" s="1399">
        <v>18206.89</v>
      </c>
      <c r="I3430" s="1399">
        <v>18206.89</v>
      </c>
    </row>
    <row r="3431" spans="2:9">
      <c r="B3431" s="1297"/>
      <c r="C3431" s="1297"/>
      <c r="D3431" s="1297" t="s">
        <v>1042</v>
      </c>
      <c r="F3431" s="1399">
        <v>154135.28</v>
      </c>
      <c r="I3431" s="1399">
        <v>154135.28</v>
      </c>
    </row>
    <row r="3432" spans="2:9">
      <c r="B3432" s="1297"/>
      <c r="C3432" s="1297"/>
      <c r="D3432" s="1297" t="s">
        <v>1043</v>
      </c>
      <c r="F3432" s="1399">
        <v>33130</v>
      </c>
      <c r="I3432" s="1399">
        <v>33130</v>
      </c>
    </row>
    <row r="3433" spans="2:9">
      <c r="B3433" s="1297"/>
      <c r="C3433" s="1297"/>
      <c r="D3433" s="1297" t="s">
        <v>996</v>
      </c>
      <c r="F3433" s="1399">
        <v>5305.8</v>
      </c>
      <c r="I3433" s="1399">
        <v>5305.8</v>
      </c>
    </row>
    <row r="3434" spans="2:9">
      <c r="B3434" s="1297"/>
      <c r="C3434" s="1297"/>
      <c r="D3434" s="1297" t="s">
        <v>1044</v>
      </c>
      <c r="F3434" s="1399">
        <v>76453.98</v>
      </c>
      <c r="I3434" s="1399">
        <v>76453.98</v>
      </c>
    </row>
    <row r="3435" spans="2:9">
      <c r="B3435" s="1297"/>
      <c r="C3435" s="1297"/>
      <c r="D3435" s="1297" t="s">
        <v>1045</v>
      </c>
      <c r="F3435" s="1399">
        <v>247972.01</v>
      </c>
      <c r="I3435" s="1399">
        <v>247972.01</v>
      </c>
    </row>
    <row r="3436" spans="2:9">
      <c r="B3436" s="1297"/>
      <c r="C3436" s="1297"/>
      <c r="D3436" s="1297" t="s">
        <v>1046</v>
      </c>
      <c r="H3436" s="1399">
        <v>50540266</v>
      </c>
      <c r="I3436" s="1399">
        <v>50540266</v>
      </c>
    </row>
    <row r="3437" spans="2:9">
      <c r="B3437" s="1297"/>
      <c r="C3437" s="1297"/>
      <c r="D3437" s="1297" t="s">
        <v>1128</v>
      </c>
      <c r="H3437" s="1399">
        <v>4430790</v>
      </c>
      <c r="I3437" s="1399">
        <v>4430790</v>
      </c>
    </row>
    <row r="3438" spans="2:9">
      <c r="B3438" s="1297"/>
      <c r="C3438" s="1297"/>
      <c r="D3438" s="1297" t="s">
        <v>1129</v>
      </c>
      <c r="H3438" s="1399">
        <v>-8562440</v>
      </c>
      <c r="I3438" s="1399">
        <v>-8562440</v>
      </c>
    </row>
    <row r="3439" spans="2:9">
      <c r="B3439" s="1297"/>
      <c r="C3439" s="1297"/>
      <c r="D3439" s="1297" t="s">
        <v>1047</v>
      </c>
      <c r="H3439" s="1399">
        <v>1182872</v>
      </c>
      <c r="I3439" s="1399">
        <v>1182872</v>
      </c>
    </row>
    <row r="3440" spans="2:9">
      <c r="B3440" s="1297"/>
      <c r="C3440" s="1297"/>
      <c r="D3440" s="1297" t="s">
        <v>1048</v>
      </c>
      <c r="H3440" s="1399">
        <v>-5824647</v>
      </c>
      <c r="I3440" s="1399">
        <v>-5824647</v>
      </c>
    </row>
    <row r="3441" spans="2:9">
      <c r="B3441" s="1297"/>
      <c r="C3441" s="1297"/>
      <c r="D3441" s="1297" t="s">
        <v>932</v>
      </c>
      <c r="H3441" s="1399">
        <v>10905796</v>
      </c>
      <c r="I3441" s="1399">
        <v>10905796</v>
      </c>
    </row>
    <row r="3442" spans="2:9">
      <c r="B3442" s="1297"/>
      <c r="C3442" s="1297"/>
      <c r="D3442" s="1297" t="s">
        <v>955</v>
      </c>
      <c r="H3442" s="1399">
        <v>1694803.31</v>
      </c>
      <c r="I3442" s="1399">
        <v>1694803.31</v>
      </c>
    </row>
    <row r="3443" spans="2:9">
      <c r="B3443" s="1297"/>
      <c r="C3443" s="1297"/>
      <c r="D3443" s="1297" t="s">
        <v>934</v>
      </c>
      <c r="H3443" s="1399">
        <v>173656</v>
      </c>
      <c r="I3443" s="1399">
        <v>173656</v>
      </c>
    </row>
    <row r="3444" spans="2:9">
      <c r="B3444" s="1297"/>
      <c r="C3444" s="1297"/>
      <c r="D3444" s="1297" t="s">
        <v>935</v>
      </c>
      <c r="H3444" s="1399">
        <v>296429.98</v>
      </c>
      <c r="I3444" s="1399">
        <v>296429.98</v>
      </c>
    </row>
    <row r="3445" spans="2:9">
      <c r="B3445" s="1297"/>
      <c r="C3445" s="1297"/>
      <c r="D3445" s="1297" t="s">
        <v>936</v>
      </c>
      <c r="H3445" s="1399">
        <v>125704.04</v>
      </c>
      <c r="I3445" s="1399">
        <v>125704.04</v>
      </c>
    </row>
    <row r="3446" spans="2:9">
      <c r="B3446" s="1297"/>
      <c r="C3446" s="1297"/>
      <c r="D3446" s="1297" t="s">
        <v>937</v>
      </c>
      <c r="H3446" s="1399">
        <v>20300.689999999999</v>
      </c>
      <c r="I3446" s="1399">
        <v>20300.689999999999</v>
      </c>
    </row>
    <row r="3447" spans="2:9">
      <c r="B3447" s="1297"/>
      <c r="C3447" s="1297"/>
      <c r="D3447" s="1297" t="s">
        <v>938</v>
      </c>
      <c r="H3447" s="1399">
        <v>61950</v>
      </c>
      <c r="I3447" s="1399">
        <v>61950</v>
      </c>
    </row>
    <row r="3448" spans="2:9">
      <c r="B3448" s="1297"/>
      <c r="C3448" s="1297"/>
      <c r="D3448" s="1297" t="s">
        <v>939</v>
      </c>
      <c r="H3448" s="1399">
        <v>21573.360000000001</v>
      </c>
      <c r="I3448" s="1399">
        <v>21573.360000000001</v>
      </c>
    </row>
    <row r="3449" spans="2:9">
      <c r="B3449" s="1297"/>
      <c r="C3449" s="1297"/>
      <c r="D3449" s="1297" t="s">
        <v>1131</v>
      </c>
      <c r="E3449" s="1399">
        <v>173526.85</v>
      </c>
      <c r="I3449" s="1399">
        <v>173526.85</v>
      </c>
    </row>
    <row r="3450" spans="2:9">
      <c r="B3450" s="1297"/>
      <c r="C3450" s="1297"/>
      <c r="D3450" s="1297" t="s">
        <v>940</v>
      </c>
      <c r="E3450" s="1399">
        <v>2811134.48</v>
      </c>
      <c r="I3450" s="1399">
        <v>2811134.48</v>
      </c>
    </row>
    <row r="3451" spans="2:9">
      <c r="B3451" s="1297"/>
      <c r="C3451" s="1297"/>
      <c r="D3451" s="1297" t="s">
        <v>941</v>
      </c>
      <c r="E3451" s="1399">
        <v>1087048.26</v>
      </c>
      <c r="I3451" s="1399">
        <v>1087048.26</v>
      </c>
    </row>
    <row r="3452" spans="2:9">
      <c r="B3452" s="1297"/>
      <c r="C3452" s="1297"/>
      <c r="D3452" s="1297" t="s">
        <v>943</v>
      </c>
      <c r="E3452" s="1399">
        <v>11928.8</v>
      </c>
      <c r="I3452" s="1399">
        <v>11928.8</v>
      </c>
    </row>
    <row r="3453" spans="2:9">
      <c r="B3453" s="1297"/>
      <c r="C3453" s="1297"/>
      <c r="D3453" s="1297" t="s">
        <v>944</v>
      </c>
      <c r="E3453" s="1399">
        <v>5471228.2999999998</v>
      </c>
      <c r="I3453" s="1399">
        <v>5471228.2999999998</v>
      </c>
    </row>
    <row r="3454" spans="2:9">
      <c r="B3454" s="1297"/>
      <c r="C3454" s="1297"/>
      <c r="D3454" s="1297" t="s">
        <v>945</v>
      </c>
      <c r="E3454" s="1399">
        <v>3563202.44</v>
      </c>
      <c r="I3454" s="1399">
        <v>3563202.44</v>
      </c>
    </row>
    <row r="3455" spans="2:9">
      <c r="B3455" s="1297"/>
      <c r="C3455" s="1297"/>
      <c r="D3455" s="1297" t="s">
        <v>1006</v>
      </c>
      <c r="E3455" s="1399">
        <v>11001514.109999999</v>
      </c>
      <c r="I3455" s="1399">
        <v>11001514.109999999</v>
      </c>
    </row>
    <row r="3456" spans="2:9">
      <c r="B3456" s="1297"/>
      <c r="C3456" s="1297"/>
      <c r="D3456" s="1297" t="s">
        <v>947</v>
      </c>
      <c r="E3456" s="1399">
        <v>273574.81</v>
      </c>
      <c r="I3456" s="1399">
        <v>273574.81</v>
      </c>
    </row>
    <row r="3457" spans="2:9">
      <c r="B3457" s="1297"/>
      <c r="C3457" s="1297"/>
      <c r="D3457" s="1297" t="s">
        <v>1115</v>
      </c>
      <c r="E3457" s="1399">
        <v>841595</v>
      </c>
      <c r="I3457" s="1399">
        <v>841595</v>
      </c>
    </row>
    <row r="3458" spans="2:9">
      <c r="B3458" s="1297"/>
      <c r="C3458" s="1297"/>
      <c r="D3458" s="1297" t="s">
        <v>948</v>
      </c>
      <c r="G3458" s="1399">
        <v>5013512.84</v>
      </c>
      <c r="I3458" s="1399">
        <v>5013512.84</v>
      </c>
    </row>
    <row r="3459" spans="2:9">
      <c r="B3459" s="1297"/>
      <c r="C3459" s="1400" t="s">
        <v>1422</v>
      </c>
      <c r="D3459" s="1400"/>
      <c r="E3459" s="1401">
        <v>25234753.049999997</v>
      </c>
      <c r="F3459" s="1401">
        <v>28727210.370000008</v>
      </c>
      <c r="G3459" s="1401">
        <v>5013512.84</v>
      </c>
      <c r="H3459" s="1401">
        <v>55067054.379999995</v>
      </c>
      <c r="I3459" s="1401">
        <v>114042530.64000002</v>
      </c>
    </row>
    <row r="3460" spans="2:9">
      <c r="B3460" s="1297" t="s">
        <v>1423</v>
      </c>
      <c r="C3460" s="1297" t="s">
        <v>1424</v>
      </c>
      <c r="D3460" s="1297" t="s">
        <v>906</v>
      </c>
      <c r="F3460" s="1399">
        <v>4616863.96</v>
      </c>
      <c r="I3460" s="1399">
        <v>4616863.96</v>
      </c>
    </row>
    <row r="3461" spans="2:9">
      <c r="B3461" s="1297"/>
      <c r="C3461" s="1297"/>
      <c r="D3461" s="1297" t="s">
        <v>952</v>
      </c>
      <c r="F3461" s="1399">
        <v>36903.760000000002</v>
      </c>
      <c r="I3461" s="1399">
        <v>36903.760000000002</v>
      </c>
    </row>
    <row r="3462" spans="2:9">
      <c r="B3462" s="1297"/>
      <c r="C3462" s="1297"/>
      <c r="D3462" s="1297" t="s">
        <v>907</v>
      </c>
      <c r="F3462" s="1399">
        <v>730348.61</v>
      </c>
      <c r="I3462" s="1399">
        <v>730348.61</v>
      </c>
    </row>
    <row r="3463" spans="2:9">
      <c r="B3463" s="1297"/>
      <c r="C3463" s="1297"/>
      <c r="D3463" s="1297" t="s">
        <v>909</v>
      </c>
      <c r="F3463" s="1399">
        <v>27259.02</v>
      </c>
      <c r="I3463" s="1399">
        <v>27259.02</v>
      </c>
    </row>
    <row r="3464" spans="2:9">
      <c r="B3464" s="1297"/>
      <c r="C3464" s="1297"/>
      <c r="D3464" s="1297" t="s">
        <v>1034</v>
      </c>
      <c r="F3464" s="1399">
        <v>15498</v>
      </c>
      <c r="I3464" s="1399">
        <v>15498</v>
      </c>
    </row>
    <row r="3465" spans="2:9">
      <c r="B3465" s="1297"/>
      <c r="C3465" s="1297"/>
      <c r="D3465" s="1297" t="s">
        <v>1035</v>
      </c>
      <c r="F3465" s="1399">
        <v>292650.57</v>
      </c>
      <c r="I3465" s="1399">
        <v>292650.57</v>
      </c>
    </row>
    <row r="3466" spans="2:9">
      <c r="B3466" s="1297"/>
      <c r="C3466" s="1297"/>
      <c r="D3466" s="1297" t="s">
        <v>1036</v>
      </c>
      <c r="F3466" s="1399">
        <v>122368.1</v>
      </c>
      <c r="I3466" s="1399">
        <v>122368.1</v>
      </c>
    </row>
    <row r="3467" spans="2:9">
      <c r="B3467" s="1297"/>
      <c r="C3467" s="1297"/>
      <c r="D3467" s="1297" t="s">
        <v>1039</v>
      </c>
      <c r="F3467" s="1399">
        <v>58969.539999999994</v>
      </c>
      <c r="I3467" s="1399">
        <v>58969.539999999994</v>
      </c>
    </row>
    <row r="3468" spans="2:9">
      <c r="B3468" s="1297"/>
      <c r="C3468" s="1297"/>
      <c r="D3468" s="1297" t="s">
        <v>1040</v>
      </c>
      <c r="F3468" s="1399">
        <v>72401.59</v>
      </c>
      <c r="I3468" s="1399">
        <v>72401.59</v>
      </c>
    </row>
    <row r="3469" spans="2:9">
      <c r="B3469" s="1297"/>
      <c r="C3469" s="1297"/>
      <c r="D3469" s="1297" t="s">
        <v>1127</v>
      </c>
      <c r="F3469" s="1399">
        <v>11549.4</v>
      </c>
      <c r="I3469" s="1399">
        <v>11549.4</v>
      </c>
    </row>
    <row r="3470" spans="2:9">
      <c r="B3470" s="1297"/>
      <c r="C3470" s="1297"/>
      <c r="D3470" s="1297" t="s">
        <v>1041</v>
      </c>
      <c r="F3470" s="1399">
        <v>10473.52</v>
      </c>
      <c r="I3470" s="1399">
        <v>10473.52</v>
      </c>
    </row>
    <row r="3471" spans="2:9">
      <c r="B3471" s="1297"/>
      <c r="C3471" s="1297"/>
      <c r="D3471" s="1297" t="s">
        <v>1042</v>
      </c>
      <c r="F3471" s="1399">
        <v>24091.8</v>
      </c>
      <c r="I3471" s="1399">
        <v>24091.8</v>
      </c>
    </row>
    <row r="3472" spans="2:9">
      <c r="B3472" s="1297"/>
      <c r="C3472" s="1297"/>
      <c r="D3472" s="1297" t="s">
        <v>1043</v>
      </c>
      <c r="F3472" s="1399">
        <v>10540</v>
      </c>
      <c r="I3472" s="1399">
        <v>10540</v>
      </c>
    </row>
    <row r="3473" spans="2:9">
      <c r="B3473" s="1297"/>
      <c r="C3473" s="1297"/>
      <c r="D3473" s="1297" t="s">
        <v>996</v>
      </c>
      <c r="F3473" s="1399">
        <v>28893</v>
      </c>
      <c r="I3473" s="1399">
        <v>28893</v>
      </c>
    </row>
    <row r="3474" spans="2:9">
      <c r="B3474" s="1297"/>
      <c r="C3474" s="1297"/>
      <c r="D3474" s="1297" t="s">
        <v>1045</v>
      </c>
      <c r="F3474" s="1399">
        <v>12209.46</v>
      </c>
      <c r="I3474" s="1399">
        <v>12209.46</v>
      </c>
    </row>
    <row r="3475" spans="2:9">
      <c r="B3475" s="1297"/>
      <c r="C3475" s="1297"/>
      <c r="D3475" s="1297" t="s">
        <v>1046</v>
      </c>
      <c r="H3475" s="1399">
        <v>6970010</v>
      </c>
      <c r="I3475" s="1399">
        <v>6970010</v>
      </c>
    </row>
    <row r="3476" spans="2:9">
      <c r="B3476" s="1297"/>
      <c r="C3476" s="1297"/>
      <c r="D3476" s="1297" t="s">
        <v>1047</v>
      </c>
      <c r="H3476" s="1399">
        <v>367375</v>
      </c>
      <c r="I3476" s="1399">
        <v>367375</v>
      </c>
    </row>
    <row r="3477" spans="2:9">
      <c r="B3477" s="1297"/>
      <c r="C3477" s="1297"/>
      <c r="D3477" s="1297" t="s">
        <v>1048</v>
      </c>
      <c r="H3477" s="1399">
        <v>-1259158</v>
      </c>
      <c r="I3477" s="1399">
        <v>-1259158</v>
      </c>
    </row>
    <row r="3478" spans="2:9">
      <c r="B3478" s="1297"/>
      <c r="C3478" s="1297"/>
      <c r="D3478" s="1297" t="s">
        <v>932</v>
      </c>
      <c r="H3478" s="1399">
        <v>121940</v>
      </c>
      <c r="I3478" s="1399">
        <v>121940</v>
      </c>
    </row>
    <row r="3479" spans="2:9">
      <c r="B3479" s="1297"/>
      <c r="C3479" s="1297"/>
      <c r="D3479" s="1297" t="s">
        <v>955</v>
      </c>
      <c r="H3479" s="1399">
        <v>394894.22</v>
      </c>
      <c r="I3479" s="1399">
        <v>394894.22</v>
      </c>
    </row>
    <row r="3480" spans="2:9">
      <c r="B3480" s="1297"/>
      <c r="C3480" s="1297"/>
      <c r="D3480" s="1297" t="s">
        <v>934</v>
      </c>
      <c r="H3480" s="1399">
        <v>22332</v>
      </c>
      <c r="I3480" s="1399">
        <v>22332</v>
      </c>
    </row>
    <row r="3481" spans="2:9">
      <c r="B3481" s="1297"/>
      <c r="C3481" s="1297"/>
      <c r="D3481" s="1297" t="s">
        <v>935</v>
      </c>
      <c r="H3481" s="1399">
        <v>487432.13999999996</v>
      </c>
      <c r="I3481" s="1399">
        <v>487432.13999999996</v>
      </c>
    </row>
    <row r="3482" spans="2:9">
      <c r="B3482" s="1297"/>
      <c r="C3482" s="1297"/>
      <c r="D3482" s="1297" t="s">
        <v>936</v>
      </c>
      <c r="H3482" s="1399">
        <v>30463.1</v>
      </c>
      <c r="I3482" s="1399">
        <v>30463.1</v>
      </c>
    </row>
    <row r="3483" spans="2:9">
      <c r="B3483" s="1297"/>
      <c r="C3483" s="1297"/>
      <c r="D3483" s="1297" t="s">
        <v>937</v>
      </c>
      <c r="H3483" s="1399">
        <v>5985.08</v>
      </c>
      <c r="I3483" s="1399">
        <v>5985.08</v>
      </c>
    </row>
    <row r="3484" spans="2:9">
      <c r="B3484" s="1297"/>
      <c r="C3484" s="1297"/>
      <c r="D3484" s="1297" t="s">
        <v>938</v>
      </c>
      <c r="H3484" s="1399">
        <v>10107</v>
      </c>
      <c r="I3484" s="1399">
        <v>10107</v>
      </c>
    </row>
    <row r="3485" spans="2:9">
      <c r="B3485" s="1297"/>
      <c r="C3485" s="1297"/>
      <c r="D3485" s="1297" t="s">
        <v>939</v>
      </c>
      <c r="H3485" s="1399">
        <v>82870.51999999999</v>
      </c>
      <c r="I3485" s="1399">
        <v>82870.51999999999</v>
      </c>
    </row>
    <row r="3486" spans="2:9">
      <c r="B3486" s="1297"/>
      <c r="C3486" s="1297"/>
      <c r="D3486" s="1297" t="s">
        <v>940</v>
      </c>
      <c r="E3486" s="1399">
        <v>317314.86</v>
      </c>
      <c r="I3486" s="1399">
        <v>317314.86</v>
      </c>
    </row>
    <row r="3487" spans="2:9">
      <c r="B3487" s="1297"/>
      <c r="C3487" s="1297"/>
      <c r="D3487" s="1297" t="s">
        <v>941</v>
      </c>
      <c r="E3487" s="1399">
        <v>116700</v>
      </c>
      <c r="I3487" s="1399">
        <v>116700</v>
      </c>
    </row>
    <row r="3488" spans="2:9">
      <c r="B3488" s="1297"/>
      <c r="C3488" s="1297"/>
      <c r="D3488" s="1297" t="s">
        <v>942</v>
      </c>
      <c r="E3488" s="1399">
        <v>5234.18</v>
      </c>
      <c r="I3488" s="1399">
        <v>5234.18</v>
      </c>
    </row>
    <row r="3489" spans="2:9">
      <c r="B3489" s="1297"/>
      <c r="C3489" s="1297"/>
      <c r="D3489" s="1297" t="s">
        <v>943</v>
      </c>
      <c r="E3489" s="1399">
        <v>6270.02</v>
      </c>
      <c r="I3489" s="1399">
        <v>6270.02</v>
      </c>
    </row>
    <row r="3490" spans="2:9">
      <c r="B3490" s="1297"/>
      <c r="C3490" s="1297"/>
      <c r="D3490" s="1297" t="s">
        <v>944</v>
      </c>
      <c r="E3490" s="1399">
        <v>887092.31</v>
      </c>
      <c r="I3490" s="1399">
        <v>887092.31</v>
      </c>
    </row>
    <row r="3491" spans="2:9">
      <c r="B3491" s="1297"/>
      <c r="C3491" s="1297"/>
      <c r="D3491" s="1297" t="s">
        <v>945</v>
      </c>
      <c r="E3491" s="1399">
        <v>481556.91</v>
      </c>
      <c r="I3491" s="1399">
        <v>481556.91</v>
      </c>
    </row>
    <row r="3492" spans="2:9">
      <c r="B3492" s="1297"/>
      <c r="C3492" s="1297"/>
      <c r="D3492" s="1297" t="s">
        <v>1006</v>
      </c>
      <c r="E3492" s="1399">
        <v>192546</v>
      </c>
      <c r="I3492" s="1399">
        <v>192546</v>
      </c>
    </row>
    <row r="3493" spans="2:9">
      <c r="B3493" s="1297"/>
      <c r="C3493" s="1297"/>
      <c r="D3493" s="1297" t="s">
        <v>1214</v>
      </c>
      <c r="E3493" s="1399">
        <v>8175.06</v>
      </c>
      <c r="I3493" s="1399">
        <v>8175.06</v>
      </c>
    </row>
    <row r="3494" spans="2:9">
      <c r="B3494" s="1297"/>
      <c r="C3494" s="1297"/>
      <c r="D3494" s="1297" t="s">
        <v>947</v>
      </c>
      <c r="E3494" s="1399">
        <v>35493.61</v>
      </c>
      <c r="I3494" s="1399">
        <v>35493.61</v>
      </c>
    </row>
    <row r="3495" spans="2:9">
      <c r="B3495" s="1297"/>
      <c r="C3495" s="1297"/>
      <c r="D3495" s="1297" t="s">
        <v>1115</v>
      </c>
      <c r="E3495" s="1399">
        <v>68392.100000000006</v>
      </c>
      <c r="I3495" s="1399">
        <v>68392.100000000006</v>
      </c>
    </row>
    <row r="3496" spans="2:9">
      <c r="B3496" s="1297"/>
      <c r="C3496" s="1297"/>
      <c r="D3496" s="1297" t="s">
        <v>948</v>
      </c>
      <c r="G3496" s="1399">
        <v>1281702.74</v>
      </c>
      <c r="I3496" s="1399">
        <v>1281702.74</v>
      </c>
    </row>
    <row r="3497" spans="2:9">
      <c r="B3497" s="1297"/>
      <c r="C3497" s="1297"/>
      <c r="D3497" s="1297" t="s">
        <v>956</v>
      </c>
      <c r="G3497" s="1399">
        <v>15551.51</v>
      </c>
      <c r="I3497" s="1399">
        <v>15551.51</v>
      </c>
    </row>
    <row r="3498" spans="2:9">
      <c r="B3498" s="1297"/>
      <c r="C3498" s="1400" t="s">
        <v>1425</v>
      </c>
      <c r="D3498" s="1400"/>
      <c r="E3498" s="1401">
        <v>2118775.0500000003</v>
      </c>
      <c r="F3498" s="1401">
        <v>6071020.3299999991</v>
      </c>
      <c r="G3498" s="1401">
        <v>1297254.25</v>
      </c>
      <c r="H3498" s="1401">
        <v>7234251.0599999987</v>
      </c>
      <c r="I3498" s="1401">
        <v>16721300.689999998</v>
      </c>
    </row>
    <row r="3499" spans="2:9">
      <c r="B3499" s="1297" t="s">
        <v>1223</v>
      </c>
      <c r="C3499" s="1297" t="s">
        <v>1224</v>
      </c>
      <c r="D3499" s="1297" t="s">
        <v>906</v>
      </c>
      <c r="F3499" s="1399">
        <v>3407790.12</v>
      </c>
      <c r="I3499" s="1399">
        <v>3407790.12</v>
      </c>
    </row>
    <row r="3500" spans="2:9">
      <c r="B3500" s="1297"/>
      <c r="C3500" s="1297"/>
      <c r="D3500" s="1297" t="s">
        <v>952</v>
      </c>
      <c r="F3500" s="1399">
        <v>86946.22</v>
      </c>
      <c r="I3500" s="1399">
        <v>86946.22</v>
      </c>
    </row>
    <row r="3501" spans="2:9">
      <c r="B3501" s="1297"/>
      <c r="C3501" s="1297"/>
      <c r="D3501" s="1297" t="s">
        <v>907</v>
      </c>
      <c r="F3501" s="1399">
        <v>527465.53</v>
      </c>
      <c r="I3501" s="1399">
        <v>527465.53</v>
      </c>
    </row>
    <row r="3502" spans="2:9">
      <c r="B3502" s="1297"/>
      <c r="C3502" s="1297"/>
      <c r="D3502" s="1297" t="s">
        <v>908</v>
      </c>
      <c r="F3502" s="1399">
        <v>16366.15</v>
      </c>
      <c r="I3502" s="1399">
        <v>16366.15</v>
      </c>
    </row>
    <row r="3503" spans="2:9">
      <c r="B3503" s="1297"/>
      <c r="C3503" s="1297"/>
      <c r="D3503" s="1297" t="s">
        <v>909</v>
      </c>
      <c r="F3503" s="1399">
        <v>5457.89</v>
      </c>
      <c r="I3503" s="1399">
        <v>5457.89</v>
      </c>
    </row>
    <row r="3504" spans="2:9">
      <c r="B3504" s="1297"/>
      <c r="C3504" s="1297"/>
      <c r="D3504" s="1297" t="s">
        <v>910</v>
      </c>
      <c r="F3504" s="1399">
        <v>7400.04</v>
      </c>
      <c r="I3504" s="1399">
        <v>7400.04</v>
      </c>
    </row>
    <row r="3505" spans="2:9">
      <c r="B3505" s="1297"/>
      <c r="C3505" s="1297"/>
      <c r="D3505" s="1297" t="s">
        <v>1034</v>
      </c>
      <c r="F3505" s="1399">
        <v>10317.77</v>
      </c>
      <c r="I3505" s="1399">
        <v>10317.77</v>
      </c>
    </row>
    <row r="3506" spans="2:9">
      <c r="B3506" s="1297"/>
      <c r="C3506" s="1297"/>
      <c r="D3506" s="1297" t="s">
        <v>1035</v>
      </c>
      <c r="F3506" s="1399">
        <v>356755.22</v>
      </c>
      <c r="I3506" s="1399">
        <v>356755.22</v>
      </c>
    </row>
    <row r="3507" spans="2:9">
      <c r="B3507" s="1297"/>
      <c r="C3507" s="1297"/>
      <c r="D3507" s="1297" t="s">
        <v>1036</v>
      </c>
      <c r="F3507" s="1399">
        <v>67386.06</v>
      </c>
      <c r="I3507" s="1399">
        <v>67386.06</v>
      </c>
    </row>
    <row r="3508" spans="2:9">
      <c r="B3508" s="1297"/>
      <c r="C3508" s="1297"/>
      <c r="D3508" s="1297" t="s">
        <v>1039</v>
      </c>
      <c r="F3508" s="1399">
        <v>112745.55</v>
      </c>
      <c r="I3508" s="1399">
        <v>112745.55</v>
      </c>
    </row>
    <row r="3509" spans="2:9">
      <c r="B3509" s="1297"/>
      <c r="C3509" s="1297"/>
      <c r="D3509" s="1297" t="s">
        <v>1040</v>
      </c>
      <c r="F3509" s="1399">
        <v>144157.71</v>
      </c>
      <c r="I3509" s="1399">
        <v>144157.71</v>
      </c>
    </row>
    <row r="3510" spans="2:9">
      <c r="B3510" s="1297"/>
      <c r="C3510" s="1297"/>
      <c r="D3510" s="1297" t="s">
        <v>1041</v>
      </c>
      <c r="F3510" s="1399">
        <v>13868.81</v>
      </c>
      <c r="I3510" s="1399">
        <v>13868.81</v>
      </c>
    </row>
    <row r="3511" spans="2:9">
      <c r="B3511" s="1297"/>
      <c r="C3511" s="1297"/>
      <c r="D3511" s="1297" t="s">
        <v>1042</v>
      </c>
      <c r="F3511" s="1399">
        <v>38968.089999999997</v>
      </c>
      <c r="I3511" s="1399">
        <v>38968.089999999997</v>
      </c>
    </row>
    <row r="3512" spans="2:9">
      <c r="B3512" s="1297"/>
      <c r="C3512" s="1297"/>
      <c r="D3512" s="1297" t="s">
        <v>985</v>
      </c>
      <c r="F3512" s="1399">
        <v>84761.25</v>
      </c>
      <c r="I3512" s="1399">
        <v>84761.25</v>
      </c>
    </row>
    <row r="3513" spans="2:9">
      <c r="B3513" s="1297"/>
      <c r="C3513" s="1297"/>
      <c r="D3513" s="1297" t="s">
        <v>1044</v>
      </c>
      <c r="F3513" s="1399">
        <v>29713</v>
      </c>
      <c r="I3513" s="1399">
        <v>29713</v>
      </c>
    </row>
    <row r="3514" spans="2:9">
      <c r="B3514" s="1297"/>
      <c r="C3514" s="1297"/>
      <c r="D3514" s="1297" t="s">
        <v>1045</v>
      </c>
      <c r="F3514" s="1399">
        <v>48841.96</v>
      </c>
      <c r="I3514" s="1399">
        <v>48841.96</v>
      </c>
    </row>
    <row r="3515" spans="2:9">
      <c r="B3515" s="1297"/>
      <c r="C3515" s="1297"/>
      <c r="D3515" s="1297" t="s">
        <v>1046</v>
      </c>
      <c r="H3515" s="1399">
        <v>11072037</v>
      </c>
      <c r="I3515" s="1399">
        <v>11072037</v>
      </c>
    </row>
    <row r="3516" spans="2:9">
      <c r="B3516" s="1297"/>
      <c r="C3516" s="1297"/>
      <c r="D3516" s="1297" t="s">
        <v>1047</v>
      </c>
      <c r="H3516" s="1399">
        <v>343901</v>
      </c>
      <c r="I3516" s="1399">
        <v>343901</v>
      </c>
    </row>
    <row r="3517" spans="2:9">
      <c r="B3517" s="1297"/>
      <c r="C3517" s="1297"/>
      <c r="D3517" s="1297" t="s">
        <v>1048</v>
      </c>
      <c r="H3517" s="1399">
        <v>-968488</v>
      </c>
      <c r="I3517" s="1399">
        <v>-968488</v>
      </c>
    </row>
    <row r="3518" spans="2:9">
      <c r="B3518" s="1297"/>
      <c r="C3518" s="1297"/>
      <c r="D3518" s="1297" t="s">
        <v>932</v>
      </c>
      <c r="H3518" s="1399">
        <v>1382285</v>
      </c>
      <c r="I3518" s="1399">
        <v>1382285</v>
      </c>
    </row>
    <row r="3519" spans="2:9">
      <c r="B3519" s="1297"/>
      <c r="C3519" s="1297"/>
      <c r="D3519" s="1297" t="s">
        <v>955</v>
      </c>
      <c r="H3519" s="1399">
        <v>523907.61</v>
      </c>
      <c r="I3519" s="1399">
        <v>523907.61</v>
      </c>
    </row>
    <row r="3520" spans="2:9">
      <c r="B3520" s="1297"/>
      <c r="C3520" s="1297"/>
      <c r="D3520" s="1297" t="s">
        <v>934</v>
      </c>
      <c r="H3520" s="1399">
        <v>37236</v>
      </c>
      <c r="I3520" s="1399">
        <v>37236</v>
      </c>
    </row>
    <row r="3521" spans="2:9">
      <c r="B3521" s="1297"/>
      <c r="C3521" s="1297"/>
      <c r="D3521" s="1297" t="s">
        <v>935</v>
      </c>
      <c r="H3521" s="1399">
        <v>235206.21000000002</v>
      </c>
      <c r="I3521" s="1399">
        <v>235206.21000000002</v>
      </c>
    </row>
    <row r="3522" spans="2:9">
      <c r="B3522" s="1297"/>
      <c r="C3522" s="1297"/>
      <c r="D3522" s="1297" t="s">
        <v>936</v>
      </c>
      <c r="H3522" s="1399">
        <v>32564</v>
      </c>
      <c r="I3522" s="1399">
        <v>32564</v>
      </c>
    </row>
    <row r="3523" spans="2:9">
      <c r="B3523" s="1297"/>
      <c r="C3523" s="1297"/>
      <c r="D3523" s="1297" t="s">
        <v>937</v>
      </c>
      <c r="H3523" s="1399">
        <v>11699.76</v>
      </c>
      <c r="I3523" s="1399">
        <v>11699.76</v>
      </c>
    </row>
    <row r="3524" spans="2:9">
      <c r="B3524" s="1297"/>
      <c r="C3524" s="1297"/>
      <c r="D3524" s="1297" t="s">
        <v>938</v>
      </c>
      <c r="H3524" s="1399">
        <v>13663</v>
      </c>
      <c r="I3524" s="1399">
        <v>13663</v>
      </c>
    </row>
    <row r="3525" spans="2:9">
      <c r="B3525" s="1297"/>
      <c r="C3525" s="1297"/>
      <c r="D3525" s="1297" t="s">
        <v>939</v>
      </c>
      <c r="H3525" s="1399">
        <v>985.41</v>
      </c>
      <c r="I3525" s="1399">
        <v>985.41</v>
      </c>
    </row>
    <row r="3526" spans="2:9">
      <c r="B3526" s="1297"/>
      <c r="C3526" s="1297"/>
      <c r="D3526" s="1297" t="s">
        <v>940</v>
      </c>
      <c r="E3526" s="1399">
        <v>723065.14</v>
      </c>
      <c r="I3526" s="1399">
        <v>723065.14</v>
      </c>
    </row>
    <row r="3527" spans="2:9">
      <c r="B3527" s="1297"/>
      <c r="C3527" s="1297"/>
      <c r="D3527" s="1297" t="s">
        <v>941</v>
      </c>
      <c r="E3527" s="1399">
        <v>371422.96</v>
      </c>
      <c r="I3527" s="1399">
        <v>371422.96</v>
      </c>
    </row>
    <row r="3528" spans="2:9">
      <c r="B3528" s="1297"/>
      <c r="C3528" s="1297"/>
      <c r="D3528" s="1297" t="s">
        <v>943</v>
      </c>
      <c r="E3528" s="1399">
        <v>0</v>
      </c>
      <c r="I3528" s="1399">
        <v>0</v>
      </c>
    </row>
    <row r="3529" spans="2:9">
      <c r="B3529" s="1297"/>
      <c r="C3529" s="1297"/>
      <c r="D3529" s="1297" t="s">
        <v>944</v>
      </c>
      <c r="E3529" s="1399">
        <v>1776087.08</v>
      </c>
      <c r="I3529" s="1399">
        <v>1776087.08</v>
      </c>
    </row>
    <row r="3530" spans="2:9">
      <c r="B3530" s="1297"/>
      <c r="C3530" s="1297"/>
      <c r="D3530" s="1297" t="s">
        <v>945</v>
      </c>
      <c r="E3530" s="1399">
        <v>972171.6</v>
      </c>
      <c r="I3530" s="1399">
        <v>972171.6</v>
      </c>
    </row>
    <row r="3531" spans="2:9">
      <c r="B3531" s="1297"/>
      <c r="C3531" s="1297"/>
      <c r="D3531" s="1297" t="s">
        <v>1006</v>
      </c>
      <c r="E3531" s="1399">
        <v>237362.17</v>
      </c>
      <c r="I3531" s="1399">
        <v>237362.17</v>
      </c>
    </row>
    <row r="3532" spans="2:9">
      <c r="B3532" s="1297"/>
      <c r="C3532" s="1297"/>
      <c r="D3532" s="1297" t="s">
        <v>947</v>
      </c>
      <c r="E3532" s="1399">
        <v>29145.43</v>
      </c>
      <c r="I3532" s="1399">
        <v>29145.43</v>
      </c>
    </row>
    <row r="3533" spans="2:9">
      <c r="B3533" s="1297"/>
      <c r="C3533" s="1297"/>
      <c r="D3533" s="1297" t="s">
        <v>1115</v>
      </c>
      <c r="E3533" s="1399">
        <v>0</v>
      </c>
      <c r="I3533" s="1399">
        <v>0</v>
      </c>
    </row>
    <row r="3534" spans="2:9">
      <c r="B3534" s="1297"/>
      <c r="C3534" s="1297"/>
      <c r="D3534" s="1297" t="s">
        <v>1116</v>
      </c>
      <c r="G3534" s="1399">
        <v>5772991.7999999998</v>
      </c>
      <c r="I3534" s="1399">
        <v>5772991.7999999998</v>
      </c>
    </row>
    <row r="3535" spans="2:9">
      <c r="B3535" s="1297"/>
      <c r="C3535" s="1297"/>
      <c r="D3535" s="1297" t="s">
        <v>948</v>
      </c>
      <c r="G3535" s="1399">
        <v>527228.54999999993</v>
      </c>
      <c r="I3535" s="1399">
        <v>527228.54999999993</v>
      </c>
    </row>
    <row r="3536" spans="2:9">
      <c r="B3536" s="1297"/>
      <c r="C3536" s="1297"/>
      <c r="D3536" s="1297" t="s">
        <v>956</v>
      </c>
      <c r="G3536" s="1399">
        <v>1200</v>
      </c>
      <c r="I3536" s="1399">
        <v>1200</v>
      </c>
    </row>
    <row r="3537" spans="2:9">
      <c r="B3537" s="1297"/>
      <c r="C3537" s="1400" t="s">
        <v>1225</v>
      </c>
      <c r="D3537" s="1400"/>
      <c r="E3537" s="1401">
        <v>4109254.3800000004</v>
      </c>
      <c r="F3537" s="1401">
        <v>4958941.3699999992</v>
      </c>
      <c r="G3537" s="1401">
        <v>6301420.3499999996</v>
      </c>
      <c r="H3537" s="1401">
        <v>12684996.99</v>
      </c>
      <c r="I3537" s="1401">
        <v>28054613.090000004</v>
      </c>
    </row>
    <row r="3538" spans="2:9">
      <c r="B3538" s="1297" t="s">
        <v>1226</v>
      </c>
      <c r="C3538" s="1297" t="s">
        <v>1227</v>
      </c>
      <c r="D3538" s="1297" t="s">
        <v>906</v>
      </c>
      <c r="F3538" s="1399">
        <v>20334815.66</v>
      </c>
      <c r="I3538" s="1399">
        <v>20334815.66</v>
      </c>
    </row>
    <row r="3539" spans="2:9">
      <c r="B3539" s="1297"/>
      <c r="C3539" s="1297"/>
      <c r="D3539" s="1297" t="s">
        <v>952</v>
      </c>
      <c r="F3539" s="1399">
        <v>388086.68</v>
      </c>
      <c r="I3539" s="1399">
        <v>388086.68</v>
      </c>
    </row>
    <row r="3540" spans="2:9">
      <c r="B3540" s="1297"/>
      <c r="C3540" s="1297"/>
      <c r="D3540" s="1297" t="s">
        <v>907</v>
      </c>
      <c r="F3540" s="1399">
        <v>12215003.869999999</v>
      </c>
      <c r="I3540" s="1399">
        <v>12215003.869999999</v>
      </c>
    </row>
    <row r="3541" spans="2:9">
      <c r="B3541" s="1297"/>
      <c r="C3541" s="1297"/>
      <c r="D3541" s="1297" t="s">
        <v>908</v>
      </c>
      <c r="F3541" s="1399">
        <v>53077.85</v>
      </c>
      <c r="I3541" s="1399">
        <v>53077.85</v>
      </c>
    </row>
    <row r="3542" spans="2:9">
      <c r="B3542" s="1297"/>
      <c r="C3542" s="1297"/>
      <c r="D3542" s="1297" t="s">
        <v>910</v>
      </c>
      <c r="F3542" s="1399">
        <v>101402.71</v>
      </c>
      <c r="I3542" s="1399">
        <v>101402.71</v>
      </c>
    </row>
    <row r="3543" spans="2:9">
      <c r="B3543" s="1297"/>
      <c r="C3543" s="1297"/>
      <c r="D3543" s="1297" t="s">
        <v>1034</v>
      </c>
      <c r="F3543" s="1399">
        <v>93621.82</v>
      </c>
      <c r="I3543" s="1399">
        <v>93621.82</v>
      </c>
    </row>
    <row r="3544" spans="2:9">
      <c r="B3544" s="1297"/>
      <c r="C3544" s="1297"/>
      <c r="D3544" s="1297" t="s">
        <v>1035</v>
      </c>
      <c r="F3544" s="1399">
        <v>2246897.17</v>
      </c>
      <c r="I3544" s="1399">
        <v>2246897.17</v>
      </c>
    </row>
    <row r="3545" spans="2:9">
      <c r="B3545" s="1297"/>
      <c r="C3545" s="1297"/>
      <c r="D3545" s="1297" t="s">
        <v>1036</v>
      </c>
      <c r="F3545" s="1399">
        <v>437567.04</v>
      </c>
      <c r="I3545" s="1399">
        <v>437567.04</v>
      </c>
    </row>
    <row r="3546" spans="2:9">
      <c r="B3546" s="1297"/>
      <c r="C3546" s="1297"/>
      <c r="D3546" s="1297" t="s">
        <v>1037</v>
      </c>
      <c r="F3546" s="1399">
        <v>222688.75</v>
      </c>
      <c r="I3546" s="1399">
        <v>222688.75</v>
      </c>
    </row>
    <row r="3547" spans="2:9">
      <c r="B3547" s="1297"/>
      <c r="C3547" s="1297"/>
      <c r="D3547" s="1297" t="s">
        <v>1039</v>
      </c>
      <c r="F3547" s="1399">
        <v>194656.55</v>
      </c>
      <c r="I3547" s="1399">
        <v>194656.55</v>
      </c>
    </row>
    <row r="3548" spans="2:9">
      <c r="B3548" s="1297"/>
      <c r="C3548" s="1297"/>
      <c r="D3548" s="1297" t="s">
        <v>1040</v>
      </c>
      <c r="F3548" s="1399">
        <v>1135666.1399999999</v>
      </c>
      <c r="I3548" s="1399">
        <v>1135666.1399999999</v>
      </c>
    </row>
    <row r="3549" spans="2:9">
      <c r="B3549" s="1297"/>
      <c r="C3549" s="1297"/>
      <c r="D3549" s="1297" t="s">
        <v>1041</v>
      </c>
      <c r="F3549" s="1399">
        <v>239044.79</v>
      </c>
      <c r="I3549" s="1399">
        <v>239044.79</v>
      </c>
    </row>
    <row r="3550" spans="2:9">
      <c r="B3550" s="1297"/>
      <c r="C3550" s="1297"/>
      <c r="D3550" s="1297" t="s">
        <v>1042</v>
      </c>
      <c r="F3550" s="1399">
        <v>130246.82</v>
      </c>
      <c r="I3550" s="1399">
        <v>130246.82</v>
      </c>
    </row>
    <row r="3551" spans="2:9">
      <c r="B3551" s="1297"/>
      <c r="C3551" s="1297"/>
      <c r="D3551" s="1297" t="s">
        <v>996</v>
      </c>
      <c r="F3551" s="1399">
        <v>8521.630000000001</v>
      </c>
      <c r="I3551" s="1399">
        <v>8521.630000000001</v>
      </c>
    </row>
    <row r="3552" spans="2:9">
      <c r="B3552" s="1297"/>
      <c r="C3552" s="1297"/>
      <c r="D3552" s="1297" t="s">
        <v>1044</v>
      </c>
      <c r="F3552" s="1399">
        <v>306607.09000000003</v>
      </c>
      <c r="I3552" s="1399">
        <v>306607.09000000003</v>
      </c>
    </row>
    <row r="3553" spans="2:9">
      <c r="B3553" s="1297"/>
      <c r="C3553" s="1297"/>
      <c r="D3553" s="1297" t="s">
        <v>1045</v>
      </c>
      <c r="F3553" s="1399">
        <v>271086.01</v>
      </c>
      <c r="I3553" s="1399">
        <v>271086.01</v>
      </c>
    </row>
    <row r="3554" spans="2:9">
      <c r="B3554" s="1297"/>
      <c r="C3554" s="1297"/>
      <c r="D3554" s="1297" t="s">
        <v>1046</v>
      </c>
      <c r="H3554" s="1399">
        <v>50350207</v>
      </c>
      <c r="I3554" s="1399">
        <v>50350207</v>
      </c>
    </row>
    <row r="3555" spans="2:9">
      <c r="B3555" s="1297"/>
      <c r="C3555" s="1297"/>
      <c r="D3555" s="1297" t="s">
        <v>1128</v>
      </c>
      <c r="H3555" s="1399">
        <v>4552741</v>
      </c>
      <c r="I3555" s="1399">
        <v>4552741</v>
      </c>
    </row>
    <row r="3556" spans="2:9">
      <c r="B3556" s="1297"/>
      <c r="C3556" s="1297"/>
      <c r="D3556" s="1297" t="s">
        <v>1129</v>
      </c>
      <c r="H3556" s="1399">
        <v>-7168760</v>
      </c>
      <c r="I3556" s="1399">
        <v>-7168760</v>
      </c>
    </row>
    <row r="3557" spans="2:9">
      <c r="B3557" s="1297"/>
      <c r="C3557" s="1297"/>
      <c r="D3557" s="1297" t="s">
        <v>1047</v>
      </c>
      <c r="H3557" s="1399">
        <v>1179831</v>
      </c>
      <c r="I3557" s="1399">
        <v>1179831</v>
      </c>
    </row>
    <row r="3558" spans="2:9">
      <c r="B3558" s="1297"/>
      <c r="C3558" s="1297"/>
      <c r="D3558" s="1297" t="s">
        <v>1048</v>
      </c>
      <c r="H3558" s="1399">
        <v>-6669209</v>
      </c>
      <c r="I3558" s="1399">
        <v>-6669209</v>
      </c>
    </row>
    <row r="3559" spans="2:9">
      <c r="B3559" s="1297"/>
      <c r="C3559" s="1297"/>
      <c r="D3559" s="1297" t="s">
        <v>932</v>
      </c>
      <c r="H3559" s="1399">
        <v>4232648</v>
      </c>
      <c r="I3559" s="1399">
        <v>4232648</v>
      </c>
    </row>
    <row r="3560" spans="2:9">
      <c r="B3560" s="1297"/>
      <c r="C3560" s="1297"/>
      <c r="D3560" s="1297" t="s">
        <v>955</v>
      </c>
      <c r="H3560" s="1399">
        <v>1711351.96</v>
      </c>
      <c r="I3560" s="1399">
        <v>1711351.96</v>
      </c>
    </row>
    <row r="3561" spans="2:9">
      <c r="B3561" s="1297"/>
      <c r="C3561" s="1297"/>
      <c r="D3561" s="1297" t="s">
        <v>934</v>
      </c>
      <c r="H3561" s="1399">
        <v>143046</v>
      </c>
      <c r="I3561" s="1399">
        <v>143046</v>
      </c>
    </row>
    <row r="3562" spans="2:9">
      <c r="B3562" s="1297"/>
      <c r="C3562" s="1297"/>
      <c r="D3562" s="1297" t="s">
        <v>935</v>
      </c>
      <c r="H3562" s="1399">
        <v>2500920.54</v>
      </c>
      <c r="I3562" s="1399">
        <v>2500920.54</v>
      </c>
    </row>
    <row r="3563" spans="2:9">
      <c r="B3563" s="1297"/>
      <c r="C3563" s="1297"/>
      <c r="D3563" s="1297" t="s">
        <v>936</v>
      </c>
      <c r="H3563" s="1399">
        <v>148463.82999999999</v>
      </c>
      <c r="I3563" s="1399">
        <v>148463.82999999999</v>
      </c>
    </row>
    <row r="3564" spans="2:9">
      <c r="B3564" s="1297"/>
      <c r="C3564" s="1297"/>
      <c r="D3564" s="1297" t="s">
        <v>937</v>
      </c>
      <c r="H3564" s="1399">
        <v>33215.78</v>
      </c>
      <c r="I3564" s="1399">
        <v>33215.78</v>
      </c>
    </row>
    <row r="3565" spans="2:9">
      <c r="B3565" s="1297"/>
      <c r="C3565" s="1297"/>
      <c r="D3565" s="1297" t="s">
        <v>938</v>
      </c>
      <c r="H3565" s="1399">
        <v>53902</v>
      </c>
      <c r="I3565" s="1399">
        <v>53902</v>
      </c>
    </row>
    <row r="3566" spans="2:9">
      <c r="B3566" s="1297"/>
      <c r="C3566" s="1297"/>
      <c r="D3566" s="1297" t="s">
        <v>1131</v>
      </c>
      <c r="E3566" s="1399">
        <v>58897.120000000003</v>
      </c>
      <c r="I3566" s="1399">
        <v>58897.120000000003</v>
      </c>
    </row>
    <row r="3567" spans="2:9">
      <c r="B3567" s="1297"/>
      <c r="C3567" s="1297"/>
      <c r="D3567" s="1297" t="s">
        <v>940</v>
      </c>
      <c r="E3567" s="1399">
        <v>2152007.2599999998</v>
      </c>
      <c r="I3567" s="1399">
        <v>2152007.2599999998</v>
      </c>
    </row>
    <row r="3568" spans="2:9">
      <c r="B3568" s="1297"/>
      <c r="C3568" s="1297"/>
      <c r="D3568" s="1297" t="s">
        <v>941</v>
      </c>
      <c r="E3568" s="1399">
        <v>692093</v>
      </c>
      <c r="I3568" s="1399">
        <v>692093</v>
      </c>
    </row>
    <row r="3569" spans="2:9">
      <c r="B3569" s="1297"/>
      <c r="C3569" s="1297"/>
      <c r="D3569" s="1297" t="s">
        <v>943</v>
      </c>
      <c r="E3569" s="1399">
        <v>13629.32</v>
      </c>
      <c r="I3569" s="1399">
        <v>13629.32</v>
      </c>
    </row>
    <row r="3570" spans="2:9">
      <c r="B3570" s="1297"/>
      <c r="C3570" s="1297"/>
      <c r="D3570" s="1297" t="s">
        <v>944</v>
      </c>
      <c r="E3570" s="1399">
        <v>5826369.4699999988</v>
      </c>
      <c r="I3570" s="1399">
        <v>5826369.4699999988</v>
      </c>
    </row>
    <row r="3571" spans="2:9">
      <c r="B3571" s="1297"/>
      <c r="C3571" s="1297"/>
      <c r="D3571" s="1297" t="s">
        <v>945</v>
      </c>
      <c r="E3571" s="1399">
        <v>3172793.5199999996</v>
      </c>
      <c r="I3571" s="1399">
        <v>3172793.5199999996</v>
      </c>
    </row>
    <row r="3572" spans="2:9">
      <c r="B3572" s="1297"/>
      <c r="C3572" s="1297"/>
      <c r="D3572" s="1297" t="s">
        <v>946</v>
      </c>
      <c r="E3572" s="1399">
        <v>769078.12</v>
      </c>
      <c r="I3572" s="1399">
        <v>769078.12</v>
      </c>
    </row>
    <row r="3573" spans="2:9">
      <c r="B3573" s="1297"/>
      <c r="C3573" s="1297"/>
      <c r="D3573" s="1297" t="s">
        <v>1006</v>
      </c>
      <c r="E3573" s="1399">
        <v>285378.17</v>
      </c>
      <c r="I3573" s="1399">
        <v>285378.17</v>
      </c>
    </row>
    <row r="3574" spans="2:9">
      <c r="B3574" s="1297"/>
      <c r="C3574" s="1297"/>
      <c r="D3574" s="1297" t="s">
        <v>947</v>
      </c>
      <c r="E3574" s="1399">
        <v>240172.24</v>
      </c>
      <c r="I3574" s="1399">
        <v>240172.24</v>
      </c>
    </row>
    <row r="3575" spans="2:9">
      <c r="B3575" s="1297"/>
      <c r="C3575" s="1297"/>
      <c r="D3575" s="1297" t="s">
        <v>948</v>
      </c>
      <c r="G3575" s="1399">
        <v>22096.61</v>
      </c>
      <c r="I3575" s="1399">
        <v>22096.61</v>
      </c>
    </row>
    <row r="3576" spans="2:9">
      <c r="B3576" s="1297"/>
      <c r="C3576" s="1297"/>
      <c r="D3576" s="1297" t="s">
        <v>956</v>
      </c>
      <c r="G3576" s="1399">
        <v>7350.46</v>
      </c>
      <c r="I3576" s="1399">
        <v>7350.46</v>
      </c>
    </row>
    <row r="3577" spans="2:9">
      <c r="B3577" s="1297"/>
      <c r="C3577" s="1400" t="s">
        <v>1228</v>
      </c>
      <c r="D3577" s="1400"/>
      <c r="E3577" s="1401">
        <v>13210418.219999997</v>
      </c>
      <c r="F3577" s="1401">
        <v>38378990.580000006</v>
      </c>
      <c r="G3577" s="1401">
        <v>29447.07</v>
      </c>
      <c r="H3577" s="1401">
        <v>51068358.109999999</v>
      </c>
      <c r="I3577" s="1401">
        <v>102687213.98</v>
      </c>
    </row>
    <row r="3578" spans="2:9">
      <c r="B3578" s="1297" t="s">
        <v>1229</v>
      </c>
      <c r="C3578" s="1297" t="s">
        <v>1230</v>
      </c>
      <c r="D3578" s="1297" t="s">
        <v>906</v>
      </c>
      <c r="F3578" s="1399">
        <v>14167136.76</v>
      </c>
      <c r="I3578" s="1399">
        <v>14167136.76</v>
      </c>
    </row>
    <row r="3579" spans="2:9">
      <c r="B3579" s="1297"/>
      <c r="C3579" s="1297"/>
      <c r="D3579" s="1297" t="s">
        <v>952</v>
      </c>
      <c r="F3579" s="1399">
        <v>172020.21</v>
      </c>
      <c r="I3579" s="1399">
        <v>172020.21</v>
      </c>
    </row>
    <row r="3580" spans="2:9">
      <c r="B3580" s="1297"/>
      <c r="C3580" s="1297"/>
      <c r="D3580" s="1297" t="s">
        <v>907</v>
      </c>
      <c r="F3580" s="1399">
        <v>3042194.35</v>
      </c>
      <c r="I3580" s="1399">
        <v>3042194.35</v>
      </c>
    </row>
    <row r="3581" spans="2:9">
      <c r="B3581" s="1297"/>
      <c r="C3581" s="1297"/>
      <c r="D3581" s="1297" t="s">
        <v>995</v>
      </c>
      <c r="F3581" s="1399">
        <v>20364.37</v>
      </c>
      <c r="I3581" s="1399">
        <v>20364.37</v>
      </c>
    </row>
    <row r="3582" spans="2:9">
      <c r="B3582" s="1297"/>
      <c r="C3582" s="1297"/>
      <c r="D3582" s="1297" t="s">
        <v>909</v>
      </c>
      <c r="F3582" s="1399">
        <v>9010.99</v>
      </c>
      <c r="I3582" s="1399">
        <v>9010.99</v>
      </c>
    </row>
    <row r="3583" spans="2:9">
      <c r="B3583" s="1297"/>
      <c r="C3583" s="1297"/>
      <c r="D3583" s="1297" t="s">
        <v>910</v>
      </c>
      <c r="F3583" s="1399">
        <v>31189.29</v>
      </c>
      <c r="I3583" s="1399">
        <v>31189.29</v>
      </c>
    </row>
    <row r="3584" spans="2:9">
      <c r="B3584" s="1297"/>
      <c r="C3584" s="1297"/>
      <c r="D3584" s="1297" t="s">
        <v>1034</v>
      </c>
      <c r="F3584" s="1399">
        <v>50965.62</v>
      </c>
      <c r="I3584" s="1399">
        <v>50965.62</v>
      </c>
    </row>
    <row r="3585" spans="2:9">
      <c r="B3585" s="1297"/>
      <c r="C3585" s="1297"/>
      <c r="D3585" s="1297" t="s">
        <v>1035</v>
      </c>
      <c r="F3585" s="1399">
        <v>332230.52999999997</v>
      </c>
      <c r="I3585" s="1399">
        <v>332230.52999999997</v>
      </c>
    </row>
    <row r="3586" spans="2:9">
      <c r="B3586" s="1297"/>
      <c r="C3586" s="1297"/>
      <c r="D3586" s="1297" t="s">
        <v>1036</v>
      </c>
      <c r="F3586" s="1399">
        <v>106611.82</v>
      </c>
      <c r="I3586" s="1399">
        <v>106611.82</v>
      </c>
    </row>
    <row r="3587" spans="2:9">
      <c r="B3587" s="1297"/>
      <c r="C3587" s="1297"/>
      <c r="D3587" s="1297" t="s">
        <v>1037</v>
      </c>
      <c r="F3587" s="1399">
        <v>1725</v>
      </c>
      <c r="I3587" s="1399">
        <v>1725</v>
      </c>
    </row>
    <row r="3588" spans="2:9">
      <c r="B3588" s="1297"/>
      <c r="C3588" s="1297"/>
      <c r="D3588" s="1297" t="s">
        <v>1039</v>
      </c>
      <c r="F3588" s="1399">
        <v>96364.92</v>
      </c>
      <c r="I3588" s="1399">
        <v>96364.92</v>
      </c>
    </row>
    <row r="3589" spans="2:9">
      <c r="B3589" s="1297"/>
      <c r="C3589" s="1297"/>
      <c r="D3589" s="1297" t="s">
        <v>1040</v>
      </c>
      <c r="F3589" s="1399">
        <v>399178.8</v>
      </c>
      <c r="I3589" s="1399">
        <v>399178.8</v>
      </c>
    </row>
    <row r="3590" spans="2:9">
      <c r="B3590" s="1297"/>
      <c r="C3590" s="1297"/>
      <c r="D3590" s="1297" t="s">
        <v>1041</v>
      </c>
      <c r="F3590" s="1399">
        <v>4088.68</v>
      </c>
      <c r="I3590" s="1399">
        <v>4088.68</v>
      </c>
    </row>
    <row r="3591" spans="2:9">
      <c r="B3591" s="1297"/>
      <c r="C3591" s="1297"/>
      <c r="D3591" s="1297" t="s">
        <v>1042</v>
      </c>
      <c r="F3591" s="1399">
        <v>38933.870000000003</v>
      </c>
      <c r="I3591" s="1399">
        <v>38933.870000000003</v>
      </c>
    </row>
    <row r="3592" spans="2:9">
      <c r="B3592" s="1297"/>
      <c r="C3592" s="1297"/>
      <c r="D3592" s="1297" t="s">
        <v>1043</v>
      </c>
      <c r="F3592" s="1399">
        <v>39611.199999999997</v>
      </c>
      <c r="I3592" s="1399">
        <v>39611.199999999997</v>
      </c>
    </row>
    <row r="3593" spans="2:9">
      <c r="B3593" s="1297"/>
      <c r="C3593" s="1297"/>
      <c r="D3593" s="1297" t="s">
        <v>986</v>
      </c>
      <c r="F3593" s="1399">
        <v>255969.76</v>
      </c>
      <c r="I3593" s="1399">
        <v>255969.76</v>
      </c>
    </row>
    <row r="3594" spans="2:9">
      <c r="B3594" s="1297"/>
      <c r="C3594" s="1297"/>
      <c r="D3594" s="1297" t="s">
        <v>990</v>
      </c>
      <c r="F3594" s="1399">
        <v>117.63</v>
      </c>
      <c r="I3594" s="1399">
        <v>117.63</v>
      </c>
    </row>
    <row r="3595" spans="2:9">
      <c r="B3595" s="1297"/>
      <c r="C3595" s="1297"/>
      <c r="D3595" s="1297" t="s">
        <v>1044</v>
      </c>
      <c r="F3595" s="1399">
        <v>10698</v>
      </c>
      <c r="I3595" s="1399">
        <v>10698</v>
      </c>
    </row>
    <row r="3596" spans="2:9">
      <c r="B3596" s="1297"/>
      <c r="C3596" s="1297"/>
      <c r="D3596" s="1297" t="s">
        <v>1045</v>
      </c>
      <c r="F3596" s="1399">
        <v>403961.68</v>
      </c>
      <c r="I3596" s="1399">
        <v>403961.68</v>
      </c>
    </row>
    <row r="3597" spans="2:9">
      <c r="B3597" s="1297"/>
      <c r="C3597" s="1297"/>
      <c r="D3597" s="1297" t="s">
        <v>1046</v>
      </c>
      <c r="H3597" s="1399">
        <v>21428647</v>
      </c>
      <c r="I3597" s="1399">
        <v>21428647</v>
      </c>
    </row>
    <row r="3598" spans="2:9">
      <c r="B3598" s="1297"/>
      <c r="C3598" s="1297"/>
      <c r="D3598" s="1297" t="s">
        <v>1129</v>
      </c>
      <c r="H3598" s="1399">
        <v>-2297956</v>
      </c>
      <c r="I3598" s="1399">
        <v>-2297956</v>
      </c>
    </row>
    <row r="3599" spans="2:9">
      <c r="B3599" s="1297"/>
      <c r="C3599" s="1297"/>
      <c r="D3599" s="1297" t="s">
        <v>1047</v>
      </c>
      <c r="H3599" s="1399">
        <v>496537</v>
      </c>
      <c r="I3599" s="1399">
        <v>496537</v>
      </c>
    </row>
    <row r="3600" spans="2:9">
      <c r="B3600" s="1297"/>
      <c r="C3600" s="1297"/>
      <c r="D3600" s="1297" t="s">
        <v>1048</v>
      </c>
      <c r="H3600" s="1399">
        <v>-5368566</v>
      </c>
      <c r="I3600" s="1399">
        <v>-5368566</v>
      </c>
    </row>
    <row r="3601" spans="2:9">
      <c r="B3601" s="1297"/>
      <c r="C3601" s="1297"/>
      <c r="D3601" s="1297" t="s">
        <v>934</v>
      </c>
      <c r="H3601" s="1399">
        <v>56880</v>
      </c>
      <c r="I3601" s="1399">
        <v>56880</v>
      </c>
    </row>
    <row r="3602" spans="2:9">
      <c r="B3602" s="1297"/>
      <c r="C3602" s="1297"/>
      <c r="D3602" s="1297" t="s">
        <v>935</v>
      </c>
      <c r="H3602" s="1399">
        <v>380322.9</v>
      </c>
      <c r="I3602" s="1399">
        <v>380322.9</v>
      </c>
    </row>
    <row r="3603" spans="2:9">
      <c r="B3603" s="1297"/>
      <c r="C3603" s="1297"/>
      <c r="D3603" s="1297" t="s">
        <v>936</v>
      </c>
      <c r="H3603" s="1399">
        <v>79134.02</v>
      </c>
      <c r="I3603" s="1399">
        <v>79134.02</v>
      </c>
    </row>
    <row r="3604" spans="2:9">
      <c r="B3604" s="1297"/>
      <c r="C3604" s="1297"/>
      <c r="D3604" s="1297" t="s">
        <v>937</v>
      </c>
      <c r="H3604" s="1399">
        <v>3585.84</v>
      </c>
      <c r="I3604" s="1399">
        <v>3585.84</v>
      </c>
    </row>
    <row r="3605" spans="2:9">
      <c r="B3605" s="1297"/>
      <c r="C3605" s="1297"/>
      <c r="D3605" s="1297" t="s">
        <v>938</v>
      </c>
      <c r="H3605" s="1399">
        <v>23395</v>
      </c>
      <c r="I3605" s="1399">
        <v>23395</v>
      </c>
    </row>
    <row r="3606" spans="2:9">
      <c r="B3606" s="1297"/>
      <c r="C3606" s="1297"/>
      <c r="D3606" s="1297" t="s">
        <v>939</v>
      </c>
      <c r="H3606" s="1399">
        <v>128458.25</v>
      </c>
      <c r="I3606" s="1399">
        <v>128458.25</v>
      </c>
    </row>
    <row r="3607" spans="2:9">
      <c r="B3607" s="1297"/>
      <c r="C3607" s="1297"/>
      <c r="D3607" s="1297" t="s">
        <v>1131</v>
      </c>
      <c r="E3607" s="1399">
        <v>45749.25</v>
      </c>
      <c r="I3607" s="1399">
        <v>45749.25</v>
      </c>
    </row>
    <row r="3608" spans="2:9">
      <c r="B3608" s="1297"/>
      <c r="C3608" s="1297"/>
      <c r="D3608" s="1297" t="s">
        <v>940</v>
      </c>
      <c r="E3608" s="1399">
        <v>860459.48</v>
      </c>
      <c r="I3608" s="1399">
        <v>860459.48</v>
      </c>
    </row>
    <row r="3609" spans="2:9">
      <c r="B3609" s="1297"/>
      <c r="C3609" s="1297"/>
      <c r="D3609" s="1297" t="s">
        <v>941</v>
      </c>
      <c r="E3609" s="1399">
        <v>314382.2</v>
      </c>
      <c r="I3609" s="1399">
        <v>314382.2</v>
      </c>
    </row>
    <row r="3610" spans="2:9">
      <c r="B3610" s="1297"/>
      <c r="C3610" s="1297"/>
      <c r="D3610" s="1297" t="s">
        <v>943</v>
      </c>
      <c r="E3610" s="1399">
        <v>6661.48</v>
      </c>
      <c r="I3610" s="1399">
        <v>6661.48</v>
      </c>
    </row>
    <row r="3611" spans="2:9">
      <c r="B3611" s="1297"/>
      <c r="C3611" s="1297"/>
      <c r="D3611" s="1297" t="s">
        <v>944</v>
      </c>
      <c r="E3611" s="1399">
        <v>2210964.5799999996</v>
      </c>
      <c r="I3611" s="1399">
        <v>2210964.5799999996</v>
      </c>
    </row>
    <row r="3612" spans="2:9">
      <c r="B3612" s="1297"/>
      <c r="C3612" s="1297"/>
      <c r="D3612" s="1297" t="s">
        <v>945</v>
      </c>
      <c r="E3612" s="1399">
        <v>1392153.93</v>
      </c>
      <c r="I3612" s="1399">
        <v>1392153.93</v>
      </c>
    </row>
    <row r="3613" spans="2:9">
      <c r="B3613" s="1297"/>
      <c r="C3613" s="1297"/>
      <c r="D3613" s="1297" t="s">
        <v>947</v>
      </c>
      <c r="E3613" s="1399">
        <v>110132.08</v>
      </c>
      <c r="I3613" s="1399">
        <v>110132.08</v>
      </c>
    </row>
    <row r="3614" spans="2:9">
      <c r="B3614" s="1297"/>
      <c r="C3614" s="1297"/>
      <c r="D3614" s="1297" t="s">
        <v>1115</v>
      </c>
      <c r="E3614" s="1399">
        <v>41101.81</v>
      </c>
      <c r="I3614" s="1399">
        <v>41101.81</v>
      </c>
    </row>
    <row r="3615" spans="2:9">
      <c r="B3615" s="1297"/>
      <c r="C3615" s="1297"/>
      <c r="D3615" s="1297" t="s">
        <v>948</v>
      </c>
      <c r="G3615" s="1399">
        <v>3485838.63</v>
      </c>
      <c r="I3615" s="1399">
        <v>3485838.63</v>
      </c>
    </row>
    <row r="3616" spans="2:9">
      <c r="B3616" s="1297"/>
      <c r="C3616" s="1297"/>
      <c r="D3616" s="1297" t="s">
        <v>1118</v>
      </c>
      <c r="G3616" s="1399">
        <v>651.38</v>
      </c>
      <c r="I3616" s="1399">
        <v>651.38</v>
      </c>
    </row>
    <row r="3617" spans="2:9">
      <c r="B3617" s="1297"/>
      <c r="C3617" s="1297"/>
      <c r="D3617" s="1297" t="s">
        <v>1051</v>
      </c>
      <c r="G3617" s="1399">
        <v>755118.27</v>
      </c>
      <c r="I3617" s="1399">
        <v>755118.27</v>
      </c>
    </row>
    <row r="3618" spans="2:9">
      <c r="B3618" s="1297"/>
      <c r="C3618" s="1400" t="s">
        <v>1231</v>
      </c>
      <c r="D3618" s="1400"/>
      <c r="E3618" s="1401">
        <v>4981604.8099999987</v>
      </c>
      <c r="F3618" s="1401">
        <v>19182373.480000004</v>
      </c>
      <c r="G3618" s="1401">
        <v>4241608.2799999993</v>
      </c>
      <c r="H3618" s="1401">
        <v>14930438.01</v>
      </c>
      <c r="I3618" s="1401">
        <v>43336024.580000013</v>
      </c>
    </row>
    <row r="3619" spans="2:9">
      <c r="B3619" s="1297" t="s">
        <v>1232</v>
      </c>
      <c r="C3619" s="1297" t="s">
        <v>1233</v>
      </c>
      <c r="D3619" s="1297" t="s">
        <v>906</v>
      </c>
      <c r="F3619" s="1399">
        <v>5745760.7200000007</v>
      </c>
      <c r="I3619" s="1399">
        <v>5745760.7200000007</v>
      </c>
    </row>
    <row r="3620" spans="2:9">
      <c r="B3620" s="1297"/>
      <c r="C3620" s="1297"/>
      <c r="D3620" s="1297" t="s">
        <v>952</v>
      </c>
      <c r="F3620" s="1399">
        <v>47387.72</v>
      </c>
      <c r="I3620" s="1399">
        <v>47387.72</v>
      </c>
    </row>
    <row r="3621" spans="2:9">
      <c r="B3621" s="1297"/>
      <c r="C3621" s="1297"/>
      <c r="D3621" s="1297" t="s">
        <v>907</v>
      </c>
      <c r="F3621" s="1399">
        <v>1307347.3600000001</v>
      </c>
      <c r="I3621" s="1399">
        <v>1307347.3600000001</v>
      </c>
    </row>
    <row r="3622" spans="2:9">
      <c r="B3622" s="1297"/>
      <c r="C3622" s="1297"/>
      <c r="D3622" s="1297" t="s">
        <v>908</v>
      </c>
      <c r="F3622" s="1399">
        <v>32917.199999999997</v>
      </c>
      <c r="I3622" s="1399">
        <v>32917.199999999997</v>
      </c>
    </row>
    <row r="3623" spans="2:9">
      <c r="B3623" s="1297"/>
      <c r="C3623" s="1297"/>
      <c r="D3623" s="1297" t="s">
        <v>909</v>
      </c>
      <c r="F3623" s="1399">
        <v>9300.49</v>
      </c>
      <c r="I3623" s="1399">
        <v>9300.49</v>
      </c>
    </row>
    <row r="3624" spans="2:9">
      <c r="B3624" s="1297"/>
      <c r="C3624" s="1297"/>
      <c r="D3624" s="1297" t="s">
        <v>910</v>
      </c>
      <c r="F3624" s="1399">
        <v>8774.2900000000009</v>
      </c>
      <c r="I3624" s="1399">
        <v>8774.2900000000009</v>
      </c>
    </row>
    <row r="3625" spans="2:9">
      <c r="B3625" s="1297"/>
      <c r="C3625" s="1297"/>
      <c r="D3625" s="1297" t="s">
        <v>1034</v>
      </c>
      <c r="F3625" s="1399">
        <v>46311.990000000005</v>
      </c>
      <c r="I3625" s="1399">
        <v>46311.990000000005</v>
      </c>
    </row>
    <row r="3626" spans="2:9">
      <c r="B3626" s="1297"/>
      <c r="C3626" s="1297"/>
      <c r="D3626" s="1297" t="s">
        <v>1035</v>
      </c>
      <c r="F3626" s="1399">
        <v>182015.17</v>
      </c>
      <c r="I3626" s="1399">
        <v>182015.17</v>
      </c>
    </row>
    <row r="3627" spans="2:9">
      <c r="B3627" s="1297"/>
      <c r="C3627" s="1297"/>
      <c r="D3627" s="1297" t="s">
        <v>1036</v>
      </c>
      <c r="F3627" s="1399">
        <v>44736.11</v>
      </c>
      <c r="I3627" s="1399">
        <v>44736.11</v>
      </c>
    </row>
    <row r="3628" spans="2:9">
      <c r="B3628" s="1297"/>
      <c r="C3628" s="1297"/>
      <c r="D3628" s="1297" t="s">
        <v>1039</v>
      </c>
      <c r="F3628" s="1399">
        <v>10248.74</v>
      </c>
      <c r="I3628" s="1399">
        <v>10248.74</v>
      </c>
    </row>
    <row r="3629" spans="2:9">
      <c r="B3629" s="1297"/>
      <c r="C3629" s="1297"/>
      <c r="D3629" s="1297" t="s">
        <v>1041</v>
      </c>
      <c r="F3629" s="1399">
        <v>567.5</v>
      </c>
      <c r="I3629" s="1399">
        <v>567.5</v>
      </c>
    </row>
    <row r="3630" spans="2:9">
      <c r="B3630" s="1297"/>
      <c r="C3630" s="1297"/>
      <c r="D3630" s="1297" t="s">
        <v>1042</v>
      </c>
      <c r="F3630" s="1399">
        <v>20756</v>
      </c>
      <c r="I3630" s="1399">
        <v>20756</v>
      </c>
    </row>
    <row r="3631" spans="2:9">
      <c r="B3631" s="1297"/>
      <c r="C3631" s="1297"/>
      <c r="D3631" s="1297" t="s">
        <v>1044</v>
      </c>
      <c r="F3631" s="1399">
        <v>32111.29</v>
      </c>
      <c r="I3631" s="1399">
        <v>32111.29</v>
      </c>
    </row>
    <row r="3632" spans="2:9">
      <c r="B3632" s="1297"/>
      <c r="C3632" s="1297"/>
      <c r="D3632" s="1297" t="s">
        <v>1045</v>
      </c>
      <c r="F3632" s="1399">
        <v>50287.49</v>
      </c>
      <c r="I3632" s="1399">
        <v>50287.49</v>
      </c>
    </row>
    <row r="3633" spans="2:9">
      <c r="B3633" s="1297"/>
      <c r="C3633" s="1297"/>
      <c r="D3633" s="1297" t="s">
        <v>1046</v>
      </c>
      <c r="H3633" s="1399">
        <v>8347975</v>
      </c>
      <c r="I3633" s="1399">
        <v>8347975</v>
      </c>
    </row>
    <row r="3634" spans="2:9">
      <c r="B3634" s="1297"/>
      <c r="C3634" s="1297"/>
      <c r="D3634" s="1297" t="s">
        <v>1047</v>
      </c>
      <c r="H3634" s="1399">
        <v>445330</v>
      </c>
      <c r="I3634" s="1399">
        <v>445330</v>
      </c>
    </row>
    <row r="3635" spans="2:9">
      <c r="B3635" s="1297"/>
      <c r="C3635" s="1297"/>
      <c r="D3635" s="1297" t="s">
        <v>1048</v>
      </c>
      <c r="H3635" s="1399">
        <v>-1418574</v>
      </c>
      <c r="I3635" s="1399">
        <v>-1418574</v>
      </c>
    </row>
    <row r="3636" spans="2:9">
      <c r="B3636" s="1297"/>
      <c r="C3636" s="1297"/>
      <c r="D3636" s="1297" t="s">
        <v>932</v>
      </c>
      <c r="H3636" s="1399">
        <v>763665</v>
      </c>
      <c r="I3636" s="1399">
        <v>763665</v>
      </c>
    </row>
    <row r="3637" spans="2:9">
      <c r="B3637" s="1297"/>
      <c r="C3637" s="1297"/>
      <c r="D3637" s="1297" t="s">
        <v>955</v>
      </c>
      <c r="H3637" s="1399">
        <v>356527.9</v>
      </c>
      <c r="I3637" s="1399">
        <v>356527.9</v>
      </c>
    </row>
    <row r="3638" spans="2:9">
      <c r="B3638" s="1297"/>
      <c r="C3638" s="1297"/>
      <c r="D3638" s="1297" t="s">
        <v>934</v>
      </c>
      <c r="H3638" s="1399">
        <v>34202</v>
      </c>
      <c r="I3638" s="1399">
        <v>34202</v>
      </c>
    </row>
    <row r="3639" spans="2:9">
      <c r="B3639" s="1297"/>
      <c r="C3639" s="1297"/>
      <c r="D3639" s="1297" t="s">
        <v>935</v>
      </c>
      <c r="H3639" s="1399">
        <v>296724.32999999996</v>
      </c>
      <c r="I3639" s="1399">
        <v>296724.32999999996</v>
      </c>
    </row>
    <row r="3640" spans="2:9">
      <c r="B3640" s="1297"/>
      <c r="C3640" s="1297"/>
      <c r="D3640" s="1297" t="s">
        <v>936</v>
      </c>
      <c r="H3640" s="1399">
        <v>40967.61</v>
      </c>
      <c r="I3640" s="1399">
        <v>40967.61</v>
      </c>
    </row>
    <row r="3641" spans="2:9">
      <c r="B3641" s="1297"/>
      <c r="C3641" s="1297"/>
      <c r="D3641" s="1297" t="s">
        <v>937</v>
      </c>
      <c r="H3641" s="1399">
        <v>19310.98</v>
      </c>
      <c r="I3641" s="1399">
        <v>19310.98</v>
      </c>
    </row>
    <row r="3642" spans="2:9">
      <c r="B3642" s="1297"/>
      <c r="C3642" s="1297"/>
      <c r="D3642" s="1297" t="s">
        <v>938</v>
      </c>
      <c r="H3642" s="1399">
        <v>13475</v>
      </c>
      <c r="I3642" s="1399">
        <v>13475</v>
      </c>
    </row>
    <row r="3643" spans="2:9">
      <c r="B3643" s="1297"/>
      <c r="C3643" s="1297"/>
      <c r="D3643" s="1297" t="s">
        <v>1131</v>
      </c>
      <c r="E3643" s="1399">
        <v>56485.08</v>
      </c>
      <c r="I3643" s="1399">
        <v>56485.08</v>
      </c>
    </row>
    <row r="3644" spans="2:9">
      <c r="B3644" s="1297"/>
      <c r="C3644" s="1297"/>
      <c r="D3644" s="1297" t="s">
        <v>940</v>
      </c>
      <c r="E3644" s="1399">
        <v>657568.74</v>
      </c>
      <c r="I3644" s="1399">
        <v>657568.74</v>
      </c>
    </row>
    <row r="3645" spans="2:9">
      <c r="B3645" s="1297"/>
      <c r="C3645" s="1297"/>
      <c r="D3645" s="1297" t="s">
        <v>941</v>
      </c>
      <c r="E3645" s="1399">
        <v>297872.2</v>
      </c>
      <c r="I3645" s="1399">
        <v>297872.2</v>
      </c>
    </row>
    <row r="3646" spans="2:9">
      <c r="B3646" s="1297"/>
      <c r="C3646" s="1297"/>
      <c r="D3646" s="1297" t="s">
        <v>943</v>
      </c>
      <c r="E3646" s="1399">
        <v>9474.9599999999991</v>
      </c>
      <c r="I3646" s="1399">
        <v>9474.9599999999991</v>
      </c>
    </row>
    <row r="3647" spans="2:9">
      <c r="B3647" s="1297"/>
      <c r="C3647" s="1297"/>
      <c r="D3647" s="1297" t="s">
        <v>944</v>
      </c>
      <c r="E3647" s="1399">
        <v>2663893.9699999997</v>
      </c>
      <c r="I3647" s="1399">
        <v>2663893.9699999997</v>
      </c>
    </row>
    <row r="3648" spans="2:9">
      <c r="B3648" s="1297"/>
      <c r="C3648" s="1297"/>
      <c r="D3648" s="1297" t="s">
        <v>945</v>
      </c>
      <c r="E3648" s="1399">
        <v>960973.76</v>
      </c>
      <c r="I3648" s="1399">
        <v>960973.76</v>
      </c>
    </row>
    <row r="3649" spans="2:9">
      <c r="B3649" s="1297"/>
      <c r="C3649" s="1297"/>
      <c r="D3649" s="1297" t="s">
        <v>946</v>
      </c>
      <c r="E3649" s="1399">
        <v>1746.97</v>
      </c>
      <c r="I3649" s="1399">
        <v>1746.97</v>
      </c>
    </row>
    <row r="3650" spans="2:9">
      <c r="B3650" s="1297"/>
      <c r="C3650" s="1297"/>
      <c r="D3650" s="1297" t="s">
        <v>1006</v>
      </c>
      <c r="E3650" s="1399">
        <v>9395.2199999999993</v>
      </c>
      <c r="I3650" s="1399">
        <v>9395.2199999999993</v>
      </c>
    </row>
    <row r="3651" spans="2:9">
      <c r="B3651" s="1297"/>
      <c r="C3651" s="1297"/>
      <c r="D3651" s="1297" t="s">
        <v>947</v>
      </c>
      <c r="E3651" s="1399">
        <v>61473.03</v>
      </c>
      <c r="I3651" s="1399">
        <v>61473.03</v>
      </c>
    </row>
    <row r="3652" spans="2:9">
      <c r="B3652" s="1297"/>
      <c r="C3652" s="1297"/>
      <c r="D3652" s="1297" t="s">
        <v>948</v>
      </c>
      <c r="G3652" s="1399">
        <v>186910.27000000002</v>
      </c>
      <c r="I3652" s="1399">
        <v>186910.27000000002</v>
      </c>
    </row>
    <row r="3653" spans="2:9">
      <c r="B3653" s="1297"/>
      <c r="C3653" s="1297"/>
      <c r="D3653" s="1297" t="s">
        <v>956</v>
      </c>
      <c r="G3653" s="1399">
        <v>5959</v>
      </c>
      <c r="I3653" s="1399">
        <v>5959</v>
      </c>
    </row>
    <row r="3654" spans="2:9">
      <c r="B3654" s="1297"/>
      <c r="C3654" s="1400" t="s">
        <v>1234</v>
      </c>
      <c r="D3654" s="1400"/>
      <c r="E3654" s="1401">
        <v>4718883.93</v>
      </c>
      <c r="F3654" s="1401">
        <v>7538522.0700000022</v>
      </c>
      <c r="G3654" s="1401">
        <v>192869.27000000002</v>
      </c>
      <c r="H3654" s="1401">
        <v>8899603.8200000003</v>
      </c>
      <c r="I3654" s="1401">
        <v>21349879.09</v>
      </c>
    </row>
    <row r="3655" spans="2:9">
      <c r="B3655" s="1297" t="s">
        <v>1235</v>
      </c>
      <c r="C3655" s="1297" t="s">
        <v>1236</v>
      </c>
      <c r="D3655" s="1297" t="s">
        <v>906</v>
      </c>
      <c r="F3655" s="1399">
        <v>12053582.26</v>
      </c>
      <c r="I3655" s="1399">
        <v>12053582.26</v>
      </c>
    </row>
    <row r="3656" spans="2:9">
      <c r="B3656" s="1297"/>
      <c r="C3656" s="1297"/>
      <c r="D3656" s="1297" t="s">
        <v>952</v>
      </c>
      <c r="F3656" s="1399">
        <v>121551.67999999999</v>
      </c>
      <c r="I3656" s="1399">
        <v>121551.67999999999</v>
      </c>
    </row>
    <row r="3657" spans="2:9">
      <c r="B3657" s="1297"/>
      <c r="C3657" s="1297"/>
      <c r="D3657" s="1297" t="s">
        <v>907</v>
      </c>
      <c r="F3657" s="1399">
        <v>1959242.78</v>
      </c>
      <c r="I3657" s="1399">
        <v>1959242.78</v>
      </c>
    </row>
    <row r="3658" spans="2:9">
      <c r="B3658" s="1297"/>
      <c r="C3658" s="1297"/>
      <c r="D3658" s="1297" t="s">
        <v>908</v>
      </c>
      <c r="F3658" s="1399">
        <v>16083.55</v>
      </c>
      <c r="I3658" s="1399">
        <v>16083.55</v>
      </c>
    </row>
    <row r="3659" spans="2:9">
      <c r="B3659" s="1297"/>
      <c r="C3659" s="1297"/>
      <c r="D3659" s="1297" t="s">
        <v>909</v>
      </c>
      <c r="F3659" s="1399">
        <v>8227.2000000000007</v>
      </c>
      <c r="I3659" s="1399">
        <v>8227.2000000000007</v>
      </c>
    </row>
    <row r="3660" spans="2:9">
      <c r="B3660" s="1297"/>
      <c r="C3660" s="1297"/>
      <c r="D3660" s="1297" t="s">
        <v>910</v>
      </c>
      <c r="F3660" s="1399">
        <v>35206.65</v>
      </c>
      <c r="I3660" s="1399">
        <v>35206.65</v>
      </c>
    </row>
    <row r="3661" spans="2:9">
      <c r="B3661" s="1297"/>
      <c r="C3661" s="1297"/>
      <c r="D3661" s="1297" t="s">
        <v>1034</v>
      </c>
      <c r="F3661" s="1399">
        <v>89340.940000000017</v>
      </c>
      <c r="I3661" s="1399">
        <v>89340.940000000017</v>
      </c>
    </row>
    <row r="3662" spans="2:9">
      <c r="B3662" s="1297"/>
      <c r="C3662" s="1297"/>
      <c r="D3662" s="1297" t="s">
        <v>1035</v>
      </c>
      <c r="F3662" s="1399">
        <v>352220.65</v>
      </c>
      <c r="I3662" s="1399">
        <v>352220.65</v>
      </c>
    </row>
    <row r="3663" spans="2:9">
      <c r="B3663" s="1297"/>
      <c r="C3663" s="1297"/>
      <c r="D3663" s="1297" t="s">
        <v>1036</v>
      </c>
      <c r="F3663" s="1399">
        <v>99581.25</v>
      </c>
      <c r="I3663" s="1399">
        <v>99581.25</v>
      </c>
    </row>
    <row r="3664" spans="2:9">
      <c r="B3664" s="1297"/>
      <c r="C3664" s="1297"/>
      <c r="D3664" s="1297" t="s">
        <v>1039</v>
      </c>
      <c r="F3664" s="1399">
        <v>108481.87</v>
      </c>
      <c r="I3664" s="1399">
        <v>108481.87</v>
      </c>
    </row>
    <row r="3665" spans="2:9">
      <c r="B3665" s="1297"/>
      <c r="C3665" s="1297"/>
      <c r="D3665" s="1297" t="s">
        <v>1040</v>
      </c>
      <c r="F3665" s="1399">
        <v>471988.30000000005</v>
      </c>
      <c r="I3665" s="1399">
        <v>471988.30000000005</v>
      </c>
    </row>
    <row r="3666" spans="2:9">
      <c r="B3666" s="1297"/>
      <c r="C3666" s="1297"/>
      <c r="D3666" s="1297" t="s">
        <v>1041</v>
      </c>
      <c r="F3666" s="1399">
        <v>80054.45</v>
      </c>
      <c r="I3666" s="1399">
        <v>80054.45</v>
      </c>
    </row>
    <row r="3667" spans="2:9">
      <c r="B3667" s="1297"/>
      <c r="C3667" s="1297"/>
      <c r="D3667" s="1297" t="s">
        <v>1042</v>
      </c>
      <c r="F3667" s="1399">
        <v>77299.23</v>
      </c>
      <c r="I3667" s="1399">
        <v>77299.23</v>
      </c>
    </row>
    <row r="3668" spans="2:9">
      <c r="B3668" s="1297"/>
      <c r="C3668" s="1297"/>
      <c r="D3668" s="1297" t="s">
        <v>954</v>
      </c>
      <c r="F3668" s="1399">
        <v>527431.59</v>
      </c>
      <c r="I3668" s="1399">
        <v>527431.59</v>
      </c>
    </row>
    <row r="3669" spans="2:9">
      <c r="B3669" s="1297"/>
      <c r="C3669" s="1297"/>
      <c r="D3669" s="1297" t="s">
        <v>985</v>
      </c>
      <c r="F3669" s="1399">
        <v>211337.36999999997</v>
      </c>
      <c r="I3669" s="1399">
        <v>211337.36999999997</v>
      </c>
    </row>
    <row r="3670" spans="2:9">
      <c r="B3670" s="1297"/>
      <c r="C3670" s="1297"/>
      <c r="D3670" s="1297" t="s">
        <v>986</v>
      </c>
      <c r="F3670" s="1399">
        <v>450114.13</v>
      </c>
      <c r="I3670" s="1399">
        <v>450114.13</v>
      </c>
    </row>
    <row r="3671" spans="2:9">
      <c r="B3671" s="1297"/>
      <c r="C3671" s="1297"/>
      <c r="D3671" s="1297" t="s">
        <v>1044</v>
      </c>
      <c r="F3671" s="1399">
        <v>54076.62</v>
      </c>
      <c r="I3671" s="1399">
        <v>54076.62</v>
      </c>
    </row>
    <row r="3672" spans="2:9">
      <c r="B3672" s="1297"/>
      <c r="C3672" s="1297"/>
      <c r="D3672" s="1297" t="s">
        <v>1045</v>
      </c>
      <c r="F3672" s="1399">
        <v>511689.35</v>
      </c>
      <c r="I3672" s="1399">
        <v>511689.35</v>
      </c>
    </row>
    <row r="3673" spans="2:9">
      <c r="B3673" s="1297"/>
      <c r="C3673" s="1297"/>
      <c r="D3673" s="1297" t="s">
        <v>1046</v>
      </c>
      <c r="H3673" s="1399">
        <v>26671809</v>
      </c>
      <c r="I3673" s="1399">
        <v>26671809</v>
      </c>
    </row>
    <row r="3674" spans="2:9">
      <c r="B3674" s="1297"/>
      <c r="C3674" s="1297"/>
      <c r="D3674" s="1297" t="s">
        <v>1128</v>
      </c>
      <c r="H3674" s="1399">
        <v>2068554</v>
      </c>
      <c r="I3674" s="1399">
        <v>2068554</v>
      </c>
    </row>
    <row r="3675" spans="2:9">
      <c r="B3675" s="1297"/>
      <c r="C3675" s="1297"/>
      <c r="D3675" s="1297" t="s">
        <v>1129</v>
      </c>
      <c r="H3675" s="1399">
        <v>-3738303</v>
      </c>
      <c r="I3675" s="1399">
        <v>-3738303</v>
      </c>
    </row>
    <row r="3676" spans="2:9">
      <c r="B3676" s="1297"/>
      <c r="C3676" s="1297"/>
      <c r="D3676" s="1297" t="s">
        <v>1047</v>
      </c>
      <c r="H3676" s="1399">
        <v>826050</v>
      </c>
      <c r="I3676" s="1399">
        <v>826050</v>
      </c>
    </row>
    <row r="3677" spans="2:9">
      <c r="B3677" s="1297"/>
      <c r="C3677" s="1297"/>
      <c r="D3677" s="1297" t="s">
        <v>1048</v>
      </c>
      <c r="H3677" s="1399">
        <v>-2912527</v>
      </c>
      <c r="I3677" s="1399">
        <v>-2912527</v>
      </c>
    </row>
    <row r="3678" spans="2:9">
      <c r="B3678" s="1297"/>
      <c r="C3678" s="1297"/>
      <c r="D3678" s="1297" t="s">
        <v>932</v>
      </c>
      <c r="H3678" s="1399">
        <v>3753099</v>
      </c>
      <c r="I3678" s="1399">
        <v>3753099</v>
      </c>
    </row>
    <row r="3679" spans="2:9">
      <c r="B3679" s="1297"/>
      <c r="C3679" s="1297"/>
      <c r="D3679" s="1297" t="s">
        <v>934</v>
      </c>
      <c r="H3679" s="1399">
        <v>74406</v>
      </c>
      <c r="I3679" s="1399">
        <v>74406</v>
      </c>
    </row>
    <row r="3680" spans="2:9">
      <c r="B3680" s="1297"/>
      <c r="C3680" s="1297"/>
      <c r="D3680" s="1297" t="s">
        <v>935</v>
      </c>
      <c r="H3680" s="1399">
        <v>726932.22</v>
      </c>
      <c r="I3680" s="1399">
        <v>726932.22</v>
      </c>
    </row>
    <row r="3681" spans="2:9">
      <c r="B3681" s="1297"/>
      <c r="C3681" s="1297"/>
      <c r="D3681" s="1297" t="s">
        <v>936</v>
      </c>
      <c r="H3681" s="1399">
        <v>91739.44</v>
      </c>
      <c r="I3681" s="1399">
        <v>91739.44</v>
      </c>
    </row>
    <row r="3682" spans="2:9">
      <c r="B3682" s="1297"/>
      <c r="C3682" s="1297"/>
      <c r="D3682" s="1297" t="s">
        <v>937</v>
      </c>
      <c r="H3682" s="1399">
        <v>29095.06</v>
      </c>
      <c r="I3682" s="1399">
        <v>29095.06</v>
      </c>
    </row>
    <row r="3683" spans="2:9">
      <c r="B3683" s="1297"/>
      <c r="C3683" s="1297"/>
      <c r="D3683" s="1297" t="s">
        <v>938</v>
      </c>
      <c r="H3683" s="1399">
        <v>29010</v>
      </c>
      <c r="I3683" s="1399">
        <v>29010</v>
      </c>
    </row>
    <row r="3684" spans="2:9">
      <c r="B3684" s="1297"/>
      <c r="C3684" s="1297"/>
      <c r="D3684" s="1297" t="s">
        <v>939</v>
      </c>
      <c r="H3684" s="1399">
        <v>296047.09999999998</v>
      </c>
      <c r="I3684" s="1399">
        <v>296047.09999999998</v>
      </c>
    </row>
    <row r="3685" spans="2:9">
      <c r="B3685" s="1297"/>
      <c r="C3685" s="1297"/>
      <c r="D3685" s="1297" t="s">
        <v>940</v>
      </c>
      <c r="E3685" s="1399">
        <v>1172095.76</v>
      </c>
      <c r="I3685" s="1399">
        <v>1172095.76</v>
      </c>
    </row>
    <row r="3686" spans="2:9">
      <c r="B3686" s="1297"/>
      <c r="C3686" s="1297"/>
      <c r="D3686" s="1297" t="s">
        <v>941</v>
      </c>
      <c r="E3686" s="1399">
        <v>411702.4</v>
      </c>
      <c r="I3686" s="1399">
        <v>411702.4</v>
      </c>
    </row>
    <row r="3687" spans="2:9">
      <c r="B3687" s="1297"/>
      <c r="C3687" s="1297"/>
      <c r="D3687" s="1297" t="s">
        <v>943</v>
      </c>
      <c r="E3687" s="1399">
        <v>31232.44</v>
      </c>
      <c r="I3687" s="1399">
        <v>31232.44</v>
      </c>
    </row>
    <row r="3688" spans="2:9">
      <c r="B3688" s="1297"/>
      <c r="C3688" s="1297"/>
      <c r="D3688" s="1297" t="s">
        <v>944</v>
      </c>
      <c r="E3688" s="1399">
        <v>2552701.5399999996</v>
      </c>
      <c r="I3688" s="1399">
        <v>2552701.5399999996</v>
      </c>
    </row>
    <row r="3689" spans="2:9">
      <c r="B3689" s="1297"/>
      <c r="C3689" s="1297"/>
      <c r="D3689" s="1297" t="s">
        <v>945</v>
      </c>
      <c r="E3689" s="1399">
        <v>2043431.58</v>
      </c>
      <c r="I3689" s="1399">
        <v>2043431.58</v>
      </c>
    </row>
    <row r="3690" spans="2:9">
      <c r="B3690" s="1297"/>
      <c r="C3690" s="1297"/>
      <c r="D3690" s="1297" t="s">
        <v>947</v>
      </c>
      <c r="E3690" s="1399">
        <v>63099.819999999992</v>
      </c>
      <c r="I3690" s="1399">
        <v>63099.819999999992</v>
      </c>
    </row>
    <row r="3691" spans="2:9">
      <c r="B3691" s="1297"/>
      <c r="C3691" s="1297"/>
      <c r="D3691" s="1297" t="s">
        <v>948</v>
      </c>
      <c r="G3691" s="1399">
        <v>827505.55</v>
      </c>
      <c r="I3691" s="1399">
        <v>827505.55</v>
      </c>
    </row>
    <row r="3692" spans="2:9">
      <c r="B3692" s="1297"/>
      <c r="C3692" s="1400" t="s">
        <v>1237</v>
      </c>
      <c r="D3692" s="1400"/>
      <c r="E3692" s="1401">
        <v>6274263.54</v>
      </c>
      <c r="F3692" s="1401">
        <v>17227509.869999997</v>
      </c>
      <c r="G3692" s="1401">
        <v>827505.55</v>
      </c>
      <c r="H3692" s="1401">
        <v>27915911.82</v>
      </c>
      <c r="I3692" s="1401">
        <v>52245190.779999986</v>
      </c>
    </row>
    <row r="3693" spans="2:9">
      <c r="B3693" s="1297" t="s">
        <v>1238</v>
      </c>
      <c r="C3693" s="1297" t="s">
        <v>1239</v>
      </c>
      <c r="D3693" s="1297" t="s">
        <v>906</v>
      </c>
      <c r="F3693" s="1399">
        <v>3418730.67</v>
      </c>
      <c r="I3693" s="1399">
        <v>3418730.67</v>
      </c>
    </row>
    <row r="3694" spans="2:9">
      <c r="B3694" s="1297"/>
      <c r="C3694" s="1297"/>
      <c r="D3694" s="1297" t="s">
        <v>952</v>
      </c>
      <c r="F3694" s="1399">
        <v>26719.8</v>
      </c>
      <c r="I3694" s="1399">
        <v>26719.8</v>
      </c>
    </row>
    <row r="3695" spans="2:9">
      <c r="B3695" s="1297"/>
      <c r="C3695" s="1297"/>
      <c r="D3695" s="1297" t="s">
        <v>907</v>
      </c>
      <c r="F3695" s="1399">
        <v>474323</v>
      </c>
      <c r="I3695" s="1399">
        <v>474323</v>
      </c>
    </row>
    <row r="3696" spans="2:9">
      <c r="B3696" s="1297"/>
      <c r="C3696" s="1297"/>
      <c r="D3696" s="1297" t="s">
        <v>908</v>
      </c>
      <c r="F3696" s="1399">
        <v>11533.93</v>
      </c>
      <c r="I3696" s="1399">
        <v>11533.93</v>
      </c>
    </row>
    <row r="3697" spans="2:9">
      <c r="B3697" s="1297"/>
      <c r="C3697" s="1297"/>
      <c r="D3697" s="1297" t="s">
        <v>909</v>
      </c>
      <c r="F3697" s="1399">
        <v>24332.06</v>
      </c>
      <c r="I3697" s="1399">
        <v>24332.06</v>
      </c>
    </row>
    <row r="3698" spans="2:9">
      <c r="B3698" s="1297"/>
      <c r="C3698" s="1297"/>
      <c r="D3698" s="1297" t="s">
        <v>1034</v>
      </c>
      <c r="F3698" s="1399">
        <v>4173.8900000000003</v>
      </c>
      <c r="I3698" s="1399">
        <v>4173.8900000000003</v>
      </c>
    </row>
    <row r="3699" spans="2:9">
      <c r="B3699" s="1297"/>
      <c r="C3699" s="1297"/>
      <c r="D3699" s="1297" t="s">
        <v>1035</v>
      </c>
      <c r="F3699" s="1399">
        <v>362283.68</v>
      </c>
      <c r="I3699" s="1399">
        <v>362283.68</v>
      </c>
    </row>
    <row r="3700" spans="2:9">
      <c r="B3700" s="1297"/>
      <c r="C3700" s="1297"/>
      <c r="D3700" s="1297" t="s">
        <v>1037</v>
      </c>
      <c r="F3700" s="1399">
        <v>22921.23</v>
      </c>
      <c r="I3700" s="1399">
        <v>22921.23</v>
      </c>
    </row>
    <row r="3701" spans="2:9">
      <c r="B3701" s="1297"/>
      <c r="C3701" s="1297"/>
      <c r="D3701" s="1297" t="s">
        <v>1039</v>
      </c>
      <c r="F3701" s="1399">
        <v>4908.5899999999992</v>
      </c>
      <c r="I3701" s="1399">
        <v>4908.5899999999992</v>
      </c>
    </row>
    <row r="3702" spans="2:9">
      <c r="B3702" s="1297"/>
      <c r="C3702" s="1297"/>
      <c r="D3702" s="1297" t="s">
        <v>1040</v>
      </c>
      <c r="F3702" s="1399">
        <v>81384.399999999994</v>
      </c>
      <c r="I3702" s="1399">
        <v>81384.399999999994</v>
      </c>
    </row>
    <row r="3703" spans="2:9">
      <c r="B3703" s="1297"/>
      <c r="C3703" s="1297"/>
      <c r="D3703" s="1297" t="s">
        <v>1041</v>
      </c>
      <c r="F3703" s="1399">
        <v>8240.74</v>
      </c>
      <c r="I3703" s="1399">
        <v>8240.74</v>
      </c>
    </row>
    <row r="3704" spans="2:9">
      <c r="B3704" s="1297"/>
      <c r="C3704" s="1297"/>
      <c r="D3704" s="1297" t="s">
        <v>1042</v>
      </c>
      <c r="F3704" s="1399">
        <v>26511.37</v>
      </c>
      <c r="I3704" s="1399">
        <v>26511.37</v>
      </c>
    </row>
    <row r="3705" spans="2:9">
      <c r="B3705" s="1297"/>
      <c r="C3705" s="1297"/>
      <c r="D3705" s="1297" t="s">
        <v>1043</v>
      </c>
      <c r="F3705" s="1399">
        <v>28929.17</v>
      </c>
      <c r="I3705" s="1399">
        <v>28929.17</v>
      </c>
    </row>
    <row r="3706" spans="2:9">
      <c r="B3706" s="1297"/>
      <c r="C3706" s="1297"/>
      <c r="D3706" s="1297" t="s">
        <v>1044</v>
      </c>
      <c r="F3706" s="1399">
        <v>24063.77</v>
      </c>
      <c r="I3706" s="1399">
        <v>24063.77</v>
      </c>
    </row>
    <row r="3707" spans="2:9">
      <c r="B3707" s="1297"/>
      <c r="C3707" s="1297"/>
      <c r="D3707" s="1297" t="s">
        <v>1045</v>
      </c>
      <c r="F3707" s="1399">
        <v>61987.65</v>
      </c>
      <c r="I3707" s="1399">
        <v>61987.65</v>
      </c>
    </row>
    <row r="3708" spans="2:9">
      <c r="B3708" s="1297"/>
      <c r="C3708" s="1297"/>
      <c r="D3708" s="1297" t="s">
        <v>1046</v>
      </c>
      <c r="H3708" s="1399">
        <v>5964683</v>
      </c>
      <c r="I3708" s="1399">
        <v>5964683</v>
      </c>
    </row>
    <row r="3709" spans="2:9">
      <c r="B3709" s="1297"/>
      <c r="C3709" s="1297"/>
      <c r="D3709" s="1297" t="s">
        <v>1128</v>
      </c>
      <c r="H3709" s="1399">
        <v>557950</v>
      </c>
      <c r="I3709" s="1399">
        <v>557950</v>
      </c>
    </row>
    <row r="3710" spans="2:9">
      <c r="B3710" s="1297"/>
      <c r="C3710" s="1297"/>
      <c r="D3710" s="1297" t="s">
        <v>1047</v>
      </c>
      <c r="H3710" s="1399">
        <v>395822</v>
      </c>
      <c r="I3710" s="1399">
        <v>395822</v>
      </c>
    </row>
    <row r="3711" spans="2:9">
      <c r="B3711" s="1297"/>
      <c r="C3711" s="1297"/>
      <c r="D3711" s="1297" t="s">
        <v>1048</v>
      </c>
      <c r="H3711" s="1399">
        <v>-1024280</v>
      </c>
      <c r="I3711" s="1399">
        <v>-1024280</v>
      </c>
    </row>
    <row r="3712" spans="2:9">
      <c r="B3712" s="1297"/>
      <c r="C3712" s="1297"/>
      <c r="D3712" s="1297" t="s">
        <v>932</v>
      </c>
      <c r="H3712" s="1399">
        <v>492656</v>
      </c>
      <c r="I3712" s="1399">
        <v>492656</v>
      </c>
    </row>
    <row r="3713" spans="2:9">
      <c r="B3713" s="1297"/>
      <c r="C3713" s="1297"/>
      <c r="D3713" s="1297" t="s">
        <v>955</v>
      </c>
      <c r="H3713" s="1399">
        <v>257661.04</v>
      </c>
      <c r="I3713" s="1399">
        <v>257661.04</v>
      </c>
    </row>
    <row r="3714" spans="2:9">
      <c r="B3714" s="1297"/>
      <c r="C3714" s="1297"/>
      <c r="D3714" s="1297" t="s">
        <v>934</v>
      </c>
      <c r="H3714" s="1399">
        <v>24388</v>
      </c>
      <c r="I3714" s="1399">
        <v>24388</v>
      </c>
    </row>
    <row r="3715" spans="2:9">
      <c r="B3715" s="1297"/>
      <c r="C3715" s="1297"/>
      <c r="D3715" s="1297" t="s">
        <v>1130</v>
      </c>
      <c r="H3715" s="1399">
        <v>4139655.9</v>
      </c>
      <c r="I3715" s="1399">
        <v>4139655.9</v>
      </c>
    </row>
    <row r="3716" spans="2:9">
      <c r="B3716" s="1297"/>
      <c r="C3716" s="1297"/>
      <c r="D3716" s="1297" t="s">
        <v>935</v>
      </c>
      <c r="H3716" s="1399">
        <v>238804.72</v>
      </c>
      <c r="I3716" s="1399">
        <v>238804.72</v>
      </c>
    </row>
    <row r="3717" spans="2:9">
      <c r="B3717" s="1297"/>
      <c r="C3717" s="1297"/>
      <c r="D3717" s="1297" t="s">
        <v>936</v>
      </c>
      <c r="H3717" s="1399">
        <v>28012.04</v>
      </c>
      <c r="I3717" s="1399">
        <v>28012.04</v>
      </c>
    </row>
    <row r="3718" spans="2:9">
      <c r="B3718" s="1297"/>
      <c r="C3718" s="1297"/>
      <c r="D3718" s="1297" t="s">
        <v>938</v>
      </c>
      <c r="H3718" s="1399">
        <v>7299</v>
      </c>
      <c r="I3718" s="1399">
        <v>7299</v>
      </c>
    </row>
    <row r="3719" spans="2:9">
      <c r="B3719" s="1297"/>
      <c r="C3719" s="1297"/>
      <c r="D3719" s="1297" t="s">
        <v>940</v>
      </c>
      <c r="E3719" s="1399">
        <v>408041.88</v>
      </c>
      <c r="I3719" s="1399">
        <v>408041.88</v>
      </c>
    </row>
    <row r="3720" spans="2:9">
      <c r="B3720" s="1297"/>
      <c r="C3720" s="1297"/>
      <c r="D3720" s="1297" t="s">
        <v>941</v>
      </c>
      <c r="E3720" s="1399">
        <v>189058.72</v>
      </c>
      <c r="I3720" s="1399">
        <v>189058.72</v>
      </c>
    </row>
    <row r="3721" spans="2:9">
      <c r="B3721" s="1297"/>
      <c r="C3721" s="1297"/>
      <c r="D3721" s="1297" t="s">
        <v>943</v>
      </c>
      <c r="E3721" s="1399">
        <v>2629.22</v>
      </c>
      <c r="I3721" s="1399">
        <v>2629.22</v>
      </c>
    </row>
    <row r="3722" spans="2:9">
      <c r="B3722" s="1297"/>
      <c r="C3722" s="1297"/>
      <c r="D3722" s="1297" t="s">
        <v>944</v>
      </c>
      <c r="E3722" s="1399">
        <v>1083076.5</v>
      </c>
      <c r="I3722" s="1399">
        <v>1083076.5</v>
      </c>
    </row>
    <row r="3723" spans="2:9">
      <c r="B3723" s="1297"/>
      <c r="C3723" s="1297"/>
      <c r="D3723" s="1297" t="s">
        <v>945</v>
      </c>
      <c r="E3723" s="1399">
        <v>433161.97</v>
      </c>
      <c r="I3723" s="1399">
        <v>433161.97</v>
      </c>
    </row>
    <row r="3724" spans="2:9">
      <c r="B3724" s="1297"/>
      <c r="C3724" s="1297"/>
      <c r="D3724" s="1297" t="s">
        <v>947</v>
      </c>
      <c r="E3724" s="1399">
        <v>35889.99</v>
      </c>
      <c r="I3724" s="1399">
        <v>35889.99</v>
      </c>
    </row>
    <row r="3725" spans="2:9">
      <c r="B3725" s="1297"/>
      <c r="C3725" s="1297"/>
      <c r="D3725" s="1297" t="s">
        <v>1115</v>
      </c>
      <c r="E3725" s="1399">
        <v>213347.59</v>
      </c>
      <c r="I3725" s="1399">
        <v>213347.59</v>
      </c>
    </row>
    <row r="3726" spans="2:9">
      <c r="B3726" s="1297"/>
      <c r="C3726" s="1297"/>
      <c r="D3726" s="1297" t="s">
        <v>1116</v>
      </c>
      <c r="G3726" s="1399">
        <v>16245000</v>
      </c>
      <c r="I3726" s="1399">
        <v>16245000</v>
      </c>
    </row>
    <row r="3727" spans="2:9">
      <c r="B3727" s="1297"/>
      <c r="C3727" s="1297"/>
      <c r="D3727" s="1297" t="s">
        <v>948</v>
      </c>
      <c r="G3727" s="1399">
        <v>1486594.08</v>
      </c>
      <c r="I3727" s="1399">
        <v>1486594.08</v>
      </c>
    </row>
    <row r="3728" spans="2:9">
      <c r="B3728" s="1297"/>
      <c r="C3728" s="1297"/>
      <c r="D3728" s="1297" t="s">
        <v>956</v>
      </c>
      <c r="G3728" s="1399">
        <v>2337.9</v>
      </c>
      <c r="I3728" s="1399">
        <v>2337.9</v>
      </c>
    </row>
    <row r="3729" spans="2:9">
      <c r="B3729" s="1297"/>
      <c r="C3729" s="1400" t="s">
        <v>1240</v>
      </c>
      <c r="D3729" s="1400"/>
      <c r="E3729" s="1401">
        <v>2365205.87</v>
      </c>
      <c r="F3729" s="1401">
        <v>4581043.9500000011</v>
      </c>
      <c r="G3729" s="1401">
        <v>17733931.979999997</v>
      </c>
      <c r="H3729" s="1401">
        <v>11082651.699999999</v>
      </c>
      <c r="I3729" s="1401">
        <v>35762833.499999993</v>
      </c>
    </row>
    <row r="3730" spans="2:9">
      <c r="B3730" s="1297" t="s">
        <v>1241</v>
      </c>
      <c r="C3730" s="1297" t="s">
        <v>1242</v>
      </c>
      <c r="D3730" s="1297" t="s">
        <v>906</v>
      </c>
      <c r="F3730" s="1399">
        <v>9860884.1899999995</v>
      </c>
      <c r="I3730" s="1399">
        <v>9860884.1899999995</v>
      </c>
    </row>
    <row r="3731" spans="2:9">
      <c r="B3731" s="1297"/>
      <c r="C3731" s="1297"/>
      <c r="D3731" s="1297" t="s">
        <v>952</v>
      </c>
      <c r="F3731" s="1399">
        <v>96086.86</v>
      </c>
      <c r="I3731" s="1399">
        <v>96086.86</v>
      </c>
    </row>
    <row r="3732" spans="2:9">
      <c r="B3732" s="1297"/>
      <c r="C3732" s="1297"/>
      <c r="D3732" s="1297" t="s">
        <v>907</v>
      </c>
      <c r="F3732" s="1399">
        <v>3509977.69</v>
      </c>
      <c r="I3732" s="1399">
        <v>3509977.69</v>
      </c>
    </row>
    <row r="3733" spans="2:9">
      <c r="B3733" s="1297"/>
      <c r="C3733" s="1297"/>
      <c r="D3733" s="1297" t="s">
        <v>909</v>
      </c>
      <c r="F3733" s="1399">
        <v>91552.459999999992</v>
      </c>
      <c r="I3733" s="1399">
        <v>91552.459999999992</v>
      </c>
    </row>
    <row r="3734" spans="2:9">
      <c r="B3734" s="1297"/>
      <c r="C3734" s="1297"/>
      <c r="D3734" s="1297" t="s">
        <v>910</v>
      </c>
      <c r="F3734" s="1399">
        <v>16001.160000000002</v>
      </c>
      <c r="I3734" s="1399">
        <v>16001.160000000002</v>
      </c>
    </row>
    <row r="3735" spans="2:9">
      <c r="B3735" s="1297"/>
      <c r="C3735" s="1297"/>
      <c r="D3735" s="1297" t="s">
        <v>1034</v>
      </c>
      <c r="F3735" s="1399">
        <v>79713.37000000001</v>
      </c>
      <c r="I3735" s="1399">
        <v>79713.37000000001</v>
      </c>
    </row>
    <row r="3736" spans="2:9">
      <c r="B3736" s="1297"/>
      <c r="C3736" s="1297"/>
      <c r="D3736" s="1297" t="s">
        <v>1035</v>
      </c>
      <c r="F3736" s="1399">
        <v>282412.12</v>
      </c>
      <c r="I3736" s="1399">
        <v>282412.12</v>
      </c>
    </row>
    <row r="3737" spans="2:9">
      <c r="B3737" s="1297"/>
      <c r="C3737" s="1297"/>
      <c r="D3737" s="1297" t="s">
        <v>1036</v>
      </c>
      <c r="F3737" s="1399">
        <v>100277.02</v>
      </c>
      <c r="I3737" s="1399">
        <v>100277.02</v>
      </c>
    </row>
    <row r="3738" spans="2:9">
      <c r="B3738" s="1297"/>
      <c r="C3738" s="1297"/>
      <c r="D3738" s="1297" t="s">
        <v>1037</v>
      </c>
      <c r="F3738" s="1399">
        <v>8886.7999999999993</v>
      </c>
      <c r="I3738" s="1399">
        <v>8886.7999999999993</v>
      </c>
    </row>
    <row r="3739" spans="2:9">
      <c r="B3739" s="1297"/>
      <c r="C3739" s="1297"/>
      <c r="D3739" s="1297" t="s">
        <v>1039</v>
      </c>
      <c r="F3739" s="1399">
        <v>66935.989999999991</v>
      </c>
      <c r="I3739" s="1399">
        <v>66935.989999999991</v>
      </c>
    </row>
    <row r="3740" spans="2:9">
      <c r="B3740" s="1297"/>
      <c r="C3740" s="1297"/>
      <c r="D3740" s="1297" t="s">
        <v>1040</v>
      </c>
      <c r="F3740" s="1399">
        <v>210006.69</v>
      </c>
      <c r="I3740" s="1399">
        <v>210006.69</v>
      </c>
    </row>
    <row r="3741" spans="2:9">
      <c r="B3741" s="1297"/>
      <c r="C3741" s="1297"/>
      <c r="D3741" s="1297" t="s">
        <v>1041</v>
      </c>
      <c r="F3741" s="1399">
        <v>25456.33</v>
      </c>
      <c r="I3741" s="1399">
        <v>25456.33</v>
      </c>
    </row>
    <row r="3742" spans="2:9">
      <c r="B3742" s="1297"/>
      <c r="C3742" s="1297"/>
      <c r="D3742" s="1297" t="s">
        <v>1042</v>
      </c>
      <c r="F3742" s="1399">
        <v>40693.300000000003</v>
      </c>
      <c r="I3742" s="1399">
        <v>40693.300000000003</v>
      </c>
    </row>
    <row r="3743" spans="2:9">
      <c r="B3743" s="1297"/>
      <c r="C3743" s="1297"/>
      <c r="D3743" s="1297" t="s">
        <v>954</v>
      </c>
      <c r="F3743" s="1399">
        <v>59854.679999999993</v>
      </c>
      <c r="I3743" s="1399">
        <v>59854.679999999993</v>
      </c>
    </row>
    <row r="3744" spans="2:9">
      <c r="B3744" s="1297"/>
      <c r="C3744" s="1297"/>
      <c r="D3744" s="1297" t="s">
        <v>1043</v>
      </c>
      <c r="F3744" s="1399">
        <v>3604.62</v>
      </c>
      <c r="I3744" s="1399">
        <v>3604.62</v>
      </c>
    </row>
    <row r="3745" spans="2:9">
      <c r="B3745" s="1297"/>
      <c r="C3745" s="1297"/>
      <c r="D3745" s="1297" t="s">
        <v>996</v>
      </c>
      <c r="F3745" s="1399">
        <v>48711.29</v>
      </c>
      <c r="I3745" s="1399">
        <v>48711.29</v>
      </c>
    </row>
    <row r="3746" spans="2:9">
      <c r="B3746" s="1297"/>
      <c r="C3746" s="1297"/>
      <c r="D3746" s="1297" t="s">
        <v>991</v>
      </c>
      <c r="F3746" s="1399">
        <v>1185</v>
      </c>
      <c r="I3746" s="1399">
        <v>1185</v>
      </c>
    </row>
    <row r="3747" spans="2:9">
      <c r="B3747" s="1297"/>
      <c r="C3747" s="1297"/>
      <c r="D3747" s="1297" t="s">
        <v>1045</v>
      </c>
      <c r="F3747" s="1399">
        <v>393405.28</v>
      </c>
      <c r="I3747" s="1399">
        <v>393405.28</v>
      </c>
    </row>
    <row r="3748" spans="2:9">
      <c r="B3748" s="1297"/>
      <c r="C3748" s="1297"/>
      <c r="D3748" s="1297" t="s">
        <v>1046</v>
      </c>
      <c r="H3748" s="1399">
        <v>21462448</v>
      </c>
      <c r="I3748" s="1399">
        <v>21462448</v>
      </c>
    </row>
    <row r="3749" spans="2:9">
      <c r="B3749" s="1297"/>
      <c r="C3749" s="1297"/>
      <c r="D3749" s="1297" t="s">
        <v>1128</v>
      </c>
      <c r="H3749" s="1399">
        <v>1743523</v>
      </c>
      <c r="I3749" s="1399">
        <v>1743523</v>
      </c>
    </row>
    <row r="3750" spans="2:9">
      <c r="B3750" s="1297"/>
      <c r="C3750" s="1297"/>
      <c r="D3750" s="1297" t="s">
        <v>1129</v>
      </c>
      <c r="H3750" s="1399">
        <v>-3046268</v>
      </c>
      <c r="I3750" s="1399">
        <v>-3046268</v>
      </c>
    </row>
    <row r="3751" spans="2:9">
      <c r="B3751" s="1297"/>
      <c r="C3751" s="1297"/>
      <c r="D3751" s="1297" t="s">
        <v>1047</v>
      </c>
      <c r="H3751" s="1399">
        <v>653070</v>
      </c>
      <c r="I3751" s="1399">
        <v>653070</v>
      </c>
    </row>
    <row r="3752" spans="2:9">
      <c r="B3752" s="1297"/>
      <c r="C3752" s="1297"/>
      <c r="D3752" s="1297" t="s">
        <v>1048</v>
      </c>
      <c r="H3752" s="1399">
        <v>-2587908</v>
      </c>
      <c r="I3752" s="1399">
        <v>-2587908</v>
      </c>
    </row>
    <row r="3753" spans="2:9">
      <c r="B3753" s="1297"/>
      <c r="C3753" s="1297"/>
      <c r="D3753" s="1297" t="s">
        <v>932</v>
      </c>
      <c r="H3753" s="1399">
        <v>2437314</v>
      </c>
      <c r="I3753" s="1399">
        <v>2437314</v>
      </c>
    </row>
    <row r="3754" spans="2:9">
      <c r="B3754" s="1297"/>
      <c r="C3754" s="1297"/>
      <c r="D3754" s="1297" t="s">
        <v>955</v>
      </c>
      <c r="H3754" s="1399">
        <v>673674.35</v>
      </c>
      <c r="I3754" s="1399">
        <v>673674.35</v>
      </c>
    </row>
    <row r="3755" spans="2:9">
      <c r="B3755" s="1297"/>
      <c r="C3755" s="1297"/>
      <c r="D3755" s="1297" t="s">
        <v>934</v>
      </c>
      <c r="H3755" s="1399">
        <v>62862</v>
      </c>
      <c r="I3755" s="1399">
        <v>62862</v>
      </c>
    </row>
    <row r="3756" spans="2:9">
      <c r="B3756" s="1297"/>
      <c r="C3756" s="1297"/>
      <c r="D3756" s="1297" t="s">
        <v>935</v>
      </c>
      <c r="H3756" s="1399">
        <v>413774.50000000006</v>
      </c>
      <c r="I3756" s="1399">
        <v>413774.50000000006</v>
      </c>
    </row>
    <row r="3757" spans="2:9">
      <c r="B3757" s="1297"/>
      <c r="C3757" s="1297"/>
      <c r="D3757" s="1297" t="s">
        <v>936</v>
      </c>
      <c r="H3757" s="1399">
        <v>78783.87</v>
      </c>
      <c r="I3757" s="1399">
        <v>78783.87</v>
      </c>
    </row>
    <row r="3758" spans="2:9">
      <c r="B3758" s="1297"/>
      <c r="C3758" s="1297"/>
      <c r="D3758" s="1297" t="s">
        <v>937</v>
      </c>
      <c r="H3758" s="1399">
        <v>21035.82</v>
      </c>
      <c r="I3758" s="1399">
        <v>21035.82</v>
      </c>
    </row>
    <row r="3759" spans="2:9">
      <c r="B3759" s="1297"/>
      <c r="C3759" s="1297"/>
      <c r="D3759" s="1297" t="s">
        <v>938</v>
      </c>
      <c r="H3759" s="1399">
        <v>22085</v>
      </c>
      <c r="I3759" s="1399">
        <v>22085</v>
      </c>
    </row>
    <row r="3760" spans="2:9">
      <c r="B3760" s="1297"/>
      <c r="C3760" s="1297"/>
      <c r="D3760" s="1297" t="s">
        <v>1131</v>
      </c>
      <c r="E3760" s="1399">
        <v>55109.95</v>
      </c>
      <c r="I3760" s="1399">
        <v>55109.95</v>
      </c>
    </row>
    <row r="3761" spans="2:9">
      <c r="B3761" s="1297"/>
      <c r="C3761" s="1297"/>
      <c r="D3761" s="1297" t="s">
        <v>940</v>
      </c>
      <c r="E3761" s="1399">
        <v>1206012.32</v>
      </c>
      <c r="I3761" s="1399">
        <v>1206012.32</v>
      </c>
    </row>
    <row r="3762" spans="2:9">
      <c r="B3762" s="1297"/>
      <c r="C3762" s="1297"/>
      <c r="D3762" s="1297" t="s">
        <v>941</v>
      </c>
      <c r="E3762" s="1399">
        <v>488362.86</v>
      </c>
      <c r="I3762" s="1399">
        <v>488362.86</v>
      </c>
    </row>
    <row r="3763" spans="2:9">
      <c r="B3763" s="1297"/>
      <c r="C3763" s="1297"/>
      <c r="D3763" s="1297" t="s">
        <v>943</v>
      </c>
      <c r="E3763" s="1399">
        <v>43248.56</v>
      </c>
      <c r="I3763" s="1399">
        <v>43248.56</v>
      </c>
    </row>
    <row r="3764" spans="2:9">
      <c r="B3764" s="1297"/>
      <c r="C3764" s="1297"/>
      <c r="D3764" s="1297" t="s">
        <v>944</v>
      </c>
      <c r="E3764" s="1399">
        <v>3013440.1700000009</v>
      </c>
      <c r="I3764" s="1399">
        <v>3013440.1700000009</v>
      </c>
    </row>
    <row r="3765" spans="2:9">
      <c r="B3765" s="1297"/>
      <c r="C3765" s="1297"/>
      <c r="D3765" s="1297" t="s">
        <v>945</v>
      </c>
      <c r="E3765" s="1399">
        <v>1148635.42</v>
      </c>
      <c r="I3765" s="1399">
        <v>1148635.42</v>
      </c>
    </row>
    <row r="3766" spans="2:9">
      <c r="B3766" s="1297"/>
      <c r="C3766" s="1297"/>
      <c r="D3766" s="1297" t="s">
        <v>947</v>
      </c>
      <c r="E3766" s="1399">
        <v>131364.54999999999</v>
      </c>
      <c r="I3766" s="1399">
        <v>131364.54999999999</v>
      </c>
    </row>
    <row r="3767" spans="2:9">
      <c r="B3767" s="1297"/>
      <c r="C3767" s="1297"/>
      <c r="D3767" s="1297" t="s">
        <v>948</v>
      </c>
      <c r="G3767" s="1399">
        <v>2496725.06</v>
      </c>
      <c r="I3767" s="1399">
        <v>2496725.06</v>
      </c>
    </row>
    <row r="3768" spans="2:9">
      <c r="B3768" s="1297"/>
      <c r="C3768" s="1297"/>
      <c r="D3768" s="1297" t="s">
        <v>1118</v>
      </c>
      <c r="G3768" s="1399">
        <v>2585.33</v>
      </c>
      <c r="I3768" s="1399">
        <v>2585.33</v>
      </c>
    </row>
    <row r="3769" spans="2:9">
      <c r="B3769" s="1297"/>
      <c r="C3769" s="1400" t="s">
        <v>1243</v>
      </c>
      <c r="D3769" s="1400"/>
      <c r="E3769" s="1401">
        <v>6086173.830000001</v>
      </c>
      <c r="F3769" s="1401">
        <v>14895644.849999996</v>
      </c>
      <c r="G3769" s="1401">
        <v>2499310.39</v>
      </c>
      <c r="H3769" s="1401">
        <v>21934394.540000003</v>
      </c>
      <c r="I3769" s="1401">
        <v>45415523.609999999</v>
      </c>
    </row>
    <row r="3770" spans="2:9">
      <c r="B3770" s="1297" t="s">
        <v>1244</v>
      </c>
      <c r="C3770" s="1297" t="s">
        <v>1245</v>
      </c>
      <c r="D3770" s="1297" t="s">
        <v>906</v>
      </c>
      <c r="F3770" s="1399">
        <v>7331137.3600000003</v>
      </c>
      <c r="I3770" s="1399">
        <v>7331137.3600000003</v>
      </c>
    </row>
    <row r="3771" spans="2:9">
      <c r="B3771" s="1297"/>
      <c r="C3771" s="1297"/>
      <c r="D3771" s="1297" t="s">
        <v>952</v>
      </c>
      <c r="F3771" s="1399">
        <v>68037.45</v>
      </c>
      <c r="I3771" s="1399">
        <v>68037.45</v>
      </c>
    </row>
    <row r="3772" spans="2:9">
      <c r="B3772" s="1297"/>
      <c r="C3772" s="1297"/>
      <c r="D3772" s="1297" t="s">
        <v>907</v>
      </c>
      <c r="F3772" s="1399">
        <v>1236856.97</v>
      </c>
      <c r="I3772" s="1399">
        <v>1236856.97</v>
      </c>
    </row>
    <row r="3773" spans="2:9">
      <c r="B3773" s="1297"/>
      <c r="C3773" s="1297"/>
      <c r="D3773" s="1297" t="s">
        <v>909</v>
      </c>
      <c r="F3773" s="1399">
        <v>6166</v>
      </c>
      <c r="I3773" s="1399">
        <v>6166</v>
      </c>
    </row>
    <row r="3774" spans="2:9">
      <c r="B3774" s="1297"/>
      <c r="C3774" s="1297"/>
      <c r="D3774" s="1297" t="s">
        <v>910</v>
      </c>
      <c r="F3774" s="1399">
        <v>10835.5</v>
      </c>
      <c r="I3774" s="1399">
        <v>10835.5</v>
      </c>
    </row>
    <row r="3775" spans="2:9">
      <c r="B3775" s="1297"/>
      <c r="C3775" s="1297"/>
      <c r="D3775" s="1297" t="s">
        <v>1034</v>
      </c>
      <c r="F3775" s="1399">
        <v>15102.62</v>
      </c>
      <c r="I3775" s="1399">
        <v>15102.62</v>
      </c>
    </row>
    <row r="3776" spans="2:9">
      <c r="B3776" s="1297"/>
      <c r="C3776" s="1297"/>
      <c r="D3776" s="1297" t="s">
        <v>1035</v>
      </c>
      <c r="F3776" s="1399">
        <v>55937.71</v>
      </c>
      <c r="I3776" s="1399">
        <v>55937.71</v>
      </c>
    </row>
    <row r="3777" spans="2:9">
      <c r="B3777" s="1297"/>
      <c r="C3777" s="1297"/>
      <c r="D3777" s="1297" t="s">
        <v>1036</v>
      </c>
      <c r="F3777" s="1399">
        <v>67367.59</v>
      </c>
      <c r="I3777" s="1399">
        <v>67367.59</v>
      </c>
    </row>
    <row r="3778" spans="2:9">
      <c r="B3778" s="1297"/>
      <c r="C3778" s="1297"/>
      <c r="D3778" s="1297" t="s">
        <v>1039</v>
      </c>
      <c r="F3778" s="1399">
        <v>7174.55</v>
      </c>
      <c r="I3778" s="1399">
        <v>7174.55</v>
      </c>
    </row>
    <row r="3779" spans="2:9">
      <c r="B3779" s="1297"/>
      <c r="C3779" s="1297"/>
      <c r="D3779" s="1297" t="s">
        <v>1040</v>
      </c>
      <c r="F3779" s="1399">
        <v>53374.13</v>
      </c>
      <c r="I3779" s="1399">
        <v>53374.13</v>
      </c>
    </row>
    <row r="3780" spans="2:9">
      <c r="B3780" s="1297"/>
      <c r="C3780" s="1297"/>
      <c r="D3780" s="1297" t="s">
        <v>1041</v>
      </c>
      <c r="F3780" s="1399">
        <v>4878.21</v>
      </c>
      <c r="I3780" s="1399">
        <v>4878.21</v>
      </c>
    </row>
    <row r="3781" spans="2:9">
      <c r="B3781" s="1297"/>
      <c r="C3781" s="1297"/>
      <c r="D3781" s="1297" t="s">
        <v>1042</v>
      </c>
      <c r="F3781" s="1399">
        <v>30248.65</v>
      </c>
      <c r="I3781" s="1399">
        <v>30248.65</v>
      </c>
    </row>
    <row r="3782" spans="2:9">
      <c r="B3782" s="1297"/>
      <c r="C3782" s="1297"/>
      <c r="D3782" s="1297" t="s">
        <v>1045</v>
      </c>
      <c r="F3782" s="1399">
        <v>471552.01999999996</v>
      </c>
      <c r="I3782" s="1399">
        <v>471552.01999999996</v>
      </c>
    </row>
    <row r="3783" spans="2:9">
      <c r="B3783" s="1297"/>
      <c r="C3783" s="1297"/>
      <c r="D3783" s="1297" t="s">
        <v>1046</v>
      </c>
      <c r="H3783" s="1399">
        <v>8045525</v>
      </c>
      <c r="I3783" s="1399">
        <v>8045525</v>
      </c>
    </row>
    <row r="3784" spans="2:9">
      <c r="B3784" s="1297"/>
      <c r="C3784" s="1297"/>
      <c r="D3784" s="1297" t="s">
        <v>1047</v>
      </c>
      <c r="H3784" s="1399">
        <v>321816</v>
      </c>
      <c r="I3784" s="1399">
        <v>321816</v>
      </c>
    </row>
    <row r="3785" spans="2:9">
      <c r="B3785" s="1297"/>
      <c r="C3785" s="1297"/>
      <c r="D3785" s="1297" t="s">
        <v>1048</v>
      </c>
      <c r="H3785" s="1399">
        <v>-2972431</v>
      </c>
      <c r="I3785" s="1399">
        <v>-2972431</v>
      </c>
    </row>
    <row r="3786" spans="2:9">
      <c r="B3786" s="1297"/>
      <c r="C3786" s="1297"/>
      <c r="D3786" s="1297" t="s">
        <v>955</v>
      </c>
      <c r="H3786" s="1399">
        <v>364363.02</v>
      </c>
      <c r="I3786" s="1399">
        <v>364363.02</v>
      </c>
    </row>
    <row r="3787" spans="2:9">
      <c r="B3787" s="1297"/>
      <c r="C3787" s="1297"/>
      <c r="D3787" s="1297" t="s">
        <v>934</v>
      </c>
      <c r="H3787" s="1399">
        <v>29996</v>
      </c>
      <c r="I3787" s="1399">
        <v>29996</v>
      </c>
    </row>
    <row r="3788" spans="2:9">
      <c r="B3788" s="1297"/>
      <c r="C3788" s="1297"/>
      <c r="D3788" s="1297" t="s">
        <v>935</v>
      </c>
      <c r="H3788" s="1399">
        <v>115607.83</v>
      </c>
      <c r="I3788" s="1399">
        <v>115607.83</v>
      </c>
    </row>
    <row r="3789" spans="2:9">
      <c r="B3789" s="1297"/>
      <c r="C3789" s="1297"/>
      <c r="D3789" s="1297" t="s">
        <v>936</v>
      </c>
      <c r="H3789" s="1399">
        <v>31863.7</v>
      </c>
      <c r="I3789" s="1399">
        <v>31863.7</v>
      </c>
    </row>
    <row r="3790" spans="2:9">
      <c r="B3790" s="1297"/>
      <c r="C3790" s="1297"/>
      <c r="D3790" s="1297" t="s">
        <v>938</v>
      </c>
      <c r="H3790" s="1399">
        <v>10855</v>
      </c>
      <c r="I3790" s="1399">
        <v>10855</v>
      </c>
    </row>
    <row r="3791" spans="2:9">
      <c r="B3791" s="1297"/>
      <c r="C3791" s="1297"/>
      <c r="D3791" s="1297" t="s">
        <v>939</v>
      </c>
      <c r="H3791" s="1399">
        <v>42250</v>
      </c>
      <c r="I3791" s="1399">
        <v>42250</v>
      </c>
    </row>
    <row r="3792" spans="2:9">
      <c r="B3792" s="1297"/>
      <c r="C3792" s="1297"/>
      <c r="D3792" s="1297" t="s">
        <v>940</v>
      </c>
      <c r="E3792" s="1399">
        <v>494993.62</v>
      </c>
      <c r="I3792" s="1399">
        <v>494993.62</v>
      </c>
    </row>
    <row r="3793" spans="2:9">
      <c r="B3793" s="1297"/>
      <c r="C3793" s="1297"/>
      <c r="D3793" s="1297" t="s">
        <v>941</v>
      </c>
      <c r="E3793" s="1399">
        <v>213828.5</v>
      </c>
      <c r="I3793" s="1399">
        <v>213828.5</v>
      </c>
    </row>
    <row r="3794" spans="2:9">
      <c r="B3794" s="1297"/>
      <c r="C3794" s="1297"/>
      <c r="D3794" s="1297" t="s">
        <v>944</v>
      </c>
      <c r="E3794" s="1399">
        <v>1362981.32</v>
      </c>
      <c r="I3794" s="1399">
        <v>1362981.32</v>
      </c>
    </row>
    <row r="3795" spans="2:9">
      <c r="B3795" s="1297"/>
      <c r="C3795" s="1297"/>
      <c r="D3795" s="1297" t="s">
        <v>945</v>
      </c>
      <c r="E3795" s="1399">
        <v>812919.76</v>
      </c>
      <c r="I3795" s="1399">
        <v>812919.76</v>
      </c>
    </row>
    <row r="3796" spans="2:9">
      <c r="B3796" s="1297"/>
      <c r="C3796" s="1297"/>
      <c r="D3796" s="1297" t="s">
        <v>947</v>
      </c>
      <c r="E3796" s="1399">
        <v>46995.11</v>
      </c>
      <c r="I3796" s="1399">
        <v>46995.11</v>
      </c>
    </row>
    <row r="3797" spans="2:9">
      <c r="B3797" s="1297"/>
      <c r="C3797" s="1297"/>
      <c r="D3797" s="1297" t="s">
        <v>948</v>
      </c>
      <c r="G3797" s="1399">
        <v>147531.26999999999</v>
      </c>
      <c r="I3797" s="1399">
        <v>147531.26999999999</v>
      </c>
    </row>
    <row r="3798" spans="2:9">
      <c r="B3798" s="1297"/>
      <c r="C3798" s="1400" t="s">
        <v>1246</v>
      </c>
      <c r="D3798" s="1400"/>
      <c r="E3798" s="1401">
        <v>2931718.31</v>
      </c>
      <c r="F3798" s="1401">
        <v>9358668.7600000035</v>
      </c>
      <c r="G3798" s="1401">
        <v>147531.26999999999</v>
      </c>
      <c r="H3798" s="1401">
        <v>5989845.5499999998</v>
      </c>
      <c r="I3798" s="1401">
        <v>18427763.890000004</v>
      </c>
    </row>
    <row r="3799" spans="2:9">
      <c r="B3799" s="1297" t="s">
        <v>1247</v>
      </c>
      <c r="C3799" s="1297" t="s">
        <v>1248</v>
      </c>
      <c r="D3799" s="1297" t="s">
        <v>906</v>
      </c>
      <c r="F3799" s="1399">
        <v>8966030.4399999995</v>
      </c>
      <c r="I3799" s="1399">
        <v>8966030.4399999995</v>
      </c>
    </row>
    <row r="3800" spans="2:9">
      <c r="B3800" s="1297"/>
      <c r="C3800" s="1297"/>
      <c r="D3800" s="1297" t="s">
        <v>952</v>
      </c>
      <c r="F3800" s="1399">
        <v>93943.19</v>
      </c>
      <c r="I3800" s="1399">
        <v>93943.19</v>
      </c>
    </row>
    <row r="3801" spans="2:9">
      <c r="B3801" s="1297"/>
      <c r="C3801" s="1297"/>
      <c r="D3801" s="1297" t="s">
        <v>907</v>
      </c>
      <c r="F3801" s="1399">
        <v>1418421.58</v>
      </c>
      <c r="I3801" s="1399">
        <v>1418421.58</v>
      </c>
    </row>
    <row r="3802" spans="2:9">
      <c r="B3802" s="1297"/>
      <c r="C3802" s="1297"/>
      <c r="D3802" s="1297" t="s">
        <v>908</v>
      </c>
      <c r="F3802" s="1399">
        <v>60111.64</v>
      </c>
      <c r="I3802" s="1399">
        <v>60111.64</v>
      </c>
    </row>
    <row r="3803" spans="2:9">
      <c r="B3803" s="1297"/>
      <c r="C3803" s="1297"/>
      <c r="D3803" s="1297" t="s">
        <v>909</v>
      </c>
      <c r="F3803" s="1399">
        <v>18680.27</v>
      </c>
      <c r="I3803" s="1399">
        <v>18680.27</v>
      </c>
    </row>
    <row r="3804" spans="2:9">
      <c r="B3804" s="1297"/>
      <c r="C3804" s="1297"/>
      <c r="D3804" s="1297" t="s">
        <v>910</v>
      </c>
      <c r="F3804" s="1399">
        <v>55003.32</v>
      </c>
      <c r="I3804" s="1399">
        <v>55003.32</v>
      </c>
    </row>
    <row r="3805" spans="2:9">
      <c r="B3805" s="1297"/>
      <c r="C3805" s="1297"/>
      <c r="D3805" s="1297" t="s">
        <v>1034</v>
      </c>
      <c r="F3805" s="1399">
        <v>11947.09</v>
      </c>
      <c r="I3805" s="1399">
        <v>11947.09</v>
      </c>
    </row>
    <row r="3806" spans="2:9">
      <c r="B3806" s="1297"/>
      <c r="C3806" s="1297"/>
      <c r="D3806" s="1297" t="s">
        <v>1035</v>
      </c>
      <c r="F3806" s="1399">
        <v>199095.62</v>
      </c>
      <c r="I3806" s="1399">
        <v>199095.62</v>
      </c>
    </row>
    <row r="3807" spans="2:9">
      <c r="B3807" s="1297"/>
      <c r="C3807" s="1297"/>
      <c r="D3807" s="1297" t="s">
        <v>1036</v>
      </c>
      <c r="F3807" s="1399">
        <v>117111.63</v>
      </c>
      <c r="I3807" s="1399">
        <v>117111.63</v>
      </c>
    </row>
    <row r="3808" spans="2:9">
      <c r="B3808" s="1297"/>
      <c r="C3808" s="1297"/>
      <c r="D3808" s="1297" t="s">
        <v>1037</v>
      </c>
      <c r="F3808" s="1399">
        <v>5115</v>
      </c>
      <c r="I3808" s="1399">
        <v>5115</v>
      </c>
    </row>
    <row r="3809" spans="2:9">
      <c r="B3809" s="1297"/>
      <c r="C3809" s="1297"/>
      <c r="D3809" s="1297" t="s">
        <v>1039</v>
      </c>
      <c r="F3809" s="1399">
        <v>8522.51</v>
      </c>
      <c r="I3809" s="1399">
        <v>8522.51</v>
      </c>
    </row>
    <row r="3810" spans="2:9">
      <c r="B3810" s="1297"/>
      <c r="C3810" s="1297"/>
      <c r="D3810" s="1297" t="s">
        <v>1041</v>
      </c>
      <c r="F3810" s="1399">
        <v>24556.12</v>
      </c>
      <c r="I3810" s="1399">
        <v>24556.12</v>
      </c>
    </row>
    <row r="3811" spans="2:9">
      <c r="B3811" s="1297"/>
      <c r="C3811" s="1297"/>
      <c r="D3811" s="1297" t="s">
        <v>1042</v>
      </c>
      <c r="F3811" s="1399">
        <v>34183.65</v>
      </c>
      <c r="I3811" s="1399">
        <v>34183.65</v>
      </c>
    </row>
    <row r="3812" spans="2:9">
      <c r="B3812" s="1297"/>
      <c r="C3812" s="1297"/>
      <c r="D3812" s="1297" t="s">
        <v>996</v>
      </c>
      <c r="F3812" s="1399">
        <v>-1760.03</v>
      </c>
      <c r="I3812" s="1399">
        <v>-1760.03</v>
      </c>
    </row>
    <row r="3813" spans="2:9">
      <c r="B3813" s="1297"/>
      <c r="C3813" s="1297"/>
      <c r="D3813" s="1297" t="s">
        <v>1044</v>
      </c>
      <c r="F3813" s="1399">
        <v>39506.9</v>
      </c>
      <c r="I3813" s="1399">
        <v>39506.9</v>
      </c>
    </row>
    <row r="3814" spans="2:9">
      <c r="B3814" s="1297"/>
      <c r="C3814" s="1297"/>
      <c r="D3814" s="1297" t="s">
        <v>1045</v>
      </c>
      <c r="F3814" s="1399">
        <v>2017878.58</v>
      </c>
      <c r="I3814" s="1399">
        <v>2017878.58</v>
      </c>
    </row>
    <row r="3815" spans="2:9">
      <c r="B3815" s="1297"/>
      <c r="C3815" s="1297"/>
      <c r="D3815" s="1297" t="s">
        <v>1046</v>
      </c>
      <c r="H3815" s="1399">
        <v>16096624</v>
      </c>
      <c r="I3815" s="1399">
        <v>16096624</v>
      </c>
    </row>
    <row r="3816" spans="2:9">
      <c r="B3816" s="1297"/>
      <c r="C3816" s="1297"/>
      <c r="D3816" s="1297" t="s">
        <v>1128</v>
      </c>
      <c r="H3816" s="1399">
        <v>1329253</v>
      </c>
      <c r="I3816" s="1399">
        <v>1329253</v>
      </c>
    </row>
    <row r="3817" spans="2:9">
      <c r="B3817" s="1297"/>
      <c r="C3817" s="1297"/>
      <c r="D3817" s="1297" t="s">
        <v>1047</v>
      </c>
      <c r="H3817" s="1399">
        <v>913559</v>
      </c>
      <c r="I3817" s="1399">
        <v>913559</v>
      </c>
    </row>
    <row r="3818" spans="2:9">
      <c r="B3818" s="1297"/>
      <c r="C3818" s="1297"/>
      <c r="D3818" s="1297" t="s">
        <v>1048</v>
      </c>
      <c r="H3818" s="1399">
        <v>-4804033</v>
      </c>
      <c r="I3818" s="1399">
        <v>-4804033</v>
      </c>
    </row>
    <row r="3819" spans="2:9">
      <c r="B3819" s="1297"/>
      <c r="C3819" s="1297"/>
      <c r="D3819" s="1297" t="s">
        <v>932</v>
      </c>
      <c r="H3819" s="1399">
        <v>1119103</v>
      </c>
      <c r="I3819" s="1399">
        <v>1119103</v>
      </c>
    </row>
    <row r="3820" spans="2:9">
      <c r="B3820" s="1297"/>
      <c r="C3820" s="1297"/>
      <c r="D3820" s="1297" t="s">
        <v>955</v>
      </c>
      <c r="H3820" s="1399">
        <v>878545.11</v>
      </c>
      <c r="I3820" s="1399">
        <v>878545.11</v>
      </c>
    </row>
    <row r="3821" spans="2:9">
      <c r="B3821" s="1297"/>
      <c r="C3821" s="1297"/>
      <c r="D3821" s="1297" t="s">
        <v>934</v>
      </c>
      <c r="H3821" s="1399">
        <v>61190.8</v>
      </c>
      <c r="I3821" s="1399">
        <v>61190.8</v>
      </c>
    </row>
    <row r="3822" spans="2:9">
      <c r="B3822" s="1297"/>
      <c r="C3822" s="1297"/>
      <c r="D3822" s="1297" t="s">
        <v>1130</v>
      </c>
      <c r="H3822" s="1399">
        <v>614727.13</v>
      </c>
      <c r="I3822" s="1399">
        <v>614727.13</v>
      </c>
    </row>
    <row r="3823" spans="2:9">
      <c r="B3823" s="1297"/>
      <c r="C3823" s="1297"/>
      <c r="D3823" s="1297" t="s">
        <v>935</v>
      </c>
      <c r="H3823" s="1399">
        <v>623161.62</v>
      </c>
      <c r="I3823" s="1399">
        <v>623161.62</v>
      </c>
    </row>
    <row r="3824" spans="2:9">
      <c r="B3824" s="1297"/>
      <c r="C3824" s="1297"/>
      <c r="D3824" s="1297" t="s">
        <v>936</v>
      </c>
      <c r="H3824" s="1399">
        <v>77383.27</v>
      </c>
      <c r="I3824" s="1399">
        <v>77383.27</v>
      </c>
    </row>
    <row r="3825" spans="2:9">
      <c r="B3825" s="1297"/>
      <c r="C3825" s="1297"/>
      <c r="D3825" s="1297" t="s">
        <v>938</v>
      </c>
      <c r="H3825" s="1399">
        <v>23769</v>
      </c>
      <c r="I3825" s="1399">
        <v>23769</v>
      </c>
    </row>
    <row r="3826" spans="2:9">
      <c r="B3826" s="1297"/>
      <c r="C3826" s="1297"/>
      <c r="D3826" s="1297" t="s">
        <v>939</v>
      </c>
      <c r="H3826" s="1399">
        <v>42250</v>
      </c>
      <c r="I3826" s="1399">
        <v>42250</v>
      </c>
    </row>
    <row r="3827" spans="2:9">
      <c r="B3827" s="1297"/>
      <c r="C3827" s="1297"/>
      <c r="D3827" s="1297" t="s">
        <v>940</v>
      </c>
      <c r="E3827" s="1399">
        <v>869712.96</v>
      </c>
      <c r="I3827" s="1399">
        <v>869712.96</v>
      </c>
    </row>
    <row r="3828" spans="2:9">
      <c r="B3828" s="1297"/>
      <c r="C3828" s="1297"/>
      <c r="D3828" s="1297" t="s">
        <v>941</v>
      </c>
      <c r="E3828" s="1399">
        <v>369092.9</v>
      </c>
      <c r="I3828" s="1399">
        <v>369092.9</v>
      </c>
    </row>
    <row r="3829" spans="2:9">
      <c r="B3829" s="1297"/>
      <c r="C3829" s="1297"/>
      <c r="D3829" s="1297" t="s">
        <v>943</v>
      </c>
      <c r="E3829" s="1399">
        <v>15973.64</v>
      </c>
      <c r="I3829" s="1399">
        <v>15973.64</v>
      </c>
    </row>
    <row r="3830" spans="2:9">
      <c r="B3830" s="1297"/>
      <c r="C3830" s="1297"/>
      <c r="D3830" s="1297" t="s">
        <v>944</v>
      </c>
      <c r="E3830" s="1399">
        <v>4122550.65</v>
      </c>
      <c r="I3830" s="1399">
        <v>4122550.65</v>
      </c>
    </row>
    <row r="3831" spans="2:9">
      <c r="B3831" s="1297"/>
      <c r="C3831" s="1297"/>
      <c r="D3831" s="1297" t="s">
        <v>945</v>
      </c>
      <c r="E3831" s="1399">
        <v>1502396.8199999998</v>
      </c>
      <c r="I3831" s="1399">
        <v>1502396.8199999998</v>
      </c>
    </row>
    <row r="3832" spans="2:9">
      <c r="B3832" s="1297"/>
      <c r="C3832" s="1297"/>
      <c r="D3832" s="1297" t="s">
        <v>947</v>
      </c>
      <c r="E3832" s="1399">
        <v>77617.89</v>
      </c>
      <c r="I3832" s="1399">
        <v>77617.89</v>
      </c>
    </row>
    <row r="3833" spans="2:9">
      <c r="B3833" s="1297"/>
      <c r="C3833" s="1297"/>
      <c r="D3833" s="1297" t="s">
        <v>1051</v>
      </c>
      <c r="G3833" s="1399">
        <v>4326126.28</v>
      </c>
      <c r="I3833" s="1399">
        <v>4326126.28</v>
      </c>
    </row>
    <row r="3834" spans="2:9">
      <c r="B3834" s="1297"/>
      <c r="C3834" s="1400" t="s">
        <v>1249</v>
      </c>
      <c r="D3834" s="1400"/>
      <c r="E3834" s="1401">
        <v>6957344.8599999985</v>
      </c>
      <c r="F3834" s="1401">
        <v>13068347.51</v>
      </c>
      <c r="G3834" s="1401">
        <v>4326126.28</v>
      </c>
      <c r="H3834" s="1401">
        <v>16975532.93</v>
      </c>
      <c r="I3834" s="1401">
        <v>41327351.579999998</v>
      </c>
    </row>
    <row r="3835" spans="2:9">
      <c r="B3835" s="1297" t="s">
        <v>1250</v>
      </c>
      <c r="C3835" s="1297" t="s">
        <v>1251</v>
      </c>
      <c r="D3835" s="1297" t="s">
        <v>906</v>
      </c>
      <c r="F3835" s="1399">
        <v>2433490.87</v>
      </c>
      <c r="I3835" s="1399">
        <v>2433490.87</v>
      </c>
    </row>
    <row r="3836" spans="2:9">
      <c r="B3836" s="1297"/>
      <c r="C3836" s="1297"/>
      <c r="D3836" s="1297" t="s">
        <v>907</v>
      </c>
      <c r="F3836" s="1399">
        <v>631863.02</v>
      </c>
      <c r="I3836" s="1399">
        <v>631863.02</v>
      </c>
    </row>
    <row r="3837" spans="2:9">
      <c r="B3837" s="1297"/>
      <c r="C3837" s="1297"/>
      <c r="D3837" s="1297" t="s">
        <v>995</v>
      </c>
      <c r="F3837" s="1399">
        <v>17214.64</v>
      </c>
      <c r="I3837" s="1399">
        <v>17214.64</v>
      </c>
    </row>
    <row r="3838" spans="2:9">
      <c r="B3838" s="1297"/>
      <c r="C3838" s="1297"/>
      <c r="D3838" s="1297" t="s">
        <v>908</v>
      </c>
      <c r="F3838" s="1399">
        <v>8499</v>
      </c>
      <c r="I3838" s="1399">
        <v>8499</v>
      </c>
    </row>
    <row r="3839" spans="2:9">
      <c r="B3839" s="1297"/>
      <c r="C3839" s="1297"/>
      <c r="D3839" s="1297" t="s">
        <v>1035</v>
      </c>
      <c r="F3839" s="1399">
        <v>2014.66</v>
      </c>
      <c r="I3839" s="1399">
        <v>2014.66</v>
      </c>
    </row>
    <row r="3840" spans="2:9">
      <c r="B3840" s="1297"/>
      <c r="C3840" s="1297"/>
      <c r="D3840" s="1297" t="s">
        <v>1039</v>
      </c>
      <c r="F3840" s="1399">
        <v>8597.43</v>
      </c>
      <c r="I3840" s="1399">
        <v>8597.43</v>
      </c>
    </row>
    <row r="3841" spans="2:9">
      <c r="B3841" s="1297"/>
      <c r="C3841" s="1297"/>
      <c r="D3841" s="1297" t="s">
        <v>1040</v>
      </c>
      <c r="F3841" s="1399">
        <v>74256.55</v>
      </c>
      <c r="I3841" s="1399">
        <v>74256.55</v>
      </c>
    </row>
    <row r="3842" spans="2:9">
      <c r="B3842" s="1297"/>
      <c r="C3842" s="1297"/>
      <c r="D3842" s="1297" t="s">
        <v>1041</v>
      </c>
      <c r="F3842" s="1399">
        <v>15221.9</v>
      </c>
      <c r="I3842" s="1399">
        <v>15221.9</v>
      </c>
    </row>
    <row r="3843" spans="2:9">
      <c r="B3843" s="1297"/>
      <c r="C3843" s="1297"/>
      <c r="D3843" s="1297" t="s">
        <v>1042</v>
      </c>
      <c r="F3843" s="1399">
        <v>21464.33</v>
      </c>
      <c r="I3843" s="1399">
        <v>21464.33</v>
      </c>
    </row>
    <row r="3844" spans="2:9">
      <c r="B3844" s="1297"/>
      <c r="C3844" s="1297"/>
      <c r="D3844" s="1297" t="s">
        <v>954</v>
      </c>
      <c r="F3844" s="1399">
        <v>888.79</v>
      </c>
      <c r="I3844" s="1399">
        <v>888.79</v>
      </c>
    </row>
    <row r="3845" spans="2:9">
      <c r="B3845" s="1297"/>
      <c r="C3845" s="1297"/>
      <c r="D3845" s="1297" t="s">
        <v>986</v>
      </c>
      <c r="F3845" s="1399">
        <v>280208.69999999995</v>
      </c>
      <c r="I3845" s="1399">
        <v>280208.69999999995</v>
      </c>
    </row>
    <row r="3846" spans="2:9">
      <c r="B3846" s="1297"/>
      <c r="C3846" s="1297"/>
      <c r="D3846" s="1297" t="s">
        <v>1045</v>
      </c>
      <c r="F3846" s="1399">
        <v>154747.42000000001</v>
      </c>
      <c r="I3846" s="1399">
        <v>154747.42000000001</v>
      </c>
    </row>
    <row r="3847" spans="2:9">
      <c r="B3847" s="1297"/>
      <c r="C3847" s="1297"/>
      <c r="D3847" s="1297" t="s">
        <v>1046</v>
      </c>
      <c r="H3847" s="1399">
        <v>4840126</v>
      </c>
      <c r="I3847" s="1399">
        <v>4840126</v>
      </c>
    </row>
    <row r="3848" spans="2:9">
      <c r="B3848" s="1297"/>
      <c r="C3848" s="1297"/>
      <c r="D3848" s="1297" t="s">
        <v>1047</v>
      </c>
      <c r="H3848" s="1399">
        <v>363346</v>
      </c>
      <c r="I3848" s="1399">
        <v>363346</v>
      </c>
    </row>
    <row r="3849" spans="2:9">
      <c r="B3849" s="1297"/>
      <c r="C3849" s="1297"/>
      <c r="D3849" s="1297" t="s">
        <v>1048</v>
      </c>
      <c r="H3849" s="1399">
        <v>-676164</v>
      </c>
      <c r="I3849" s="1399">
        <v>-676164</v>
      </c>
    </row>
    <row r="3850" spans="2:9">
      <c r="B3850" s="1297"/>
      <c r="C3850" s="1297"/>
      <c r="D3850" s="1297" t="s">
        <v>932</v>
      </c>
      <c r="H3850" s="1399">
        <v>583886</v>
      </c>
      <c r="I3850" s="1399">
        <v>583886</v>
      </c>
    </row>
    <row r="3851" spans="2:9">
      <c r="B3851" s="1297"/>
      <c r="C3851" s="1297"/>
      <c r="D3851" s="1297" t="s">
        <v>955</v>
      </c>
      <c r="H3851" s="1399">
        <v>198335.65</v>
      </c>
      <c r="I3851" s="1399">
        <v>198335.65</v>
      </c>
    </row>
    <row r="3852" spans="2:9">
      <c r="B3852" s="1297"/>
      <c r="C3852" s="1297"/>
      <c r="D3852" s="1297" t="s">
        <v>934</v>
      </c>
      <c r="H3852" s="1399">
        <v>18658</v>
      </c>
      <c r="I3852" s="1399">
        <v>18658</v>
      </c>
    </row>
    <row r="3853" spans="2:9">
      <c r="B3853" s="1297"/>
      <c r="C3853" s="1297"/>
      <c r="D3853" s="1297" t="s">
        <v>935</v>
      </c>
      <c r="H3853" s="1399">
        <v>353693.63999999996</v>
      </c>
      <c r="I3853" s="1399">
        <v>353693.63999999996</v>
      </c>
    </row>
    <row r="3854" spans="2:9">
      <c r="B3854" s="1297"/>
      <c r="C3854" s="1297"/>
      <c r="D3854" s="1297" t="s">
        <v>936</v>
      </c>
      <c r="H3854" s="1399">
        <v>19258.28</v>
      </c>
      <c r="I3854" s="1399">
        <v>19258.28</v>
      </c>
    </row>
    <row r="3855" spans="2:9">
      <c r="B3855" s="1297"/>
      <c r="C3855" s="1297"/>
      <c r="D3855" s="1297" t="s">
        <v>938</v>
      </c>
      <c r="H3855" s="1399">
        <v>6925</v>
      </c>
      <c r="I3855" s="1399">
        <v>6925</v>
      </c>
    </row>
    <row r="3856" spans="2:9">
      <c r="B3856" s="1297"/>
      <c r="C3856" s="1297"/>
      <c r="D3856" s="1297" t="s">
        <v>940</v>
      </c>
      <c r="E3856" s="1399">
        <v>316939.42</v>
      </c>
      <c r="I3856" s="1399">
        <v>316939.42</v>
      </c>
    </row>
    <row r="3857" spans="2:9">
      <c r="B3857" s="1297"/>
      <c r="C3857" s="1297"/>
      <c r="D3857" s="1297" t="s">
        <v>941</v>
      </c>
      <c r="E3857" s="1399">
        <v>107420.62</v>
      </c>
      <c r="I3857" s="1399">
        <v>107420.62</v>
      </c>
    </row>
    <row r="3858" spans="2:9">
      <c r="B3858" s="1297"/>
      <c r="C3858" s="1297"/>
      <c r="D3858" s="1297" t="s">
        <v>943</v>
      </c>
      <c r="E3858" s="1399">
        <v>2868.98</v>
      </c>
      <c r="I3858" s="1399">
        <v>2868.98</v>
      </c>
    </row>
    <row r="3859" spans="2:9">
      <c r="B3859" s="1297"/>
      <c r="C3859" s="1297"/>
      <c r="D3859" s="1297" t="s">
        <v>944</v>
      </c>
      <c r="E3859" s="1399">
        <v>1083347.1099999999</v>
      </c>
      <c r="I3859" s="1399">
        <v>1083347.1099999999</v>
      </c>
    </row>
    <row r="3860" spans="2:9">
      <c r="B3860" s="1297"/>
      <c r="C3860" s="1297"/>
      <c r="D3860" s="1297" t="s">
        <v>945</v>
      </c>
      <c r="E3860" s="1399">
        <v>545561.62</v>
      </c>
      <c r="I3860" s="1399">
        <v>545561.62</v>
      </c>
    </row>
    <row r="3861" spans="2:9">
      <c r="B3861" s="1297"/>
      <c r="C3861" s="1297"/>
      <c r="D3861" s="1297" t="s">
        <v>947</v>
      </c>
      <c r="E3861" s="1399">
        <v>33056.82</v>
      </c>
      <c r="I3861" s="1399">
        <v>33056.82</v>
      </c>
    </row>
    <row r="3862" spans="2:9">
      <c r="B3862" s="1297"/>
      <c r="C3862" s="1297"/>
      <c r="D3862" s="1297" t="s">
        <v>948</v>
      </c>
      <c r="G3862" s="1399">
        <v>19725.29</v>
      </c>
      <c r="I3862" s="1399">
        <v>19725.29</v>
      </c>
    </row>
    <row r="3863" spans="2:9">
      <c r="B3863" s="1297"/>
      <c r="C3863" s="1400" t="s">
        <v>1252</v>
      </c>
      <c r="D3863" s="1400"/>
      <c r="E3863" s="1401">
        <v>2089194.57</v>
      </c>
      <c r="F3863" s="1401">
        <v>3648467.3100000005</v>
      </c>
      <c r="G3863" s="1401">
        <v>19725.29</v>
      </c>
      <c r="H3863" s="1401">
        <v>5708064.5700000003</v>
      </c>
      <c r="I3863" s="1401">
        <v>11465451.739999998</v>
      </c>
    </row>
    <row r="3864" spans="2:9">
      <c r="B3864" s="1297" t="s">
        <v>1253</v>
      </c>
      <c r="C3864" s="1297" t="s">
        <v>1254</v>
      </c>
      <c r="D3864" s="1297" t="s">
        <v>906</v>
      </c>
      <c r="F3864" s="1399">
        <v>6699747.9299999997</v>
      </c>
      <c r="I3864" s="1399">
        <v>6699747.9299999997</v>
      </c>
    </row>
    <row r="3865" spans="2:9">
      <c r="B3865" s="1297"/>
      <c r="C3865" s="1297"/>
      <c r="D3865" s="1297" t="s">
        <v>1126</v>
      </c>
      <c r="F3865" s="1399">
        <v>2171075.9900000002</v>
      </c>
      <c r="I3865" s="1399">
        <v>2171075.9900000002</v>
      </c>
    </row>
    <row r="3866" spans="2:9">
      <c r="B3866" s="1297"/>
      <c r="C3866" s="1297"/>
      <c r="D3866" s="1297" t="s">
        <v>952</v>
      </c>
      <c r="F3866" s="1399">
        <v>49068.68</v>
      </c>
      <c r="I3866" s="1399">
        <v>49068.68</v>
      </c>
    </row>
    <row r="3867" spans="2:9">
      <c r="B3867" s="1297"/>
      <c r="C3867" s="1297"/>
      <c r="D3867" s="1297" t="s">
        <v>907</v>
      </c>
      <c r="F3867" s="1399">
        <v>1707020.6</v>
      </c>
      <c r="I3867" s="1399">
        <v>1707020.6</v>
      </c>
    </row>
    <row r="3868" spans="2:9">
      <c r="B3868" s="1297"/>
      <c r="C3868" s="1297"/>
      <c r="D3868" s="1297" t="s">
        <v>908</v>
      </c>
      <c r="F3868" s="1399">
        <v>11732.03</v>
      </c>
      <c r="I3868" s="1399">
        <v>11732.03</v>
      </c>
    </row>
    <row r="3869" spans="2:9">
      <c r="B3869" s="1297"/>
      <c r="C3869" s="1297"/>
      <c r="D3869" s="1297" t="s">
        <v>909</v>
      </c>
      <c r="F3869" s="1399">
        <v>29425.18</v>
      </c>
      <c r="I3869" s="1399">
        <v>29425.18</v>
      </c>
    </row>
    <row r="3870" spans="2:9">
      <c r="B3870" s="1297"/>
      <c r="C3870" s="1297"/>
      <c r="D3870" s="1297" t="s">
        <v>910</v>
      </c>
      <c r="F3870" s="1399">
        <v>14389.33</v>
      </c>
      <c r="I3870" s="1399">
        <v>14389.33</v>
      </c>
    </row>
    <row r="3871" spans="2:9">
      <c r="B3871" s="1297"/>
      <c r="C3871" s="1297"/>
      <c r="D3871" s="1297" t="s">
        <v>1034</v>
      </c>
      <c r="F3871" s="1399">
        <v>12985.96</v>
      </c>
      <c r="I3871" s="1399">
        <v>12985.96</v>
      </c>
    </row>
    <row r="3872" spans="2:9">
      <c r="B3872" s="1297"/>
      <c r="C3872" s="1297"/>
      <c r="D3872" s="1297" t="s">
        <v>1035</v>
      </c>
      <c r="F3872" s="1399">
        <v>103246.96</v>
      </c>
      <c r="I3872" s="1399">
        <v>103246.96</v>
      </c>
    </row>
    <row r="3873" spans="2:9">
      <c r="B3873" s="1297"/>
      <c r="C3873" s="1297"/>
      <c r="D3873" s="1297" t="s">
        <v>1036</v>
      </c>
      <c r="F3873" s="1399">
        <v>89169.4</v>
      </c>
      <c r="I3873" s="1399">
        <v>89169.4</v>
      </c>
    </row>
    <row r="3874" spans="2:9">
      <c r="B3874" s="1297"/>
      <c r="C3874" s="1297"/>
      <c r="D3874" s="1297" t="s">
        <v>1039</v>
      </c>
      <c r="F3874" s="1399">
        <v>99961.52</v>
      </c>
      <c r="I3874" s="1399">
        <v>99961.52</v>
      </c>
    </row>
    <row r="3875" spans="2:9">
      <c r="B3875" s="1297"/>
      <c r="C3875" s="1297"/>
      <c r="D3875" s="1297" t="s">
        <v>1040</v>
      </c>
      <c r="F3875" s="1399">
        <v>60850.13</v>
      </c>
      <c r="I3875" s="1399">
        <v>60850.13</v>
      </c>
    </row>
    <row r="3876" spans="2:9">
      <c r="B3876" s="1297"/>
      <c r="C3876" s="1297"/>
      <c r="D3876" s="1297" t="s">
        <v>1041</v>
      </c>
      <c r="F3876" s="1399">
        <v>11262.04</v>
      </c>
      <c r="I3876" s="1399">
        <v>11262.04</v>
      </c>
    </row>
    <row r="3877" spans="2:9">
      <c r="B3877" s="1297"/>
      <c r="C3877" s="1297"/>
      <c r="D3877" s="1297" t="s">
        <v>1042</v>
      </c>
      <c r="F3877" s="1399">
        <v>51112.53</v>
      </c>
      <c r="I3877" s="1399">
        <v>51112.53</v>
      </c>
    </row>
    <row r="3878" spans="2:9">
      <c r="B3878" s="1297"/>
      <c r="C3878" s="1297"/>
      <c r="D3878" s="1297" t="s">
        <v>954</v>
      </c>
      <c r="F3878" s="1399">
        <v>120901.83</v>
      </c>
      <c r="I3878" s="1399">
        <v>120901.83</v>
      </c>
    </row>
    <row r="3879" spans="2:9">
      <c r="B3879" s="1297"/>
      <c r="C3879" s="1297"/>
      <c r="D3879" s="1297" t="s">
        <v>1043</v>
      </c>
      <c r="F3879" s="1399">
        <v>15000</v>
      </c>
      <c r="I3879" s="1399">
        <v>15000</v>
      </c>
    </row>
    <row r="3880" spans="2:9">
      <c r="B3880" s="1297"/>
      <c r="C3880" s="1297"/>
      <c r="D3880" s="1297" t="s">
        <v>986</v>
      </c>
      <c r="F3880" s="1399">
        <v>1500</v>
      </c>
      <c r="I3880" s="1399">
        <v>1500</v>
      </c>
    </row>
    <row r="3881" spans="2:9">
      <c r="B3881" s="1297"/>
      <c r="C3881" s="1297"/>
      <c r="D3881" s="1297" t="s">
        <v>1045</v>
      </c>
      <c r="F3881" s="1399">
        <v>183380.59</v>
      </c>
      <c r="I3881" s="1399">
        <v>183380.59</v>
      </c>
    </row>
    <row r="3882" spans="2:9">
      <c r="B3882" s="1297"/>
      <c r="C3882" s="1297"/>
      <c r="D3882" s="1297" t="s">
        <v>1046</v>
      </c>
      <c r="H3882" s="1399">
        <v>13275612</v>
      </c>
      <c r="I3882" s="1399">
        <v>13275612</v>
      </c>
    </row>
    <row r="3883" spans="2:9">
      <c r="B3883" s="1297"/>
      <c r="C3883" s="1297"/>
      <c r="D3883" s="1297" t="s">
        <v>1129</v>
      </c>
      <c r="H3883" s="1399">
        <v>-1631416</v>
      </c>
      <c r="I3883" s="1399">
        <v>-1631416</v>
      </c>
    </row>
    <row r="3884" spans="2:9">
      <c r="B3884" s="1297"/>
      <c r="C3884" s="1297"/>
      <c r="D3884" s="1297" t="s">
        <v>1047</v>
      </c>
      <c r="H3884" s="1399">
        <v>506412</v>
      </c>
      <c r="I3884" s="1399">
        <v>506412</v>
      </c>
    </row>
    <row r="3885" spans="2:9">
      <c r="B3885" s="1297"/>
      <c r="C3885" s="1297"/>
      <c r="D3885" s="1297" t="s">
        <v>1048</v>
      </c>
      <c r="H3885" s="1399">
        <v>-2181141</v>
      </c>
      <c r="I3885" s="1399">
        <v>-2181141</v>
      </c>
    </row>
    <row r="3886" spans="2:9">
      <c r="B3886" s="1297"/>
      <c r="C3886" s="1297"/>
      <c r="D3886" s="1297" t="s">
        <v>932</v>
      </c>
      <c r="H3886" s="1399">
        <v>470151</v>
      </c>
      <c r="I3886" s="1399">
        <v>470151</v>
      </c>
    </row>
    <row r="3887" spans="2:9">
      <c r="B3887" s="1297"/>
      <c r="C3887" s="1297"/>
      <c r="D3887" s="1297" t="s">
        <v>955</v>
      </c>
      <c r="H3887" s="1399">
        <v>337956.87</v>
      </c>
      <c r="I3887" s="1399">
        <v>337956.87</v>
      </c>
    </row>
    <row r="3888" spans="2:9">
      <c r="B3888" s="1297"/>
      <c r="C3888" s="1297"/>
      <c r="D3888" s="1297" t="s">
        <v>934</v>
      </c>
      <c r="H3888" s="1399">
        <v>38898</v>
      </c>
      <c r="I3888" s="1399">
        <v>38898</v>
      </c>
    </row>
    <row r="3889" spans="2:9">
      <c r="B3889" s="1297"/>
      <c r="C3889" s="1297"/>
      <c r="D3889" s="1297" t="s">
        <v>935</v>
      </c>
      <c r="H3889" s="1399">
        <v>863541.74</v>
      </c>
      <c r="I3889" s="1399">
        <v>863541.74</v>
      </c>
    </row>
    <row r="3890" spans="2:9">
      <c r="B3890" s="1297"/>
      <c r="C3890" s="1297"/>
      <c r="D3890" s="1297" t="s">
        <v>936</v>
      </c>
      <c r="H3890" s="1399">
        <v>42718.37</v>
      </c>
      <c r="I3890" s="1399">
        <v>42718.37</v>
      </c>
    </row>
    <row r="3891" spans="2:9">
      <c r="B3891" s="1297"/>
      <c r="C3891" s="1297"/>
      <c r="D3891" s="1297" t="s">
        <v>937</v>
      </c>
      <c r="H3891" s="1399">
        <v>35251.980000000003</v>
      </c>
      <c r="I3891" s="1399">
        <v>35251.980000000003</v>
      </c>
    </row>
    <row r="3892" spans="2:9">
      <c r="B3892" s="1297"/>
      <c r="C3892" s="1297"/>
      <c r="D3892" s="1297" t="s">
        <v>938</v>
      </c>
      <c r="H3892" s="1399">
        <v>11978</v>
      </c>
      <c r="I3892" s="1399">
        <v>11978</v>
      </c>
    </row>
    <row r="3893" spans="2:9">
      <c r="B3893" s="1297"/>
      <c r="C3893" s="1297"/>
      <c r="D3893" s="1297" t="s">
        <v>940</v>
      </c>
      <c r="E3893" s="1399">
        <v>836227.6</v>
      </c>
      <c r="I3893" s="1399">
        <v>836227.6</v>
      </c>
    </row>
    <row r="3894" spans="2:9">
      <c r="B3894" s="1297"/>
      <c r="C3894" s="1297"/>
      <c r="D3894" s="1297" t="s">
        <v>941</v>
      </c>
      <c r="E3894" s="1399">
        <v>334040.42</v>
      </c>
      <c r="I3894" s="1399">
        <v>334040.42</v>
      </c>
    </row>
    <row r="3895" spans="2:9">
      <c r="B3895" s="1297"/>
      <c r="C3895" s="1297"/>
      <c r="D3895" s="1297" t="s">
        <v>944</v>
      </c>
      <c r="E3895" s="1399">
        <v>2756679.58</v>
      </c>
      <c r="I3895" s="1399">
        <v>2756679.58</v>
      </c>
    </row>
    <row r="3896" spans="2:9">
      <c r="B3896" s="1297"/>
      <c r="C3896" s="1297"/>
      <c r="D3896" s="1297" t="s">
        <v>945</v>
      </c>
      <c r="E3896" s="1399">
        <v>1209256.1200000001</v>
      </c>
      <c r="I3896" s="1399">
        <v>1209256.1200000001</v>
      </c>
    </row>
    <row r="3897" spans="2:9">
      <c r="B3897" s="1297"/>
      <c r="C3897" s="1297"/>
      <c r="D3897" s="1297" t="s">
        <v>946</v>
      </c>
      <c r="E3897" s="1399">
        <v>90242.85</v>
      </c>
      <c r="I3897" s="1399">
        <v>90242.85</v>
      </c>
    </row>
    <row r="3898" spans="2:9">
      <c r="B3898" s="1297"/>
      <c r="C3898" s="1297"/>
      <c r="D3898" s="1297" t="s">
        <v>978</v>
      </c>
      <c r="E3898" s="1399">
        <v>38054.519999999997</v>
      </c>
      <c r="I3898" s="1399">
        <v>38054.519999999997</v>
      </c>
    </row>
    <row r="3899" spans="2:9">
      <c r="B3899" s="1297"/>
      <c r="C3899" s="1297"/>
      <c r="D3899" s="1297" t="s">
        <v>947</v>
      </c>
      <c r="E3899" s="1399">
        <v>65516.58</v>
      </c>
      <c r="I3899" s="1399">
        <v>65516.58</v>
      </c>
    </row>
    <row r="3900" spans="2:9">
      <c r="B3900" s="1297"/>
      <c r="C3900" s="1297"/>
      <c r="D3900" s="1297" t="s">
        <v>948</v>
      </c>
      <c r="G3900" s="1399">
        <v>1508219.03</v>
      </c>
      <c r="I3900" s="1399">
        <v>1508219.03</v>
      </c>
    </row>
    <row r="3901" spans="2:9">
      <c r="B3901" s="1297"/>
      <c r="C3901" s="1297"/>
      <c r="D3901" s="1297" t="s">
        <v>1118</v>
      </c>
      <c r="G3901" s="1399">
        <v>7517.86</v>
      </c>
      <c r="I3901" s="1399">
        <v>7517.86</v>
      </c>
    </row>
    <row r="3902" spans="2:9">
      <c r="B3902" s="1297"/>
      <c r="C3902" s="1400" t="s">
        <v>1255</v>
      </c>
      <c r="D3902" s="1400"/>
      <c r="E3902" s="1401">
        <v>5330017.67</v>
      </c>
      <c r="F3902" s="1401">
        <v>11431830.699999999</v>
      </c>
      <c r="G3902" s="1401">
        <v>1515736.8900000001</v>
      </c>
      <c r="H3902" s="1401">
        <v>11769962.959999999</v>
      </c>
      <c r="I3902" s="1401">
        <v>30047548.220000006</v>
      </c>
    </row>
    <row r="3903" spans="2:9">
      <c r="B3903" s="1297" t="s">
        <v>1256</v>
      </c>
      <c r="C3903" s="1297" t="s">
        <v>1257</v>
      </c>
      <c r="D3903" s="1297" t="s">
        <v>906</v>
      </c>
      <c r="F3903" s="1399">
        <v>18872928.760000002</v>
      </c>
      <c r="I3903" s="1399">
        <v>18872928.760000002</v>
      </c>
    </row>
    <row r="3904" spans="2:9">
      <c r="B3904" s="1297"/>
      <c r="C3904" s="1297"/>
      <c r="D3904" s="1297" t="s">
        <v>952</v>
      </c>
      <c r="F3904" s="1399">
        <v>436557.1</v>
      </c>
      <c r="I3904" s="1399">
        <v>436557.1</v>
      </c>
    </row>
    <row r="3905" spans="2:9">
      <c r="B3905" s="1297"/>
      <c r="C3905" s="1297"/>
      <c r="D3905" s="1297" t="s">
        <v>907</v>
      </c>
      <c r="F3905" s="1399">
        <v>5125142.2</v>
      </c>
      <c r="I3905" s="1399">
        <v>5125142.2</v>
      </c>
    </row>
    <row r="3906" spans="2:9">
      <c r="B3906" s="1297"/>
      <c r="C3906" s="1297"/>
      <c r="D3906" s="1297" t="s">
        <v>908</v>
      </c>
      <c r="F3906" s="1399">
        <v>26519.1</v>
      </c>
      <c r="I3906" s="1399">
        <v>26519.1</v>
      </c>
    </row>
    <row r="3907" spans="2:9">
      <c r="B3907" s="1297"/>
      <c r="C3907" s="1297"/>
      <c r="D3907" s="1297" t="s">
        <v>909</v>
      </c>
      <c r="F3907" s="1399">
        <v>104698.35</v>
      </c>
      <c r="I3907" s="1399">
        <v>104698.35</v>
      </c>
    </row>
    <row r="3908" spans="2:9">
      <c r="B3908" s="1297"/>
      <c r="C3908" s="1297"/>
      <c r="D3908" s="1297" t="s">
        <v>910</v>
      </c>
      <c r="F3908" s="1399">
        <v>272211.27</v>
      </c>
      <c r="I3908" s="1399">
        <v>272211.27</v>
      </c>
    </row>
    <row r="3909" spans="2:9">
      <c r="B3909" s="1297"/>
      <c r="C3909" s="1297"/>
      <c r="D3909" s="1297" t="s">
        <v>1034</v>
      </c>
      <c r="F3909" s="1399">
        <v>34626.86</v>
      </c>
      <c r="I3909" s="1399">
        <v>34626.86</v>
      </c>
    </row>
    <row r="3910" spans="2:9">
      <c r="B3910" s="1297"/>
      <c r="C3910" s="1297"/>
      <c r="D3910" s="1297" t="s">
        <v>1035</v>
      </c>
      <c r="F3910" s="1399">
        <v>199838.94</v>
      </c>
      <c r="I3910" s="1399">
        <v>199838.94</v>
      </c>
    </row>
    <row r="3911" spans="2:9">
      <c r="B3911" s="1297"/>
      <c r="C3911" s="1297"/>
      <c r="D3911" s="1297" t="s">
        <v>1036</v>
      </c>
      <c r="F3911" s="1399">
        <v>175744.03</v>
      </c>
      <c r="I3911" s="1399">
        <v>175744.03</v>
      </c>
    </row>
    <row r="3912" spans="2:9">
      <c r="B3912" s="1297"/>
      <c r="C3912" s="1297"/>
      <c r="D3912" s="1297" t="s">
        <v>1037</v>
      </c>
      <c r="F3912" s="1399">
        <v>65157</v>
      </c>
      <c r="I3912" s="1399">
        <v>65157</v>
      </c>
    </row>
    <row r="3913" spans="2:9">
      <c r="B3913" s="1297"/>
      <c r="C3913" s="1297"/>
      <c r="D3913" s="1297" t="s">
        <v>1039</v>
      </c>
      <c r="F3913" s="1399">
        <v>15809.909999999998</v>
      </c>
      <c r="I3913" s="1399">
        <v>15809.909999999998</v>
      </c>
    </row>
    <row r="3914" spans="2:9">
      <c r="B3914" s="1297"/>
      <c r="C3914" s="1297"/>
      <c r="D3914" s="1297" t="s">
        <v>1040</v>
      </c>
      <c r="F3914" s="1399">
        <v>427223.52</v>
      </c>
      <c r="I3914" s="1399">
        <v>427223.52</v>
      </c>
    </row>
    <row r="3915" spans="2:9">
      <c r="B3915" s="1297"/>
      <c r="C3915" s="1297"/>
      <c r="D3915" s="1297" t="s">
        <v>1041</v>
      </c>
      <c r="F3915" s="1399">
        <v>83335.350000000006</v>
      </c>
      <c r="I3915" s="1399">
        <v>83335.350000000006</v>
      </c>
    </row>
    <row r="3916" spans="2:9">
      <c r="B3916" s="1297"/>
      <c r="C3916" s="1297"/>
      <c r="D3916" s="1297" t="s">
        <v>1042</v>
      </c>
      <c r="F3916" s="1399">
        <v>53095.92</v>
      </c>
      <c r="I3916" s="1399">
        <v>53095.92</v>
      </c>
    </row>
    <row r="3917" spans="2:9">
      <c r="B3917" s="1297"/>
      <c r="C3917" s="1297"/>
      <c r="D3917" s="1297" t="s">
        <v>953</v>
      </c>
      <c r="F3917" s="1399">
        <v>35187.64</v>
      </c>
      <c r="I3917" s="1399">
        <v>35187.64</v>
      </c>
    </row>
    <row r="3918" spans="2:9">
      <c r="B3918" s="1297"/>
      <c r="C3918" s="1297"/>
      <c r="D3918" s="1297" t="s">
        <v>1043</v>
      </c>
      <c r="F3918" s="1399">
        <v>29268</v>
      </c>
      <c r="I3918" s="1399">
        <v>29268</v>
      </c>
    </row>
    <row r="3919" spans="2:9">
      <c r="B3919" s="1297"/>
      <c r="C3919" s="1297"/>
      <c r="D3919" s="1297" t="s">
        <v>1045</v>
      </c>
      <c r="F3919" s="1399">
        <v>409656.71</v>
      </c>
      <c r="I3919" s="1399">
        <v>409656.71</v>
      </c>
    </row>
    <row r="3920" spans="2:9">
      <c r="B3920" s="1297"/>
      <c r="C3920" s="1297"/>
      <c r="D3920" s="1297" t="s">
        <v>1046</v>
      </c>
      <c r="H3920" s="1399">
        <v>20412139</v>
      </c>
      <c r="I3920" s="1399">
        <v>20412139</v>
      </c>
    </row>
    <row r="3921" spans="2:9">
      <c r="B3921" s="1297"/>
      <c r="C3921" s="1297"/>
      <c r="D3921" s="1297" t="s">
        <v>1128</v>
      </c>
      <c r="H3921" s="1399">
        <v>1630352</v>
      </c>
      <c r="I3921" s="1399">
        <v>1630352</v>
      </c>
    </row>
    <row r="3922" spans="2:9">
      <c r="B3922" s="1297"/>
      <c r="C3922" s="1297"/>
      <c r="D3922" s="1297" t="s">
        <v>1129</v>
      </c>
      <c r="H3922" s="1399">
        <v>-2352354</v>
      </c>
      <c r="I3922" s="1399">
        <v>-2352354</v>
      </c>
    </row>
    <row r="3923" spans="2:9">
      <c r="B3923" s="1297"/>
      <c r="C3923" s="1297"/>
      <c r="D3923" s="1297" t="s">
        <v>1047</v>
      </c>
      <c r="H3923" s="1399">
        <v>730580</v>
      </c>
      <c r="I3923" s="1399">
        <v>730580</v>
      </c>
    </row>
    <row r="3924" spans="2:9">
      <c r="B3924" s="1297"/>
      <c r="C3924" s="1297"/>
      <c r="D3924" s="1297" t="s">
        <v>1048</v>
      </c>
      <c r="H3924" s="1399">
        <v>-6378998</v>
      </c>
      <c r="I3924" s="1399">
        <v>-6378998</v>
      </c>
    </row>
    <row r="3925" spans="2:9">
      <c r="B3925" s="1297"/>
      <c r="C3925" s="1297"/>
      <c r="D3925" s="1297" t="s">
        <v>933</v>
      </c>
      <c r="H3925" s="1399">
        <v>866187.01</v>
      </c>
      <c r="I3925" s="1399">
        <v>866187.01</v>
      </c>
    </row>
    <row r="3926" spans="2:9">
      <c r="B3926" s="1297"/>
      <c r="C3926" s="1297"/>
      <c r="D3926" s="1297" t="s">
        <v>934</v>
      </c>
      <c r="H3926" s="1399">
        <v>65282</v>
      </c>
      <c r="I3926" s="1399">
        <v>65282</v>
      </c>
    </row>
    <row r="3927" spans="2:9">
      <c r="B3927" s="1297"/>
      <c r="C3927" s="1297"/>
      <c r="D3927" s="1297" t="s">
        <v>935</v>
      </c>
      <c r="H3927" s="1399">
        <v>372522.21</v>
      </c>
      <c r="I3927" s="1399">
        <v>372522.21</v>
      </c>
    </row>
    <row r="3928" spans="2:9">
      <c r="B3928" s="1297"/>
      <c r="C3928" s="1297"/>
      <c r="D3928" s="1297" t="s">
        <v>936</v>
      </c>
      <c r="H3928" s="1399">
        <v>76332.820000000007</v>
      </c>
      <c r="I3928" s="1399">
        <v>76332.820000000007</v>
      </c>
    </row>
    <row r="3929" spans="2:9">
      <c r="B3929" s="1297"/>
      <c r="C3929" s="1297"/>
      <c r="D3929" s="1297" t="s">
        <v>937</v>
      </c>
      <c r="H3929" s="1399">
        <v>22435.56</v>
      </c>
      <c r="I3929" s="1399">
        <v>22435.56</v>
      </c>
    </row>
    <row r="3930" spans="2:9">
      <c r="B3930" s="1297"/>
      <c r="C3930" s="1297"/>
      <c r="D3930" s="1297" t="s">
        <v>938</v>
      </c>
      <c r="H3930" s="1399">
        <v>24518</v>
      </c>
      <c r="I3930" s="1399">
        <v>24518</v>
      </c>
    </row>
    <row r="3931" spans="2:9">
      <c r="B3931" s="1297"/>
      <c r="C3931" s="1297"/>
      <c r="D3931" s="1297" t="s">
        <v>940</v>
      </c>
      <c r="E3931" s="1399">
        <v>918053.64</v>
      </c>
      <c r="I3931" s="1399">
        <v>918053.64</v>
      </c>
    </row>
    <row r="3932" spans="2:9">
      <c r="B3932" s="1297"/>
      <c r="C3932" s="1297"/>
      <c r="D3932" s="1297" t="s">
        <v>941</v>
      </c>
      <c r="E3932" s="1399">
        <v>308487.90000000002</v>
      </c>
      <c r="I3932" s="1399">
        <v>308487.90000000002</v>
      </c>
    </row>
    <row r="3933" spans="2:9">
      <c r="B3933" s="1297"/>
      <c r="C3933" s="1297"/>
      <c r="D3933" s="1297" t="s">
        <v>943</v>
      </c>
      <c r="E3933" s="1399">
        <v>8973.98</v>
      </c>
      <c r="I3933" s="1399">
        <v>8973.98</v>
      </c>
    </row>
    <row r="3934" spans="2:9">
      <c r="B3934" s="1297"/>
      <c r="C3934" s="1297"/>
      <c r="D3934" s="1297" t="s">
        <v>944</v>
      </c>
      <c r="E3934" s="1399">
        <v>2183928.7700000005</v>
      </c>
      <c r="I3934" s="1399">
        <v>2183928.7700000005</v>
      </c>
    </row>
    <row r="3935" spans="2:9">
      <c r="B3935" s="1297"/>
      <c r="C3935" s="1297"/>
      <c r="D3935" s="1297" t="s">
        <v>945</v>
      </c>
      <c r="E3935" s="1399">
        <v>1405015.22</v>
      </c>
      <c r="I3935" s="1399">
        <v>1405015.22</v>
      </c>
    </row>
    <row r="3936" spans="2:9">
      <c r="B3936" s="1297"/>
      <c r="C3936" s="1297"/>
      <c r="D3936" s="1297" t="s">
        <v>947</v>
      </c>
      <c r="E3936" s="1399">
        <v>124368.45</v>
      </c>
      <c r="I3936" s="1399">
        <v>124368.45</v>
      </c>
    </row>
    <row r="3937" spans="2:9">
      <c r="B3937" s="1297"/>
      <c r="C3937" s="1297"/>
      <c r="D3937" s="1297" t="s">
        <v>948</v>
      </c>
      <c r="G3937" s="1399">
        <v>128473.8</v>
      </c>
      <c r="I3937" s="1399">
        <v>128473.8</v>
      </c>
    </row>
    <row r="3938" spans="2:9">
      <c r="B3938" s="1297"/>
      <c r="C3938" s="1400" t="s">
        <v>1258</v>
      </c>
      <c r="D3938" s="1400"/>
      <c r="E3938" s="1401">
        <v>4948827.9600000009</v>
      </c>
      <c r="F3938" s="1401">
        <v>26367000.660000011</v>
      </c>
      <c r="G3938" s="1401">
        <v>128473.8</v>
      </c>
      <c r="H3938" s="1401">
        <v>15468996.600000001</v>
      </c>
      <c r="I3938" s="1401">
        <v>46913299.020000011</v>
      </c>
    </row>
    <row r="3939" spans="2:9">
      <c r="B3939" s="1297" t="s">
        <v>1259</v>
      </c>
      <c r="C3939" s="1297" t="s">
        <v>1260</v>
      </c>
      <c r="D3939" s="1297" t="s">
        <v>906</v>
      </c>
      <c r="F3939" s="1399">
        <v>2216413.52</v>
      </c>
      <c r="I3939" s="1399">
        <v>2216413.52</v>
      </c>
    </row>
    <row r="3940" spans="2:9">
      <c r="B3940" s="1297"/>
      <c r="C3940" s="1297"/>
      <c r="D3940" s="1297" t="s">
        <v>907</v>
      </c>
      <c r="F3940" s="1399">
        <v>636863.44999999995</v>
      </c>
      <c r="I3940" s="1399">
        <v>636863.44999999995</v>
      </c>
    </row>
    <row r="3941" spans="2:9">
      <c r="B3941" s="1297"/>
      <c r="C3941" s="1297"/>
      <c r="D3941" s="1297" t="s">
        <v>908</v>
      </c>
      <c r="F3941" s="1399">
        <v>32802.28</v>
      </c>
      <c r="I3941" s="1399">
        <v>32802.28</v>
      </c>
    </row>
    <row r="3942" spans="2:9">
      <c r="B3942" s="1297"/>
      <c r="C3942" s="1297"/>
      <c r="D3942" s="1297" t="s">
        <v>1034</v>
      </c>
      <c r="F3942" s="1399">
        <v>4805.7</v>
      </c>
      <c r="I3942" s="1399">
        <v>4805.7</v>
      </c>
    </row>
    <row r="3943" spans="2:9">
      <c r="B3943" s="1297"/>
      <c r="C3943" s="1297"/>
      <c r="D3943" s="1297" t="s">
        <v>1038</v>
      </c>
      <c r="F3943" s="1399">
        <v>7018.77</v>
      </c>
      <c r="I3943" s="1399">
        <v>7018.77</v>
      </c>
    </row>
    <row r="3944" spans="2:9">
      <c r="B3944" s="1297"/>
      <c r="C3944" s="1297"/>
      <c r="D3944" s="1297" t="s">
        <v>1039</v>
      </c>
      <c r="F3944" s="1399">
        <v>17269.049999999996</v>
      </c>
      <c r="I3944" s="1399">
        <v>17269.049999999996</v>
      </c>
    </row>
    <row r="3945" spans="2:9">
      <c r="B3945" s="1297"/>
      <c r="C3945" s="1297"/>
      <c r="D3945" s="1297" t="s">
        <v>1040</v>
      </c>
      <c r="F3945" s="1399">
        <v>39917.550000000003</v>
      </c>
      <c r="I3945" s="1399">
        <v>39917.550000000003</v>
      </c>
    </row>
    <row r="3946" spans="2:9">
      <c r="B3946" s="1297"/>
      <c r="C3946" s="1297"/>
      <c r="D3946" s="1297" t="s">
        <v>1041</v>
      </c>
      <c r="F3946" s="1399">
        <v>1822.68</v>
      </c>
      <c r="I3946" s="1399">
        <v>1822.68</v>
      </c>
    </row>
    <row r="3947" spans="2:9">
      <c r="B3947" s="1297"/>
      <c r="C3947" s="1297"/>
      <c r="D3947" s="1297" t="s">
        <v>1042</v>
      </c>
      <c r="F3947" s="1399">
        <v>19354.29</v>
      </c>
      <c r="I3947" s="1399">
        <v>19354.29</v>
      </c>
    </row>
    <row r="3948" spans="2:9">
      <c r="B3948" s="1297"/>
      <c r="C3948" s="1297"/>
      <c r="D3948" s="1297" t="s">
        <v>953</v>
      </c>
      <c r="F3948" s="1399">
        <v>0</v>
      </c>
      <c r="I3948" s="1399">
        <v>0</v>
      </c>
    </row>
    <row r="3949" spans="2:9">
      <c r="B3949" s="1297"/>
      <c r="C3949" s="1297"/>
      <c r="D3949" s="1297" t="s">
        <v>986</v>
      </c>
      <c r="F3949" s="1399">
        <v>246287.3</v>
      </c>
      <c r="I3949" s="1399">
        <v>246287.3</v>
      </c>
    </row>
    <row r="3950" spans="2:9">
      <c r="B3950" s="1297"/>
      <c r="C3950" s="1297"/>
      <c r="D3950" s="1297" t="s">
        <v>1044</v>
      </c>
      <c r="F3950" s="1399">
        <v>-73474.36</v>
      </c>
      <c r="I3950" s="1399">
        <v>-73474.36</v>
      </c>
    </row>
    <row r="3951" spans="2:9">
      <c r="B3951" s="1297"/>
      <c r="C3951" s="1297"/>
      <c r="D3951" s="1297" t="s">
        <v>1045</v>
      </c>
      <c r="F3951" s="1399">
        <v>165101.40999999997</v>
      </c>
      <c r="I3951" s="1399">
        <v>165101.40999999997</v>
      </c>
    </row>
    <row r="3952" spans="2:9">
      <c r="B3952" s="1297"/>
      <c r="C3952" s="1297"/>
      <c r="D3952" s="1297" t="s">
        <v>1046</v>
      </c>
      <c r="H3952" s="1399">
        <v>5722904</v>
      </c>
      <c r="I3952" s="1399">
        <v>5722904</v>
      </c>
    </row>
    <row r="3953" spans="2:9">
      <c r="B3953" s="1297"/>
      <c r="C3953" s="1297"/>
      <c r="D3953" s="1297" t="s">
        <v>1047</v>
      </c>
      <c r="H3953" s="1399">
        <v>270562</v>
      </c>
      <c r="I3953" s="1399">
        <v>270562</v>
      </c>
    </row>
    <row r="3954" spans="2:9">
      <c r="B3954" s="1297"/>
      <c r="C3954" s="1297"/>
      <c r="D3954" s="1297" t="s">
        <v>1048</v>
      </c>
      <c r="H3954" s="1399">
        <v>-750568</v>
      </c>
      <c r="I3954" s="1399">
        <v>-750568</v>
      </c>
    </row>
    <row r="3955" spans="2:9">
      <c r="B3955" s="1297"/>
      <c r="C3955" s="1297"/>
      <c r="D3955" s="1297" t="s">
        <v>932</v>
      </c>
      <c r="H3955" s="1399">
        <v>392904</v>
      </c>
      <c r="I3955" s="1399">
        <v>392904</v>
      </c>
    </row>
    <row r="3956" spans="2:9">
      <c r="B3956" s="1297"/>
      <c r="C3956" s="1297"/>
      <c r="D3956" s="1297" t="s">
        <v>933</v>
      </c>
      <c r="H3956" s="1399">
        <v>350055.51</v>
      </c>
      <c r="I3956" s="1399">
        <v>350055.51</v>
      </c>
    </row>
    <row r="3957" spans="2:9">
      <c r="B3957" s="1297"/>
      <c r="C3957" s="1297"/>
      <c r="D3957" s="1297" t="s">
        <v>934</v>
      </c>
      <c r="H3957" s="1399">
        <v>18008</v>
      </c>
      <c r="I3957" s="1399">
        <v>18008</v>
      </c>
    </row>
    <row r="3958" spans="2:9">
      <c r="B3958" s="1297"/>
      <c r="C3958" s="1297"/>
      <c r="D3958" s="1297" t="s">
        <v>935</v>
      </c>
      <c r="H3958" s="1399">
        <v>66574.710000000006</v>
      </c>
      <c r="I3958" s="1399">
        <v>66574.710000000006</v>
      </c>
    </row>
    <row r="3959" spans="2:9">
      <c r="B3959" s="1297"/>
      <c r="C3959" s="1297"/>
      <c r="D3959" s="1297" t="s">
        <v>936</v>
      </c>
      <c r="H3959" s="1399">
        <v>20658.88</v>
      </c>
      <c r="I3959" s="1399">
        <v>20658.88</v>
      </c>
    </row>
    <row r="3960" spans="2:9">
      <c r="B3960" s="1297"/>
      <c r="C3960" s="1297"/>
      <c r="D3960" s="1297" t="s">
        <v>937</v>
      </c>
      <c r="H3960" s="1399">
        <v>2123.4499999999998</v>
      </c>
      <c r="I3960" s="1399">
        <v>2123.4499999999998</v>
      </c>
    </row>
    <row r="3961" spans="2:9">
      <c r="B3961" s="1297"/>
      <c r="C3961" s="1297"/>
      <c r="D3961" s="1297" t="s">
        <v>938</v>
      </c>
      <c r="H3961" s="1399">
        <v>6551</v>
      </c>
      <c r="I3961" s="1399">
        <v>6551</v>
      </c>
    </row>
    <row r="3962" spans="2:9">
      <c r="B3962" s="1297"/>
      <c r="C3962" s="1297"/>
      <c r="D3962" s="1297" t="s">
        <v>939</v>
      </c>
      <c r="H3962" s="1399">
        <v>126041.81</v>
      </c>
      <c r="I3962" s="1399">
        <v>126041.81</v>
      </c>
    </row>
    <row r="3963" spans="2:9">
      <c r="B3963" s="1297"/>
      <c r="C3963" s="1297"/>
      <c r="D3963" s="1297" t="s">
        <v>940</v>
      </c>
      <c r="E3963" s="1399">
        <v>339436.56</v>
      </c>
      <c r="I3963" s="1399">
        <v>339436.56</v>
      </c>
    </row>
    <row r="3964" spans="2:9">
      <c r="B3964" s="1297"/>
      <c r="C3964" s="1297"/>
      <c r="D3964" s="1297" t="s">
        <v>941</v>
      </c>
      <c r="E3964" s="1399">
        <v>127986.76</v>
      </c>
      <c r="I3964" s="1399">
        <v>127986.76</v>
      </c>
    </row>
    <row r="3965" spans="2:9">
      <c r="B3965" s="1297"/>
      <c r="C3965" s="1297"/>
      <c r="D3965" s="1297" t="s">
        <v>942</v>
      </c>
      <c r="E3965" s="1399">
        <v>4687.4799999999996</v>
      </c>
      <c r="I3965" s="1399">
        <v>4687.4799999999996</v>
      </c>
    </row>
    <row r="3966" spans="2:9">
      <c r="B3966" s="1297"/>
      <c r="C3966" s="1297"/>
      <c r="D3966" s="1297" t="s">
        <v>943</v>
      </c>
      <c r="E3966" s="1399">
        <v>0</v>
      </c>
      <c r="I3966" s="1399">
        <v>0</v>
      </c>
    </row>
    <row r="3967" spans="2:9">
      <c r="B3967" s="1297"/>
      <c r="C3967" s="1297"/>
      <c r="D3967" s="1297" t="s">
        <v>944</v>
      </c>
      <c r="E3967" s="1399">
        <v>962710.55</v>
      </c>
      <c r="I3967" s="1399">
        <v>962710.55</v>
      </c>
    </row>
    <row r="3968" spans="2:9">
      <c r="B3968" s="1297"/>
      <c r="C3968" s="1297"/>
      <c r="D3968" s="1297" t="s">
        <v>945</v>
      </c>
      <c r="E3968" s="1399">
        <v>229008</v>
      </c>
      <c r="I3968" s="1399">
        <v>229008</v>
      </c>
    </row>
    <row r="3969" spans="2:9">
      <c r="B3969" s="1297"/>
      <c r="C3969" s="1297"/>
      <c r="D3969" s="1297" t="s">
        <v>947</v>
      </c>
      <c r="E3969" s="1399">
        <v>38092.550000000003</v>
      </c>
      <c r="I3969" s="1399">
        <v>38092.550000000003</v>
      </c>
    </row>
    <row r="3970" spans="2:9">
      <c r="B3970" s="1297"/>
      <c r="C3970" s="1297"/>
      <c r="D3970" s="1297" t="s">
        <v>1115</v>
      </c>
      <c r="E3970" s="1399">
        <v>10.27</v>
      </c>
      <c r="I3970" s="1399">
        <v>10.27</v>
      </c>
    </row>
    <row r="3971" spans="2:9">
      <c r="B3971" s="1297"/>
      <c r="C3971" s="1297"/>
      <c r="D3971" s="1297" t="s">
        <v>948</v>
      </c>
      <c r="G3971" s="1399">
        <v>1131819.02</v>
      </c>
      <c r="I3971" s="1399">
        <v>1131819.02</v>
      </c>
    </row>
    <row r="3972" spans="2:9">
      <c r="B3972" s="1297"/>
      <c r="C3972" s="1400" t="s">
        <v>1261</v>
      </c>
      <c r="D3972" s="1400"/>
      <c r="E3972" s="1401">
        <v>1701932.1700000002</v>
      </c>
      <c r="F3972" s="1401">
        <v>3314181.6399999997</v>
      </c>
      <c r="G3972" s="1401">
        <v>1131819.02</v>
      </c>
      <c r="H3972" s="1401">
        <v>6225815.3599999994</v>
      </c>
      <c r="I3972" s="1401">
        <v>12373748.190000003</v>
      </c>
    </row>
    <row r="3973" spans="2:9">
      <c r="B3973" s="1297" t="s">
        <v>1262</v>
      </c>
      <c r="C3973" s="1297" t="s">
        <v>1263</v>
      </c>
      <c r="D3973" s="1297" t="s">
        <v>906</v>
      </c>
      <c r="F3973" s="1399">
        <v>12032716.470000001</v>
      </c>
      <c r="I3973" s="1399">
        <v>12032716.470000001</v>
      </c>
    </row>
    <row r="3974" spans="2:9">
      <c r="B3974" s="1297"/>
      <c r="C3974" s="1297"/>
      <c r="D3974" s="1297" t="s">
        <v>952</v>
      </c>
      <c r="F3974" s="1399">
        <v>104646.37</v>
      </c>
      <c r="I3974" s="1399">
        <v>104646.37</v>
      </c>
    </row>
    <row r="3975" spans="2:9">
      <c r="B3975" s="1297"/>
      <c r="C3975" s="1297"/>
      <c r="D3975" s="1297" t="s">
        <v>907</v>
      </c>
      <c r="F3975" s="1399">
        <v>3495751.71</v>
      </c>
      <c r="I3975" s="1399">
        <v>3495751.71</v>
      </c>
    </row>
    <row r="3976" spans="2:9">
      <c r="B3976" s="1297"/>
      <c r="C3976" s="1297"/>
      <c r="D3976" s="1297" t="s">
        <v>908</v>
      </c>
      <c r="F3976" s="1399">
        <v>26849.7</v>
      </c>
      <c r="I3976" s="1399">
        <v>26849.7</v>
      </c>
    </row>
    <row r="3977" spans="2:9">
      <c r="B3977" s="1297"/>
      <c r="C3977" s="1297"/>
      <c r="D3977" s="1297" t="s">
        <v>1034</v>
      </c>
      <c r="F3977" s="1399">
        <v>12085.37</v>
      </c>
      <c r="I3977" s="1399">
        <v>12085.37</v>
      </c>
    </row>
    <row r="3978" spans="2:9">
      <c r="B3978" s="1297"/>
      <c r="C3978" s="1297"/>
      <c r="D3978" s="1297" t="s">
        <v>1035</v>
      </c>
      <c r="F3978" s="1399">
        <v>387436.16</v>
      </c>
      <c r="I3978" s="1399">
        <v>387436.16</v>
      </c>
    </row>
    <row r="3979" spans="2:9">
      <c r="B3979" s="1297"/>
      <c r="C3979" s="1297"/>
      <c r="D3979" s="1297" t="s">
        <v>1037</v>
      </c>
      <c r="F3979" s="1399">
        <v>16003.98</v>
      </c>
      <c r="I3979" s="1399">
        <v>16003.98</v>
      </c>
    </row>
    <row r="3980" spans="2:9">
      <c r="B3980" s="1297"/>
      <c r="C3980" s="1297"/>
      <c r="D3980" s="1297" t="s">
        <v>1039</v>
      </c>
      <c r="F3980" s="1399">
        <v>118183.03</v>
      </c>
      <c r="I3980" s="1399">
        <v>118183.03</v>
      </c>
    </row>
    <row r="3981" spans="2:9">
      <c r="B3981" s="1297"/>
      <c r="C3981" s="1297"/>
      <c r="D3981" s="1297" t="s">
        <v>1040</v>
      </c>
      <c r="F3981" s="1399">
        <v>248971.26</v>
      </c>
      <c r="I3981" s="1399">
        <v>248971.26</v>
      </c>
    </row>
    <row r="3982" spans="2:9">
      <c r="B3982" s="1297"/>
      <c r="C3982" s="1297"/>
      <c r="D3982" s="1297" t="s">
        <v>1041</v>
      </c>
      <c r="F3982" s="1399">
        <v>37259.300000000003</v>
      </c>
      <c r="I3982" s="1399">
        <v>37259.300000000003</v>
      </c>
    </row>
    <row r="3983" spans="2:9">
      <c r="B3983" s="1297"/>
      <c r="C3983" s="1297"/>
      <c r="D3983" s="1297" t="s">
        <v>1042</v>
      </c>
      <c r="F3983" s="1399">
        <v>31063.13</v>
      </c>
      <c r="I3983" s="1399">
        <v>31063.13</v>
      </c>
    </row>
    <row r="3984" spans="2:9">
      <c r="B3984" s="1297"/>
      <c r="C3984" s="1297"/>
      <c r="D3984" s="1297" t="s">
        <v>1043</v>
      </c>
      <c r="F3984" s="1399">
        <v>14400</v>
      </c>
      <c r="I3984" s="1399">
        <v>14400</v>
      </c>
    </row>
    <row r="3985" spans="2:9">
      <c r="B3985" s="1297"/>
      <c r="C3985" s="1297"/>
      <c r="D3985" s="1297" t="s">
        <v>986</v>
      </c>
      <c r="F3985" s="1399">
        <v>2570</v>
      </c>
      <c r="I3985" s="1399">
        <v>2570</v>
      </c>
    </row>
    <row r="3986" spans="2:9">
      <c r="B3986" s="1297"/>
      <c r="C3986" s="1297"/>
      <c r="D3986" s="1297" t="s">
        <v>1045</v>
      </c>
      <c r="F3986" s="1399">
        <v>1143704.33</v>
      </c>
      <c r="I3986" s="1399">
        <v>1143704.33</v>
      </c>
    </row>
    <row r="3987" spans="2:9">
      <c r="B3987" s="1297"/>
      <c r="C3987" s="1297"/>
      <c r="D3987" s="1297" t="s">
        <v>1046</v>
      </c>
      <c r="H3987" s="1399">
        <v>18913250</v>
      </c>
      <c r="I3987" s="1399">
        <v>18913250</v>
      </c>
    </row>
    <row r="3988" spans="2:9">
      <c r="B3988" s="1297"/>
      <c r="C3988" s="1297"/>
      <c r="D3988" s="1297" t="s">
        <v>1047</v>
      </c>
      <c r="H3988" s="1399">
        <v>-1585748</v>
      </c>
      <c r="I3988" s="1399">
        <v>-1585748</v>
      </c>
    </row>
    <row r="3989" spans="2:9">
      <c r="B3989" s="1297"/>
      <c r="C3989" s="1297"/>
      <c r="D3989" s="1297" t="s">
        <v>1048</v>
      </c>
      <c r="H3989" s="1399">
        <v>-4444824</v>
      </c>
      <c r="I3989" s="1399">
        <v>-4444824</v>
      </c>
    </row>
    <row r="3990" spans="2:9">
      <c r="B3990" s="1297"/>
      <c r="C3990" s="1297"/>
      <c r="D3990" s="1297" t="s">
        <v>955</v>
      </c>
      <c r="H3990" s="1399">
        <v>417209.28</v>
      </c>
      <c r="I3990" s="1399">
        <v>417209.28</v>
      </c>
    </row>
    <row r="3991" spans="2:9">
      <c r="B3991" s="1297"/>
      <c r="C3991" s="1297"/>
      <c r="D3991" s="1297" t="s">
        <v>934</v>
      </c>
      <c r="H3991" s="1399">
        <v>47178</v>
      </c>
      <c r="I3991" s="1399">
        <v>47178</v>
      </c>
    </row>
    <row r="3992" spans="2:9">
      <c r="B3992" s="1297"/>
      <c r="C3992" s="1297"/>
      <c r="D3992" s="1297" t="s">
        <v>935</v>
      </c>
      <c r="H3992" s="1399">
        <v>130541.68</v>
      </c>
      <c r="I3992" s="1399">
        <v>130541.68</v>
      </c>
    </row>
    <row r="3993" spans="2:9">
      <c r="B3993" s="1297"/>
      <c r="C3993" s="1297"/>
      <c r="D3993" s="1297" t="s">
        <v>936</v>
      </c>
      <c r="H3993" s="1399">
        <v>59175.44</v>
      </c>
      <c r="I3993" s="1399">
        <v>59175.44</v>
      </c>
    </row>
    <row r="3994" spans="2:9">
      <c r="B3994" s="1297"/>
      <c r="C3994" s="1297"/>
      <c r="D3994" s="1297" t="s">
        <v>938</v>
      </c>
      <c r="H3994" s="1399">
        <v>15909</v>
      </c>
      <c r="I3994" s="1399">
        <v>15909</v>
      </c>
    </row>
    <row r="3995" spans="2:9">
      <c r="B3995" s="1297"/>
      <c r="C3995" s="1297"/>
      <c r="D3995" s="1297" t="s">
        <v>939</v>
      </c>
      <c r="H3995" s="1399">
        <v>45876.38</v>
      </c>
      <c r="I3995" s="1399">
        <v>45876.38</v>
      </c>
    </row>
    <row r="3996" spans="2:9">
      <c r="B3996" s="1297"/>
      <c r="C3996" s="1297"/>
      <c r="D3996" s="1297" t="s">
        <v>1131</v>
      </c>
      <c r="E3996" s="1399">
        <v>58204.03</v>
      </c>
      <c r="I3996" s="1399">
        <v>58204.03</v>
      </c>
    </row>
    <row r="3997" spans="2:9">
      <c r="B3997" s="1297"/>
      <c r="C3997" s="1297"/>
      <c r="D3997" s="1297" t="s">
        <v>940</v>
      </c>
      <c r="E3997" s="1399">
        <v>675985</v>
      </c>
      <c r="I3997" s="1399">
        <v>675985</v>
      </c>
    </row>
    <row r="3998" spans="2:9">
      <c r="B3998" s="1297"/>
      <c r="C3998" s="1297"/>
      <c r="D3998" s="1297" t="s">
        <v>941</v>
      </c>
      <c r="E3998" s="1399">
        <v>236067.62</v>
      </c>
      <c r="I3998" s="1399">
        <v>236067.62</v>
      </c>
    </row>
    <row r="3999" spans="2:9">
      <c r="B3999" s="1297"/>
      <c r="C3999" s="1297"/>
      <c r="D3999" s="1297" t="s">
        <v>944</v>
      </c>
      <c r="E3999" s="1399">
        <v>1547171.24</v>
      </c>
      <c r="I3999" s="1399">
        <v>1547171.24</v>
      </c>
    </row>
    <row r="4000" spans="2:9">
      <c r="B4000" s="1297"/>
      <c r="C4000" s="1297"/>
      <c r="D4000" s="1297" t="s">
        <v>945</v>
      </c>
      <c r="E4000" s="1399">
        <v>1191719.45</v>
      </c>
      <c r="I4000" s="1399">
        <v>1191719.45</v>
      </c>
    </row>
    <row r="4001" spans="2:9">
      <c r="B4001" s="1297"/>
      <c r="C4001" s="1297"/>
      <c r="D4001" s="1297" t="s">
        <v>946</v>
      </c>
      <c r="E4001" s="1399">
        <v>-8.6</v>
      </c>
      <c r="I4001" s="1399">
        <v>-8.6</v>
      </c>
    </row>
    <row r="4002" spans="2:9">
      <c r="B4002" s="1297"/>
      <c r="C4002" s="1297"/>
      <c r="D4002" s="1297" t="s">
        <v>947</v>
      </c>
      <c r="E4002" s="1399">
        <v>53108.869999999995</v>
      </c>
      <c r="I4002" s="1399">
        <v>53108.869999999995</v>
      </c>
    </row>
    <row r="4003" spans="2:9">
      <c r="B4003" s="1297"/>
      <c r="C4003" s="1297"/>
      <c r="D4003" s="1297" t="s">
        <v>948</v>
      </c>
      <c r="G4003" s="1399">
        <v>49983.43</v>
      </c>
      <c r="I4003" s="1399">
        <v>49983.43</v>
      </c>
    </row>
    <row r="4004" spans="2:9">
      <c r="B4004" s="1297"/>
      <c r="C4004" s="1400" t="s">
        <v>1264</v>
      </c>
      <c r="D4004" s="1400"/>
      <c r="E4004" s="1401">
        <v>3762247.61</v>
      </c>
      <c r="F4004" s="1401">
        <v>17671640.810000002</v>
      </c>
      <c r="G4004" s="1401">
        <v>49983.43</v>
      </c>
      <c r="H4004" s="1401">
        <v>13598567.779999999</v>
      </c>
      <c r="I4004" s="1401">
        <v>35082439.630000003</v>
      </c>
    </row>
    <row r="4005" spans="2:9">
      <c r="B4005" s="1297" t="s">
        <v>1265</v>
      </c>
      <c r="C4005" s="1297" t="s">
        <v>1266</v>
      </c>
      <c r="D4005" s="1297" t="s">
        <v>906</v>
      </c>
      <c r="F4005" s="1399">
        <v>12903302.01</v>
      </c>
      <c r="I4005" s="1399">
        <v>12903302.01</v>
      </c>
    </row>
    <row r="4006" spans="2:9">
      <c r="B4006" s="1297"/>
      <c r="C4006" s="1297"/>
      <c r="D4006" s="1297" t="s">
        <v>907</v>
      </c>
      <c r="F4006" s="1399">
        <v>4337977.45</v>
      </c>
      <c r="I4006" s="1399">
        <v>4337977.45</v>
      </c>
    </row>
    <row r="4007" spans="2:9">
      <c r="B4007" s="1297"/>
      <c r="C4007" s="1297"/>
      <c r="D4007" s="1297" t="s">
        <v>1034</v>
      </c>
      <c r="F4007" s="1399">
        <v>29823.759999999998</v>
      </c>
      <c r="I4007" s="1399">
        <v>29823.759999999998</v>
      </c>
    </row>
    <row r="4008" spans="2:9">
      <c r="B4008" s="1297"/>
      <c r="C4008" s="1297"/>
      <c r="D4008" s="1297" t="s">
        <v>1035</v>
      </c>
      <c r="F4008" s="1399">
        <v>1168169.44</v>
      </c>
      <c r="I4008" s="1399">
        <v>1168169.44</v>
      </c>
    </row>
    <row r="4009" spans="2:9">
      <c r="B4009" s="1297"/>
      <c r="C4009" s="1297"/>
      <c r="D4009" s="1297" t="s">
        <v>1036</v>
      </c>
      <c r="F4009" s="1399">
        <v>289463</v>
      </c>
      <c r="I4009" s="1399">
        <v>289463</v>
      </c>
    </row>
    <row r="4010" spans="2:9">
      <c r="B4010" s="1297"/>
      <c r="C4010" s="1297"/>
      <c r="D4010" s="1297" t="s">
        <v>1039</v>
      </c>
      <c r="F4010" s="1399">
        <v>92087.93</v>
      </c>
      <c r="I4010" s="1399">
        <v>92087.93</v>
      </c>
    </row>
    <row r="4011" spans="2:9">
      <c r="B4011" s="1297"/>
      <c r="C4011" s="1297"/>
      <c r="D4011" s="1297" t="s">
        <v>1040</v>
      </c>
      <c r="F4011" s="1399">
        <v>559841.34</v>
      </c>
      <c r="I4011" s="1399">
        <v>559841.34</v>
      </c>
    </row>
    <row r="4012" spans="2:9">
      <c r="B4012" s="1297"/>
      <c r="C4012" s="1297"/>
      <c r="D4012" s="1297" t="s">
        <v>1041</v>
      </c>
      <c r="F4012" s="1399">
        <v>107423.83</v>
      </c>
      <c r="I4012" s="1399">
        <v>107423.83</v>
      </c>
    </row>
    <row r="4013" spans="2:9">
      <c r="B4013" s="1297"/>
      <c r="C4013" s="1297"/>
      <c r="D4013" s="1297" t="s">
        <v>1042</v>
      </c>
      <c r="F4013" s="1399">
        <v>68858.86</v>
      </c>
      <c r="I4013" s="1399">
        <v>68858.86</v>
      </c>
    </row>
    <row r="4014" spans="2:9">
      <c r="B4014" s="1297"/>
      <c r="C4014" s="1297"/>
      <c r="D4014" s="1297" t="s">
        <v>953</v>
      </c>
      <c r="F4014" s="1399">
        <v>37518</v>
      </c>
      <c r="I4014" s="1399">
        <v>37518</v>
      </c>
    </row>
    <row r="4015" spans="2:9">
      <c r="B4015" s="1297"/>
      <c r="C4015" s="1297"/>
      <c r="D4015" s="1297" t="s">
        <v>1044</v>
      </c>
      <c r="F4015" s="1399">
        <v>101827</v>
      </c>
      <c r="I4015" s="1399">
        <v>101827</v>
      </c>
    </row>
    <row r="4016" spans="2:9">
      <c r="B4016" s="1297"/>
      <c r="C4016" s="1297"/>
      <c r="D4016" s="1297" t="s">
        <v>1045</v>
      </c>
      <c r="F4016" s="1399">
        <v>1396028.09</v>
      </c>
      <c r="I4016" s="1399">
        <v>1396028.09</v>
      </c>
    </row>
    <row r="4017" spans="2:9">
      <c r="B4017" s="1297"/>
      <c r="C4017" s="1297"/>
      <c r="D4017" s="1297" t="s">
        <v>1046</v>
      </c>
      <c r="H4017" s="1399">
        <v>35419884</v>
      </c>
      <c r="I4017" s="1399">
        <v>35419884</v>
      </c>
    </row>
    <row r="4018" spans="2:9">
      <c r="B4018" s="1297"/>
      <c r="C4018" s="1297"/>
      <c r="D4018" s="1297" t="s">
        <v>1047</v>
      </c>
      <c r="H4018" s="1399">
        <v>796431</v>
      </c>
      <c r="I4018" s="1399">
        <v>796431</v>
      </c>
    </row>
    <row r="4019" spans="2:9">
      <c r="B4019" s="1297"/>
      <c r="C4019" s="1297"/>
      <c r="D4019" s="1297" t="s">
        <v>1048</v>
      </c>
      <c r="H4019" s="1399">
        <v>-4461425</v>
      </c>
      <c r="I4019" s="1399">
        <v>-4461425</v>
      </c>
    </row>
    <row r="4020" spans="2:9">
      <c r="B4020" s="1297"/>
      <c r="C4020" s="1297"/>
      <c r="D4020" s="1297" t="s">
        <v>932</v>
      </c>
      <c r="H4020" s="1399">
        <v>4668008</v>
      </c>
      <c r="I4020" s="1399">
        <v>4668008</v>
      </c>
    </row>
    <row r="4021" spans="2:9">
      <c r="B4021" s="1297"/>
      <c r="C4021" s="1297"/>
      <c r="D4021" s="1297" t="s">
        <v>933</v>
      </c>
      <c r="H4021" s="1399">
        <v>1724496.16</v>
      </c>
      <c r="I4021" s="1399">
        <v>1724496.16</v>
      </c>
    </row>
    <row r="4022" spans="2:9">
      <c r="B4022" s="1297"/>
      <c r="C4022" s="1297"/>
      <c r="D4022" s="1297" t="s">
        <v>934</v>
      </c>
      <c r="H4022" s="1399">
        <v>132316</v>
      </c>
      <c r="I4022" s="1399">
        <v>132316</v>
      </c>
    </row>
    <row r="4023" spans="2:9">
      <c r="B4023" s="1297"/>
      <c r="C4023" s="1297"/>
      <c r="D4023" s="1297" t="s">
        <v>1130</v>
      </c>
      <c r="H4023" s="1399">
        <v>984905.9</v>
      </c>
      <c r="I4023" s="1399">
        <v>984905.9</v>
      </c>
    </row>
    <row r="4024" spans="2:9">
      <c r="B4024" s="1297"/>
      <c r="C4024" s="1297"/>
      <c r="D4024" s="1297" t="s">
        <v>935</v>
      </c>
      <c r="H4024" s="1399">
        <v>745891.4</v>
      </c>
      <c r="I4024" s="1399">
        <v>745891.4</v>
      </c>
    </row>
    <row r="4025" spans="2:9">
      <c r="B4025" s="1297"/>
      <c r="C4025" s="1297"/>
      <c r="D4025" s="1297" t="s">
        <v>936</v>
      </c>
      <c r="H4025" s="1399">
        <v>123603.14</v>
      </c>
      <c r="I4025" s="1399">
        <v>123603.14</v>
      </c>
    </row>
    <row r="4026" spans="2:9">
      <c r="B4026" s="1297"/>
      <c r="C4026" s="1297"/>
      <c r="D4026" s="1297" t="s">
        <v>937</v>
      </c>
      <c r="H4026" s="1399">
        <v>21879.88</v>
      </c>
      <c r="I4026" s="1399">
        <v>21879.88</v>
      </c>
    </row>
    <row r="4027" spans="2:9">
      <c r="B4027" s="1297"/>
      <c r="C4027" s="1297"/>
      <c r="D4027" s="1297" t="s">
        <v>938</v>
      </c>
      <c r="H4027" s="1399">
        <v>42672</v>
      </c>
      <c r="I4027" s="1399">
        <v>42672</v>
      </c>
    </row>
    <row r="4028" spans="2:9">
      <c r="B4028" s="1297"/>
      <c r="C4028" s="1297"/>
      <c r="D4028" s="1297" t="s">
        <v>940</v>
      </c>
      <c r="E4028" s="1399">
        <v>2270447.6800000002</v>
      </c>
      <c r="I4028" s="1399">
        <v>2270447.6800000002</v>
      </c>
    </row>
    <row r="4029" spans="2:9">
      <c r="B4029" s="1297"/>
      <c r="C4029" s="1297"/>
      <c r="D4029" s="1297" t="s">
        <v>941</v>
      </c>
      <c r="E4029" s="1399">
        <v>970244.66</v>
      </c>
      <c r="I4029" s="1399">
        <v>970244.66</v>
      </c>
    </row>
    <row r="4030" spans="2:9">
      <c r="B4030" s="1297"/>
      <c r="C4030" s="1297"/>
      <c r="D4030" s="1297" t="s">
        <v>943</v>
      </c>
      <c r="E4030" s="1399">
        <v>38064.86</v>
      </c>
      <c r="I4030" s="1399">
        <v>38064.86</v>
      </c>
    </row>
    <row r="4031" spans="2:9">
      <c r="B4031" s="1297"/>
      <c r="C4031" s="1297"/>
      <c r="D4031" s="1297" t="s">
        <v>944</v>
      </c>
      <c r="E4031" s="1399">
        <v>3605384.1199999996</v>
      </c>
      <c r="I4031" s="1399">
        <v>3605384.1199999996</v>
      </c>
    </row>
    <row r="4032" spans="2:9">
      <c r="B4032" s="1297"/>
      <c r="C4032" s="1297"/>
      <c r="D4032" s="1297" t="s">
        <v>945</v>
      </c>
      <c r="E4032" s="1399">
        <v>2937168.5500000003</v>
      </c>
      <c r="I4032" s="1399">
        <v>2937168.5500000003</v>
      </c>
    </row>
    <row r="4033" spans="2:9">
      <c r="B4033" s="1297"/>
      <c r="C4033" s="1297"/>
      <c r="D4033" s="1297" t="s">
        <v>946</v>
      </c>
      <c r="E4033" s="1399">
        <v>114946.43</v>
      </c>
      <c r="I4033" s="1399">
        <v>114946.43</v>
      </c>
    </row>
    <row r="4034" spans="2:9">
      <c r="B4034" s="1297"/>
      <c r="C4034" s="1297"/>
      <c r="D4034" s="1297" t="s">
        <v>1214</v>
      </c>
      <c r="E4034" s="1399">
        <v>536152.5</v>
      </c>
      <c r="I4034" s="1399">
        <v>536152.5</v>
      </c>
    </row>
    <row r="4035" spans="2:9">
      <c r="B4035" s="1297"/>
      <c r="C4035" s="1297"/>
      <c r="D4035" s="1297" t="s">
        <v>947</v>
      </c>
      <c r="E4035" s="1399">
        <v>273313.55</v>
      </c>
      <c r="I4035" s="1399">
        <v>273313.55</v>
      </c>
    </row>
    <row r="4036" spans="2:9">
      <c r="B4036" s="1297"/>
      <c r="C4036" s="1297"/>
      <c r="D4036" s="1297" t="s">
        <v>948</v>
      </c>
      <c r="G4036" s="1399">
        <v>17000792.529999997</v>
      </c>
      <c r="I4036" s="1399">
        <v>17000792.529999997</v>
      </c>
    </row>
    <row r="4037" spans="2:9">
      <c r="B4037" s="1297"/>
      <c r="C4037" s="1400" t="s">
        <v>1267</v>
      </c>
      <c r="D4037" s="1400"/>
      <c r="E4037" s="1401">
        <v>10745722.350000001</v>
      </c>
      <c r="F4037" s="1401">
        <v>21092320.710000001</v>
      </c>
      <c r="G4037" s="1401">
        <v>17000792.529999997</v>
      </c>
      <c r="H4037" s="1401">
        <v>40198662.479999997</v>
      </c>
      <c r="I4037" s="1401">
        <v>89037498.069999993</v>
      </c>
    </row>
    <row r="4038" spans="2:9">
      <c r="B4038" s="1297" t="s">
        <v>1268</v>
      </c>
      <c r="C4038" s="1297" t="s">
        <v>1269</v>
      </c>
      <c r="D4038" s="1297" t="s">
        <v>906</v>
      </c>
      <c r="F4038" s="1399">
        <v>94808157.799999997</v>
      </c>
      <c r="I4038" s="1399">
        <v>94808157.799999997</v>
      </c>
    </row>
    <row r="4039" spans="2:9">
      <c r="B4039" s="1297"/>
      <c r="C4039" s="1297"/>
      <c r="D4039" s="1297" t="s">
        <v>952</v>
      </c>
      <c r="F4039" s="1399">
        <v>115532.71</v>
      </c>
      <c r="I4039" s="1399">
        <v>115532.71</v>
      </c>
    </row>
    <row r="4040" spans="2:9">
      <c r="B4040" s="1297"/>
      <c r="C4040" s="1297"/>
      <c r="D4040" s="1297" t="s">
        <v>907</v>
      </c>
      <c r="F4040" s="1399">
        <v>36286562.030000001</v>
      </c>
      <c r="I4040" s="1399">
        <v>36286562.030000001</v>
      </c>
    </row>
    <row r="4041" spans="2:9">
      <c r="B4041" s="1297"/>
      <c r="C4041" s="1297"/>
      <c r="D4041" s="1297" t="s">
        <v>908</v>
      </c>
      <c r="F4041" s="1399">
        <v>133632.60999999999</v>
      </c>
      <c r="I4041" s="1399">
        <v>133632.60999999999</v>
      </c>
    </row>
    <row r="4042" spans="2:9">
      <c r="B4042" s="1297"/>
      <c r="C4042" s="1297"/>
      <c r="D4042" s="1297" t="s">
        <v>909</v>
      </c>
      <c r="F4042" s="1399">
        <v>97205.540000000008</v>
      </c>
      <c r="I4042" s="1399">
        <v>97205.540000000008</v>
      </c>
    </row>
    <row r="4043" spans="2:9">
      <c r="B4043" s="1297"/>
      <c r="C4043" s="1297"/>
      <c r="D4043" s="1297" t="s">
        <v>910</v>
      </c>
      <c r="F4043" s="1399">
        <v>1149305.1100000001</v>
      </c>
      <c r="I4043" s="1399">
        <v>1149305.1100000001</v>
      </c>
    </row>
    <row r="4044" spans="2:9">
      <c r="B4044" s="1297"/>
      <c r="C4044" s="1297"/>
      <c r="D4044" s="1297" t="s">
        <v>1034</v>
      </c>
      <c r="F4044" s="1399">
        <v>518886.19000000006</v>
      </c>
      <c r="I4044" s="1399">
        <v>518886.19000000006</v>
      </c>
    </row>
    <row r="4045" spans="2:9">
      <c r="B4045" s="1297"/>
      <c r="C4045" s="1297"/>
      <c r="D4045" s="1297" t="s">
        <v>1035</v>
      </c>
      <c r="F4045" s="1399">
        <v>1491212.9599999997</v>
      </c>
      <c r="I4045" s="1399">
        <v>1491212.9599999997</v>
      </c>
    </row>
    <row r="4046" spans="2:9">
      <c r="B4046" s="1297"/>
      <c r="C4046" s="1297"/>
      <c r="D4046" s="1297" t="s">
        <v>1036</v>
      </c>
      <c r="F4046" s="1399">
        <v>640637.00000000012</v>
      </c>
      <c r="I4046" s="1399">
        <v>640637.00000000012</v>
      </c>
    </row>
    <row r="4047" spans="2:9">
      <c r="B4047" s="1297"/>
      <c r="C4047" s="1297"/>
      <c r="D4047" s="1297" t="s">
        <v>1037</v>
      </c>
      <c r="F4047" s="1399">
        <v>365595.72</v>
      </c>
      <c r="I4047" s="1399">
        <v>365595.72</v>
      </c>
    </row>
    <row r="4048" spans="2:9">
      <c r="B4048" s="1297"/>
      <c r="C4048" s="1297"/>
      <c r="D4048" s="1297" t="s">
        <v>1038</v>
      </c>
      <c r="F4048" s="1399">
        <v>54558</v>
      </c>
      <c r="I4048" s="1399">
        <v>54558</v>
      </c>
    </row>
    <row r="4049" spans="2:9">
      <c r="B4049" s="1297"/>
      <c r="C4049" s="1297"/>
      <c r="D4049" s="1297" t="s">
        <v>1003</v>
      </c>
      <c r="F4049" s="1399">
        <v>704195.51</v>
      </c>
      <c r="I4049" s="1399">
        <v>704195.51</v>
      </c>
    </row>
    <row r="4050" spans="2:9">
      <c r="B4050" s="1297"/>
      <c r="C4050" s="1297"/>
      <c r="D4050" s="1297" t="s">
        <v>1039</v>
      </c>
      <c r="F4050" s="1399">
        <v>372295.01</v>
      </c>
      <c r="I4050" s="1399">
        <v>372295.01</v>
      </c>
    </row>
    <row r="4051" spans="2:9">
      <c r="B4051" s="1297"/>
      <c r="C4051" s="1297"/>
      <c r="D4051" s="1297" t="s">
        <v>1040</v>
      </c>
      <c r="F4051" s="1399">
        <v>2281296.4099999997</v>
      </c>
      <c r="I4051" s="1399">
        <v>2281296.4099999997</v>
      </c>
    </row>
    <row r="4052" spans="2:9">
      <c r="B4052" s="1297"/>
      <c r="C4052" s="1297"/>
      <c r="D4052" s="1297" t="s">
        <v>1127</v>
      </c>
      <c r="F4052" s="1399">
        <v>19500.200000000004</v>
      </c>
      <c r="I4052" s="1399">
        <v>19500.200000000004</v>
      </c>
    </row>
    <row r="4053" spans="2:9">
      <c r="B4053" s="1297"/>
      <c r="C4053" s="1297"/>
      <c r="D4053" s="1297" t="s">
        <v>1207</v>
      </c>
      <c r="F4053" s="1399">
        <v>-299.97000000000003</v>
      </c>
      <c r="I4053" s="1399">
        <v>-299.97000000000003</v>
      </c>
    </row>
    <row r="4054" spans="2:9">
      <c r="B4054" s="1297"/>
      <c r="C4054" s="1297"/>
      <c r="D4054" s="1297" t="s">
        <v>1041</v>
      </c>
      <c r="F4054" s="1399">
        <v>910288.74999999977</v>
      </c>
      <c r="I4054" s="1399">
        <v>910288.74999999977</v>
      </c>
    </row>
    <row r="4055" spans="2:9">
      <c r="B4055" s="1297"/>
      <c r="C4055" s="1297"/>
      <c r="D4055" s="1297" t="s">
        <v>1042</v>
      </c>
      <c r="F4055" s="1399">
        <v>506364.04</v>
      </c>
      <c r="I4055" s="1399">
        <v>506364.04</v>
      </c>
    </row>
    <row r="4056" spans="2:9">
      <c r="B4056" s="1297"/>
      <c r="C4056" s="1297"/>
      <c r="D4056" s="1297" t="s">
        <v>953</v>
      </c>
      <c r="F4056" s="1399">
        <v>44928.75</v>
      </c>
      <c r="I4056" s="1399">
        <v>44928.75</v>
      </c>
    </row>
    <row r="4057" spans="2:9">
      <c r="B4057" s="1297"/>
      <c r="C4057" s="1297"/>
      <c r="D4057" s="1297" t="s">
        <v>1043</v>
      </c>
      <c r="F4057" s="1399">
        <v>74068.600000000006</v>
      </c>
      <c r="I4057" s="1399">
        <v>74068.600000000006</v>
      </c>
    </row>
    <row r="4058" spans="2:9">
      <c r="B4058" s="1297"/>
      <c r="C4058" s="1297"/>
      <c r="D4058" s="1297" t="s">
        <v>1203</v>
      </c>
      <c r="F4058" s="1399">
        <v>765</v>
      </c>
      <c r="I4058" s="1399">
        <v>765</v>
      </c>
    </row>
    <row r="4059" spans="2:9">
      <c r="B4059" s="1297"/>
      <c r="C4059" s="1297"/>
      <c r="D4059" s="1297" t="s">
        <v>996</v>
      </c>
      <c r="F4059" s="1399">
        <v>212480.23</v>
      </c>
      <c r="I4059" s="1399">
        <v>212480.23</v>
      </c>
    </row>
    <row r="4060" spans="2:9">
      <c r="B4060" s="1297"/>
      <c r="C4060" s="1297"/>
      <c r="D4060" s="1297" t="s">
        <v>1044</v>
      </c>
      <c r="F4060" s="1399">
        <v>2104606.09</v>
      </c>
      <c r="I4060" s="1399">
        <v>2104606.09</v>
      </c>
    </row>
    <row r="4061" spans="2:9">
      <c r="B4061" s="1297"/>
      <c r="C4061" s="1297"/>
      <c r="D4061" s="1297" t="s">
        <v>1045</v>
      </c>
      <c r="F4061" s="1399">
        <v>3283916.3400000026</v>
      </c>
      <c r="I4061" s="1399">
        <v>3283916.3400000026</v>
      </c>
    </row>
    <row r="4062" spans="2:9">
      <c r="B4062" s="1297"/>
      <c r="C4062" s="1297"/>
      <c r="D4062" s="1297" t="s">
        <v>1046</v>
      </c>
      <c r="H4062" s="1399">
        <v>179903346</v>
      </c>
      <c r="I4062" s="1399">
        <v>179903346</v>
      </c>
    </row>
    <row r="4063" spans="2:9">
      <c r="B4063" s="1297"/>
      <c r="C4063" s="1297"/>
      <c r="D4063" s="1297" t="s">
        <v>1048</v>
      </c>
      <c r="H4063" s="1399">
        <v>-20738833</v>
      </c>
      <c r="I4063" s="1399">
        <v>-20738833</v>
      </c>
    </row>
    <row r="4064" spans="2:9">
      <c r="B4064" s="1297"/>
      <c r="C4064" s="1297"/>
      <c r="D4064" s="1297" t="s">
        <v>955</v>
      </c>
      <c r="H4064" s="1399">
        <v>5035782.76</v>
      </c>
      <c r="I4064" s="1399">
        <v>5035782.76</v>
      </c>
    </row>
    <row r="4065" spans="2:9">
      <c r="B4065" s="1297"/>
      <c r="C4065" s="1297"/>
      <c r="D4065" s="1297" t="s">
        <v>934</v>
      </c>
      <c r="H4065" s="1399">
        <v>498856</v>
      </c>
      <c r="I4065" s="1399">
        <v>498856</v>
      </c>
    </row>
    <row r="4066" spans="2:9">
      <c r="B4066" s="1297"/>
      <c r="C4066" s="1297"/>
      <c r="D4066" s="1297" t="s">
        <v>1130</v>
      </c>
      <c r="H4066" s="1399">
        <v>3275373.18</v>
      </c>
      <c r="I4066" s="1399">
        <v>3275373.18</v>
      </c>
    </row>
    <row r="4067" spans="2:9">
      <c r="B4067" s="1297"/>
      <c r="C4067" s="1297"/>
      <c r="D4067" s="1297" t="s">
        <v>935</v>
      </c>
      <c r="H4067" s="1399">
        <v>3094177.43</v>
      </c>
      <c r="I4067" s="1399">
        <v>3094177.43</v>
      </c>
    </row>
    <row r="4068" spans="2:9">
      <c r="B4068" s="1297"/>
      <c r="C4068" s="1297"/>
      <c r="D4068" s="1297" t="s">
        <v>936</v>
      </c>
      <c r="H4068" s="1399">
        <v>645295.93000000005</v>
      </c>
      <c r="I4068" s="1399">
        <v>645295.93000000005</v>
      </c>
    </row>
    <row r="4069" spans="2:9">
      <c r="B4069" s="1297"/>
      <c r="C4069" s="1297"/>
      <c r="D4069" s="1297" t="s">
        <v>937</v>
      </c>
      <c r="H4069" s="1399">
        <v>120992.79000000001</v>
      </c>
      <c r="I4069" s="1399">
        <v>120992.79000000001</v>
      </c>
    </row>
    <row r="4070" spans="2:9">
      <c r="B4070" s="1297"/>
      <c r="C4070" s="1297"/>
      <c r="D4070" s="1297" t="s">
        <v>938</v>
      </c>
      <c r="H4070" s="1399">
        <v>189030</v>
      </c>
      <c r="I4070" s="1399">
        <v>189030</v>
      </c>
    </row>
    <row r="4071" spans="2:9">
      <c r="B4071" s="1297"/>
      <c r="C4071" s="1297"/>
      <c r="D4071" s="1297" t="s">
        <v>939</v>
      </c>
      <c r="H4071" s="1399">
        <v>242677.38000000006</v>
      </c>
      <c r="I4071" s="1399">
        <v>242677.38000000006</v>
      </c>
    </row>
    <row r="4072" spans="2:9">
      <c r="B4072" s="1297"/>
      <c r="C4072" s="1297"/>
      <c r="D4072" s="1297" t="s">
        <v>1131</v>
      </c>
      <c r="E4072" s="1399">
        <v>605481.6</v>
      </c>
      <c r="I4072" s="1399">
        <v>605481.6</v>
      </c>
    </row>
    <row r="4073" spans="2:9">
      <c r="B4073" s="1297"/>
      <c r="C4073" s="1297"/>
      <c r="D4073" s="1297" t="s">
        <v>940</v>
      </c>
      <c r="E4073" s="1399">
        <v>8914072.4400000013</v>
      </c>
      <c r="I4073" s="1399">
        <v>8914072.4400000013</v>
      </c>
    </row>
    <row r="4074" spans="2:9">
      <c r="B4074" s="1297"/>
      <c r="C4074" s="1297"/>
      <c r="D4074" s="1297" t="s">
        <v>941</v>
      </c>
      <c r="E4074" s="1399">
        <v>2679966.6800000002</v>
      </c>
      <c r="I4074" s="1399">
        <v>2679966.6800000002</v>
      </c>
    </row>
    <row r="4075" spans="2:9">
      <c r="B4075" s="1297"/>
      <c r="C4075" s="1297"/>
      <c r="D4075" s="1297" t="s">
        <v>943</v>
      </c>
      <c r="E4075" s="1399">
        <v>46941.159999999996</v>
      </c>
      <c r="I4075" s="1399">
        <v>46941.159999999996</v>
      </c>
    </row>
    <row r="4076" spans="2:9">
      <c r="B4076" s="1297"/>
      <c r="C4076" s="1297"/>
      <c r="D4076" s="1297" t="s">
        <v>944</v>
      </c>
      <c r="E4076" s="1399">
        <v>23128175.350000005</v>
      </c>
      <c r="I4076" s="1399">
        <v>23128175.350000005</v>
      </c>
    </row>
    <row r="4077" spans="2:9">
      <c r="B4077" s="1297"/>
      <c r="C4077" s="1297"/>
      <c r="D4077" s="1297" t="s">
        <v>945</v>
      </c>
      <c r="E4077" s="1399">
        <v>21091744.500000004</v>
      </c>
      <c r="I4077" s="1399">
        <v>21091744.500000004</v>
      </c>
    </row>
    <row r="4078" spans="2:9">
      <c r="B4078" s="1297"/>
      <c r="C4078" s="1297"/>
      <c r="D4078" s="1297" t="s">
        <v>946</v>
      </c>
      <c r="E4078" s="1399">
        <v>1769827.79</v>
      </c>
      <c r="I4078" s="1399">
        <v>1769827.79</v>
      </c>
    </row>
    <row r="4079" spans="2:9">
      <c r="B4079" s="1297"/>
      <c r="C4079" s="1297"/>
      <c r="D4079" s="1297" t="s">
        <v>978</v>
      </c>
      <c r="E4079" s="1399">
        <v>536235.04</v>
      </c>
      <c r="I4079" s="1399">
        <v>536235.04</v>
      </c>
    </row>
    <row r="4080" spans="2:9">
      <c r="B4080" s="1297"/>
      <c r="C4080" s="1297"/>
      <c r="D4080" s="1297" t="s">
        <v>1006</v>
      </c>
      <c r="E4080" s="1399">
        <v>1579998.22</v>
      </c>
      <c r="I4080" s="1399">
        <v>1579998.22</v>
      </c>
    </row>
    <row r="4081" spans="2:9">
      <c r="B4081" s="1297"/>
      <c r="C4081" s="1297"/>
      <c r="D4081" s="1297" t="s">
        <v>947</v>
      </c>
      <c r="E4081" s="1399">
        <v>431615.82000000007</v>
      </c>
      <c r="I4081" s="1399">
        <v>431615.82000000007</v>
      </c>
    </row>
    <row r="4082" spans="2:9">
      <c r="B4082" s="1297"/>
      <c r="C4082" s="1297"/>
      <c r="D4082" s="1297" t="s">
        <v>1115</v>
      </c>
      <c r="E4082" s="1399">
        <v>131971.23000000001</v>
      </c>
      <c r="I4082" s="1399">
        <v>131971.23000000001</v>
      </c>
    </row>
    <row r="4083" spans="2:9">
      <c r="B4083" s="1297"/>
      <c r="C4083" s="1297"/>
      <c r="D4083" s="1297" t="s">
        <v>1116</v>
      </c>
      <c r="G4083" s="1399">
        <v>17984610</v>
      </c>
      <c r="I4083" s="1399">
        <v>17984610</v>
      </c>
    </row>
    <row r="4084" spans="2:9">
      <c r="B4084" s="1297"/>
      <c r="C4084" s="1297"/>
      <c r="D4084" s="1297" t="s">
        <v>1117</v>
      </c>
      <c r="G4084" s="1399">
        <v>1321139.05</v>
      </c>
      <c r="I4084" s="1399">
        <v>1321139.05</v>
      </c>
    </row>
    <row r="4085" spans="2:9">
      <c r="B4085" s="1297"/>
      <c r="C4085" s="1297"/>
      <c r="D4085" s="1297" t="s">
        <v>948</v>
      </c>
      <c r="G4085" s="1399">
        <v>27923395.34</v>
      </c>
      <c r="I4085" s="1399">
        <v>27923395.34</v>
      </c>
    </row>
    <row r="4086" spans="2:9">
      <c r="B4086" s="1297"/>
      <c r="C4086" s="1297"/>
      <c r="D4086" s="1297" t="s">
        <v>956</v>
      </c>
      <c r="G4086" s="1399">
        <v>177317.77</v>
      </c>
      <c r="I4086" s="1399">
        <v>177317.77</v>
      </c>
    </row>
    <row r="4087" spans="2:9">
      <c r="B4087" s="1297"/>
      <c r="C4087" s="1297"/>
      <c r="D4087" s="1297" t="s">
        <v>1118</v>
      </c>
      <c r="G4087" s="1399">
        <v>79143.48</v>
      </c>
      <c r="I4087" s="1399">
        <v>79143.48</v>
      </c>
    </row>
    <row r="4088" spans="2:9">
      <c r="B4088" s="1297"/>
      <c r="C4088" s="1297"/>
      <c r="D4088" s="1297" t="s">
        <v>1270</v>
      </c>
      <c r="G4088" s="1399">
        <v>16</v>
      </c>
      <c r="I4088" s="1399">
        <v>16</v>
      </c>
    </row>
    <row r="4089" spans="2:9">
      <c r="B4089" s="1297"/>
      <c r="C4089" s="1297"/>
      <c r="D4089" s="1297" t="s">
        <v>1271</v>
      </c>
      <c r="G4089" s="1399">
        <v>11960.04</v>
      </c>
      <c r="I4089" s="1399">
        <v>11960.04</v>
      </c>
    </row>
    <row r="4090" spans="2:9">
      <c r="B4090" s="1297"/>
      <c r="C4090" s="1400" t="s">
        <v>1272</v>
      </c>
      <c r="D4090" s="1400"/>
      <c r="E4090" s="1401">
        <v>60916029.829999998</v>
      </c>
      <c r="F4090" s="1401">
        <v>146175690.62999994</v>
      </c>
      <c r="G4090" s="1401">
        <v>47497581.68</v>
      </c>
      <c r="H4090" s="1401">
        <v>172266698.47</v>
      </c>
      <c r="I4090" s="1401">
        <v>426856000.61000013</v>
      </c>
    </row>
    <row r="4091" spans="2:9">
      <c r="B4091" s="1297" t="s">
        <v>1273</v>
      </c>
      <c r="C4091" s="1297" t="s">
        <v>1274</v>
      </c>
      <c r="D4091" s="1297" t="s">
        <v>906</v>
      </c>
      <c r="F4091" s="1399">
        <v>47120046.18</v>
      </c>
      <c r="I4091" s="1399">
        <v>47120046.18</v>
      </c>
    </row>
    <row r="4092" spans="2:9">
      <c r="B4092" s="1297"/>
      <c r="C4092" s="1297"/>
      <c r="D4092" s="1297" t="s">
        <v>952</v>
      </c>
      <c r="F4092" s="1399">
        <v>451338.95</v>
      </c>
      <c r="I4092" s="1399">
        <v>451338.95</v>
      </c>
    </row>
    <row r="4093" spans="2:9">
      <c r="B4093" s="1297"/>
      <c r="C4093" s="1297"/>
      <c r="D4093" s="1297" t="s">
        <v>907</v>
      </c>
      <c r="F4093" s="1399">
        <v>9893666.2200000007</v>
      </c>
      <c r="I4093" s="1399">
        <v>9893666.2200000007</v>
      </c>
    </row>
    <row r="4094" spans="2:9">
      <c r="B4094" s="1297"/>
      <c r="C4094" s="1297"/>
      <c r="D4094" s="1297" t="s">
        <v>908</v>
      </c>
      <c r="F4094" s="1399">
        <v>23227.22</v>
      </c>
      <c r="I4094" s="1399">
        <v>23227.22</v>
      </c>
    </row>
    <row r="4095" spans="2:9">
      <c r="B4095" s="1297"/>
      <c r="C4095" s="1297"/>
      <c r="D4095" s="1297" t="s">
        <v>1039</v>
      </c>
      <c r="F4095" s="1399">
        <v>95292.27</v>
      </c>
      <c r="I4095" s="1399">
        <v>95292.27</v>
      </c>
    </row>
    <row r="4096" spans="2:9">
      <c r="B4096" s="1297"/>
      <c r="C4096" s="1297"/>
      <c r="D4096" s="1297" t="s">
        <v>1040</v>
      </c>
      <c r="F4096" s="1399">
        <v>1593460.7299999997</v>
      </c>
      <c r="I4096" s="1399">
        <v>1593460.7299999997</v>
      </c>
    </row>
    <row r="4097" spans="2:9">
      <c r="B4097" s="1297"/>
      <c r="C4097" s="1297"/>
      <c r="D4097" s="1297" t="s">
        <v>1041</v>
      </c>
      <c r="F4097" s="1399">
        <v>563414.65000000014</v>
      </c>
      <c r="I4097" s="1399">
        <v>563414.65000000014</v>
      </c>
    </row>
    <row r="4098" spans="2:9">
      <c r="B4098" s="1297"/>
      <c r="C4098" s="1297"/>
      <c r="D4098" s="1297" t="s">
        <v>1042</v>
      </c>
      <c r="F4098" s="1399">
        <v>200573.47</v>
      </c>
      <c r="I4098" s="1399">
        <v>200573.47</v>
      </c>
    </row>
    <row r="4099" spans="2:9">
      <c r="B4099" s="1297"/>
      <c r="C4099" s="1297"/>
      <c r="D4099" s="1297" t="s">
        <v>954</v>
      </c>
      <c r="F4099" s="1399">
        <v>2717653.67</v>
      </c>
      <c r="I4099" s="1399">
        <v>2717653.67</v>
      </c>
    </row>
    <row r="4100" spans="2:9">
      <c r="B4100" s="1297"/>
      <c r="C4100" s="1297"/>
      <c r="D4100" s="1297" t="s">
        <v>985</v>
      </c>
      <c r="F4100" s="1399">
        <v>699022.16</v>
      </c>
      <c r="I4100" s="1399">
        <v>699022.16</v>
      </c>
    </row>
    <row r="4101" spans="2:9">
      <c r="B4101" s="1297"/>
      <c r="C4101" s="1297"/>
      <c r="D4101" s="1297" t="s">
        <v>986</v>
      </c>
      <c r="F4101" s="1399">
        <v>38707.589999999997</v>
      </c>
      <c r="I4101" s="1399">
        <v>38707.589999999997</v>
      </c>
    </row>
    <row r="4102" spans="2:9">
      <c r="B4102" s="1297"/>
      <c r="C4102" s="1297"/>
      <c r="D4102" s="1297" t="s">
        <v>996</v>
      </c>
      <c r="F4102" s="1399">
        <v>5035.87</v>
      </c>
      <c r="I4102" s="1399">
        <v>5035.87</v>
      </c>
    </row>
    <row r="4103" spans="2:9">
      <c r="B4103" s="1297"/>
      <c r="C4103" s="1297"/>
      <c r="D4103" s="1297" t="s">
        <v>1044</v>
      </c>
      <c r="F4103" s="1399">
        <v>69967.520000000004</v>
      </c>
      <c r="I4103" s="1399">
        <v>69967.520000000004</v>
      </c>
    </row>
    <row r="4104" spans="2:9">
      <c r="B4104" s="1297"/>
      <c r="C4104" s="1297"/>
      <c r="D4104" s="1297" t="s">
        <v>1045</v>
      </c>
      <c r="F4104" s="1399">
        <v>445527.61000000004</v>
      </c>
      <c r="I4104" s="1399">
        <v>445527.61000000004</v>
      </c>
    </row>
    <row r="4105" spans="2:9">
      <c r="B4105" s="1297"/>
      <c r="C4105" s="1297"/>
      <c r="D4105" s="1297" t="s">
        <v>1046</v>
      </c>
      <c r="H4105" s="1399">
        <v>94627680</v>
      </c>
      <c r="I4105" s="1399">
        <v>94627680</v>
      </c>
    </row>
    <row r="4106" spans="2:9">
      <c r="B4106" s="1297"/>
      <c r="C4106" s="1297"/>
      <c r="D4106" s="1297" t="s">
        <v>1128</v>
      </c>
      <c r="H4106" s="1399">
        <v>8329566</v>
      </c>
      <c r="I4106" s="1399">
        <v>8329566</v>
      </c>
    </row>
    <row r="4107" spans="2:9">
      <c r="B4107" s="1297"/>
      <c r="C4107" s="1297"/>
      <c r="D4107" s="1297" t="s">
        <v>1129</v>
      </c>
      <c r="H4107" s="1399">
        <v>-13202260</v>
      </c>
      <c r="I4107" s="1399">
        <v>-13202260</v>
      </c>
    </row>
    <row r="4108" spans="2:9">
      <c r="B4108" s="1297"/>
      <c r="C4108" s="1297"/>
      <c r="D4108" s="1297" t="s">
        <v>1047</v>
      </c>
      <c r="H4108" s="1399">
        <v>1645649</v>
      </c>
      <c r="I4108" s="1399">
        <v>1645649</v>
      </c>
    </row>
    <row r="4109" spans="2:9">
      <c r="B4109" s="1297"/>
      <c r="C4109" s="1297"/>
      <c r="D4109" s="1297" t="s">
        <v>1048</v>
      </c>
      <c r="H4109" s="1399">
        <v>-13904941</v>
      </c>
      <c r="I4109" s="1399">
        <v>-13904941</v>
      </c>
    </row>
    <row r="4110" spans="2:9">
      <c r="B4110" s="1297"/>
      <c r="C4110" s="1297"/>
      <c r="D4110" s="1297" t="s">
        <v>932</v>
      </c>
      <c r="H4110" s="1399">
        <v>11430913</v>
      </c>
      <c r="I4110" s="1399">
        <v>11430913</v>
      </c>
    </row>
    <row r="4111" spans="2:9">
      <c r="B4111" s="1297"/>
      <c r="C4111" s="1297"/>
      <c r="D4111" s="1297" t="s">
        <v>955</v>
      </c>
      <c r="H4111" s="1399">
        <v>2369694.87</v>
      </c>
      <c r="I4111" s="1399">
        <v>2369694.87</v>
      </c>
    </row>
    <row r="4112" spans="2:9">
      <c r="B4112" s="1297"/>
      <c r="C4112" s="1297"/>
      <c r="D4112" s="1297" t="s">
        <v>934</v>
      </c>
      <c r="H4112" s="1399">
        <v>292530</v>
      </c>
      <c r="I4112" s="1399">
        <v>292530</v>
      </c>
    </row>
    <row r="4113" spans="2:9">
      <c r="B4113" s="1297"/>
      <c r="C4113" s="1297"/>
      <c r="D4113" s="1297" t="s">
        <v>1130</v>
      </c>
      <c r="H4113" s="1399">
        <v>7159652.0999999996</v>
      </c>
      <c r="I4113" s="1399">
        <v>7159652.0999999996</v>
      </c>
    </row>
    <row r="4114" spans="2:9">
      <c r="B4114" s="1297"/>
      <c r="C4114" s="1297"/>
      <c r="D4114" s="1297" t="s">
        <v>935</v>
      </c>
      <c r="H4114" s="1399">
        <v>1632816.15</v>
      </c>
      <c r="I4114" s="1399">
        <v>1632816.15</v>
      </c>
    </row>
    <row r="4115" spans="2:9">
      <c r="B4115" s="1297"/>
      <c r="C4115" s="1297"/>
      <c r="D4115" s="1297" t="s">
        <v>936</v>
      </c>
      <c r="H4115" s="1399">
        <v>303930.65999999997</v>
      </c>
      <c r="I4115" s="1399">
        <v>303930.65999999997</v>
      </c>
    </row>
    <row r="4116" spans="2:9">
      <c r="B4116" s="1297"/>
      <c r="C4116" s="1297"/>
      <c r="D4116" s="1297" t="s">
        <v>937</v>
      </c>
      <c r="H4116" s="1399">
        <v>17273.8</v>
      </c>
      <c r="I4116" s="1399">
        <v>17273.8</v>
      </c>
    </row>
    <row r="4117" spans="2:9">
      <c r="B4117" s="1297"/>
      <c r="C4117" s="1297"/>
      <c r="D4117" s="1297" t="s">
        <v>938</v>
      </c>
      <c r="H4117" s="1399">
        <v>104622</v>
      </c>
      <c r="I4117" s="1399">
        <v>104622</v>
      </c>
    </row>
    <row r="4118" spans="2:9">
      <c r="B4118" s="1297"/>
      <c r="C4118" s="1297"/>
      <c r="D4118" s="1297" t="s">
        <v>939</v>
      </c>
      <c r="H4118" s="1399">
        <v>567222.91999999993</v>
      </c>
      <c r="I4118" s="1399">
        <v>567222.91999999993</v>
      </c>
    </row>
    <row r="4119" spans="2:9">
      <c r="B4119" s="1297"/>
      <c r="C4119" s="1297"/>
      <c r="D4119" s="1297" t="s">
        <v>1131</v>
      </c>
      <c r="E4119" s="1399">
        <v>60783.22</v>
      </c>
      <c r="I4119" s="1399">
        <v>60783.22</v>
      </c>
    </row>
    <row r="4120" spans="2:9">
      <c r="B4120" s="1297"/>
      <c r="C4120" s="1297"/>
      <c r="D4120" s="1297" t="s">
        <v>940</v>
      </c>
      <c r="E4120" s="1399">
        <v>5206367.9399999995</v>
      </c>
      <c r="I4120" s="1399">
        <v>5206367.9399999995</v>
      </c>
    </row>
    <row r="4121" spans="2:9">
      <c r="B4121" s="1297"/>
      <c r="C4121" s="1297"/>
      <c r="D4121" s="1297" t="s">
        <v>941</v>
      </c>
      <c r="E4121" s="1399">
        <v>1759267.8399999996</v>
      </c>
      <c r="I4121" s="1399">
        <v>1759267.8399999996</v>
      </c>
    </row>
    <row r="4122" spans="2:9">
      <c r="B4122" s="1297"/>
      <c r="C4122" s="1297"/>
      <c r="D4122" s="1297" t="s">
        <v>943</v>
      </c>
      <c r="E4122" s="1399">
        <v>69289.899999999994</v>
      </c>
      <c r="I4122" s="1399">
        <v>69289.899999999994</v>
      </c>
    </row>
    <row r="4123" spans="2:9">
      <c r="B4123" s="1297"/>
      <c r="C4123" s="1297"/>
      <c r="D4123" s="1297" t="s">
        <v>944</v>
      </c>
      <c r="E4123" s="1399">
        <v>9351672.0999999996</v>
      </c>
      <c r="I4123" s="1399">
        <v>9351672.0999999996</v>
      </c>
    </row>
    <row r="4124" spans="2:9">
      <c r="B4124" s="1297"/>
      <c r="C4124" s="1297"/>
      <c r="D4124" s="1297" t="s">
        <v>945</v>
      </c>
      <c r="E4124" s="1399">
        <v>8162431.9699999997</v>
      </c>
      <c r="I4124" s="1399">
        <v>8162431.9699999997</v>
      </c>
    </row>
    <row r="4125" spans="2:9">
      <c r="B4125" s="1297"/>
      <c r="C4125" s="1297"/>
      <c r="D4125" s="1297" t="s">
        <v>978</v>
      </c>
      <c r="E4125" s="1399">
        <v>3596.52</v>
      </c>
      <c r="I4125" s="1399">
        <v>3596.52</v>
      </c>
    </row>
    <row r="4126" spans="2:9">
      <c r="B4126" s="1297"/>
      <c r="C4126" s="1297"/>
      <c r="D4126" s="1297" t="s">
        <v>947</v>
      </c>
      <c r="E4126" s="1399">
        <v>292556.5</v>
      </c>
      <c r="I4126" s="1399">
        <v>292556.5</v>
      </c>
    </row>
    <row r="4127" spans="2:9">
      <c r="B4127" s="1297"/>
      <c r="C4127" s="1297"/>
      <c r="D4127" s="1297" t="s">
        <v>1115</v>
      </c>
      <c r="E4127" s="1399">
        <v>460229.99</v>
      </c>
      <c r="I4127" s="1399">
        <v>460229.99</v>
      </c>
    </row>
    <row r="4128" spans="2:9">
      <c r="B4128" s="1297"/>
      <c r="C4128" s="1297"/>
      <c r="D4128" s="1297" t="s">
        <v>1116</v>
      </c>
      <c r="G4128" s="1399">
        <v>24942763.190000001</v>
      </c>
      <c r="I4128" s="1399">
        <v>24942763.190000001</v>
      </c>
    </row>
    <row r="4129" spans="2:9">
      <c r="B4129" s="1297"/>
      <c r="C4129" s="1297"/>
      <c r="D4129" s="1297" t="s">
        <v>948</v>
      </c>
      <c r="G4129" s="1399">
        <v>17405434.600000001</v>
      </c>
      <c r="I4129" s="1399">
        <v>17405434.600000001</v>
      </c>
    </row>
    <row r="4130" spans="2:9">
      <c r="B4130" s="1297"/>
      <c r="C4130" s="1297"/>
      <c r="D4130" s="1297" t="s">
        <v>956</v>
      </c>
      <c r="G4130" s="1399">
        <v>2810.14</v>
      </c>
      <c r="I4130" s="1399">
        <v>2810.14</v>
      </c>
    </row>
    <row r="4131" spans="2:9">
      <c r="B4131" s="1297"/>
      <c r="C4131" s="1400" t="s">
        <v>1275</v>
      </c>
      <c r="D4131" s="1400"/>
      <c r="E4131" s="1401">
        <v>25366195.979999997</v>
      </c>
      <c r="F4131" s="1401">
        <v>63916934.109999999</v>
      </c>
      <c r="G4131" s="1401">
        <v>42351007.930000007</v>
      </c>
      <c r="H4131" s="1401">
        <v>101374349.5</v>
      </c>
      <c r="I4131" s="1401">
        <v>233008487.52000001</v>
      </c>
    </row>
    <row r="4132" spans="2:9">
      <c r="B4132" s="1297" t="s">
        <v>1276</v>
      </c>
      <c r="C4132" s="1297" t="s">
        <v>1277</v>
      </c>
      <c r="D4132" s="1297" t="s">
        <v>906</v>
      </c>
      <c r="F4132" s="1399">
        <v>27047234.119999997</v>
      </c>
      <c r="I4132" s="1399">
        <v>27047234.119999997</v>
      </c>
    </row>
    <row r="4133" spans="2:9">
      <c r="B4133" s="1297"/>
      <c r="C4133" s="1297"/>
      <c r="D4133" s="1297" t="s">
        <v>952</v>
      </c>
      <c r="F4133" s="1399">
        <v>390401.43000000005</v>
      </c>
      <c r="I4133" s="1399">
        <v>390401.43000000005</v>
      </c>
    </row>
    <row r="4134" spans="2:9">
      <c r="B4134" s="1297"/>
      <c r="C4134" s="1297"/>
      <c r="D4134" s="1297" t="s">
        <v>907</v>
      </c>
      <c r="F4134" s="1399">
        <v>4724154.33</v>
      </c>
      <c r="I4134" s="1399">
        <v>4724154.33</v>
      </c>
    </row>
    <row r="4135" spans="2:9">
      <c r="B4135" s="1297"/>
      <c r="C4135" s="1297"/>
      <c r="D4135" s="1297" t="s">
        <v>908</v>
      </c>
      <c r="F4135" s="1399">
        <v>11817.1</v>
      </c>
      <c r="I4135" s="1399">
        <v>11817.1</v>
      </c>
    </row>
    <row r="4136" spans="2:9">
      <c r="B4136" s="1297"/>
      <c r="C4136" s="1297"/>
      <c r="D4136" s="1297" t="s">
        <v>909</v>
      </c>
      <c r="F4136" s="1399">
        <v>188477.72</v>
      </c>
      <c r="I4136" s="1399">
        <v>188477.72</v>
      </c>
    </row>
    <row r="4137" spans="2:9">
      <c r="B4137" s="1297"/>
      <c r="C4137" s="1297"/>
      <c r="D4137" s="1297" t="s">
        <v>1034</v>
      </c>
      <c r="F4137" s="1399">
        <v>812477.72</v>
      </c>
      <c r="I4137" s="1399">
        <v>812477.72</v>
      </c>
    </row>
    <row r="4138" spans="2:9">
      <c r="B4138" s="1297"/>
      <c r="C4138" s="1297"/>
      <c r="D4138" s="1297" t="s">
        <v>1035</v>
      </c>
      <c r="F4138" s="1399">
        <v>958810.82</v>
      </c>
      <c r="I4138" s="1399">
        <v>958810.82</v>
      </c>
    </row>
    <row r="4139" spans="2:9">
      <c r="B4139" s="1297"/>
      <c r="C4139" s="1297"/>
      <c r="D4139" s="1297" t="s">
        <v>1036</v>
      </c>
      <c r="F4139" s="1399">
        <v>325314.58</v>
      </c>
      <c r="I4139" s="1399">
        <v>325314.58</v>
      </c>
    </row>
    <row r="4140" spans="2:9">
      <c r="B4140" s="1297"/>
      <c r="C4140" s="1297"/>
      <c r="D4140" s="1297" t="s">
        <v>1037</v>
      </c>
      <c r="F4140" s="1399">
        <v>57823.88</v>
      </c>
      <c r="I4140" s="1399">
        <v>57823.88</v>
      </c>
    </row>
    <row r="4141" spans="2:9">
      <c r="B4141" s="1297"/>
      <c r="C4141" s="1297"/>
      <c r="D4141" s="1297" t="s">
        <v>1039</v>
      </c>
      <c r="F4141" s="1399">
        <v>82241.909999999989</v>
      </c>
      <c r="I4141" s="1399">
        <v>82241.909999999989</v>
      </c>
    </row>
    <row r="4142" spans="2:9">
      <c r="B4142" s="1297"/>
      <c r="C4142" s="1297"/>
      <c r="D4142" s="1297" t="s">
        <v>1040</v>
      </c>
      <c r="F4142" s="1399">
        <v>1006725.05</v>
      </c>
      <c r="I4142" s="1399">
        <v>1006725.05</v>
      </c>
    </row>
    <row r="4143" spans="2:9">
      <c r="B4143" s="1297"/>
      <c r="C4143" s="1297"/>
      <c r="D4143" s="1297" t="s">
        <v>1041</v>
      </c>
      <c r="F4143" s="1399">
        <v>108286.13</v>
      </c>
      <c r="I4143" s="1399">
        <v>108286.13</v>
      </c>
    </row>
    <row r="4144" spans="2:9">
      <c r="B4144" s="1297"/>
      <c r="C4144" s="1297"/>
      <c r="D4144" s="1297" t="s">
        <v>1042</v>
      </c>
      <c r="F4144" s="1399">
        <v>66070.73</v>
      </c>
      <c r="I4144" s="1399">
        <v>66070.73</v>
      </c>
    </row>
    <row r="4145" spans="2:9">
      <c r="B4145" s="1297"/>
      <c r="C4145" s="1297"/>
      <c r="D4145" s="1297" t="s">
        <v>1043</v>
      </c>
      <c r="F4145" s="1399">
        <v>2950</v>
      </c>
      <c r="I4145" s="1399">
        <v>2950</v>
      </c>
    </row>
    <row r="4146" spans="2:9">
      <c r="B4146" s="1297"/>
      <c r="C4146" s="1297"/>
      <c r="D4146" s="1297" t="s">
        <v>996</v>
      </c>
      <c r="F4146" s="1399">
        <v>1800</v>
      </c>
      <c r="I4146" s="1399">
        <v>1800</v>
      </c>
    </row>
    <row r="4147" spans="2:9">
      <c r="B4147" s="1297"/>
      <c r="C4147" s="1297"/>
      <c r="D4147" s="1297" t="s">
        <v>1045</v>
      </c>
      <c r="F4147" s="1399">
        <v>8829.4000000000015</v>
      </c>
      <c r="I4147" s="1399">
        <v>8829.4000000000015</v>
      </c>
    </row>
    <row r="4148" spans="2:9">
      <c r="B4148" s="1297"/>
      <c r="C4148" s="1297"/>
      <c r="D4148" s="1297" t="s">
        <v>1046</v>
      </c>
      <c r="H4148" s="1399">
        <v>34427963</v>
      </c>
      <c r="I4148" s="1399">
        <v>34427963</v>
      </c>
    </row>
    <row r="4149" spans="2:9">
      <c r="B4149" s="1297"/>
      <c r="C4149" s="1297"/>
      <c r="D4149" s="1297" t="s">
        <v>1128</v>
      </c>
      <c r="H4149" s="1399">
        <v>2757373</v>
      </c>
      <c r="I4149" s="1399">
        <v>2757373</v>
      </c>
    </row>
    <row r="4150" spans="2:9">
      <c r="B4150" s="1297"/>
      <c r="C4150" s="1297"/>
      <c r="D4150" s="1297" t="s">
        <v>1129</v>
      </c>
      <c r="H4150" s="1399">
        <v>-4577069</v>
      </c>
      <c r="I4150" s="1399">
        <v>-4577069</v>
      </c>
    </row>
    <row r="4151" spans="2:9">
      <c r="B4151" s="1297"/>
      <c r="C4151" s="1297"/>
      <c r="D4151" s="1297" t="s">
        <v>1047</v>
      </c>
      <c r="H4151" s="1399">
        <v>809988</v>
      </c>
      <c r="I4151" s="1399">
        <v>809988</v>
      </c>
    </row>
    <row r="4152" spans="2:9">
      <c r="B4152" s="1297"/>
      <c r="C4152" s="1297"/>
      <c r="D4152" s="1297" t="s">
        <v>1048</v>
      </c>
      <c r="H4152" s="1399">
        <v>-7334148</v>
      </c>
      <c r="I4152" s="1399">
        <v>-7334148</v>
      </c>
    </row>
    <row r="4153" spans="2:9">
      <c r="B4153" s="1297"/>
      <c r="C4153" s="1297"/>
      <c r="D4153" s="1297" t="s">
        <v>934</v>
      </c>
      <c r="H4153" s="1399">
        <v>80172</v>
      </c>
      <c r="I4153" s="1399">
        <v>80172</v>
      </c>
    </row>
    <row r="4154" spans="2:9">
      <c r="B4154" s="1297"/>
      <c r="C4154" s="1297"/>
      <c r="D4154" s="1297" t="s">
        <v>935</v>
      </c>
      <c r="H4154" s="1399">
        <v>504989.19</v>
      </c>
      <c r="I4154" s="1399">
        <v>504989.19</v>
      </c>
    </row>
    <row r="4155" spans="2:9">
      <c r="B4155" s="1297"/>
      <c r="C4155" s="1297"/>
      <c r="D4155" s="1297" t="s">
        <v>936</v>
      </c>
      <c r="H4155" s="1399">
        <v>105395.31</v>
      </c>
      <c r="I4155" s="1399">
        <v>105395.31</v>
      </c>
    </row>
    <row r="4156" spans="2:9">
      <c r="B4156" s="1297"/>
      <c r="C4156" s="1297"/>
      <c r="D4156" s="1297" t="s">
        <v>937</v>
      </c>
      <c r="H4156" s="1399">
        <v>30389.14</v>
      </c>
      <c r="I4156" s="1399">
        <v>30389.14</v>
      </c>
    </row>
    <row r="4157" spans="2:9">
      <c r="B4157" s="1297"/>
      <c r="C4157" s="1297"/>
      <c r="D4157" s="1297" t="s">
        <v>938</v>
      </c>
      <c r="H4157" s="1399">
        <v>36309</v>
      </c>
      <c r="I4157" s="1399">
        <v>36309</v>
      </c>
    </row>
    <row r="4158" spans="2:9">
      <c r="B4158" s="1297"/>
      <c r="C4158" s="1297"/>
      <c r="D4158" s="1297" t="s">
        <v>1131</v>
      </c>
      <c r="E4158" s="1399">
        <v>108.84</v>
      </c>
      <c r="I4158" s="1399">
        <v>108.84</v>
      </c>
    </row>
    <row r="4159" spans="2:9">
      <c r="B4159" s="1297"/>
      <c r="C4159" s="1297"/>
      <c r="D4159" s="1297" t="s">
        <v>940</v>
      </c>
      <c r="E4159" s="1399">
        <v>640383.72</v>
      </c>
      <c r="I4159" s="1399">
        <v>640383.72</v>
      </c>
    </row>
    <row r="4160" spans="2:9">
      <c r="B4160" s="1297"/>
      <c r="C4160" s="1297"/>
      <c r="D4160" s="1297" t="s">
        <v>941</v>
      </c>
      <c r="E4160" s="1399">
        <v>120190.44</v>
      </c>
      <c r="I4160" s="1399">
        <v>120190.44</v>
      </c>
    </row>
    <row r="4161" spans="2:9">
      <c r="B4161" s="1297"/>
      <c r="C4161" s="1297"/>
      <c r="D4161" s="1297" t="s">
        <v>944</v>
      </c>
      <c r="E4161" s="1399">
        <v>3724449.9000000004</v>
      </c>
      <c r="I4161" s="1399">
        <v>3724449.9000000004</v>
      </c>
    </row>
    <row r="4162" spans="2:9">
      <c r="B4162" s="1297"/>
      <c r="C4162" s="1297"/>
      <c r="D4162" s="1297" t="s">
        <v>947</v>
      </c>
      <c r="E4162" s="1399">
        <v>157771.07</v>
      </c>
      <c r="I4162" s="1399">
        <v>157771.07</v>
      </c>
    </row>
    <row r="4163" spans="2:9">
      <c r="B4163" s="1297"/>
      <c r="C4163" s="1297"/>
      <c r="D4163" s="1297" t="s">
        <v>948</v>
      </c>
      <c r="G4163" s="1399">
        <v>795929.3</v>
      </c>
      <c r="I4163" s="1399">
        <v>795929.3</v>
      </c>
    </row>
    <row r="4164" spans="2:9">
      <c r="B4164" s="1297"/>
      <c r="C4164" s="1297"/>
      <c r="D4164" s="1297" t="s">
        <v>956</v>
      </c>
      <c r="G4164" s="1399">
        <v>11767</v>
      </c>
      <c r="I4164" s="1399">
        <v>11767</v>
      </c>
    </row>
    <row r="4165" spans="2:9">
      <c r="B4165" s="1297"/>
      <c r="C4165" s="1297"/>
      <c r="D4165" s="1297" t="s">
        <v>1118</v>
      </c>
      <c r="G4165" s="1399">
        <v>350</v>
      </c>
      <c r="I4165" s="1399">
        <v>350</v>
      </c>
    </row>
    <row r="4166" spans="2:9">
      <c r="B4166" s="1297"/>
      <c r="C4166" s="1400" t="s">
        <v>1278</v>
      </c>
      <c r="D4166" s="1400"/>
      <c r="E4166" s="1401">
        <v>4642903.9700000007</v>
      </c>
      <c r="F4166" s="1401">
        <v>35793414.919999987</v>
      </c>
      <c r="G4166" s="1401">
        <v>808046.3</v>
      </c>
      <c r="H4166" s="1401">
        <v>26841361.640000001</v>
      </c>
      <c r="I4166" s="1401">
        <v>68085726.829999983</v>
      </c>
    </row>
    <row r="4167" spans="2:9">
      <c r="B4167" s="1297" t="s">
        <v>1279</v>
      </c>
      <c r="C4167" s="1297" t="s">
        <v>1280</v>
      </c>
      <c r="D4167" s="1297" t="s">
        <v>906</v>
      </c>
      <c r="F4167" s="1399">
        <v>8144053.0899999999</v>
      </c>
      <c r="I4167" s="1399">
        <v>8144053.0899999999</v>
      </c>
    </row>
    <row r="4168" spans="2:9">
      <c r="B4168" s="1297"/>
      <c r="C4168" s="1297"/>
      <c r="D4168" s="1297" t="s">
        <v>952</v>
      </c>
      <c r="F4168" s="1399">
        <v>65663.45</v>
      </c>
      <c r="I4168" s="1399">
        <v>65663.45</v>
      </c>
    </row>
    <row r="4169" spans="2:9">
      <c r="B4169" s="1297"/>
      <c r="C4169" s="1297"/>
      <c r="D4169" s="1297" t="s">
        <v>907</v>
      </c>
      <c r="F4169" s="1399">
        <v>745971.07</v>
      </c>
      <c r="I4169" s="1399">
        <v>745971.07</v>
      </c>
    </row>
    <row r="4170" spans="2:9">
      <c r="B4170" s="1297"/>
      <c r="C4170" s="1297"/>
      <c r="D4170" s="1297" t="s">
        <v>908</v>
      </c>
      <c r="F4170" s="1399">
        <v>0</v>
      </c>
      <c r="I4170" s="1399">
        <v>0</v>
      </c>
    </row>
    <row r="4171" spans="2:9">
      <c r="B4171" s="1297"/>
      <c r="C4171" s="1297"/>
      <c r="D4171" s="1297" t="s">
        <v>910</v>
      </c>
      <c r="F4171" s="1399">
        <v>217.35</v>
      </c>
      <c r="I4171" s="1399">
        <v>217.35</v>
      </c>
    </row>
    <row r="4172" spans="2:9">
      <c r="B4172" s="1297"/>
      <c r="C4172" s="1297"/>
      <c r="D4172" s="1297" t="s">
        <v>1034</v>
      </c>
      <c r="F4172" s="1399">
        <v>8089.19</v>
      </c>
      <c r="I4172" s="1399">
        <v>8089.19</v>
      </c>
    </row>
    <row r="4173" spans="2:9">
      <c r="B4173" s="1297"/>
      <c r="C4173" s="1297"/>
      <c r="D4173" s="1297" t="s">
        <v>1035</v>
      </c>
      <c r="F4173" s="1399">
        <v>204267.51</v>
      </c>
      <c r="I4173" s="1399">
        <v>204267.51</v>
      </c>
    </row>
    <row r="4174" spans="2:9">
      <c r="B4174" s="1297"/>
      <c r="C4174" s="1297"/>
      <c r="D4174" s="1297" t="s">
        <v>1036</v>
      </c>
      <c r="F4174" s="1399">
        <v>65053.65</v>
      </c>
      <c r="I4174" s="1399">
        <v>65053.65</v>
      </c>
    </row>
    <row r="4175" spans="2:9">
      <c r="B4175" s="1297"/>
      <c r="C4175" s="1297"/>
      <c r="D4175" s="1297" t="s">
        <v>1037</v>
      </c>
      <c r="F4175" s="1399">
        <v>9058.8799999999992</v>
      </c>
      <c r="I4175" s="1399">
        <v>9058.8799999999992</v>
      </c>
    </row>
    <row r="4176" spans="2:9">
      <c r="B4176" s="1297"/>
      <c r="C4176" s="1297"/>
      <c r="D4176" s="1297" t="s">
        <v>1105</v>
      </c>
      <c r="F4176" s="1399">
        <v>0</v>
      </c>
      <c r="I4176" s="1399">
        <v>0</v>
      </c>
    </row>
    <row r="4177" spans="2:9">
      <c r="B4177" s="1297"/>
      <c r="C4177" s="1297"/>
      <c r="D4177" s="1297" t="s">
        <v>1039</v>
      </c>
      <c r="F4177" s="1399">
        <v>43671.79</v>
      </c>
      <c r="I4177" s="1399">
        <v>43671.79</v>
      </c>
    </row>
    <row r="4178" spans="2:9">
      <c r="B4178" s="1297"/>
      <c r="C4178" s="1297"/>
      <c r="D4178" s="1297" t="s">
        <v>1040</v>
      </c>
      <c r="F4178" s="1399">
        <v>181823.26</v>
      </c>
      <c r="I4178" s="1399">
        <v>181823.26</v>
      </c>
    </row>
    <row r="4179" spans="2:9">
      <c r="B4179" s="1297"/>
      <c r="C4179" s="1297"/>
      <c r="D4179" s="1297" t="s">
        <v>1041</v>
      </c>
      <c r="F4179" s="1399">
        <v>13733.8</v>
      </c>
      <c r="I4179" s="1399">
        <v>13733.8</v>
      </c>
    </row>
    <row r="4180" spans="2:9">
      <c r="B4180" s="1297"/>
      <c r="C4180" s="1297"/>
      <c r="D4180" s="1297" t="s">
        <v>1042</v>
      </c>
      <c r="F4180" s="1399">
        <v>29920.73</v>
      </c>
      <c r="I4180" s="1399">
        <v>29920.73</v>
      </c>
    </row>
    <row r="4181" spans="2:9">
      <c r="B4181" s="1297"/>
      <c r="C4181" s="1297"/>
      <c r="D4181" s="1297" t="s">
        <v>996</v>
      </c>
      <c r="F4181" s="1399">
        <v>75</v>
      </c>
      <c r="I4181" s="1399">
        <v>75</v>
      </c>
    </row>
    <row r="4182" spans="2:9">
      <c r="B4182" s="1297"/>
      <c r="C4182" s="1297"/>
      <c r="D4182" s="1297" t="s">
        <v>1045</v>
      </c>
      <c r="F4182" s="1399">
        <v>105479.93</v>
      </c>
      <c r="I4182" s="1399">
        <v>105479.93</v>
      </c>
    </row>
    <row r="4183" spans="2:9">
      <c r="B4183" s="1297"/>
      <c r="C4183" s="1297"/>
      <c r="D4183" s="1297" t="s">
        <v>1046</v>
      </c>
      <c r="H4183" s="1399">
        <v>12258700</v>
      </c>
      <c r="I4183" s="1399">
        <v>12258700</v>
      </c>
    </row>
    <row r="4184" spans="2:9">
      <c r="B4184" s="1297"/>
      <c r="C4184" s="1297"/>
      <c r="D4184" s="1297" t="s">
        <v>1047</v>
      </c>
      <c r="H4184" s="1399">
        <v>474335</v>
      </c>
      <c r="I4184" s="1399">
        <v>474335</v>
      </c>
    </row>
    <row r="4185" spans="2:9">
      <c r="B4185" s="1297"/>
      <c r="C4185" s="1297"/>
      <c r="D4185" s="1297" t="s">
        <v>1048</v>
      </c>
      <c r="H4185" s="1399">
        <v>-1910373</v>
      </c>
      <c r="I4185" s="1399">
        <v>-1910373</v>
      </c>
    </row>
    <row r="4186" spans="2:9">
      <c r="B4186" s="1297"/>
      <c r="C4186" s="1297"/>
      <c r="D4186" s="1297" t="s">
        <v>932</v>
      </c>
      <c r="H4186" s="1399">
        <v>1136879</v>
      </c>
      <c r="I4186" s="1399">
        <v>1136879</v>
      </c>
    </row>
    <row r="4187" spans="2:9">
      <c r="B4187" s="1297"/>
      <c r="C4187" s="1297"/>
      <c r="D4187" s="1297" t="s">
        <v>955</v>
      </c>
      <c r="H4187" s="1399">
        <v>93262.71</v>
      </c>
      <c r="I4187" s="1399">
        <v>93262.71</v>
      </c>
    </row>
    <row r="4188" spans="2:9">
      <c r="B4188" s="1297"/>
      <c r="C4188" s="1297"/>
      <c r="D4188" s="1297" t="s">
        <v>934</v>
      </c>
      <c r="H4188" s="1399">
        <v>34310</v>
      </c>
      <c r="I4188" s="1399">
        <v>34310</v>
      </c>
    </row>
    <row r="4189" spans="2:9">
      <c r="B4189" s="1297"/>
      <c r="C4189" s="1297"/>
      <c r="D4189" s="1297" t="s">
        <v>1130</v>
      </c>
      <c r="H4189" s="1399">
        <v>335054.01</v>
      </c>
      <c r="I4189" s="1399">
        <v>335054.01</v>
      </c>
    </row>
    <row r="4190" spans="2:9">
      <c r="B4190" s="1297"/>
      <c r="C4190" s="1297"/>
      <c r="D4190" s="1297" t="s">
        <v>935</v>
      </c>
      <c r="H4190" s="1399">
        <v>424121.76</v>
      </c>
      <c r="I4190" s="1399">
        <v>424121.76</v>
      </c>
    </row>
    <row r="4191" spans="2:9">
      <c r="B4191" s="1297"/>
      <c r="C4191" s="1297"/>
      <c r="D4191" s="1297" t="s">
        <v>936</v>
      </c>
      <c r="H4191" s="1399">
        <v>40967.61</v>
      </c>
      <c r="I4191" s="1399">
        <v>40967.61</v>
      </c>
    </row>
    <row r="4192" spans="2:9">
      <c r="B4192" s="1297"/>
      <c r="C4192" s="1297"/>
      <c r="D4192" s="1297" t="s">
        <v>937</v>
      </c>
      <c r="H4192" s="1399">
        <v>29406.400000000001</v>
      </c>
      <c r="I4192" s="1399">
        <v>29406.400000000001</v>
      </c>
    </row>
    <row r="4193" spans="2:9">
      <c r="B4193" s="1297"/>
      <c r="C4193" s="1297"/>
      <c r="D4193" s="1297" t="s">
        <v>938</v>
      </c>
      <c r="H4193" s="1399">
        <v>11417</v>
      </c>
      <c r="I4193" s="1399">
        <v>11417</v>
      </c>
    </row>
    <row r="4194" spans="2:9">
      <c r="B4194" s="1297"/>
      <c r="C4194" s="1297"/>
      <c r="D4194" s="1297" t="s">
        <v>939</v>
      </c>
      <c r="H4194" s="1399">
        <v>129037.08</v>
      </c>
      <c r="I4194" s="1399">
        <v>129037.08</v>
      </c>
    </row>
    <row r="4195" spans="2:9">
      <c r="B4195" s="1297"/>
      <c r="C4195" s="1297"/>
      <c r="D4195" s="1297" t="s">
        <v>940</v>
      </c>
      <c r="E4195" s="1399">
        <v>542145.93999999994</v>
      </c>
      <c r="I4195" s="1399">
        <v>542145.93999999994</v>
      </c>
    </row>
    <row r="4196" spans="2:9">
      <c r="B4196" s="1297"/>
      <c r="C4196" s="1297"/>
      <c r="D4196" s="1297" t="s">
        <v>941</v>
      </c>
      <c r="E4196" s="1399">
        <v>174965.64</v>
      </c>
      <c r="I4196" s="1399">
        <v>174965.64</v>
      </c>
    </row>
    <row r="4197" spans="2:9">
      <c r="B4197" s="1297"/>
      <c r="C4197" s="1297"/>
      <c r="D4197" s="1297" t="s">
        <v>943</v>
      </c>
      <c r="E4197" s="1399">
        <v>1519.96</v>
      </c>
      <c r="I4197" s="1399">
        <v>1519.96</v>
      </c>
    </row>
    <row r="4198" spans="2:9">
      <c r="B4198" s="1297"/>
      <c r="C4198" s="1297"/>
      <c r="D4198" s="1297" t="s">
        <v>944</v>
      </c>
      <c r="E4198" s="1399">
        <v>1058192.74</v>
      </c>
      <c r="I4198" s="1399">
        <v>1058192.74</v>
      </c>
    </row>
    <row r="4199" spans="2:9">
      <c r="B4199" s="1297"/>
      <c r="C4199" s="1297"/>
      <c r="D4199" s="1297" t="s">
        <v>945</v>
      </c>
      <c r="E4199" s="1399">
        <v>638587.42000000004</v>
      </c>
      <c r="I4199" s="1399">
        <v>638587.42000000004</v>
      </c>
    </row>
    <row r="4200" spans="2:9">
      <c r="B4200" s="1297"/>
      <c r="C4200" s="1297"/>
      <c r="D4200" s="1297" t="s">
        <v>1214</v>
      </c>
      <c r="E4200" s="1399">
        <v>6266.06</v>
      </c>
      <c r="I4200" s="1399">
        <v>6266.06</v>
      </c>
    </row>
    <row r="4201" spans="2:9">
      <c r="B4201" s="1297"/>
      <c r="C4201" s="1297"/>
      <c r="D4201" s="1297" t="s">
        <v>947</v>
      </c>
      <c r="E4201" s="1399">
        <v>71998.63</v>
      </c>
      <c r="I4201" s="1399">
        <v>71998.63</v>
      </c>
    </row>
    <row r="4202" spans="2:9">
      <c r="B4202" s="1297"/>
      <c r="C4202" s="1297"/>
      <c r="D4202" s="1297" t="s">
        <v>948</v>
      </c>
      <c r="G4202" s="1399">
        <v>5760138.4299999997</v>
      </c>
      <c r="I4202" s="1399">
        <v>5760138.4299999997</v>
      </c>
    </row>
    <row r="4203" spans="2:9">
      <c r="B4203" s="1297"/>
      <c r="C4203" s="1297"/>
      <c r="D4203" s="1297" t="s">
        <v>956</v>
      </c>
      <c r="G4203" s="1399">
        <v>1165.01</v>
      </c>
      <c r="I4203" s="1399">
        <v>1165.01</v>
      </c>
    </row>
    <row r="4204" spans="2:9">
      <c r="B4204" s="1297"/>
      <c r="C4204" s="1297"/>
      <c r="D4204" s="1297" t="s">
        <v>1118</v>
      </c>
      <c r="G4204" s="1399">
        <v>4985.93</v>
      </c>
      <c r="I4204" s="1399">
        <v>4985.93</v>
      </c>
    </row>
    <row r="4205" spans="2:9">
      <c r="B4205" s="1297"/>
      <c r="C4205" s="1400" t="s">
        <v>1281</v>
      </c>
      <c r="D4205" s="1400"/>
      <c r="E4205" s="1401">
        <v>2493676.3899999997</v>
      </c>
      <c r="F4205" s="1401">
        <v>9617078.6999999993</v>
      </c>
      <c r="G4205" s="1401">
        <v>5766289.3699999992</v>
      </c>
      <c r="H4205" s="1401">
        <v>13057117.57</v>
      </c>
      <c r="I4205" s="1401">
        <v>30934162.030000001</v>
      </c>
    </row>
    <row r="4206" spans="2:9">
      <c r="B4206" s="1297" t="s">
        <v>1282</v>
      </c>
      <c r="C4206" s="1297" t="s">
        <v>1283</v>
      </c>
      <c r="D4206" s="1297" t="s">
        <v>906</v>
      </c>
      <c r="F4206" s="1399">
        <v>69188197.659999996</v>
      </c>
      <c r="I4206" s="1399">
        <v>69188197.659999996</v>
      </c>
    </row>
    <row r="4207" spans="2:9">
      <c r="B4207" s="1297"/>
      <c r="C4207" s="1297"/>
      <c r="D4207" s="1297" t="s">
        <v>952</v>
      </c>
      <c r="F4207" s="1399">
        <v>961309.7</v>
      </c>
      <c r="I4207" s="1399">
        <v>961309.7</v>
      </c>
    </row>
    <row r="4208" spans="2:9">
      <c r="B4208" s="1297"/>
      <c r="C4208" s="1297"/>
      <c r="D4208" s="1297" t="s">
        <v>907</v>
      </c>
      <c r="F4208" s="1399">
        <v>13845161.07</v>
      </c>
      <c r="I4208" s="1399">
        <v>13845161.07</v>
      </c>
    </row>
    <row r="4209" spans="2:9">
      <c r="B4209" s="1297"/>
      <c r="C4209" s="1297"/>
      <c r="D4209" s="1297" t="s">
        <v>908</v>
      </c>
      <c r="F4209" s="1399">
        <v>23729.05</v>
      </c>
      <c r="I4209" s="1399">
        <v>23729.05</v>
      </c>
    </row>
    <row r="4210" spans="2:9">
      <c r="B4210" s="1297"/>
      <c r="C4210" s="1297"/>
      <c r="D4210" s="1297" t="s">
        <v>1038</v>
      </c>
      <c r="F4210" s="1399">
        <v>875</v>
      </c>
      <c r="I4210" s="1399">
        <v>875</v>
      </c>
    </row>
    <row r="4211" spans="2:9">
      <c r="B4211" s="1297"/>
      <c r="C4211" s="1297"/>
      <c r="D4211" s="1297" t="s">
        <v>1039</v>
      </c>
      <c r="F4211" s="1399">
        <v>84030.909999999989</v>
      </c>
      <c r="I4211" s="1399">
        <v>84030.909999999989</v>
      </c>
    </row>
    <row r="4212" spans="2:9">
      <c r="B4212" s="1297"/>
      <c r="C4212" s="1297"/>
      <c r="D4212" s="1297" t="s">
        <v>1040</v>
      </c>
      <c r="F4212" s="1399">
        <v>3537218.52</v>
      </c>
      <c r="I4212" s="1399">
        <v>3537218.52</v>
      </c>
    </row>
    <row r="4213" spans="2:9">
      <c r="B4213" s="1297"/>
      <c r="C4213" s="1297"/>
      <c r="D4213" s="1297" t="s">
        <v>1041</v>
      </c>
      <c r="F4213" s="1399">
        <v>1126345.4099999999</v>
      </c>
      <c r="I4213" s="1399">
        <v>1126345.4099999999</v>
      </c>
    </row>
    <row r="4214" spans="2:9">
      <c r="B4214" s="1297"/>
      <c r="C4214" s="1297"/>
      <c r="D4214" s="1297" t="s">
        <v>1042</v>
      </c>
      <c r="F4214" s="1399">
        <v>257770.63</v>
      </c>
      <c r="I4214" s="1399">
        <v>257770.63</v>
      </c>
    </row>
    <row r="4215" spans="2:9">
      <c r="B4215" s="1297"/>
      <c r="C4215" s="1297"/>
      <c r="D4215" s="1297" t="s">
        <v>954</v>
      </c>
      <c r="F4215" s="1399">
        <v>4507252.0199999996</v>
      </c>
      <c r="I4215" s="1399">
        <v>4507252.0199999996</v>
      </c>
    </row>
    <row r="4216" spans="2:9">
      <c r="B4216" s="1297"/>
      <c r="C4216" s="1297"/>
      <c r="D4216" s="1297" t="s">
        <v>985</v>
      </c>
      <c r="F4216" s="1399">
        <v>-13842.119999999999</v>
      </c>
      <c r="I4216" s="1399">
        <v>-13842.119999999999</v>
      </c>
    </row>
    <row r="4217" spans="2:9">
      <c r="B4217" s="1297"/>
      <c r="C4217" s="1297"/>
      <c r="D4217" s="1297" t="s">
        <v>1203</v>
      </c>
      <c r="F4217" s="1399">
        <v>1000</v>
      </c>
      <c r="I4217" s="1399">
        <v>1000</v>
      </c>
    </row>
    <row r="4218" spans="2:9">
      <c r="B4218" s="1297"/>
      <c r="C4218" s="1297"/>
      <c r="D4218" s="1297" t="s">
        <v>1044</v>
      </c>
      <c r="F4218" s="1399">
        <v>102463.22</v>
      </c>
      <c r="I4218" s="1399">
        <v>102463.22</v>
      </c>
    </row>
    <row r="4219" spans="2:9">
      <c r="B4219" s="1297"/>
      <c r="C4219" s="1297"/>
      <c r="D4219" s="1297" t="s">
        <v>1045</v>
      </c>
      <c r="F4219" s="1399">
        <v>1077255.94</v>
      </c>
      <c r="I4219" s="1399">
        <v>1077255.94</v>
      </c>
    </row>
    <row r="4220" spans="2:9">
      <c r="B4220" s="1297"/>
      <c r="C4220" s="1297"/>
      <c r="D4220" s="1297" t="s">
        <v>1046</v>
      </c>
      <c r="H4220" s="1399">
        <v>136875437</v>
      </c>
      <c r="I4220" s="1399">
        <v>136875437</v>
      </c>
    </row>
    <row r="4221" spans="2:9">
      <c r="B4221" s="1297"/>
      <c r="C4221" s="1297"/>
      <c r="D4221" s="1297" t="s">
        <v>1128</v>
      </c>
      <c r="H4221" s="1399">
        <v>12306029</v>
      </c>
      <c r="I4221" s="1399">
        <v>12306029</v>
      </c>
    </row>
    <row r="4222" spans="2:9">
      <c r="B4222" s="1297"/>
      <c r="C4222" s="1297"/>
      <c r="D4222" s="1297" t="s">
        <v>1129</v>
      </c>
      <c r="H4222" s="1399">
        <v>-18943395</v>
      </c>
      <c r="I4222" s="1399">
        <v>-18943395</v>
      </c>
    </row>
    <row r="4223" spans="2:9">
      <c r="B4223" s="1297"/>
      <c r="C4223" s="1297"/>
      <c r="D4223" s="1297" t="s">
        <v>1047</v>
      </c>
      <c r="H4223" s="1399">
        <v>1833807</v>
      </c>
      <c r="I4223" s="1399">
        <v>1833807</v>
      </c>
    </row>
    <row r="4224" spans="2:9">
      <c r="B4224" s="1297"/>
      <c r="C4224" s="1297"/>
      <c r="D4224" s="1297" t="s">
        <v>1048</v>
      </c>
      <c r="H4224" s="1399">
        <v>-19279417</v>
      </c>
      <c r="I4224" s="1399">
        <v>-19279417</v>
      </c>
    </row>
    <row r="4225" spans="2:9">
      <c r="B4225" s="1297"/>
      <c r="C4225" s="1297"/>
      <c r="D4225" s="1297" t="s">
        <v>932</v>
      </c>
      <c r="H4225" s="1399">
        <v>17276058</v>
      </c>
      <c r="I4225" s="1399">
        <v>17276058</v>
      </c>
    </row>
    <row r="4226" spans="2:9">
      <c r="B4226" s="1297"/>
      <c r="C4226" s="1297"/>
      <c r="D4226" s="1297" t="s">
        <v>934</v>
      </c>
      <c r="H4226" s="1399">
        <v>392426</v>
      </c>
      <c r="I4226" s="1399">
        <v>392426</v>
      </c>
    </row>
    <row r="4227" spans="2:9">
      <c r="B4227" s="1297"/>
      <c r="C4227" s="1297"/>
      <c r="D4227" s="1297" t="s">
        <v>1130</v>
      </c>
      <c r="H4227" s="1399">
        <v>2557081.6000000001</v>
      </c>
      <c r="I4227" s="1399">
        <v>2557081.6000000001</v>
      </c>
    </row>
    <row r="4228" spans="2:9">
      <c r="B4228" s="1297"/>
      <c r="C4228" s="1297"/>
      <c r="D4228" s="1297" t="s">
        <v>935</v>
      </c>
      <c r="H4228" s="1399">
        <v>1562425.01</v>
      </c>
      <c r="I4228" s="1399">
        <v>1562425.01</v>
      </c>
    </row>
    <row r="4229" spans="2:9">
      <c r="B4229" s="1297"/>
      <c r="C4229" s="1297"/>
      <c r="D4229" s="1297" t="s">
        <v>936</v>
      </c>
      <c r="H4229" s="1399">
        <v>385865.89</v>
      </c>
      <c r="I4229" s="1399">
        <v>385865.89</v>
      </c>
    </row>
    <row r="4230" spans="2:9">
      <c r="B4230" s="1297"/>
      <c r="C4230" s="1297"/>
      <c r="D4230" s="1297" t="s">
        <v>937</v>
      </c>
      <c r="H4230" s="1399">
        <v>94948.65</v>
      </c>
      <c r="I4230" s="1399">
        <v>94948.65</v>
      </c>
    </row>
    <row r="4231" spans="2:9">
      <c r="B4231" s="1297"/>
      <c r="C4231" s="1297"/>
      <c r="D4231" s="1297" t="s">
        <v>938</v>
      </c>
      <c r="H4231" s="1399">
        <v>124461</v>
      </c>
      <c r="I4231" s="1399">
        <v>124461</v>
      </c>
    </row>
    <row r="4232" spans="2:9">
      <c r="B4232" s="1297"/>
      <c r="C4232" s="1297"/>
      <c r="D4232" s="1297" t="s">
        <v>939</v>
      </c>
      <c r="H4232" s="1399">
        <v>41922.06</v>
      </c>
      <c r="I4232" s="1399">
        <v>41922.06</v>
      </c>
    </row>
    <row r="4233" spans="2:9">
      <c r="B4233" s="1297"/>
      <c r="C4233" s="1297"/>
      <c r="D4233" s="1297" t="s">
        <v>1131</v>
      </c>
      <c r="E4233" s="1399">
        <v>222268.04</v>
      </c>
      <c r="I4233" s="1399">
        <v>222268.04</v>
      </c>
    </row>
    <row r="4234" spans="2:9">
      <c r="B4234" s="1297"/>
      <c r="C4234" s="1297"/>
      <c r="D4234" s="1297" t="s">
        <v>940</v>
      </c>
      <c r="E4234" s="1399">
        <v>4868925.76</v>
      </c>
      <c r="I4234" s="1399">
        <v>4868925.76</v>
      </c>
    </row>
    <row r="4235" spans="2:9">
      <c r="B4235" s="1297"/>
      <c r="C4235" s="1297"/>
      <c r="D4235" s="1297" t="s">
        <v>941</v>
      </c>
      <c r="E4235" s="1399">
        <v>1245370.78</v>
      </c>
      <c r="I4235" s="1399">
        <v>1245370.78</v>
      </c>
    </row>
    <row r="4236" spans="2:9">
      <c r="B4236" s="1297"/>
      <c r="C4236" s="1297"/>
      <c r="D4236" s="1297" t="s">
        <v>943</v>
      </c>
      <c r="E4236" s="1399">
        <v>55925.79</v>
      </c>
      <c r="I4236" s="1399">
        <v>55925.79</v>
      </c>
    </row>
    <row r="4237" spans="2:9">
      <c r="B4237" s="1297"/>
      <c r="C4237" s="1297"/>
      <c r="D4237" s="1297" t="s">
        <v>944</v>
      </c>
      <c r="E4237" s="1399">
        <v>7912228.5699999984</v>
      </c>
      <c r="I4237" s="1399">
        <v>7912228.5699999984</v>
      </c>
    </row>
    <row r="4238" spans="2:9">
      <c r="B4238" s="1297"/>
      <c r="C4238" s="1297"/>
      <c r="D4238" s="1297" t="s">
        <v>945</v>
      </c>
      <c r="E4238" s="1399">
        <v>9045195.0600000005</v>
      </c>
      <c r="I4238" s="1399">
        <v>9045195.0600000005</v>
      </c>
    </row>
    <row r="4239" spans="2:9">
      <c r="B4239" s="1297"/>
      <c r="C4239" s="1297"/>
      <c r="D4239" s="1297" t="s">
        <v>947</v>
      </c>
      <c r="E4239" s="1399">
        <v>429335.13</v>
      </c>
      <c r="I4239" s="1399">
        <v>429335.13</v>
      </c>
    </row>
    <row r="4240" spans="2:9">
      <c r="B4240" s="1297"/>
      <c r="C4240" s="1297"/>
      <c r="D4240" s="1297" t="s">
        <v>948</v>
      </c>
      <c r="G4240" s="1399">
        <v>24639599.23</v>
      </c>
      <c r="I4240" s="1399">
        <v>24639599.23</v>
      </c>
    </row>
    <row r="4241" spans="2:9">
      <c r="B4241" s="1297"/>
      <c r="C4241" s="1297"/>
      <c r="D4241" s="1297" t="s">
        <v>956</v>
      </c>
      <c r="G4241" s="1399">
        <v>31397</v>
      </c>
      <c r="I4241" s="1399">
        <v>31397</v>
      </c>
    </row>
    <row r="4242" spans="2:9">
      <c r="B4242" s="1297"/>
      <c r="C4242" s="1400" t="s">
        <v>1284</v>
      </c>
      <c r="D4242" s="1400"/>
      <c r="E4242" s="1401">
        <v>23779249.129999999</v>
      </c>
      <c r="F4242" s="1401">
        <v>94698767.009999976</v>
      </c>
      <c r="G4242" s="1401">
        <v>24670996.23</v>
      </c>
      <c r="H4242" s="1401">
        <v>135227649.20999998</v>
      </c>
      <c r="I4242" s="1401">
        <v>278376661.57999992</v>
      </c>
    </row>
    <row r="4243" spans="2:9">
      <c r="B4243" s="1297" t="s">
        <v>1285</v>
      </c>
      <c r="C4243" s="1297" t="s">
        <v>1286</v>
      </c>
      <c r="D4243" s="1297" t="s">
        <v>906</v>
      </c>
      <c r="F4243" s="1399">
        <v>10572262.5</v>
      </c>
      <c r="I4243" s="1399">
        <v>10572262.5</v>
      </c>
    </row>
    <row r="4244" spans="2:9">
      <c r="B4244" s="1297"/>
      <c r="C4244" s="1297"/>
      <c r="D4244" s="1297" t="s">
        <v>952</v>
      </c>
      <c r="F4244" s="1399">
        <v>110583.93</v>
      </c>
      <c r="I4244" s="1399">
        <v>110583.93</v>
      </c>
    </row>
    <row r="4245" spans="2:9">
      <c r="B4245" s="1297"/>
      <c r="C4245" s="1297"/>
      <c r="D4245" s="1297" t="s">
        <v>907</v>
      </c>
      <c r="F4245" s="1399">
        <v>4060444.12</v>
      </c>
      <c r="I4245" s="1399">
        <v>4060444.12</v>
      </c>
    </row>
    <row r="4246" spans="2:9">
      <c r="B4246" s="1297"/>
      <c r="C4246" s="1297"/>
      <c r="D4246" s="1297" t="s">
        <v>908</v>
      </c>
      <c r="F4246" s="1399">
        <v>54918.7</v>
      </c>
      <c r="I4246" s="1399">
        <v>54918.7</v>
      </c>
    </row>
    <row r="4247" spans="2:9">
      <c r="B4247" s="1297"/>
      <c r="C4247" s="1297"/>
      <c r="D4247" s="1297" t="s">
        <v>909</v>
      </c>
      <c r="F4247" s="1399">
        <v>79251.929999999993</v>
      </c>
      <c r="I4247" s="1399">
        <v>79251.929999999993</v>
      </c>
    </row>
    <row r="4248" spans="2:9">
      <c r="B4248" s="1297"/>
      <c r="C4248" s="1297"/>
      <c r="D4248" s="1297" t="s">
        <v>910</v>
      </c>
      <c r="F4248" s="1399">
        <v>135725.91</v>
      </c>
      <c r="I4248" s="1399">
        <v>135725.91</v>
      </c>
    </row>
    <row r="4249" spans="2:9">
      <c r="B4249" s="1297"/>
      <c r="C4249" s="1297"/>
      <c r="D4249" s="1297" t="s">
        <v>1034</v>
      </c>
      <c r="F4249" s="1399">
        <v>93556.93</v>
      </c>
      <c r="I4249" s="1399">
        <v>93556.93</v>
      </c>
    </row>
    <row r="4250" spans="2:9">
      <c r="B4250" s="1297"/>
      <c r="C4250" s="1297"/>
      <c r="D4250" s="1297" t="s">
        <v>1035</v>
      </c>
      <c r="F4250" s="1399">
        <v>374834.98</v>
      </c>
      <c r="I4250" s="1399">
        <v>374834.98</v>
      </c>
    </row>
    <row r="4251" spans="2:9">
      <c r="B4251" s="1297"/>
      <c r="C4251" s="1297"/>
      <c r="D4251" s="1297" t="s">
        <v>1036</v>
      </c>
      <c r="F4251" s="1399">
        <v>235375</v>
      </c>
      <c r="I4251" s="1399">
        <v>235375</v>
      </c>
    </row>
    <row r="4252" spans="2:9">
      <c r="B4252" s="1297"/>
      <c r="C4252" s="1297"/>
      <c r="D4252" s="1297" t="s">
        <v>1037</v>
      </c>
      <c r="F4252" s="1399">
        <v>31840.400000000001</v>
      </c>
      <c r="I4252" s="1399">
        <v>31840.400000000001</v>
      </c>
    </row>
    <row r="4253" spans="2:9">
      <c r="B4253" s="1297"/>
      <c r="C4253" s="1297"/>
      <c r="D4253" s="1297" t="s">
        <v>1039</v>
      </c>
      <c r="F4253" s="1399">
        <v>10592.24</v>
      </c>
      <c r="I4253" s="1399">
        <v>10592.24</v>
      </c>
    </row>
    <row r="4254" spans="2:9">
      <c r="B4254" s="1297"/>
      <c r="C4254" s="1297"/>
      <c r="D4254" s="1297" t="s">
        <v>1040</v>
      </c>
      <c r="F4254" s="1399">
        <v>177368.11</v>
      </c>
      <c r="I4254" s="1399">
        <v>177368.11</v>
      </c>
    </row>
    <row r="4255" spans="2:9">
      <c r="B4255" s="1297"/>
      <c r="C4255" s="1297"/>
      <c r="D4255" s="1297" t="s">
        <v>1127</v>
      </c>
      <c r="F4255" s="1399">
        <v>71872.639999999999</v>
      </c>
      <c r="I4255" s="1399">
        <v>71872.639999999999</v>
      </c>
    </row>
    <row r="4256" spans="2:9">
      <c r="B4256" s="1297"/>
      <c r="C4256" s="1297"/>
      <c r="D4256" s="1297" t="s">
        <v>1041</v>
      </c>
      <c r="F4256" s="1399">
        <v>36384.410000000003</v>
      </c>
      <c r="I4256" s="1399">
        <v>36384.410000000003</v>
      </c>
    </row>
    <row r="4257" spans="2:9">
      <c r="B4257" s="1297"/>
      <c r="C4257" s="1297"/>
      <c r="D4257" s="1297" t="s">
        <v>1042</v>
      </c>
      <c r="F4257" s="1399">
        <v>52554.85</v>
      </c>
      <c r="I4257" s="1399">
        <v>52554.85</v>
      </c>
    </row>
    <row r="4258" spans="2:9">
      <c r="B4258" s="1297"/>
      <c r="C4258" s="1297"/>
      <c r="D4258" s="1297" t="s">
        <v>1045</v>
      </c>
      <c r="F4258" s="1399">
        <v>45587.49</v>
      </c>
      <c r="I4258" s="1399">
        <v>45587.49</v>
      </c>
    </row>
    <row r="4259" spans="2:9">
      <c r="B4259" s="1297"/>
      <c r="C4259" s="1297"/>
      <c r="D4259" s="1297" t="s">
        <v>1046</v>
      </c>
      <c r="H4259" s="1399">
        <v>19231700</v>
      </c>
      <c r="I4259" s="1399">
        <v>19231700</v>
      </c>
    </row>
    <row r="4260" spans="2:9">
      <c r="B4260" s="1297"/>
      <c r="C4260" s="1297"/>
      <c r="D4260" s="1297" t="s">
        <v>1128</v>
      </c>
      <c r="H4260" s="1399">
        <v>1688569</v>
      </c>
      <c r="I4260" s="1399">
        <v>1688569</v>
      </c>
    </row>
    <row r="4261" spans="2:9">
      <c r="B4261" s="1297"/>
      <c r="C4261" s="1297"/>
      <c r="D4261" s="1297" t="s">
        <v>1129</v>
      </c>
      <c r="H4261" s="1399">
        <v>-2811397</v>
      </c>
      <c r="I4261" s="1399">
        <v>-2811397</v>
      </c>
    </row>
    <row r="4262" spans="2:9">
      <c r="B4262" s="1297"/>
      <c r="C4262" s="1297"/>
      <c r="D4262" s="1297" t="s">
        <v>1047</v>
      </c>
      <c r="H4262" s="1399">
        <v>636422</v>
      </c>
      <c r="I4262" s="1399">
        <v>636422</v>
      </c>
    </row>
    <row r="4263" spans="2:9">
      <c r="B4263" s="1297"/>
      <c r="C4263" s="1297"/>
      <c r="D4263" s="1297" t="s">
        <v>1048</v>
      </c>
      <c r="H4263" s="1399">
        <v>-2623520</v>
      </c>
      <c r="I4263" s="1399">
        <v>-2623520</v>
      </c>
    </row>
    <row r="4264" spans="2:9">
      <c r="B4264" s="1297"/>
      <c r="C4264" s="1297"/>
      <c r="D4264" s="1297" t="s">
        <v>932</v>
      </c>
      <c r="H4264" s="1399">
        <v>2061836</v>
      </c>
      <c r="I4264" s="1399">
        <v>2061836</v>
      </c>
    </row>
    <row r="4265" spans="2:9">
      <c r="B4265" s="1297"/>
      <c r="C4265" s="1297"/>
      <c r="D4265" s="1297" t="s">
        <v>934</v>
      </c>
      <c r="H4265" s="1399">
        <v>72628</v>
      </c>
      <c r="I4265" s="1399">
        <v>72628</v>
      </c>
    </row>
    <row r="4266" spans="2:9">
      <c r="B4266" s="1297"/>
      <c r="C4266" s="1297"/>
      <c r="D4266" s="1297" t="s">
        <v>935</v>
      </c>
      <c r="H4266" s="1399">
        <v>135159.63</v>
      </c>
      <c r="I4266" s="1399">
        <v>135159.63</v>
      </c>
    </row>
    <row r="4267" spans="2:9">
      <c r="B4267" s="1297"/>
      <c r="C4267" s="1297"/>
      <c r="D4267" s="1297" t="s">
        <v>936</v>
      </c>
      <c r="H4267" s="1399">
        <v>63377.25</v>
      </c>
      <c r="I4267" s="1399">
        <v>63377.25</v>
      </c>
    </row>
    <row r="4268" spans="2:9">
      <c r="B4268" s="1297"/>
      <c r="C4268" s="1297"/>
      <c r="D4268" s="1297" t="s">
        <v>937</v>
      </c>
      <c r="H4268" s="1399">
        <v>27851.759999999998</v>
      </c>
      <c r="I4268" s="1399">
        <v>27851.759999999998</v>
      </c>
    </row>
    <row r="4269" spans="2:9">
      <c r="B4269" s="1297"/>
      <c r="C4269" s="1297"/>
      <c r="D4269" s="1297" t="s">
        <v>938</v>
      </c>
      <c r="H4269" s="1399">
        <v>25266.01</v>
      </c>
      <c r="I4269" s="1399">
        <v>25266.01</v>
      </c>
    </row>
    <row r="4270" spans="2:9">
      <c r="B4270" s="1297"/>
      <c r="C4270" s="1297"/>
      <c r="D4270" s="1297" t="s">
        <v>1131</v>
      </c>
      <c r="E4270" s="1399">
        <v>32888.53</v>
      </c>
      <c r="I4270" s="1399">
        <v>32888.53</v>
      </c>
    </row>
    <row r="4271" spans="2:9">
      <c r="B4271" s="1297"/>
      <c r="C4271" s="1297"/>
      <c r="D4271" s="1297" t="s">
        <v>940</v>
      </c>
      <c r="E4271" s="1399">
        <v>1075854.1000000001</v>
      </c>
      <c r="I4271" s="1399">
        <v>1075854.1000000001</v>
      </c>
    </row>
    <row r="4272" spans="2:9">
      <c r="B4272" s="1297"/>
      <c r="C4272" s="1297"/>
      <c r="D4272" s="1297" t="s">
        <v>941</v>
      </c>
      <c r="E4272" s="1399">
        <v>380643.34</v>
      </c>
      <c r="I4272" s="1399">
        <v>380643.34</v>
      </c>
    </row>
    <row r="4273" spans="2:9">
      <c r="B4273" s="1297"/>
      <c r="C4273" s="1297"/>
      <c r="D4273" s="1297" t="s">
        <v>943</v>
      </c>
      <c r="E4273" s="1399">
        <v>45568.46</v>
      </c>
      <c r="I4273" s="1399">
        <v>45568.46</v>
      </c>
    </row>
    <row r="4274" spans="2:9">
      <c r="B4274" s="1297"/>
      <c r="C4274" s="1297"/>
      <c r="D4274" s="1297" t="s">
        <v>944</v>
      </c>
      <c r="E4274" s="1399">
        <v>3280585.4999999995</v>
      </c>
      <c r="I4274" s="1399">
        <v>3280585.4999999995</v>
      </c>
    </row>
    <row r="4275" spans="2:9">
      <c r="B4275" s="1297"/>
      <c r="C4275" s="1297"/>
      <c r="D4275" s="1297" t="s">
        <v>945</v>
      </c>
      <c r="E4275" s="1399">
        <v>3818245.1</v>
      </c>
      <c r="I4275" s="1399">
        <v>3818245.1</v>
      </c>
    </row>
    <row r="4276" spans="2:9">
      <c r="B4276" s="1297"/>
      <c r="C4276" s="1297"/>
      <c r="D4276" s="1297" t="s">
        <v>946</v>
      </c>
      <c r="E4276" s="1399">
        <v>14718.42</v>
      </c>
      <c r="I4276" s="1399">
        <v>14718.42</v>
      </c>
    </row>
    <row r="4277" spans="2:9">
      <c r="B4277" s="1297"/>
      <c r="C4277" s="1297"/>
      <c r="D4277" s="1297" t="s">
        <v>947</v>
      </c>
      <c r="E4277" s="1399">
        <v>169587.11</v>
      </c>
      <c r="I4277" s="1399">
        <v>169587.11</v>
      </c>
    </row>
    <row r="4278" spans="2:9">
      <c r="B4278" s="1297"/>
      <c r="C4278" s="1297"/>
      <c r="D4278" s="1297" t="s">
        <v>948</v>
      </c>
      <c r="G4278" s="1399">
        <v>4160865.8099999996</v>
      </c>
      <c r="I4278" s="1399">
        <v>4160865.8099999996</v>
      </c>
    </row>
    <row r="4279" spans="2:9">
      <c r="B4279" s="1297"/>
      <c r="C4279" s="1400" t="s">
        <v>1287</v>
      </c>
      <c r="D4279" s="1400"/>
      <c r="E4279" s="1401">
        <v>8818090.5599999987</v>
      </c>
      <c r="F4279" s="1401">
        <v>16143154.140000001</v>
      </c>
      <c r="G4279" s="1401">
        <v>4160865.8099999996</v>
      </c>
      <c r="H4279" s="1401">
        <v>18507892.650000002</v>
      </c>
      <c r="I4279" s="1401">
        <v>47630003.160000011</v>
      </c>
    </row>
    <row r="4280" spans="2:9">
      <c r="B4280" s="1297" t="s">
        <v>1288</v>
      </c>
      <c r="C4280" s="1297" t="s">
        <v>1289</v>
      </c>
      <c r="D4280" s="1297" t="s">
        <v>906</v>
      </c>
      <c r="F4280" s="1399">
        <v>22268941.670000002</v>
      </c>
      <c r="I4280" s="1399">
        <v>22268941.670000002</v>
      </c>
    </row>
    <row r="4281" spans="2:9">
      <c r="B4281" s="1297"/>
      <c r="C4281" s="1297"/>
      <c r="D4281" s="1297" t="s">
        <v>952</v>
      </c>
      <c r="F4281" s="1399">
        <v>355901.11</v>
      </c>
      <c r="I4281" s="1399">
        <v>355901.11</v>
      </c>
    </row>
    <row r="4282" spans="2:9">
      <c r="B4282" s="1297"/>
      <c r="C4282" s="1297"/>
      <c r="D4282" s="1297" t="s">
        <v>907</v>
      </c>
      <c r="F4282" s="1399">
        <v>3915978.81</v>
      </c>
      <c r="I4282" s="1399">
        <v>3915978.81</v>
      </c>
    </row>
    <row r="4283" spans="2:9">
      <c r="B4283" s="1297"/>
      <c r="C4283" s="1297"/>
      <c r="D4283" s="1297" t="s">
        <v>1145</v>
      </c>
      <c r="F4283" s="1399">
        <v>23538.23</v>
      </c>
      <c r="I4283" s="1399">
        <v>23538.23</v>
      </c>
    </row>
    <row r="4284" spans="2:9">
      <c r="B4284" s="1297"/>
      <c r="C4284" s="1297"/>
      <c r="D4284" s="1297" t="s">
        <v>908</v>
      </c>
      <c r="F4284" s="1399">
        <v>13902.27</v>
      </c>
      <c r="I4284" s="1399">
        <v>13902.27</v>
      </c>
    </row>
    <row r="4285" spans="2:9">
      <c r="B4285" s="1297"/>
      <c r="C4285" s="1297"/>
      <c r="D4285" s="1297" t="s">
        <v>909</v>
      </c>
      <c r="F4285" s="1399">
        <v>4711.76</v>
      </c>
      <c r="I4285" s="1399">
        <v>4711.76</v>
      </c>
    </row>
    <row r="4286" spans="2:9">
      <c r="B4286" s="1297"/>
      <c r="C4286" s="1297"/>
      <c r="D4286" s="1297" t="s">
        <v>910</v>
      </c>
      <c r="F4286" s="1399">
        <v>108960.1</v>
      </c>
      <c r="I4286" s="1399">
        <v>108960.1</v>
      </c>
    </row>
    <row r="4287" spans="2:9">
      <c r="B4287" s="1297"/>
      <c r="C4287" s="1297"/>
      <c r="D4287" s="1297" t="s">
        <v>1034</v>
      </c>
      <c r="F4287" s="1399">
        <v>89635.77</v>
      </c>
      <c r="I4287" s="1399">
        <v>89635.77</v>
      </c>
    </row>
    <row r="4288" spans="2:9">
      <c r="B4288" s="1297"/>
      <c r="C4288" s="1297"/>
      <c r="D4288" s="1297" t="s">
        <v>1035</v>
      </c>
      <c r="F4288" s="1399">
        <v>462072.88000000006</v>
      </c>
      <c r="I4288" s="1399">
        <v>462072.88000000006</v>
      </c>
    </row>
    <row r="4289" spans="2:9">
      <c r="B4289" s="1297"/>
      <c r="C4289" s="1297"/>
      <c r="D4289" s="1297" t="s">
        <v>1036</v>
      </c>
      <c r="F4289" s="1399">
        <v>166763.15</v>
      </c>
      <c r="I4289" s="1399">
        <v>166763.15</v>
      </c>
    </row>
    <row r="4290" spans="2:9">
      <c r="B4290" s="1297"/>
      <c r="C4290" s="1297"/>
      <c r="D4290" s="1297" t="s">
        <v>1037</v>
      </c>
      <c r="F4290" s="1399">
        <v>2813.01</v>
      </c>
      <c r="I4290" s="1399">
        <v>2813.01</v>
      </c>
    </row>
    <row r="4291" spans="2:9">
      <c r="B4291" s="1297"/>
      <c r="C4291" s="1297"/>
      <c r="D4291" s="1297" t="s">
        <v>1039</v>
      </c>
      <c r="F4291" s="1399">
        <v>121685.17</v>
      </c>
      <c r="I4291" s="1399">
        <v>121685.17</v>
      </c>
    </row>
    <row r="4292" spans="2:9">
      <c r="B4292" s="1297"/>
      <c r="C4292" s="1297"/>
      <c r="D4292" s="1297" t="s">
        <v>1040</v>
      </c>
      <c r="F4292" s="1399">
        <v>496655.01000000007</v>
      </c>
      <c r="I4292" s="1399">
        <v>496655.01000000007</v>
      </c>
    </row>
    <row r="4293" spans="2:9">
      <c r="B4293" s="1297"/>
      <c r="C4293" s="1297"/>
      <c r="D4293" s="1297" t="s">
        <v>1041</v>
      </c>
      <c r="F4293" s="1399">
        <v>116034.52</v>
      </c>
      <c r="I4293" s="1399">
        <v>116034.52</v>
      </c>
    </row>
    <row r="4294" spans="2:9">
      <c r="B4294" s="1297"/>
      <c r="C4294" s="1297"/>
      <c r="D4294" s="1297" t="s">
        <v>1042</v>
      </c>
      <c r="F4294" s="1399">
        <v>77083.580000000016</v>
      </c>
      <c r="I4294" s="1399">
        <v>77083.580000000016</v>
      </c>
    </row>
    <row r="4295" spans="2:9">
      <c r="B4295" s="1297"/>
      <c r="C4295" s="1297"/>
      <c r="D4295" s="1297" t="s">
        <v>985</v>
      </c>
      <c r="F4295" s="1399">
        <v>101633.25</v>
      </c>
      <c r="I4295" s="1399">
        <v>101633.25</v>
      </c>
    </row>
    <row r="4296" spans="2:9">
      <c r="B4296" s="1297"/>
      <c r="C4296" s="1297"/>
      <c r="D4296" s="1297" t="s">
        <v>986</v>
      </c>
      <c r="F4296" s="1399">
        <v>63115.56</v>
      </c>
      <c r="I4296" s="1399">
        <v>63115.56</v>
      </c>
    </row>
    <row r="4297" spans="2:9">
      <c r="B4297" s="1297"/>
      <c r="C4297" s="1297"/>
      <c r="D4297" s="1297" t="s">
        <v>1045</v>
      </c>
      <c r="F4297" s="1399">
        <v>387991.60000000009</v>
      </c>
      <c r="I4297" s="1399">
        <v>387991.60000000009</v>
      </c>
    </row>
    <row r="4298" spans="2:9">
      <c r="B4298" s="1297"/>
      <c r="C4298" s="1297"/>
      <c r="D4298" s="1297" t="s">
        <v>1046</v>
      </c>
      <c r="H4298" s="1399">
        <v>23426971</v>
      </c>
      <c r="I4298" s="1399">
        <v>23426971</v>
      </c>
    </row>
    <row r="4299" spans="2:9">
      <c r="B4299" s="1297"/>
      <c r="C4299" s="1297"/>
      <c r="D4299" s="1297" t="s">
        <v>1128</v>
      </c>
      <c r="H4299" s="1399">
        <v>2008545</v>
      </c>
      <c r="I4299" s="1399">
        <v>2008545</v>
      </c>
    </row>
    <row r="4300" spans="2:9">
      <c r="B4300" s="1297"/>
      <c r="C4300" s="1297"/>
      <c r="D4300" s="1297" t="s">
        <v>1129</v>
      </c>
      <c r="H4300" s="1399">
        <v>-2884836</v>
      </c>
      <c r="I4300" s="1399">
        <v>-2884836</v>
      </c>
    </row>
    <row r="4301" spans="2:9">
      <c r="B4301" s="1297"/>
      <c r="C4301" s="1297"/>
      <c r="D4301" s="1297" t="s">
        <v>1047</v>
      </c>
      <c r="H4301" s="1399">
        <v>622353</v>
      </c>
      <c r="I4301" s="1399">
        <v>622353</v>
      </c>
    </row>
    <row r="4302" spans="2:9">
      <c r="B4302" s="1297"/>
      <c r="C4302" s="1297"/>
      <c r="D4302" s="1297" t="s">
        <v>1048</v>
      </c>
      <c r="H4302" s="1399">
        <v>-6361774</v>
      </c>
      <c r="I4302" s="1399">
        <v>-6361774</v>
      </c>
    </row>
    <row r="4303" spans="2:9">
      <c r="B4303" s="1297"/>
      <c r="C4303" s="1297"/>
      <c r="D4303" s="1297" t="s">
        <v>933</v>
      </c>
      <c r="H4303" s="1399">
        <v>163582.71</v>
      </c>
      <c r="I4303" s="1399">
        <v>163582.71</v>
      </c>
    </row>
    <row r="4304" spans="2:9">
      <c r="B4304" s="1297"/>
      <c r="C4304" s="1297"/>
      <c r="D4304" s="1297" t="s">
        <v>934</v>
      </c>
      <c r="H4304" s="1399">
        <v>73272.800000000003</v>
      </c>
      <c r="I4304" s="1399">
        <v>73272.800000000003</v>
      </c>
    </row>
    <row r="4305" spans="2:9">
      <c r="B4305" s="1297"/>
      <c r="C4305" s="1297"/>
      <c r="D4305" s="1297" t="s">
        <v>1130</v>
      </c>
      <c r="H4305" s="1399">
        <v>116566</v>
      </c>
      <c r="I4305" s="1399">
        <v>116566</v>
      </c>
    </row>
    <row r="4306" spans="2:9">
      <c r="B4306" s="1297"/>
      <c r="C4306" s="1297"/>
      <c r="D4306" s="1297" t="s">
        <v>935</v>
      </c>
      <c r="H4306" s="1399">
        <v>493438.53</v>
      </c>
      <c r="I4306" s="1399">
        <v>493438.53</v>
      </c>
    </row>
    <row r="4307" spans="2:9">
      <c r="B4307" s="1297"/>
      <c r="C4307" s="1297"/>
      <c r="D4307" s="1297" t="s">
        <v>936</v>
      </c>
      <c r="H4307" s="1399">
        <v>104344.86</v>
      </c>
      <c r="I4307" s="1399">
        <v>104344.86</v>
      </c>
    </row>
    <row r="4308" spans="2:9">
      <c r="B4308" s="1297"/>
      <c r="C4308" s="1297"/>
      <c r="D4308" s="1297" t="s">
        <v>937</v>
      </c>
      <c r="H4308" s="1399">
        <v>8577.2800000000007</v>
      </c>
      <c r="I4308" s="1399">
        <v>8577.2800000000007</v>
      </c>
    </row>
    <row r="4309" spans="2:9">
      <c r="B4309" s="1297"/>
      <c r="C4309" s="1297"/>
      <c r="D4309" s="1297" t="s">
        <v>938</v>
      </c>
      <c r="H4309" s="1399">
        <v>29197</v>
      </c>
      <c r="I4309" s="1399">
        <v>29197</v>
      </c>
    </row>
    <row r="4310" spans="2:9">
      <c r="B4310" s="1297"/>
      <c r="C4310" s="1297"/>
      <c r="D4310" s="1297" t="s">
        <v>940</v>
      </c>
      <c r="E4310" s="1399">
        <v>977362.10000000009</v>
      </c>
      <c r="I4310" s="1399">
        <v>977362.10000000009</v>
      </c>
    </row>
    <row r="4311" spans="2:9">
      <c r="B4311" s="1297"/>
      <c r="C4311" s="1297"/>
      <c r="D4311" s="1297" t="s">
        <v>941</v>
      </c>
      <c r="E4311" s="1399">
        <v>300211.40000000002</v>
      </c>
      <c r="I4311" s="1399">
        <v>300211.40000000002</v>
      </c>
    </row>
    <row r="4312" spans="2:9">
      <c r="B4312" s="1297"/>
      <c r="C4312" s="1297"/>
      <c r="D4312" s="1297" t="s">
        <v>944</v>
      </c>
      <c r="E4312" s="1399">
        <v>2540660.8699999996</v>
      </c>
      <c r="I4312" s="1399">
        <v>2540660.8699999996</v>
      </c>
    </row>
    <row r="4313" spans="2:9">
      <c r="B4313" s="1297"/>
      <c r="C4313" s="1297"/>
      <c r="D4313" s="1297" t="s">
        <v>945</v>
      </c>
      <c r="E4313" s="1399">
        <v>1502731.17</v>
      </c>
      <c r="I4313" s="1399">
        <v>1502731.17</v>
      </c>
    </row>
    <row r="4314" spans="2:9">
      <c r="B4314" s="1297"/>
      <c r="C4314" s="1297"/>
      <c r="D4314" s="1297" t="s">
        <v>946</v>
      </c>
      <c r="E4314" s="1399">
        <v>633577.63</v>
      </c>
      <c r="I4314" s="1399">
        <v>633577.63</v>
      </c>
    </row>
    <row r="4315" spans="2:9">
      <c r="B4315" s="1297"/>
      <c r="C4315" s="1297"/>
      <c r="D4315" s="1297" t="s">
        <v>947</v>
      </c>
      <c r="E4315" s="1399">
        <v>142256.83000000002</v>
      </c>
      <c r="I4315" s="1399">
        <v>142256.83000000002</v>
      </c>
    </row>
    <row r="4316" spans="2:9">
      <c r="B4316" s="1297"/>
      <c r="C4316" s="1297"/>
      <c r="D4316" s="1297" t="s">
        <v>948</v>
      </c>
      <c r="G4316" s="1399">
        <v>4248676.8999999994</v>
      </c>
      <c r="I4316" s="1399">
        <v>4248676.8999999994</v>
      </c>
    </row>
    <row r="4317" spans="2:9">
      <c r="B4317" s="1297"/>
      <c r="C4317" s="1400" t="s">
        <v>1290</v>
      </c>
      <c r="D4317" s="1400"/>
      <c r="E4317" s="1401">
        <v>6096799.9999999991</v>
      </c>
      <c r="F4317" s="1401">
        <v>28777417.450000003</v>
      </c>
      <c r="G4317" s="1401">
        <v>4248676.8999999994</v>
      </c>
      <c r="H4317" s="1401">
        <v>17800238.180000003</v>
      </c>
      <c r="I4317" s="1401">
        <v>56923132.530000001</v>
      </c>
    </row>
    <row r="4318" spans="2:9">
      <c r="B4318" s="1297" t="s">
        <v>1483</v>
      </c>
      <c r="C4318" s="1297" t="s">
        <v>1484</v>
      </c>
      <c r="D4318" s="1297" t="s">
        <v>906</v>
      </c>
      <c r="F4318" s="1399">
        <v>6026007.6100000003</v>
      </c>
      <c r="I4318" s="1399">
        <v>6026007.6100000003</v>
      </c>
    </row>
    <row r="4319" spans="2:9">
      <c r="B4319" s="1297"/>
      <c r="C4319" s="1297"/>
      <c r="D4319" s="1297" t="s">
        <v>907</v>
      </c>
      <c r="F4319" s="1399">
        <v>1661818.14</v>
      </c>
      <c r="I4319" s="1399">
        <v>1661818.14</v>
      </c>
    </row>
    <row r="4320" spans="2:9">
      <c r="B4320" s="1297"/>
      <c r="C4320" s="1297"/>
      <c r="D4320" s="1297" t="s">
        <v>908</v>
      </c>
      <c r="F4320" s="1399">
        <v>67827.199999999997</v>
      </c>
      <c r="I4320" s="1399">
        <v>67827.199999999997</v>
      </c>
    </row>
    <row r="4321" spans="2:9">
      <c r="B4321" s="1297"/>
      <c r="C4321" s="1297"/>
      <c r="D4321" s="1297" t="s">
        <v>909</v>
      </c>
      <c r="F4321" s="1399">
        <v>30394.43</v>
      </c>
      <c r="I4321" s="1399">
        <v>30394.43</v>
      </c>
    </row>
    <row r="4322" spans="2:9">
      <c r="B4322" s="1297"/>
      <c r="C4322" s="1297"/>
      <c r="D4322" s="1297" t="s">
        <v>910</v>
      </c>
      <c r="F4322" s="1399">
        <v>475</v>
      </c>
      <c r="I4322" s="1399">
        <v>475</v>
      </c>
    </row>
    <row r="4323" spans="2:9">
      <c r="B4323" s="1297"/>
      <c r="C4323" s="1297"/>
      <c r="D4323" s="1297" t="s">
        <v>1034</v>
      </c>
      <c r="F4323" s="1399">
        <v>74624.2</v>
      </c>
      <c r="I4323" s="1399">
        <v>74624.2</v>
      </c>
    </row>
    <row r="4324" spans="2:9">
      <c r="B4324" s="1297"/>
      <c r="C4324" s="1297"/>
      <c r="D4324" s="1297" t="s">
        <v>1035</v>
      </c>
      <c r="F4324" s="1399">
        <v>617997.48</v>
      </c>
      <c r="I4324" s="1399">
        <v>617997.48</v>
      </c>
    </row>
    <row r="4325" spans="2:9">
      <c r="B4325" s="1297"/>
      <c r="C4325" s="1297"/>
      <c r="D4325" s="1297" t="s">
        <v>1036</v>
      </c>
      <c r="F4325" s="1399">
        <v>140392.03</v>
      </c>
      <c r="I4325" s="1399">
        <v>140392.03</v>
      </c>
    </row>
    <row r="4326" spans="2:9">
      <c r="B4326" s="1297"/>
      <c r="C4326" s="1297"/>
      <c r="D4326" s="1297" t="s">
        <v>1037</v>
      </c>
      <c r="F4326" s="1399">
        <v>1464</v>
      </c>
      <c r="I4326" s="1399">
        <v>1464</v>
      </c>
    </row>
    <row r="4327" spans="2:9">
      <c r="B4327" s="1297"/>
      <c r="C4327" s="1297"/>
      <c r="D4327" s="1297" t="s">
        <v>1039</v>
      </c>
      <c r="F4327" s="1399">
        <v>8999.3100000000013</v>
      </c>
      <c r="I4327" s="1399">
        <v>8999.3100000000013</v>
      </c>
    </row>
    <row r="4328" spans="2:9">
      <c r="B4328" s="1297"/>
      <c r="C4328" s="1297"/>
      <c r="D4328" s="1297" t="s">
        <v>1040</v>
      </c>
      <c r="F4328" s="1399">
        <v>259674.91</v>
      </c>
      <c r="I4328" s="1399">
        <v>259674.91</v>
      </c>
    </row>
    <row r="4329" spans="2:9">
      <c r="B4329" s="1297"/>
      <c r="C4329" s="1297"/>
      <c r="D4329" s="1297" t="s">
        <v>1041</v>
      </c>
      <c r="F4329" s="1399">
        <v>28123.56</v>
      </c>
      <c r="I4329" s="1399">
        <v>28123.56</v>
      </c>
    </row>
    <row r="4330" spans="2:9">
      <c r="B4330" s="1297"/>
      <c r="C4330" s="1297"/>
      <c r="D4330" s="1297" t="s">
        <v>1042</v>
      </c>
      <c r="F4330" s="1399">
        <v>65355.19</v>
      </c>
      <c r="I4330" s="1399">
        <v>65355.19</v>
      </c>
    </row>
    <row r="4331" spans="2:9">
      <c r="B4331" s="1297"/>
      <c r="C4331" s="1297"/>
      <c r="D4331" s="1297" t="s">
        <v>953</v>
      </c>
      <c r="F4331" s="1399">
        <v>50946.85</v>
      </c>
      <c r="I4331" s="1399">
        <v>50946.85</v>
      </c>
    </row>
    <row r="4332" spans="2:9">
      <c r="B4332" s="1297"/>
      <c r="C4332" s="1297"/>
      <c r="D4332" s="1297" t="s">
        <v>986</v>
      </c>
      <c r="F4332" s="1399">
        <v>238756.52</v>
      </c>
      <c r="I4332" s="1399">
        <v>238756.52</v>
      </c>
    </row>
    <row r="4333" spans="2:9">
      <c r="B4333" s="1297"/>
      <c r="C4333" s="1297"/>
      <c r="D4333" s="1297" t="s">
        <v>1045</v>
      </c>
      <c r="F4333" s="1399">
        <v>349728.34</v>
      </c>
      <c r="I4333" s="1399">
        <v>349728.34</v>
      </c>
    </row>
    <row r="4334" spans="2:9">
      <c r="B4334" s="1297"/>
      <c r="C4334" s="1297"/>
      <c r="D4334" s="1297" t="s">
        <v>1046</v>
      </c>
      <c r="H4334" s="1399">
        <v>20584123</v>
      </c>
      <c r="I4334" s="1399">
        <v>20584123</v>
      </c>
    </row>
    <row r="4335" spans="2:9">
      <c r="B4335" s="1297"/>
      <c r="C4335" s="1297"/>
      <c r="D4335" s="1297" t="s">
        <v>1129</v>
      </c>
      <c r="H4335" s="1399">
        <v>-2604349</v>
      </c>
      <c r="I4335" s="1399">
        <v>-2604349</v>
      </c>
    </row>
    <row r="4336" spans="2:9">
      <c r="B4336" s="1297"/>
      <c r="C4336" s="1297"/>
      <c r="D4336" s="1297" t="s">
        <v>1047</v>
      </c>
      <c r="H4336" s="1399">
        <v>503004</v>
      </c>
      <c r="I4336" s="1399">
        <v>503004</v>
      </c>
    </row>
    <row r="4337" spans="2:9">
      <c r="B4337" s="1297"/>
      <c r="C4337" s="1297"/>
      <c r="D4337" s="1297" t="s">
        <v>1048</v>
      </c>
      <c r="H4337" s="1399">
        <v>-1959993</v>
      </c>
      <c r="I4337" s="1399">
        <v>-1959993</v>
      </c>
    </row>
    <row r="4338" spans="2:9">
      <c r="B4338" s="1297"/>
      <c r="C4338" s="1297"/>
      <c r="D4338" s="1297" t="s">
        <v>932</v>
      </c>
      <c r="H4338" s="1399">
        <v>2105559</v>
      </c>
      <c r="I4338" s="1399">
        <v>2105559</v>
      </c>
    </row>
    <row r="4339" spans="2:9">
      <c r="B4339" s="1297"/>
      <c r="C4339" s="1297"/>
      <c r="D4339" s="1297" t="s">
        <v>955</v>
      </c>
      <c r="H4339" s="1399">
        <v>699791.24</v>
      </c>
      <c r="I4339" s="1399">
        <v>699791.24</v>
      </c>
    </row>
    <row r="4340" spans="2:9">
      <c r="B4340" s="1297"/>
      <c r="C4340" s="1297"/>
      <c r="D4340" s="1297" t="s">
        <v>934</v>
      </c>
      <c r="H4340" s="1399">
        <v>57911.4</v>
      </c>
      <c r="I4340" s="1399">
        <v>57911.4</v>
      </c>
    </row>
    <row r="4341" spans="2:9">
      <c r="B4341" s="1297"/>
      <c r="C4341" s="1297"/>
      <c r="D4341" s="1297" t="s">
        <v>935</v>
      </c>
      <c r="H4341" s="1399">
        <v>273056.07</v>
      </c>
      <c r="I4341" s="1399">
        <v>273056.07</v>
      </c>
    </row>
    <row r="4342" spans="2:9">
      <c r="B4342" s="1297"/>
      <c r="C4342" s="1297"/>
      <c r="D4342" s="1297" t="s">
        <v>936</v>
      </c>
      <c r="H4342" s="1399">
        <v>46570.02</v>
      </c>
      <c r="I4342" s="1399">
        <v>46570.02</v>
      </c>
    </row>
    <row r="4343" spans="2:9">
      <c r="B4343" s="1297"/>
      <c r="C4343" s="1297"/>
      <c r="D4343" s="1297" t="s">
        <v>937</v>
      </c>
      <c r="H4343" s="1399">
        <v>30130.42</v>
      </c>
      <c r="I4343" s="1399">
        <v>30130.42</v>
      </c>
    </row>
    <row r="4344" spans="2:9">
      <c r="B4344" s="1297"/>
      <c r="C4344" s="1297"/>
      <c r="D4344" s="1297" t="s">
        <v>938</v>
      </c>
      <c r="H4344" s="1399">
        <v>14973</v>
      </c>
      <c r="I4344" s="1399">
        <v>14973</v>
      </c>
    </row>
    <row r="4345" spans="2:9">
      <c r="B4345" s="1297"/>
      <c r="C4345" s="1297"/>
      <c r="D4345" s="1297" t="s">
        <v>940</v>
      </c>
      <c r="E4345" s="1399">
        <v>855387.08</v>
      </c>
      <c r="I4345" s="1399">
        <v>855387.08</v>
      </c>
    </row>
    <row r="4346" spans="2:9">
      <c r="B4346" s="1297"/>
      <c r="C4346" s="1297"/>
      <c r="D4346" s="1297" t="s">
        <v>941</v>
      </c>
      <c r="E4346" s="1399">
        <v>284477.65999999997</v>
      </c>
      <c r="I4346" s="1399">
        <v>284477.65999999997</v>
      </c>
    </row>
    <row r="4347" spans="2:9">
      <c r="B4347" s="1297"/>
      <c r="C4347" s="1297"/>
      <c r="D4347" s="1297" t="s">
        <v>942</v>
      </c>
      <c r="E4347" s="1399">
        <v>6454.44</v>
      </c>
      <c r="I4347" s="1399">
        <v>6454.44</v>
      </c>
    </row>
    <row r="4348" spans="2:9">
      <c r="B4348" s="1297"/>
      <c r="C4348" s="1297"/>
      <c r="D4348" s="1297" t="s">
        <v>944</v>
      </c>
      <c r="E4348" s="1399">
        <v>2012288.4199999997</v>
      </c>
      <c r="I4348" s="1399">
        <v>2012288.4199999997</v>
      </c>
    </row>
    <row r="4349" spans="2:9">
      <c r="B4349" s="1297"/>
      <c r="C4349" s="1297"/>
      <c r="D4349" s="1297" t="s">
        <v>945</v>
      </c>
      <c r="E4349" s="1399">
        <v>1392565.69</v>
      </c>
      <c r="I4349" s="1399">
        <v>1392565.69</v>
      </c>
    </row>
    <row r="4350" spans="2:9">
      <c r="B4350" s="1297"/>
      <c r="C4350" s="1297"/>
      <c r="D4350" s="1297" t="s">
        <v>946</v>
      </c>
      <c r="E4350" s="1399">
        <v>153434.53</v>
      </c>
      <c r="I4350" s="1399">
        <v>153434.53</v>
      </c>
    </row>
    <row r="4351" spans="2:9">
      <c r="B4351" s="1297"/>
      <c r="C4351" s="1297"/>
      <c r="D4351" s="1297" t="s">
        <v>947</v>
      </c>
      <c r="E4351" s="1399">
        <v>129644.74</v>
      </c>
      <c r="I4351" s="1399">
        <v>129644.74</v>
      </c>
    </row>
    <row r="4352" spans="2:9">
      <c r="B4352" s="1297"/>
      <c r="C4352" s="1297"/>
      <c r="D4352" s="1297" t="s">
        <v>948</v>
      </c>
      <c r="G4352" s="1399">
        <v>4391493.26</v>
      </c>
      <c r="I4352" s="1399">
        <v>4391493.26</v>
      </c>
    </row>
    <row r="4353" spans="2:9">
      <c r="B4353" s="1297"/>
      <c r="C4353" s="1400" t="s">
        <v>1485</v>
      </c>
      <c r="D4353" s="1400"/>
      <c r="E4353" s="1401">
        <v>4834252.5599999996</v>
      </c>
      <c r="F4353" s="1401">
        <v>9622584.7699999996</v>
      </c>
      <c r="G4353" s="1401">
        <v>4391493.26</v>
      </c>
      <c r="H4353" s="1401">
        <v>19750776.149999999</v>
      </c>
      <c r="I4353" s="1401">
        <v>38599106.739999995</v>
      </c>
    </row>
    <row r="4354" spans="2:9">
      <c r="B4354" s="1297" t="s">
        <v>1486</v>
      </c>
      <c r="C4354" s="1297" t="s">
        <v>1487</v>
      </c>
      <c r="D4354" s="1297" t="s">
        <v>906</v>
      </c>
      <c r="F4354" s="1399">
        <v>7566994.3800000008</v>
      </c>
      <c r="I4354" s="1399">
        <v>7566994.3800000008</v>
      </c>
    </row>
    <row r="4355" spans="2:9">
      <c r="B4355" s="1297"/>
      <c r="C4355" s="1297"/>
      <c r="D4355" s="1297" t="s">
        <v>952</v>
      </c>
      <c r="F4355" s="1399">
        <v>77916.149999999994</v>
      </c>
      <c r="I4355" s="1399">
        <v>77916.149999999994</v>
      </c>
    </row>
    <row r="4356" spans="2:9">
      <c r="B4356" s="1297"/>
      <c r="C4356" s="1297"/>
      <c r="D4356" s="1297" t="s">
        <v>907</v>
      </c>
      <c r="F4356" s="1399">
        <v>860973.8</v>
      </c>
      <c r="I4356" s="1399">
        <v>860973.8</v>
      </c>
    </row>
    <row r="4357" spans="2:9">
      <c r="B4357" s="1297"/>
      <c r="C4357" s="1297"/>
      <c r="D4357" s="1297" t="s">
        <v>909</v>
      </c>
      <c r="F4357" s="1399">
        <v>49705.9</v>
      </c>
      <c r="I4357" s="1399">
        <v>49705.9</v>
      </c>
    </row>
    <row r="4358" spans="2:9">
      <c r="B4358" s="1297"/>
      <c r="C4358" s="1297"/>
      <c r="D4358" s="1297" t="s">
        <v>910</v>
      </c>
      <c r="F4358" s="1399">
        <v>236152.63</v>
      </c>
      <c r="I4358" s="1399">
        <v>236152.63</v>
      </c>
    </row>
    <row r="4359" spans="2:9">
      <c r="B4359" s="1297"/>
      <c r="C4359" s="1297"/>
      <c r="D4359" s="1297" t="s">
        <v>1034</v>
      </c>
      <c r="F4359" s="1399">
        <v>28868.1</v>
      </c>
      <c r="I4359" s="1399">
        <v>28868.1</v>
      </c>
    </row>
    <row r="4360" spans="2:9">
      <c r="B4360" s="1297"/>
      <c r="C4360" s="1297"/>
      <c r="D4360" s="1297" t="s">
        <v>1035</v>
      </c>
      <c r="F4360" s="1399">
        <v>633266.1</v>
      </c>
      <c r="I4360" s="1399">
        <v>633266.1</v>
      </c>
    </row>
    <row r="4361" spans="2:9">
      <c r="B4361" s="1297"/>
      <c r="C4361" s="1297"/>
      <c r="D4361" s="1297" t="s">
        <v>1036</v>
      </c>
      <c r="F4361" s="1399">
        <v>179719.45</v>
      </c>
      <c r="I4361" s="1399">
        <v>179719.45</v>
      </c>
    </row>
    <row r="4362" spans="2:9">
      <c r="B4362" s="1297"/>
      <c r="C4362" s="1297"/>
      <c r="D4362" s="1297" t="s">
        <v>1039</v>
      </c>
      <c r="F4362" s="1399">
        <v>11061.79</v>
      </c>
      <c r="I4362" s="1399">
        <v>11061.79</v>
      </c>
    </row>
    <row r="4363" spans="2:9">
      <c r="B4363" s="1297"/>
      <c r="C4363" s="1297"/>
      <c r="D4363" s="1297" t="s">
        <v>1040</v>
      </c>
      <c r="F4363" s="1399">
        <v>354924.99</v>
      </c>
      <c r="I4363" s="1399">
        <v>354924.99</v>
      </c>
    </row>
    <row r="4364" spans="2:9">
      <c r="B4364" s="1297"/>
      <c r="C4364" s="1297"/>
      <c r="D4364" s="1297" t="s">
        <v>1041</v>
      </c>
      <c r="F4364" s="1399">
        <v>2215.65</v>
      </c>
      <c r="I4364" s="1399">
        <v>2215.65</v>
      </c>
    </row>
    <row r="4365" spans="2:9">
      <c r="B4365" s="1297"/>
      <c r="C4365" s="1297"/>
      <c r="D4365" s="1297" t="s">
        <v>1042</v>
      </c>
      <c r="F4365" s="1399">
        <v>29242.35</v>
      </c>
      <c r="I4365" s="1399">
        <v>29242.35</v>
      </c>
    </row>
    <row r="4366" spans="2:9">
      <c r="B4366" s="1297"/>
      <c r="C4366" s="1297"/>
      <c r="D4366" s="1297" t="s">
        <v>1045</v>
      </c>
      <c r="F4366" s="1399">
        <v>112397.94</v>
      </c>
      <c r="I4366" s="1399">
        <v>112397.94</v>
      </c>
    </row>
    <row r="4367" spans="2:9">
      <c r="B4367" s="1297"/>
      <c r="C4367" s="1297"/>
      <c r="D4367" s="1297" t="s">
        <v>1046</v>
      </c>
      <c r="H4367" s="1399">
        <v>16959826</v>
      </c>
      <c r="I4367" s="1399">
        <v>16959826</v>
      </c>
    </row>
    <row r="4368" spans="2:9">
      <c r="B4368" s="1297"/>
      <c r="C4368" s="1297"/>
      <c r="D4368" s="1297" t="s">
        <v>1129</v>
      </c>
      <c r="H4368" s="1399">
        <v>-2179109</v>
      </c>
      <c r="I4368" s="1399">
        <v>-2179109</v>
      </c>
    </row>
    <row r="4369" spans="2:9">
      <c r="B4369" s="1297"/>
      <c r="C4369" s="1297"/>
      <c r="D4369" s="1297" t="s">
        <v>1047</v>
      </c>
      <c r="H4369" s="1399">
        <v>428933</v>
      </c>
      <c r="I4369" s="1399">
        <v>428933</v>
      </c>
    </row>
    <row r="4370" spans="2:9">
      <c r="B4370" s="1297"/>
      <c r="C4370" s="1297"/>
      <c r="D4370" s="1297" t="s">
        <v>1048</v>
      </c>
      <c r="H4370" s="1399">
        <v>-2379175</v>
      </c>
      <c r="I4370" s="1399">
        <v>-2379175</v>
      </c>
    </row>
    <row r="4371" spans="2:9">
      <c r="B4371" s="1297"/>
      <c r="C4371" s="1297"/>
      <c r="D4371" s="1297" t="s">
        <v>932</v>
      </c>
      <c r="H4371" s="1399">
        <v>1238078</v>
      </c>
      <c r="I4371" s="1399">
        <v>1238078</v>
      </c>
    </row>
    <row r="4372" spans="2:9">
      <c r="B4372" s="1297"/>
      <c r="C4372" s="1297"/>
      <c r="D4372" s="1297" t="s">
        <v>955</v>
      </c>
      <c r="H4372" s="1399">
        <v>398725.31</v>
      </c>
      <c r="I4372" s="1399">
        <v>398725.31</v>
      </c>
    </row>
    <row r="4373" spans="2:9">
      <c r="B4373" s="1297"/>
      <c r="C4373" s="1297"/>
      <c r="D4373" s="1297" t="s">
        <v>934</v>
      </c>
      <c r="H4373" s="1399">
        <v>45492</v>
      </c>
      <c r="I4373" s="1399">
        <v>45492</v>
      </c>
    </row>
    <row r="4374" spans="2:9">
      <c r="B4374" s="1297"/>
      <c r="C4374" s="1297"/>
      <c r="D4374" s="1297" t="s">
        <v>935</v>
      </c>
      <c r="H4374" s="1399">
        <v>209951.89</v>
      </c>
      <c r="I4374" s="1399">
        <v>209951.89</v>
      </c>
    </row>
    <row r="4375" spans="2:9">
      <c r="B4375" s="1297"/>
      <c r="C4375" s="1297"/>
      <c r="D4375" s="1297" t="s">
        <v>936</v>
      </c>
      <c r="H4375" s="1399">
        <v>53573.03</v>
      </c>
      <c r="I4375" s="1399">
        <v>53573.03</v>
      </c>
    </row>
    <row r="4376" spans="2:9">
      <c r="B4376" s="1297"/>
      <c r="C4376" s="1297"/>
      <c r="D4376" s="1297" t="s">
        <v>937</v>
      </c>
      <c r="H4376" s="1399">
        <v>22962.28</v>
      </c>
      <c r="I4376" s="1399">
        <v>22962.28</v>
      </c>
    </row>
    <row r="4377" spans="2:9">
      <c r="B4377" s="1297"/>
      <c r="C4377" s="1297"/>
      <c r="D4377" s="1297" t="s">
        <v>938</v>
      </c>
      <c r="H4377" s="1399">
        <v>19652</v>
      </c>
      <c r="I4377" s="1399">
        <v>19652</v>
      </c>
    </row>
    <row r="4378" spans="2:9">
      <c r="B4378" s="1297"/>
      <c r="C4378" s="1297"/>
      <c r="D4378" s="1297" t="s">
        <v>939</v>
      </c>
      <c r="H4378" s="1399">
        <v>84671.56</v>
      </c>
      <c r="I4378" s="1399">
        <v>84671.56</v>
      </c>
    </row>
    <row r="4379" spans="2:9">
      <c r="B4379" s="1297"/>
      <c r="C4379" s="1297"/>
      <c r="D4379" s="1297" t="s">
        <v>940</v>
      </c>
      <c r="E4379" s="1399">
        <v>585170.38</v>
      </c>
      <c r="I4379" s="1399">
        <v>585170.38</v>
      </c>
    </row>
    <row r="4380" spans="2:9">
      <c r="B4380" s="1297"/>
      <c r="C4380" s="1297"/>
      <c r="D4380" s="1297" t="s">
        <v>941</v>
      </c>
      <c r="E4380" s="1399">
        <v>171869.86</v>
      </c>
      <c r="I4380" s="1399">
        <v>171869.86</v>
      </c>
    </row>
    <row r="4381" spans="2:9">
      <c r="B4381" s="1297"/>
      <c r="C4381" s="1297"/>
      <c r="D4381" s="1297" t="s">
        <v>944</v>
      </c>
      <c r="E4381" s="1399">
        <v>1230649.1299999999</v>
      </c>
      <c r="I4381" s="1399">
        <v>1230649.1299999999</v>
      </c>
    </row>
    <row r="4382" spans="2:9">
      <c r="B4382" s="1297"/>
      <c r="C4382" s="1297"/>
      <c r="D4382" s="1297" t="s">
        <v>945</v>
      </c>
      <c r="E4382" s="1399">
        <v>904425.49</v>
      </c>
      <c r="I4382" s="1399">
        <v>904425.49</v>
      </c>
    </row>
    <row r="4383" spans="2:9">
      <c r="B4383" s="1297"/>
      <c r="C4383" s="1297"/>
      <c r="D4383" s="1297" t="s">
        <v>947</v>
      </c>
      <c r="E4383" s="1399">
        <v>95368.86</v>
      </c>
      <c r="I4383" s="1399">
        <v>95368.86</v>
      </c>
    </row>
    <row r="4384" spans="2:9">
      <c r="B4384" s="1297"/>
      <c r="C4384" s="1297"/>
      <c r="D4384" s="1297" t="s">
        <v>948</v>
      </c>
      <c r="G4384" s="1399">
        <v>3053540.72</v>
      </c>
      <c r="I4384" s="1399">
        <v>3053540.72</v>
      </c>
    </row>
    <row r="4385" spans="2:9">
      <c r="B4385" s="1297"/>
      <c r="C4385" s="1297"/>
      <c r="D4385" s="1297" t="s">
        <v>1118</v>
      </c>
      <c r="G4385" s="1399">
        <v>0</v>
      </c>
      <c r="I4385" s="1399">
        <v>0</v>
      </c>
    </row>
    <row r="4386" spans="2:9">
      <c r="B4386" s="1297"/>
      <c r="C4386" s="1400" t="s">
        <v>1488</v>
      </c>
      <c r="D4386" s="1400"/>
      <c r="E4386" s="1401">
        <v>2987483.7199999997</v>
      </c>
      <c r="F4386" s="1401">
        <v>10143439.23</v>
      </c>
      <c r="G4386" s="1401">
        <v>3053540.72</v>
      </c>
      <c r="H4386" s="1401">
        <v>14903581.07</v>
      </c>
      <c r="I4386" s="1401">
        <v>31088044.739999995</v>
      </c>
    </row>
    <row r="4387" spans="2:9">
      <c r="B4387" s="1297" t="s">
        <v>1489</v>
      </c>
      <c r="C4387" s="1297" t="s">
        <v>1490</v>
      </c>
      <c r="D4387" s="1297" t="s">
        <v>906</v>
      </c>
      <c r="F4387" s="1399">
        <v>13461314.66</v>
      </c>
      <c r="I4387" s="1399">
        <v>13461314.66</v>
      </c>
    </row>
    <row r="4388" spans="2:9">
      <c r="B4388" s="1297"/>
      <c r="C4388" s="1297"/>
      <c r="D4388" s="1297" t="s">
        <v>952</v>
      </c>
      <c r="F4388" s="1399">
        <v>116876.44</v>
      </c>
      <c r="I4388" s="1399">
        <v>116876.44</v>
      </c>
    </row>
    <row r="4389" spans="2:9">
      <c r="B4389" s="1297"/>
      <c r="C4389" s="1297"/>
      <c r="D4389" s="1297" t="s">
        <v>907</v>
      </c>
      <c r="F4389" s="1399">
        <v>3980639.36</v>
      </c>
      <c r="I4389" s="1399">
        <v>3980639.36</v>
      </c>
    </row>
    <row r="4390" spans="2:9">
      <c r="B4390" s="1297"/>
      <c r="C4390" s="1297"/>
      <c r="D4390" s="1297" t="s">
        <v>908</v>
      </c>
      <c r="F4390" s="1399">
        <v>40490.519999999997</v>
      </c>
      <c r="I4390" s="1399">
        <v>40490.519999999997</v>
      </c>
    </row>
    <row r="4391" spans="2:9">
      <c r="B4391" s="1297"/>
      <c r="C4391" s="1297"/>
      <c r="D4391" s="1297" t="s">
        <v>1037</v>
      </c>
      <c r="F4391" s="1399">
        <v>9031</v>
      </c>
      <c r="I4391" s="1399">
        <v>9031</v>
      </c>
    </row>
    <row r="4392" spans="2:9">
      <c r="B4392" s="1297"/>
      <c r="C4392" s="1297"/>
      <c r="D4392" s="1297" t="s">
        <v>1039</v>
      </c>
      <c r="F4392" s="1399">
        <v>23702.800000000003</v>
      </c>
      <c r="I4392" s="1399">
        <v>23702.800000000003</v>
      </c>
    </row>
    <row r="4393" spans="2:9">
      <c r="B4393" s="1297"/>
      <c r="C4393" s="1297"/>
      <c r="D4393" s="1297" t="s">
        <v>1040</v>
      </c>
      <c r="F4393" s="1399">
        <v>325992.67999999993</v>
      </c>
      <c r="I4393" s="1399">
        <v>325992.67999999993</v>
      </c>
    </row>
    <row r="4394" spans="2:9">
      <c r="B4394" s="1297"/>
      <c r="C4394" s="1297"/>
      <c r="D4394" s="1297" t="s">
        <v>1127</v>
      </c>
      <c r="F4394" s="1399">
        <v>68546.599999999991</v>
      </c>
      <c r="I4394" s="1399">
        <v>68546.599999999991</v>
      </c>
    </row>
    <row r="4395" spans="2:9">
      <c r="B4395" s="1297"/>
      <c r="C4395" s="1297"/>
      <c r="D4395" s="1297" t="s">
        <v>1041</v>
      </c>
      <c r="F4395" s="1399">
        <v>22753.379999999997</v>
      </c>
      <c r="I4395" s="1399">
        <v>22753.379999999997</v>
      </c>
    </row>
    <row r="4396" spans="2:9">
      <c r="B4396" s="1297"/>
      <c r="C4396" s="1297"/>
      <c r="D4396" s="1297" t="s">
        <v>1042</v>
      </c>
      <c r="F4396" s="1399">
        <v>37222.6</v>
      </c>
      <c r="I4396" s="1399">
        <v>37222.6</v>
      </c>
    </row>
    <row r="4397" spans="2:9">
      <c r="B4397" s="1297"/>
      <c r="C4397" s="1297"/>
      <c r="D4397" s="1297" t="s">
        <v>954</v>
      </c>
      <c r="F4397" s="1399">
        <v>1976726.35</v>
      </c>
      <c r="I4397" s="1399">
        <v>1976726.35</v>
      </c>
    </row>
    <row r="4398" spans="2:9">
      <c r="B4398" s="1297"/>
      <c r="C4398" s="1297"/>
      <c r="D4398" s="1297" t="s">
        <v>986</v>
      </c>
      <c r="F4398" s="1399">
        <v>189950</v>
      </c>
      <c r="I4398" s="1399">
        <v>189950</v>
      </c>
    </row>
    <row r="4399" spans="2:9">
      <c r="B4399" s="1297"/>
      <c r="C4399" s="1297"/>
      <c r="D4399" s="1297" t="s">
        <v>991</v>
      </c>
      <c r="F4399" s="1399">
        <v>26155.69</v>
      </c>
      <c r="I4399" s="1399">
        <v>26155.69</v>
      </c>
    </row>
    <row r="4400" spans="2:9">
      <c r="B4400" s="1297"/>
      <c r="C4400" s="1297"/>
      <c r="D4400" s="1297" t="s">
        <v>1044</v>
      </c>
      <c r="F4400" s="1399">
        <v>19654.900000000001</v>
      </c>
      <c r="I4400" s="1399">
        <v>19654.900000000001</v>
      </c>
    </row>
    <row r="4401" spans="2:9">
      <c r="B4401" s="1297"/>
      <c r="C4401" s="1297"/>
      <c r="D4401" s="1297" t="s">
        <v>1045</v>
      </c>
      <c r="F4401" s="1399">
        <v>204669.27</v>
      </c>
      <c r="I4401" s="1399">
        <v>204669.27</v>
      </c>
    </row>
    <row r="4402" spans="2:9">
      <c r="B4402" s="1297"/>
      <c r="C4402" s="1297"/>
      <c r="D4402" s="1297" t="s">
        <v>1046</v>
      </c>
      <c r="H4402" s="1399">
        <v>38924528</v>
      </c>
      <c r="I4402" s="1399">
        <v>38924528</v>
      </c>
    </row>
    <row r="4403" spans="2:9">
      <c r="B4403" s="1297"/>
      <c r="C4403" s="1297"/>
      <c r="D4403" s="1297" t="s">
        <v>1128</v>
      </c>
      <c r="H4403" s="1399">
        <v>3254275</v>
      </c>
      <c r="I4403" s="1399">
        <v>3254275</v>
      </c>
    </row>
    <row r="4404" spans="2:9">
      <c r="B4404" s="1297"/>
      <c r="C4404" s="1297"/>
      <c r="D4404" s="1297" t="s">
        <v>1129</v>
      </c>
      <c r="H4404" s="1399">
        <v>-5536380</v>
      </c>
      <c r="I4404" s="1399">
        <v>-5536380</v>
      </c>
    </row>
    <row r="4405" spans="2:9">
      <c r="B4405" s="1297"/>
      <c r="C4405" s="1297"/>
      <c r="D4405" s="1297" t="s">
        <v>1047</v>
      </c>
      <c r="H4405" s="1399">
        <v>930419</v>
      </c>
      <c r="I4405" s="1399">
        <v>930419</v>
      </c>
    </row>
    <row r="4406" spans="2:9">
      <c r="B4406" s="1297"/>
      <c r="C4406" s="1297"/>
      <c r="D4406" s="1297" t="s">
        <v>1048</v>
      </c>
      <c r="H4406" s="1399">
        <v>-4302218</v>
      </c>
      <c r="I4406" s="1399">
        <v>-4302218</v>
      </c>
    </row>
    <row r="4407" spans="2:9">
      <c r="B4407" s="1297"/>
      <c r="C4407" s="1297"/>
      <c r="D4407" s="1297" t="s">
        <v>932</v>
      </c>
      <c r="H4407" s="1399">
        <v>5041825</v>
      </c>
      <c r="I4407" s="1399">
        <v>5041825</v>
      </c>
    </row>
    <row r="4408" spans="2:9">
      <c r="B4408" s="1297"/>
      <c r="C4408" s="1297"/>
      <c r="D4408" s="1297" t="s">
        <v>955</v>
      </c>
      <c r="H4408" s="1399">
        <v>1281598.6599999999</v>
      </c>
      <c r="I4408" s="1399">
        <v>1281598.6599999999</v>
      </c>
    </row>
    <row r="4409" spans="2:9">
      <c r="B4409" s="1297"/>
      <c r="C4409" s="1297"/>
      <c r="D4409" s="1297" t="s">
        <v>934</v>
      </c>
      <c r="H4409" s="1399">
        <v>115036</v>
      </c>
      <c r="I4409" s="1399">
        <v>115036</v>
      </c>
    </row>
    <row r="4410" spans="2:9">
      <c r="B4410" s="1297"/>
      <c r="C4410" s="1297"/>
      <c r="D4410" s="1297" t="s">
        <v>1130</v>
      </c>
      <c r="H4410" s="1399">
        <v>42279.51</v>
      </c>
      <c r="I4410" s="1399">
        <v>42279.51</v>
      </c>
    </row>
    <row r="4411" spans="2:9">
      <c r="B4411" s="1297"/>
      <c r="C4411" s="1297"/>
      <c r="D4411" s="1297" t="s">
        <v>935</v>
      </c>
      <c r="H4411" s="1399">
        <v>893755.31</v>
      </c>
      <c r="I4411" s="1399">
        <v>893755.31</v>
      </c>
    </row>
    <row r="4412" spans="2:9">
      <c r="B4412" s="1297"/>
      <c r="C4412" s="1297"/>
      <c r="D4412" s="1297" t="s">
        <v>936</v>
      </c>
      <c r="H4412" s="1399">
        <v>98042.15</v>
      </c>
      <c r="I4412" s="1399">
        <v>98042.15</v>
      </c>
    </row>
    <row r="4413" spans="2:9">
      <c r="B4413" s="1297"/>
      <c r="C4413" s="1297"/>
      <c r="D4413" s="1297" t="s">
        <v>937</v>
      </c>
      <c r="H4413" s="1399">
        <v>42127.13</v>
      </c>
      <c r="I4413" s="1399">
        <v>42127.13</v>
      </c>
    </row>
    <row r="4414" spans="2:9">
      <c r="B4414" s="1297"/>
      <c r="C4414" s="1297"/>
      <c r="D4414" s="1297" t="s">
        <v>938</v>
      </c>
      <c r="H4414" s="1399">
        <v>30694</v>
      </c>
      <c r="I4414" s="1399">
        <v>30694</v>
      </c>
    </row>
    <row r="4415" spans="2:9">
      <c r="B4415" s="1297"/>
      <c r="C4415" s="1297"/>
      <c r="D4415" s="1297" t="s">
        <v>940</v>
      </c>
      <c r="E4415" s="1399">
        <v>1825991.84</v>
      </c>
      <c r="I4415" s="1399">
        <v>1825991.84</v>
      </c>
    </row>
    <row r="4416" spans="2:9">
      <c r="B4416" s="1297"/>
      <c r="C4416" s="1297"/>
      <c r="D4416" s="1297" t="s">
        <v>941</v>
      </c>
      <c r="E4416" s="1399">
        <v>624613.79999999993</v>
      </c>
      <c r="I4416" s="1399">
        <v>624613.79999999993</v>
      </c>
    </row>
    <row r="4417" spans="2:9">
      <c r="B4417" s="1297"/>
      <c r="C4417" s="1297"/>
      <c r="D4417" s="1297" t="s">
        <v>943</v>
      </c>
      <c r="E4417" s="1399">
        <v>10824.720000000003</v>
      </c>
      <c r="I4417" s="1399">
        <v>10824.720000000003</v>
      </c>
    </row>
    <row r="4418" spans="2:9">
      <c r="B4418" s="1297"/>
      <c r="C4418" s="1297"/>
      <c r="D4418" s="1297" t="s">
        <v>944</v>
      </c>
      <c r="E4418" s="1399">
        <v>5294627.8</v>
      </c>
      <c r="I4418" s="1399">
        <v>5294627.8</v>
      </c>
    </row>
    <row r="4419" spans="2:9">
      <c r="B4419" s="1297"/>
      <c r="C4419" s="1297"/>
      <c r="D4419" s="1297" t="s">
        <v>945</v>
      </c>
      <c r="E4419" s="1399">
        <v>2870219.0900000003</v>
      </c>
      <c r="I4419" s="1399">
        <v>2870219.0900000003</v>
      </c>
    </row>
    <row r="4420" spans="2:9">
      <c r="B4420" s="1297"/>
      <c r="C4420" s="1297"/>
      <c r="D4420" s="1297" t="s">
        <v>946</v>
      </c>
      <c r="E4420" s="1399">
        <v>14749.36</v>
      </c>
      <c r="I4420" s="1399">
        <v>14749.36</v>
      </c>
    </row>
    <row r="4421" spans="2:9">
      <c r="B4421" s="1297"/>
      <c r="C4421" s="1297"/>
      <c r="D4421" s="1297" t="s">
        <v>947</v>
      </c>
      <c r="E4421" s="1399">
        <v>145029.32</v>
      </c>
      <c r="I4421" s="1399">
        <v>145029.32</v>
      </c>
    </row>
    <row r="4422" spans="2:9">
      <c r="B4422" s="1297"/>
      <c r="C4422" s="1297"/>
      <c r="D4422" s="1297" t="s">
        <v>1115</v>
      </c>
      <c r="E4422" s="1399">
        <v>4259.24</v>
      </c>
      <c r="I4422" s="1399">
        <v>4259.24</v>
      </c>
    </row>
    <row r="4423" spans="2:9">
      <c r="B4423" s="1297"/>
      <c r="C4423" s="1297"/>
      <c r="D4423" s="1297" t="s">
        <v>948</v>
      </c>
      <c r="G4423" s="1399">
        <v>2234954.67</v>
      </c>
      <c r="I4423" s="1399">
        <v>2234954.67</v>
      </c>
    </row>
    <row r="4424" spans="2:9">
      <c r="B4424" s="1297"/>
      <c r="C4424" s="1297"/>
      <c r="D4424" s="1297" t="s">
        <v>956</v>
      </c>
      <c r="G4424" s="1399">
        <v>8075</v>
      </c>
      <c r="I4424" s="1399">
        <v>8075</v>
      </c>
    </row>
    <row r="4425" spans="2:9">
      <c r="B4425" s="1297"/>
      <c r="C4425" s="1400" t="s">
        <v>1491</v>
      </c>
      <c r="D4425" s="1400"/>
      <c r="E4425" s="1401">
        <v>10790315.17</v>
      </c>
      <c r="F4425" s="1401">
        <v>20503726.250000004</v>
      </c>
      <c r="G4425" s="1401">
        <v>2243029.67</v>
      </c>
      <c r="H4425" s="1401">
        <v>40815981.759999998</v>
      </c>
      <c r="I4425" s="1401">
        <v>74353052.849999994</v>
      </c>
    </row>
    <row r="4426" spans="2:9">
      <c r="B4426" s="1297" t="s">
        <v>1492</v>
      </c>
      <c r="C4426" s="1297" t="s">
        <v>1493</v>
      </c>
      <c r="D4426" s="1297" t="s">
        <v>906</v>
      </c>
      <c r="F4426" s="1399">
        <v>3179807.46</v>
      </c>
      <c r="I4426" s="1399">
        <v>3179807.46</v>
      </c>
    </row>
    <row r="4427" spans="2:9">
      <c r="B4427" s="1297"/>
      <c r="C4427" s="1297"/>
      <c r="D4427" s="1297" t="s">
        <v>952</v>
      </c>
      <c r="F4427" s="1399">
        <v>31509.49</v>
      </c>
      <c r="I4427" s="1399">
        <v>31509.49</v>
      </c>
    </row>
    <row r="4428" spans="2:9">
      <c r="B4428" s="1297"/>
      <c r="C4428" s="1297"/>
      <c r="D4428" s="1297" t="s">
        <v>907</v>
      </c>
      <c r="F4428" s="1399">
        <v>913603.98</v>
      </c>
      <c r="I4428" s="1399">
        <v>913603.98</v>
      </c>
    </row>
    <row r="4429" spans="2:9">
      <c r="B4429" s="1297"/>
      <c r="C4429" s="1297"/>
      <c r="D4429" s="1297" t="s">
        <v>909</v>
      </c>
      <c r="F4429" s="1399">
        <v>66679.760000000009</v>
      </c>
      <c r="I4429" s="1399">
        <v>66679.760000000009</v>
      </c>
    </row>
    <row r="4430" spans="2:9">
      <c r="B4430" s="1297"/>
      <c r="C4430" s="1297"/>
      <c r="D4430" s="1297" t="s">
        <v>910</v>
      </c>
      <c r="F4430" s="1399">
        <v>34521.69</v>
      </c>
      <c r="I4430" s="1399">
        <v>34521.69</v>
      </c>
    </row>
    <row r="4431" spans="2:9">
      <c r="B4431" s="1297"/>
      <c r="C4431" s="1297"/>
      <c r="D4431" s="1297" t="s">
        <v>1034</v>
      </c>
      <c r="F4431" s="1399">
        <v>26933.919999999998</v>
      </c>
      <c r="I4431" s="1399">
        <v>26933.919999999998</v>
      </c>
    </row>
    <row r="4432" spans="2:9">
      <c r="B4432" s="1297"/>
      <c r="C4432" s="1297"/>
      <c r="D4432" s="1297" t="s">
        <v>1035</v>
      </c>
      <c r="F4432" s="1399">
        <v>136196.72</v>
      </c>
      <c r="I4432" s="1399">
        <v>136196.72</v>
      </c>
    </row>
    <row r="4433" spans="2:9">
      <c r="B4433" s="1297"/>
      <c r="C4433" s="1297"/>
      <c r="D4433" s="1297" t="s">
        <v>1036</v>
      </c>
      <c r="F4433" s="1399">
        <v>69362.179999999993</v>
      </c>
      <c r="I4433" s="1399">
        <v>69362.179999999993</v>
      </c>
    </row>
    <row r="4434" spans="2:9">
      <c r="B4434" s="1297"/>
      <c r="C4434" s="1297"/>
      <c r="D4434" s="1297" t="s">
        <v>1039</v>
      </c>
      <c r="F4434" s="1399">
        <v>35325.819999999992</v>
      </c>
      <c r="I4434" s="1399">
        <v>35325.819999999992</v>
      </c>
    </row>
    <row r="4435" spans="2:9">
      <c r="B4435" s="1297"/>
      <c r="C4435" s="1297"/>
      <c r="D4435" s="1297" t="s">
        <v>1040</v>
      </c>
      <c r="F4435" s="1399">
        <v>87932.31</v>
      </c>
      <c r="I4435" s="1399">
        <v>87932.31</v>
      </c>
    </row>
    <row r="4436" spans="2:9">
      <c r="B4436" s="1297"/>
      <c r="C4436" s="1297"/>
      <c r="D4436" s="1297" t="s">
        <v>1041</v>
      </c>
      <c r="F4436" s="1399">
        <v>3947.38</v>
      </c>
      <c r="I4436" s="1399">
        <v>3947.38</v>
      </c>
    </row>
    <row r="4437" spans="2:9">
      <c r="B4437" s="1297"/>
      <c r="C4437" s="1297"/>
      <c r="D4437" s="1297" t="s">
        <v>1042</v>
      </c>
      <c r="F4437" s="1399">
        <v>24642</v>
      </c>
      <c r="I4437" s="1399">
        <v>24642</v>
      </c>
    </row>
    <row r="4438" spans="2:9">
      <c r="B4438" s="1297"/>
      <c r="C4438" s="1297"/>
      <c r="D4438" s="1297" t="s">
        <v>1044</v>
      </c>
      <c r="F4438" s="1399">
        <v>90214.87</v>
      </c>
      <c r="I4438" s="1399">
        <v>90214.87</v>
      </c>
    </row>
    <row r="4439" spans="2:9">
      <c r="B4439" s="1297"/>
      <c r="C4439" s="1297"/>
      <c r="D4439" s="1297" t="s">
        <v>1045</v>
      </c>
      <c r="F4439" s="1399">
        <v>212528.8</v>
      </c>
      <c r="I4439" s="1399">
        <v>212528.8</v>
      </c>
    </row>
    <row r="4440" spans="2:9">
      <c r="B4440" s="1297"/>
      <c r="C4440" s="1297"/>
      <c r="D4440" s="1297" t="s">
        <v>1046</v>
      </c>
      <c r="H4440" s="1399">
        <v>7109019</v>
      </c>
      <c r="I4440" s="1399">
        <v>7109019</v>
      </c>
    </row>
    <row r="4441" spans="2:9">
      <c r="B4441" s="1297"/>
      <c r="C4441" s="1297"/>
      <c r="D4441" s="1297" t="s">
        <v>1128</v>
      </c>
      <c r="H4441" s="1399">
        <v>572948</v>
      </c>
      <c r="I4441" s="1399">
        <v>572948</v>
      </c>
    </row>
    <row r="4442" spans="2:9">
      <c r="B4442" s="1297"/>
      <c r="C4442" s="1297"/>
      <c r="D4442" s="1297" t="s">
        <v>1047</v>
      </c>
      <c r="H4442" s="1399">
        <v>277101</v>
      </c>
      <c r="I4442" s="1399">
        <v>277101</v>
      </c>
    </row>
    <row r="4443" spans="2:9">
      <c r="B4443" s="1297"/>
      <c r="C4443" s="1297"/>
      <c r="D4443" s="1297" t="s">
        <v>1048</v>
      </c>
      <c r="H4443" s="1399">
        <v>-1041936</v>
      </c>
      <c r="I4443" s="1399">
        <v>-1041936</v>
      </c>
    </row>
    <row r="4444" spans="2:9">
      <c r="B4444" s="1297"/>
      <c r="C4444" s="1297"/>
      <c r="D4444" s="1297" t="s">
        <v>932</v>
      </c>
      <c r="H4444" s="1399">
        <v>562230</v>
      </c>
      <c r="I4444" s="1399">
        <v>562230</v>
      </c>
    </row>
    <row r="4445" spans="2:9">
      <c r="B4445" s="1297"/>
      <c r="C4445" s="1297"/>
      <c r="D4445" s="1297" t="s">
        <v>955</v>
      </c>
      <c r="H4445" s="1399">
        <v>446935.55</v>
      </c>
      <c r="I4445" s="1399">
        <v>446935.55</v>
      </c>
    </row>
    <row r="4446" spans="2:9">
      <c r="B4446" s="1297"/>
      <c r="C4446" s="1297"/>
      <c r="D4446" s="1297" t="s">
        <v>934</v>
      </c>
      <c r="H4446" s="1399">
        <v>25918</v>
      </c>
      <c r="I4446" s="1399">
        <v>25918</v>
      </c>
    </row>
    <row r="4447" spans="2:9">
      <c r="B4447" s="1297"/>
      <c r="C4447" s="1297"/>
      <c r="D4447" s="1297" t="s">
        <v>935</v>
      </c>
      <c r="H4447" s="1399">
        <v>43038.66</v>
      </c>
      <c r="I4447" s="1399">
        <v>43038.66</v>
      </c>
    </row>
    <row r="4448" spans="2:9">
      <c r="B4448" s="1297"/>
      <c r="C4448" s="1297"/>
      <c r="D4448" s="1297" t="s">
        <v>936</v>
      </c>
      <c r="H4448" s="1399">
        <v>23810.240000000002</v>
      </c>
      <c r="I4448" s="1399">
        <v>23810.240000000002</v>
      </c>
    </row>
    <row r="4449" spans="2:9">
      <c r="B4449" s="1297"/>
      <c r="C4449" s="1297"/>
      <c r="D4449" s="1297" t="s">
        <v>938</v>
      </c>
      <c r="H4449" s="1399">
        <v>9171</v>
      </c>
      <c r="I4449" s="1399">
        <v>9171</v>
      </c>
    </row>
    <row r="4450" spans="2:9">
      <c r="B4450" s="1297"/>
      <c r="C4450" s="1297"/>
      <c r="D4450" s="1297" t="s">
        <v>939</v>
      </c>
      <c r="H4450" s="1399">
        <v>47052.69</v>
      </c>
      <c r="I4450" s="1399">
        <v>47052.69</v>
      </c>
    </row>
    <row r="4451" spans="2:9">
      <c r="B4451" s="1297"/>
      <c r="C4451" s="1297"/>
      <c r="D4451" s="1297" t="s">
        <v>940</v>
      </c>
      <c r="E4451" s="1399">
        <v>401945.86</v>
      </c>
      <c r="I4451" s="1399">
        <v>401945.86</v>
      </c>
    </row>
    <row r="4452" spans="2:9">
      <c r="B4452" s="1297"/>
      <c r="C4452" s="1297"/>
      <c r="D4452" s="1297" t="s">
        <v>941</v>
      </c>
      <c r="E4452" s="1399">
        <v>153869.48000000001</v>
      </c>
      <c r="I4452" s="1399">
        <v>153869.48000000001</v>
      </c>
    </row>
    <row r="4453" spans="2:9">
      <c r="B4453" s="1297"/>
      <c r="C4453" s="1297"/>
      <c r="D4453" s="1297" t="s">
        <v>943</v>
      </c>
      <c r="E4453" s="1399">
        <v>9110.14</v>
      </c>
      <c r="I4453" s="1399">
        <v>9110.14</v>
      </c>
    </row>
    <row r="4454" spans="2:9">
      <c r="B4454" s="1297"/>
      <c r="C4454" s="1297"/>
      <c r="D4454" s="1297" t="s">
        <v>944</v>
      </c>
      <c r="E4454" s="1399">
        <v>1512054.17</v>
      </c>
      <c r="I4454" s="1399">
        <v>1512054.17</v>
      </c>
    </row>
    <row r="4455" spans="2:9">
      <c r="B4455" s="1297"/>
      <c r="C4455" s="1297"/>
      <c r="D4455" s="1297" t="s">
        <v>945</v>
      </c>
      <c r="E4455" s="1399">
        <v>1517882.78</v>
      </c>
      <c r="I4455" s="1399">
        <v>1517882.78</v>
      </c>
    </row>
    <row r="4456" spans="2:9">
      <c r="B4456" s="1297"/>
      <c r="C4456" s="1297"/>
      <c r="D4456" s="1297" t="s">
        <v>947</v>
      </c>
      <c r="E4456" s="1399">
        <v>64808.43</v>
      </c>
      <c r="I4456" s="1399">
        <v>64808.43</v>
      </c>
    </row>
    <row r="4457" spans="2:9">
      <c r="B4457" s="1297"/>
      <c r="C4457" s="1297"/>
      <c r="D4457" s="1297" t="s">
        <v>948</v>
      </c>
      <c r="G4457" s="1399">
        <v>1393540.9000000001</v>
      </c>
      <c r="I4457" s="1399">
        <v>1393540.9000000001</v>
      </c>
    </row>
    <row r="4458" spans="2:9">
      <c r="B4458" s="1297"/>
      <c r="C4458" s="1297"/>
      <c r="D4458" s="1297" t="s">
        <v>956</v>
      </c>
      <c r="G4458" s="1399">
        <v>41651.870000000003</v>
      </c>
      <c r="I4458" s="1399">
        <v>41651.870000000003</v>
      </c>
    </row>
    <row r="4459" spans="2:9">
      <c r="B4459" s="1297"/>
      <c r="C4459" s="1400" t="s">
        <v>1494</v>
      </c>
      <c r="D4459" s="1400"/>
      <c r="E4459" s="1401">
        <v>3659670.86</v>
      </c>
      <c r="F4459" s="1401">
        <v>4913206.38</v>
      </c>
      <c r="G4459" s="1401">
        <v>1435192.7700000003</v>
      </c>
      <c r="H4459" s="1401">
        <v>8075288.1400000006</v>
      </c>
      <c r="I4459" s="1401">
        <v>18083358.149999999</v>
      </c>
    </row>
    <row r="4460" spans="2:9">
      <c r="B4460" s="1297" t="s">
        <v>1495</v>
      </c>
      <c r="C4460" s="1297" t="s">
        <v>1496</v>
      </c>
      <c r="D4460" s="1297" t="s">
        <v>906</v>
      </c>
      <c r="F4460" s="1399">
        <v>16290518.720000001</v>
      </c>
      <c r="I4460" s="1399">
        <v>16290518.720000001</v>
      </c>
    </row>
    <row r="4461" spans="2:9">
      <c r="B4461" s="1297"/>
      <c r="C4461" s="1297"/>
      <c r="D4461" s="1297" t="s">
        <v>952</v>
      </c>
      <c r="F4461" s="1399">
        <v>292829.63</v>
      </c>
      <c r="I4461" s="1399">
        <v>292829.63</v>
      </c>
    </row>
    <row r="4462" spans="2:9">
      <c r="B4462" s="1297"/>
      <c r="C4462" s="1297"/>
      <c r="D4462" s="1297" t="s">
        <v>907</v>
      </c>
      <c r="F4462" s="1399">
        <v>4324840.42</v>
      </c>
      <c r="I4462" s="1399">
        <v>4324840.42</v>
      </c>
    </row>
    <row r="4463" spans="2:9">
      <c r="B4463" s="1297"/>
      <c r="C4463" s="1297"/>
      <c r="D4463" s="1297" t="s">
        <v>1034</v>
      </c>
      <c r="F4463" s="1399">
        <v>2105</v>
      </c>
      <c r="I4463" s="1399">
        <v>2105</v>
      </c>
    </row>
    <row r="4464" spans="2:9">
      <c r="B4464" s="1297"/>
      <c r="C4464" s="1297"/>
      <c r="D4464" s="1297" t="s">
        <v>1037</v>
      </c>
      <c r="F4464" s="1399">
        <v>14050</v>
      </c>
      <c r="I4464" s="1399">
        <v>14050</v>
      </c>
    </row>
    <row r="4465" spans="2:9">
      <c r="B4465" s="1297"/>
      <c r="C4465" s="1297"/>
      <c r="D4465" s="1297" t="s">
        <v>1038</v>
      </c>
      <c r="F4465" s="1399">
        <v>4800</v>
      </c>
      <c r="I4465" s="1399">
        <v>4800</v>
      </c>
    </row>
    <row r="4466" spans="2:9">
      <c r="B4466" s="1297"/>
      <c r="C4466" s="1297"/>
      <c r="D4466" s="1297" t="s">
        <v>1039</v>
      </c>
      <c r="F4466" s="1399">
        <v>39414.389999999992</v>
      </c>
      <c r="I4466" s="1399">
        <v>39414.389999999992</v>
      </c>
    </row>
    <row r="4467" spans="2:9">
      <c r="B4467" s="1297"/>
      <c r="C4467" s="1297"/>
      <c r="D4467" s="1297" t="s">
        <v>1040</v>
      </c>
      <c r="F4467" s="1399">
        <v>117294.81</v>
      </c>
      <c r="I4467" s="1399">
        <v>117294.81</v>
      </c>
    </row>
    <row r="4468" spans="2:9">
      <c r="B4468" s="1297"/>
      <c r="C4468" s="1297"/>
      <c r="D4468" s="1297" t="s">
        <v>1041</v>
      </c>
      <c r="F4468" s="1399">
        <v>62122.020000000004</v>
      </c>
      <c r="I4468" s="1399">
        <v>62122.020000000004</v>
      </c>
    </row>
    <row r="4469" spans="2:9">
      <c r="B4469" s="1297"/>
      <c r="C4469" s="1297"/>
      <c r="D4469" s="1297" t="s">
        <v>1042</v>
      </c>
      <c r="F4469" s="1399">
        <v>49758.45</v>
      </c>
      <c r="I4469" s="1399">
        <v>49758.45</v>
      </c>
    </row>
    <row r="4470" spans="2:9">
      <c r="B4470" s="1297"/>
      <c r="C4470" s="1297"/>
      <c r="D4470" s="1297" t="s">
        <v>954</v>
      </c>
      <c r="F4470" s="1399">
        <v>772540.02</v>
      </c>
      <c r="I4470" s="1399">
        <v>772540.02</v>
      </c>
    </row>
    <row r="4471" spans="2:9">
      <c r="B4471" s="1297"/>
      <c r="C4471" s="1297"/>
      <c r="D4471" s="1297" t="s">
        <v>986</v>
      </c>
      <c r="F4471" s="1399">
        <v>-873.78</v>
      </c>
      <c r="I4471" s="1399">
        <v>-873.78</v>
      </c>
    </row>
    <row r="4472" spans="2:9">
      <c r="B4472" s="1297"/>
      <c r="C4472" s="1297"/>
      <c r="D4472" s="1297" t="s">
        <v>1044</v>
      </c>
      <c r="F4472" s="1399">
        <v>32737.5</v>
      </c>
      <c r="I4472" s="1399">
        <v>32737.5</v>
      </c>
    </row>
    <row r="4473" spans="2:9">
      <c r="B4473" s="1297"/>
      <c r="C4473" s="1297"/>
      <c r="D4473" s="1297" t="s">
        <v>1045</v>
      </c>
      <c r="F4473" s="1399">
        <v>682536.8</v>
      </c>
      <c r="I4473" s="1399">
        <v>682536.8</v>
      </c>
    </row>
    <row r="4474" spans="2:9">
      <c r="B4474" s="1297"/>
      <c r="C4474" s="1297"/>
      <c r="D4474" s="1297" t="s">
        <v>1046</v>
      </c>
      <c r="H4474" s="1399">
        <v>15244768</v>
      </c>
      <c r="I4474" s="1399">
        <v>15244768</v>
      </c>
    </row>
    <row r="4475" spans="2:9">
      <c r="B4475" s="1297"/>
      <c r="C4475" s="1297"/>
      <c r="D4475" s="1297" t="s">
        <v>1128</v>
      </c>
      <c r="H4475" s="1399">
        <v>1167545</v>
      </c>
      <c r="I4475" s="1399">
        <v>1167545</v>
      </c>
    </row>
    <row r="4476" spans="2:9">
      <c r="B4476" s="1297"/>
      <c r="C4476" s="1297"/>
      <c r="D4476" s="1297" t="s">
        <v>1129</v>
      </c>
      <c r="H4476" s="1399">
        <v>-1344051</v>
      </c>
      <c r="I4476" s="1399">
        <v>-1344051</v>
      </c>
    </row>
    <row r="4477" spans="2:9">
      <c r="B4477" s="1297"/>
      <c r="C4477" s="1297"/>
      <c r="D4477" s="1297" t="s">
        <v>1047</v>
      </c>
      <c r="H4477" s="1399">
        <v>406315</v>
      </c>
      <c r="I4477" s="1399">
        <v>406315</v>
      </c>
    </row>
    <row r="4478" spans="2:9">
      <c r="B4478" s="1297"/>
      <c r="C4478" s="1297"/>
      <c r="D4478" s="1297" t="s">
        <v>1048</v>
      </c>
      <c r="H4478" s="1399">
        <v>-7014086</v>
      </c>
      <c r="I4478" s="1399">
        <v>-7014086</v>
      </c>
    </row>
    <row r="4479" spans="2:9">
      <c r="B4479" s="1297"/>
      <c r="C4479" s="1297"/>
      <c r="D4479" s="1297" t="s">
        <v>955</v>
      </c>
      <c r="H4479" s="1399">
        <v>760873.19</v>
      </c>
      <c r="I4479" s="1399">
        <v>760873.19</v>
      </c>
    </row>
    <row r="4480" spans="2:9">
      <c r="B4480" s="1297"/>
      <c r="C4480" s="1297"/>
      <c r="D4480" s="1297" t="s">
        <v>934</v>
      </c>
      <c r="H4480" s="1399">
        <v>47698</v>
      </c>
      <c r="I4480" s="1399">
        <v>47698</v>
      </c>
    </row>
    <row r="4481" spans="2:9">
      <c r="B4481" s="1297"/>
      <c r="C4481" s="1297"/>
      <c r="D4481" s="1297" t="s">
        <v>935</v>
      </c>
      <c r="H4481" s="1399">
        <v>400597.05999999994</v>
      </c>
      <c r="I4481" s="1399">
        <v>400597.05999999994</v>
      </c>
    </row>
    <row r="4482" spans="2:9">
      <c r="B4482" s="1297"/>
      <c r="C4482" s="1297"/>
      <c r="D4482" s="1297" t="s">
        <v>936</v>
      </c>
      <c r="H4482" s="1399">
        <v>75282.37</v>
      </c>
      <c r="I4482" s="1399">
        <v>75282.37</v>
      </c>
    </row>
    <row r="4483" spans="2:9">
      <c r="B4483" s="1297"/>
      <c r="C4483" s="1297"/>
      <c r="D4483" s="1297" t="s">
        <v>937</v>
      </c>
      <c r="H4483" s="1399">
        <v>11163.98</v>
      </c>
      <c r="I4483" s="1399">
        <v>11163.98</v>
      </c>
    </row>
    <row r="4484" spans="2:9">
      <c r="B4484" s="1297"/>
      <c r="C4484" s="1297"/>
      <c r="D4484" s="1297" t="s">
        <v>938</v>
      </c>
      <c r="H4484" s="1399">
        <v>20962</v>
      </c>
      <c r="I4484" s="1399">
        <v>20962</v>
      </c>
    </row>
    <row r="4485" spans="2:9">
      <c r="B4485" s="1297"/>
      <c r="C4485" s="1297"/>
      <c r="D4485" s="1297" t="s">
        <v>939</v>
      </c>
      <c r="H4485" s="1399">
        <v>61065.04</v>
      </c>
      <c r="I4485" s="1399">
        <v>61065.04</v>
      </c>
    </row>
    <row r="4486" spans="2:9">
      <c r="B4486" s="1297"/>
      <c r="C4486" s="1297"/>
      <c r="D4486" s="1297" t="s">
        <v>1131</v>
      </c>
      <c r="E4486" s="1399">
        <v>1244538.71</v>
      </c>
      <c r="I4486" s="1399">
        <v>1244538.71</v>
      </c>
    </row>
    <row r="4487" spans="2:9">
      <c r="B4487" s="1297"/>
      <c r="C4487" s="1297"/>
      <c r="D4487" s="1297" t="s">
        <v>940</v>
      </c>
      <c r="E4487" s="1399">
        <v>939295.24</v>
      </c>
      <c r="I4487" s="1399">
        <v>939295.24</v>
      </c>
    </row>
    <row r="4488" spans="2:9">
      <c r="B4488" s="1297"/>
      <c r="C4488" s="1297"/>
      <c r="D4488" s="1297" t="s">
        <v>941</v>
      </c>
      <c r="E4488" s="1399">
        <v>377040.44</v>
      </c>
      <c r="I4488" s="1399">
        <v>377040.44</v>
      </c>
    </row>
    <row r="4489" spans="2:9">
      <c r="B4489" s="1297"/>
      <c r="C4489" s="1297"/>
      <c r="D4489" s="1297" t="s">
        <v>943</v>
      </c>
      <c r="E4489" s="1399">
        <v>1840.38</v>
      </c>
      <c r="I4489" s="1399">
        <v>1840.38</v>
      </c>
    </row>
    <row r="4490" spans="2:9">
      <c r="B4490" s="1297"/>
      <c r="C4490" s="1297"/>
      <c r="D4490" s="1297" t="s">
        <v>944</v>
      </c>
      <c r="E4490" s="1399">
        <v>2158051.39</v>
      </c>
      <c r="I4490" s="1399">
        <v>2158051.39</v>
      </c>
    </row>
    <row r="4491" spans="2:9">
      <c r="B4491" s="1297"/>
      <c r="C4491" s="1297"/>
      <c r="D4491" s="1297" t="s">
        <v>945</v>
      </c>
      <c r="E4491" s="1399">
        <v>1096464.31</v>
      </c>
      <c r="I4491" s="1399">
        <v>1096464.31</v>
      </c>
    </row>
    <row r="4492" spans="2:9">
      <c r="B4492" s="1297"/>
      <c r="C4492" s="1297"/>
      <c r="D4492" s="1297" t="s">
        <v>946</v>
      </c>
      <c r="E4492" s="1399">
        <v>3243</v>
      </c>
      <c r="I4492" s="1399">
        <v>3243</v>
      </c>
    </row>
    <row r="4493" spans="2:9">
      <c r="B4493" s="1297"/>
      <c r="C4493" s="1297"/>
      <c r="D4493" s="1297" t="s">
        <v>978</v>
      </c>
      <c r="E4493" s="1399">
        <v>4080.92</v>
      </c>
      <c r="I4493" s="1399">
        <v>4080.92</v>
      </c>
    </row>
    <row r="4494" spans="2:9">
      <c r="B4494" s="1297"/>
      <c r="C4494" s="1297"/>
      <c r="D4494" s="1297" t="s">
        <v>1214</v>
      </c>
      <c r="E4494" s="1399">
        <v>46798.42</v>
      </c>
      <c r="I4494" s="1399">
        <v>46798.42</v>
      </c>
    </row>
    <row r="4495" spans="2:9">
      <c r="B4495" s="1297"/>
      <c r="C4495" s="1297"/>
      <c r="D4495" s="1297" t="s">
        <v>947</v>
      </c>
      <c r="E4495" s="1399">
        <v>110632.59</v>
      </c>
      <c r="I4495" s="1399">
        <v>110632.59</v>
      </c>
    </row>
    <row r="4496" spans="2:9">
      <c r="B4496" s="1297"/>
      <c r="C4496" s="1297"/>
      <c r="D4496" s="1297" t="s">
        <v>948</v>
      </c>
      <c r="G4496" s="1399">
        <v>21947810.109999996</v>
      </c>
      <c r="I4496" s="1399">
        <v>21947810.109999996</v>
      </c>
    </row>
    <row r="4497" spans="2:9">
      <c r="B4497" s="1297"/>
      <c r="C4497" s="1297"/>
      <c r="D4497" s="1297" t="s">
        <v>1118</v>
      </c>
      <c r="G4497" s="1399">
        <v>3275.68</v>
      </c>
      <c r="I4497" s="1399">
        <v>3275.68</v>
      </c>
    </row>
    <row r="4498" spans="2:9">
      <c r="B4498" s="1297"/>
      <c r="C4498" s="1400" t="s">
        <v>1497</v>
      </c>
      <c r="D4498" s="1400"/>
      <c r="E4498" s="1401">
        <v>5981985.4000000004</v>
      </c>
      <c r="F4498" s="1401">
        <v>22684673.98</v>
      </c>
      <c r="G4498" s="1401">
        <v>21951085.789999995</v>
      </c>
      <c r="H4498" s="1401">
        <v>9838132.6399999987</v>
      </c>
      <c r="I4498" s="1401">
        <v>60455877.81000001</v>
      </c>
    </row>
    <row r="4499" spans="2:9">
      <c r="B4499" s="1297" t="s">
        <v>1498</v>
      </c>
      <c r="C4499" s="1297" t="s">
        <v>1499</v>
      </c>
      <c r="D4499" s="1297" t="s">
        <v>906</v>
      </c>
      <c r="F4499" s="1399">
        <v>1315143.4000000001</v>
      </c>
      <c r="I4499" s="1399">
        <v>1315143.4000000001</v>
      </c>
    </row>
    <row r="4500" spans="2:9">
      <c r="B4500" s="1297"/>
      <c r="C4500" s="1297"/>
      <c r="D4500" s="1297" t="s">
        <v>952</v>
      </c>
      <c r="F4500" s="1399">
        <v>12998.34</v>
      </c>
      <c r="I4500" s="1399">
        <v>12998.34</v>
      </c>
    </row>
    <row r="4501" spans="2:9">
      <c r="B4501" s="1297"/>
      <c r="C4501" s="1297"/>
      <c r="D4501" s="1297" t="s">
        <v>907</v>
      </c>
      <c r="F4501" s="1399">
        <v>96099.85</v>
      </c>
      <c r="I4501" s="1399">
        <v>96099.85</v>
      </c>
    </row>
    <row r="4502" spans="2:9">
      <c r="B4502" s="1297"/>
      <c r="C4502" s="1297"/>
      <c r="D4502" s="1297" t="s">
        <v>908</v>
      </c>
      <c r="F4502" s="1399">
        <v>9285.26</v>
      </c>
      <c r="I4502" s="1399">
        <v>9285.26</v>
      </c>
    </row>
    <row r="4503" spans="2:9">
      <c r="B4503" s="1297"/>
      <c r="C4503" s="1297"/>
      <c r="D4503" s="1297" t="s">
        <v>909</v>
      </c>
      <c r="F4503" s="1399">
        <v>9807.5</v>
      </c>
      <c r="I4503" s="1399">
        <v>9807.5</v>
      </c>
    </row>
    <row r="4504" spans="2:9">
      <c r="B4504" s="1297"/>
      <c r="C4504" s="1297"/>
      <c r="D4504" s="1297" t="s">
        <v>910</v>
      </c>
      <c r="F4504" s="1399">
        <v>5353.3600000000006</v>
      </c>
      <c r="I4504" s="1399">
        <v>5353.3600000000006</v>
      </c>
    </row>
    <row r="4505" spans="2:9">
      <c r="B4505" s="1297"/>
      <c r="C4505" s="1297"/>
      <c r="D4505" s="1297" t="s">
        <v>1034</v>
      </c>
      <c r="F4505" s="1399">
        <v>3767.46</v>
      </c>
      <c r="I4505" s="1399">
        <v>3767.46</v>
      </c>
    </row>
    <row r="4506" spans="2:9">
      <c r="B4506" s="1297"/>
      <c r="C4506" s="1297"/>
      <c r="D4506" s="1297" t="s">
        <v>1035</v>
      </c>
      <c r="F4506" s="1399">
        <v>22350.59</v>
      </c>
      <c r="I4506" s="1399">
        <v>22350.59</v>
      </c>
    </row>
    <row r="4507" spans="2:9">
      <c r="B4507" s="1297"/>
      <c r="C4507" s="1297"/>
      <c r="D4507" s="1297" t="s">
        <v>1036</v>
      </c>
      <c r="F4507" s="1399">
        <v>11414.76</v>
      </c>
      <c r="I4507" s="1399">
        <v>11414.76</v>
      </c>
    </row>
    <row r="4508" spans="2:9">
      <c r="B4508" s="1297"/>
      <c r="C4508" s="1297"/>
      <c r="D4508" s="1297" t="s">
        <v>1003</v>
      </c>
      <c r="F4508" s="1399">
        <v>944</v>
      </c>
      <c r="I4508" s="1399">
        <v>944</v>
      </c>
    </row>
    <row r="4509" spans="2:9">
      <c r="B4509" s="1297"/>
      <c r="C4509" s="1297"/>
      <c r="D4509" s="1297" t="s">
        <v>1039</v>
      </c>
      <c r="F4509" s="1399">
        <v>3394.1900000000005</v>
      </c>
      <c r="I4509" s="1399">
        <v>3394.1900000000005</v>
      </c>
    </row>
    <row r="4510" spans="2:9">
      <c r="B4510" s="1297"/>
      <c r="C4510" s="1297"/>
      <c r="D4510" s="1297" t="s">
        <v>1042</v>
      </c>
      <c r="F4510" s="1399">
        <v>5497.35</v>
      </c>
      <c r="I4510" s="1399">
        <v>5497.35</v>
      </c>
    </row>
    <row r="4511" spans="2:9">
      <c r="B4511" s="1297"/>
      <c r="C4511" s="1297"/>
      <c r="D4511" s="1297" t="s">
        <v>996</v>
      </c>
      <c r="F4511" s="1399">
        <v>138</v>
      </c>
      <c r="I4511" s="1399">
        <v>138</v>
      </c>
    </row>
    <row r="4512" spans="2:9">
      <c r="B4512" s="1297"/>
      <c r="C4512" s="1297"/>
      <c r="D4512" s="1297" t="s">
        <v>1045</v>
      </c>
      <c r="F4512" s="1399">
        <v>54463.49</v>
      </c>
      <c r="I4512" s="1399">
        <v>54463.49</v>
      </c>
    </row>
    <row r="4513" spans="2:9">
      <c r="B4513" s="1297"/>
      <c r="C4513" s="1297"/>
      <c r="D4513" s="1297" t="s">
        <v>1046</v>
      </c>
      <c r="H4513" s="1399">
        <v>2238162</v>
      </c>
      <c r="I4513" s="1399">
        <v>2238162</v>
      </c>
    </row>
    <row r="4514" spans="2:9">
      <c r="B4514" s="1297"/>
      <c r="C4514" s="1297"/>
      <c r="D4514" s="1297" t="s">
        <v>1047</v>
      </c>
      <c r="H4514" s="1399">
        <v>222495</v>
      </c>
      <c r="I4514" s="1399">
        <v>222495</v>
      </c>
    </row>
    <row r="4515" spans="2:9">
      <c r="B4515" s="1297"/>
      <c r="C4515" s="1297"/>
      <c r="D4515" s="1297" t="s">
        <v>1048</v>
      </c>
      <c r="H4515" s="1399">
        <v>-402003</v>
      </c>
      <c r="I4515" s="1399">
        <v>-402003</v>
      </c>
    </row>
    <row r="4516" spans="2:9">
      <c r="B4516" s="1297"/>
      <c r="C4516" s="1297"/>
      <c r="D4516" s="1297" t="s">
        <v>955</v>
      </c>
      <c r="H4516" s="1399">
        <v>138448.42000000001</v>
      </c>
      <c r="I4516" s="1399">
        <v>138448.42000000001</v>
      </c>
    </row>
    <row r="4517" spans="2:9">
      <c r="B4517" s="1297"/>
      <c r="C4517" s="1297"/>
      <c r="D4517" s="1297" t="s">
        <v>934</v>
      </c>
      <c r="H4517" s="1399">
        <v>6858</v>
      </c>
      <c r="I4517" s="1399">
        <v>6858</v>
      </c>
    </row>
    <row r="4518" spans="2:9">
      <c r="B4518" s="1297"/>
      <c r="C4518" s="1297"/>
      <c r="D4518" s="1297" t="s">
        <v>935</v>
      </c>
      <c r="H4518" s="1399">
        <v>10711.86</v>
      </c>
      <c r="I4518" s="1399">
        <v>10711.86</v>
      </c>
    </row>
    <row r="4519" spans="2:9">
      <c r="B4519" s="1297"/>
      <c r="C4519" s="1297"/>
      <c r="D4519" s="1297" t="s">
        <v>936</v>
      </c>
      <c r="H4519" s="1399">
        <v>8753.76</v>
      </c>
      <c r="I4519" s="1399">
        <v>8753.76</v>
      </c>
    </row>
    <row r="4520" spans="2:9">
      <c r="B4520" s="1297"/>
      <c r="C4520" s="1297"/>
      <c r="D4520" s="1297" t="s">
        <v>937</v>
      </c>
      <c r="H4520" s="1399">
        <v>4825.58</v>
      </c>
      <c r="I4520" s="1399">
        <v>4825.58</v>
      </c>
    </row>
    <row r="4521" spans="2:9">
      <c r="B4521" s="1297"/>
      <c r="C4521" s="1297"/>
      <c r="D4521" s="1297" t="s">
        <v>938</v>
      </c>
      <c r="H4521" s="1399">
        <v>1872</v>
      </c>
      <c r="I4521" s="1399">
        <v>1872</v>
      </c>
    </row>
    <row r="4522" spans="2:9">
      <c r="B4522" s="1297"/>
      <c r="C4522" s="1297"/>
      <c r="D4522" s="1297" t="s">
        <v>939</v>
      </c>
      <c r="H4522" s="1399">
        <v>15672.12</v>
      </c>
      <c r="I4522" s="1399">
        <v>15672.12</v>
      </c>
    </row>
    <row r="4523" spans="2:9">
      <c r="B4523" s="1297"/>
      <c r="C4523" s="1297"/>
      <c r="D4523" s="1297" t="s">
        <v>940</v>
      </c>
      <c r="E4523" s="1399">
        <v>180150.12</v>
      </c>
      <c r="I4523" s="1399">
        <v>180150.12</v>
      </c>
    </row>
    <row r="4524" spans="2:9">
      <c r="B4524" s="1297"/>
      <c r="C4524" s="1297"/>
      <c r="D4524" s="1297" t="s">
        <v>941</v>
      </c>
      <c r="E4524" s="1399">
        <v>85065.600000000006</v>
      </c>
      <c r="I4524" s="1399">
        <v>85065.600000000006</v>
      </c>
    </row>
    <row r="4525" spans="2:9">
      <c r="B4525" s="1297"/>
      <c r="C4525" s="1297"/>
      <c r="D4525" s="1297" t="s">
        <v>943</v>
      </c>
      <c r="E4525" s="1399">
        <v>6488.32</v>
      </c>
      <c r="I4525" s="1399">
        <v>6488.32</v>
      </c>
    </row>
    <row r="4526" spans="2:9">
      <c r="B4526" s="1297"/>
      <c r="C4526" s="1297"/>
      <c r="D4526" s="1297" t="s">
        <v>944</v>
      </c>
      <c r="E4526" s="1399">
        <v>493900.67</v>
      </c>
      <c r="I4526" s="1399">
        <v>493900.67</v>
      </c>
    </row>
    <row r="4527" spans="2:9">
      <c r="B4527" s="1297"/>
      <c r="C4527" s="1297"/>
      <c r="D4527" s="1297" t="s">
        <v>945</v>
      </c>
      <c r="E4527" s="1399">
        <v>164011.21000000002</v>
      </c>
      <c r="I4527" s="1399">
        <v>164011.21000000002</v>
      </c>
    </row>
    <row r="4528" spans="2:9">
      <c r="B4528" s="1297"/>
      <c r="C4528" s="1297"/>
      <c r="D4528" s="1297" t="s">
        <v>946</v>
      </c>
      <c r="E4528" s="1399">
        <v>284130.90000000002</v>
      </c>
      <c r="I4528" s="1399">
        <v>284130.90000000002</v>
      </c>
    </row>
    <row r="4529" spans="2:9">
      <c r="B4529" s="1297"/>
      <c r="C4529" s="1297"/>
      <c r="D4529" s="1297" t="s">
        <v>947</v>
      </c>
      <c r="E4529" s="1399">
        <v>18567.82</v>
      </c>
      <c r="I4529" s="1399">
        <v>18567.82</v>
      </c>
    </row>
    <row r="4530" spans="2:9">
      <c r="B4530" s="1297"/>
      <c r="C4530" s="1297"/>
      <c r="D4530" s="1297" t="s">
        <v>948</v>
      </c>
      <c r="G4530" s="1399">
        <v>480960.86</v>
      </c>
      <c r="I4530" s="1399">
        <v>480960.86</v>
      </c>
    </row>
    <row r="4531" spans="2:9">
      <c r="B4531" s="1297"/>
      <c r="C4531" s="1297"/>
      <c r="D4531" s="1297" t="s">
        <v>1118</v>
      </c>
      <c r="G4531" s="1399">
        <v>236</v>
      </c>
      <c r="I4531" s="1399">
        <v>236</v>
      </c>
    </row>
    <row r="4532" spans="2:9">
      <c r="B4532" s="1297"/>
      <c r="C4532" s="1400" t="s">
        <v>1500</v>
      </c>
      <c r="D4532" s="1400"/>
      <c r="E4532" s="1401">
        <v>1232314.6399999999</v>
      </c>
      <c r="F4532" s="1401">
        <v>1550657.5500000005</v>
      </c>
      <c r="G4532" s="1401">
        <v>481196.86</v>
      </c>
      <c r="H4532" s="1401">
        <v>2245795.7399999998</v>
      </c>
      <c r="I4532" s="1401">
        <v>5509964.7900000019</v>
      </c>
    </row>
    <row r="4533" spans="2:9">
      <c r="B4533" s="1297" t="s">
        <v>1501</v>
      </c>
      <c r="C4533" s="1297" t="s">
        <v>1502</v>
      </c>
      <c r="D4533" s="1297" t="s">
        <v>906</v>
      </c>
      <c r="F4533" s="1399">
        <v>15059820.5</v>
      </c>
      <c r="I4533" s="1399">
        <v>15059820.5</v>
      </c>
    </row>
    <row r="4534" spans="2:9">
      <c r="B4534" s="1297"/>
      <c r="C4534" s="1297"/>
      <c r="D4534" s="1297" t="s">
        <v>1126</v>
      </c>
      <c r="F4534" s="1399">
        <v>2814433.83</v>
      </c>
      <c r="I4534" s="1399">
        <v>2814433.83</v>
      </c>
    </row>
    <row r="4535" spans="2:9">
      <c r="B4535" s="1297"/>
      <c r="C4535" s="1297"/>
      <c r="D4535" s="1297" t="s">
        <v>952</v>
      </c>
      <c r="F4535" s="1399">
        <v>211802.35</v>
      </c>
      <c r="I4535" s="1399">
        <v>211802.35</v>
      </c>
    </row>
    <row r="4536" spans="2:9">
      <c r="B4536" s="1297"/>
      <c r="C4536" s="1297"/>
      <c r="D4536" s="1297" t="s">
        <v>907</v>
      </c>
      <c r="F4536" s="1399">
        <v>2814367.52</v>
      </c>
      <c r="I4536" s="1399">
        <v>2814367.52</v>
      </c>
    </row>
    <row r="4537" spans="2:9">
      <c r="B4537" s="1297"/>
      <c r="C4537" s="1297"/>
      <c r="D4537" s="1297" t="s">
        <v>910</v>
      </c>
      <c r="F4537" s="1399">
        <v>6387.5</v>
      </c>
      <c r="I4537" s="1399">
        <v>6387.5</v>
      </c>
    </row>
    <row r="4538" spans="2:9">
      <c r="B4538" s="1297"/>
      <c r="C4538" s="1297"/>
      <c r="D4538" s="1297" t="s">
        <v>1034</v>
      </c>
      <c r="F4538" s="1399">
        <v>58906.49</v>
      </c>
      <c r="I4538" s="1399">
        <v>58906.49</v>
      </c>
    </row>
    <row r="4539" spans="2:9">
      <c r="B4539" s="1297"/>
      <c r="C4539" s="1297"/>
      <c r="D4539" s="1297" t="s">
        <v>1035</v>
      </c>
      <c r="F4539" s="1399">
        <v>474541.48000000004</v>
      </c>
      <c r="I4539" s="1399">
        <v>474541.48000000004</v>
      </c>
    </row>
    <row r="4540" spans="2:9">
      <c r="B4540" s="1297"/>
      <c r="C4540" s="1297"/>
      <c r="D4540" s="1297" t="s">
        <v>1036</v>
      </c>
      <c r="F4540" s="1399">
        <v>118762.44</v>
      </c>
      <c r="I4540" s="1399">
        <v>118762.44</v>
      </c>
    </row>
    <row r="4541" spans="2:9">
      <c r="B4541" s="1297"/>
      <c r="C4541" s="1297"/>
      <c r="D4541" s="1297" t="s">
        <v>1039</v>
      </c>
      <c r="F4541" s="1399">
        <v>20859.619999999995</v>
      </c>
      <c r="I4541" s="1399">
        <v>20859.619999999995</v>
      </c>
    </row>
    <row r="4542" spans="2:9">
      <c r="B4542" s="1297"/>
      <c r="C4542" s="1297"/>
      <c r="D4542" s="1297" t="s">
        <v>1040</v>
      </c>
      <c r="F4542" s="1399">
        <v>208201.5</v>
      </c>
      <c r="I4542" s="1399">
        <v>208201.5</v>
      </c>
    </row>
    <row r="4543" spans="2:9">
      <c r="B4543" s="1297"/>
      <c r="C4543" s="1297"/>
      <c r="D4543" s="1297" t="s">
        <v>1041</v>
      </c>
      <c r="F4543" s="1399">
        <v>97129.95</v>
      </c>
      <c r="I4543" s="1399">
        <v>97129.95</v>
      </c>
    </row>
    <row r="4544" spans="2:9">
      <c r="B4544" s="1297"/>
      <c r="C4544" s="1297"/>
      <c r="D4544" s="1297" t="s">
        <v>1042</v>
      </c>
      <c r="F4544" s="1399">
        <v>44408.34</v>
      </c>
      <c r="I4544" s="1399">
        <v>44408.34</v>
      </c>
    </row>
    <row r="4545" spans="2:9">
      <c r="B4545" s="1297"/>
      <c r="C4545" s="1297"/>
      <c r="D4545" s="1297" t="s">
        <v>986</v>
      </c>
      <c r="F4545" s="1399">
        <v>45601</v>
      </c>
      <c r="I4545" s="1399">
        <v>45601</v>
      </c>
    </row>
    <row r="4546" spans="2:9">
      <c r="B4546" s="1297"/>
      <c r="C4546" s="1297"/>
      <c r="D4546" s="1297" t="s">
        <v>1045</v>
      </c>
      <c r="F4546" s="1399">
        <v>130609.65999999999</v>
      </c>
      <c r="I4546" s="1399">
        <v>130609.65999999999</v>
      </c>
    </row>
    <row r="4547" spans="2:9">
      <c r="B4547" s="1297"/>
      <c r="C4547" s="1297"/>
      <c r="D4547" s="1297" t="s">
        <v>1046</v>
      </c>
      <c r="H4547" s="1399">
        <v>13633820</v>
      </c>
      <c r="I4547" s="1399">
        <v>13633820</v>
      </c>
    </row>
    <row r="4548" spans="2:9">
      <c r="B4548" s="1297"/>
      <c r="C4548" s="1297"/>
      <c r="D4548" s="1297" t="s">
        <v>1048</v>
      </c>
      <c r="H4548" s="1399">
        <v>-7331655</v>
      </c>
      <c r="I4548" s="1399">
        <v>-7331655</v>
      </c>
    </row>
    <row r="4549" spans="2:9">
      <c r="B4549" s="1297"/>
      <c r="C4549" s="1297"/>
      <c r="D4549" s="1297" t="s">
        <v>955</v>
      </c>
      <c r="H4549" s="1399">
        <v>153583.67000000001</v>
      </c>
      <c r="I4549" s="1399">
        <v>153583.67000000001</v>
      </c>
    </row>
    <row r="4550" spans="2:9">
      <c r="B4550" s="1297"/>
      <c r="C4550" s="1297"/>
      <c r="D4550" s="1297" t="s">
        <v>934</v>
      </c>
      <c r="H4550" s="1399">
        <v>38866</v>
      </c>
      <c r="I4550" s="1399">
        <v>38866</v>
      </c>
    </row>
    <row r="4551" spans="2:9">
      <c r="B4551" s="1297"/>
      <c r="C4551" s="1297"/>
      <c r="D4551" s="1297" t="s">
        <v>935</v>
      </c>
      <c r="H4551" s="1399">
        <v>242060.29</v>
      </c>
      <c r="I4551" s="1399">
        <v>242060.29</v>
      </c>
    </row>
    <row r="4552" spans="2:9">
      <c r="B4552" s="1297"/>
      <c r="C4552" s="1297"/>
      <c r="D4552" s="1297" t="s">
        <v>936</v>
      </c>
      <c r="H4552" s="1399">
        <v>60926.19</v>
      </c>
      <c r="I4552" s="1399">
        <v>60926.19</v>
      </c>
    </row>
    <row r="4553" spans="2:9">
      <c r="B4553" s="1297"/>
      <c r="C4553" s="1297"/>
      <c r="D4553" s="1297" t="s">
        <v>937</v>
      </c>
      <c r="H4553" s="1399">
        <v>35249.85</v>
      </c>
      <c r="I4553" s="1399">
        <v>35249.85</v>
      </c>
    </row>
    <row r="4554" spans="2:9">
      <c r="B4554" s="1297"/>
      <c r="C4554" s="1297"/>
      <c r="D4554" s="1297" t="s">
        <v>938</v>
      </c>
      <c r="H4554" s="1399">
        <v>15721</v>
      </c>
      <c r="I4554" s="1399">
        <v>15721</v>
      </c>
    </row>
    <row r="4555" spans="2:9">
      <c r="B4555" s="1297"/>
      <c r="C4555" s="1297"/>
      <c r="D4555" s="1297" t="s">
        <v>940</v>
      </c>
      <c r="E4555" s="1399">
        <v>626727.68000000005</v>
      </c>
      <c r="I4555" s="1399">
        <v>626727.68000000005</v>
      </c>
    </row>
    <row r="4556" spans="2:9">
      <c r="B4556" s="1297"/>
      <c r="C4556" s="1297"/>
      <c r="D4556" s="1297" t="s">
        <v>941</v>
      </c>
      <c r="E4556" s="1399">
        <v>245713.9</v>
      </c>
      <c r="I4556" s="1399">
        <v>245713.9</v>
      </c>
    </row>
    <row r="4557" spans="2:9">
      <c r="B4557" s="1297"/>
      <c r="C4557" s="1297"/>
      <c r="D4557" s="1297" t="s">
        <v>943</v>
      </c>
      <c r="E4557" s="1399">
        <v>20953.84</v>
      </c>
      <c r="I4557" s="1399">
        <v>20953.84</v>
      </c>
    </row>
    <row r="4558" spans="2:9">
      <c r="B4558" s="1297"/>
      <c r="C4558" s="1297"/>
      <c r="D4558" s="1297" t="s">
        <v>944</v>
      </c>
      <c r="E4558" s="1399">
        <v>1908409.03</v>
      </c>
      <c r="I4558" s="1399">
        <v>1908409.03</v>
      </c>
    </row>
    <row r="4559" spans="2:9">
      <c r="B4559" s="1297"/>
      <c r="C4559" s="1297"/>
      <c r="D4559" s="1297" t="s">
        <v>945</v>
      </c>
      <c r="E4559" s="1399">
        <v>839478.22</v>
      </c>
      <c r="I4559" s="1399">
        <v>839478.22</v>
      </c>
    </row>
    <row r="4560" spans="2:9">
      <c r="B4560" s="1297"/>
      <c r="C4560" s="1297"/>
      <c r="D4560" s="1297" t="s">
        <v>1214</v>
      </c>
      <c r="E4560" s="1399">
        <v>108264.3</v>
      </c>
      <c r="I4560" s="1399">
        <v>108264.3</v>
      </c>
    </row>
    <row r="4561" spans="2:9">
      <c r="B4561" s="1297"/>
      <c r="C4561" s="1297"/>
      <c r="D4561" s="1297" t="s">
        <v>947</v>
      </c>
      <c r="E4561" s="1399">
        <v>59432.73</v>
      </c>
      <c r="I4561" s="1399">
        <v>59432.73</v>
      </c>
    </row>
    <row r="4562" spans="2:9">
      <c r="B4562" s="1297"/>
      <c r="C4562" s="1297"/>
      <c r="D4562" s="1297" t="s">
        <v>1115</v>
      </c>
      <c r="E4562" s="1399">
        <v>351333.33</v>
      </c>
      <c r="I4562" s="1399">
        <v>351333.33</v>
      </c>
    </row>
    <row r="4563" spans="2:9">
      <c r="B4563" s="1297"/>
      <c r="C4563" s="1297"/>
      <c r="D4563" s="1297" t="s">
        <v>1116</v>
      </c>
      <c r="G4563" s="1399">
        <v>15904000</v>
      </c>
      <c r="I4563" s="1399">
        <v>15904000</v>
      </c>
    </row>
    <row r="4564" spans="2:9">
      <c r="B4564" s="1297"/>
      <c r="C4564" s="1297"/>
      <c r="D4564" s="1297" t="s">
        <v>948</v>
      </c>
      <c r="G4564" s="1399">
        <v>1152630.1200000001</v>
      </c>
      <c r="I4564" s="1399">
        <v>1152630.1200000001</v>
      </c>
    </row>
    <row r="4565" spans="2:9">
      <c r="B4565" s="1297"/>
      <c r="C4565" s="1297"/>
      <c r="D4565" s="1297" t="s">
        <v>956</v>
      </c>
      <c r="G4565" s="1399">
        <v>20000</v>
      </c>
      <c r="I4565" s="1399">
        <v>20000</v>
      </c>
    </row>
    <row r="4566" spans="2:9">
      <c r="B4566" s="1297"/>
      <c r="C4566" s="1297"/>
      <c r="D4566" s="1297" t="s">
        <v>1118</v>
      </c>
      <c r="G4566" s="1399">
        <v>3189957.92</v>
      </c>
      <c r="I4566" s="1399">
        <v>3189957.92</v>
      </c>
    </row>
    <row r="4567" spans="2:9">
      <c r="B4567" s="1297"/>
      <c r="C4567" s="1400" t="s">
        <v>1503</v>
      </c>
      <c r="D4567" s="1400"/>
      <c r="E4567" s="1401">
        <v>4160313.03</v>
      </c>
      <c r="F4567" s="1401">
        <v>22105832.18</v>
      </c>
      <c r="G4567" s="1401">
        <v>20266588.039999999</v>
      </c>
      <c r="H4567" s="1401">
        <v>6848572</v>
      </c>
      <c r="I4567" s="1401">
        <v>53381305.25</v>
      </c>
    </row>
    <row r="4568" spans="2:9">
      <c r="B4568" s="1297" t="s">
        <v>1504</v>
      </c>
      <c r="C4568" s="1297" t="s">
        <v>1505</v>
      </c>
      <c r="D4568" s="1297" t="s">
        <v>906</v>
      </c>
      <c r="F4568" s="1399">
        <v>2666496.0699999998</v>
      </c>
      <c r="I4568" s="1399">
        <v>2666496.0699999998</v>
      </c>
    </row>
    <row r="4569" spans="2:9">
      <c r="B4569" s="1297"/>
      <c r="C4569" s="1297"/>
      <c r="D4569" s="1297" t="s">
        <v>952</v>
      </c>
      <c r="F4569" s="1399">
        <v>2684.95</v>
      </c>
      <c r="I4569" s="1399">
        <v>2684.95</v>
      </c>
    </row>
    <row r="4570" spans="2:9">
      <c r="B4570" s="1297"/>
      <c r="C4570" s="1297"/>
      <c r="D4570" s="1297" t="s">
        <v>907</v>
      </c>
      <c r="F4570" s="1399">
        <v>779948.48</v>
      </c>
      <c r="I4570" s="1399">
        <v>779948.48</v>
      </c>
    </row>
    <row r="4571" spans="2:9">
      <c r="B4571" s="1297"/>
      <c r="C4571" s="1297"/>
      <c r="D4571" s="1297" t="s">
        <v>1122</v>
      </c>
      <c r="F4571" s="1399">
        <v>-134949</v>
      </c>
      <c r="I4571" s="1399">
        <v>-134949</v>
      </c>
    </row>
    <row r="4572" spans="2:9">
      <c r="B4572" s="1297"/>
      <c r="C4572" s="1297"/>
      <c r="D4572" s="1297" t="s">
        <v>1034</v>
      </c>
      <c r="F4572" s="1399">
        <v>3658.2</v>
      </c>
      <c r="I4572" s="1399">
        <v>3658.2</v>
      </c>
    </row>
    <row r="4573" spans="2:9">
      <c r="B4573" s="1297"/>
      <c r="C4573" s="1297"/>
      <c r="D4573" s="1297" t="s">
        <v>1105</v>
      </c>
      <c r="F4573" s="1399">
        <v>178516.8</v>
      </c>
      <c r="I4573" s="1399">
        <v>178516.8</v>
      </c>
    </row>
    <row r="4574" spans="2:9">
      <c r="B4574" s="1297"/>
      <c r="C4574" s="1297"/>
      <c r="D4574" s="1297" t="s">
        <v>1038</v>
      </c>
      <c r="F4574" s="1399">
        <v>1485.86</v>
      </c>
      <c r="I4574" s="1399">
        <v>1485.86</v>
      </c>
    </row>
    <row r="4575" spans="2:9">
      <c r="B4575" s="1297"/>
      <c r="C4575" s="1297"/>
      <c r="D4575" s="1297" t="s">
        <v>1039</v>
      </c>
      <c r="F4575" s="1399">
        <v>441.11</v>
      </c>
      <c r="I4575" s="1399">
        <v>441.11</v>
      </c>
    </row>
    <row r="4576" spans="2:9">
      <c r="B4576" s="1297"/>
      <c r="C4576" s="1297"/>
      <c r="D4576" s="1297" t="s">
        <v>1042</v>
      </c>
      <c r="F4576" s="1399">
        <v>50584.3</v>
      </c>
      <c r="I4576" s="1399">
        <v>50584.3</v>
      </c>
    </row>
    <row r="4577" spans="2:9">
      <c r="B4577" s="1297"/>
      <c r="C4577" s="1297"/>
      <c r="D4577" s="1297" t="s">
        <v>953</v>
      </c>
      <c r="F4577" s="1399">
        <v>42035.09</v>
      </c>
      <c r="I4577" s="1399">
        <v>42035.09</v>
      </c>
    </row>
    <row r="4578" spans="2:9">
      <c r="B4578" s="1297"/>
      <c r="C4578" s="1297"/>
      <c r="D4578" s="1297" t="s">
        <v>985</v>
      </c>
      <c r="F4578" s="1399">
        <v>1439</v>
      </c>
      <c r="I4578" s="1399">
        <v>1439</v>
      </c>
    </row>
    <row r="4579" spans="2:9">
      <c r="B4579" s="1297"/>
      <c r="C4579" s="1297"/>
      <c r="D4579" s="1297" t="s">
        <v>996</v>
      </c>
      <c r="F4579" s="1399">
        <v>36698</v>
      </c>
      <c r="I4579" s="1399">
        <v>36698</v>
      </c>
    </row>
    <row r="4580" spans="2:9">
      <c r="B4580" s="1297"/>
      <c r="C4580" s="1297"/>
      <c r="D4580" s="1297" t="s">
        <v>1044</v>
      </c>
      <c r="F4580" s="1399">
        <v>46483.33</v>
      </c>
      <c r="I4580" s="1399">
        <v>46483.33</v>
      </c>
    </row>
    <row r="4581" spans="2:9">
      <c r="B4581" s="1297"/>
      <c r="C4581" s="1297"/>
      <c r="D4581" s="1297" t="s">
        <v>1045</v>
      </c>
      <c r="F4581" s="1399">
        <v>23466.400000000001</v>
      </c>
      <c r="I4581" s="1399">
        <v>23466.400000000001</v>
      </c>
    </row>
    <row r="4582" spans="2:9">
      <c r="B4582" s="1297"/>
      <c r="C4582" s="1297"/>
      <c r="D4582" s="1297" t="s">
        <v>1046</v>
      </c>
      <c r="H4582" s="1399">
        <v>6827308</v>
      </c>
      <c r="I4582" s="1399">
        <v>6827308</v>
      </c>
    </row>
    <row r="4583" spans="2:9">
      <c r="B4583" s="1297"/>
      <c r="C4583" s="1297"/>
      <c r="D4583" s="1297" t="s">
        <v>1047</v>
      </c>
      <c r="H4583" s="1399">
        <v>-529840</v>
      </c>
      <c r="I4583" s="1399">
        <v>-529840</v>
      </c>
    </row>
    <row r="4584" spans="2:9">
      <c r="B4584" s="1297"/>
      <c r="C4584" s="1297"/>
      <c r="D4584" s="1297" t="s">
        <v>1048</v>
      </c>
      <c r="H4584" s="1399">
        <v>-1036531</v>
      </c>
      <c r="I4584" s="1399">
        <v>-1036531</v>
      </c>
    </row>
    <row r="4585" spans="2:9">
      <c r="B4585" s="1297"/>
      <c r="C4585" s="1297"/>
      <c r="D4585" s="1297" t="s">
        <v>932</v>
      </c>
      <c r="H4585" s="1399">
        <v>398697</v>
      </c>
      <c r="I4585" s="1399">
        <v>398697</v>
      </c>
    </row>
    <row r="4586" spans="2:9">
      <c r="B4586" s="1297"/>
      <c r="C4586" s="1297"/>
      <c r="D4586" s="1297" t="s">
        <v>955</v>
      </c>
      <c r="H4586" s="1399">
        <v>154251.82999999999</v>
      </c>
      <c r="I4586" s="1399">
        <v>154251.82999999999</v>
      </c>
    </row>
    <row r="4587" spans="2:9">
      <c r="B4587" s="1297"/>
      <c r="C4587" s="1297"/>
      <c r="D4587" s="1297" t="s">
        <v>934</v>
      </c>
      <c r="H4587" s="1399">
        <v>26250</v>
      </c>
      <c r="I4587" s="1399">
        <v>26250</v>
      </c>
    </row>
    <row r="4588" spans="2:9">
      <c r="B4588" s="1297"/>
      <c r="C4588" s="1297"/>
      <c r="D4588" s="1297" t="s">
        <v>935</v>
      </c>
      <c r="H4588" s="1399">
        <v>126403.33</v>
      </c>
      <c r="I4588" s="1399">
        <v>126403.33</v>
      </c>
    </row>
    <row r="4589" spans="2:9">
      <c r="B4589" s="1297"/>
      <c r="C4589" s="1297"/>
      <c r="D4589" s="1297" t="s">
        <v>936</v>
      </c>
      <c r="H4589" s="1399">
        <v>35715.35</v>
      </c>
      <c r="I4589" s="1399">
        <v>35715.35</v>
      </c>
    </row>
    <row r="4590" spans="2:9">
      <c r="B4590" s="1297"/>
      <c r="C4590" s="1297"/>
      <c r="D4590" s="1297" t="s">
        <v>937</v>
      </c>
      <c r="H4590" s="1399">
        <v>7638.97</v>
      </c>
      <c r="I4590" s="1399">
        <v>7638.97</v>
      </c>
    </row>
    <row r="4591" spans="2:9">
      <c r="B4591" s="1297"/>
      <c r="C4591" s="1297"/>
      <c r="D4591" s="1297" t="s">
        <v>938</v>
      </c>
      <c r="H4591" s="1399">
        <v>10668</v>
      </c>
      <c r="I4591" s="1399">
        <v>10668</v>
      </c>
    </row>
    <row r="4592" spans="2:9">
      <c r="B4592" s="1297"/>
      <c r="C4592" s="1297"/>
      <c r="D4592" s="1297" t="s">
        <v>940</v>
      </c>
      <c r="E4592" s="1399">
        <v>0</v>
      </c>
      <c r="I4592" s="1399">
        <v>0</v>
      </c>
    </row>
    <row r="4593" spans="2:9">
      <c r="B4593" s="1297"/>
      <c r="C4593" s="1297"/>
      <c r="D4593" s="1297" t="s">
        <v>941</v>
      </c>
      <c r="E4593" s="1399">
        <v>487503.7</v>
      </c>
      <c r="I4593" s="1399">
        <v>487503.7</v>
      </c>
    </row>
    <row r="4594" spans="2:9">
      <c r="B4594" s="1297"/>
      <c r="C4594" s="1297"/>
      <c r="D4594" s="1297" t="s">
        <v>942</v>
      </c>
      <c r="E4594" s="1399">
        <v>317985.40000000002</v>
      </c>
      <c r="I4594" s="1399">
        <v>317985.40000000002</v>
      </c>
    </row>
    <row r="4595" spans="2:9">
      <c r="B4595" s="1297"/>
      <c r="C4595" s="1297"/>
      <c r="D4595" s="1297" t="s">
        <v>943</v>
      </c>
      <c r="E4595" s="1399">
        <v>15531.86</v>
      </c>
      <c r="I4595" s="1399">
        <v>15531.86</v>
      </c>
    </row>
    <row r="4596" spans="2:9">
      <c r="B4596" s="1297"/>
      <c r="C4596" s="1297"/>
      <c r="D4596" s="1297" t="s">
        <v>944</v>
      </c>
      <c r="E4596" s="1399">
        <v>1677517.0999999996</v>
      </c>
      <c r="I4596" s="1399">
        <v>1677517.0999999996</v>
      </c>
    </row>
    <row r="4597" spans="2:9">
      <c r="B4597" s="1297"/>
      <c r="C4597" s="1297"/>
      <c r="D4597" s="1297" t="s">
        <v>945</v>
      </c>
      <c r="E4597" s="1399">
        <v>685340.51</v>
      </c>
      <c r="I4597" s="1399">
        <v>685340.51</v>
      </c>
    </row>
    <row r="4598" spans="2:9">
      <c r="B4598" s="1297"/>
      <c r="C4598" s="1297"/>
      <c r="D4598" s="1297" t="s">
        <v>946</v>
      </c>
      <c r="E4598" s="1399">
        <v>912265.5</v>
      </c>
      <c r="I4598" s="1399">
        <v>912265.5</v>
      </c>
    </row>
    <row r="4599" spans="2:9">
      <c r="B4599" s="1297"/>
      <c r="C4599" s="1297"/>
      <c r="D4599" s="1297" t="s">
        <v>947</v>
      </c>
      <c r="E4599" s="1399">
        <v>59552.01</v>
      </c>
      <c r="I4599" s="1399">
        <v>59552.01</v>
      </c>
    </row>
    <row r="4600" spans="2:9">
      <c r="B4600" s="1297"/>
      <c r="C4600" s="1297"/>
      <c r="D4600" s="1297" t="s">
        <v>1115</v>
      </c>
      <c r="E4600" s="1399">
        <v>10211.1</v>
      </c>
      <c r="I4600" s="1399">
        <v>10211.1</v>
      </c>
    </row>
    <row r="4601" spans="2:9">
      <c r="B4601" s="1297"/>
      <c r="C4601" s="1297"/>
      <c r="D4601" s="1297" t="s">
        <v>1116</v>
      </c>
      <c r="G4601" s="1399">
        <v>3350000</v>
      </c>
      <c r="I4601" s="1399">
        <v>3350000</v>
      </c>
    </row>
    <row r="4602" spans="2:9">
      <c r="B4602" s="1297"/>
      <c r="C4602" s="1297"/>
      <c r="D4602" s="1297" t="s">
        <v>948</v>
      </c>
      <c r="G4602" s="1399">
        <v>776770.39</v>
      </c>
      <c r="I4602" s="1399">
        <v>776770.39</v>
      </c>
    </row>
    <row r="4603" spans="2:9">
      <c r="B4603" s="1297"/>
      <c r="C4603" s="1297"/>
      <c r="D4603" s="1297" t="s">
        <v>1118</v>
      </c>
      <c r="G4603" s="1399">
        <v>40572.82</v>
      </c>
      <c r="I4603" s="1399">
        <v>40572.82</v>
      </c>
    </row>
    <row r="4604" spans="2:9">
      <c r="B4604" s="1297"/>
      <c r="C4604" s="1400" t="s">
        <v>1506</v>
      </c>
      <c r="D4604" s="1400"/>
      <c r="E4604" s="1401">
        <v>4165907.1799999992</v>
      </c>
      <c r="F4604" s="1401">
        <v>3698988.5899999994</v>
      </c>
      <c r="G4604" s="1401">
        <v>4167343.21</v>
      </c>
      <c r="H4604" s="1401">
        <v>6020561.4799999995</v>
      </c>
      <c r="I4604" s="1401">
        <v>18052800.460000001</v>
      </c>
    </row>
    <row r="4605" spans="2:9">
      <c r="B4605" s="1297" t="s">
        <v>1507</v>
      </c>
      <c r="C4605" s="1297" t="s">
        <v>1508</v>
      </c>
      <c r="D4605" s="1297" t="s">
        <v>906</v>
      </c>
      <c r="F4605" s="1399">
        <v>80086368.629999995</v>
      </c>
      <c r="I4605" s="1399">
        <v>80086368.629999995</v>
      </c>
    </row>
    <row r="4606" spans="2:9">
      <c r="B4606" s="1297"/>
      <c r="C4606" s="1297"/>
      <c r="D4606" s="1297" t="s">
        <v>952</v>
      </c>
      <c r="F4606" s="1399">
        <v>1043490.25</v>
      </c>
      <c r="I4606" s="1399">
        <v>1043490.25</v>
      </c>
    </row>
    <row r="4607" spans="2:9">
      <c r="B4607" s="1297"/>
      <c r="C4607" s="1297"/>
      <c r="D4607" s="1297" t="s">
        <v>907</v>
      </c>
      <c r="F4607" s="1399">
        <v>37232391.659999996</v>
      </c>
      <c r="I4607" s="1399">
        <v>37232391.659999996</v>
      </c>
    </row>
    <row r="4608" spans="2:9">
      <c r="B4608" s="1297"/>
      <c r="C4608" s="1297"/>
      <c r="D4608" s="1297" t="s">
        <v>910</v>
      </c>
      <c r="F4608" s="1399">
        <v>2835</v>
      </c>
      <c r="I4608" s="1399">
        <v>2835</v>
      </c>
    </row>
    <row r="4609" spans="2:9">
      <c r="B4609" s="1297"/>
      <c r="C4609" s="1297"/>
      <c r="D4609" s="1297" t="s">
        <v>1034</v>
      </c>
      <c r="F4609" s="1399">
        <v>206581.43</v>
      </c>
      <c r="I4609" s="1399">
        <v>206581.43</v>
      </c>
    </row>
    <row r="4610" spans="2:9">
      <c r="B4610" s="1297"/>
      <c r="C4610" s="1297"/>
      <c r="D4610" s="1297" t="s">
        <v>1035</v>
      </c>
      <c r="F4610" s="1399">
        <v>3086756.6999999997</v>
      </c>
      <c r="I4610" s="1399">
        <v>3086756.6999999997</v>
      </c>
    </row>
    <row r="4611" spans="2:9">
      <c r="B4611" s="1297"/>
      <c r="C4611" s="1297"/>
      <c r="D4611" s="1297" t="s">
        <v>1037</v>
      </c>
      <c r="F4611" s="1399">
        <v>12012</v>
      </c>
      <c r="I4611" s="1399">
        <v>12012</v>
      </c>
    </row>
    <row r="4612" spans="2:9">
      <c r="B4612" s="1297"/>
      <c r="C4612" s="1297"/>
      <c r="D4612" s="1297" t="s">
        <v>1038</v>
      </c>
      <c r="F4612" s="1399">
        <v>116905</v>
      </c>
      <c r="I4612" s="1399">
        <v>116905</v>
      </c>
    </row>
    <row r="4613" spans="2:9">
      <c r="B4613" s="1297"/>
      <c r="C4613" s="1297"/>
      <c r="D4613" s="1297" t="s">
        <v>1039</v>
      </c>
      <c r="F4613" s="1399">
        <v>2136124.6100000008</v>
      </c>
      <c r="I4613" s="1399">
        <v>2136124.6100000008</v>
      </c>
    </row>
    <row r="4614" spans="2:9">
      <c r="B4614" s="1297"/>
      <c r="C4614" s="1297"/>
      <c r="D4614" s="1297" t="s">
        <v>1040</v>
      </c>
      <c r="F4614" s="1399">
        <v>1191027.3400000001</v>
      </c>
      <c r="I4614" s="1399">
        <v>1191027.3400000001</v>
      </c>
    </row>
    <row r="4615" spans="2:9">
      <c r="B4615" s="1297"/>
      <c r="C4615" s="1297"/>
      <c r="D4615" s="1297" t="s">
        <v>1041</v>
      </c>
      <c r="F4615" s="1399">
        <v>329181.80999999994</v>
      </c>
      <c r="I4615" s="1399">
        <v>329181.80999999994</v>
      </c>
    </row>
    <row r="4616" spans="2:9">
      <c r="B4616" s="1297"/>
      <c r="C4616" s="1297"/>
      <c r="D4616" s="1297" t="s">
        <v>1042</v>
      </c>
      <c r="F4616" s="1399">
        <v>202173.26999999996</v>
      </c>
      <c r="I4616" s="1399">
        <v>202173.26999999996</v>
      </c>
    </row>
    <row r="4617" spans="2:9">
      <c r="B4617" s="1297"/>
      <c r="C4617" s="1297"/>
      <c r="D4617" s="1297" t="s">
        <v>954</v>
      </c>
      <c r="F4617" s="1399">
        <v>416248.43</v>
      </c>
      <c r="I4617" s="1399">
        <v>416248.43</v>
      </c>
    </row>
    <row r="4618" spans="2:9">
      <c r="B4618" s="1297"/>
      <c r="C4618" s="1297"/>
      <c r="D4618" s="1297" t="s">
        <v>986</v>
      </c>
      <c r="F4618" s="1399">
        <v>570</v>
      </c>
      <c r="I4618" s="1399">
        <v>570</v>
      </c>
    </row>
    <row r="4619" spans="2:9">
      <c r="B4619" s="1297"/>
      <c r="C4619" s="1297"/>
      <c r="D4619" s="1297" t="s">
        <v>1044</v>
      </c>
      <c r="F4619" s="1399">
        <v>1614820.44</v>
      </c>
      <c r="I4619" s="1399">
        <v>1614820.44</v>
      </c>
    </row>
    <row r="4620" spans="2:9">
      <c r="B4620" s="1297"/>
      <c r="C4620" s="1297"/>
      <c r="D4620" s="1297" t="s">
        <v>1045</v>
      </c>
      <c r="F4620" s="1399">
        <v>852706.07999999973</v>
      </c>
      <c r="I4620" s="1399">
        <v>852706.07999999973</v>
      </c>
    </row>
    <row r="4621" spans="2:9">
      <c r="B4621" s="1297"/>
      <c r="C4621" s="1297"/>
      <c r="D4621" s="1297" t="s">
        <v>1046</v>
      </c>
      <c r="H4621" s="1399">
        <v>158332046</v>
      </c>
      <c r="I4621" s="1399">
        <v>158332046</v>
      </c>
    </row>
    <row r="4622" spans="2:9">
      <c r="B4622" s="1297"/>
      <c r="C4622" s="1297"/>
      <c r="D4622" s="1297" t="s">
        <v>1128</v>
      </c>
      <c r="H4622" s="1399">
        <v>13228259</v>
      </c>
      <c r="I4622" s="1399">
        <v>13228259</v>
      </c>
    </row>
    <row r="4623" spans="2:9">
      <c r="B4623" s="1297"/>
      <c r="C4623" s="1297"/>
      <c r="D4623" s="1297" t="s">
        <v>1129</v>
      </c>
      <c r="H4623" s="1399">
        <v>-22570214</v>
      </c>
      <c r="I4623" s="1399">
        <v>-22570214</v>
      </c>
    </row>
    <row r="4624" spans="2:9">
      <c r="B4624" s="1297"/>
      <c r="C4624" s="1297"/>
      <c r="D4624" s="1297" t="s">
        <v>1047</v>
      </c>
      <c r="H4624" s="1399">
        <v>3084815</v>
      </c>
      <c r="I4624" s="1399">
        <v>3084815</v>
      </c>
    </row>
    <row r="4625" spans="2:9">
      <c r="B4625" s="1297"/>
      <c r="C4625" s="1297"/>
      <c r="D4625" s="1297" t="s">
        <v>1048</v>
      </c>
      <c r="H4625" s="1399">
        <v>-22844202</v>
      </c>
      <c r="I4625" s="1399">
        <v>-22844202</v>
      </c>
    </row>
    <row r="4626" spans="2:9">
      <c r="B4626" s="1297"/>
      <c r="C4626" s="1297"/>
      <c r="D4626" s="1297" t="s">
        <v>932</v>
      </c>
      <c r="H4626" s="1399">
        <v>15509262</v>
      </c>
      <c r="I4626" s="1399">
        <v>15509262</v>
      </c>
    </row>
    <row r="4627" spans="2:9">
      <c r="B4627" s="1297"/>
      <c r="C4627" s="1297"/>
      <c r="D4627" s="1297" t="s">
        <v>955</v>
      </c>
      <c r="H4627" s="1399">
        <v>5397668.7199999997</v>
      </c>
      <c r="I4627" s="1399">
        <v>5397668.7199999997</v>
      </c>
    </row>
    <row r="4628" spans="2:9">
      <c r="B4628" s="1297"/>
      <c r="C4628" s="1297"/>
      <c r="D4628" s="1297" t="s">
        <v>934</v>
      </c>
      <c r="H4628" s="1399">
        <v>499340</v>
      </c>
      <c r="I4628" s="1399">
        <v>499340</v>
      </c>
    </row>
    <row r="4629" spans="2:9">
      <c r="B4629" s="1297"/>
      <c r="C4629" s="1297"/>
      <c r="D4629" s="1297" t="s">
        <v>1130</v>
      </c>
      <c r="H4629" s="1399">
        <v>3924418.3000000003</v>
      </c>
      <c r="I4629" s="1399">
        <v>3924418.3000000003</v>
      </c>
    </row>
    <row r="4630" spans="2:9">
      <c r="B4630" s="1297"/>
      <c r="C4630" s="1297"/>
      <c r="D4630" s="1297" t="s">
        <v>935</v>
      </c>
      <c r="H4630" s="1399">
        <v>3305853.74</v>
      </c>
      <c r="I4630" s="1399">
        <v>3305853.74</v>
      </c>
    </row>
    <row r="4631" spans="2:9">
      <c r="B4631" s="1297"/>
      <c r="C4631" s="1297"/>
      <c r="D4631" s="1297" t="s">
        <v>936</v>
      </c>
      <c r="H4631" s="1399">
        <v>482507.44</v>
      </c>
      <c r="I4631" s="1399">
        <v>482507.44</v>
      </c>
    </row>
    <row r="4632" spans="2:9">
      <c r="B4632" s="1297"/>
      <c r="C4632" s="1297"/>
      <c r="D4632" s="1297" t="s">
        <v>937</v>
      </c>
      <c r="H4632" s="1399">
        <v>169495.82</v>
      </c>
      <c r="I4632" s="1399">
        <v>169495.82</v>
      </c>
    </row>
    <row r="4633" spans="2:9">
      <c r="B4633" s="1297"/>
      <c r="C4633" s="1297"/>
      <c r="D4633" s="1297" t="s">
        <v>938</v>
      </c>
      <c r="H4633" s="1399">
        <v>187346</v>
      </c>
      <c r="I4633" s="1399">
        <v>187346</v>
      </c>
    </row>
    <row r="4634" spans="2:9">
      <c r="B4634" s="1297"/>
      <c r="C4634" s="1297"/>
      <c r="D4634" s="1297" t="s">
        <v>939</v>
      </c>
      <c r="H4634" s="1399">
        <v>1055.55</v>
      </c>
      <c r="I4634" s="1399">
        <v>1055.55</v>
      </c>
    </row>
    <row r="4635" spans="2:9">
      <c r="B4635" s="1297"/>
      <c r="C4635" s="1297"/>
      <c r="D4635" s="1297" t="s">
        <v>1131</v>
      </c>
      <c r="E4635" s="1399">
        <v>1121477.19</v>
      </c>
      <c r="I4635" s="1399">
        <v>1121477.19</v>
      </c>
    </row>
    <row r="4636" spans="2:9">
      <c r="B4636" s="1297"/>
      <c r="C4636" s="1297"/>
      <c r="D4636" s="1297" t="s">
        <v>940</v>
      </c>
      <c r="E4636" s="1399">
        <v>9356462.1199999992</v>
      </c>
      <c r="I4636" s="1399">
        <v>9356462.1199999992</v>
      </c>
    </row>
    <row r="4637" spans="2:9">
      <c r="B4637" s="1297"/>
      <c r="C4637" s="1297"/>
      <c r="D4637" s="1297" t="s">
        <v>941</v>
      </c>
      <c r="E4637" s="1399">
        <v>3532478.7</v>
      </c>
      <c r="I4637" s="1399">
        <v>3532478.7</v>
      </c>
    </row>
    <row r="4638" spans="2:9">
      <c r="B4638" s="1297"/>
      <c r="C4638" s="1297"/>
      <c r="D4638" s="1297" t="s">
        <v>943</v>
      </c>
      <c r="E4638" s="1399">
        <v>113496.75999999998</v>
      </c>
      <c r="I4638" s="1399">
        <v>113496.75999999998</v>
      </c>
    </row>
    <row r="4639" spans="2:9">
      <c r="B4639" s="1297"/>
      <c r="C4639" s="1297"/>
      <c r="D4639" s="1297" t="s">
        <v>944</v>
      </c>
      <c r="E4639" s="1399">
        <v>29109836.169999994</v>
      </c>
      <c r="I4639" s="1399">
        <v>29109836.169999994</v>
      </c>
    </row>
    <row r="4640" spans="2:9">
      <c r="B4640" s="1297"/>
      <c r="C4640" s="1297"/>
      <c r="D4640" s="1297" t="s">
        <v>945</v>
      </c>
      <c r="E4640" s="1399">
        <v>17644171.310000002</v>
      </c>
      <c r="I4640" s="1399">
        <v>17644171.310000002</v>
      </c>
    </row>
    <row r="4641" spans="2:9">
      <c r="B4641" s="1297"/>
      <c r="C4641" s="1297"/>
      <c r="D4641" s="1297" t="s">
        <v>946</v>
      </c>
      <c r="E4641" s="1399">
        <v>9000</v>
      </c>
      <c r="I4641" s="1399">
        <v>9000</v>
      </c>
    </row>
    <row r="4642" spans="2:9">
      <c r="B4642" s="1297"/>
      <c r="C4642" s="1297"/>
      <c r="D4642" s="1297" t="s">
        <v>978</v>
      </c>
      <c r="E4642" s="1399">
        <v>4134.8</v>
      </c>
      <c r="I4642" s="1399">
        <v>4134.8</v>
      </c>
    </row>
    <row r="4643" spans="2:9">
      <c r="B4643" s="1297"/>
      <c r="C4643" s="1297"/>
      <c r="D4643" s="1297" t="s">
        <v>1006</v>
      </c>
      <c r="E4643" s="1399">
        <v>1208987.25</v>
      </c>
      <c r="I4643" s="1399">
        <v>1208987.25</v>
      </c>
    </row>
    <row r="4644" spans="2:9">
      <c r="B4644" s="1297"/>
      <c r="C4644" s="1297"/>
      <c r="D4644" s="1297" t="s">
        <v>947</v>
      </c>
      <c r="E4644" s="1399">
        <v>1002023.9000000003</v>
      </c>
      <c r="I4644" s="1399">
        <v>1002023.9000000003</v>
      </c>
    </row>
    <row r="4645" spans="2:9">
      <c r="B4645" s="1297"/>
      <c r="C4645" s="1297"/>
      <c r="D4645" s="1297" t="s">
        <v>948</v>
      </c>
      <c r="G4645" s="1399">
        <v>29746278.699999999</v>
      </c>
      <c r="I4645" s="1399">
        <v>29746278.699999999</v>
      </c>
    </row>
    <row r="4646" spans="2:9">
      <c r="B4646" s="1297"/>
      <c r="C4646" s="1297"/>
      <c r="D4646" s="1297" t="s">
        <v>956</v>
      </c>
      <c r="G4646" s="1399">
        <v>6653.94</v>
      </c>
      <c r="I4646" s="1399">
        <v>6653.94</v>
      </c>
    </row>
    <row r="4647" spans="2:9">
      <c r="B4647" s="1297"/>
      <c r="C4647" s="1400" t="s">
        <v>1509</v>
      </c>
      <c r="D4647" s="1400"/>
      <c r="E4647" s="1401">
        <v>63102068.199999988</v>
      </c>
      <c r="F4647" s="1401">
        <v>128530192.65000001</v>
      </c>
      <c r="G4647" s="1401">
        <v>29752932.640000001</v>
      </c>
      <c r="H4647" s="1401">
        <v>158707651.57000002</v>
      </c>
      <c r="I4647" s="1401">
        <v>380092845.06</v>
      </c>
    </row>
    <row r="4648" spans="2:9">
      <c r="B4648" s="1297" t="s">
        <v>1510</v>
      </c>
      <c r="C4648" s="1297" t="s">
        <v>1511</v>
      </c>
      <c r="D4648" s="1297" t="s">
        <v>906</v>
      </c>
      <c r="F4648" s="1399">
        <v>57963851.620000005</v>
      </c>
      <c r="I4648" s="1399">
        <v>57963851.620000005</v>
      </c>
    </row>
    <row r="4649" spans="2:9">
      <c r="B4649" s="1297"/>
      <c r="C4649" s="1297"/>
      <c r="D4649" s="1297" t="s">
        <v>952</v>
      </c>
      <c r="F4649" s="1399">
        <v>431638.16</v>
      </c>
      <c r="I4649" s="1399">
        <v>431638.16</v>
      </c>
    </row>
    <row r="4650" spans="2:9">
      <c r="B4650" s="1297"/>
      <c r="C4650" s="1297"/>
      <c r="D4650" s="1297" t="s">
        <v>907</v>
      </c>
      <c r="F4650" s="1399">
        <v>12505322.380000001</v>
      </c>
      <c r="I4650" s="1399">
        <v>12505322.380000001</v>
      </c>
    </row>
    <row r="4651" spans="2:9">
      <c r="B4651" s="1297"/>
      <c r="C4651" s="1297"/>
      <c r="D4651" s="1297" t="s">
        <v>908</v>
      </c>
      <c r="F4651" s="1399">
        <v>9236.0499999999993</v>
      </c>
      <c r="I4651" s="1399">
        <v>9236.0499999999993</v>
      </c>
    </row>
    <row r="4652" spans="2:9">
      <c r="B4652" s="1297"/>
      <c r="C4652" s="1297"/>
      <c r="D4652" s="1297" t="s">
        <v>1037</v>
      </c>
      <c r="F4652" s="1399">
        <v>104411.7</v>
      </c>
      <c r="I4652" s="1399">
        <v>104411.7</v>
      </c>
    </row>
    <row r="4653" spans="2:9">
      <c r="B4653" s="1297"/>
      <c r="C4653" s="1297"/>
      <c r="D4653" s="1297" t="s">
        <v>1064</v>
      </c>
      <c r="F4653" s="1399">
        <v>2625.52</v>
      </c>
      <c r="I4653" s="1399">
        <v>2625.52</v>
      </c>
    </row>
    <row r="4654" spans="2:9">
      <c r="B4654" s="1297"/>
      <c r="C4654" s="1297"/>
      <c r="D4654" s="1297" t="s">
        <v>1039</v>
      </c>
      <c r="F4654" s="1399">
        <v>98730.12999999999</v>
      </c>
      <c r="I4654" s="1399">
        <v>98730.12999999999</v>
      </c>
    </row>
    <row r="4655" spans="2:9">
      <c r="B4655" s="1297"/>
      <c r="C4655" s="1297"/>
      <c r="D4655" s="1297" t="s">
        <v>1040</v>
      </c>
      <c r="F4655" s="1399">
        <v>1539996.65</v>
      </c>
      <c r="I4655" s="1399">
        <v>1539996.65</v>
      </c>
    </row>
    <row r="4656" spans="2:9">
      <c r="B4656" s="1297"/>
      <c r="C4656" s="1297"/>
      <c r="D4656" s="1297" t="s">
        <v>1041</v>
      </c>
      <c r="F4656" s="1399">
        <v>752015.46</v>
      </c>
      <c r="I4656" s="1399">
        <v>752015.46</v>
      </c>
    </row>
    <row r="4657" spans="2:9">
      <c r="B4657" s="1297"/>
      <c r="C4657" s="1297"/>
      <c r="D4657" s="1297" t="s">
        <v>1042</v>
      </c>
      <c r="F4657" s="1399">
        <v>262750.03999999998</v>
      </c>
      <c r="I4657" s="1399">
        <v>262750.03999999998</v>
      </c>
    </row>
    <row r="4658" spans="2:9">
      <c r="B4658" s="1297"/>
      <c r="C4658" s="1297"/>
      <c r="D4658" s="1297" t="s">
        <v>986</v>
      </c>
      <c r="F4658" s="1399">
        <v>10815.45</v>
      </c>
      <c r="I4658" s="1399">
        <v>10815.45</v>
      </c>
    </row>
    <row r="4659" spans="2:9">
      <c r="B4659" s="1297"/>
      <c r="C4659" s="1297"/>
      <c r="D4659" s="1297" t="s">
        <v>996</v>
      </c>
      <c r="F4659" s="1399">
        <v>32905.949999999997</v>
      </c>
      <c r="I4659" s="1399">
        <v>32905.949999999997</v>
      </c>
    </row>
    <row r="4660" spans="2:9">
      <c r="B4660" s="1297"/>
      <c r="C4660" s="1297"/>
      <c r="D4660" s="1297" t="s">
        <v>1044</v>
      </c>
      <c r="F4660" s="1399">
        <v>410689.88</v>
      </c>
      <c r="I4660" s="1399">
        <v>410689.88</v>
      </c>
    </row>
    <row r="4661" spans="2:9">
      <c r="B4661" s="1297"/>
      <c r="C4661" s="1297"/>
      <c r="D4661" s="1297" t="s">
        <v>1045</v>
      </c>
      <c r="F4661" s="1399">
        <v>10113423.630000001</v>
      </c>
      <c r="I4661" s="1399">
        <v>10113423.630000001</v>
      </c>
    </row>
    <row r="4662" spans="2:9">
      <c r="B4662" s="1297"/>
      <c r="C4662" s="1297"/>
      <c r="D4662" s="1297" t="s">
        <v>1046</v>
      </c>
      <c r="H4662" s="1399">
        <v>74181709</v>
      </c>
      <c r="I4662" s="1399">
        <v>74181709</v>
      </c>
    </row>
    <row r="4663" spans="2:9">
      <c r="B4663" s="1297"/>
      <c r="C4663" s="1297"/>
      <c r="D4663" s="1297" t="s">
        <v>1048</v>
      </c>
      <c r="H4663" s="1399">
        <v>-13695372</v>
      </c>
      <c r="I4663" s="1399">
        <v>-13695372</v>
      </c>
    </row>
    <row r="4664" spans="2:9">
      <c r="B4664" s="1297"/>
      <c r="C4664" s="1297"/>
      <c r="D4664" s="1297" t="s">
        <v>932</v>
      </c>
      <c r="H4664" s="1399">
        <v>3771181</v>
      </c>
      <c r="I4664" s="1399">
        <v>3771181</v>
      </c>
    </row>
    <row r="4665" spans="2:9">
      <c r="B4665" s="1297"/>
      <c r="C4665" s="1297"/>
      <c r="D4665" s="1297" t="s">
        <v>955</v>
      </c>
      <c r="H4665" s="1399">
        <v>1216851.1200000001</v>
      </c>
      <c r="I4665" s="1399">
        <v>1216851.1200000001</v>
      </c>
    </row>
    <row r="4666" spans="2:9">
      <c r="B4666" s="1297"/>
      <c r="C4666" s="1297"/>
      <c r="D4666" s="1297" t="s">
        <v>934</v>
      </c>
      <c r="H4666" s="1399">
        <v>239478</v>
      </c>
      <c r="I4666" s="1399">
        <v>239478</v>
      </c>
    </row>
    <row r="4667" spans="2:9">
      <c r="B4667" s="1297"/>
      <c r="C4667" s="1297"/>
      <c r="D4667" s="1297" t="s">
        <v>1130</v>
      </c>
      <c r="H4667" s="1399">
        <v>1921881.4</v>
      </c>
      <c r="I4667" s="1399">
        <v>1921881.4</v>
      </c>
    </row>
    <row r="4668" spans="2:9">
      <c r="B4668" s="1297"/>
      <c r="C4668" s="1297"/>
      <c r="D4668" s="1297" t="s">
        <v>935</v>
      </c>
      <c r="H4668" s="1399">
        <v>513390.11</v>
      </c>
      <c r="I4668" s="1399">
        <v>513390.11</v>
      </c>
    </row>
    <row r="4669" spans="2:9">
      <c r="B4669" s="1297"/>
      <c r="C4669" s="1297"/>
      <c r="D4669" s="1297" t="s">
        <v>936</v>
      </c>
      <c r="H4669" s="1399">
        <v>280120.43</v>
      </c>
      <c r="I4669" s="1399">
        <v>280120.43</v>
      </c>
    </row>
    <row r="4670" spans="2:9">
      <c r="B4670" s="1297"/>
      <c r="C4670" s="1297"/>
      <c r="D4670" s="1297" t="s">
        <v>937</v>
      </c>
      <c r="H4670" s="1399">
        <v>240705.41</v>
      </c>
      <c r="I4670" s="1399">
        <v>240705.41</v>
      </c>
    </row>
    <row r="4671" spans="2:9">
      <c r="B4671" s="1297"/>
      <c r="C4671" s="1297"/>
      <c r="D4671" s="1297" t="s">
        <v>938</v>
      </c>
      <c r="H4671" s="1399">
        <v>92831</v>
      </c>
      <c r="I4671" s="1399">
        <v>92831</v>
      </c>
    </row>
    <row r="4672" spans="2:9">
      <c r="B4672" s="1297"/>
      <c r="C4672" s="1297"/>
      <c r="D4672" s="1297" t="s">
        <v>1131</v>
      </c>
      <c r="E4672" s="1399">
        <v>193756.95</v>
      </c>
      <c r="I4672" s="1399">
        <v>193756.95</v>
      </c>
    </row>
    <row r="4673" spans="2:9">
      <c r="B4673" s="1297"/>
      <c r="C4673" s="1297"/>
      <c r="D4673" s="1297" t="s">
        <v>940</v>
      </c>
      <c r="E4673" s="1399">
        <v>4255617.26</v>
      </c>
      <c r="I4673" s="1399">
        <v>4255617.26</v>
      </c>
    </row>
    <row r="4674" spans="2:9">
      <c r="B4674" s="1297"/>
      <c r="C4674" s="1297"/>
      <c r="D4674" s="1297" t="s">
        <v>941</v>
      </c>
      <c r="E4674" s="1399">
        <v>1500496.72</v>
      </c>
      <c r="I4674" s="1399">
        <v>1500496.72</v>
      </c>
    </row>
    <row r="4675" spans="2:9">
      <c r="B4675" s="1297"/>
      <c r="C4675" s="1297"/>
      <c r="D4675" s="1297" t="s">
        <v>943</v>
      </c>
      <c r="E4675" s="1399">
        <v>64239.4</v>
      </c>
      <c r="I4675" s="1399">
        <v>64239.4</v>
      </c>
    </row>
    <row r="4676" spans="2:9">
      <c r="B4676" s="1297"/>
      <c r="C4676" s="1297"/>
      <c r="D4676" s="1297" t="s">
        <v>944</v>
      </c>
      <c r="E4676" s="1399">
        <v>8349820.5699999994</v>
      </c>
      <c r="I4676" s="1399">
        <v>8349820.5699999994</v>
      </c>
    </row>
    <row r="4677" spans="2:9">
      <c r="B4677" s="1297"/>
      <c r="C4677" s="1297"/>
      <c r="D4677" s="1297" t="s">
        <v>945</v>
      </c>
      <c r="E4677" s="1399">
        <v>5520830.0499999998</v>
      </c>
      <c r="I4677" s="1399">
        <v>5520830.0499999998</v>
      </c>
    </row>
    <row r="4678" spans="2:9">
      <c r="B4678" s="1297"/>
      <c r="C4678" s="1297"/>
      <c r="D4678" s="1297" t="s">
        <v>946</v>
      </c>
      <c r="E4678" s="1399">
        <v>1385998.06</v>
      </c>
      <c r="I4678" s="1399">
        <v>1385998.06</v>
      </c>
    </row>
    <row r="4679" spans="2:9">
      <c r="B4679" s="1297"/>
      <c r="C4679" s="1297"/>
      <c r="D4679" s="1297" t="s">
        <v>978</v>
      </c>
      <c r="E4679" s="1399">
        <v>10658.92</v>
      </c>
      <c r="I4679" s="1399">
        <v>10658.92</v>
      </c>
    </row>
    <row r="4680" spans="2:9">
      <c r="B4680" s="1297"/>
      <c r="C4680" s="1297"/>
      <c r="D4680" s="1297" t="s">
        <v>947</v>
      </c>
      <c r="E4680" s="1399">
        <v>429705.34</v>
      </c>
      <c r="I4680" s="1399">
        <v>429705.34</v>
      </c>
    </row>
    <row r="4681" spans="2:9">
      <c r="B4681" s="1297"/>
      <c r="C4681" s="1297"/>
      <c r="D4681" s="1297" t="s">
        <v>948</v>
      </c>
      <c r="G4681" s="1399">
        <v>2987587.9999999995</v>
      </c>
      <c r="I4681" s="1399">
        <v>2987587.9999999995</v>
      </c>
    </row>
    <row r="4682" spans="2:9">
      <c r="B4682" s="1297"/>
      <c r="C4682" s="1400" t="s">
        <v>1512</v>
      </c>
      <c r="D4682" s="1400"/>
      <c r="E4682" s="1401">
        <v>21711123.27</v>
      </c>
      <c r="F4682" s="1401">
        <v>84238412.61999999</v>
      </c>
      <c r="G4682" s="1401">
        <v>2987587.9999999995</v>
      </c>
      <c r="H4682" s="1401">
        <v>68762775.469999999</v>
      </c>
      <c r="I4682" s="1401">
        <v>177699899.36000001</v>
      </c>
    </row>
    <row r="4683" spans="2:9">
      <c r="B4683" s="1297" t="s">
        <v>1513</v>
      </c>
      <c r="C4683" s="1297" t="s">
        <v>1514</v>
      </c>
      <c r="D4683" s="1297" t="s">
        <v>906</v>
      </c>
      <c r="F4683" s="1399">
        <v>2073563.32</v>
      </c>
      <c r="I4683" s="1399">
        <v>2073563.32</v>
      </c>
    </row>
    <row r="4684" spans="2:9">
      <c r="B4684" s="1297"/>
      <c r="C4684" s="1297"/>
      <c r="D4684" s="1297" t="s">
        <v>952</v>
      </c>
      <c r="F4684" s="1399">
        <v>15363.73</v>
      </c>
      <c r="I4684" s="1399">
        <v>15363.73</v>
      </c>
    </row>
    <row r="4685" spans="2:9">
      <c r="B4685" s="1297"/>
      <c r="C4685" s="1297"/>
      <c r="D4685" s="1297" t="s">
        <v>907</v>
      </c>
      <c r="F4685" s="1399">
        <v>257748.6</v>
      </c>
      <c r="I4685" s="1399">
        <v>257748.6</v>
      </c>
    </row>
    <row r="4686" spans="2:9">
      <c r="B4686" s="1297"/>
      <c r="C4686" s="1297"/>
      <c r="D4686" s="1297" t="s">
        <v>908</v>
      </c>
      <c r="F4686" s="1399">
        <v>11462.41</v>
      </c>
      <c r="I4686" s="1399">
        <v>11462.41</v>
      </c>
    </row>
    <row r="4687" spans="2:9">
      <c r="B4687" s="1297"/>
      <c r="C4687" s="1297"/>
      <c r="D4687" s="1297" t="s">
        <v>909</v>
      </c>
      <c r="F4687" s="1399">
        <v>21174.03</v>
      </c>
      <c r="I4687" s="1399">
        <v>21174.03</v>
      </c>
    </row>
    <row r="4688" spans="2:9">
      <c r="B4688" s="1297"/>
      <c r="C4688" s="1297"/>
      <c r="D4688" s="1297" t="s">
        <v>910</v>
      </c>
      <c r="F4688" s="1399">
        <v>5851</v>
      </c>
      <c r="I4688" s="1399">
        <v>5851</v>
      </c>
    </row>
    <row r="4689" spans="2:9">
      <c r="B4689" s="1297"/>
      <c r="C4689" s="1297"/>
      <c r="D4689" s="1297" t="s">
        <v>1034</v>
      </c>
      <c r="F4689" s="1399">
        <v>20159</v>
      </c>
      <c r="I4689" s="1399">
        <v>20159</v>
      </c>
    </row>
    <row r="4690" spans="2:9">
      <c r="B4690" s="1297"/>
      <c r="C4690" s="1297"/>
      <c r="D4690" s="1297" t="s">
        <v>1035</v>
      </c>
      <c r="F4690" s="1399">
        <v>335745.08</v>
      </c>
      <c r="I4690" s="1399">
        <v>335745.08</v>
      </c>
    </row>
    <row r="4691" spans="2:9">
      <c r="B4691" s="1297"/>
      <c r="C4691" s="1297"/>
      <c r="D4691" s="1297" t="s">
        <v>1036</v>
      </c>
      <c r="F4691" s="1399">
        <v>61743.02</v>
      </c>
      <c r="I4691" s="1399">
        <v>61743.02</v>
      </c>
    </row>
    <row r="4692" spans="2:9">
      <c r="B4692" s="1297"/>
      <c r="C4692" s="1297"/>
      <c r="D4692" s="1297" t="s">
        <v>1037</v>
      </c>
      <c r="F4692" s="1399">
        <v>535290.79999999993</v>
      </c>
      <c r="I4692" s="1399">
        <v>535290.79999999993</v>
      </c>
    </row>
    <row r="4693" spans="2:9">
      <c r="B4693" s="1297"/>
      <c r="C4693" s="1297"/>
      <c r="D4693" s="1297" t="s">
        <v>1039</v>
      </c>
      <c r="F4693" s="1399">
        <v>5622.369999999999</v>
      </c>
      <c r="I4693" s="1399">
        <v>5622.369999999999</v>
      </c>
    </row>
    <row r="4694" spans="2:9">
      <c r="B4694" s="1297"/>
      <c r="C4694" s="1297"/>
      <c r="D4694" s="1297" t="s">
        <v>1040</v>
      </c>
      <c r="F4694" s="1399">
        <v>135425.54999999999</v>
      </c>
      <c r="I4694" s="1399">
        <v>135425.54999999999</v>
      </c>
    </row>
    <row r="4695" spans="2:9">
      <c r="B4695" s="1297"/>
      <c r="C4695" s="1297"/>
      <c r="D4695" s="1297" t="s">
        <v>1041</v>
      </c>
      <c r="F4695" s="1399">
        <v>58082.55</v>
      </c>
      <c r="I4695" s="1399">
        <v>58082.55</v>
      </c>
    </row>
    <row r="4696" spans="2:9">
      <c r="B4696" s="1297"/>
      <c r="C4696" s="1297"/>
      <c r="D4696" s="1297" t="s">
        <v>1042</v>
      </c>
      <c r="F4696" s="1399">
        <v>17484.5</v>
      </c>
      <c r="I4696" s="1399">
        <v>17484.5</v>
      </c>
    </row>
    <row r="4697" spans="2:9">
      <c r="B4697" s="1297"/>
      <c r="C4697" s="1297"/>
      <c r="D4697" s="1297" t="s">
        <v>953</v>
      </c>
      <c r="F4697" s="1399">
        <v>1555</v>
      </c>
      <c r="I4697" s="1399">
        <v>1555</v>
      </c>
    </row>
    <row r="4698" spans="2:9">
      <c r="B4698" s="1297"/>
      <c r="C4698" s="1297"/>
      <c r="D4698" s="1297" t="s">
        <v>1045</v>
      </c>
      <c r="F4698" s="1399">
        <v>19085.829999999998</v>
      </c>
      <c r="I4698" s="1399">
        <v>19085.829999999998</v>
      </c>
    </row>
    <row r="4699" spans="2:9">
      <c r="B4699" s="1297"/>
      <c r="C4699" s="1297"/>
      <c r="D4699" s="1297" t="s">
        <v>1046</v>
      </c>
      <c r="H4699" s="1399">
        <v>6414892</v>
      </c>
      <c r="I4699" s="1399">
        <v>6414892</v>
      </c>
    </row>
    <row r="4700" spans="2:9">
      <c r="B4700" s="1297"/>
      <c r="C4700" s="1297"/>
      <c r="D4700" s="1297" t="s">
        <v>1047</v>
      </c>
      <c r="H4700" s="1399">
        <v>281173</v>
      </c>
      <c r="I4700" s="1399">
        <v>281173</v>
      </c>
    </row>
    <row r="4701" spans="2:9">
      <c r="B4701" s="1297"/>
      <c r="C4701" s="1297"/>
      <c r="D4701" s="1297" t="s">
        <v>1048</v>
      </c>
      <c r="H4701" s="1399">
        <v>-574189</v>
      </c>
      <c r="I4701" s="1399">
        <v>-574189</v>
      </c>
    </row>
    <row r="4702" spans="2:9">
      <c r="B4702" s="1297"/>
      <c r="C4702" s="1297"/>
      <c r="D4702" s="1297" t="s">
        <v>932</v>
      </c>
      <c r="H4702" s="1399">
        <v>465006</v>
      </c>
      <c r="I4702" s="1399">
        <v>465006</v>
      </c>
    </row>
    <row r="4703" spans="2:9">
      <c r="B4703" s="1297"/>
      <c r="C4703" s="1297"/>
      <c r="D4703" s="1297" t="s">
        <v>933</v>
      </c>
      <c r="H4703" s="1399">
        <v>427052</v>
      </c>
      <c r="I4703" s="1399">
        <v>427052</v>
      </c>
    </row>
    <row r="4704" spans="2:9">
      <c r="B4704" s="1297"/>
      <c r="C4704" s="1297"/>
      <c r="D4704" s="1297" t="s">
        <v>934</v>
      </c>
      <c r="H4704" s="1399">
        <v>22172</v>
      </c>
      <c r="I4704" s="1399">
        <v>22172</v>
      </c>
    </row>
    <row r="4705" spans="2:9">
      <c r="B4705" s="1297"/>
      <c r="C4705" s="1297"/>
      <c r="D4705" s="1297" t="s">
        <v>935</v>
      </c>
      <c r="H4705" s="1399">
        <v>27905.16</v>
      </c>
      <c r="I4705" s="1399">
        <v>27905.16</v>
      </c>
    </row>
    <row r="4706" spans="2:9">
      <c r="B4706" s="1297"/>
      <c r="C4706" s="1297"/>
      <c r="D4706" s="1297" t="s">
        <v>936</v>
      </c>
      <c r="H4706" s="1399">
        <v>17157.38</v>
      </c>
      <c r="I4706" s="1399">
        <v>17157.38</v>
      </c>
    </row>
    <row r="4707" spans="2:9">
      <c r="B4707" s="1297"/>
      <c r="C4707" s="1297"/>
      <c r="D4707" s="1297" t="s">
        <v>938</v>
      </c>
      <c r="H4707" s="1399">
        <v>4866</v>
      </c>
      <c r="I4707" s="1399">
        <v>4866</v>
      </c>
    </row>
    <row r="4708" spans="2:9">
      <c r="B4708" s="1297"/>
      <c r="C4708" s="1297"/>
      <c r="D4708" s="1297" t="s">
        <v>939</v>
      </c>
      <c r="H4708" s="1399">
        <v>4007.1099999999997</v>
      </c>
      <c r="I4708" s="1399">
        <v>4007.1099999999997</v>
      </c>
    </row>
    <row r="4709" spans="2:9">
      <c r="B4709" s="1297"/>
      <c r="C4709" s="1297"/>
      <c r="D4709" s="1297" t="s">
        <v>940</v>
      </c>
      <c r="E4709" s="1399">
        <v>320493.80000000005</v>
      </c>
      <c r="I4709" s="1399">
        <v>320493.80000000005</v>
      </c>
    </row>
    <row r="4710" spans="2:9">
      <c r="B4710" s="1297"/>
      <c r="C4710" s="1297"/>
      <c r="D4710" s="1297" t="s">
        <v>941</v>
      </c>
      <c r="E4710" s="1399">
        <v>122588.4</v>
      </c>
      <c r="I4710" s="1399">
        <v>122588.4</v>
      </c>
    </row>
    <row r="4711" spans="2:9">
      <c r="B4711" s="1297"/>
      <c r="C4711" s="1297"/>
      <c r="D4711" s="1297" t="s">
        <v>943</v>
      </c>
      <c r="E4711" s="1399">
        <v>251.99</v>
      </c>
      <c r="I4711" s="1399">
        <v>251.99</v>
      </c>
    </row>
    <row r="4712" spans="2:9">
      <c r="B4712" s="1297"/>
      <c r="C4712" s="1297"/>
      <c r="D4712" s="1297" t="s">
        <v>944</v>
      </c>
      <c r="E4712" s="1399">
        <v>559301.81000000006</v>
      </c>
      <c r="I4712" s="1399">
        <v>559301.81000000006</v>
      </c>
    </row>
    <row r="4713" spans="2:9">
      <c r="B4713" s="1297"/>
      <c r="C4713" s="1297"/>
      <c r="D4713" s="1297" t="s">
        <v>945</v>
      </c>
      <c r="E4713" s="1399">
        <v>622681.46</v>
      </c>
      <c r="I4713" s="1399">
        <v>622681.46</v>
      </c>
    </row>
    <row r="4714" spans="2:9">
      <c r="B4714" s="1297"/>
      <c r="C4714" s="1297"/>
      <c r="D4714" s="1297" t="s">
        <v>947</v>
      </c>
      <c r="E4714" s="1399">
        <v>52186.45</v>
      </c>
      <c r="I4714" s="1399">
        <v>52186.45</v>
      </c>
    </row>
    <row r="4715" spans="2:9">
      <c r="B4715" s="1297"/>
      <c r="C4715" s="1297"/>
      <c r="D4715" s="1297" t="s">
        <v>948</v>
      </c>
      <c r="G4715" s="1399">
        <v>180086</v>
      </c>
      <c r="I4715" s="1399">
        <v>180086</v>
      </c>
    </row>
    <row r="4716" spans="2:9">
      <c r="B4716" s="1297"/>
      <c r="C4716" s="1297"/>
      <c r="D4716" s="1297" t="s">
        <v>1118</v>
      </c>
      <c r="G4716" s="1399">
        <v>26466.75</v>
      </c>
      <c r="I4716" s="1399">
        <v>26466.75</v>
      </c>
    </row>
    <row r="4717" spans="2:9">
      <c r="B4717" s="1297"/>
      <c r="C4717" s="1400" t="s">
        <v>1515</v>
      </c>
      <c r="D4717" s="1400"/>
      <c r="E4717" s="1401">
        <v>1677503.91</v>
      </c>
      <c r="F4717" s="1401">
        <v>3575356.7899999996</v>
      </c>
      <c r="G4717" s="1401">
        <v>206552.75</v>
      </c>
      <c r="H4717" s="1401">
        <v>7090041.6500000004</v>
      </c>
      <c r="I4717" s="1401">
        <v>12549455.100000001</v>
      </c>
    </row>
    <row r="4718" spans="2:9">
      <c r="B4718" s="1297" t="s">
        <v>1516</v>
      </c>
      <c r="C4718" s="1297" t="s">
        <v>1324</v>
      </c>
      <c r="D4718" s="1297" t="s">
        <v>906</v>
      </c>
      <c r="F4718" s="1399">
        <v>5047032.55</v>
      </c>
      <c r="I4718" s="1399">
        <v>5047032.55</v>
      </c>
    </row>
    <row r="4719" spans="2:9">
      <c r="B4719" s="1297"/>
      <c r="C4719" s="1297"/>
      <c r="D4719" s="1297" t="s">
        <v>952</v>
      </c>
      <c r="F4719" s="1399">
        <v>22158.17</v>
      </c>
      <c r="I4719" s="1399">
        <v>22158.17</v>
      </c>
    </row>
    <row r="4720" spans="2:9">
      <c r="B4720" s="1297"/>
      <c r="C4720" s="1297"/>
      <c r="D4720" s="1297" t="s">
        <v>907</v>
      </c>
      <c r="F4720" s="1399">
        <v>1436585.18</v>
      </c>
      <c r="I4720" s="1399">
        <v>1436585.18</v>
      </c>
    </row>
    <row r="4721" spans="2:9">
      <c r="B4721" s="1297"/>
      <c r="C4721" s="1297"/>
      <c r="D4721" s="1297" t="s">
        <v>908</v>
      </c>
      <c r="F4721" s="1399">
        <v>26320.46</v>
      </c>
      <c r="I4721" s="1399">
        <v>26320.46</v>
      </c>
    </row>
    <row r="4722" spans="2:9">
      <c r="B4722" s="1297"/>
      <c r="C4722" s="1297"/>
      <c r="D4722" s="1297" t="s">
        <v>1122</v>
      </c>
      <c r="F4722" s="1399">
        <v>-3275</v>
      </c>
      <c r="I4722" s="1399">
        <v>-3275</v>
      </c>
    </row>
    <row r="4723" spans="2:9">
      <c r="B4723" s="1297"/>
      <c r="C4723" s="1297"/>
      <c r="D4723" s="1297" t="s">
        <v>909</v>
      </c>
      <c r="F4723" s="1399">
        <v>17262.239999999998</v>
      </c>
      <c r="I4723" s="1399">
        <v>17262.239999999998</v>
      </c>
    </row>
    <row r="4724" spans="2:9">
      <c r="B4724" s="1297"/>
      <c r="C4724" s="1297"/>
      <c r="D4724" s="1297" t="s">
        <v>910</v>
      </c>
      <c r="F4724" s="1399">
        <v>63719.77</v>
      </c>
      <c r="I4724" s="1399">
        <v>63719.77</v>
      </c>
    </row>
    <row r="4725" spans="2:9">
      <c r="B4725" s="1297"/>
      <c r="C4725" s="1297"/>
      <c r="D4725" s="1297" t="s">
        <v>1034</v>
      </c>
      <c r="F4725" s="1399">
        <v>88054.07</v>
      </c>
      <c r="I4725" s="1399">
        <v>88054.07</v>
      </c>
    </row>
    <row r="4726" spans="2:9">
      <c r="B4726" s="1297"/>
      <c r="C4726" s="1297"/>
      <c r="D4726" s="1297" t="s">
        <v>1035</v>
      </c>
      <c r="F4726" s="1399">
        <v>188395.06</v>
      </c>
      <c r="I4726" s="1399">
        <v>188395.06</v>
      </c>
    </row>
    <row r="4727" spans="2:9">
      <c r="B4727" s="1297"/>
      <c r="C4727" s="1297"/>
      <c r="D4727" s="1297" t="s">
        <v>1036</v>
      </c>
      <c r="F4727" s="1399">
        <v>61353.16</v>
      </c>
      <c r="I4727" s="1399">
        <v>61353.16</v>
      </c>
    </row>
    <row r="4728" spans="2:9">
      <c r="B4728" s="1297"/>
      <c r="C4728" s="1297"/>
      <c r="D4728" s="1297" t="s">
        <v>1003</v>
      </c>
      <c r="F4728" s="1399">
        <v>21929.75</v>
      </c>
      <c r="I4728" s="1399">
        <v>21929.75</v>
      </c>
    </row>
    <row r="4729" spans="2:9">
      <c r="B4729" s="1297"/>
      <c r="C4729" s="1297"/>
      <c r="D4729" s="1297" t="s">
        <v>1039</v>
      </c>
      <c r="F4729" s="1399">
        <v>31053.600000000002</v>
      </c>
      <c r="I4729" s="1399">
        <v>31053.600000000002</v>
      </c>
    </row>
    <row r="4730" spans="2:9">
      <c r="B4730" s="1297"/>
      <c r="C4730" s="1297"/>
      <c r="D4730" s="1297" t="s">
        <v>1041</v>
      </c>
      <c r="F4730" s="1399">
        <v>205.25</v>
      </c>
      <c r="I4730" s="1399">
        <v>205.25</v>
      </c>
    </row>
    <row r="4731" spans="2:9">
      <c r="B4731" s="1297"/>
      <c r="C4731" s="1297"/>
      <c r="D4731" s="1297" t="s">
        <v>1042</v>
      </c>
      <c r="F4731" s="1399">
        <v>33951.199999999997</v>
      </c>
      <c r="I4731" s="1399">
        <v>33951.199999999997</v>
      </c>
    </row>
    <row r="4732" spans="2:9">
      <c r="B4732" s="1297"/>
      <c r="C4732" s="1297"/>
      <c r="D4732" s="1297" t="s">
        <v>985</v>
      </c>
      <c r="F4732" s="1399">
        <v>30818</v>
      </c>
      <c r="I4732" s="1399">
        <v>30818</v>
      </c>
    </row>
    <row r="4733" spans="2:9">
      <c r="B4733" s="1297"/>
      <c r="C4733" s="1297"/>
      <c r="D4733" s="1297" t="s">
        <v>1045</v>
      </c>
      <c r="F4733" s="1399">
        <v>605699.55000000005</v>
      </c>
      <c r="I4733" s="1399">
        <v>605699.55000000005</v>
      </c>
    </row>
    <row r="4734" spans="2:9">
      <c r="B4734" s="1297"/>
      <c r="C4734" s="1297"/>
      <c r="D4734" s="1297" t="s">
        <v>1046</v>
      </c>
      <c r="H4734" s="1399">
        <v>14142214</v>
      </c>
      <c r="I4734" s="1399">
        <v>14142214</v>
      </c>
    </row>
    <row r="4735" spans="2:9">
      <c r="B4735" s="1297"/>
      <c r="C4735" s="1297"/>
      <c r="D4735" s="1297" t="s">
        <v>1129</v>
      </c>
      <c r="H4735" s="1399">
        <v>-1908604</v>
      </c>
      <c r="I4735" s="1399">
        <v>-1908604</v>
      </c>
    </row>
    <row r="4736" spans="2:9">
      <c r="B4736" s="1297"/>
      <c r="C4736" s="1297"/>
      <c r="D4736" s="1297" t="s">
        <v>1047</v>
      </c>
      <c r="H4736" s="1399">
        <v>653389</v>
      </c>
      <c r="I4736" s="1399">
        <v>653389</v>
      </c>
    </row>
    <row r="4737" spans="2:9">
      <c r="B4737" s="1297"/>
      <c r="C4737" s="1297"/>
      <c r="D4737" s="1297" t="s">
        <v>1048</v>
      </c>
      <c r="H4737" s="1399">
        <v>-1715358</v>
      </c>
      <c r="I4737" s="1399">
        <v>-1715358</v>
      </c>
    </row>
    <row r="4738" spans="2:9">
      <c r="B4738" s="1297"/>
      <c r="C4738" s="1297"/>
      <c r="D4738" s="1297" t="s">
        <v>932</v>
      </c>
      <c r="H4738" s="1399">
        <v>1107023</v>
      </c>
      <c r="I4738" s="1399">
        <v>1107023</v>
      </c>
    </row>
    <row r="4739" spans="2:9">
      <c r="B4739" s="1297"/>
      <c r="C4739" s="1297"/>
      <c r="D4739" s="1297" t="s">
        <v>955</v>
      </c>
      <c r="H4739" s="1399">
        <v>472715.86</v>
      </c>
      <c r="I4739" s="1399">
        <v>472715.86</v>
      </c>
    </row>
    <row r="4740" spans="2:9">
      <c r="B4740" s="1297"/>
      <c r="C4740" s="1297"/>
      <c r="D4740" s="1297" t="s">
        <v>934</v>
      </c>
      <c r="H4740" s="1399">
        <v>42788</v>
      </c>
      <c r="I4740" s="1399">
        <v>42788</v>
      </c>
    </row>
    <row r="4741" spans="2:9">
      <c r="B4741" s="1297"/>
      <c r="C4741" s="1297"/>
      <c r="D4741" s="1297" t="s">
        <v>935</v>
      </c>
      <c r="H4741" s="1399">
        <v>372815.98</v>
      </c>
      <c r="I4741" s="1399">
        <v>372815.98</v>
      </c>
    </row>
    <row r="4742" spans="2:9">
      <c r="B4742" s="1297"/>
      <c r="C4742" s="1297"/>
      <c r="D4742" s="1297" t="s">
        <v>936</v>
      </c>
      <c r="H4742" s="1399">
        <v>37115.96</v>
      </c>
      <c r="I4742" s="1399">
        <v>37115.96</v>
      </c>
    </row>
    <row r="4743" spans="2:9">
      <c r="B4743" s="1297"/>
      <c r="C4743" s="1297"/>
      <c r="D4743" s="1297" t="s">
        <v>938</v>
      </c>
      <c r="H4743" s="1399">
        <v>14973.01</v>
      </c>
      <c r="I4743" s="1399">
        <v>14973.01</v>
      </c>
    </row>
    <row r="4744" spans="2:9">
      <c r="B4744" s="1297"/>
      <c r="C4744" s="1297"/>
      <c r="D4744" s="1297" t="s">
        <v>939</v>
      </c>
      <c r="H4744" s="1399">
        <v>49238.93</v>
      </c>
      <c r="I4744" s="1399">
        <v>49238.93</v>
      </c>
    </row>
    <row r="4745" spans="2:9">
      <c r="B4745" s="1297"/>
      <c r="C4745" s="1297"/>
      <c r="D4745" s="1297" t="s">
        <v>940</v>
      </c>
      <c r="E4745" s="1399">
        <v>772991.62</v>
      </c>
      <c r="I4745" s="1399">
        <v>772991.62</v>
      </c>
    </row>
    <row r="4746" spans="2:9">
      <c r="B4746" s="1297"/>
      <c r="C4746" s="1297"/>
      <c r="D4746" s="1297" t="s">
        <v>941</v>
      </c>
      <c r="E4746" s="1399">
        <v>502036.83999999997</v>
      </c>
      <c r="I4746" s="1399">
        <v>502036.83999999997</v>
      </c>
    </row>
    <row r="4747" spans="2:9">
      <c r="B4747" s="1297"/>
      <c r="C4747" s="1297"/>
      <c r="D4747" s="1297" t="s">
        <v>944</v>
      </c>
      <c r="E4747" s="1399">
        <v>2103989.1799999997</v>
      </c>
      <c r="I4747" s="1399">
        <v>2103989.1799999997</v>
      </c>
    </row>
    <row r="4748" spans="2:9">
      <c r="B4748" s="1297"/>
      <c r="C4748" s="1297"/>
      <c r="D4748" s="1297" t="s">
        <v>945</v>
      </c>
      <c r="E4748" s="1399">
        <v>1098071.4099999999</v>
      </c>
      <c r="I4748" s="1399">
        <v>1098071.4099999999</v>
      </c>
    </row>
    <row r="4749" spans="2:9">
      <c r="B4749" s="1297"/>
      <c r="C4749" s="1297"/>
      <c r="D4749" s="1297" t="s">
        <v>947</v>
      </c>
      <c r="E4749" s="1399">
        <v>98150.05</v>
      </c>
      <c r="I4749" s="1399">
        <v>98150.05</v>
      </c>
    </row>
    <row r="4750" spans="2:9">
      <c r="B4750" s="1297"/>
      <c r="C4750" s="1297"/>
      <c r="D4750" s="1297" t="s">
        <v>948</v>
      </c>
      <c r="G4750" s="1399">
        <v>326260</v>
      </c>
      <c r="I4750" s="1399">
        <v>326260</v>
      </c>
    </row>
    <row r="4751" spans="2:9">
      <c r="B4751" s="1297"/>
      <c r="C4751" s="1297"/>
      <c r="D4751" s="1297" t="s">
        <v>1118</v>
      </c>
      <c r="G4751" s="1399">
        <v>4493.74</v>
      </c>
      <c r="I4751" s="1399">
        <v>4493.74</v>
      </c>
    </row>
    <row r="4752" spans="2:9">
      <c r="B4752" s="1297"/>
      <c r="C4752" s="1400" t="s">
        <v>1325</v>
      </c>
      <c r="D4752" s="1400"/>
      <c r="E4752" s="1401">
        <v>4575239.0999999996</v>
      </c>
      <c r="F4752" s="1401">
        <v>7671263.0099999988</v>
      </c>
      <c r="G4752" s="1401">
        <v>330753.74</v>
      </c>
      <c r="H4752" s="1401">
        <v>13268311.74</v>
      </c>
      <c r="I4752" s="1401">
        <v>25845567.59</v>
      </c>
    </row>
    <row r="4753" spans="2:9">
      <c r="B4753" s="1297" t="s">
        <v>1326</v>
      </c>
      <c r="C4753" s="1297" t="s">
        <v>1327</v>
      </c>
      <c r="D4753" s="1297" t="s">
        <v>906</v>
      </c>
      <c r="F4753" s="1399">
        <v>3916094.25</v>
      </c>
      <c r="I4753" s="1399">
        <v>3916094.25</v>
      </c>
    </row>
    <row r="4754" spans="2:9">
      <c r="B4754" s="1297"/>
      <c r="C4754" s="1297"/>
      <c r="D4754" s="1297" t="s">
        <v>952</v>
      </c>
      <c r="F4754" s="1399">
        <v>20569.599999999999</v>
      </c>
      <c r="I4754" s="1399">
        <v>20569.599999999999</v>
      </c>
    </row>
    <row r="4755" spans="2:9">
      <c r="B4755" s="1297"/>
      <c r="C4755" s="1297"/>
      <c r="D4755" s="1297" t="s">
        <v>907</v>
      </c>
      <c r="F4755" s="1399">
        <v>1199668.6100000001</v>
      </c>
      <c r="I4755" s="1399">
        <v>1199668.6100000001</v>
      </c>
    </row>
    <row r="4756" spans="2:9">
      <c r="B4756" s="1297"/>
      <c r="C4756" s="1297"/>
      <c r="D4756" s="1297" t="s">
        <v>908</v>
      </c>
      <c r="F4756" s="1399">
        <v>206294.72</v>
      </c>
      <c r="I4756" s="1399">
        <v>206294.72</v>
      </c>
    </row>
    <row r="4757" spans="2:9">
      <c r="B4757" s="1297"/>
      <c r="C4757" s="1297"/>
      <c r="D4757" s="1297" t="s">
        <v>1034</v>
      </c>
      <c r="F4757" s="1399">
        <v>14063.43</v>
      </c>
      <c r="I4757" s="1399">
        <v>14063.43</v>
      </c>
    </row>
    <row r="4758" spans="2:9">
      <c r="B4758" s="1297"/>
      <c r="C4758" s="1297"/>
      <c r="D4758" s="1297" t="s">
        <v>1038</v>
      </c>
      <c r="F4758" s="1399">
        <v>24000</v>
      </c>
      <c r="I4758" s="1399">
        <v>24000</v>
      </c>
    </row>
    <row r="4759" spans="2:9">
      <c r="B4759" s="1297"/>
      <c r="C4759" s="1297"/>
      <c r="D4759" s="1297" t="s">
        <v>1003</v>
      </c>
      <c r="F4759" s="1399">
        <v>1401.26</v>
      </c>
      <c r="I4759" s="1399">
        <v>1401.26</v>
      </c>
    </row>
    <row r="4760" spans="2:9">
      <c r="B4760" s="1297"/>
      <c r="C4760" s="1297"/>
      <c r="D4760" s="1297" t="s">
        <v>1039</v>
      </c>
      <c r="F4760" s="1399">
        <v>62178.69</v>
      </c>
      <c r="I4760" s="1399">
        <v>62178.69</v>
      </c>
    </row>
    <row r="4761" spans="2:9">
      <c r="B4761" s="1297"/>
      <c r="C4761" s="1297"/>
      <c r="D4761" s="1297" t="s">
        <v>1040</v>
      </c>
      <c r="F4761" s="1399">
        <v>73415.58</v>
      </c>
      <c r="I4761" s="1399">
        <v>73415.58</v>
      </c>
    </row>
    <row r="4762" spans="2:9">
      <c r="B4762" s="1297"/>
      <c r="C4762" s="1297"/>
      <c r="D4762" s="1297" t="s">
        <v>1041</v>
      </c>
      <c r="F4762" s="1399">
        <v>4965.26</v>
      </c>
      <c r="I4762" s="1399">
        <v>4965.26</v>
      </c>
    </row>
    <row r="4763" spans="2:9">
      <c r="B4763" s="1297"/>
      <c r="C4763" s="1297"/>
      <c r="D4763" s="1297" t="s">
        <v>1042</v>
      </c>
      <c r="F4763" s="1399">
        <v>31330.82</v>
      </c>
      <c r="I4763" s="1399">
        <v>31330.82</v>
      </c>
    </row>
    <row r="4764" spans="2:9">
      <c r="B4764" s="1297"/>
      <c r="C4764" s="1297"/>
      <c r="D4764" s="1297" t="s">
        <v>954</v>
      </c>
      <c r="F4764" s="1399">
        <v>489619.54</v>
      </c>
      <c r="I4764" s="1399">
        <v>489619.54</v>
      </c>
    </row>
    <row r="4765" spans="2:9">
      <c r="B4765" s="1297"/>
      <c r="C4765" s="1297"/>
      <c r="D4765" s="1297" t="s">
        <v>986</v>
      </c>
      <c r="F4765" s="1399">
        <v>9143.48</v>
      </c>
      <c r="I4765" s="1399">
        <v>9143.48</v>
      </c>
    </row>
    <row r="4766" spans="2:9">
      <c r="B4766" s="1297"/>
      <c r="C4766" s="1297"/>
      <c r="D4766" s="1297" t="s">
        <v>1044</v>
      </c>
      <c r="F4766" s="1399">
        <v>17235</v>
      </c>
      <c r="I4766" s="1399">
        <v>17235</v>
      </c>
    </row>
    <row r="4767" spans="2:9">
      <c r="B4767" s="1297"/>
      <c r="C4767" s="1297"/>
      <c r="D4767" s="1297" t="s">
        <v>1045</v>
      </c>
      <c r="F4767" s="1399">
        <v>45573.9</v>
      </c>
      <c r="I4767" s="1399">
        <v>45573.9</v>
      </c>
    </row>
    <row r="4768" spans="2:9">
      <c r="B4768" s="1297"/>
      <c r="C4768" s="1297"/>
      <c r="D4768" s="1297" t="s">
        <v>1046</v>
      </c>
      <c r="H4768" s="1399">
        <v>8310985</v>
      </c>
      <c r="I4768" s="1399">
        <v>8310985</v>
      </c>
    </row>
    <row r="4769" spans="2:9">
      <c r="B4769" s="1297"/>
      <c r="C4769" s="1297"/>
      <c r="D4769" s="1297" t="s">
        <v>1128</v>
      </c>
      <c r="H4769" s="1399">
        <v>654642</v>
      </c>
      <c r="I4769" s="1399">
        <v>654642</v>
      </c>
    </row>
    <row r="4770" spans="2:9">
      <c r="B4770" s="1297"/>
      <c r="C4770" s="1297"/>
      <c r="D4770" s="1297" t="s">
        <v>1129</v>
      </c>
      <c r="H4770" s="1399">
        <v>-1167734</v>
      </c>
      <c r="I4770" s="1399">
        <v>-1167734</v>
      </c>
    </row>
    <row r="4771" spans="2:9">
      <c r="B4771" s="1297"/>
      <c r="C4771" s="1297"/>
      <c r="D4771" s="1297" t="s">
        <v>1047</v>
      </c>
      <c r="H4771" s="1399">
        <v>351993</v>
      </c>
      <c r="I4771" s="1399">
        <v>351993</v>
      </c>
    </row>
    <row r="4772" spans="2:9">
      <c r="B4772" s="1297"/>
      <c r="C4772" s="1297"/>
      <c r="D4772" s="1297" t="s">
        <v>1048</v>
      </c>
      <c r="H4772" s="1399">
        <v>-1140262</v>
      </c>
      <c r="I4772" s="1399">
        <v>-1140262</v>
      </c>
    </row>
    <row r="4773" spans="2:9">
      <c r="B4773" s="1297"/>
      <c r="C4773" s="1297"/>
      <c r="D4773" s="1297" t="s">
        <v>932</v>
      </c>
      <c r="H4773" s="1399">
        <v>464091</v>
      </c>
      <c r="I4773" s="1399">
        <v>464091</v>
      </c>
    </row>
    <row r="4774" spans="2:9">
      <c r="B4774" s="1297"/>
      <c r="C4774" s="1297"/>
      <c r="D4774" s="1297" t="s">
        <v>955</v>
      </c>
      <c r="H4774" s="1399">
        <v>313095.26</v>
      </c>
      <c r="I4774" s="1399">
        <v>313095.26</v>
      </c>
    </row>
    <row r="4775" spans="2:9">
      <c r="B4775" s="1297"/>
      <c r="C4775" s="1297"/>
      <c r="D4775" s="1297" t="s">
        <v>934</v>
      </c>
      <c r="H4775" s="1399">
        <v>29396</v>
      </c>
      <c r="I4775" s="1399">
        <v>29396</v>
      </c>
    </row>
    <row r="4776" spans="2:9">
      <c r="B4776" s="1297"/>
      <c r="C4776" s="1297"/>
      <c r="D4776" s="1297" t="s">
        <v>935</v>
      </c>
      <c r="H4776" s="1399">
        <v>289066.95</v>
      </c>
      <c r="I4776" s="1399">
        <v>289066.95</v>
      </c>
    </row>
    <row r="4777" spans="2:9">
      <c r="B4777" s="1297"/>
      <c r="C4777" s="1297"/>
      <c r="D4777" s="1297" t="s">
        <v>936</v>
      </c>
      <c r="H4777" s="1399">
        <v>30813.25</v>
      </c>
      <c r="I4777" s="1399">
        <v>30813.25</v>
      </c>
    </row>
    <row r="4778" spans="2:9">
      <c r="B4778" s="1297"/>
      <c r="C4778" s="1297"/>
      <c r="D4778" s="1297" t="s">
        <v>937</v>
      </c>
      <c r="H4778" s="1399">
        <v>13358.89</v>
      </c>
      <c r="I4778" s="1399">
        <v>13358.89</v>
      </c>
    </row>
    <row r="4779" spans="2:9">
      <c r="B4779" s="1297"/>
      <c r="C4779" s="1297"/>
      <c r="D4779" s="1297" t="s">
        <v>938</v>
      </c>
      <c r="H4779" s="1399">
        <v>8984</v>
      </c>
      <c r="I4779" s="1399">
        <v>8984</v>
      </c>
    </row>
    <row r="4780" spans="2:9">
      <c r="B4780" s="1297"/>
      <c r="C4780" s="1297"/>
      <c r="D4780" s="1297" t="s">
        <v>940</v>
      </c>
      <c r="E4780" s="1399">
        <v>557928.34</v>
      </c>
      <c r="I4780" s="1399">
        <v>557928.34</v>
      </c>
    </row>
    <row r="4781" spans="2:9">
      <c r="B4781" s="1297"/>
      <c r="C4781" s="1297"/>
      <c r="D4781" s="1297" t="s">
        <v>941</v>
      </c>
      <c r="E4781" s="1399">
        <v>248590.4</v>
      </c>
      <c r="I4781" s="1399">
        <v>248590.4</v>
      </c>
    </row>
    <row r="4782" spans="2:9">
      <c r="B4782" s="1297"/>
      <c r="C4782" s="1297"/>
      <c r="D4782" s="1297" t="s">
        <v>943</v>
      </c>
      <c r="E4782" s="1399">
        <v>2678.8</v>
      </c>
      <c r="I4782" s="1399">
        <v>2678.8</v>
      </c>
    </row>
    <row r="4783" spans="2:9">
      <c r="B4783" s="1297"/>
      <c r="C4783" s="1297"/>
      <c r="D4783" s="1297" t="s">
        <v>944</v>
      </c>
      <c r="E4783" s="1399">
        <v>1635041.7200000002</v>
      </c>
      <c r="I4783" s="1399">
        <v>1635041.7200000002</v>
      </c>
    </row>
    <row r="4784" spans="2:9">
      <c r="B4784" s="1297"/>
      <c r="C4784" s="1297"/>
      <c r="D4784" s="1297" t="s">
        <v>945</v>
      </c>
      <c r="E4784" s="1399">
        <v>770644.53</v>
      </c>
      <c r="I4784" s="1399">
        <v>770644.53</v>
      </c>
    </row>
    <row r="4785" spans="2:9">
      <c r="B4785" s="1297"/>
      <c r="C4785" s="1297"/>
      <c r="D4785" s="1297" t="s">
        <v>947</v>
      </c>
      <c r="E4785" s="1399">
        <v>39946.49</v>
      </c>
      <c r="I4785" s="1399">
        <v>39946.49</v>
      </c>
    </row>
    <row r="4786" spans="2:9">
      <c r="B4786" s="1297"/>
      <c r="C4786" s="1297"/>
      <c r="D4786" s="1297" t="s">
        <v>948</v>
      </c>
      <c r="G4786" s="1399">
        <v>15973.89</v>
      </c>
      <c r="I4786" s="1399">
        <v>15973.89</v>
      </c>
    </row>
    <row r="4787" spans="2:9">
      <c r="B4787" s="1297"/>
      <c r="C4787" s="1297"/>
      <c r="D4787" s="1297" t="s">
        <v>1051</v>
      </c>
      <c r="G4787" s="1399">
        <v>95980.430000000008</v>
      </c>
      <c r="I4787" s="1399">
        <v>95980.430000000008</v>
      </c>
    </row>
    <row r="4788" spans="2:9">
      <c r="B4788" s="1297"/>
      <c r="C4788" s="1400" t="s">
        <v>1328</v>
      </c>
      <c r="D4788" s="1400"/>
      <c r="E4788" s="1401">
        <v>3254830.2800000003</v>
      </c>
      <c r="F4788" s="1401">
        <v>6115554.1400000006</v>
      </c>
      <c r="G4788" s="1401">
        <v>111954.32</v>
      </c>
      <c r="H4788" s="1401">
        <v>8158429.3499999996</v>
      </c>
      <c r="I4788" s="1401">
        <v>17640768.09</v>
      </c>
    </row>
    <row r="4789" spans="2:9">
      <c r="B4789" s="1297" t="s">
        <v>1329</v>
      </c>
      <c r="C4789" s="1297" t="s">
        <v>1330</v>
      </c>
      <c r="D4789" s="1297" t="s">
        <v>906</v>
      </c>
      <c r="F4789" s="1399">
        <v>25737356.59</v>
      </c>
      <c r="I4789" s="1399">
        <v>25737356.59</v>
      </c>
    </row>
    <row r="4790" spans="2:9">
      <c r="B4790" s="1297"/>
      <c r="C4790" s="1297"/>
      <c r="D4790" s="1297" t="s">
        <v>907</v>
      </c>
      <c r="F4790" s="1399">
        <v>8243365.5699999994</v>
      </c>
      <c r="I4790" s="1399">
        <v>8243365.5699999994</v>
      </c>
    </row>
    <row r="4791" spans="2:9">
      <c r="B4791" s="1297"/>
      <c r="C4791" s="1297"/>
      <c r="D4791" s="1297" t="s">
        <v>908</v>
      </c>
      <c r="F4791" s="1399">
        <v>251239.07</v>
      </c>
      <c r="I4791" s="1399">
        <v>251239.07</v>
      </c>
    </row>
    <row r="4792" spans="2:9">
      <c r="B4792" s="1297"/>
      <c r="C4792" s="1297"/>
      <c r="D4792" s="1297" t="s">
        <v>1036</v>
      </c>
      <c r="F4792" s="1399">
        <v>219455.46</v>
      </c>
      <c r="I4792" s="1399">
        <v>219455.46</v>
      </c>
    </row>
    <row r="4793" spans="2:9">
      <c r="B4793" s="1297"/>
      <c r="C4793" s="1297"/>
      <c r="D4793" s="1297" t="s">
        <v>1037</v>
      </c>
      <c r="F4793" s="1399">
        <v>377149</v>
      </c>
      <c r="I4793" s="1399">
        <v>377149</v>
      </c>
    </row>
    <row r="4794" spans="2:9">
      <c r="B4794" s="1297"/>
      <c r="C4794" s="1297"/>
      <c r="D4794" s="1297" t="s">
        <v>1105</v>
      </c>
      <c r="F4794" s="1399">
        <v>32000</v>
      </c>
      <c r="I4794" s="1399">
        <v>32000</v>
      </c>
    </row>
    <row r="4795" spans="2:9">
      <c r="B4795" s="1297"/>
      <c r="C4795" s="1297"/>
      <c r="D4795" s="1297" t="s">
        <v>1039</v>
      </c>
      <c r="F4795" s="1399">
        <v>72348.63</v>
      </c>
      <c r="I4795" s="1399">
        <v>72348.63</v>
      </c>
    </row>
    <row r="4796" spans="2:9">
      <c r="B4796" s="1297"/>
      <c r="C4796" s="1297"/>
      <c r="D4796" s="1297" t="s">
        <v>1040</v>
      </c>
      <c r="F4796" s="1399">
        <v>557258.55000000005</v>
      </c>
      <c r="I4796" s="1399">
        <v>557258.55000000005</v>
      </c>
    </row>
    <row r="4797" spans="2:9">
      <c r="B4797" s="1297"/>
      <c r="C4797" s="1297"/>
      <c r="D4797" s="1297" t="s">
        <v>1041</v>
      </c>
      <c r="F4797" s="1399">
        <v>15674.899999999998</v>
      </c>
      <c r="I4797" s="1399">
        <v>15674.899999999998</v>
      </c>
    </row>
    <row r="4798" spans="2:9">
      <c r="B4798" s="1297"/>
      <c r="C4798" s="1297"/>
      <c r="D4798" s="1297" t="s">
        <v>1042</v>
      </c>
      <c r="F4798" s="1399">
        <v>119002.78</v>
      </c>
      <c r="I4798" s="1399">
        <v>119002.78</v>
      </c>
    </row>
    <row r="4799" spans="2:9">
      <c r="B4799" s="1297"/>
      <c r="C4799" s="1297"/>
      <c r="D4799" s="1297" t="s">
        <v>953</v>
      </c>
      <c r="F4799" s="1399">
        <v>68845.81</v>
      </c>
      <c r="I4799" s="1399">
        <v>68845.81</v>
      </c>
    </row>
    <row r="4800" spans="2:9">
      <c r="B4800" s="1297"/>
      <c r="C4800" s="1297"/>
      <c r="D4800" s="1297" t="s">
        <v>954</v>
      </c>
      <c r="F4800" s="1399">
        <v>1701566.6400000001</v>
      </c>
      <c r="I4800" s="1399">
        <v>1701566.6400000001</v>
      </c>
    </row>
    <row r="4801" spans="2:9">
      <c r="B4801" s="1297"/>
      <c r="C4801" s="1297"/>
      <c r="D4801" s="1297" t="s">
        <v>986</v>
      </c>
      <c r="F4801" s="1399">
        <v>428375.4200000001</v>
      </c>
      <c r="I4801" s="1399">
        <v>428375.4200000001</v>
      </c>
    </row>
    <row r="4802" spans="2:9">
      <c r="B4802" s="1297"/>
      <c r="C4802" s="1297"/>
      <c r="D4802" s="1297" t="s">
        <v>1005</v>
      </c>
      <c r="F4802" s="1399">
        <v>62795</v>
      </c>
      <c r="I4802" s="1399">
        <v>62795</v>
      </c>
    </row>
    <row r="4803" spans="2:9">
      <c r="B4803" s="1297"/>
      <c r="C4803" s="1297"/>
      <c r="D4803" s="1297" t="s">
        <v>1044</v>
      </c>
      <c r="F4803" s="1399">
        <v>452740</v>
      </c>
      <c r="I4803" s="1399">
        <v>452740</v>
      </c>
    </row>
    <row r="4804" spans="2:9">
      <c r="B4804" s="1297"/>
      <c r="C4804" s="1297"/>
      <c r="D4804" s="1297" t="s">
        <v>1045</v>
      </c>
      <c r="F4804" s="1399">
        <v>844606.00999999989</v>
      </c>
      <c r="I4804" s="1399">
        <v>844606.00999999989</v>
      </c>
    </row>
    <row r="4805" spans="2:9">
      <c r="B4805" s="1297"/>
      <c r="C4805" s="1297"/>
      <c r="D4805" s="1297" t="s">
        <v>1046</v>
      </c>
      <c r="H4805" s="1399">
        <v>50950020</v>
      </c>
      <c r="I4805" s="1399">
        <v>50950020</v>
      </c>
    </row>
    <row r="4806" spans="2:9">
      <c r="B4806" s="1297"/>
      <c r="C4806" s="1297"/>
      <c r="D4806" s="1297" t="s">
        <v>1128</v>
      </c>
      <c r="H4806" s="1399">
        <v>4305292</v>
      </c>
      <c r="I4806" s="1399">
        <v>4305292</v>
      </c>
    </row>
    <row r="4807" spans="2:9">
      <c r="B4807" s="1297"/>
      <c r="C4807" s="1297"/>
      <c r="D4807" s="1297" t="s">
        <v>1129</v>
      </c>
      <c r="H4807" s="1399">
        <v>-7063861</v>
      </c>
      <c r="I4807" s="1399">
        <v>-7063861</v>
      </c>
    </row>
    <row r="4808" spans="2:9">
      <c r="B4808" s="1297"/>
      <c r="C4808" s="1297"/>
      <c r="D4808" s="1297" t="s">
        <v>1047</v>
      </c>
      <c r="H4808" s="1399">
        <v>2102857</v>
      </c>
      <c r="I4808" s="1399">
        <v>2102857</v>
      </c>
    </row>
    <row r="4809" spans="2:9">
      <c r="B4809" s="1297"/>
      <c r="C4809" s="1297"/>
      <c r="D4809" s="1297" t="s">
        <v>1048</v>
      </c>
      <c r="H4809" s="1399">
        <v>-7492688</v>
      </c>
      <c r="I4809" s="1399">
        <v>-7492688</v>
      </c>
    </row>
    <row r="4810" spans="2:9">
      <c r="B4810" s="1297"/>
      <c r="C4810" s="1297"/>
      <c r="D4810" s="1297" t="s">
        <v>932</v>
      </c>
      <c r="H4810" s="1399">
        <v>4427870</v>
      </c>
      <c r="I4810" s="1399">
        <v>4427870</v>
      </c>
    </row>
    <row r="4811" spans="2:9">
      <c r="B4811" s="1297"/>
      <c r="C4811" s="1297"/>
      <c r="D4811" s="1297" t="s">
        <v>955</v>
      </c>
      <c r="H4811" s="1399">
        <v>1901270.89</v>
      </c>
      <c r="I4811" s="1399">
        <v>1901270.89</v>
      </c>
    </row>
    <row r="4812" spans="2:9">
      <c r="B4812" s="1297"/>
      <c r="C4812" s="1297"/>
      <c r="D4812" s="1297" t="s">
        <v>934</v>
      </c>
      <c r="H4812" s="1399">
        <v>167362.00000000006</v>
      </c>
      <c r="I4812" s="1399">
        <v>167362.00000000006</v>
      </c>
    </row>
    <row r="4813" spans="2:9">
      <c r="B4813" s="1297"/>
      <c r="C4813" s="1297"/>
      <c r="D4813" s="1297" t="s">
        <v>935</v>
      </c>
      <c r="H4813" s="1399">
        <v>3655957.82</v>
      </c>
      <c r="I4813" s="1399">
        <v>3655957.82</v>
      </c>
    </row>
    <row r="4814" spans="2:9">
      <c r="B4814" s="1297"/>
      <c r="C4814" s="1297"/>
      <c r="D4814" s="1297" t="s">
        <v>936</v>
      </c>
      <c r="H4814" s="1399">
        <v>196084.3</v>
      </c>
      <c r="I4814" s="1399">
        <v>196084.3</v>
      </c>
    </row>
    <row r="4815" spans="2:9">
      <c r="B4815" s="1297"/>
      <c r="C4815" s="1297"/>
      <c r="D4815" s="1297" t="s">
        <v>937</v>
      </c>
      <c r="H4815" s="1399">
        <v>22792.98</v>
      </c>
      <c r="I4815" s="1399">
        <v>22792.98</v>
      </c>
    </row>
    <row r="4816" spans="2:9">
      <c r="B4816" s="1297"/>
      <c r="C4816" s="1297"/>
      <c r="D4816" s="1297" t="s">
        <v>938</v>
      </c>
      <c r="H4816" s="1399">
        <v>69249</v>
      </c>
      <c r="I4816" s="1399">
        <v>69249</v>
      </c>
    </row>
    <row r="4817" spans="2:9">
      <c r="B4817" s="1297"/>
      <c r="C4817" s="1297"/>
      <c r="D4817" s="1297" t="s">
        <v>1131</v>
      </c>
      <c r="E4817" s="1399">
        <v>250599.04000000001</v>
      </c>
      <c r="I4817" s="1399">
        <v>250599.04000000001</v>
      </c>
    </row>
    <row r="4818" spans="2:9">
      <c r="B4818" s="1297"/>
      <c r="C4818" s="1297"/>
      <c r="D4818" s="1297" t="s">
        <v>940</v>
      </c>
      <c r="E4818" s="1399">
        <v>3179680.42</v>
      </c>
      <c r="I4818" s="1399">
        <v>3179680.42</v>
      </c>
    </row>
    <row r="4819" spans="2:9">
      <c r="B4819" s="1297"/>
      <c r="C4819" s="1297"/>
      <c r="D4819" s="1297" t="s">
        <v>941</v>
      </c>
      <c r="E4819" s="1399">
        <v>1168191.4800000002</v>
      </c>
      <c r="I4819" s="1399">
        <v>1168191.4800000002</v>
      </c>
    </row>
    <row r="4820" spans="2:9">
      <c r="B4820" s="1297"/>
      <c r="C4820" s="1297"/>
      <c r="D4820" s="1297" t="s">
        <v>943</v>
      </c>
      <c r="E4820" s="1399">
        <v>35341.460000000006</v>
      </c>
      <c r="I4820" s="1399">
        <v>35341.460000000006</v>
      </c>
    </row>
    <row r="4821" spans="2:9">
      <c r="B4821" s="1297"/>
      <c r="C4821" s="1297"/>
      <c r="D4821" s="1297" t="s">
        <v>944</v>
      </c>
      <c r="E4821" s="1399">
        <v>7625847.8399999999</v>
      </c>
      <c r="I4821" s="1399">
        <v>7625847.8399999999</v>
      </c>
    </row>
    <row r="4822" spans="2:9">
      <c r="B4822" s="1297"/>
      <c r="C4822" s="1297"/>
      <c r="D4822" s="1297" t="s">
        <v>945</v>
      </c>
      <c r="E4822" s="1399">
        <v>4226466.91</v>
      </c>
      <c r="I4822" s="1399">
        <v>4226466.91</v>
      </c>
    </row>
    <row r="4823" spans="2:9">
      <c r="B4823" s="1297"/>
      <c r="C4823" s="1297"/>
      <c r="D4823" s="1297" t="s">
        <v>978</v>
      </c>
      <c r="E4823" s="1399">
        <v>949.58</v>
      </c>
      <c r="I4823" s="1399">
        <v>949.58</v>
      </c>
    </row>
    <row r="4824" spans="2:9">
      <c r="B4824" s="1297"/>
      <c r="C4824" s="1297"/>
      <c r="D4824" s="1297" t="s">
        <v>1006</v>
      </c>
      <c r="E4824" s="1399">
        <v>10309.64</v>
      </c>
      <c r="I4824" s="1399">
        <v>10309.64</v>
      </c>
    </row>
    <row r="4825" spans="2:9">
      <c r="B4825" s="1297"/>
      <c r="C4825" s="1297"/>
      <c r="D4825" s="1297" t="s">
        <v>947</v>
      </c>
      <c r="E4825" s="1399">
        <v>191021.86000000002</v>
      </c>
      <c r="I4825" s="1399">
        <v>191021.86000000002</v>
      </c>
    </row>
    <row r="4826" spans="2:9">
      <c r="B4826" s="1297"/>
      <c r="C4826" s="1297"/>
      <c r="D4826" s="1297" t="s">
        <v>1115</v>
      </c>
      <c r="E4826" s="1399">
        <v>13813.09</v>
      </c>
      <c r="I4826" s="1399">
        <v>13813.09</v>
      </c>
    </row>
    <row r="4827" spans="2:9">
      <c r="B4827" s="1297"/>
      <c r="C4827" s="1297"/>
      <c r="D4827" s="1297" t="s">
        <v>948</v>
      </c>
      <c r="G4827" s="1399">
        <v>5691869.8999999994</v>
      </c>
      <c r="I4827" s="1399">
        <v>5691869.8999999994</v>
      </c>
    </row>
    <row r="4828" spans="2:9">
      <c r="B4828" s="1297"/>
      <c r="C4828" s="1297"/>
      <c r="D4828" s="1297" t="s">
        <v>956</v>
      </c>
      <c r="G4828" s="1399">
        <v>70828.33</v>
      </c>
      <c r="I4828" s="1399">
        <v>70828.33</v>
      </c>
    </row>
    <row r="4829" spans="2:9">
      <c r="B4829" s="1297"/>
      <c r="C4829" s="1400" t="s">
        <v>1331</v>
      </c>
      <c r="D4829" s="1400"/>
      <c r="E4829" s="1401">
        <v>16702221.32</v>
      </c>
      <c r="F4829" s="1401">
        <v>39183779.43</v>
      </c>
      <c r="G4829" s="1401">
        <v>5762698.2299999995</v>
      </c>
      <c r="H4829" s="1401">
        <v>53242206.989999995</v>
      </c>
      <c r="I4829" s="1401">
        <v>114890905.97000001</v>
      </c>
    </row>
    <row r="4830" spans="2:9">
      <c r="B4830" s="1297" t="s">
        <v>1332</v>
      </c>
      <c r="C4830" s="1297" t="s">
        <v>1333</v>
      </c>
      <c r="D4830" s="1297" t="s">
        <v>906</v>
      </c>
      <c r="F4830" s="1399">
        <v>12405408.859999999</v>
      </c>
      <c r="I4830" s="1399">
        <v>12405408.859999999</v>
      </c>
    </row>
    <row r="4831" spans="2:9">
      <c r="B4831" s="1297"/>
      <c r="C4831" s="1297"/>
      <c r="D4831" s="1297" t="s">
        <v>907</v>
      </c>
      <c r="F4831" s="1399">
        <v>3033153.78</v>
      </c>
      <c r="I4831" s="1399">
        <v>3033153.78</v>
      </c>
    </row>
    <row r="4832" spans="2:9">
      <c r="B4832" s="1297"/>
      <c r="C4832" s="1297"/>
      <c r="D4832" s="1297" t="s">
        <v>908</v>
      </c>
      <c r="F4832" s="1399">
        <v>101874.16</v>
      </c>
      <c r="I4832" s="1399">
        <v>101874.16</v>
      </c>
    </row>
    <row r="4833" spans="2:9">
      <c r="B4833" s="1297"/>
      <c r="C4833" s="1297"/>
      <c r="D4833" s="1297" t="s">
        <v>909</v>
      </c>
      <c r="F4833" s="1399">
        <v>126093.63</v>
      </c>
      <c r="I4833" s="1399">
        <v>126093.63</v>
      </c>
    </row>
    <row r="4834" spans="2:9">
      <c r="B4834" s="1297"/>
      <c r="C4834" s="1297"/>
      <c r="D4834" s="1297" t="s">
        <v>910</v>
      </c>
      <c r="F4834" s="1399">
        <v>162718.07</v>
      </c>
      <c r="I4834" s="1399">
        <v>162718.07</v>
      </c>
    </row>
    <row r="4835" spans="2:9">
      <c r="B4835" s="1297"/>
      <c r="C4835" s="1297"/>
      <c r="D4835" s="1297" t="s">
        <v>1034</v>
      </c>
      <c r="F4835" s="1399">
        <v>80227.12</v>
      </c>
      <c r="I4835" s="1399">
        <v>80227.12</v>
      </c>
    </row>
    <row r="4836" spans="2:9">
      <c r="B4836" s="1297"/>
      <c r="C4836" s="1297"/>
      <c r="D4836" s="1297" t="s">
        <v>1035</v>
      </c>
      <c r="F4836" s="1399">
        <v>456440.69999999995</v>
      </c>
      <c r="I4836" s="1399">
        <v>456440.69999999995</v>
      </c>
    </row>
    <row r="4837" spans="2:9">
      <c r="B4837" s="1297"/>
      <c r="C4837" s="1297"/>
      <c r="D4837" s="1297" t="s">
        <v>1036</v>
      </c>
      <c r="F4837" s="1399">
        <v>128333.39</v>
      </c>
      <c r="I4837" s="1399">
        <v>128333.39</v>
      </c>
    </row>
    <row r="4838" spans="2:9">
      <c r="B4838" s="1297"/>
      <c r="C4838" s="1297"/>
      <c r="D4838" s="1297" t="s">
        <v>1037</v>
      </c>
      <c r="F4838" s="1399">
        <v>280.39999999999998</v>
      </c>
      <c r="I4838" s="1399">
        <v>280.39999999999998</v>
      </c>
    </row>
    <row r="4839" spans="2:9">
      <c r="B4839" s="1297"/>
      <c r="C4839" s="1297"/>
      <c r="D4839" s="1297" t="s">
        <v>1039</v>
      </c>
      <c r="F4839" s="1399">
        <v>63266.590000000011</v>
      </c>
      <c r="I4839" s="1399">
        <v>63266.590000000011</v>
      </c>
    </row>
    <row r="4840" spans="2:9">
      <c r="B4840" s="1297"/>
      <c r="C4840" s="1297"/>
      <c r="D4840" s="1297" t="s">
        <v>1040</v>
      </c>
      <c r="F4840" s="1399">
        <v>324275.49</v>
      </c>
      <c r="I4840" s="1399">
        <v>324275.49</v>
      </c>
    </row>
    <row r="4841" spans="2:9">
      <c r="B4841" s="1297"/>
      <c r="C4841" s="1297"/>
      <c r="D4841" s="1297" t="s">
        <v>1041</v>
      </c>
      <c r="F4841" s="1399">
        <v>19237.310000000001</v>
      </c>
      <c r="I4841" s="1399">
        <v>19237.310000000001</v>
      </c>
    </row>
    <row r="4842" spans="2:9">
      <c r="B4842" s="1297"/>
      <c r="C4842" s="1297"/>
      <c r="D4842" s="1297" t="s">
        <v>1042</v>
      </c>
      <c r="F4842" s="1399">
        <v>79265.22</v>
      </c>
      <c r="I4842" s="1399">
        <v>79265.22</v>
      </c>
    </row>
    <row r="4843" spans="2:9">
      <c r="B4843" s="1297"/>
      <c r="C4843" s="1297"/>
      <c r="D4843" s="1297" t="s">
        <v>985</v>
      </c>
      <c r="F4843" s="1399">
        <v>74146.39</v>
      </c>
      <c r="I4843" s="1399">
        <v>74146.39</v>
      </c>
    </row>
    <row r="4844" spans="2:9">
      <c r="B4844" s="1297"/>
      <c r="C4844" s="1297"/>
      <c r="D4844" s="1297" t="s">
        <v>986</v>
      </c>
      <c r="F4844" s="1399">
        <v>6500</v>
      </c>
      <c r="I4844" s="1399">
        <v>6500</v>
      </c>
    </row>
    <row r="4845" spans="2:9">
      <c r="B4845" s="1297"/>
      <c r="C4845" s="1297"/>
      <c r="D4845" s="1297" t="s">
        <v>1045</v>
      </c>
      <c r="F4845" s="1399">
        <v>934590.47000000009</v>
      </c>
      <c r="I4845" s="1399">
        <v>934590.47000000009</v>
      </c>
    </row>
    <row r="4846" spans="2:9">
      <c r="B4846" s="1297"/>
      <c r="C4846" s="1297"/>
      <c r="D4846" s="1297" t="s">
        <v>1046</v>
      </c>
      <c r="H4846" s="1399">
        <v>23458285</v>
      </c>
      <c r="I4846" s="1399">
        <v>23458285</v>
      </c>
    </row>
    <row r="4847" spans="2:9">
      <c r="B4847" s="1297"/>
      <c r="C4847" s="1297"/>
      <c r="D4847" s="1297" t="s">
        <v>1128</v>
      </c>
      <c r="H4847" s="1399">
        <v>1759983</v>
      </c>
      <c r="I4847" s="1399">
        <v>1759983</v>
      </c>
    </row>
    <row r="4848" spans="2:9">
      <c r="B4848" s="1297"/>
      <c r="C4848" s="1297"/>
      <c r="D4848" s="1297" t="s">
        <v>1129</v>
      </c>
      <c r="H4848" s="1399">
        <v>-3259905</v>
      </c>
      <c r="I4848" s="1399">
        <v>-3259905</v>
      </c>
    </row>
    <row r="4849" spans="2:9">
      <c r="B4849" s="1297"/>
      <c r="C4849" s="1297"/>
      <c r="D4849" s="1297" t="s">
        <v>1047</v>
      </c>
      <c r="H4849" s="1399">
        <v>695859</v>
      </c>
      <c r="I4849" s="1399">
        <v>695859</v>
      </c>
    </row>
    <row r="4850" spans="2:9">
      <c r="B4850" s="1297"/>
      <c r="C4850" s="1297"/>
      <c r="D4850" s="1297" t="s">
        <v>1048</v>
      </c>
      <c r="H4850" s="1399">
        <v>-3650444</v>
      </c>
      <c r="I4850" s="1399">
        <v>-3650444</v>
      </c>
    </row>
    <row r="4851" spans="2:9">
      <c r="B4851" s="1297"/>
      <c r="C4851" s="1297"/>
      <c r="D4851" s="1297" t="s">
        <v>932</v>
      </c>
      <c r="H4851" s="1399">
        <v>1267022</v>
      </c>
      <c r="I4851" s="1399">
        <v>1267022</v>
      </c>
    </row>
    <row r="4852" spans="2:9">
      <c r="B4852" s="1297"/>
      <c r="C4852" s="1297"/>
      <c r="D4852" s="1297" t="s">
        <v>955</v>
      </c>
      <c r="H4852" s="1399">
        <v>467378.39</v>
      </c>
      <c r="I4852" s="1399">
        <v>467378.39</v>
      </c>
    </row>
    <row r="4853" spans="2:9">
      <c r="B4853" s="1297"/>
      <c r="C4853" s="1297"/>
      <c r="D4853" s="1297" t="s">
        <v>934</v>
      </c>
      <c r="H4853" s="1399">
        <v>70062</v>
      </c>
      <c r="I4853" s="1399">
        <v>70062</v>
      </c>
    </row>
    <row r="4854" spans="2:9">
      <c r="B4854" s="1297"/>
      <c r="C4854" s="1297"/>
      <c r="D4854" s="1297" t="s">
        <v>1130</v>
      </c>
      <c r="H4854" s="1399">
        <v>6802260.9400000004</v>
      </c>
      <c r="I4854" s="1399">
        <v>6802260.9400000004</v>
      </c>
    </row>
    <row r="4855" spans="2:9">
      <c r="B4855" s="1297"/>
      <c r="C4855" s="1297"/>
      <c r="D4855" s="1297" t="s">
        <v>935</v>
      </c>
      <c r="H4855" s="1399">
        <v>474019.17</v>
      </c>
      <c r="I4855" s="1399">
        <v>474019.17</v>
      </c>
    </row>
    <row r="4856" spans="2:9">
      <c r="B4856" s="1297"/>
      <c r="C4856" s="1297"/>
      <c r="D4856" s="1297" t="s">
        <v>936</v>
      </c>
      <c r="H4856" s="1399">
        <v>91039.14</v>
      </c>
      <c r="I4856" s="1399">
        <v>91039.14</v>
      </c>
    </row>
    <row r="4857" spans="2:9">
      <c r="B4857" s="1297"/>
      <c r="C4857" s="1297"/>
      <c r="D4857" s="1297" t="s">
        <v>937</v>
      </c>
      <c r="H4857" s="1399">
        <v>4396.8999999999996</v>
      </c>
      <c r="I4857" s="1399">
        <v>4396.8999999999996</v>
      </c>
    </row>
    <row r="4858" spans="2:9">
      <c r="B4858" s="1297"/>
      <c r="C4858" s="1297"/>
      <c r="D4858" s="1297" t="s">
        <v>938</v>
      </c>
      <c r="H4858" s="1399">
        <v>26951</v>
      </c>
      <c r="I4858" s="1399">
        <v>26951</v>
      </c>
    </row>
    <row r="4859" spans="2:9">
      <c r="B4859" s="1297"/>
      <c r="C4859" s="1297"/>
      <c r="D4859" s="1297" t="s">
        <v>939</v>
      </c>
      <c r="H4859" s="1399">
        <v>84561.1</v>
      </c>
      <c r="I4859" s="1399">
        <v>84561.1</v>
      </c>
    </row>
    <row r="4860" spans="2:9">
      <c r="B4860" s="1297"/>
      <c r="C4860" s="1297"/>
      <c r="D4860" s="1297" t="s">
        <v>940</v>
      </c>
      <c r="E4860" s="1399">
        <v>950252.74</v>
      </c>
      <c r="I4860" s="1399">
        <v>950252.74</v>
      </c>
    </row>
    <row r="4861" spans="2:9">
      <c r="B4861" s="1297"/>
      <c r="C4861" s="1297"/>
      <c r="D4861" s="1297" t="s">
        <v>941</v>
      </c>
      <c r="E4861" s="1399">
        <v>286747.21999999997</v>
      </c>
      <c r="I4861" s="1399">
        <v>286747.21999999997</v>
      </c>
    </row>
    <row r="4862" spans="2:9">
      <c r="B4862" s="1297"/>
      <c r="C4862" s="1297"/>
      <c r="D4862" s="1297" t="s">
        <v>943</v>
      </c>
      <c r="E4862" s="1399">
        <v>13616.43</v>
      </c>
      <c r="I4862" s="1399">
        <v>13616.43</v>
      </c>
    </row>
    <row r="4863" spans="2:9">
      <c r="B4863" s="1297"/>
      <c r="C4863" s="1297"/>
      <c r="D4863" s="1297" t="s">
        <v>944</v>
      </c>
      <c r="E4863" s="1399">
        <v>3967404.7899999996</v>
      </c>
      <c r="I4863" s="1399">
        <v>3967404.7899999996</v>
      </c>
    </row>
    <row r="4864" spans="2:9">
      <c r="B4864" s="1297"/>
      <c r="C4864" s="1297"/>
      <c r="D4864" s="1297" t="s">
        <v>945</v>
      </c>
      <c r="E4864" s="1399">
        <v>901495</v>
      </c>
      <c r="I4864" s="1399">
        <v>901495</v>
      </c>
    </row>
    <row r="4865" spans="2:9">
      <c r="B4865" s="1297"/>
      <c r="C4865" s="1297"/>
      <c r="D4865" s="1297" t="s">
        <v>1214</v>
      </c>
      <c r="E4865" s="1399">
        <v>20306.900000000001</v>
      </c>
      <c r="I4865" s="1399">
        <v>20306.900000000001</v>
      </c>
    </row>
    <row r="4866" spans="2:9">
      <c r="B4866" s="1297"/>
      <c r="C4866" s="1297"/>
      <c r="D4866" s="1297" t="s">
        <v>947</v>
      </c>
      <c r="E4866" s="1399">
        <v>116533.17</v>
      </c>
      <c r="I4866" s="1399">
        <v>116533.17</v>
      </c>
    </row>
    <row r="4867" spans="2:9">
      <c r="B4867" s="1297"/>
      <c r="C4867" s="1297"/>
      <c r="D4867" s="1297" t="s">
        <v>1116</v>
      </c>
      <c r="G4867" s="1399">
        <v>1690000</v>
      </c>
      <c r="I4867" s="1399">
        <v>1690000</v>
      </c>
    </row>
    <row r="4868" spans="2:9">
      <c r="B4868" s="1297"/>
      <c r="C4868" s="1297"/>
      <c r="D4868" s="1297" t="s">
        <v>948</v>
      </c>
      <c r="G4868" s="1399">
        <v>17776290.880000003</v>
      </c>
      <c r="I4868" s="1399">
        <v>17776290.880000003</v>
      </c>
    </row>
    <row r="4869" spans="2:9">
      <c r="B4869" s="1297"/>
      <c r="C4869" s="1400" t="s">
        <v>1334</v>
      </c>
      <c r="D4869" s="1400"/>
      <c r="E4869" s="1401">
        <v>6256356.25</v>
      </c>
      <c r="F4869" s="1401">
        <v>17995811.579999994</v>
      </c>
      <c r="G4869" s="1401">
        <v>19466290.880000003</v>
      </c>
      <c r="H4869" s="1401">
        <v>28291468.640000004</v>
      </c>
      <c r="I4869" s="1401">
        <v>72009927.349999994</v>
      </c>
    </row>
    <row r="4870" spans="2:9">
      <c r="B4870" s="1297" t="s">
        <v>1335</v>
      </c>
      <c r="C4870" s="1297" t="s">
        <v>1336</v>
      </c>
      <c r="D4870" s="1297" t="s">
        <v>906</v>
      </c>
      <c r="F4870" s="1399">
        <v>1738030.93</v>
      </c>
      <c r="I4870" s="1399">
        <v>1738030.93</v>
      </c>
    </row>
    <row r="4871" spans="2:9">
      <c r="B4871" s="1297"/>
      <c r="C4871" s="1297"/>
      <c r="D4871" s="1297" t="s">
        <v>907</v>
      </c>
      <c r="F4871" s="1399">
        <v>389371.05</v>
      </c>
      <c r="I4871" s="1399">
        <v>389371.05</v>
      </c>
    </row>
    <row r="4872" spans="2:9">
      <c r="B4872" s="1297"/>
      <c r="C4872" s="1297"/>
      <c r="D4872" s="1297" t="s">
        <v>908</v>
      </c>
      <c r="F4872" s="1399">
        <v>9071.2800000000007</v>
      </c>
      <c r="I4872" s="1399">
        <v>9071.2800000000007</v>
      </c>
    </row>
    <row r="4873" spans="2:9">
      <c r="B4873" s="1297"/>
      <c r="C4873" s="1297"/>
      <c r="D4873" s="1297" t="s">
        <v>909</v>
      </c>
      <c r="F4873" s="1399">
        <v>25290.55</v>
      </c>
      <c r="I4873" s="1399">
        <v>25290.55</v>
      </c>
    </row>
    <row r="4874" spans="2:9">
      <c r="B4874" s="1297"/>
      <c r="C4874" s="1297"/>
      <c r="D4874" s="1297" t="s">
        <v>910</v>
      </c>
      <c r="F4874" s="1399">
        <v>23966.06</v>
      </c>
      <c r="I4874" s="1399">
        <v>23966.06</v>
      </c>
    </row>
    <row r="4875" spans="2:9">
      <c r="B4875" s="1297"/>
      <c r="C4875" s="1297"/>
      <c r="D4875" s="1297" t="s">
        <v>1034</v>
      </c>
      <c r="F4875" s="1399">
        <v>5993.96</v>
      </c>
      <c r="I4875" s="1399">
        <v>5993.96</v>
      </c>
    </row>
    <row r="4876" spans="2:9">
      <c r="B4876" s="1297"/>
      <c r="C4876" s="1297"/>
      <c r="D4876" s="1297" t="s">
        <v>1035</v>
      </c>
      <c r="F4876" s="1399">
        <v>15110.990000000002</v>
      </c>
      <c r="I4876" s="1399">
        <v>15110.990000000002</v>
      </c>
    </row>
    <row r="4877" spans="2:9">
      <c r="B4877" s="1297"/>
      <c r="C4877" s="1297"/>
      <c r="D4877" s="1297" t="s">
        <v>1036</v>
      </c>
      <c r="F4877" s="1399">
        <v>19234.259999999998</v>
      </c>
      <c r="I4877" s="1399">
        <v>19234.259999999998</v>
      </c>
    </row>
    <row r="4878" spans="2:9">
      <c r="B4878" s="1297"/>
      <c r="C4878" s="1297"/>
      <c r="D4878" s="1297" t="s">
        <v>1039</v>
      </c>
      <c r="F4878" s="1399">
        <v>5116.8599999999997</v>
      </c>
      <c r="I4878" s="1399">
        <v>5116.8599999999997</v>
      </c>
    </row>
    <row r="4879" spans="2:9">
      <c r="B4879" s="1297"/>
      <c r="C4879" s="1297"/>
      <c r="D4879" s="1297" t="s">
        <v>1041</v>
      </c>
      <c r="F4879" s="1399">
        <v>2215.25</v>
      </c>
      <c r="I4879" s="1399">
        <v>2215.25</v>
      </c>
    </row>
    <row r="4880" spans="2:9">
      <c r="B4880" s="1297"/>
      <c r="C4880" s="1297"/>
      <c r="D4880" s="1297" t="s">
        <v>1042</v>
      </c>
      <c r="F4880" s="1399">
        <v>19893.349999999999</v>
      </c>
      <c r="I4880" s="1399">
        <v>19893.349999999999</v>
      </c>
    </row>
    <row r="4881" spans="2:9">
      <c r="B4881" s="1297"/>
      <c r="C4881" s="1297"/>
      <c r="D4881" s="1297" t="s">
        <v>953</v>
      </c>
      <c r="F4881" s="1399">
        <v>11303.7</v>
      </c>
      <c r="I4881" s="1399">
        <v>11303.7</v>
      </c>
    </row>
    <row r="4882" spans="2:9">
      <c r="B4882" s="1297"/>
      <c r="C4882" s="1297"/>
      <c r="D4882" s="1297" t="s">
        <v>1044</v>
      </c>
      <c r="F4882" s="1399">
        <v>35291</v>
      </c>
      <c r="I4882" s="1399">
        <v>35291</v>
      </c>
    </row>
    <row r="4883" spans="2:9">
      <c r="B4883" s="1297"/>
      <c r="C4883" s="1297"/>
      <c r="D4883" s="1297" t="s">
        <v>1045</v>
      </c>
      <c r="F4883" s="1399">
        <v>53905.14</v>
      </c>
      <c r="I4883" s="1399">
        <v>53905.14</v>
      </c>
    </row>
    <row r="4884" spans="2:9">
      <c r="B4884" s="1297"/>
      <c r="C4884" s="1297"/>
      <c r="D4884" s="1297" t="s">
        <v>1046</v>
      </c>
      <c r="H4884" s="1399">
        <v>2677114</v>
      </c>
      <c r="I4884" s="1399">
        <v>2677114</v>
      </c>
    </row>
    <row r="4885" spans="2:9">
      <c r="B4885" s="1297"/>
      <c r="C4885" s="1297"/>
      <c r="D4885" s="1297" t="s">
        <v>1047</v>
      </c>
      <c r="H4885" s="1399">
        <v>405316</v>
      </c>
      <c r="I4885" s="1399">
        <v>405316</v>
      </c>
    </row>
    <row r="4886" spans="2:9">
      <c r="B4886" s="1297"/>
      <c r="C4886" s="1297"/>
      <c r="D4886" s="1297" t="s">
        <v>1048</v>
      </c>
      <c r="H4886" s="1399">
        <v>-697267</v>
      </c>
      <c r="I4886" s="1399">
        <v>-697267</v>
      </c>
    </row>
    <row r="4887" spans="2:9">
      <c r="B4887" s="1297"/>
      <c r="C4887" s="1297"/>
      <c r="D4887" s="1297" t="s">
        <v>955</v>
      </c>
      <c r="H4887" s="1399">
        <v>257439.1</v>
      </c>
      <c r="I4887" s="1399">
        <v>257439.1</v>
      </c>
    </row>
    <row r="4888" spans="2:9">
      <c r="B4888" s="1297"/>
      <c r="C4888" s="1297"/>
      <c r="D4888" s="1297" t="s">
        <v>934</v>
      </c>
      <c r="H4888" s="1399">
        <v>12578</v>
      </c>
      <c r="I4888" s="1399">
        <v>12578</v>
      </c>
    </row>
    <row r="4889" spans="2:9">
      <c r="B4889" s="1297"/>
      <c r="C4889" s="1297"/>
      <c r="D4889" s="1297" t="s">
        <v>935</v>
      </c>
      <c r="H4889" s="1399">
        <v>21404.62</v>
      </c>
      <c r="I4889" s="1399">
        <v>21404.62</v>
      </c>
    </row>
    <row r="4890" spans="2:9">
      <c r="B4890" s="1297"/>
      <c r="C4890" s="1297"/>
      <c r="D4890" s="1297" t="s">
        <v>936</v>
      </c>
      <c r="H4890" s="1399">
        <v>16106.92</v>
      </c>
      <c r="I4890" s="1399">
        <v>16106.92</v>
      </c>
    </row>
    <row r="4891" spans="2:9">
      <c r="B4891" s="1297"/>
      <c r="C4891" s="1297"/>
      <c r="D4891" s="1297" t="s">
        <v>937</v>
      </c>
      <c r="H4891" s="1399">
        <v>4552.33</v>
      </c>
      <c r="I4891" s="1399">
        <v>4552.33</v>
      </c>
    </row>
    <row r="4892" spans="2:9">
      <c r="B4892" s="1297"/>
      <c r="C4892" s="1297"/>
      <c r="D4892" s="1297" t="s">
        <v>938</v>
      </c>
      <c r="H4892" s="1399">
        <v>5428</v>
      </c>
      <c r="I4892" s="1399">
        <v>5428</v>
      </c>
    </row>
    <row r="4893" spans="2:9">
      <c r="B4893" s="1297"/>
      <c r="C4893" s="1297"/>
      <c r="D4893" s="1297" t="s">
        <v>939</v>
      </c>
      <c r="H4893" s="1399">
        <v>57120.409999999996</v>
      </c>
      <c r="I4893" s="1399">
        <v>57120.409999999996</v>
      </c>
    </row>
    <row r="4894" spans="2:9">
      <c r="B4894" s="1297"/>
      <c r="C4894" s="1297"/>
      <c r="D4894" s="1297" t="s">
        <v>1131</v>
      </c>
      <c r="E4894" s="1399">
        <v>38175.879999999997</v>
      </c>
      <c r="I4894" s="1399">
        <v>38175.879999999997</v>
      </c>
    </row>
    <row r="4895" spans="2:9">
      <c r="B4895" s="1297"/>
      <c r="C4895" s="1297"/>
      <c r="D4895" s="1297" t="s">
        <v>940</v>
      </c>
      <c r="E4895" s="1399">
        <v>231740.7</v>
      </c>
      <c r="I4895" s="1399">
        <v>231740.7</v>
      </c>
    </row>
    <row r="4896" spans="2:9">
      <c r="B4896" s="1297"/>
      <c r="C4896" s="1297"/>
      <c r="D4896" s="1297" t="s">
        <v>941</v>
      </c>
      <c r="E4896" s="1399">
        <v>137871.04000000001</v>
      </c>
      <c r="I4896" s="1399">
        <v>137871.04000000001</v>
      </c>
    </row>
    <row r="4897" spans="2:9">
      <c r="B4897" s="1297"/>
      <c r="C4897" s="1297"/>
      <c r="D4897" s="1297" t="s">
        <v>944</v>
      </c>
      <c r="E4897" s="1399">
        <v>783327.58000000007</v>
      </c>
      <c r="I4897" s="1399">
        <v>783327.58000000007</v>
      </c>
    </row>
    <row r="4898" spans="2:9">
      <c r="B4898" s="1297"/>
      <c r="C4898" s="1297"/>
      <c r="D4898" s="1297" t="s">
        <v>945</v>
      </c>
      <c r="E4898" s="1399">
        <v>878428.05</v>
      </c>
      <c r="I4898" s="1399">
        <v>878428.05</v>
      </c>
    </row>
    <row r="4899" spans="2:9">
      <c r="B4899" s="1297"/>
      <c r="C4899" s="1297"/>
      <c r="D4899" s="1297" t="s">
        <v>947</v>
      </c>
      <c r="E4899" s="1399">
        <v>26238</v>
      </c>
      <c r="I4899" s="1399">
        <v>26238</v>
      </c>
    </row>
    <row r="4900" spans="2:9">
      <c r="B4900" s="1297"/>
      <c r="C4900" s="1297"/>
      <c r="D4900" s="1297" t="s">
        <v>1115</v>
      </c>
      <c r="E4900" s="1399">
        <v>9319.1200000000008</v>
      </c>
      <c r="I4900" s="1399">
        <v>9319.1200000000008</v>
      </c>
    </row>
    <row r="4901" spans="2:9">
      <c r="B4901" s="1297"/>
      <c r="C4901" s="1297"/>
      <c r="D4901" s="1297" t="s">
        <v>948</v>
      </c>
      <c r="G4901" s="1399">
        <v>25627.25</v>
      </c>
      <c r="I4901" s="1399">
        <v>25627.25</v>
      </c>
    </row>
    <row r="4902" spans="2:9">
      <c r="B4902" s="1297"/>
      <c r="C4902" s="1400" t="s">
        <v>1337</v>
      </c>
      <c r="D4902" s="1400"/>
      <c r="E4902" s="1401">
        <v>2105100.37</v>
      </c>
      <c r="F4902" s="1401">
        <v>2353794.38</v>
      </c>
      <c r="G4902" s="1401">
        <v>25627.25</v>
      </c>
      <c r="H4902" s="1401">
        <v>2759792.3800000004</v>
      </c>
      <c r="I4902" s="1401">
        <v>7244314.3799999999</v>
      </c>
    </row>
    <row r="4903" spans="2:9">
      <c r="B4903" s="1297" t="s">
        <v>1338</v>
      </c>
      <c r="C4903" s="1297" t="s">
        <v>1339</v>
      </c>
      <c r="D4903" s="1297" t="s">
        <v>906</v>
      </c>
      <c r="F4903" s="1399">
        <v>12667686.99</v>
      </c>
      <c r="I4903" s="1399">
        <v>12667686.99</v>
      </c>
    </row>
    <row r="4904" spans="2:9">
      <c r="B4904" s="1297"/>
      <c r="C4904" s="1297"/>
      <c r="D4904" s="1297" t="s">
        <v>952</v>
      </c>
      <c r="F4904" s="1399">
        <v>91111.06</v>
      </c>
      <c r="I4904" s="1399">
        <v>91111.06</v>
      </c>
    </row>
    <row r="4905" spans="2:9">
      <c r="B4905" s="1297"/>
      <c r="C4905" s="1297"/>
      <c r="D4905" s="1297" t="s">
        <v>907</v>
      </c>
      <c r="F4905" s="1399">
        <v>4352377.2</v>
      </c>
      <c r="I4905" s="1399">
        <v>4352377.2</v>
      </c>
    </row>
    <row r="4906" spans="2:9">
      <c r="B4906" s="1297"/>
      <c r="C4906" s="1297"/>
      <c r="D4906" s="1297" t="s">
        <v>908</v>
      </c>
      <c r="F4906" s="1399">
        <v>44364.28</v>
      </c>
      <c r="I4906" s="1399">
        <v>44364.28</v>
      </c>
    </row>
    <row r="4907" spans="2:9">
      <c r="B4907" s="1297"/>
      <c r="C4907" s="1297"/>
      <c r="D4907" s="1297" t="s">
        <v>909</v>
      </c>
      <c r="F4907" s="1399">
        <v>22687.75</v>
      </c>
      <c r="I4907" s="1399">
        <v>22687.75</v>
      </c>
    </row>
    <row r="4908" spans="2:9">
      <c r="B4908" s="1297"/>
      <c r="C4908" s="1297"/>
      <c r="D4908" s="1297" t="s">
        <v>910</v>
      </c>
      <c r="F4908" s="1399">
        <v>740</v>
      </c>
      <c r="I4908" s="1399">
        <v>740</v>
      </c>
    </row>
    <row r="4909" spans="2:9">
      <c r="B4909" s="1297"/>
      <c r="C4909" s="1297"/>
      <c r="D4909" s="1297" t="s">
        <v>1034</v>
      </c>
      <c r="F4909" s="1399">
        <v>24536.44</v>
      </c>
      <c r="I4909" s="1399">
        <v>24536.44</v>
      </c>
    </row>
    <row r="4910" spans="2:9">
      <c r="B4910" s="1297"/>
      <c r="C4910" s="1297"/>
      <c r="D4910" s="1297" t="s">
        <v>1035</v>
      </c>
      <c r="F4910" s="1399">
        <v>738522.87</v>
      </c>
      <c r="I4910" s="1399">
        <v>738522.87</v>
      </c>
    </row>
    <row r="4911" spans="2:9">
      <c r="B4911" s="1297"/>
      <c r="C4911" s="1297"/>
      <c r="D4911" s="1297" t="s">
        <v>1036</v>
      </c>
      <c r="F4911" s="1399">
        <v>29523.94</v>
      </c>
      <c r="I4911" s="1399">
        <v>29523.94</v>
      </c>
    </row>
    <row r="4912" spans="2:9">
      <c r="B4912" s="1297"/>
      <c r="C4912" s="1297"/>
      <c r="D4912" s="1297" t="s">
        <v>1037</v>
      </c>
      <c r="F4912" s="1399">
        <v>3250</v>
      </c>
      <c r="I4912" s="1399">
        <v>3250</v>
      </c>
    </row>
    <row r="4913" spans="2:9">
      <c r="B4913" s="1297"/>
      <c r="C4913" s="1297"/>
      <c r="D4913" s="1297" t="s">
        <v>1039</v>
      </c>
      <c r="F4913" s="1399">
        <v>12206.02</v>
      </c>
      <c r="I4913" s="1399">
        <v>12206.02</v>
      </c>
    </row>
    <row r="4914" spans="2:9">
      <c r="B4914" s="1297"/>
      <c r="C4914" s="1297"/>
      <c r="D4914" s="1297" t="s">
        <v>1041</v>
      </c>
      <c r="F4914" s="1399">
        <v>39737.760000000002</v>
      </c>
      <c r="I4914" s="1399">
        <v>39737.760000000002</v>
      </c>
    </row>
    <row r="4915" spans="2:9">
      <c r="B4915" s="1297"/>
      <c r="C4915" s="1297"/>
      <c r="D4915" s="1297" t="s">
        <v>1042</v>
      </c>
      <c r="F4915" s="1399">
        <v>95143.5</v>
      </c>
      <c r="I4915" s="1399">
        <v>95143.5</v>
      </c>
    </row>
    <row r="4916" spans="2:9">
      <c r="B4916" s="1297"/>
      <c r="C4916" s="1297"/>
      <c r="D4916" s="1297" t="s">
        <v>953</v>
      </c>
      <c r="F4916" s="1399">
        <v>6794.11</v>
      </c>
      <c r="I4916" s="1399">
        <v>6794.11</v>
      </c>
    </row>
    <row r="4917" spans="2:9">
      <c r="B4917" s="1297"/>
      <c r="C4917" s="1297"/>
      <c r="D4917" s="1297" t="s">
        <v>985</v>
      </c>
      <c r="F4917" s="1399">
        <v>130707</v>
      </c>
      <c r="I4917" s="1399">
        <v>130707</v>
      </c>
    </row>
    <row r="4918" spans="2:9">
      <c r="B4918" s="1297"/>
      <c r="C4918" s="1297"/>
      <c r="D4918" s="1297" t="s">
        <v>986</v>
      </c>
      <c r="F4918" s="1399">
        <v>800</v>
      </c>
      <c r="I4918" s="1399">
        <v>800</v>
      </c>
    </row>
    <row r="4919" spans="2:9">
      <c r="B4919" s="1297"/>
      <c r="C4919" s="1297"/>
      <c r="D4919" s="1297" t="s">
        <v>1044</v>
      </c>
      <c r="F4919" s="1399">
        <v>131003.24</v>
      </c>
      <c r="I4919" s="1399">
        <v>131003.24</v>
      </c>
    </row>
    <row r="4920" spans="2:9">
      <c r="B4920" s="1297"/>
      <c r="C4920" s="1297"/>
      <c r="D4920" s="1297" t="s">
        <v>1045</v>
      </c>
      <c r="F4920" s="1399">
        <v>524607.36</v>
      </c>
      <c r="I4920" s="1399">
        <v>524607.36</v>
      </c>
    </row>
    <row r="4921" spans="2:9">
      <c r="B4921" s="1297"/>
      <c r="C4921" s="1297"/>
      <c r="D4921" s="1297" t="s">
        <v>1046</v>
      </c>
      <c r="H4921" s="1399">
        <v>22368237</v>
      </c>
      <c r="I4921" s="1399">
        <v>22368237</v>
      </c>
    </row>
    <row r="4922" spans="2:9">
      <c r="B4922" s="1297"/>
      <c r="C4922" s="1297"/>
      <c r="D4922" s="1297" t="s">
        <v>1047</v>
      </c>
      <c r="H4922" s="1399">
        <v>886724</v>
      </c>
      <c r="I4922" s="1399">
        <v>886724</v>
      </c>
    </row>
    <row r="4923" spans="2:9">
      <c r="B4923" s="1297"/>
      <c r="C4923" s="1297"/>
      <c r="D4923" s="1297" t="s">
        <v>1048</v>
      </c>
      <c r="H4923" s="1399">
        <v>-3372466</v>
      </c>
      <c r="I4923" s="1399">
        <v>-3372466</v>
      </c>
    </row>
    <row r="4924" spans="2:9">
      <c r="B4924" s="1297"/>
      <c r="C4924" s="1297"/>
      <c r="D4924" s="1297" t="s">
        <v>932</v>
      </c>
      <c r="H4924" s="1399">
        <v>2510005</v>
      </c>
      <c r="I4924" s="1399">
        <v>2510005</v>
      </c>
    </row>
    <row r="4925" spans="2:9">
      <c r="B4925" s="1297"/>
      <c r="C4925" s="1297"/>
      <c r="D4925" s="1297" t="s">
        <v>955</v>
      </c>
      <c r="H4925" s="1399">
        <v>1208352.23</v>
      </c>
      <c r="I4925" s="1399">
        <v>1208352.23</v>
      </c>
    </row>
    <row r="4926" spans="2:9">
      <c r="B4926" s="1297"/>
      <c r="C4926" s="1297"/>
      <c r="D4926" s="1297" t="s">
        <v>934</v>
      </c>
      <c r="H4926" s="1399">
        <v>98536</v>
      </c>
      <c r="I4926" s="1399">
        <v>98536</v>
      </c>
    </row>
    <row r="4927" spans="2:9">
      <c r="B4927" s="1297"/>
      <c r="C4927" s="1297"/>
      <c r="D4927" s="1297" t="s">
        <v>935</v>
      </c>
      <c r="H4927" s="1399">
        <v>180300.76</v>
      </c>
      <c r="I4927" s="1399">
        <v>180300.76</v>
      </c>
    </row>
    <row r="4928" spans="2:9">
      <c r="B4928" s="1297"/>
      <c r="C4928" s="1297"/>
      <c r="D4928" s="1297" t="s">
        <v>936</v>
      </c>
      <c r="H4928" s="1399">
        <v>89988.69</v>
      </c>
      <c r="I4928" s="1399">
        <v>89988.69</v>
      </c>
    </row>
    <row r="4929" spans="2:9">
      <c r="B4929" s="1297"/>
      <c r="C4929" s="1297"/>
      <c r="D4929" s="1297" t="s">
        <v>937</v>
      </c>
      <c r="H4929" s="1399">
        <v>27850.33</v>
      </c>
      <c r="I4929" s="1399">
        <v>27850.33</v>
      </c>
    </row>
    <row r="4930" spans="2:9">
      <c r="B4930" s="1297"/>
      <c r="C4930" s="1297"/>
      <c r="D4930" s="1297" t="s">
        <v>938</v>
      </c>
      <c r="H4930" s="1399">
        <v>34437</v>
      </c>
      <c r="I4930" s="1399">
        <v>34437</v>
      </c>
    </row>
    <row r="4931" spans="2:9">
      <c r="B4931" s="1297"/>
      <c r="C4931" s="1297"/>
      <c r="D4931" s="1297" t="s">
        <v>939</v>
      </c>
      <c r="H4931" s="1399">
        <v>255920.52999999997</v>
      </c>
      <c r="I4931" s="1399">
        <v>255920.52999999997</v>
      </c>
    </row>
    <row r="4932" spans="2:9">
      <c r="B4932" s="1297"/>
      <c r="C4932" s="1297"/>
      <c r="D4932" s="1297" t="s">
        <v>940</v>
      </c>
      <c r="E4932" s="1399">
        <v>1892313.36</v>
      </c>
      <c r="I4932" s="1399">
        <v>1892313.36</v>
      </c>
    </row>
    <row r="4933" spans="2:9">
      <c r="B4933" s="1297"/>
      <c r="C4933" s="1297"/>
      <c r="D4933" s="1297" t="s">
        <v>941</v>
      </c>
      <c r="E4933" s="1399">
        <v>1156986.3400000001</v>
      </c>
      <c r="I4933" s="1399">
        <v>1156986.3400000001</v>
      </c>
    </row>
    <row r="4934" spans="2:9">
      <c r="B4934" s="1297"/>
      <c r="C4934" s="1297"/>
      <c r="D4934" s="1297" t="s">
        <v>943</v>
      </c>
      <c r="E4934" s="1399">
        <v>41474.78</v>
      </c>
      <c r="I4934" s="1399">
        <v>41474.78</v>
      </c>
    </row>
    <row r="4935" spans="2:9">
      <c r="B4935" s="1297"/>
      <c r="C4935" s="1297"/>
      <c r="D4935" s="1297" t="s">
        <v>944</v>
      </c>
      <c r="E4935" s="1399">
        <v>5621960.3700000001</v>
      </c>
      <c r="I4935" s="1399">
        <v>5621960.3700000001</v>
      </c>
    </row>
    <row r="4936" spans="2:9">
      <c r="B4936" s="1297"/>
      <c r="C4936" s="1297"/>
      <c r="D4936" s="1297" t="s">
        <v>945</v>
      </c>
      <c r="E4936" s="1399">
        <v>2395850.2200000002</v>
      </c>
      <c r="I4936" s="1399">
        <v>2395850.2200000002</v>
      </c>
    </row>
    <row r="4937" spans="2:9">
      <c r="B4937" s="1297"/>
      <c r="C4937" s="1297"/>
      <c r="D4937" s="1297" t="s">
        <v>978</v>
      </c>
      <c r="E4937" s="1399">
        <v>14400</v>
      </c>
      <c r="I4937" s="1399">
        <v>14400</v>
      </c>
    </row>
    <row r="4938" spans="2:9">
      <c r="B4938" s="1297"/>
      <c r="C4938" s="1297"/>
      <c r="D4938" s="1297" t="s">
        <v>947</v>
      </c>
      <c r="E4938" s="1399">
        <v>228613.80000000002</v>
      </c>
      <c r="I4938" s="1399">
        <v>228613.80000000002</v>
      </c>
    </row>
    <row r="4939" spans="2:9">
      <c r="B4939" s="1297"/>
      <c r="C4939" s="1297"/>
      <c r="D4939" s="1297" t="s">
        <v>1116</v>
      </c>
      <c r="G4939" s="1399">
        <v>15695618.68</v>
      </c>
      <c r="I4939" s="1399">
        <v>15695618.68</v>
      </c>
    </row>
    <row r="4940" spans="2:9">
      <c r="B4940" s="1297"/>
      <c r="C4940" s="1297"/>
      <c r="D4940" s="1297" t="s">
        <v>948</v>
      </c>
      <c r="G4940" s="1399">
        <v>1073741.4099999999</v>
      </c>
      <c r="I4940" s="1399">
        <v>1073741.4099999999</v>
      </c>
    </row>
    <row r="4941" spans="2:9">
      <c r="B4941" s="1297"/>
      <c r="C4941" s="1400" t="s">
        <v>1340</v>
      </c>
      <c r="D4941" s="1400"/>
      <c r="E4941" s="1401">
        <v>11351598.870000001</v>
      </c>
      <c r="F4941" s="1401">
        <v>18915799.520000003</v>
      </c>
      <c r="G4941" s="1401">
        <v>16769360.09</v>
      </c>
      <c r="H4941" s="1401">
        <v>24287885.540000003</v>
      </c>
      <c r="I4941" s="1401">
        <v>71324644.019999981</v>
      </c>
    </row>
    <row r="4942" spans="2:9">
      <c r="B4942" s="1297" t="s">
        <v>1341</v>
      </c>
      <c r="C4942" s="1297" t="s">
        <v>1342</v>
      </c>
      <c r="D4942" s="1297" t="s">
        <v>906</v>
      </c>
      <c r="F4942" s="1399">
        <v>2986501.3600000003</v>
      </c>
      <c r="I4942" s="1399">
        <v>2986501.3600000003</v>
      </c>
    </row>
    <row r="4943" spans="2:9">
      <c r="B4943" s="1297"/>
      <c r="C4943" s="1297"/>
      <c r="D4943" s="1297" t="s">
        <v>907</v>
      </c>
      <c r="F4943" s="1399">
        <v>618536.06000000006</v>
      </c>
      <c r="I4943" s="1399">
        <v>618536.06000000006</v>
      </c>
    </row>
    <row r="4944" spans="2:9">
      <c r="B4944" s="1297"/>
      <c r="C4944" s="1297"/>
      <c r="D4944" s="1297" t="s">
        <v>908</v>
      </c>
      <c r="F4944" s="1399">
        <v>0</v>
      </c>
      <c r="I4944" s="1399">
        <v>0</v>
      </c>
    </row>
    <row r="4945" spans="2:9">
      <c r="B4945" s="1297"/>
      <c r="C4945" s="1297"/>
      <c r="D4945" s="1297" t="s">
        <v>909</v>
      </c>
      <c r="F4945" s="1399">
        <v>9704.5</v>
      </c>
      <c r="I4945" s="1399">
        <v>9704.5</v>
      </c>
    </row>
    <row r="4946" spans="2:9">
      <c r="B4946" s="1297"/>
      <c r="C4946" s="1297"/>
      <c r="D4946" s="1297" t="s">
        <v>1035</v>
      </c>
      <c r="F4946" s="1399">
        <v>14587.62</v>
      </c>
      <c r="I4946" s="1399">
        <v>14587.62</v>
      </c>
    </row>
    <row r="4947" spans="2:9">
      <c r="B4947" s="1297"/>
      <c r="C4947" s="1297"/>
      <c r="D4947" s="1297" t="s">
        <v>1039</v>
      </c>
      <c r="F4947" s="1399">
        <v>11687.609999999999</v>
      </c>
      <c r="I4947" s="1399">
        <v>11687.609999999999</v>
      </c>
    </row>
    <row r="4948" spans="2:9">
      <c r="B4948" s="1297"/>
      <c r="C4948" s="1297"/>
      <c r="D4948" s="1297" t="s">
        <v>1041</v>
      </c>
      <c r="F4948" s="1399">
        <v>7359.2</v>
      </c>
      <c r="I4948" s="1399">
        <v>7359.2</v>
      </c>
    </row>
    <row r="4949" spans="2:9">
      <c r="B4949" s="1297"/>
      <c r="C4949" s="1297"/>
      <c r="D4949" s="1297" t="s">
        <v>1042</v>
      </c>
      <c r="F4949" s="1399">
        <v>21406.45</v>
      </c>
      <c r="I4949" s="1399">
        <v>21406.45</v>
      </c>
    </row>
    <row r="4950" spans="2:9">
      <c r="B4950" s="1297"/>
      <c r="C4950" s="1297"/>
      <c r="D4950" s="1297" t="s">
        <v>986</v>
      </c>
      <c r="F4950" s="1399">
        <v>15005.62</v>
      </c>
      <c r="I4950" s="1399">
        <v>15005.62</v>
      </c>
    </row>
    <row r="4951" spans="2:9">
      <c r="B4951" s="1297"/>
      <c r="C4951" s="1297"/>
      <c r="D4951" s="1297" t="s">
        <v>1044</v>
      </c>
      <c r="F4951" s="1399">
        <v>7363</v>
      </c>
      <c r="I4951" s="1399">
        <v>7363</v>
      </c>
    </row>
    <row r="4952" spans="2:9">
      <c r="B4952" s="1297"/>
      <c r="C4952" s="1297"/>
      <c r="D4952" s="1297" t="s">
        <v>1045</v>
      </c>
      <c r="F4952" s="1399">
        <v>90790.27</v>
      </c>
      <c r="I4952" s="1399">
        <v>90790.27</v>
      </c>
    </row>
    <row r="4953" spans="2:9">
      <c r="B4953" s="1297"/>
      <c r="C4953" s="1297"/>
      <c r="D4953" s="1297" t="s">
        <v>1046</v>
      </c>
      <c r="H4953" s="1399">
        <v>3720945</v>
      </c>
      <c r="I4953" s="1399">
        <v>3720945</v>
      </c>
    </row>
    <row r="4954" spans="2:9">
      <c r="B4954" s="1297"/>
      <c r="C4954" s="1297"/>
      <c r="D4954" s="1297" t="s">
        <v>1047</v>
      </c>
      <c r="H4954" s="1399">
        <v>14692</v>
      </c>
      <c r="I4954" s="1399">
        <v>14692</v>
      </c>
    </row>
    <row r="4955" spans="2:9">
      <c r="B4955" s="1297"/>
      <c r="C4955" s="1297"/>
      <c r="D4955" s="1297" t="s">
        <v>1048</v>
      </c>
      <c r="H4955" s="1399">
        <v>-1049638</v>
      </c>
      <c r="I4955" s="1399">
        <v>-1049638</v>
      </c>
    </row>
    <row r="4956" spans="2:9">
      <c r="B4956" s="1297"/>
      <c r="C4956" s="1297"/>
      <c r="D4956" s="1297" t="s">
        <v>955</v>
      </c>
      <c r="H4956" s="1399">
        <v>123309.84</v>
      </c>
      <c r="I4956" s="1399">
        <v>123309.84</v>
      </c>
    </row>
    <row r="4957" spans="2:9">
      <c r="B4957" s="1297"/>
      <c r="C4957" s="1297"/>
      <c r="D4957" s="1297" t="s">
        <v>934</v>
      </c>
      <c r="H4957" s="1399">
        <v>13860</v>
      </c>
      <c r="I4957" s="1399">
        <v>13860</v>
      </c>
    </row>
    <row r="4958" spans="2:9">
      <c r="B4958" s="1297"/>
      <c r="C4958" s="1297"/>
      <c r="D4958" s="1297" t="s">
        <v>935</v>
      </c>
      <c r="H4958" s="1399">
        <v>26657</v>
      </c>
      <c r="I4958" s="1399">
        <v>26657</v>
      </c>
    </row>
    <row r="4959" spans="2:9">
      <c r="B4959" s="1297"/>
      <c r="C4959" s="1297"/>
      <c r="D4959" s="1297" t="s">
        <v>936</v>
      </c>
      <c r="H4959" s="1399">
        <v>12605.42</v>
      </c>
      <c r="I4959" s="1399">
        <v>12605.42</v>
      </c>
    </row>
    <row r="4960" spans="2:9">
      <c r="B4960" s="1297"/>
      <c r="C4960" s="1297"/>
      <c r="D4960" s="1297" t="s">
        <v>938</v>
      </c>
      <c r="H4960" s="1399">
        <v>5240</v>
      </c>
      <c r="I4960" s="1399">
        <v>5240</v>
      </c>
    </row>
    <row r="4961" spans="2:9">
      <c r="B4961" s="1297"/>
      <c r="C4961" s="1297"/>
      <c r="D4961" s="1297" t="s">
        <v>939</v>
      </c>
      <c r="H4961" s="1399">
        <v>0</v>
      </c>
      <c r="I4961" s="1399">
        <v>0</v>
      </c>
    </row>
    <row r="4962" spans="2:9">
      <c r="B4962" s="1297"/>
      <c r="C4962" s="1297"/>
      <c r="D4962" s="1297" t="s">
        <v>1131</v>
      </c>
      <c r="E4962" s="1399">
        <v>51169.97</v>
      </c>
      <c r="I4962" s="1399">
        <v>51169.97</v>
      </c>
    </row>
    <row r="4963" spans="2:9">
      <c r="B4963" s="1297"/>
      <c r="C4963" s="1297"/>
      <c r="D4963" s="1297" t="s">
        <v>940</v>
      </c>
      <c r="E4963" s="1399">
        <v>216229.92</v>
      </c>
      <c r="I4963" s="1399">
        <v>216229.92</v>
      </c>
    </row>
    <row r="4964" spans="2:9">
      <c r="B4964" s="1297"/>
      <c r="C4964" s="1297"/>
      <c r="D4964" s="1297" t="s">
        <v>941</v>
      </c>
      <c r="E4964" s="1399">
        <v>112795.52</v>
      </c>
      <c r="I4964" s="1399">
        <v>112795.52</v>
      </c>
    </row>
    <row r="4965" spans="2:9">
      <c r="B4965" s="1297"/>
      <c r="C4965" s="1297"/>
      <c r="D4965" s="1297" t="s">
        <v>943</v>
      </c>
      <c r="E4965" s="1399">
        <v>2773.52</v>
      </c>
      <c r="I4965" s="1399">
        <v>2773.52</v>
      </c>
    </row>
    <row r="4966" spans="2:9">
      <c r="B4966" s="1297"/>
      <c r="C4966" s="1297"/>
      <c r="D4966" s="1297" t="s">
        <v>944</v>
      </c>
      <c r="E4966" s="1399">
        <v>980371.7699999999</v>
      </c>
      <c r="I4966" s="1399">
        <v>980371.7699999999</v>
      </c>
    </row>
    <row r="4967" spans="2:9">
      <c r="B4967" s="1297"/>
      <c r="C4967" s="1297"/>
      <c r="D4967" s="1297" t="s">
        <v>945</v>
      </c>
      <c r="E4967" s="1399">
        <v>324147</v>
      </c>
      <c r="I4967" s="1399">
        <v>324147</v>
      </c>
    </row>
    <row r="4968" spans="2:9">
      <c r="B4968" s="1297"/>
      <c r="C4968" s="1297"/>
      <c r="D4968" s="1297" t="s">
        <v>947</v>
      </c>
      <c r="E4968" s="1399">
        <v>26196.51</v>
      </c>
      <c r="I4968" s="1399">
        <v>26196.51</v>
      </c>
    </row>
    <row r="4969" spans="2:9">
      <c r="B4969" s="1297"/>
      <c r="C4969" s="1297"/>
      <c r="D4969" s="1297" t="s">
        <v>948</v>
      </c>
      <c r="G4969" s="1399">
        <v>155106.96</v>
      </c>
      <c r="I4969" s="1399">
        <v>155106.96</v>
      </c>
    </row>
    <row r="4970" spans="2:9">
      <c r="B4970" s="1297"/>
      <c r="C4970" s="1400" t="s">
        <v>1343</v>
      </c>
      <c r="D4970" s="1400"/>
      <c r="E4970" s="1401">
        <v>1713684.21</v>
      </c>
      <c r="F4970" s="1401">
        <v>3782941.6900000009</v>
      </c>
      <c r="G4970" s="1401">
        <v>155106.96</v>
      </c>
      <c r="H4970" s="1401">
        <v>2867671.26</v>
      </c>
      <c r="I4970" s="1401">
        <v>8519404.1199999992</v>
      </c>
    </row>
    <row r="4971" spans="2:9">
      <c r="B4971" s="1297" t="s">
        <v>1344</v>
      </c>
      <c r="C4971" s="1297" t="s">
        <v>1345</v>
      </c>
      <c r="D4971" s="1297" t="s">
        <v>906</v>
      </c>
      <c r="F4971" s="1399">
        <v>1277195.69</v>
      </c>
      <c r="I4971" s="1399">
        <v>1277195.69</v>
      </c>
    </row>
    <row r="4972" spans="2:9">
      <c r="B4972" s="1297"/>
      <c r="C4972" s="1297"/>
      <c r="D4972" s="1297" t="s">
        <v>952</v>
      </c>
      <c r="F4972" s="1399">
        <v>3876.81</v>
      </c>
      <c r="I4972" s="1399">
        <v>3876.81</v>
      </c>
    </row>
    <row r="4973" spans="2:9">
      <c r="B4973" s="1297"/>
      <c r="C4973" s="1297"/>
      <c r="D4973" s="1297" t="s">
        <v>907</v>
      </c>
      <c r="F4973" s="1399">
        <v>88189.41</v>
      </c>
      <c r="I4973" s="1399">
        <v>88189.41</v>
      </c>
    </row>
    <row r="4974" spans="2:9">
      <c r="B4974" s="1297"/>
      <c r="C4974" s="1297"/>
      <c r="D4974" s="1297" t="s">
        <v>908</v>
      </c>
      <c r="F4974" s="1399">
        <v>13453.93</v>
      </c>
      <c r="I4974" s="1399">
        <v>13453.93</v>
      </c>
    </row>
    <row r="4975" spans="2:9">
      <c r="B4975" s="1297"/>
      <c r="C4975" s="1297"/>
      <c r="D4975" s="1297" t="s">
        <v>909</v>
      </c>
      <c r="F4975" s="1399">
        <v>9909.64</v>
      </c>
      <c r="I4975" s="1399">
        <v>9909.64</v>
      </c>
    </row>
    <row r="4976" spans="2:9">
      <c r="B4976" s="1297"/>
      <c r="C4976" s="1297"/>
      <c r="D4976" s="1297" t="s">
        <v>910</v>
      </c>
      <c r="F4976" s="1399">
        <v>11770.8</v>
      </c>
      <c r="I4976" s="1399">
        <v>11770.8</v>
      </c>
    </row>
    <row r="4977" spans="2:9">
      <c r="B4977" s="1297"/>
      <c r="C4977" s="1297"/>
      <c r="D4977" s="1297" t="s">
        <v>1034</v>
      </c>
      <c r="F4977" s="1399">
        <v>1366.2</v>
      </c>
      <c r="I4977" s="1399">
        <v>1366.2</v>
      </c>
    </row>
    <row r="4978" spans="2:9">
      <c r="B4978" s="1297"/>
      <c r="C4978" s="1297"/>
      <c r="D4978" s="1297" t="s">
        <v>1035</v>
      </c>
      <c r="F4978" s="1399">
        <v>27904.33</v>
      </c>
      <c r="I4978" s="1399">
        <v>27904.33</v>
      </c>
    </row>
    <row r="4979" spans="2:9">
      <c r="B4979" s="1297"/>
      <c r="C4979" s="1297"/>
      <c r="D4979" s="1297" t="s">
        <v>1036</v>
      </c>
      <c r="F4979" s="1399">
        <v>16832</v>
      </c>
      <c r="I4979" s="1399">
        <v>16832</v>
      </c>
    </row>
    <row r="4980" spans="2:9">
      <c r="B4980" s="1297"/>
      <c r="C4980" s="1297"/>
      <c r="D4980" s="1297" t="s">
        <v>1039</v>
      </c>
      <c r="F4980" s="1399">
        <v>8762.49</v>
      </c>
      <c r="I4980" s="1399">
        <v>8762.49</v>
      </c>
    </row>
    <row r="4981" spans="2:9">
      <c r="B4981" s="1297"/>
      <c r="C4981" s="1297"/>
      <c r="D4981" s="1297" t="s">
        <v>1041</v>
      </c>
      <c r="F4981" s="1399">
        <v>161.5</v>
      </c>
      <c r="I4981" s="1399">
        <v>161.5</v>
      </c>
    </row>
    <row r="4982" spans="2:9">
      <c r="B4982" s="1297"/>
      <c r="C4982" s="1297"/>
      <c r="D4982" s="1297" t="s">
        <v>1042</v>
      </c>
      <c r="F4982" s="1399">
        <v>6565</v>
      </c>
      <c r="I4982" s="1399">
        <v>6565</v>
      </c>
    </row>
    <row r="4983" spans="2:9">
      <c r="B4983" s="1297"/>
      <c r="C4983" s="1297"/>
      <c r="D4983" s="1297" t="s">
        <v>1045</v>
      </c>
      <c r="F4983" s="1399">
        <v>61633.14</v>
      </c>
      <c r="I4983" s="1399">
        <v>61633.14</v>
      </c>
    </row>
    <row r="4984" spans="2:9">
      <c r="B4984" s="1297"/>
      <c r="C4984" s="1297"/>
      <c r="D4984" s="1297" t="s">
        <v>1046</v>
      </c>
      <c r="H4984" s="1399">
        <v>1255535</v>
      </c>
      <c r="I4984" s="1399">
        <v>1255535</v>
      </c>
    </row>
    <row r="4985" spans="2:9">
      <c r="B4985" s="1297"/>
      <c r="C4985" s="1297"/>
      <c r="D4985" s="1297" t="s">
        <v>1047</v>
      </c>
      <c r="H4985" s="1399">
        <v>286317</v>
      </c>
      <c r="I4985" s="1399">
        <v>286317</v>
      </c>
    </row>
    <row r="4986" spans="2:9">
      <c r="B4986" s="1297"/>
      <c r="C4986" s="1297"/>
      <c r="D4986" s="1297" t="s">
        <v>1048</v>
      </c>
      <c r="H4986" s="1399">
        <v>-388965.5</v>
      </c>
      <c r="I4986" s="1399">
        <v>-388965.5</v>
      </c>
    </row>
    <row r="4987" spans="2:9">
      <c r="B4987" s="1297"/>
      <c r="C4987" s="1297"/>
      <c r="D4987" s="1297" t="s">
        <v>934</v>
      </c>
      <c r="H4987" s="1399">
        <v>3896</v>
      </c>
      <c r="I4987" s="1399">
        <v>3896</v>
      </c>
    </row>
    <row r="4988" spans="2:9">
      <c r="B4988" s="1297"/>
      <c r="C4988" s="1297"/>
      <c r="D4988" s="1297" t="s">
        <v>935</v>
      </c>
      <c r="H4988" s="1399">
        <v>242279.32</v>
      </c>
      <c r="I4988" s="1399">
        <v>242279.32</v>
      </c>
    </row>
    <row r="4989" spans="2:9">
      <c r="B4989" s="1297"/>
      <c r="C4989" s="1297"/>
      <c r="D4989" s="1297" t="s">
        <v>936</v>
      </c>
      <c r="H4989" s="1399">
        <v>4902.1099999999997</v>
      </c>
      <c r="I4989" s="1399">
        <v>4902.1099999999997</v>
      </c>
    </row>
    <row r="4990" spans="2:9">
      <c r="B4990" s="1297"/>
      <c r="C4990" s="1297"/>
      <c r="D4990" s="1297" t="s">
        <v>938</v>
      </c>
      <c r="H4990" s="1399">
        <v>2433</v>
      </c>
      <c r="I4990" s="1399">
        <v>2433</v>
      </c>
    </row>
    <row r="4991" spans="2:9">
      <c r="B4991" s="1297"/>
      <c r="C4991" s="1297"/>
      <c r="D4991" s="1297" t="s">
        <v>940</v>
      </c>
      <c r="E4991" s="1399">
        <v>83163.28</v>
      </c>
      <c r="I4991" s="1399">
        <v>83163.28</v>
      </c>
    </row>
    <row r="4992" spans="2:9">
      <c r="B4992" s="1297"/>
      <c r="C4992" s="1297"/>
      <c r="D4992" s="1297" t="s">
        <v>941</v>
      </c>
      <c r="E4992" s="1399">
        <v>48602.720000000001</v>
      </c>
      <c r="I4992" s="1399">
        <v>48602.720000000001</v>
      </c>
    </row>
    <row r="4993" spans="2:9">
      <c r="B4993" s="1297"/>
      <c r="C4993" s="1297"/>
      <c r="D4993" s="1297" t="s">
        <v>943</v>
      </c>
      <c r="E4993" s="1399">
        <v>2251.8200000000002</v>
      </c>
      <c r="I4993" s="1399">
        <v>2251.8200000000002</v>
      </c>
    </row>
    <row r="4994" spans="2:9">
      <c r="B4994" s="1297"/>
      <c r="C4994" s="1297"/>
      <c r="D4994" s="1297" t="s">
        <v>944</v>
      </c>
      <c r="E4994" s="1399">
        <v>248877.83</v>
      </c>
      <c r="I4994" s="1399">
        <v>248877.83</v>
      </c>
    </row>
    <row r="4995" spans="2:9">
      <c r="B4995" s="1297"/>
      <c r="C4995" s="1297"/>
      <c r="D4995" s="1297" t="s">
        <v>945</v>
      </c>
      <c r="E4995" s="1399">
        <v>120632</v>
      </c>
      <c r="I4995" s="1399">
        <v>120632</v>
      </c>
    </row>
    <row r="4996" spans="2:9">
      <c r="B4996" s="1297"/>
      <c r="C4996" s="1297"/>
      <c r="D4996" s="1297" t="s">
        <v>978</v>
      </c>
      <c r="E4996" s="1399">
        <v>1200</v>
      </c>
      <c r="I4996" s="1399">
        <v>1200</v>
      </c>
    </row>
    <row r="4997" spans="2:9">
      <c r="B4997" s="1297"/>
      <c r="C4997" s="1297"/>
      <c r="D4997" s="1297" t="s">
        <v>947</v>
      </c>
      <c r="E4997" s="1399">
        <v>6900.13</v>
      </c>
      <c r="I4997" s="1399">
        <v>6900.13</v>
      </c>
    </row>
    <row r="4998" spans="2:9">
      <c r="B4998" s="1297"/>
      <c r="C4998" s="1297"/>
      <c r="D4998" s="1297" t="s">
        <v>948</v>
      </c>
      <c r="G4998" s="1399">
        <v>3864.3799999999997</v>
      </c>
      <c r="I4998" s="1399">
        <v>3864.3799999999997</v>
      </c>
    </row>
    <row r="4999" spans="2:9">
      <c r="B4999" s="1297"/>
      <c r="C4999" s="1400" t="s">
        <v>1346</v>
      </c>
      <c r="D4999" s="1400"/>
      <c r="E4999" s="1401">
        <v>511627.78</v>
      </c>
      <c r="F4999" s="1401">
        <v>1527620.9399999997</v>
      </c>
      <c r="G4999" s="1401">
        <v>3864.3799999999997</v>
      </c>
      <c r="H4999" s="1401">
        <v>1406396.9300000002</v>
      </c>
      <c r="I4999" s="1401">
        <v>3449510.0299999989</v>
      </c>
    </row>
    <row r="5000" spans="2:9">
      <c r="B5000" s="1297" t="s">
        <v>1347</v>
      </c>
      <c r="C5000" s="1297" t="s">
        <v>1348</v>
      </c>
      <c r="D5000" s="1297" t="s">
        <v>906</v>
      </c>
      <c r="F5000" s="1399">
        <v>5374781.54</v>
      </c>
      <c r="I5000" s="1399">
        <v>5374781.54</v>
      </c>
    </row>
    <row r="5001" spans="2:9">
      <c r="B5001" s="1297"/>
      <c r="C5001" s="1297"/>
      <c r="D5001" s="1297" t="s">
        <v>952</v>
      </c>
      <c r="F5001" s="1399">
        <v>45346.51</v>
      </c>
      <c r="I5001" s="1399">
        <v>45346.51</v>
      </c>
    </row>
    <row r="5002" spans="2:9">
      <c r="B5002" s="1297"/>
      <c r="C5002" s="1297"/>
      <c r="D5002" s="1297" t="s">
        <v>907</v>
      </c>
      <c r="F5002" s="1399">
        <v>1903932.14</v>
      </c>
      <c r="I5002" s="1399">
        <v>1903932.14</v>
      </c>
    </row>
    <row r="5003" spans="2:9">
      <c r="B5003" s="1297"/>
      <c r="C5003" s="1297"/>
      <c r="D5003" s="1297" t="s">
        <v>908</v>
      </c>
      <c r="F5003" s="1399">
        <v>5953.33</v>
      </c>
      <c r="I5003" s="1399">
        <v>5953.33</v>
      </c>
    </row>
    <row r="5004" spans="2:9">
      <c r="B5004" s="1297"/>
      <c r="C5004" s="1297"/>
      <c r="D5004" s="1297" t="s">
        <v>909</v>
      </c>
      <c r="F5004" s="1399">
        <v>107274.58</v>
      </c>
      <c r="I5004" s="1399">
        <v>107274.58</v>
      </c>
    </row>
    <row r="5005" spans="2:9">
      <c r="B5005" s="1297"/>
      <c r="C5005" s="1297"/>
      <c r="D5005" s="1297" t="s">
        <v>910</v>
      </c>
      <c r="F5005" s="1399">
        <v>47128.3</v>
      </c>
      <c r="I5005" s="1399">
        <v>47128.3</v>
      </c>
    </row>
    <row r="5006" spans="2:9">
      <c r="B5006" s="1297"/>
      <c r="C5006" s="1297"/>
      <c r="D5006" s="1297" t="s">
        <v>1034</v>
      </c>
      <c r="F5006" s="1399">
        <v>59329.79</v>
      </c>
      <c r="I5006" s="1399">
        <v>59329.79</v>
      </c>
    </row>
    <row r="5007" spans="2:9">
      <c r="B5007" s="1297"/>
      <c r="C5007" s="1297"/>
      <c r="D5007" s="1297" t="s">
        <v>1035</v>
      </c>
      <c r="F5007" s="1399">
        <v>363447.95999999996</v>
      </c>
      <c r="I5007" s="1399">
        <v>363447.95999999996</v>
      </c>
    </row>
    <row r="5008" spans="2:9">
      <c r="B5008" s="1297"/>
      <c r="C5008" s="1297"/>
      <c r="D5008" s="1297" t="s">
        <v>1036</v>
      </c>
      <c r="F5008" s="1399">
        <v>141519.54</v>
      </c>
      <c r="I5008" s="1399">
        <v>141519.54</v>
      </c>
    </row>
    <row r="5009" spans="2:9">
      <c r="B5009" s="1297"/>
      <c r="C5009" s="1297"/>
      <c r="D5009" s="1297" t="s">
        <v>1039</v>
      </c>
      <c r="F5009" s="1399">
        <v>147009.94</v>
      </c>
      <c r="I5009" s="1399">
        <v>147009.94</v>
      </c>
    </row>
    <row r="5010" spans="2:9">
      <c r="B5010" s="1297"/>
      <c r="C5010" s="1297"/>
      <c r="D5010" s="1297" t="s">
        <v>1040</v>
      </c>
      <c r="F5010" s="1399">
        <v>175129.85</v>
      </c>
      <c r="I5010" s="1399">
        <v>175129.85</v>
      </c>
    </row>
    <row r="5011" spans="2:9">
      <c r="B5011" s="1297"/>
      <c r="C5011" s="1297"/>
      <c r="D5011" s="1297" t="s">
        <v>1041</v>
      </c>
      <c r="F5011" s="1399">
        <v>89593.05</v>
      </c>
      <c r="I5011" s="1399">
        <v>89593.05</v>
      </c>
    </row>
    <row r="5012" spans="2:9">
      <c r="B5012" s="1297"/>
      <c r="C5012" s="1297"/>
      <c r="D5012" s="1297" t="s">
        <v>1042</v>
      </c>
      <c r="F5012" s="1399">
        <v>71041.75</v>
      </c>
      <c r="I5012" s="1399">
        <v>71041.75</v>
      </c>
    </row>
    <row r="5013" spans="2:9">
      <c r="B5013" s="1297"/>
      <c r="C5013" s="1297"/>
      <c r="D5013" s="1297" t="s">
        <v>985</v>
      </c>
      <c r="F5013" s="1399">
        <v>70172.87</v>
      </c>
      <c r="I5013" s="1399">
        <v>70172.87</v>
      </c>
    </row>
    <row r="5014" spans="2:9">
      <c r="B5014" s="1297"/>
      <c r="C5014" s="1297"/>
      <c r="D5014" s="1297" t="s">
        <v>1044</v>
      </c>
      <c r="F5014" s="1399">
        <v>34809.760000000002</v>
      </c>
      <c r="I5014" s="1399">
        <v>34809.760000000002</v>
      </c>
    </row>
    <row r="5015" spans="2:9">
      <c r="B5015" s="1297"/>
      <c r="C5015" s="1297"/>
      <c r="D5015" s="1297" t="s">
        <v>1045</v>
      </c>
      <c r="F5015" s="1399">
        <v>391034.9</v>
      </c>
      <c r="I5015" s="1399">
        <v>391034.9</v>
      </c>
    </row>
    <row r="5016" spans="2:9">
      <c r="B5016" s="1297"/>
      <c r="C5016" s="1297"/>
      <c r="D5016" s="1297" t="s">
        <v>1046</v>
      </c>
      <c r="H5016" s="1399">
        <v>17424169</v>
      </c>
      <c r="I5016" s="1399">
        <v>17424169</v>
      </c>
    </row>
    <row r="5017" spans="2:9">
      <c r="B5017" s="1297"/>
      <c r="C5017" s="1297"/>
      <c r="D5017" s="1297" t="s">
        <v>1047</v>
      </c>
      <c r="H5017" s="1399">
        <v>594847</v>
      </c>
      <c r="I5017" s="1399">
        <v>594847</v>
      </c>
    </row>
    <row r="5018" spans="2:9">
      <c r="B5018" s="1297"/>
      <c r="C5018" s="1297"/>
      <c r="D5018" s="1297" t="s">
        <v>1048</v>
      </c>
      <c r="H5018" s="1399">
        <v>-1782286</v>
      </c>
      <c r="I5018" s="1399">
        <v>-1782286</v>
      </c>
    </row>
    <row r="5019" spans="2:9">
      <c r="B5019" s="1297"/>
      <c r="C5019" s="1297"/>
      <c r="D5019" s="1297" t="s">
        <v>932</v>
      </c>
      <c r="H5019" s="1399">
        <v>1670361</v>
      </c>
      <c r="I5019" s="1399">
        <v>1670361</v>
      </c>
    </row>
    <row r="5020" spans="2:9">
      <c r="B5020" s="1297"/>
      <c r="C5020" s="1297"/>
      <c r="D5020" s="1297" t="s">
        <v>955</v>
      </c>
      <c r="H5020" s="1399">
        <v>956148.5</v>
      </c>
      <c r="I5020" s="1399">
        <v>956148.5</v>
      </c>
    </row>
    <row r="5021" spans="2:9">
      <c r="B5021" s="1297"/>
      <c r="C5021" s="1297"/>
      <c r="D5021" s="1297" t="s">
        <v>934</v>
      </c>
      <c r="H5021" s="1399">
        <v>57732</v>
      </c>
      <c r="I5021" s="1399">
        <v>57732</v>
      </c>
    </row>
    <row r="5022" spans="2:9">
      <c r="B5022" s="1297"/>
      <c r="C5022" s="1297"/>
      <c r="D5022" s="1297" t="s">
        <v>935</v>
      </c>
      <c r="H5022" s="1399">
        <v>432381.18000000005</v>
      </c>
      <c r="I5022" s="1399">
        <v>432381.18000000005</v>
      </c>
    </row>
    <row r="5023" spans="2:9">
      <c r="B5023" s="1297"/>
      <c r="C5023" s="1297"/>
      <c r="D5023" s="1297" t="s">
        <v>936</v>
      </c>
      <c r="H5023" s="1399">
        <v>60926.19</v>
      </c>
      <c r="I5023" s="1399">
        <v>60926.19</v>
      </c>
    </row>
    <row r="5024" spans="2:9">
      <c r="B5024" s="1297"/>
      <c r="C5024" s="1297"/>
      <c r="D5024" s="1297" t="s">
        <v>937</v>
      </c>
      <c r="H5024" s="1399">
        <v>12061.58</v>
      </c>
      <c r="I5024" s="1399">
        <v>12061.58</v>
      </c>
    </row>
    <row r="5025" spans="2:9">
      <c r="B5025" s="1297"/>
      <c r="C5025" s="1297"/>
      <c r="D5025" s="1297" t="s">
        <v>938</v>
      </c>
      <c r="H5025" s="1399">
        <v>20775</v>
      </c>
      <c r="I5025" s="1399">
        <v>20775</v>
      </c>
    </row>
    <row r="5026" spans="2:9">
      <c r="B5026" s="1297"/>
      <c r="C5026" s="1297"/>
      <c r="D5026" s="1297" t="s">
        <v>940</v>
      </c>
      <c r="E5026" s="1399">
        <v>1106491.26</v>
      </c>
      <c r="I5026" s="1399">
        <v>1106491.26</v>
      </c>
    </row>
    <row r="5027" spans="2:9">
      <c r="B5027" s="1297"/>
      <c r="C5027" s="1297"/>
      <c r="D5027" s="1297" t="s">
        <v>941</v>
      </c>
      <c r="E5027" s="1399">
        <v>419711.74</v>
      </c>
      <c r="I5027" s="1399">
        <v>419711.74</v>
      </c>
    </row>
    <row r="5028" spans="2:9">
      <c r="B5028" s="1297"/>
      <c r="C5028" s="1297"/>
      <c r="D5028" s="1297" t="s">
        <v>942</v>
      </c>
      <c r="E5028" s="1399">
        <v>15719.6</v>
      </c>
      <c r="I5028" s="1399">
        <v>15719.6</v>
      </c>
    </row>
    <row r="5029" spans="2:9">
      <c r="B5029" s="1297"/>
      <c r="C5029" s="1297"/>
      <c r="D5029" s="1297" t="s">
        <v>943</v>
      </c>
      <c r="E5029" s="1399">
        <v>3013.28</v>
      </c>
      <c r="I5029" s="1399">
        <v>3013.28</v>
      </c>
    </row>
    <row r="5030" spans="2:9">
      <c r="B5030" s="1297"/>
      <c r="C5030" s="1297"/>
      <c r="D5030" s="1297" t="s">
        <v>944</v>
      </c>
      <c r="E5030" s="1399">
        <v>3000108.3799999994</v>
      </c>
      <c r="I5030" s="1399">
        <v>3000108.3799999994</v>
      </c>
    </row>
    <row r="5031" spans="2:9">
      <c r="B5031" s="1297"/>
      <c r="C5031" s="1297"/>
      <c r="D5031" s="1297" t="s">
        <v>945</v>
      </c>
      <c r="E5031" s="1399">
        <v>1627079.61</v>
      </c>
      <c r="I5031" s="1399">
        <v>1627079.61</v>
      </c>
    </row>
    <row r="5032" spans="2:9">
      <c r="B5032" s="1297"/>
      <c r="C5032" s="1297"/>
      <c r="D5032" s="1297" t="s">
        <v>946</v>
      </c>
      <c r="E5032" s="1399">
        <v>407241.64999999997</v>
      </c>
      <c r="I5032" s="1399">
        <v>407241.64999999997</v>
      </c>
    </row>
    <row r="5033" spans="2:9">
      <c r="B5033" s="1297"/>
      <c r="C5033" s="1297"/>
      <c r="D5033" s="1297" t="s">
        <v>978</v>
      </c>
      <c r="E5033" s="1399">
        <v>1200</v>
      </c>
      <c r="I5033" s="1399">
        <v>1200</v>
      </c>
    </row>
    <row r="5034" spans="2:9">
      <c r="B5034" s="1297"/>
      <c r="C5034" s="1297"/>
      <c r="D5034" s="1297" t="s">
        <v>947</v>
      </c>
      <c r="E5034" s="1399">
        <v>159426.62</v>
      </c>
      <c r="I5034" s="1399">
        <v>159426.62</v>
      </c>
    </row>
    <row r="5035" spans="2:9">
      <c r="B5035" s="1297"/>
      <c r="C5035" s="1297"/>
      <c r="D5035" s="1297" t="s">
        <v>948</v>
      </c>
      <c r="G5035" s="1399">
        <v>481085.66000000009</v>
      </c>
      <c r="I5035" s="1399">
        <v>481085.66000000009</v>
      </c>
    </row>
    <row r="5036" spans="2:9">
      <c r="B5036" s="1297"/>
      <c r="C5036" s="1400" t="s">
        <v>1349</v>
      </c>
      <c r="D5036" s="1400"/>
      <c r="E5036" s="1401">
        <v>6739992.1400000006</v>
      </c>
      <c r="F5036" s="1401">
        <v>9027505.8099999987</v>
      </c>
      <c r="G5036" s="1401">
        <v>481085.66000000009</v>
      </c>
      <c r="H5036" s="1401">
        <v>19447115.449999999</v>
      </c>
      <c r="I5036" s="1401">
        <v>35695699.059999995</v>
      </c>
    </row>
    <row r="5037" spans="2:9">
      <c r="B5037" s="1297" t="s">
        <v>1350</v>
      </c>
      <c r="C5037" s="1297" t="s">
        <v>1351</v>
      </c>
      <c r="D5037" s="1297" t="s">
        <v>906</v>
      </c>
      <c r="F5037" s="1399">
        <v>2884862.53</v>
      </c>
      <c r="I5037" s="1399">
        <v>2884862.53</v>
      </c>
    </row>
    <row r="5038" spans="2:9">
      <c r="B5038" s="1297"/>
      <c r="C5038" s="1297"/>
      <c r="D5038" s="1297" t="s">
        <v>952</v>
      </c>
      <c r="F5038" s="1399">
        <v>3958.28</v>
      </c>
      <c r="I5038" s="1399">
        <v>3958.28</v>
      </c>
    </row>
    <row r="5039" spans="2:9">
      <c r="B5039" s="1297"/>
      <c r="C5039" s="1297"/>
      <c r="D5039" s="1297" t="s">
        <v>907</v>
      </c>
      <c r="F5039" s="1399">
        <v>781035.6</v>
      </c>
      <c r="I5039" s="1399">
        <v>781035.6</v>
      </c>
    </row>
    <row r="5040" spans="2:9">
      <c r="B5040" s="1297"/>
      <c r="C5040" s="1297"/>
      <c r="D5040" s="1297" t="s">
        <v>908</v>
      </c>
      <c r="F5040" s="1399">
        <v>23463.89</v>
      </c>
      <c r="I5040" s="1399">
        <v>23463.89</v>
      </c>
    </row>
    <row r="5041" spans="2:9">
      <c r="B5041" s="1297"/>
      <c r="C5041" s="1297"/>
      <c r="D5041" s="1297" t="s">
        <v>910</v>
      </c>
      <c r="F5041" s="1399">
        <v>63555.44</v>
      </c>
      <c r="I5041" s="1399">
        <v>63555.44</v>
      </c>
    </row>
    <row r="5042" spans="2:9">
      <c r="B5042" s="1297"/>
      <c r="C5042" s="1297"/>
      <c r="D5042" s="1297" t="s">
        <v>1035</v>
      </c>
      <c r="F5042" s="1399">
        <v>262713.86</v>
      </c>
      <c r="I5042" s="1399">
        <v>262713.86</v>
      </c>
    </row>
    <row r="5043" spans="2:9">
      <c r="B5043" s="1297"/>
      <c r="C5043" s="1297"/>
      <c r="D5043" s="1297" t="s">
        <v>1036</v>
      </c>
      <c r="F5043" s="1399">
        <v>101886.37</v>
      </c>
      <c r="I5043" s="1399">
        <v>101886.37</v>
      </c>
    </row>
    <row r="5044" spans="2:9">
      <c r="B5044" s="1297"/>
      <c r="C5044" s="1297"/>
      <c r="D5044" s="1297" t="s">
        <v>1037</v>
      </c>
      <c r="F5044" s="1399">
        <v>34456.019999999997</v>
      </c>
      <c r="I5044" s="1399">
        <v>34456.019999999997</v>
      </c>
    </row>
    <row r="5045" spans="2:9">
      <c r="B5045" s="1297"/>
      <c r="C5045" s="1297"/>
      <c r="D5045" s="1297" t="s">
        <v>1039</v>
      </c>
      <c r="F5045" s="1399">
        <v>3007.9600000000005</v>
      </c>
      <c r="I5045" s="1399">
        <v>3007.9600000000005</v>
      </c>
    </row>
    <row r="5046" spans="2:9">
      <c r="B5046" s="1297"/>
      <c r="C5046" s="1297"/>
      <c r="D5046" s="1297" t="s">
        <v>1040</v>
      </c>
      <c r="F5046" s="1399">
        <v>96615.11</v>
      </c>
      <c r="I5046" s="1399">
        <v>96615.11</v>
      </c>
    </row>
    <row r="5047" spans="2:9">
      <c r="B5047" s="1297"/>
      <c r="C5047" s="1297"/>
      <c r="D5047" s="1297" t="s">
        <v>1041</v>
      </c>
      <c r="F5047" s="1399">
        <v>48221.75</v>
      </c>
      <c r="I5047" s="1399">
        <v>48221.75</v>
      </c>
    </row>
    <row r="5048" spans="2:9">
      <c r="B5048" s="1297"/>
      <c r="C5048" s="1297"/>
      <c r="D5048" s="1297" t="s">
        <v>1042</v>
      </c>
      <c r="F5048" s="1399">
        <v>22280.959999999999</v>
      </c>
      <c r="I5048" s="1399">
        <v>22280.959999999999</v>
      </c>
    </row>
    <row r="5049" spans="2:9">
      <c r="B5049" s="1297"/>
      <c r="C5049" s="1297"/>
      <c r="D5049" s="1297" t="s">
        <v>953</v>
      </c>
      <c r="F5049" s="1399">
        <v>48865.71</v>
      </c>
      <c r="I5049" s="1399">
        <v>48865.71</v>
      </c>
    </row>
    <row r="5050" spans="2:9">
      <c r="B5050" s="1297"/>
      <c r="C5050" s="1297"/>
      <c r="D5050" s="1297" t="s">
        <v>1045</v>
      </c>
      <c r="F5050" s="1399">
        <v>143606.89000000001</v>
      </c>
      <c r="I5050" s="1399">
        <v>143606.89000000001</v>
      </c>
    </row>
    <row r="5051" spans="2:9">
      <c r="B5051" s="1297"/>
      <c r="C5051" s="1297"/>
      <c r="D5051" s="1297" t="s">
        <v>1046</v>
      </c>
      <c r="H5051" s="1399">
        <v>7755266</v>
      </c>
      <c r="I5051" s="1399">
        <v>7755266</v>
      </c>
    </row>
    <row r="5052" spans="2:9">
      <c r="B5052" s="1297"/>
      <c r="C5052" s="1297"/>
      <c r="D5052" s="1297" t="s">
        <v>1047</v>
      </c>
      <c r="H5052" s="1399">
        <v>386013.53</v>
      </c>
      <c r="I5052" s="1399">
        <v>386013.53</v>
      </c>
    </row>
    <row r="5053" spans="2:9">
      <c r="B5053" s="1297"/>
      <c r="C5053" s="1297"/>
      <c r="D5053" s="1297" t="s">
        <v>1048</v>
      </c>
      <c r="H5053" s="1399">
        <v>-944738</v>
      </c>
      <c r="I5053" s="1399">
        <v>-944738</v>
      </c>
    </row>
    <row r="5054" spans="2:9">
      <c r="B5054" s="1297"/>
      <c r="C5054" s="1297"/>
      <c r="D5054" s="1297" t="s">
        <v>932</v>
      </c>
      <c r="H5054" s="1399">
        <v>711152</v>
      </c>
      <c r="I5054" s="1399">
        <v>711152</v>
      </c>
    </row>
    <row r="5055" spans="2:9">
      <c r="B5055" s="1297"/>
      <c r="C5055" s="1297"/>
      <c r="D5055" s="1297" t="s">
        <v>955</v>
      </c>
      <c r="H5055" s="1399">
        <v>436921.78</v>
      </c>
      <c r="I5055" s="1399">
        <v>436921.78</v>
      </c>
    </row>
    <row r="5056" spans="2:9">
      <c r="B5056" s="1297"/>
      <c r="C5056" s="1297"/>
      <c r="D5056" s="1297" t="s">
        <v>934</v>
      </c>
      <c r="H5056" s="1399">
        <v>26920</v>
      </c>
      <c r="I5056" s="1399">
        <v>26920</v>
      </c>
    </row>
    <row r="5057" spans="2:9">
      <c r="B5057" s="1297"/>
      <c r="C5057" s="1297"/>
      <c r="D5057" s="1297" t="s">
        <v>935</v>
      </c>
      <c r="H5057" s="1399">
        <v>485725.00999999995</v>
      </c>
      <c r="I5057" s="1399">
        <v>485725.00999999995</v>
      </c>
    </row>
    <row r="5058" spans="2:9">
      <c r="B5058" s="1297"/>
      <c r="C5058" s="1297"/>
      <c r="D5058" s="1297" t="s">
        <v>936</v>
      </c>
      <c r="H5058" s="1399">
        <v>33964.6</v>
      </c>
      <c r="I5058" s="1399">
        <v>33964.6</v>
      </c>
    </row>
    <row r="5059" spans="2:9">
      <c r="B5059" s="1297"/>
      <c r="C5059" s="1297"/>
      <c r="D5059" s="1297" t="s">
        <v>938</v>
      </c>
      <c r="H5059" s="1399">
        <v>9919</v>
      </c>
      <c r="I5059" s="1399">
        <v>9919</v>
      </c>
    </row>
    <row r="5060" spans="2:9">
      <c r="B5060" s="1297"/>
      <c r="C5060" s="1297"/>
      <c r="D5060" s="1297" t="s">
        <v>1131</v>
      </c>
      <c r="E5060" s="1399">
        <v>547325.94000000006</v>
      </c>
      <c r="I5060" s="1399">
        <v>547325.94000000006</v>
      </c>
    </row>
    <row r="5061" spans="2:9">
      <c r="B5061" s="1297"/>
      <c r="C5061" s="1297"/>
      <c r="D5061" s="1297" t="s">
        <v>940</v>
      </c>
      <c r="E5061" s="1399">
        <v>444806.74</v>
      </c>
      <c r="I5061" s="1399">
        <v>444806.74</v>
      </c>
    </row>
    <row r="5062" spans="2:9">
      <c r="B5062" s="1297"/>
      <c r="C5062" s="1297"/>
      <c r="D5062" s="1297" t="s">
        <v>941</v>
      </c>
      <c r="E5062" s="1399">
        <v>187889.8</v>
      </c>
      <c r="I5062" s="1399">
        <v>187889.8</v>
      </c>
    </row>
    <row r="5063" spans="2:9">
      <c r="B5063" s="1297"/>
      <c r="C5063" s="1297"/>
      <c r="D5063" s="1297" t="s">
        <v>943</v>
      </c>
      <c r="E5063" s="1399">
        <v>8330.18</v>
      </c>
      <c r="I5063" s="1399">
        <v>8330.18</v>
      </c>
    </row>
    <row r="5064" spans="2:9">
      <c r="B5064" s="1297"/>
      <c r="C5064" s="1297"/>
      <c r="D5064" s="1297" t="s">
        <v>944</v>
      </c>
      <c r="E5064" s="1399">
        <v>1969207.1300000001</v>
      </c>
      <c r="I5064" s="1399">
        <v>1969207.1300000001</v>
      </c>
    </row>
    <row r="5065" spans="2:9">
      <c r="B5065" s="1297"/>
      <c r="C5065" s="1297"/>
      <c r="D5065" s="1297" t="s">
        <v>945</v>
      </c>
      <c r="E5065" s="1399">
        <v>735181.58000000007</v>
      </c>
      <c r="I5065" s="1399">
        <v>735181.58000000007</v>
      </c>
    </row>
    <row r="5066" spans="2:9">
      <c r="B5066" s="1297"/>
      <c r="C5066" s="1297"/>
      <c r="D5066" s="1297" t="s">
        <v>978</v>
      </c>
      <c r="E5066" s="1399">
        <v>1200</v>
      </c>
      <c r="I5066" s="1399">
        <v>1200</v>
      </c>
    </row>
    <row r="5067" spans="2:9">
      <c r="B5067" s="1297"/>
      <c r="C5067" s="1297"/>
      <c r="D5067" s="1297" t="s">
        <v>947</v>
      </c>
      <c r="E5067" s="1399">
        <v>51066.53</v>
      </c>
      <c r="I5067" s="1399">
        <v>51066.53</v>
      </c>
    </row>
    <row r="5068" spans="2:9">
      <c r="B5068" s="1297"/>
      <c r="C5068" s="1297"/>
      <c r="D5068" s="1297" t="s">
        <v>948</v>
      </c>
      <c r="G5068" s="1399">
        <v>444256.26</v>
      </c>
      <c r="I5068" s="1399">
        <v>444256.26</v>
      </c>
    </row>
    <row r="5069" spans="2:9">
      <c r="B5069" s="1297"/>
      <c r="C5069" s="1297"/>
      <c r="D5069" s="1297" t="s">
        <v>1118</v>
      </c>
      <c r="G5069" s="1399">
        <v>5966.78</v>
      </c>
      <c r="I5069" s="1399">
        <v>5966.78</v>
      </c>
    </row>
    <row r="5070" spans="2:9">
      <c r="B5070" s="1297"/>
      <c r="C5070" s="1400" t="s">
        <v>1352</v>
      </c>
      <c r="D5070" s="1400"/>
      <c r="E5070" s="1401">
        <v>3945007.9</v>
      </c>
      <c r="F5070" s="1401">
        <v>4518530.3699999992</v>
      </c>
      <c r="G5070" s="1401">
        <v>450223.04000000004</v>
      </c>
      <c r="H5070" s="1401">
        <v>8901143.9199999999</v>
      </c>
      <c r="I5070" s="1401">
        <v>17814905.23</v>
      </c>
    </row>
    <row r="5071" spans="2:9">
      <c r="B5071" s="1297" t="s">
        <v>1353</v>
      </c>
      <c r="C5071" s="1297" t="s">
        <v>1354</v>
      </c>
      <c r="D5071" s="1297" t="s">
        <v>906</v>
      </c>
      <c r="F5071" s="1399">
        <v>4106445.6</v>
      </c>
      <c r="I5071" s="1399">
        <v>4106445.6</v>
      </c>
    </row>
    <row r="5072" spans="2:9">
      <c r="B5072" s="1297"/>
      <c r="C5072" s="1297"/>
      <c r="D5072" s="1297" t="s">
        <v>952</v>
      </c>
      <c r="F5072" s="1399">
        <v>14143.53</v>
      </c>
      <c r="I5072" s="1399">
        <v>14143.53</v>
      </c>
    </row>
    <row r="5073" spans="2:9">
      <c r="B5073" s="1297"/>
      <c r="C5073" s="1297"/>
      <c r="D5073" s="1297" t="s">
        <v>907</v>
      </c>
      <c r="F5073" s="1399">
        <v>1145725.8500000001</v>
      </c>
      <c r="I5073" s="1399">
        <v>1145725.8500000001</v>
      </c>
    </row>
    <row r="5074" spans="2:9">
      <c r="B5074" s="1297"/>
      <c r="C5074" s="1297"/>
      <c r="D5074" s="1297" t="s">
        <v>908</v>
      </c>
      <c r="F5074" s="1399">
        <v>20589.2</v>
      </c>
      <c r="I5074" s="1399">
        <v>20589.2</v>
      </c>
    </row>
    <row r="5075" spans="2:9">
      <c r="B5075" s="1297"/>
      <c r="C5075" s="1297"/>
      <c r="D5075" s="1297" t="s">
        <v>909</v>
      </c>
      <c r="F5075" s="1399">
        <v>58149.1</v>
      </c>
      <c r="I5075" s="1399">
        <v>58149.1</v>
      </c>
    </row>
    <row r="5076" spans="2:9">
      <c r="B5076" s="1297"/>
      <c r="C5076" s="1297"/>
      <c r="D5076" s="1297" t="s">
        <v>910</v>
      </c>
      <c r="F5076" s="1399">
        <v>53485.98</v>
      </c>
      <c r="I5076" s="1399">
        <v>53485.98</v>
      </c>
    </row>
    <row r="5077" spans="2:9">
      <c r="B5077" s="1297"/>
      <c r="C5077" s="1297"/>
      <c r="D5077" s="1297" t="s">
        <v>1035</v>
      </c>
      <c r="F5077" s="1399">
        <v>184711.44</v>
      </c>
      <c r="I5077" s="1399">
        <v>184711.44</v>
      </c>
    </row>
    <row r="5078" spans="2:9">
      <c r="B5078" s="1297"/>
      <c r="C5078" s="1297"/>
      <c r="D5078" s="1297" t="s">
        <v>1036</v>
      </c>
      <c r="F5078" s="1399">
        <v>42994.6</v>
      </c>
      <c r="I5078" s="1399">
        <v>42994.6</v>
      </c>
    </row>
    <row r="5079" spans="2:9">
      <c r="B5079" s="1297"/>
      <c r="C5079" s="1297"/>
      <c r="D5079" s="1297" t="s">
        <v>1039</v>
      </c>
      <c r="F5079" s="1399">
        <v>8781.0199999999986</v>
      </c>
      <c r="I5079" s="1399">
        <v>8781.0199999999986</v>
      </c>
    </row>
    <row r="5080" spans="2:9">
      <c r="B5080" s="1297"/>
      <c r="C5080" s="1297"/>
      <c r="D5080" s="1297" t="s">
        <v>1040</v>
      </c>
      <c r="F5080" s="1399">
        <v>0</v>
      </c>
      <c r="I5080" s="1399">
        <v>0</v>
      </c>
    </row>
    <row r="5081" spans="2:9">
      <c r="B5081" s="1297"/>
      <c r="C5081" s="1297"/>
      <c r="D5081" s="1297" t="s">
        <v>1041</v>
      </c>
      <c r="F5081" s="1399">
        <v>29018.050000000003</v>
      </c>
      <c r="I5081" s="1399">
        <v>29018.050000000003</v>
      </c>
    </row>
    <row r="5082" spans="2:9">
      <c r="B5082" s="1297"/>
      <c r="C5082" s="1297"/>
      <c r="D5082" s="1297" t="s">
        <v>1042</v>
      </c>
      <c r="F5082" s="1399">
        <v>22978.25</v>
      </c>
      <c r="I5082" s="1399">
        <v>22978.25</v>
      </c>
    </row>
    <row r="5083" spans="2:9">
      <c r="B5083" s="1297"/>
      <c r="C5083" s="1297"/>
      <c r="D5083" s="1297" t="s">
        <v>953</v>
      </c>
      <c r="F5083" s="1399">
        <v>20232.27</v>
      </c>
      <c r="I5083" s="1399">
        <v>20232.27</v>
      </c>
    </row>
    <row r="5084" spans="2:9">
      <c r="B5084" s="1297"/>
      <c r="C5084" s="1297"/>
      <c r="D5084" s="1297" t="s">
        <v>1044</v>
      </c>
      <c r="F5084" s="1399">
        <v>3000</v>
      </c>
      <c r="I5084" s="1399">
        <v>3000</v>
      </c>
    </row>
    <row r="5085" spans="2:9">
      <c r="B5085" s="1297"/>
      <c r="C5085" s="1297"/>
      <c r="D5085" s="1297" t="s">
        <v>1045</v>
      </c>
      <c r="F5085" s="1399">
        <v>75360.650000000009</v>
      </c>
      <c r="I5085" s="1399">
        <v>75360.650000000009</v>
      </c>
    </row>
    <row r="5086" spans="2:9">
      <c r="B5086" s="1297"/>
      <c r="C5086" s="1297"/>
      <c r="D5086" s="1297" t="s">
        <v>1046</v>
      </c>
      <c r="H5086" s="1399">
        <v>8455039</v>
      </c>
      <c r="I5086" s="1399">
        <v>8455039</v>
      </c>
    </row>
    <row r="5087" spans="2:9">
      <c r="B5087" s="1297"/>
      <c r="C5087" s="1297"/>
      <c r="D5087" s="1297" t="s">
        <v>1047</v>
      </c>
      <c r="H5087" s="1399">
        <v>373737</v>
      </c>
      <c r="I5087" s="1399">
        <v>373737</v>
      </c>
    </row>
    <row r="5088" spans="2:9">
      <c r="B5088" s="1297"/>
      <c r="C5088" s="1297"/>
      <c r="D5088" s="1297" t="s">
        <v>1048</v>
      </c>
      <c r="H5088" s="1399">
        <v>-1407869</v>
      </c>
      <c r="I5088" s="1399">
        <v>-1407869</v>
      </c>
    </row>
    <row r="5089" spans="2:9">
      <c r="B5089" s="1297"/>
      <c r="C5089" s="1297"/>
      <c r="D5089" s="1297" t="s">
        <v>932</v>
      </c>
      <c r="H5089" s="1399">
        <v>531227</v>
      </c>
      <c r="I5089" s="1399">
        <v>531227</v>
      </c>
    </row>
    <row r="5090" spans="2:9">
      <c r="B5090" s="1297"/>
      <c r="C5090" s="1297"/>
      <c r="D5090" s="1297" t="s">
        <v>955</v>
      </c>
      <c r="H5090" s="1399">
        <v>447508.28</v>
      </c>
      <c r="I5090" s="1399">
        <v>447508.28</v>
      </c>
    </row>
    <row r="5091" spans="2:9">
      <c r="B5091" s="1297"/>
      <c r="C5091" s="1297"/>
      <c r="D5091" s="1297" t="s">
        <v>934</v>
      </c>
      <c r="H5091" s="1399">
        <v>29846</v>
      </c>
      <c r="I5091" s="1399">
        <v>29846</v>
      </c>
    </row>
    <row r="5092" spans="2:9">
      <c r="B5092" s="1297"/>
      <c r="C5092" s="1297"/>
      <c r="D5092" s="1297" t="s">
        <v>935</v>
      </c>
      <c r="H5092" s="1399">
        <v>122484.77</v>
      </c>
      <c r="I5092" s="1399">
        <v>122484.77</v>
      </c>
    </row>
    <row r="5093" spans="2:9">
      <c r="B5093" s="1297"/>
      <c r="C5093" s="1297"/>
      <c r="D5093" s="1297" t="s">
        <v>936</v>
      </c>
      <c r="H5093" s="1399">
        <v>32564</v>
      </c>
      <c r="I5093" s="1399">
        <v>32564</v>
      </c>
    </row>
    <row r="5094" spans="2:9">
      <c r="B5094" s="1297"/>
      <c r="C5094" s="1297"/>
      <c r="D5094" s="1297" t="s">
        <v>937</v>
      </c>
      <c r="H5094" s="1399">
        <v>28849.759999999998</v>
      </c>
      <c r="I5094" s="1399">
        <v>28849.759999999998</v>
      </c>
    </row>
    <row r="5095" spans="2:9">
      <c r="B5095" s="1297"/>
      <c r="C5095" s="1297"/>
      <c r="D5095" s="1297" t="s">
        <v>938</v>
      </c>
      <c r="H5095" s="1399">
        <v>6925</v>
      </c>
      <c r="I5095" s="1399">
        <v>6925</v>
      </c>
    </row>
    <row r="5096" spans="2:9">
      <c r="B5096" s="1297"/>
      <c r="C5096" s="1297"/>
      <c r="D5096" s="1297" t="s">
        <v>939</v>
      </c>
      <c r="H5096" s="1399">
        <v>75580.160000000003</v>
      </c>
      <c r="I5096" s="1399">
        <v>75580.160000000003</v>
      </c>
    </row>
    <row r="5097" spans="2:9">
      <c r="B5097" s="1297"/>
      <c r="C5097" s="1297"/>
      <c r="D5097" s="1297" t="s">
        <v>940</v>
      </c>
      <c r="E5097" s="1399">
        <v>571372.04</v>
      </c>
      <c r="I5097" s="1399">
        <v>571372.04</v>
      </c>
    </row>
    <row r="5098" spans="2:9">
      <c r="B5098" s="1297"/>
      <c r="C5098" s="1297"/>
      <c r="D5098" s="1297" t="s">
        <v>941</v>
      </c>
      <c r="E5098" s="1399">
        <v>248554.46000000002</v>
      </c>
      <c r="I5098" s="1399">
        <v>248554.46000000002</v>
      </c>
    </row>
    <row r="5099" spans="2:9">
      <c r="B5099" s="1297"/>
      <c r="C5099" s="1297"/>
      <c r="D5099" s="1297" t="s">
        <v>944</v>
      </c>
      <c r="E5099" s="1399">
        <v>1484689.6500000001</v>
      </c>
      <c r="I5099" s="1399">
        <v>1484689.6500000001</v>
      </c>
    </row>
    <row r="5100" spans="2:9">
      <c r="B5100" s="1297"/>
      <c r="C5100" s="1297"/>
      <c r="D5100" s="1297" t="s">
        <v>945</v>
      </c>
      <c r="E5100" s="1399">
        <v>1036712.47</v>
      </c>
      <c r="I5100" s="1399">
        <v>1036712.47</v>
      </c>
    </row>
    <row r="5101" spans="2:9">
      <c r="B5101" s="1297"/>
      <c r="C5101" s="1297"/>
      <c r="D5101" s="1297" t="s">
        <v>946</v>
      </c>
      <c r="E5101" s="1399">
        <v>261270.37</v>
      </c>
      <c r="I5101" s="1399">
        <v>261270.37</v>
      </c>
    </row>
    <row r="5102" spans="2:9">
      <c r="B5102" s="1297"/>
      <c r="C5102" s="1297"/>
      <c r="D5102" s="1297" t="s">
        <v>947</v>
      </c>
      <c r="E5102" s="1399">
        <v>75575.350000000006</v>
      </c>
      <c r="I5102" s="1399">
        <v>75575.350000000006</v>
      </c>
    </row>
    <row r="5103" spans="2:9">
      <c r="B5103" s="1297"/>
      <c r="C5103" s="1297"/>
      <c r="D5103" s="1297" t="s">
        <v>948</v>
      </c>
      <c r="G5103" s="1399">
        <v>153078.98000000001</v>
      </c>
      <c r="I5103" s="1399">
        <v>153078.98000000001</v>
      </c>
    </row>
    <row r="5104" spans="2:9">
      <c r="B5104" s="1297"/>
      <c r="C5104" s="1400" t="s">
        <v>1355</v>
      </c>
      <c r="D5104" s="1400"/>
      <c r="E5104" s="1401">
        <v>3678174.3400000003</v>
      </c>
      <c r="F5104" s="1401">
        <v>5785615.54</v>
      </c>
      <c r="G5104" s="1401">
        <v>153078.98000000001</v>
      </c>
      <c r="H5104" s="1401">
        <v>8695891.9699999988</v>
      </c>
      <c r="I5104" s="1401">
        <v>18312760.829999998</v>
      </c>
    </row>
    <row r="5105" spans="2:9">
      <c r="B5105" s="1297" t="s">
        <v>1356</v>
      </c>
      <c r="C5105" s="1297" t="s">
        <v>1357</v>
      </c>
      <c r="D5105" s="1297" t="s">
        <v>906</v>
      </c>
      <c r="F5105" s="1399">
        <v>3832908.73</v>
      </c>
      <c r="I5105" s="1399">
        <v>3832908.73</v>
      </c>
    </row>
    <row r="5106" spans="2:9">
      <c r="B5106" s="1297"/>
      <c r="C5106" s="1297"/>
      <c r="D5106" s="1297" t="s">
        <v>952</v>
      </c>
      <c r="F5106" s="1399">
        <v>25608.94</v>
      </c>
      <c r="I5106" s="1399">
        <v>25608.94</v>
      </c>
    </row>
    <row r="5107" spans="2:9">
      <c r="B5107" s="1297"/>
      <c r="C5107" s="1297"/>
      <c r="D5107" s="1297" t="s">
        <v>907</v>
      </c>
      <c r="F5107" s="1399">
        <v>864491.59</v>
      </c>
      <c r="I5107" s="1399">
        <v>864491.59</v>
      </c>
    </row>
    <row r="5108" spans="2:9">
      <c r="B5108" s="1297"/>
      <c r="C5108" s="1297"/>
      <c r="D5108" s="1297" t="s">
        <v>908</v>
      </c>
      <c r="F5108" s="1399">
        <v>15576.61</v>
      </c>
      <c r="I5108" s="1399">
        <v>15576.61</v>
      </c>
    </row>
    <row r="5109" spans="2:9">
      <c r="B5109" s="1297"/>
      <c r="C5109" s="1297"/>
      <c r="D5109" s="1297" t="s">
        <v>1034</v>
      </c>
      <c r="F5109" s="1399">
        <v>500</v>
      </c>
      <c r="I5109" s="1399">
        <v>500</v>
      </c>
    </row>
    <row r="5110" spans="2:9">
      <c r="B5110" s="1297"/>
      <c r="C5110" s="1297"/>
      <c r="D5110" s="1297" t="s">
        <v>1037</v>
      </c>
      <c r="F5110" s="1399">
        <v>0</v>
      </c>
      <c r="I5110" s="1399">
        <v>0</v>
      </c>
    </row>
    <row r="5111" spans="2:9">
      <c r="B5111" s="1297"/>
      <c r="C5111" s="1297"/>
      <c r="D5111" s="1297" t="s">
        <v>1038</v>
      </c>
      <c r="F5111" s="1399">
        <v>750</v>
      </c>
      <c r="I5111" s="1399">
        <v>750</v>
      </c>
    </row>
    <row r="5112" spans="2:9">
      <c r="B5112" s="1297"/>
      <c r="C5112" s="1297"/>
      <c r="D5112" s="1297" t="s">
        <v>1039</v>
      </c>
      <c r="F5112" s="1399">
        <v>35045.630000000005</v>
      </c>
      <c r="I5112" s="1399">
        <v>35045.630000000005</v>
      </c>
    </row>
    <row r="5113" spans="2:9">
      <c r="B5113" s="1297"/>
      <c r="C5113" s="1297"/>
      <c r="D5113" s="1297" t="s">
        <v>1041</v>
      </c>
      <c r="F5113" s="1399">
        <v>377.86</v>
      </c>
      <c r="I5113" s="1399">
        <v>377.86</v>
      </c>
    </row>
    <row r="5114" spans="2:9">
      <c r="B5114" s="1297"/>
      <c r="C5114" s="1297"/>
      <c r="D5114" s="1297" t="s">
        <v>1042</v>
      </c>
      <c r="F5114" s="1399">
        <v>14851.8</v>
      </c>
      <c r="I5114" s="1399">
        <v>14851.8</v>
      </c>
    </row>
    <row r="5115" spans="2:9">
      <c r="B5115" s="1297"/>
      <c r="C5115" s="1297"/>
      <c r="D5115" s="1297" t="s">
        <v>953</v>
      </c>
      <c r="F5115" s="1399">
        <v>23348</v>
      </c>
      <c r="I5115" s="1399">
        <v>23348</v>
      </c>
    </row>
    <row r="5116" spans="2:9">
      <c r="B5116" s="1297"/>
      <c r="C5116" s="1297"/>
      <c r="D5116" s="1297" t="s">
        <v>986</v>
      </c>
      <c r="F5116" s="1399">
        <v>2025</v>
      </c>
      <c r="I5116" s="1399">
        <v>2025</v>
      </c>
    </row>
    <row r="5117" spans="2:9">
      <c r="B5117" s="1297"/>
      <c r="C5117" s="1297"/>
      <c r="D5117" s="1297" t="s">
        <v>996</v>
      </c>
      <c r="F5117" s="1399">
        <v>2100</v>
      </c>
      <c r="I5117" s="1399">
        <v>2100</v>
      </c>
    </row>
    <row r="5118" spans="2:9">
      <c r="B5118" s="1297"/>
      <c r="C5118" s="1297"/>
      <c r="D5118" s="1297" t="s">
        <v>1044</v>
      </c>
      <c r="F5118" s="1399">
        <v>22322.33</v>
      </c>
      <c r="I5118" s="1399">
        <v>22322.33</v>
      </c>
    </row>
    <row r="5119" spans="2:9">
      <c r="B5119" s="1297"/>
      <c r="C5119" s="1297"/>
      <c r="D5119" s="1297" t="s">
        <v>1045</v>
      </c>
      <c r="F5119" s="1399">
        <v>130694.13999999998</v>
      </c>
      <c r="I5119" s="1399">
        <v>130694.13999999998</v>
      </c>
    </row>
    <row r="5120" spans="2:9">
      <c r="B5120" s="1297"/>
      <c r="C5120" s="1297"/>
      <c r="D5120" s="1297" t="s">
        <v>1046</v>
      </c>
      <c r="H5120" s="1399">
        <v>7502711</v>
      </c>
      <c r="I5120" s="1399">
        <v>7502711</v>
      </c>
    </row>
    <row r="5121" spans="2:9">
      <c r="B5121" s="1297"/>
      <c r="C5121" s="1297"/>
      <c r="D5121" s="1297" t="s">
        <v>1047</v>
      </c>
      <c r="H5121" s="1399">
        <v>304309</v>
      </c>
      <c r="I5121" s="1399">
        <v>304309</v>
      </c>
    </row>
    <row r="5122" spans="2:9">
      <c r="B5122" s="1297"/>
      <c r="C5122" s="1297"/>
      <c r="D5122" s="1297" t="s">
        <v>1048</v>
      </c>
      <c r="H5122" s="1399">
        <v>-1085451</v>
      </c>
      <c r="I5122" s="1399">
        <v>-1085451</v>
      </c>
    </row>
    <row r="5123" spans="2:9">
      <c r="B5123" s="1297"/>
      <c r="C5123" s="1297"/>
      <c r="D5123" s="1297" t="s">
        <v>932</v>
      </c>
      <c r="H5123" s="1399">
        <v>630869</v>
      </c>
      <c r="I5123" s="1399">
        <v>630869</v>
      </c>
    </row>
    <row r="5124" spans="2:9">
      <c r="B5124" s="1297"/>
      <c r="C5124" s="1297"/>
      <c r="D5124" s="1297" t="s">
        <v>955</v>
      </c>
      <c r="H5124" s="1399">
        <v>449371.1</v>
      </c>
      <c r="I5124" s="1399">
        <v>449371.1</v>
      </c>
    </row>
    <row r="5125" spans="2:9">
      <c r="B5125" s="1297"/>
      <c r="C5125" s="1297"/>
      <c r="D5125" s="1297" t="s">
        <v>934</v>
      </c>
      <c r="H5125" s="1399">
        <v>30946</v>
      </c>
      <c r="I5125" s="1399">
        <v>30946</v>
      </c>
    </row>
    <row r="5126" spans="2:9">
      <c r="B5126" s="1297"/>
      <c r="C5126" s="1297"/>
      <c r="D5126" s="1297" t="s">
        <v>935</v>
      </c>
      <c r="H5126" s="1399">
        <v>81283.61</v>
      </c>
      <c r="I5126" s="1399">
        <v>81283.61</v>
      </c>
    </row>
    <row r="5127" spans="2:9">
      <c r="B5127" s="1297"/>
      <c r="C5127" s="1297"/>
      <c r="D5127" s="1297" t="s">
        <v>936</v>
      </c>
      <c r="H5127" s="1399">
        <v>31513.55</v>
      </c>
      <c r="I5127" s="1399">
        <v>31513.55</v>
      </c>
    </row>
    <row r="5128" spans="2:9">
      <c r="B5128" s="1297"/>
      <c r="C5128" s="1297"/>
      <c r="D5128" s="1297" t="s">
        <v>937</v>
      </c>
      <c r="H5128" s="1399">
        <v>3373.96</v>
      </c>
      <c r="I5128" s="1399">
        <v>3373.96</v>
      </c>
    </row>
    <row r="5129" spans="2:9">
      <c r="B5129" s="1297"/>
      <c r="C5129" s="1297"/>
      <c r="D5129" s="1297" t="s">
        <v>938</v>
      </c>
      <c r="H5129" s="1399">
        <v>8796</v>
      </c>
      <c r="I5129" s="1399">
        <v>8796</v>
      </c>
    </row>
    <row r="5130" spans="2:9">
      <c r="B5130" s="1297"/>
      <c r="C5130" s="1297"/>
      <c r="D5130" s="1297" t="s">
        <v>939</v>
      </c>
      <c r="H5130" s="1399">
        <v>0</v>
      </c>
      <c r="I5130" s="1399">
        <v>0</v>
      </c>
    </row>
    <row r="5131" spans="2:9">
      <c r="B5131" s="1297"/>
      <c r="C5131" s="1297"/>
      <c r="D5131" s="1297" t="s">
        <v>940</v>
      </c>
      <c r="E5131" s="1399">
        <v>497395.78</v>
      </c>
      <c r="I5131" s="1399">
        <v>497395.78</v>
      </c>
    </row>
    <row r="5132" spans="2:9">
      <c r="B5132" s="1297"/>
      <c r="C5132" s="1297"/>
      <c r="D5132" s="1297" t="s">
        <v>941</v>
      </c>
      <c r="E5132" s="1399">
        <v>201976.7</v>
      </c>
      <c r="I5132" s="1399">
        <v>201976.7</v>
      </c>
    </row>
    <row r="5133" spans="2:9">
      <c r="B5133" s="1297"/>
      <c r="C5133" s="1297"/>
      <c r="D5133" s="1297" t="s">
        <v>943</v>
      </c>
      <c r="E5133" s="1399">
        <v>14549.88</v>
      </c>
      <c r="I5133" s="1399">
        <v>14549.88</v>
      </c>
    </row>
    <row r="5134" spans="2:9">
      <c r="B5134" s="1297"/>
      <c r="C5134" s="1297"/>
      <c r="D5134" s="1297" t="s">
        <v>944</v>
      </c>
      <c r="E5134" s="1399">
        <v>1989576.8600000003</v>
      </c>
      <c r="I5134" s="1399">
        <v>1989576.8600000003</v>
      </c>
    </row>
    <row r="5135" spans="2:9">
      <c r="B5135" s="1297"/>
      <c r="C5135" s="1297"/>
      <c r="D5135" s="1297" t="s">
        <v>945</v>
      </c>
      <c r="E5135" s="1399">
        <v>928489.05999999994</v>
      </c>
      <c r="I5135" s="1399">
        <v>928489.05999999994</v>
      </c>
    </row>
    <row r="5136" spans="2:9">
      <c r="B5136" s="1297"/>
      <c r="C5136" s="1297"/>
      <c r="D5136" s="1297" t="s">
        <v>946</v>
      </c>
      <c r="E5136" s="1399">
        <v>62617.89</v>
      </c>
      <c r="I5136" s="1399">
        <v>62617.89</v>
      </c>
    </row>
    <row r="5137" spans="2:9">
      <c r="B5137" s="1297"/>
      <c r="C5137" s="1297"/>
      <c r="D5137" s="1297" t="s">
        <v>978</v>
      </c>
      <c r="E5137" s="1399">
        <v>0</v>
      </c>
      <c r="I5137" s="1399">
        <v>0</v>
      </c>
    </row>
    <row r="5138" spans="2:9">
      <c r="B5138" s="1297"/>
      <c r="C5138" s="1297"/>
      <c r="D5138" s="1297" t="s">
        <v>947</v>
      </c>
      <c r="E5138" s="1399">
        <v>26094.02</v>
      </c>
      <c r="I5138" s="1399">
        <v>26094.02</v>
      </c>
    </row>
    <row r="5139" spans="2:9">
      <c r="B5139" s="1297"/>
      <c r="C5139" s="1297"/>
      <c r="D5139" s="1297" t="s">
        <v>1115</v>
      </c>
      <c r="E5139" s="1399">
        <v>22844</v>
      </c>
      <c r="I5139" s="1399">
        <v>22844</v>
      </c>
    </row>
    <row r="5140" spans="2:9">
      <c r="B5140" s="1297"/>
      <c r="C5140" s="1297"/>
      <c r="D5140" s="1297" t="s">
        <v>948</v>
      </c>
      <c r="G5140" s="1399">
        <v>19938.38</v>
      </c>
      <c r="I5140" s="1399">
        <v>19938.38</v>
      </c>
    </row>
    <row r="5141" spans="2:9">
      <c r="B5141" s="1297"/>
      <c r="C5141" s="1400" t="s">
        <v>1358</v>
      </c>
      <c r="D5141" s="1400"/>
      <c r="E5141" s="1401">
        <v>3743544.1900000004</v>
      </c>
      <c r="F5141" s="1401">
        <v>4970600.63</v>
      </c>
      <c r="G5141" s="1401">
        <v>19938.38</v>
      </c>
      <c r="H5141" s="1401">
        <v>7957722.2199999997</v>
      </c>
      <c r="I5141" s="1401">
        <v>16691805.420000002</v>
      </c>
    </row>
    <row r="5142" spans="2:9">
      <c r="B5142" s="1297" t="s">
        <v>1359</v>
      </c>
      <c r="C5142" s="1297" t="s">
        <v>1360</v>
      </c>
      <c r="D5142" s="1297" t="s">
        <v>906</v>
      </c>
      <c r="F5142" s="1399">
        <v>11052332.74</v>
      </c>
      <c r="I5142" s="1399">
        <v>11052332.74</v>
      </c>
    </row>
    <row r="5143" spans="2:9">
      <c r="B5143" s="1297"/>
      <c r="C5143" s="1297"/>
      <c r="D5143" s="1297" t="s">
        <v>952</v>
      </c>
      <c r="F5143" s="1399">
        <v>147169.04</v>
      </c>
      <c r="I5143" s="1399">
        <v>147169.04</v>
      </c>
    </row>
    <row r="5144" spans="2:9">
      <c r="B5144" s="1297"/>
      <c r="C5144" s="1297"/>
      <c r="D5144" s="1297" t="s">
        <v>907</v>
      </c>
      <c r="F5144" s="1399">
        <v>4863744.0299999993</v>
      </c>
      <c r="I5144" s="1399">
        <v>4863744.0299999993</v>
      </c>
    </row>
    <row r="5145" spans="2:9">
      <c r="B5145" s="1297"/>
      <c r="C5145" s="1297"/>
      <c r="D5145" s="1297" t="s">
        <v>908</v>
      </c>
      <c r="F5145" s="1399">
        <v>27643.86</v>
      </c>
      <c r="I5145" s="1399">
        <v>27643.86</v>
      </c>
    </row>
    <row r="5146" spans="2:9">
      <c r="B5146" s="1297"/>
      <c r="C5146" s="1297"/>
      <c r="D5146" s="1297" t="s">
        <v>909</v>
      </c>
      <c r="F5146" s="1399">
        <v>17222.68</v>
      </c>
      <c r="I5146" s="1399">
        <v>17222.68</v>
      </c>
    </row>
    <row r="5147" spans="2:9">
      <c r="B5147" s="1297"/>
      <c r="C5147" s="1297"/>
      <c r="D5147" s="1297" t="s">
        <v>910</v>
      </c>
      <c r="F5147" s="1399">
        <v>229897.93</v>
      </c>
      <c r="I5147" s="1399">
        <v>229897.93</v>
      </c>
    </row>
    <row r="5148" spans="2:9">
      <c r="B5148" s="1297"/>
      <c r="C5148" s="1297"/>
      <c r="D5148" s="1297" t="s">
        <v>1034</v>
      </c>
      <c r="F5148" s="1399">
        <v>64276.409999999996</v>
      </c>
      <c r="I5148" s="1399">
        <v>64276.409999999996</v>
      </c>
    </row>
    <row r="5149" spans="2:9">
      <c r="B5149" s="1297"/>
      <c r="C5149" s="1297"/>
      <c r="D5149" s="1297" t="s">
        <v>1035</v>
      </c>
      <c r="F5149" s="1399">
        <v>266357.65000000002</v>
      </c>
      <c r="I5149" s="1399">
        <v>266357.65000000002</v>
      </c>
    </row>
    <row r="5150" spans="2:9">
      <c r="B5150" s="1297"/>
      <c r="C5150" s="1297"/>
      <c r="D5150" s="1297" t="s">
        <v>1036</v>
      </c>
      <c r="F5150" s="1399">
        <v>202328.16999999998</v>
      </c>
      <c r="I5150" s="1399">
        <v>202328.16999999998</v>
      </c>
    </row>
    <row r="5151" spans="2:9">
      <c r="B5151" s="1297"/>
      <c r="C5151" s="1297"/>
      <c r="D5151" s="1297" t="s">
        <v>1037</v>
      </c>
      <c r="F5151" s="1399">
        <v>97896.58</v>
      </c>
      <c r="I5151" s="1399">
        <v>97896.58</v>
      </c>
    </row>
    <row r="5152" spans="2:9">
      <c r="B5152" s="1297"/>
      <c r="C5152" s="1297"/>
      <c r="D5152" s="1297" t="s">
        <v>1039</v>
      </c>
      <c r="F5152" s="1399">
        <v>240642.54000000004</v>
      </c>
      <c r="I5152" s="1399">
        <v>240642.54000000004</v>
      </c>
    </row>
    <row r="5153" spans="2:9">
      <c r="B5153" s="1297"/>
      <c r="C5153" s="1297"/>
      <c r="D5153" s="1297" t="s">
        <v>1040</v>
      </c>
      <c r="F5153" s="1399">
        <v>361436.24</v>
      </c>
      <c r="I5153" s="1399">
        <v>361436.24</v>
      </c>
    </row>
    <row r="5154" spans="2:9">
      <c r="B5154" s="1297"/>
      <c r="C5154" s="1297"/>
      <c r="D5154" s="1297" t="s">
        <v>1041</v>
      </c>
      <c r="F5154" s="1399">
        <v>45923.89</v>
      </c>
      <c r="I5154" s="1399">
        <v>45923.89</v>
      </c>
    </row>
    <row r="5155" spans="2:9">
      <c r="B5155" s="1297"/>
      <c r="C5155" s="1297"/>
      <c r="D5155" s="1297" t="s">
        <v>1042</v>
      </c>
      <c r="F5155" s="1399">
        <v>81351.929999999993</v>
      </c>
      <c r="I5155" s="1399">
        <v>81351.929999999993</v>
      </c>
    </row>
    <row r="5156" spans="2:9">
      <c r="B5156" s="1297"/>
      <c r="C5156" s="1297"/>
      <c r="D5156" s="1297" t="s">
        <v>986</v>
      </c>
      <c r="F5156" s="1399">
        <v>251425</v>
      </c>
      <c r="I5156" s="1399">
        <v>251425</v>
      </c>
    </row>
    <row r="5157" spans="2:9">
      <c r="B5157" s="1297"/>
      <c r="C5157" s="1297"/>
      <c r="D5157" s="1297" t="s">
        <v>1044</v>
      </c>
      <c r="F5157" s="1399">
        <v>85400.06</v>
      </c>
      <c r="I5157" s="1399">
        <v>85400.06</v>
      </c>
    </row>
    <row r="5158" spans="2:9">
      <c r="B5158" s="1297"/>
      <c r="C5158" s="1297"/>
      <c r="D5158" s="1297" t="s">
        <v>1045</v>
      </c>
      <c r="F5158" s="1399">
        <v>425367.86</v>
      </c>
      <c r="I5158" s="1399">
        <v>425367.86</v>
      </c>
    </row>
    <row r="5159" spans="2:9">
      <c r="B5159" s="1297"/>
      <c r="C5159" s="1297"/>
      <c r="D5159" s="1297" t="s">
        <v>1046</v>
      </c>
      <c r="H5159" s="1399">
        <v>26483478</v>
      </c>
      <c r="I5159" s="1399">
        <v>26483478</v>
      </c>
    </row>
    <row r="5160" spans="2:9">
      <c r="B5160" s="1297"/>
      <c r="C5160" s="1297"/>
      <c r="D5160" s="1297" t="s">
        <v>1128</v>
      </c>
      <c r="H5160" s="1399">
        <v>2122023</v>
      </c>
      <c r="I5160" s="1399">
        <v>2122023</v>
      </c>
    </row>
    <row r="5161" spans="2:9">
      <c r="B5161" s="1297"/>
      <c r="C5161" s="1297"/>
      <c r="D5161" s="1297" t="s">
        <v>1129</v>
      </c>
      <c r="H5161" s="1399">
        <v>-3701488</v>
      </c>
      <c r="I5161" s="1399">
        <v>-3701488</v>
      </c>
    </row>
    <row r="5162" spans="2:9">
      <c r="B5162" s="1297"/>
      <c r="C5162" s="1297"/>
      <c r="D5162" s="1297" t="s">
        <v>1047</v>
      </c>
      <c r="H5162" s="1399">
        <v>909050</v>
      </c>
      <c r="I5162" s="1399">
        <v>909050</v>
      </c>
    </row>
    <row r="5163" spans="2:9">
      <c r="B5163" s="1297"/>
      <c r="C5163" s="1297"/>
      <c r="D5163" s="1297" t="s">
        <v>1048</v>
      </c>
      <c r="H5163" s="1399">
        <v>-3984653</v>
      </c>
      <c r="I5163" s="1399">
        <v>-3984653</v>
      </c>
    </row>
    <row r="5164" spans="2:9">
      <c r="B5164" s="1297"/>
      <c r="C5164" s="1297"/>
      <c r="D5164" s="1297" t="s">
        <v>932</v>
      </c>
      <c r="H5164" s="1399">
        <v>1570864</v>
      </c>
      <c r="I5164" s="1399">
        <v>1570864</v>
      </c>
    </row>
    <row r="5165" spans="2:9">
      <c r="B5165" s="1297"/>
      <c r="C5165" s="1297"/>
      <c r="D5165" s="1297" t="s">
        <v>933</v>
      </c>
      <c r="H5165" s="1399">
        <v>1046005.15</v>
      </c>
      <c r="I5165" s="1399">
        <v>1046005.15</v>
      </c>
    </row>
    <row r="5166" spans="2:9">
      <c r="B5166" s="1297"/>
      <c r="C5166" s="1297"/>
      <c r="D5166" s="1297" t="s">
        <v>934</v>
      </c>
      <c r="H5166" s="1399">
        <v>87802</v>
      </c>
      <c r="I5166" s="1399">
        <v>87802</v>
      </c>
    </row>
    <row r="5167" spans="2:9">
      <c r="B5167" s="1297"/>
      <c r="C5167" s="1297"/>
      <c r="D5167" s="1297" t="s">
        <v>1130</v>
      </c>
      <c r="H5167" s="1399">
        <v>169706.9</v>
      </c>
      <c r="I5167" s="1399">
        <v>169706.9</v>
      </c>
    </row>
    <row r="5168" spans="2:9">
      <c r="B5168" s="1297"/>
      <c r="C5168" s="1297"/>
      <c r="D5168" s="1297" t="s">
        <v>935</v>
      </c>
      <c r="H5168" s="1399">
        <v>2646370.11</v>
      </c>
      <c r="I5168" s="1399">
        <v>2646370.11</v>
      </c>
    </row>
    <row r="5169" spans="2:9">
      <c r="B5169" s="1297"/>
      <c r="C5169" s="1297"/>
      <c r="D5169" s="1297" t="s">
        <v>936</v>
      </c>
      <c r="H5169" s="1399">
        <v>80184.47</v>
      </c>
      <c r="I5169" s="1399">
        <v>80184.47</v>
      </c>
    </row>
    <row r="5170" spans="2:9">
      <c r="B5170" s="1297"/>
      <c r="C5170" s="1297"/>
      <c r="D5170" s="1297" t="s">
        <v>937</v>
      </c>
      <c r="H5170" s="1399">
        <v>28055.81</v>
      </c>
      <c r="I5170" s="1399">
        <v>28055.81</v>
      </c>
    </row>
    <row r="5171" spans="2:9">
      <c r="B5171" s="1297"/>
      <c r="C5171" s="1297"/>
      <c r="D5171" s="1297" t="s">
        <v>938</v>
      </c>
      <c r="H5171" s="1399">
        <v>20962</v>
      </c>
      <c r="I5171" s="1399">
        <v>20962</v>
      </c>
    </row>
    <row r="5172" spans="2:9">
      <c r="B5172" s="1297"/>
      <c r="C5172" s="1297"/>
      <c r="D5172" s="1297" t="s">
        <v>940</v>
      </c>
      <c r="E5172" s="1399">
        <v>1369287.9</v>
      </c>
      <c r="I5172" s="1399">
        <v>1369287.9</v>
      </c>
    </row>
    <row r="5173" spans="2:9">
      <c r="B5173" s="1297"/>
      <c r="C5173" s="1297"/>
      <c r="D5173" s="1297" t="s">
        <v>941</v>
      </c>
      <c r="E5173" s="1399">
        <v>726157.36</v>
      </c>
      <c r="I5173" s="1399">
        <v>726157.36</v>
      </c>
    </row>
    <row r="5174" spans="2:9">
      <c r="B5174" s="1297"/>
      <c r="C5174" s="1297"/>
      <c r="D5174" s="1297" t="s">
        <v>943</v>
      </c>
      <c r="E5174" s="1399">
        <v>4938.0200000000004</v>
      </c>
      <c r="I5174" s="1399">
        <v>4938.0200000000004</v>
      </c>
    </row>
    <row r="5175" spans="2:9">
      <c r="B5175" s="1297"/>
      <c r="C5175" s="1297"/>
      <c r="D5175" s="1297" t="s">
        <v>944</v>
      </c>
      <c r="E5175" s="1399">
        <v>3587058.52</v>
      </c>
      <c r="I5175" s="1399">
        <v>3587058.52</v>
      </c>
    </row>
    <row r="5176" spans="2:9">
      <c r="B5176" s="1297"/>
      <c r="C5176" s="1297"/>
      <c r="D5176" s="1297" t="s">
        <v>945</v>
      </c>
      <c r="E5176" s="1399">
        <v>2090976.3299999998</v>
      </c>
      <c r="I5176" s="1399">
        <v>2090976.3299999998</v>
      </c>
    </row>
    <row r="5177" spans="2:9">
      <c r="B5177" s="1297"/>
      <c r="C5177" s="1297"/>
      <c r="D5177" s="1297" t="s">
        <v>947</v>
      </c>
      <c r="E5177" s="1399">
        <v>145756.12</v>
      </c>
      <c r="I5177" s="1399">
        <v>145756.12</v>
      </c>
    </row>
    <row r="5178" spans="2:9">
      <c r="B5178" s="1297"/>
      <c r="C5178" s="1297"/>
      <c r="D5178" s="1297" t="s">
        <v>948</v>
      </c>
      <c r="G5178" s="1399">
        <v>1247652.1200000001</v>
      </c>
      <c r="I5178" s="1399">
        <v>1247652.1200000001</v>
      </c>
    </row>
    <row r="5179" spans="2:9">
      <c r="B5179" s="1297"/>
      <c r="C5179" s="1297"/>
      <c r="D5179" s="1297" t="s">
        <v>956</v>
      </c>
      <c r="G5179" s="1399">
        <v>499750</v>
      </c>
      <c r="I5179" s="1399">
        <v>499750</v>
      </c>
    </row>
    <row r="5180" spans="2:9">
      <c r="B5180" s="1297"/>
      <c r="C5180" s="1400" t="s">
        <v>1361</v>
      </c>
      <c r="D5180" s="1400"/>
      <c r="E5180" s="1401">
        <v>7924174.25</v>
      </c>
      <c r="F5180" s="1401">
        <v>18460416.609999992</v>
      </c>
      <c r="G5180" s="1401">
        <v>1747402.12</v>
      </c>
      <c r="H5180" s="1401">
        <v>27478360.439999994</v>
      </c>
      <c r="I5180" s="1401">
        <v>55610353.419999987</v>
      </c>
    </row>
    <row r="5181" spans="2:9">
      <c r="B5181" s="1297" t="s">
        <v>1362</v>
      </c>
      <c r="C5181" s="1297" t="s">
        <v>1363</v>
      </c>
      <c r="D5181" s="1297" t="s">
        <v>906</v>
      </c>
      <c r="F5181" s="1399">
        <v>14196217.390000001</v>
      </c>
      <c r="I5181" s="1399">
        <v>14196217.390000001</v>
      </c>
    </row>
    <row r="5182" spans="2:9">
      <c r="B5182" s="1297"/>
      <c r="C5182" s="1297"/>
      <c r="D5182" s="1297" t="s">
        <v>952</v>
      </c>
      <c r="F5182" s="1399">
        <v>161979.07</v>
      </c>
      <c r="I5182" s="1399">
        <v>161979.07</v>
      </c>
    </row>
    <row r="5183" spans="2:9">
      <c r="B5183" s="1297"/>
      <c r="C5183" s="1297"/>
      <c r="D5183" s="1297" t="s">
        <v>907</v>
      </c>
      <c r="F5183" s="1399">
        <v>8008850.21</v>
      </c>
      <c r="I5183" s="1399">
        <v>8008850.21</v>
      </c>
    </row>
    <row r="5184" spans="2:9">
      <c r="B5184" s="1297"/>
      <c r="C5184" s="1297"/>
      <c r="D5184" s="1297" t="s">
        <v>908</v>
      </c>
      <c r="F5184" s="1399">
        <v>16666.8</v>
      </c>
      <c r="I5184" s="1399">
        <v>16666.8</v>
      </c>
    </row>
    <row r="5185" spans="2:9">
      <c r="B5185" s="1297"/>
      <c r="C5185" s="1297"/>
      <c r="D5185" s="1297" t="s">
        <v>909</v>
      </c>
      <c r="F5185" s="1399">
        <v>16934.3</v>
      </c>
      <c r="I5185" s="1399">
        <v>16934.3</v>
      </c>
    </row>
    <row r="5186" spans="2:9">
      <c r="B5186" s="1297"/>
      <c r="C5186" s="1297"/>
      <c r="D5186" s="1297" t="s">
        <v>910</v>
      </c>
      <c r="F5186" s="1399">
        <v>38305</v>
      </c>
      <c r="I5186" s="1399">
        <v>38305</v>
      </c>
    </row>
    <row r="5187" spans="2:9">
      <c r="B5187" s="1297"/>
      <c r="C5187" s="1297"/>
      <c r="D5187" s="1297" t="s">
        <v>1034</v>
      </c>
      <c r="F5187" s="1399">
        <v>13260.8</v>
      </c>
      <c r="I5187" s="1399">
        <v>13260.8</v>
      </c>
    </row>
    <row r="5188" spans="2:9">
      <c r="B5188" s="1297"/>
      <c r="C5188" s="1297"/>
      <c r="D5188" s="1297" t="s">
        <v>1035</v>
      </c>
      <c r="F5188" s="1399">
        <v>1146694.99</v>
      </c>
      <c r="I5188" s="1399">
        <v>1146694.99</v>
      </c>
    </row>
    <row r="5189" spans="2:9">
      <c r="B5189" s="1297"/>
      <c r="C5189" s="1297"/>
      <c r="D5189" s="1297" t="s">
        <v>1036</v>
      </c>
      <c r="F5189" s="1399">
        <v>320151.27</v>
      </c>
      <c r="I5189" s="1399">
        <v>320151.27</v>
      </c>
    </row>
    <row r="5190" spans="2:9">
      <c r="B5190" s="1297"/>
      <c r="C5190" s="1297"/>
      <c r="D5190" s="1297" t="s">
        <v>1003</v>
      </c>
      <c r="F5190" s="1399">
        <v>8778</v>
      </c>
      <c r="I5190" s="1399">
        <v>8778</v>
      </c>
    </row>
    <row r="5191" spans="2:9">
      <c r="B5191" s="1297"/>
      <c r="C5191" s="1297"/>
      <c r="D5191" s="1297" t="s">
        <v>1039</v>
      </c>
      <c r="F5191" s="1399">
        <v>13749.26</v>
      </c>
      <c r="I5191" s="1399">
        <v>13749.26</v>
      </c>
    </row>
    <row r="5192" spans="2:9">
      <c r="B5192" s="1297"/>
      <c r="C5192" s="1297"/>
      <c r="D5192" s="1297" t="s">
        <v>1040</v>
      </c>
      <c r="F5192" s="1399">
        <v>234071.84</v>
      </c>
      <c r="I5192" s="1399">
        <v>234071.84</v>
      </c>
    </row>
    <row r="5193" spans="2:9">
      <c r="B5193" s="1297"/>
      <c r="C5193" s="1297"/>
      <c r="D5193" s="1297" t="s">
        <v>1127</v>
      </c>
      <c r="F5193" s="1399">
        <v>33465.759999999995</v>
      </c>
      <c r="I5193" s="1399">
        <v>33465.759999999995</v>
      </c>
    </row>
    <row r="5194" spans="2:9">
      <c r="B5194" s="1297"/>
      <c r="C5194" s="1297"/>
      <c r="D5194" s="1297" t="s">
        <v>1041</v>
      </c>
      <c r="F5194" s="1399">
        <v>35672.719999999994</v>
      </c>
      <c r="I5194" s="1399">
        <v>35672.719999999994</v>
      </c>
    </row>
    <row r="5195" spans="2:9">
      <c r="B5195" s="1297"/>
      <c r="C5195" s="1297"/>
      <c r="D5195" s="1297" t="s">
        <v>1042</v>
      </c>
      <c r="F5195" s="1399">
        <v>94087.930000000008</v>
      </c>
      <c r="I5195" s="1399">
        <v>94087.930000000008</v>
      </c>
    </row>
    <row r="5196" spans="2:9">
      <c r="B5196" s="1297"/>
      <c r="C5196" s="1297"/>
      <c r="D5196" s="1297" t="s">
        <v>953</v>
      </c>
      <c r="F5196" s="1399">
        <v>3812.91</v>
      </c>
      <c r="I5196" s="1399">
        <v>3812.91</v>
      </c>
    </row>
    <row r="5197" spans="2:9">
      <c r="B5197" s="1297"/>
      <c r="C5197" s="1297"/>
      <c r="D5197" s="1297" t="s">
        <v>1043</v>
      </c>
      <c r="F5197" s="1399">
        <v>26653.1</v>
      </c>
      <c r="I5197" s="1399">
        <v>26653.1</v>
      </c>
    </row>
    <row r="5198" spans="2:9">
      <c r="B5198" s="1297"/>
      <c r="C5198" s="1297"/>
      <c r="D5198" s="1297" t="s">
        <v>986</v>
      </c>
      <c r="F5198" s="1399">
        <v>38091</v>
      </c>
      <c r="I5198" s="1399">
        <v>38091</v>
      </c>
    </row>
    <row r="5199" spans="2:9">
      <c r="B5199" s="1297"/>
      <c r="C5199" s="1297"/>
      <c r="D5199" s="1297" t="s">
        <v>996</v>
      </c>
      <c r="F5199" s="1399">
        <v>1402.23</v>
      </c>
      <c r="I5199" s="1399">
        <v>1402.23</v>
      </c>
    </row>
    <row r="5200" spans="2:9">
      <c r="B5200" s="1297"/>
      <c r="C5200" s="1297"/>
      <c r="D5200" s="1297" t="s">
        <v>1044</v>
      </c>
      <c r="F5200" s="1399">
        <v>63747.93</v>
      </c>
      <c r="I5200" s="1399">
        <v>63747.93</v>
      </c>
    </row>
    <row r="5201" spans="2:9">
      <c r="B5201" s="1297"/>
      <c r="C5201" s="1297"/>
      <c r="D5201" s="1297" t="s">
        <v>1045</v>
      </c>
      <c r="F5201" s="1399">
        <v>419100.89999999991</v>
      </c>
      <c r="I5201" s="1399">
        <v>419100.89999999991</v>
      </c>
    </row>
    <row r="5202" spans="2:9">
      <c r="B5202" s="1297"/>
      <c r="C5202" s="1297"/>
      <c r="D5202" s="1297" t="s">
        <v>1046</v>
      </c>
      <c r="H5202" s="1399">
        <v>36882634</v>
      </c>
      <c r="I5202" s="1399">
        <v>36882634</v>
      </c>
    </row>
    <row r="5203" spans="2:9">
      <c r="B5203" s="1297"/>
      <c r="C5203" s="1297"/>
      <c r="D5203" s="1297" t="s">
        <v>1047</v>
      </c>
      <c r="H5203" s="1399">
        <v>808412</v>
      </c>
      <c r="I5203" s="1399">
        <v>808412</v>
      </c>
    </row>
    <row r="5204" spans="2:9">
      <c r="B5204" s="1297"/>
      <c r="C5204" s="1297"/>
      <c r="D5204" s="1297" t="s">
        <v>1048</v>
      </c>
      <c r="H5204" s="1399">
        <v>-4691522</v>
      </c>
      <c r="I5204" s="1399">
        <v>-4691522</v>
      </c>
    </row>
    <row r="5205" spans="2:9">
      <c r="B5205" s="1297"/>
      <c r="C5205" s="1297"/>
      <c r="D5205" s="1297" t="s">
        <v>932</v>
      </c>
      <c r="H5205" s="1399">
        <v>3906251</v>
      </c>
      <c r="I5205" s="1399">
        <v>3906251</v>
      </c>
    </row>
    <row r="5206" spans="2:9">
      <c r="B5206" s="1297"/>
      <c r="C5206" s="1297"/>
      <c r="D5206" s="1297" t="s">
        <v>955</v>
      </c>
      <c r="H5206" s="1399">
        <v>1341644.44</v>
      </c>
      <c r="I5206" s="1399">
        <v>1341644.44</v>
      </c>
    </row>
    <row r="5207" spans="2:9">
      <c r="B5207" s="1297"/>
      <c r="C5207" s="1297"/>
      <c r="D5207" s="1297" t="s">
        <v>934</v>
      </c>
      <c r="H5207" s="1399">
        <v>123498</v>
      </c>
      <c r="I5207" s="1399">
        <v>123498</v>
      </c>
    </row>
    <row r="5208" spans="2:9">
      <c r="B5208" s="1297"/>
      <c r="C5208" s="1297"/>
      <c r="D5208" s="1297" t="s">
        <v>1130</v>
      </c>
      <c r="H5208" s="1399">
        <v>101026.8</v>
      </c>
      <c r="I5208" s="1399">
        <v>101026.8</v>
      </c>
    </row>
    <row r="5209" spans="2:9">
      <c r="B5209" s="1297"/>
      <c r="C5209" s="1297"/>
      <c r="D5209" s="1297" t="s">
        <v>935</v>
      </c>
      <c r="H5209" s="1399">
        <v>685603.53</v>
      </c>
      <c r="I5209" s="1399">
        <v>685603.53</v>
      </c>
    </row>
    <row r="5210" spans="2:9">
      <c r="B5210" s="1297"/>
      <c r="C5210" s="1297"/>
      <c r="D5210" s="1297" t="s">
        <v>936</v>
      </c>
      <c r="H5210" s="1399">
        <v>100143.05</v>
      </c>
      <c r="I5210" s="1399">
        <v>100143.05</v>
      </c>
    </row>
    <row r="5211" spans="2:9">
      <c r="B5211" s="1297"/>
      <c r="C5211" s="1297"/>
      <c r="D5211" s="1297" t="s">
        <v>937</v>
      </c>
      <c r="H5211" s="1399">
        <v>69433.62</v>
      </c>
      <c r="I5211" s="1399">
        <v>69433.62</v>
      </c>
    </row>
    <row r="5212" spans="2:9">
      <c r="B5212" s="1297"/>
      <c r="C5212" s="1297"/>
      <c r="D5212" s="1297" t="s">
        <v>938</v>
      </c>
      <c r="H5212" s="1399">
        <v>26202</v>
      </c>
      <c r="I5212" s="1399">
        <v>26202</v>
      </c>
    </row>
    <row r="5213" spans="2:9">
      <c r="B5213" s="1297"/>
      <c r="C5213" s="1297"/>
      <c r="D5213" s="1297" t="s">
        <v>1131</v>
      </c>
      <c r="E5213" s="1399">
        <v>88538.46</v>
      </c>
      <c r="I5213" s="1399">
        <v>88538.46</v>
      </c>
    </row>
    <row r="5214" spans="2:9">
      <c r="B5214" s="1297"/>
      <c r="C5214" s="1297"/>
      <c r="D5214" s="1297" t="s">
        <v>940</v>
      </c>
      <c r="E5214" s="1399">
        <v>2228891.2200000002</v>
      </c>
      <c r="I5214" s="1399">
        <v>2228891.2200000002</v>
      </c>
    </row>
    <row r="5215" spans="2:9">
      <c r="B5215" s="1297"/>
      <c r="C5215" s="1297"/>
      <c r="D5215" s="1297" t="s">
        <v>941</v>
      </c>
      <c r="E5215" s="1399">
        <v>761862.24</v>
      </c>
      <c r="I5215" s="1399">
        <v>761862.24</v>
      </c>
    </row>
    <row r="5216" spans="2:9">
      <c r="B5216" s="1297"/>
      <c r="C5216" s="1297"/>
      <c r="D5216" s="1297" t="s">
        <v>943</v>
      </c>
      <c r="E5216" s="1399">
        <v>39019.460000000006</v>
      </c>
      <c r="I5216" s="1399">
        <v>39019.460000000006</v>
      </c>
    </row>
    <row r="5217" spans="2:9">
      <c r="B5217" s="1297"/>
      <c r="C5217" s="1297"/>
      <c r="D5217" s="1297" t="s">
        <v>944</v>
      </c>
      <c r="E5217" s="1399">
        <v>6962582.2800000012</v>
      </c>
      <c r="I5217" s="1399">
        <v>6962582.2800000012</v>
      </c>
    </row>
    <row r="5218" spans="2:9">
      <c r="B5218" s="1297"/>
      <c r="C5218" s="1297"/>
      <c r="D5218" s="1297" t="s">
        <v>945</v>
      </c>
      <c r="E5218" s="1399">
        <v>4753976.4400000004</v>
      </c>
      <c r="I5218" s="1399">
        <v>4753976.4400000004</v>
      </c>
    </row>
    <row r="5219" spans="2:9">
      <c r="B5219" s="1297"/>
      <c r="C5219" s="1297"/>
      <c r="D5219" s="1297" t="s">
        <v>947</v>
      </c>
      <c r="E5219" s="1399">
        <v>208363.61000000002</v>
      </c>
      <c r="I5219" s="1399">
        <v>208363.61000000002</v>
      </c>
    </row>
    <row r="5220" spans="2:9">
      <c r="B5220" s="1297"/>
      <c r="C5220" s="1297"/>
      <c r="D5220" s="1297" t="s">
        <v>1115</v>
      </c>
      <c r="E5220" s="1399">
        <v>20</v>
      </c>
      <c r="I5220" s="1399">
        <v>20</v>
      </c>
    </row>
    <row r="5221" spans="2:9">
      <c r="B5221" s="1297"/>
      <c r="C5221" s="1297"/>
      <c r="D5221" s="1297" t="s">
        <v>948</v>
      </c>
      <c r="G5221" s="1399">
        <v>646226.12999999989</v>
      </c>
      <c r="I5221" s="1399">
        <v>646226.12999999989</v>
      </c>
    </row>
    <row r="5222" spans="2:9">
      <c r="B5222" s="1297"/>
      <c r="C5222" s="1297"/>
      <c r="D5222" s="1297" t="s">
        <v>956</v>
      </c>
      <c r="G5222" s="1399">
        <v>17650</v>
      </c>
      <c r="I5222" s="1399">
        <v>17650</v>
      </c>
    </row>
    <row r="5223" spans="2:9">
      <c r="B5223" s="1297"/>
      <c r="C5223" s="1400" t="s">
        <v>1364</v>
      </c>
      <c r="D5223" s="1400"/>
      <c r="E5223" s="1401">
        <v>15043253.710000001</v>
      </c>
      <c r="F5223" s="1401">
        <v>24891693.410000004</v>
      </c>
      <c r="G5223" s="1401">
        <v>663876.12999999989</v>
      </c>
      <c r="H5223" s="1401">
        <v>39353326.43999999</v>
      </c>
      <c r="I5223" s="1401">
        <v>79952149.689999983</v>
      </c>
    </row>
    <row r="5224" spans="2:9">
      <c r="B5224" s="1297" t="s">
        <v>1365</v>
      </c>
      <c r="C5224" s="1297" t="s">
        <v>1366</v>
      </c>
      <c r="D5224" s="1297" t="s">
        <v>906</v>
      </c>
      <c r="F5224" s="1399">
        <v>3564532.1</v>
      </c>
      <c r="I5224" s="1399">
        <v>3564532.1</v>
      </c>
    </row>
    <row r="5225" spans="2:9">
      <c r="B5225" s="1297"/>
      <c r="C5225" s="1297"/>
      <c r="D5225" s="1297" t="s">
        <v>907</v>
      </c>
      <c r="F5225" s="1399">
        <v>2346518.0299999998</v>
      </c>
      <c r="I5225" s="1399">
        <v>2346518.0299999998</v>
      </c>
    </row>
    <row r="5226" spans="2:9">
      <c r="B5226" s="1297"/>
      <c r="C5226" s="1297"/>
      <c r="D5226" s="1297" t="s">
        <v>908</v>
      </c>
      <c r="F5226" s="1399">
        <v>39036.720000000001</v>
      </c>
      <c r="I5226" s="1399">
        <v>39036.720000000001</v>
      </c>
    </row>
    <row r="5227" spans="2:9">
      <c r="B5227" s="1297"/>
      <c r="C5227" s="1297"/>
      <c r="D5227" s="1297" t="s">
        <v>909</v>
      </c>
      <c r="F5227" s="1399">
        <v>21846.12</v>
      </c>
      <c r="I5227" s="1399">
        <v>21846.12</v>
      </c>
    </row>
    <row r="5228" spans="2:9">
      <c r="B5228" s="1297"/>
      <c r="C5228" s="1297"/>
      <c r="D5228" s="1297" t="s">
        <v>910</v>
      </c>
      <c r="F5228" s="1399">
        <v>36057.800000000003</v>
      </c>
      <c r="I5228" s="1399">
        <v>36057.800000000003</v>
      </c>
    </row>
    <row r="5229" spans="2:9">
      <c r="B5229" s="1297"/>
      <c r="C5229" s="1297"/>
      <c r="D5229" s="1297" t="s">
        <v>1034</v>
      </c>
      <c r="F5229" s="1399">
        <v>62523</v>
      </c>
      <c r="I5229" s="1399">
        <v>62523</v>
      </c>
    </row>
    <row r="5230" spans="2:9">
      <c r="B5230" s="1297"/>
      <c r="C5230" s="1297"/>
      <c r="D5230" s="1297" t="s">
        <v>1035</v>
      </c>
      <c r="F5230" s="1399">
        <v>269364.45</v>
      </c>
      <c r="I5230" s="1399">
        <v>269364.45</v>
      </c>
    </row>
    <row r="5231" spans="2:9">
      <c r="B5231" s="1297"/>
      <c r="C5231" s="1297"/>
      <c r="D5231" s="1297" t="s">
        <v>1036</v>
      </c>
      <c r="F5231" s="1399">
        <v>107049.23</v>
      </c>
      <c r="I5231" s="1399">
        <v>107049.23</v>
      </c>
    </row>
    <row r="5232" spans="2:9">
      <c r="B5232" s="1297"/>
      <c r="C5232" s="1297"/>
      <c r="D5232" s="1297" t="s">
        <v>1039</v>
      </c>
      <c r="F5232" s="1399">
        <v>20919.04</v>
      </c>
      <c r="I5232" s="1399">
        <v>20919.04</v>
      </c>
    </row>
    <row r="5233" spans="2:9">
      <c r="B5233" s="1297"/>
      <c r="C5233" s="1297"/>
      <c r="D5233" s="1297" t="s">
        <v>1040</v>
      </c>
      <c r="F5233" s="1399">
        <v>213983.46000000002</v>
      </c>
      <c r="I5233" s="1399">
        <v>213983.46000000002</v>
      </c>
    </row>
    <row r="5234" spans="2:9">
      <c r="B5234" s="1297"/>
      <c r="C5234" s="1297"/>
      <c r="D5234" s="1297" t="s">
        <v>1041</v>
      </c>
      <c r="F5234" s="1399">
        <v>13253.619999999999</v>
      </c>
      <c r="I5234" s="1399">
        <v>13253.619999999999</v>
      </c>
    </row>
    <row r="5235" spans="2:9">
      <c r="B5235" s="1297"/>
      <c r="C5235" s="1297"/>
      <c r="D5235" s="1297" t="s">
        <v>1042</v>
      </c>
      <c r="F5235" s="1399">
        <v>69353.03</v>
      </c>
      <c r="I5235" s="1399">
        <v>69353.03</v>
      </c>
    </row>
    <row r="5236" spans="2:9">
      <c r="B5236" s="1297"/>
      <c r="C5236" s="1297"/>
      <c r="D5236" s="1297" t="s">
        <v>1044</v>
      </c>
      <c r="F5236" s="1399">
        <v>16291.76</v>
      </c>
      <c r="I5236" s="1399">
        <v>16291.76</v>
      </c>
    </row>
    <row r="5237" spans="2:9">
      <c r="B5237" s="1297"/>
      <c r="C5237" s="1297"/>
      <c r="D5237" s="1297" t="s">
        <v>1045</v>
      </c>
      <c r="F5237" s="1399">
        <v>431322.26</v>
      </c>
      <c r="I5237" s="1399">
        <v>431322.26</v>
      </c>
    </row>
    <row r="5238" spans="2:9">
      <c r="B5238" s="1297"/>
      <c r="C5238" s="1297"/>
      <c r="D5238" s="1297" t="s">
        <v>1046</v>
      </c>
      <c r="H5238" s="1399">
        <v>14373324</v>
      </c>
      <c r="I5238" s="1399">
        <v>14373324</v>
      </c>
    </row>
    <row r="5239" spans="2:9">
      <c r="B5239" s="1297"/>
      <c r="C5239" s="1297"/>
      <c r="D5239" s="1297" t="s">
        <v>1047</v>
      </c>
      <c r="H5239" s="1399">
        <v>524358</v>
      </c>
      <c r="I5239" s="1399">
        <v>524358</v>
      </c>
    </row>
    <row r="5240" spans="2:9">
      <c r="B5240" s="1297"/>
      <c r="C5240" s="1297"/>
      <c r="D5240" s="1297" t="s">
        <v>1048</v>
      </c>
      <c r="H5240" s="1399">
        <v>-1354789</v>
      </c>
      <c r="I5240" s="1399">
        <v>-1354789</v>
      </c>
    </row>
    <row r="5241" spans="2:9">
      <c r="B5241" s="1297"/>
      <c r="C5241" s="1297"/>
      <c r="D5241" s="1297" t="s">
        <v>932</v>
      </c>
      <c r="H5241" s="1399">
        <v>1564709</v>
      </c>
      <c r="I5241" s="1399">
        <v>1564709</v>
      </c>
    </row>
    <row r="5242" spans="2:9">
      <c r="B5242" s="1297"/>
      <c r="C5242" s="1297"/>
      <c r="D5242" s="1297" t="s">
        <v>955</v>
      </c>
      <c r="H5242" s="1399">
        <v>950175.51</v>
      </c>
      <c r="I5242" s="1399">
        <v>950175.51</v>
      </c>
    </row>
    <row r="5243" spans="2:9">
      <c r="B5243" s="1297"/>
      <c r="C5243" s="1297"/>
      <c r="D5243" s="1297" t="s">
        <v>934</v>
      </c>
      <c r="H5243" s="1399">
        <v>54868</v>
      </c>
      <c r="I5243" s="1399">
        <v>54868</v>
      </c>
    </row>
    <row r="5244" spans="2:9">
      <c r="B5244" s="1297"/>
      <c r="C5244" s="1297"/>
      <c r="D5244" s="1297" t="s">
        <v>935</v>
      </c>
      <c r="H5244" s="1399">
        <v>324687.94</v>
      </c>
      <c r="I5244" s="1399">
        <v>324687.94</v>
      </c>
    </row>
    <row r="5245" spans="2:9">
      <c r="B5245" s="1297"/>
      <c r="C5245" s="1297"/>
      <c r="D5245" s="1297" t="s">
        <v>936</v>
      </c>
      <c r="H5245" s="1399">
        <v>36765.81</v>
      </c>
      <c r="I5245" s="1399">
        <v>36765.81</v>
      </c>
    </row>
    <row r="5246" spans="2:9">
      <c r="B5246" s="1297"/>
      <c r="C5246" s="1297"/>
      <c r="D5246" s="1297" t="s">
        <v>938</v>
      </c>
      <c r="H5246" s="1399">
        <v>17406</v>
      </c>
      <c r="I5246" s="1399">
        <v>17406</v>
      </c>
    </row>
    <row r="5247" spans="2:9">
      <c r="B5247" s="1297"/>
      <c r="C5247" s="1297"/>
      <c r="D5247" s="1297" t="s">
        <v>940</v>
      </c>
      <c r="E5247" s="1399">
        <v>943207.83000000007</v>
      </c>
      <c r="I5247" s="1399">
        <v>943207.83000000007</v>
      </c>
    </row>
    <row r="5248" spans="2:9">
      <c r="B5248" s="1297"/>
      <c r="C5248" s="1297"/>
      <c r="D5248" s="1297" t="s">
        <v>941</v>
      </c>
      <c r="E5248" s="1399">
        <v>315420.45999999996</v>
      </c>
      <c r="I5248" s="1399">
        <v>315420.45999999996</v>
      </c>
    </row>
    <row r="5249" spans="2:9">
      <c r="B5249" s="1297"/>
      <c r="C5249" s="1297"/>
      <c r="D5249" s="1297" t="s">
        <v>942</v>
      </c>
      <c r="E5249" s="1399">
        <v>13478.900000000001</v>
      </c>
      <c r="I5249" s="1399">
        <v>13478.900000000001</v>
      </c>
    </row>
    <row r="5250" spans="2:9">
      <c r="B5250" s="1297"/>
      <c r="C5250" s="1297"/>
      <c r="D5250" s="1297" t="s">
        <v>943</v>
      </c>
      <c r="E5250" s="1399">
        <v>8267.2799999999988</v>
      </c>
      <c r="I5250" s="1399">
        <v>8267.2799999999988</v>
      </c>
    </row>
    <row r="5251" spans="2:9">
      <c r="B5251" s="1297"/>
      <c r="C5251" s="1297"/>
      <c r="D5251" s="1297" t="s">
        <v>944</v>
      </c>
      <c r="E5251" s="1399">
        <v>2534343.8200000003</v>
      </c>
      <c r="I5251" s="1399">
        <v>2534343.8200000003</v>
      </c>
    </row>
    <row r="5252" spans="2:9">
      <c r="B5252" s="1297"/>
      <c r="C5252" s="1297"/>
      <c r="D5252" s="1297" t="s">
        <v>945</v>
      </c>
      <c r="E5252" s="1399">
        <v>1858148.13</v>
      </c>
      <c r="I5252" s="1399">
        <v>1858148.13</v>
      </c>
    </row>
    <row r="5253" spans="2:9">
      <c r="B5253" s="1297"/>
      <c r="C5253" s="1297"/>
      <c r="D5253" s="1297" t="s">
        <v>947</v>
      </c>
      <c r="E5253" s="1399">
        <v>122181.10999999999</v>
      </c>
      <c r="I5253" s="1399">
        <v>122181.10999999999</v>
      </c>
    </row>
    <row r="5254" spans="2:9">
      <c r="B5254" s="1297"/>
      <c r="C5254" s="1297"/>
      <c r="D5254" s="1297" t="s">
        <v>948</v>
      </c>
      <c r="G5254" s="1399">
        <v>-436616.36000000004</v>
      </c>
      <c r="I5254" s="1399">
        <v>-436616.36000000004</v>
      </c>
    </row>
    <row r="5255" spans="2:9">
      <c r="B5255" s="1297"/>
      <c r="C5255" s="1297"/>
      <c r="D5255" s="1297" t="s">
        <v>1118</v>
      </c>
      <c r="G5255" s="1399">
        <v>3691.68</v>
      </c>
      <c r="I5255" s="1399">
        <v>3691.68</v>
      </c>
    </row>
    <row r="5256" spans="2:9">
      <c r="B5256" s="1297"/>
      <c r="C5256" s="1400" t="s">
        <v>1367</v>
      </c>
      <c r="D5256" s="1400"/>
      <c r="E5256" s="1401">
        <v>5795047.5300000003</v>
      </c>
      <c r="F5256" s="1401">
        <v>7212050.6200000001</v>
      </c>
      <c r="G5256" s="1401">
        <v>-432924.68000000005</v>
      </c>
      <c r="H5256" s="1401">
        <v>16491505.26</v>
      </c>
      <c r="I5256" s="1401">
        <v>29065678.73</v>
      </c>
    </row>
    <row r="5257" spans="2:9">
      <c r="B5257" s="1297" t="s">
        <v>1368</v>
      </c>
      <c r="C5257" s="1297" t="s">
        <v>1369</v>
      </c>
      <c r="D5257" s="1297" t="s">
        <v>906</v>
      </c>
      <c r="F5257" s="1399">
        <v>4442201.47</v>
      </c>
      <c r="I5257" s="1399">
        <v>4442201.47</v>
      </c>
    </row>
    <row r="5258" spans="2:9">
      <c r="B5258" s="1297"/>
      <c r="C5258" s="1297"/>
      <c r="D5258" s="1297" t="s">
        <v>1126</v>
      </c>
      <c r="F5258" s="1399">
        <v>1694378.07</v>
      </c>
      <c r="I5258" s="1399">
        <v>1694378.07</v>
      </c>
    </row>
    <row r="5259" spans="2:9">
      <c r="B5259" s="1297"/>
      <c r="C5259" s="1297"/>
      <c r="D5259" s="1297" t="s">
        <v>952</v>
      </c>
      <c r="F5259" s="1399">
        <v>38573.08</v>
      </c>
      <c r="I5259" s="1399">
        <v>38573.08</v>
      </c>
    </row>
    <row r="5260" spans="2:9">
      <c r="B5260" s="1297"/>
      <c r="C5260" s="1297"/>
      <c r="D5260" s="1297" t="s">
        <v>907</v>
      </c>
      <c r="F5260" s="1399">
        <v>1690529.77</v>
      </c>
      <c r="I5260" s="1399">
        <v>1690529.77</v>
      </c>
    </row>
    <row r="5261" spans="2:9">
      <c r="B5261" s="1297"/>
      <c r="C5261" s="1297"/>
      <c r="D5261" s="1297" t="s">
        <v>909</v>
      </c>
      <c r="F5261" s="1399">
        <v>7439.07</v>
      </c>
      <c r="I5261" s="1399">
        <v>7439.07</v>
      </c>
    </row>
    <row r="5262" spans="2:9">
      <c r="B5262" s="1297"/>
      <c r="C5262" s="1297"/>
      <c r="D5262" s="1297" t="s">
        <v>910</v>
      </c>
      <c r="F5262" s="1399">
        <v>35189.68</v>
      </c>
      <c r="I5262" s="1399">
        <v>35189.68</v>
      </c>
    </row>
    <row r="5263" spans="2:9">
      <c r="B5263" s="1297"/>
      <c r="C5263" s="1297"/>
      <c r="D5263" s="1297" t="s">
        <v>1034</v>
      </c>
      <c r="F5263" s="1399">
        <v>57261.06</v>
      </c>
      <c r="I5263" s="1399">
        <v>57261.06</v>
      </c>
    </row>
    <row r="5264" spans="2:9">
      <c r="B5264" s="1297"/>
      <c r="C5264" s="1297"/>
      <c r="D5264" s="1297" t="s">
        <v>1035</v>
      </c>
      <c r="F5264" s="1399">
        <v>264626.69999999995</v>
      </c>
      <c r="I5264" s="1399">
        <v>264626.69999999995</v>
      </c>
    </row>
    <row r="5265" spans="2:9">
      <c r="B5265" s="1297"/>
      <c r="C5265" s="1297"/>
      <c r="D5265" s="1297" t="s">
        <v>1036</v>
      </c>
      <c r="F5265" s="1399">
        <v>63634.21</v>
      </c>
      <c r="I5265" s="1399">
        <v>63634.21</v>
      </c>
    </row>
    <row r="5266" spans="2:9">
      <c r="B5266" s="1297"/>
      <c r="C5266" s="1297"/>
      <c r="D5266" s="1297" t="s">
        <v>1039</v>
      </c>
      <c r="F5266" s="1399">
        <v>15071.720000000001</v>
      </c>
      <c r="I5266" s="1399">
        <v>15071.720000000001</v>
      </c>
    </row>
    <row r="5267" spans="2:9">
      <c r="B5267" s="1297"/>
      <c r="C5267" s="1297"/>
      <c r="D5267" s="1297" t="s">
        <v>1040</v>
      </c>
      <c r="F5267" s="1399">
        <v>121405.47</v>
      </c>
      <c r="I5267" s="1399">
        <v>121405.47</v>
      </c>
    </row>
    <row r="5268" spans="2:9">
      <c r="B5268" s="1297"/>
      <c r="C5268" s="1297"/>
      <c r="D5268" s="1297" t="s">
        <v>1041</v>
      </c>
      <c r="F5268" s="1399">
        <v>51721.45</v>
      </c>
      <c r="I5268" s="1399">
        <v>51721.45</v>
      </c>
    </row>
    <row r="5269" spans="2:9">
      <c r="B5269" s="1297"/>
      <c r="C5269" s="1297"/>
      <c r="D5269" s="1297" t="s">
        <v>1042</v>
      </c>
      <c r="F5269" s="1399">
        <v>32074.75</v>
      </c>
      <c r="I5269" s="1399">
        <v>32074.75</v>
      </c>
    </row>
    <row r="5270" spans="2:9">
      <c r="B5270" s="1297"/>
      <c r="C5270" s="1297"/>
      <c r="D5270" s="1297" t="s">
        <v>985</v>
      </c>
      <c r="F5270" s="1399">
        <v>17108</v>
      </c>
      <c r="I5270" s="1399">
        <v>17108</v>
      </c>
    </row>
    <row r="5271" spans="2:9">
      <c r="B5271" s="1297"/>
      <c r="C5271" s="1297"/>
      <c r="D5271" s="1297" t="s">
        <v>996</v>
      </c>
      <c r="F5271" s="1399">
        <v>168680.38</v>
      </c>
      <c r="I5271" s="1399">
        <v>168680.38</v>
      </c>
    </row>
    <row r="5272" spans="2:9">
      <c r="B5272" s="1297"/>
      <c r="C5272" s="1297"/>
      <c r="D5272" s="1297" t="s">
        <v>1004</v>
      </c>
      <c r="F5272" s="1399">
        <v>-29447.31</v>
      </c>
      <c r="I5272" s="1399">
        <v>-29447.31</v>
      </c>
    </row>
    <row r="5273" spans="2:9">
      <c r="B5273" s="1297"/>
      <c r="C5273" s="1297"/>
      <c r="D5273" s="1297" t="s">
        <v>1045</v>
      </c>
      <c r="F5273" s="1399">
        <v>275972.04000000004</v>
      </c>
      <c r="I5273" s="1399">
        <v>275972.04000000004</v>
      </c>
    </row>
    <row r="5274" spans="2:9">
      <c r="B5274" s="1297"/>
      <c r="C5274" s="1297"/>
      <c r="D5274" s="1297" t="s">
        <v>1046</v>
      </c>
      <c r="H5274" s="1399">
        <v>7016113</v>
      </c>
      <c r="I5274" s="1399">
        <v>7016113</v>
      </c>
    </row>
    <row r="5275" spans="2:9">
      <c r="B5275" s="1297"/>
      <c r="C5275" s="1297"/>
      <c r="D5275" s="1297" t="s">
        <v>1047</v>
      </c>
      <c r="H5275" s="1399">
        <v>269911</v>
      </c>
      <c r="I5275" s="1399">
        <v>269911</v>
      </c>
    </row>
    <row r="5276" spans="2:9">
      <c r="B5276" s="1297"/>
      <c r="C5276" s="1297"/>
      <c r="D5276" s="1297" t="s">
        <v>1048</v>
      </c>
      <c r="H5276" s="1399">
        <v>-3973801</v>
      </c>
      <c r="I5276" s="1399">
        <v>-3973801</v>
      </c>
    </row>
    <row r="5277" spans="2:9">
      <c r="B5277" s="1297"/>
      <c r="C5277" s="1297"/>
      <c r="D5277" s="1297" t="s">
        <v>934</v>
      </c>
      <c r="H5277" s="1399">
        <v>18476</v>
      </c>
      <c r="I5277" s="1399">
        <v>18476</v>
      </c>
    </row>
    <row r="5278" spans="2:9">
      <c r="B5278" s="1297"/>
      <c r="C5278" s="1297"/>
      <c r="D5278" s="1297" t="s">
        <v>935</v>
      </c>
      <c r="H5278" s="1399">
        <v>243788.1</v>
      </c>
      <c r="I5278" s="1399">
        <v>243788.1</v>
      </c>
    </row>
    <row r="5279" spans="2:9">
      <c r="B5279" s="1297"/>
      <c r="C5279" s="1297"/>
      <c r="D5279" s="1297" t="s">
        <v>936</v>
      </c>
      <c r="H5279" s="1399">
        <v>30463.1</v>
      </c>
      <c r="I5279" s="1399">
        <v>30463.1</v>
      </c>
    </row>
    <row r="5280" spans="2:9">
      <c r="B5280" s="1297"/>
      <c r="C5280" s="1297"/>
      <c r="D5280" s="1297" t="s">
        <v>937</v>
      </c>
      <c r="H5280" s="1399">
        <v>9932.1</v>
      </c>
      <c r="I5280" s="1399">
        <v>9932.1</v>
      </c>
    </row>
    <row r="5281" spans="2:9">
      <c r="B5281" s="1297"/>
      <c r="C5281" s="1297"/>
      <c r="D5281" s="1297" t="s">
        <v>938</v>
      </c>
      <c r="H5281" s="1399">
        <v>7486</v>
      </c>
      <c r="I5281" s="1399">
        <v>7486</v>
      </c>
    </row>
    <row r="5282" spans="2:9">
      <c r="B5282" s="1297"/>
      <c r="C5282" s="1297"/>
      <c r="D5282" s="1297" t="s">
        <v>939</v>
      </c>
      <c r="H5282" s="1399">
        <v>100756.62000000001</v>
      </c>
      <c r="I5282" s="1399">
        <v>100756.62000000001</v>
      </c>
    </row>
    <row r="5283" spans="2:9">
      <c r="B5283" s="1297"/>
      <c r="C5283" s="1297"/>
      <c r="D5283" s="1297" t="s">
        <v>940</v>
      </c>
      <c r="E5283" s="1399">
        <v>283442.52</v>
      </c>
      <c r="I5283" s="1399">
        <v>283442.52</v>
      </c>
    </row>
    <row r="5284" spans="2:9">
      <c r="B5284" s="1297"/>
      <c r="C5284" s="1297"/>
      <c r="D5284" s="1297" t="s">
        <v>941</v>
      </c>
      <c r="E5284" s="1399">
        <v>107797</v>
      </c>
      <c r="I5284" s="1399">
        <v>107797</v>
      </c>
    </row>
    <row r="5285" spans="2:9">
      <c r="B5285" s="1297"/>
      <c r="C5285" s="1297"/>
      <c r="D5285" s="1297" t="s">
        <v>943</v>
      </c>
      <c r="E5285" s="1399">
        <v>8231.76</v>
      </c>
      <c r="I5285" s="1399">
        <v>8231.76</v>
      </c>
    </row>
    <row r="5286" spans="2:9">
      <c r="B5286" s="1297"/>
      <c r="C5286" s="1297"/>
      <c r="D5286" s="1297" t="s">
        <v>944</v>
      </c>
      <c r="E5286" s="1399">
        <v>892917.24</v>
      </c>
      <c r="I5286" s="1399">
        <v>892917.24</v>
      </c>
    </row>
    <row r="5287" spans="2:9">
      <c r="B5287" s="1297"/>
      <c r="C5287" s="1297"/>
      <c r="D5287" s="1297" t="s">
        <v>945</v>
      </c>
      <c r="E5287" s="1399">
        <v>436406.5</v>
      </c>
      <c r="I5287" s="1399">
        <v>436406.5</v>
      </c>
    </row>
    <row r="5288" spans="2:9">
      <c r="B5288" s="1297"/>
      <c r="C5288" s="1297"/>
      <c r="D5288" s="1297" t="s">
        <v>946</v>
      </c>
      <c r="E5288" s="1399">
        <v>225694.94</v>
      </c>
      <c r="I5288" s="1399">
        <v>225694.94</v>
      </c>
    </row>
    <row r="5289" spans="2:9">
      <c r="B5289" s="1297"/>
      <c r="C5289" s="1297"/>
      <c r="D5289" s="1297" t="s">
        <v>1214</v>
      </c>
      <c r="E5289" s="1399">
        <v>30743.95</v>
      </c>
      <c r="I5289" s="1399">
        <v>30743.95</v>
      </c>
    </row>
    <row r="5290" spans="2:9">
      <c r="B5290" s="1297"/>
      <c r="C5290" s="1297"/>
      <c r="D5290" s="1297" t="s">
        <v>947</v>
      </c>
      <c r="E5290" s="1399">
        <v>27198.03</v>
      </c>
      <c r="I5290" s="1399">
        <v>27198.03</v>
      </c>
    </row>
    <row r="5291" spans="2:9">
      <c r="B5291" s="1297"/>
      <c r="C5291" s="1297"/>
      <c r="D5291" s="1297" t="s">
        <v>948</v>
      </c>
      <c r="G5291" s="1399">
        <v>3206874.97</v>
      </c>
      <c r="I5291" s="1399">
        <v>3206874.97</v>
      </c>
    </row>
    <row r="5292" spans="2:9">
      <c r="B5292" s="1297"/>
      <c r="C5292" s="1400" t="s">
        <v>1370</v>
      </c>
      <c r="D5292" s="1400"/>
      <c r="E5292" s="1401">
        <v>2012431.94</v>
      </c>
      <c r="F5292" s="1401">
        <v>8946419.6099999994</v>
      </c>
      <c r="G5292" s="1401">
        <v>3206874.97</v>
      </c>
      <c r="H5292" s="1401">
        <v>3723124.9200000004</v>
      </c>
      <c r="I5292" s="1401">
        <v>17888851.439999994</v>
      </c>
    </row>
    <row r="5293" spans="2:9">
      <c r="B5293" s="1297" t="s">
        <v>1371</v>
      </c>
      <c r="C5293" s="1297" t="s">
        <v>1372</v>
      </c>
      <c r="D5293" s="1297" t="s">
        <v>906</v>
      </c>
      <c r="F5293" s="1399">
        <v>1313123.1000000001</v>
      </c>
      <c r="I5293" s="1399">
        <v>1313123.1000000001</v>
      </c>
    </row>
    <row r="5294" spans="2:9">
      <c r="B5294" s="1297"/>
      <c r="C5294" s="1297"/>
      <c r="D5294" s="1297" t="s">
        <v>952</v>
      </c>
      <c r="F5294" s="1399">
        <v>6403.9</v>
      </c>
      <c r="I5294" s="1399">
        <v>6403.9</v>
      </c>
    </row>
    <row r="5295" spans="2:9">
      <c r="B5295" s="1297"/>
      <c r="C5295" s="1297"/>
      <c r="D5295" s="1297" t="s">
        <v>907</v>
      </c>
      <c r="F5295" s="1399">
        <v>465146.87</v>
      </c>
      <c r="I5295" s="1399">
        <v>465146.87</v>
      </c>
    </row>
    <row r="5296" spans="2:9">
      <c r="B5296" s="1297"/>
      <c r="C5296" s="1297"/>
      <c r="D5296" s="1297" t="s">
        <v>908</v>
      </c>
      <c r="F5296" s="1399">
        <v>4397.13</v>
      </c>
      <c r="I5296" s="1399">
        <v>4397.13</v>
      </c>
    </row>
    <row r="5297" spans="2:9">
      <c r="B5297" s="1297"/>
      <c r="C5297" s="1297"/>
      <c r="D5297" s="1297" t="s">
        <v>909</v>
      </c>
      <c r="F5297" s="1399">
        <v>610.56999999999994</v>
      </c>
      <c r="I5297" s="1399">
        <v>610.56999999999994</v>
      </c>
    </row>
    <row r="5298" spans="2:9">
      <c r="B5298" s="1297"/>
      <c r="C5298" s="1297"/>
      <c r="D5298" s="1297" t="s">
        <v>910</v>
      </c>
      <c r="F5298" s="1399">
        <v>55174.3</v>
      </c>
      <c r="I5298" s="1399">
        <v>55174.3</v>
      </c>
    </row>
    <row r="5299" spans="2:9">
      <c r="B5299" s="1297"/>
      <c r="C5299" s="1297"/>
      <c r="D5299" s="1297" t="s">
        <v>1034</v>
      </c>
      <c r="F5299" s="1399">
        <v>8387.09</v>
      </c>
      <c r="I5299" s="1399">
        <v>8387.09</v>
      </c>
    </row>
    <row r="5300" spans="2:9">
      <c r="B5300" s="1297"/>
      <c r="C5300" s="1297"/>
      <c r="D5300" s="1297" t="s">
        <v>1035</v>
      </c>
      <c r="F5300" s="1399">
        <v>209773.72</v>
      </c>
      <c r="I5300" s="1399">
        <v>209773.72</v>
      </c>
    </row>
    <row r="5301" spans="2:9">
      <c r="B5301" s="1297"/>
      <c r="C5301" s="1297"/>
      <c r="D5301" s="1297" t="s">
        <v>1036</v>
      </c>
      <c r="F5301" s="1399">
        <v>90337.91</v>
      </c>
      <c r="I5301" s="1399">
        <v>90337.91</v>
      </c>
    </row>
    <row r="5302" spans="2:9">
      <c r="B5302" s="1297"/>
      <c r="C5302" s="1297"/>
      <c r="D5302" s="1297" t="s">
        <v>1039</v>
      </c>
      <c r="F5302" s="1399">
        <v>4011.85</v>
      </c>
      <c r="I5302" s="1399">
        <v>4011.85</v>
      </c>
    </row>
    <row r="5303" spans="2:9">
      <c r="B5303" s="1297"/>
      <c r="C5303" s="1297"/>
      <c r="D5303" s="1297" t="s">
        <v>1040</v>
      </c>
      <c r="F5303" s="1399">
        <v>85917.3</v>
      </c>
      <c r="I5303" s="1399">
        <v>85917.3</v>
      </c>
    </row>
    <row r="5304" spans="2:9">
      <c r="B5304" s="1297"/>
      <c r="C5304" s="1297"/>
      <c r="D5304" s="1297" t="s">
        <v>1041</v>
      </c>
      <c r="F5304" s="1399">
        <v>21319.5</v>
      </c>
      <c r="I5304" s="1399">
        <v>21319.5</v>
      </c>
    </row>
    <row r="5305" spans="2:9">
      <c r="B5305" s="1297"/>
      <c r="C5305" s="1297"/>
      <c r="D5305" s="1297" t="s">
        <v>1042</v>
      </c>
      <c r="F5305" s="1399">
        <v>23317.05</v>
      </c>
      <c r="I5305" s="1399">
        <v>23317.05</v>
      </c>
    </row>
    <row r="5306" spans="2:9">
      <c r="B5306" s="1297"/>
      <c r="C5306" s="1297"/>
      <c r="D5306" s="1297" t="s">
        <v>1044</v>
      </c>
      <c r="F5306" s="1399">
        <v>39027.370000000003</v>
      </c>
      <c r="I5306" s="1399">
        <v>39027.370000000003</v>
      </c>
    </row>
    <row r="5307" spans="2:9">
      <c r="B5307" s="1297"/>
      <c r="C5307" s="1297"/>
      <c r="D5307" s="1297" t="s">
        <v>1045</v>
      </c>
      <c r="F5307" s="1399">
        <v>80118.820000000007</v>
      </c>
      <c r="I5307" s="1399">
        <v>80118.820000000007</v>
      </c>
    </row>
    <row r="5308" spans="2:9">
      <c r="B5308" s="1297"/>
      <c r="C5308" s="1297"/>
      <c r="D5308" s="1297" t="s">
        <v>1046</v>
      </c>
      <c r="H5308" s="1399">
        <v>6264125</v>
      </c>
      <c r="I5308" s="1399">
        <v>6264125</v>
      </c>
    </row>
    <row r="5309" spans="2:9">
      <c r="B5309" s="1297"/>
      <c r="C5309" s="1297"/>
      <c r="D5309" s="1297" t="s">
        <v>1129</v>
      </c>
      <c r="H5309" s="1399">
        <v>-857267</v>
      </c>
      <c r="I5309" s="1399">
        <v>-857267</v>
      </c>
    </row>
    <row r="5310" spans="2:9">
      <c r="B5310" s="1297"/>
      <c r="C5310" s="1297"/>
      <c r="D5310" s="1297" t="s">
        <v>1047</v>
      </c>
      <c r="H5310" s="1399">
        <v>227854</v>
      </c>
      <c r="I5310" s="1399">
        <v>227854</v>
      </c>
    </row>
    <row r="5311" spans="2:9">
      <c r="B5311" s="1297"/>
      <c r="C5311" s="1297"/>
      <c r="D5311" s="1297" t="s">
        <v>1048</v>
      </c>
      <c r="H5311" s="1399">
        <v>-601237</v>
      </c>
      <c r="I5311" s="1399">
        <v>-601237</v>
      </c>
    </row>
    <row r="5312" spans="2:9">
      <c r="B5312" s="1297"/>
      <c r="C5312" s="1297"/>
      <c r="D5312" s="1297" t="s">
        <v>932</v>
      </c>
      <c r="H5312" s="1399">
        <v>405505</v>
      </c>
      <c r="I5312" s="1399">
        <v>405505</v>
      </c>
    </row>
    <row r="5313" spans="2:9">
      <c r="B5313" s="1297"/>
      <c r="C5313" s="1297"/>
      <c r="D5313" s="1297" t="s">
        <v>955</v>
      </c>
      <c r="H5313" s="1399">
        <v>416223.39</v>
      </c>
      <c r="I5313" s="1399">
        <v>416223.39</v>
      </c>
    </row>
    <row r="5314" spans="2:9">
      <c r="B5314" s="1297"/>
      <c r="C5314" s="1297"/>
      <c r="D5314" s="1297" t="s">
        <v>934</v>
      </c>
      <c r="H5314" s="1399">
        <v>22242</v>
      </c>
      <c r="I5314" s="1399">
        <v>22242</v>
      </c>
    </row>
    <row r="5315" spans="2:9">
      <c r="B5315" s="1297"/>
      <c r="C5315" s="1297"/>
      <c r="D5315" s="1297" t="s">
        <v>1130</v>
      </c>
      <c r="H5315" s="1399">
        <v>3037109.27</v>
      </c>
      <c r="I5315" s="1399">
        <v>3037109.27</v>
      </c>
    </row>
    <row r="5316" spans="2:9">
      <c r="B5316" s="1297"/>
      <c r="C5316" s="1297"/>
      <c r="D5316" s="1297" t="s">
        <v>935</v>
      </c>
      <c r="H5316" s="1399">
        <v>101194.04</v>
      </c>
      <c r="I5316" s="1399">
        <v>101194.04</v>
      </c>
    </row>
    <row r="5317" spans="2:9">
      <c r="B5317" s="1297"/>
      <c r="C5317" s="1297"/>
      <c r="D5317" s="1297" t="s">
        <v>936</v>
      </c>
      <c r="H5317" s="1399">
        <v>18207.82</v>
      </c>
      <c r="I5317" s="1399">
        <v>18207.82</v>
      </c>
    </row>
    <row r="5318" spans="2:9">
      <c r="B5318" s="1297"/>
      <c r="C5318" s="1297"/>
      <c r="D5318" s="1297" t="s">
        <v>938</v>
      </c>
      <c r="H5318" s="1399">
        <v>5989</v>
      </c>
      <c r="I5318" s="1399">
        <v>5989</v>
      </c>
    </row>
    <row r="5319" spans="2:9">
      <c r="B5319" s="1297"/>
      <c r="C5319" s="1297"/>
      <c r="D5319" s="1297" t="s">
        <v>940</v>
      </c>
      <c r="E5319" s="1399">
        <v>390410.34</v>
      </c>
      <c r="I5319" s="1399">
        <v>390410.34</v>
      </c>
    </row>
    <row r="5320" spans="2:9">
      <c r="B5320" s="1297"/>
      <c r="C5320" s="1297"/>
      <c r="D5320" s="1297" t="s">
        <v>941</v>
      </c>
      <c r="E5320" s="1399">
        <v>121786.66</v>
      </c>
      <c r="I5320" s="1399">
        <v>121786.66</v>
      </c>
    </row>
    <row r="5321" spans="2:9">
      <c r="B5321" s="1297"/>
      <c r="C5321" s="1297"/>
      <c r="D5321" s="1297" t="s">
        <v>943</v>
      </c>
      <c r="E5321" s="1399">
        <v>281.2</v>
      </c>
      <c r="I5321" s="1399">
        <v>281.2</v>
      </c>
    </row>
    <row r="5322" spans="2:9">
      <c r="B5322" s="1297"/>
      <c r="C5322" s="1297"/>
      <c r="D5322" s="1297" t="s">
        <v>944</v>
      </c>
      <c r="E5322" s="1399">
        <v>1027760.7000000001</v>
      </c>
      <c r="I5322" s="1399">
        <v>1027760.7000000001</v>
      </c>
    </row>
    <row r="5323" spans="2:9">
      <c r="B5323" s="1297"/>
      <c r="C5323" s="1297"/>
      <c r="D5323" s="1297" t="s">
        <v>945</v>
      </c>
      <c r="E5323" s="1399">
        <v>669817.29</v>
      </c>
      <c r="I5323" s="1399">
        <v>669817.29</v>
      </c>
    </row>
    <row r="5324" spans="2:9">
      <c r="B5324" s="1297"/>
      <c r="C5324" s="1297"/>
      <c r="D5324" s="1297" t="s">
        <v>946</v>
      </c>
      <c r="E5324" s="1399">
        <v>-8216.93</v>
      </c>
      <c r="I5324" s="1399">
        <v>-8216.93</v>
      </c>
    </row>
    <row r="5325" spans="2:9">
      <c r="B5325" s="1297"/>
      <c r="C5325" s="1297"/>
      <c r="D5325" s="1297" t="s">
        <v>947</v>
      </c>
      <c r="E5325" s="1399">
        <v>50741.66</v>
      </c>
      <c r="I5325" s="1399">
        <v>50741.66</v>
      </c>
    </row>
    <row r="5326" spans="2:9">
      <c r="B5326" s="1297"/>
      <c r="C5326" s="1297"/>
      <c r="D5326" s="1297" t="s">
        <v>1115</v>
      </c>
      <c r="E5326" s="1399">
        <v>125231.83</v>
      </c>
      <c r="I5326" s="1399">
        <v>125231.83</v>
      </c>
    </row>
    <row r="5327" spans="2:9">
      <c r="B5327" s="1297"/>
      <c r="C5327" s="1297"/>
      <c r="D5327" s="1297" t="s">
        <v>1116</v>
      </c>
      <c r="G5327" s="1399">
        <v>7920000</v>
      </c>
      <c r="I5327" s="1399">
        <v>7920000</v>
      </c>
    </row>
    <row r="5328" spans="2:9">
      <c r="B5328" s="1297"/>
      <c r="C5328" s="1297"/>
      <c r="D5328" s="1297" t="s">
        <v>948</v>
      </c>
      <c r="G5328" s="1399">
        <v>4459355.5699999994</v>
      </c>
      <c r="I5328" s="1399">
        <v>4459355.5699999994</v>
      </c>
    </row>
    <row r="5329" spans="2:9">
      <c r="B5329" s="1297"/>
      <c r="C5329" s="1297"/>
      <c r="D5329" s="1297" t="s">
        <v>1118</v>
      </c>
      <c r="G5329" s="1399">
        <v>10</v>
      </c>
      <c r="I5329" s="1399">
        <v>10</v>
      </c>
    </row>
    <row r="5330" spans="2:9">
      <c r="B5330" s="1297"/>
      <c r="C5330" s="1400" t="s">
        <v>1373</v>
      </c>
      <c r="D5330" s="1400"/>
      <c r="E5330" s="1401">
        <v>2377812.7500000005</v>
      </c>
      <c r="F5330" s="1401">
        <v>2407066.48</v>
      </c>
      <c r="G5330" s="1401">
        <v>12379365.57</v>
      </c>
      <c r="H5330" s="1401">
        <v>9039945.5199999996</v>
      </c>
      <c r="I5330" s="1401">
        <v>26204190.32</v>
      </c>
    </row>
    <row r="5331" spans="2:9">
      <c r="B5331" s="1297" t="s">
        <v>1374</v>
      </c>
      <c r="C5331" s="1297" t="s">
        <v>1375</v>
      </c>
      <c r="D5331" s="1297" t="s">
        <v>906</v>
      </c>
      <c r="F5331" s="1399">
        <v>38252266.219999999</v>
      </c>
      <c r="I5331" s="1399">
        <v>38252266.219999999</v>
      </c>
    </row>
    <row r="5332" spans="2:9">
      <c r="B5332" s="1297"/>
      <c r="C5332" s="1297"/>
      <c r="D5332" s="1297" t="s">
        <v>952</v>
      </c>
      <c r="F5332" s="1399">
        <v>338434.35</v>
      </c>
      <c r="I5332" s="1399">
        <v>338434.35</v>
      </c>
    </row>
    <row r="5333" spans="2:9">
      <c r="B5333" s="1297"/>
      <c r="C5333" s="1297"/>
      <c r="D5333" s="1297" t="s">
        <v>907</v>
      </c>
      <c r="F5333" s="1399">
        <v>10527832.24</v>
      </c>
      <c r="I5333" s="1399">
        <v>10527832.24</v>
      </c>
    </row>
    <row r="5334" spans="2:9">
      <c r="B5334" s="1297"/>
      <c r="C5334" s="1297"/>
      <c r="D5334" s="1297" t="s">
        <v>908</v>
      </c>
      <c r="F5334" s="1399">
        <v>90061.83</v>
      </c>
      <c r="I5334" s="1399">
        <v>90061.83</v>
      </c>
    </row>
    <row r="5335" spans="2:9">
      <c r="B5335" s="1297"/>
      <c r="C5335" s="1297"/>
      <c r="D5335" s="1297" t="s">
        <v>909</v>
      </c>
      <c r="F5335" s="1399">
        <v>191258.87999999998</v>
      </c>
      <c r="I5335" s="1399">
        <v>191258.87999999998</v>
      </c>
    </row>
    <row r="5336" spans="2:9">
      <c r="B5336" s="1297"/>
      <c r="C5336" s="1297"/>
      <c r="D5336" s="1297" t="s">
        <v>910</v>
      </c>
      <c r="F5336" s="1399">
        <v>447042.8600000001</v>
      </c>
      <c r="I5336" s="1399">
        <v>447042.8600000001</v>
      </c>
    </row>
    <row r="5337" spans="2:9">
      <c r="B5337" s="1297"/>
      <c r="C5337" s="1297"/>
      <c r="D5337" s="1297" t="s">
        <v>1034</v>
      </c>
      <c r="F5337" s="1399">
        <v>247662.88</v>
      </c>
      <c r="I5337" s="1399">
        <v>247662.88</v>
      </c>
    </row>
    <row r="5338" spans="2:9">
      <c r="B5338" s="1297"/>
      <c r="C5338" s="1297"/>
      <c r="D5338" s="1297" t="s">
        <v>1035</v>
      </c>
      <c r="F5338" s="1399">
        <v>1588946.6900000004</v>
      </c>
      <c r="I5338" s="1399">
        <v>1588946.6900000004</v>
      </c>
    </row>
    <row r="5339" spans="2:9">
      <c r="B5339" s="1297"/>
      <c r="C5339" s="1297"/>
      <c r="D5339" s="1297" t="s">
        <v>1036</v>
      </c>
      <c r="F5339" s="1399">
        <v>390351.06000000006</v>
      </c>
      <c r="I5339" s="1399">
        <v>390351.06000000006</v>
      </c>
    </row>
    <row r="5340" spans="2:9">
      <c r="B5340" s="1297"/>
      <c r="C5340" s="1297"/>
      <c r="D5340" s="1297" t="s">
        <v>1039</v>
      </c>
      <c r="F5340" s="1399">
        <v>-2732.849999999999</v>
      </c>
      <c r="I5340" s="1399">
        <v>-2732.849999999999</v>
      </c>
    </row>
    <row r="5341" spans="2:9">
      <c r="B5341" s="1297"/>
      <c r="C5341" s="1297"/>
      <c r="D5341" s="1297" t="s">
        <v>1040</v>
      </c>
      <c r="F5341" s="1399">
        <v>842808.97</v>
      </c>
      <c r="I5341" s="1399">
        <v>842808.97</v>
      </c>
    </row>
    <row r="5342" spans="2:9">
      <c r="B5342" s="1297"/>
      <c r="C5342" s="1297"/>
      <c r="D5342" s="1297" t="s">
        <v>1127</v>
      </c>
      <c r="F5342" s="1399">
        <v>103.79999999999998</v>
      </c>
      <c r="I5342" s="1399">
        <v>103.79999999999998</v>
      </c>
    </row>
    <row r="5343" spans="2:9">
      <c r="B5343" s="1297"/>
      <c r="C5343" s="1297"/>
      <c r="D5343" s="1297" t="s">
        <v>1041</v>
      </c>
      <c r="F5343" s="1399">
        <v>26836.3</v>
      </c>
      <c r="I5343" s="1399">
        <v>26836.3</v>
      </c>
    </row>
    <row r="5344" spans="2:9">
      <c r="B5344" s="1297"/>
      <c r="C5344" s="1297"/>
      <c r="D5344" s="1297" t="s">
        <v>1042</v>
      </c>
      <c r="F5344" s="1399">
        <v>126921.21000000005</v>
      </c>
      <c r="I5344" s="1399">
        <v>126921.21000000005</v>
      </c>
    </row>
    <row r="5345" spans="2:9">
      <c r="B5345" s="1297"/>
      <c r="C5345" s="1297"/>
      <c r="D5345" s="1297" t="s">
        <v>954</v>
      </c>
      <c r="F5345" s="1399">
        <v>146685.63</v>
      </c>
      <c r="I5345" s="1399">
        <v>146685.63</v>
      </c>
    </row>
    <row r="5346" spans="2:9">
      <c r="B5346" s="1297"/>
      <c r="C5346" s="1297"/>
      <c r="D5346" s="1297" t="s">
        <v>986</v>
      </c>
      <c r="F5346" s="1399">
        <v>399342.57</v>
      </c>
      <c r="I5346" s="1399">
        <v>399342.57</v>
      </c>
    </row>
    <row r="5347" spans="2:9">
      <c r="B5347" s="1297"/>
      <c r="C5347" s="1297"/>
      <c r="D5347" s="1297" t="s">
        <v>1044</v>
      </c>
      <c r="F5347" s="1399">
        <v>197161.36</v>
      </c>
      <c r="I5347" s="1399">
        <v>197161.36</v>
      </c>
    </row>
    <row r="5348" spans="2:9">
      <c r="B5348" s="1297"/>
      <c r="C5348" s="1297"/>
      <c r="D5348" s="1297" t="s">
        <v>1045</v>
      </c>
      <c r="F5348" s="1399">
        <v>1450978.8100000003</v>
      </c>
      <c r="I5348" s="1399">
        <v>1450978.8100000003</v>
      </c>
    </row>
    <row r="5349" spans="2:9">
      <c r="B5349" s="1297"/>
      <c r="C5349" s="1297"/>
      <c r="D5349" s="1297" t="s">
        <v>1046</v>
      </c>
      <c r="H5349" s="1399">
        <v>62094216</v>
      </c>
      <c r="I5349" s="1399">
        <v>62094216</v>
      </c>
    </row>
    <row r="5350" spans="2:9">
      <c r="B5350" s="1297"/>
      <c r="C5350" s="1297"/>
      <c r="D5350" s="1297" t="s">
        <v>1128</v>
      </c>
      <c r="H5350" s="1399">
        <v>5468170</v>
      </c>
      <c r="I5350" s="1399">
        <v>5468170</v>
      </c>
    </row>
    <row r="5351" spans="2:9">
      <c r="B5351" s="1297"/>
      <c r="C5351" s="1297"/>
      <c r="D5351" s="1297" t="s">
        <v>1129</v>
      </c>
      <c r="H5351" s="1399">
        <v>-8797166</v>
      </c>
      <c r="I5351" s="1399">
        <v>-8797166</v>
      </c>
    </row>
    <row r="5352" spans="2:9">
      <c r="B5352" s="1297"/>
      <c r="C5352" s="1297"/>
      <c r="D5352" s="1297" t="s">
        <v>1047</v>
      </c>
      <c r="H5352" s="1399">
        <v>1679402</v>
      </c>
      <c r="I5352" s="1399">
        <v>1679402</v>
      </c>
    </row>
    <row r="5353" spans="2:9">
      <c r="B5353" s="1297"/>
      <c r="C5353" s="1297"/>
      <c r="D5353" s="1297" t="s">
        <v>1048</v>
      </c>
      <c r="H5353" s="1399">
        <v>-9094702</v>
      </c>
      <c r="I5353" s="1399">
        <v>-9094702</v>
      </c>
    </row>
    <row r="5354" spans="2:9">
      <c r="B5354" s="1297"/>
      <c r="C5354" s="1297"/>
      <c r="D5354" s="1297" t="s">
        <v>932</v>
      </c>
      <c r="H5354" s="1399">
        <v>6097751</v>
      </c>
      <c r="I5354" s="1399">
        <v>6097751</v>
      </c>
    </row>
    <row r="5355" spans="2:9">
      <c r="B5355" s="1297"/>
      <c r="C5355" s="1297"/>
      <c r="D5355" s="1297" t="s">
        <v>955</v>
      </c>
      <c r="H5355" s="1399">
        <v>2076627.16</v>
      </c>
      <c r="I5355" s="1399">
        <v>2076627.16</v>
      </c>
    </row>
    <row r="5356" spans="2:9">
      <c r="B5356" s="1297"/>
      <c r="C5356" s="1297"/>
      <c r="D5356" s="1297" t="s">
        <v>934</v>
      </c>
      <c r="H5356" s="1399">
        <v>188812.56</v>
      </c>
      <c r="I5356" s="1399">
        <v>188812.56</v>
      </c>
    </row>
    <row r="5357" spans="2:9">
      <c r="B5357" s="1297"/>
      <c r="C5357" s="1297"/>
      <c r="D5357" s="1297" t="s">
        <v>935</v>
      </c>
      <c r="H5357" s="1399">
        <v>952783.35999999999</v>
      </c>
      <c r="I5357" s="1399">
        <v>952783.35999999999</v>
      </c>
    </row>
    <row r="5358" spans="2:9">
      <c r="B5358" s="1297"/>
      <c r="C5358" s="1297"/>
      <c r="D5358" s="1297" t="s">
        <v>936</v>
      </c>
      <c r="H5358" s="1399">
        <v>221995.44</v>
      </c>
      <c r="I5358" s="1399">
        <v>221995.44</v>
      </c>
    </row>
    <row r="5359" spans="2:9">
      <c r="B5359" s="1297"/>
      <c r="C5359" s="1297"/>
      <c r="D5359" s="1297" t="s">
        <v>937</v>
      </c>
      <c r="H5359" s="1399">
        <v>93971.16</v>
      </c>
      <c r="I5359" s="1399">
        <v>93971.16</v>
      </c>
    </row>
    <row r="5360" spans="2:9">
      <c r="B5360" s="1297"/>
      <c r="C5360" s="1297"/>
      <c r="D5360" s="1297" t="s">
        <v>938</v>
      </c>
      <c r="H5360" s="1399">
        <v>78981</v>
      </c>
      <c r="I5360" s="1399">
        <v>78981</v>
      </c>
    </row>
    <row r="5361" spans="2:9">
      <c r="B5361" s="1297"/>
      <c r="C5361" s="1297"/>
      <c r="D5361" s="1297" t="s">
        <v>939</v>
      </c>
      <c r="H5361" s="1399">
        <v>39212.04</v>
      </c>
      <c r="I5361" s="1399">
        <v>39212.04</v>
      </c>
    </row>
    <row r="5362" spans="2:9">
      <c r="B5362" s="1297"/>
      <c r="C5362" s="1297"/>
      <c r="D5362" s="1297" t="s">
        <v>940</v>
      </c>
      <c r="E5362" s="1399">
        <v>3042097.4199999995</v>
      </c>
      <c r="I5362" s="1399">
        <v>3042097.4199999995</v>
      </c>
    </row>
    <row r="5363" spans="2:9">
      <c r="B5363" s="1297"/>
      <c r="C5363" s="1297"/>
      <c r="D5363" s="1297" t="s">
        <v>941</v>
      </c>
      <c r="E5363" s="1399">
        <v>1016209.4999999999</v>
      </c>
      <c r="I5363" s="1399">
        <v>1016209.4999999999</v>
      </c>
    </row>
    <row r="5364" spans="2:9">
      <c r="B5364" s="1297"/>
      <c r="C5364" s="1297"/>
      <c r="D5364" s="1297" t="s">
        <v>943</v>
      </c>
      <c r="E5364" s="1399">
        <v>16352.52</v>
      </c>
      <c r="I5364" s="1399">
        <v>16352.52</v>
      </c>
    </row>
    <row r="5365" spans="2:9">
      <c r="B5365" s="1297"/>
      <c r="C5365" s="1297"/>
      <c r="D5365" s="1297" t="s">
        <v>944</v>
      </c>
      <c r="E5365" s="1399">
        <v>8179975.1099999994</v>
      </c>
      <c r="I5365" s="1399">
        <v>8179975.1099999994</v>
      </c>
    </row>
    <row r="5366" spans="2:9">
      <c r="B5366" s="1297"/>
      <c r="C5366" s="1297"/>
      <c r="D5366" s="1297" t="s">
        <v>945</v>
      </c>
      <c r="E5366" s="1399">
        <v>4696126.71</v>
      </c>
      <c r="I5366" s="1399">
        <v>4696126.71</v>
      </c>
    </row>
    <row r="5367" spans="2:9">
      <c r="B5367" s="1297"/>
      <c r="C5367" s="1297"/>
      <c r="D5367" s="1297" t="s">
        <v>978</v>
      </c>
      <c r="E5367" s="1399">
        <v>1611.3899999999999</v>
      </c>
      <c r="I5367" s="1399">
        <v>1611.3899999999999</v>
      </c>
    </row>
    <row r="5368" spans="2:9">
      <c r="B5368" s="1297"/>
      <c r="C5368" s="1297"/>
      <c r="D5368" s="1297" t="s">
        <v>947</v>
      </c>
      <c r="E5368" s="1399">
        <v>251310.88999999998</v>
      </c>
      <c r="I5368" s="1399">
        <v>251310.88999999998</v>
      </c>
    </row>
    <row r="5369" spans="2:9">
      <c r="B5369" s="1297"/>
      <c r="C5369" s="1297"/>
      <c r="D5369" s="1297" t="s">
        <v>1115</v>
      </c>
      <c r="E5369" s="1399">
        <v>116272.41</v>
      </c>
      <c r="I5369" s="1399">
        <v>116272.41</v>
      </c>
    </row>
    <row r="5370" spans="2:9">
      <c r="B5370" s="1297"/>
      <c r="C5370" s="1297"/>
      <c r="D5370" s="1297" t="s">
        <v>948</v>
      </c>
      <c r="G5370" s="1399">
        <v>2932819.1500000018</v>
      </c>
      <c r="I5370" s="1399">
        <v>2932819.1500000018</v>
      </c>
    </row>
    <row r="5371" spans="2:9">
      <c r="B5371" s="1297"/>
      <c r="C5371" s="1400" t="s">
        <v>1376</v>
      </c>
      <c r="D5371" s="1400"/>
      <c r="E5371" s="1401">
        <v>17319955.949999999</v>
      </c>
      <c r="F5371" s="1401">
        <v>55261962.810000002</v>
      </c>
      <c r="G5371" s="1401">
        <v>2932819.1500000018</v>
      </c>
      <c r="H5371" s="1401">
        <v>61100053.719999991</v>
      </c>
      <c r="I5371" s="1401">
        <v>136614791.63</v>
      </c>
    </row>
    <row r="5372" spans="2:9">
      <c r="B5372" s="1297" t="s">
        <v>1377</v>
      </c>
      <c r="C5372" s="1297" t="s">
        <v>1378</v>
      </c>
      <c r="D5372" s="1297" t="s">
        <v>906</v>
      </c>
      <c r="F5372" s="1399">
        <v>2969448.63</v>
      </c>
      <c r="I5372" s="1399">
        <v>2969448.63</v>
      </c>
    </row>
    <row r="5373" spans="2:9">
      <c r="B5373" s="1297"/>
      <c r="C5373" s="1297"/>
      <c r="D5373" s="1297" t="s">
        <v>952</v>
      </c>
      <c r="F5373" s="1399">
        <v>5052.38</v>
      </c>
      <c r="I5373" s="1399">
        <v>5052.38</v>
      </c>
    </row>
    <row r="5374" spans="2:9">
      <c r="B5374" s="1297"/>
      <c r="C5374" s="1297"/>
      <c r="D5374" s="1297" t="s">
        <v>907</v>
      </c>
      <c r="F5374" s="1399">
        <v>891207.75</v>
      </c>
      <c r="I5374" s="1399">
        <v>891207.75</v>
      </c>
    </row>
    <row r="5375" spans="2:9">
      <c r="B5375" s="1297"/>
      <c r="C5375" s="1297"/>
      <c r="D5375" s="1297" t="s">
        <v>908</v>
      </c>
      <c r="F5375" s="1399">
        <v>16837.2</v>
      </c>
      <c r="I5375" s="1399">
        <v>16837.2</v>
      </c>
    </row>
    <row r="5376" spans="2:9">
      <c r="B5376" s="1297"/>
      <c r="C5376" s="1297"/>
      <c r="D5376" s="1297" t="s">
        <v>909</v>
      </c>
      <c r="F5376" s="1399">
        <v>64839.15</v>
      </c>
      <c r="I5376" s="1399">
        <v>64839.15</v>
      </c>
    </row>
    <row r="5377" spans="2:9">
      <c r="B5377" s="1297"/>
      <c r="C5377" s="1297"/>
      <c r="D5377" s="1297" t="s">
        <v>910</v>
      </c>
      <c r="F5377" s="1399">
        <v>5336.5</v>
      </c>
      <c r="I5377" s="1399">
        <v>5336.5</v>
      </c>
    </row>
    <row r="5378" spans="2:9">
      <c r="B5378" s="1297"/>
      <c r="C5378" s="1297"/>
      <c r="D5378" s="1297" t="s">
        <v>1034</v>
      </c>
      <c r="F5378" s="1399">
        <v>26957.26</v>
      </c>
      <c r="I5378" s="1399">
        <v>26957.26</v>
      </c>
    </row>
    <row r="5379" spans="2:9">
      <c r="B5379" s="1297"/>
      <c r="C5379" s="1297"/>
      <c r="D5379" s="1297" t="s">
        <v>1035</v>
      </c>
      <c r="F5379" s="1399">
        <v>198356.44999999998</v>
      </c>
      <c r="I5379" s="1399">
        <v>198356.44999999998</v>
      </c>
    </row>
    <row r="5380" spans="2:9">
      <c r="B5380" s="1297"/>
      <c r="C5380" s="1297"/>
      <c r="D5380" s="1297" t="s">
        <v>1036</v>
      </c>
      <c r="F5380" s="1399">
        <v>30352.69</v>
      </c>
      <c r="I5380" s="1399">
        <v>30352.69</v>
      </c>
    </row>
    <row r="5381" spans="2:9">
      <c r="B5381" s="1297"/>
      <c r="C5381" s="1297"/>
      <c r="D5381" s="1297" t="s">
        <v>1039</v>
      </c>
      <c r="F5381" s="1399">
        <v>9459.75</v>
      </c>
      <c r="I5381" s="1399">
        <v>9459.75</v>
      </c>
    </row>
    <row r="5382" spans="2:9">
      <c r="B5382" s="1297"/>
      <c r="C5382" s="1297"/>
      <c r="D5382" s="1297" t="s">
        <v>1040</v>
      </c>
      <c r="F5382" s="1399">
        <v>32268.17</v>
      </c>
      <c r="I5382" s="1399">
        <v>32268.17</v>
      </c>
    </row>
    <row r="5383" spans="2:9">
      <c r="B5383" s="1297"/>
      <c r="C5383" s="1297"/>
      <c r="D5383" s="1297" t="s">
        <v>1042</v>
      </c>
      <c r="F5383" s="1399">
        <v>29317.53</v>
      </c>
      <c r="I5383" s="1399">
        <v>29317.53</v>
      </c>
    </row>
    <row r="5384" spans="2:9">
      <c r="B5384" s="1297"/>
      <c r="C5384" s="1297"/>
      <c r="D5384" s="1297" t="s">
        <v>1043</v>
      </c>
      <c r="F5384" s="1399">
        <v>8325</v>
      </c>
      <c r="I5384" s="1399">
        <v>8325</v>
      </c>
    </row>
    <row r="5385" spans="2:9">
      <c r="B5385" s="1297"/>
      <c r="C5385" s="1297"/>
      <c r="D5385" s="1297" t="s">
        <v>986</v>
      </c>
      <c r="F5385" s="1399">
        <v>70</v>
      </c>
      <c r="I5385" s="1399">
        <v>70</v>
      </c>
    </row>
    <row r="5386" spans="2:9">
      <c r="B5386" s="1297"/>
      <c r="C5386" s="1297"/>
      <c r="D5386" s="1297" t="s">
        <v>996</v>
      </c>
      <c r="F5386" s="1399">
        <v>39000</v>
      </c>
      <c r="I5386" s="1399">
        <v>39000</v>
      </c>
    </row>
    <row r="5387" spans="2:9">
      <c r="B5387" s="1297"/>
      <c r="C5387" s="1297"/>
      <c r="D5387" s="1297" t="s">
        <v>1044</v>
      </c>
      <c r="F5387" s="1399">
        <v>30218.27</v>
      </c>
      <c r="I5387" s="1399">
        <v>30218.27</v>
      </c>
    </row>
    <row r="5388" spans="2:9">
      <c r="B5388" s="1297"/>
      <c r="C5388" s="1297"/>
      <c r="D5388" s="1297" t="s">
        <v>1045</v>
      </c>
      <c r="F5388" s="1399">
        <v>185765.86</v>
      </c>
      <c r="I5388" s="1399">
        <v>185765.86</v>
      </c>
    </row>
    <row r="5389" spans="2:9">
      <c r="B5389" s="1297"/>
      <c r="C5389" s="1297"/>
      <c r="D5389" s="1297" t="s">
        <v>1046</v>
      </c>
      <c r="H5389" s="1399">
        <v>6927707</v>
      </c>
      <c r="I5389" s="1399">
        <v>6927707</v>
      </c>
    </row>
    <row r="5390" spans="2:9">
      <c r="B5390" s="1297"/>
      <c r="C5390" s="1297"/>
      <c r="D5390" s="1297" t="s">
        <v>1128</v>
      </c>
      <c r="H5390" s="1399">
        <v>653603</v>
      </c>
      <c r="I5390" s="1399">
        <v>653603</v>
      </c>
    </row>
    <row r="5391" spans="2:9">
      <c r="B5391" s="1297"/>
      <c r="C5391" s="1297"/>
      <c r="D5391" s="1297" t="s">
        <v>1047</v>
      </c>
      <c r="H5391" s="1399">
        <v>291455</v>
      </c>
      <c r="I5391" s="1399">
        <v>291455</v>
      </c>
    </row>
    <row r="5392" spans="2:9">
      <c r="B5392" s="1297"/>
      <c r="C5392" s="1297"/>
      <c r="D5392" s="1297" t="s">
        <v>1048</v>
      </c>
      <c r="H5392" s="1399">
        <v>-820130</v>
      </c>
      <c r="I5392" s="1399">
        <v>-820130</v>
      </c>
    </row>
    <row r="5393" spans="2:9">
      <c r="B5393" s="1297"/>
      <c r="C5393" s="1297"/>
      <c r="D5393" s="1297" t="s">
        <v>932</v>
      </c>
      <c r="H5393" s="1399">
        <v>757326</v>
      </c>
      <c r="I5393" s="1399">
        <v>757326</v>
      </c>
    </row>
    <row r="5394" spans="2:9">
      <c r="B5394" s="1297"/>
      <c r="C5394" s="1297"/>
      <c r="D5394" s="1297" t="s">
        <v>955</v>
      </c>
      <c r="H5394" s="1399">
        <v>575432.44999999995</v>
      </c>
      <c r="I5394" s="1399">
        <v>575432.44999999995</v>
      </c>
    </row>
    <row r="5395" spans="2:9">
      <c r="B5395" s="1297"/>
      <c r="C5395" s="1297"/>
      <c r="D5395" s="1297" t="s">
        <v>934</v>
      </c>
      <c r="H5395" s="1399">
        <v>29626</v>
      </c>
      <c r="I5395" s="1399">
        <v>29626</v>
      </c>
    </row>
    <row r="5396" spans="2:9">
      <c r="B5396" s="1297"/>
      <c r="C5396" s="1297"/>
      <c r="D5396" s="1297" t="s">
        <v>935</v>
      </c>
      <c r="H5396" s="1399">
        <v>167317.96</v>
      </c>
      <c r="I5396" s="1399">
        <v>167317.96</v>
      </c>
    </row>
    <row r="5397" spans="2:9">
      <c r="B5397" s="1297"/>
      <c r="C5397" s="1297"/>
      <c r="D5397" s="1297" t="s">
        <v>936</v>
      </c>
      <c r="H5397" s="1399">
        <v>31163.4</v>
      </c>
      <c r="I5397" s="1399">
        <v>31163.4</v>
      </c>
    </row>
    <row r="5398" spans="2:9">
      <c r="B5398" s="1297"/>
      <c r="C5398" s="1297"/>
      <c r="D5398" s="1297" t="s">
        <v>937</v>
      </c>
      <c r="H5398" s="1399">
        <v>4571.97</v>
      </c>
      <c r="I5398" s="1399">
        <v>4571.97</v>
      </c>
    </row>
    <row r="5399" spans="2:9">
      <c r="B5399" s="1297"/>
      <c r="C5399" s="1297"/>
      <c r="D5399" s="1297" t="s">
        <v>938</v>
      </c>
      <c r="H5399" s="1399">
        <v>8609</v>
      </c>
      <c r="I5399" s="1399">
        <v>8609</v>
      </c>
    </row>
    <row r="5400" spans="2:9">
      <c r="B5400" s="1297"/>
      <c r="C5400" s="1297"/>
      <c r="D5400" s="1297" t="s">
        <v>939</v>
      </c>
      <c r="H5400" s="1399">
        <v>118303.35</v>
      </c>
      <c r="I5400" s="1399">
        <v>118303.35</v>
      </c>
    </row>
    <row r="5401" spans="2:9">
      <c r="B5401" s="1297"/>
      <c r="C5401" s="1297"/>
      <c r="D5401" s="1297" t="s">
        <v>940</v>
      </c>
      <c r="E5401" s="1399">
        <v>503144.8</v>
      </c>
      <c r="I5401" s="1399">
        <v>503144.8</v>
      </c>
    </row>
    <row r="5402" spans="2:9">
      <c r="B5402" s="1297"/>
      <c r="C5402" s="1297"/>
      <c r="D5402" s="1297" t="s">
        <v>941</v>
      </c>
      <c r="E5402" s="1399">
        <v>202464.92</v>
      </c>
      <c r="I5402" s="1399">
        <v>202464.92</v>
      </c>
    </row>
    <row r="5403" spans="2:9">
      <c r="B5403" s="1297"/>
      <c r="C5403" s="1297"/>
      <c r="D5403" s="1297" t="s">
        <v>943</v>
      </c>
      <c r="E5403" s="1399">
        <v>12104.18</v>
      </c>
      <c r="I5403" s="1399">
        <v>12104.18</v>
      </c>
    </row>
    <row r="5404" spans="2:9">
      <c r="B5404" s="1297"/>
      <c r="C5404" s="1297"/>
      <c r="D5404" s="1297" t="s">
        <v>944</v>
      </c>
      <c r="E5404" s="1399">
        <v>2065637.5499999998</v>
      </c>
      <c r="I5404" s="1399">
        <v>2065637.5499999998</v>
      </c>
    </row>
    <row r="5405" spans="2:9">
      <c r="B5405" s="1297"/>
      <c r="C5405" s="1297"/>
      <c r="D5405" s="1297" t="s">
        <v>945</v>
      </c>
      <c r="E5405" s="1399">
        <v>961273.19</v>
      </c>
      <c r="I5405" s="1399">
        <v>961273.19</v>
      </c>
    </row>
    <row r="5406" spans="2:9">
      <c r="B5406" s="1297"/>
      <c r="C5406" s="1297"/>
      <c r="D5406" s="1297" t="s">
        <v>946</v>
      </c>
      <c r="E5406" s="1399">
        <v>668314.22</v>
      </c>
      <c r="I5406" s="1399">
        <v>668314.22</v>
      </c>
    </row>
    <row r="5407" spans="2:9">
      <c r="B5407" s="1297"/>
      <c r="C5407" s="1297"/>
      <c r="D5407" s="1297" t="s">
        <v>947</v>
      </c>
      <c r="E5407" s="1399">
        <v>47236.13</v>
      </c>
      <c r="I5407" s="1399">
        <v>47236.13</v>
      </c>
    </row>
    <row r="5408" spans="2:9">
      <c r="B5408" s="1297"/>
      <c r="C5408" s="1297"/>
      <c r="D5408" s="1297" t="s">
        <v>948</v>
      </c>
      <c r="G5408" s="1399">
        <v>1183457.05</v>
      </c>
      <c r="I5408" s="1399">
        <v>1183457.05</v>
      </c>
    </row>
    <row r="5409" spans="2:9">
      <c r="B5409" s="1297"/>
      <c r="C5409" s="1297"/>
      <c r="D5409" s="1297" t="s">
        <v>956</v>
      </c>
      <c r="G5409" s="1399">
        <v>400</v>
      </c>
      <c r="I5409" s="1399">
        <v>400</v>
      </c>
    </row>
    <row r="5410" spans="2:9">
      <c r="B5410" s="1297"/>
      <c r="C5410" s="1400" t="s">
        <v>1379</v>
      </c>
      <c r="D5410" s="1400"/>
      <c r="E5410" s="1401">
        <v>4460174.9899999993</v>
      </c>
      <c r="F5410" s="1401">
        <v>4542812.59</v>
      </c>
      <c r="G5410" s="1401">
        <v>1183857.05</v>
      </c>
      <c r="H5410" s="1401">
        <v>8744985.1300000008</v>
      </c>
      <c r="I5410" s="1401">
        <v>18931829.760000002</v>
      </c>
    </row>
    <row r="5411" spans="2:9">
      <c r="B5411" s="1297" t="s">
        <v>1380</v>
      </c>
      <c r="C5411" s="1297" t="s">
        <v>1381</v>
      </c>
      <c r="D5411" s="1297" t="s">
        <v>906</v>
      </c>
      <c r="F5411" s="1399">
        <v>3273850.77</v>
      </c>
      <c r="I5411" s="1399">
        <v>3273850.77</v>
      </c>
    </row>
    <row r="5412" spans="2:9">
      <c r="B5412" s="1297"/>
      <c r="C5412" s="1297"/>
      <c r="D5412" s="1297" t="s">
        <v>952</v>
      </c>
      <c r="F5412" s="1399">
        <v>22710.15</v>
      </c>
      <c r="I5412" s="1399">
        <v>22710.15</v>
      </c>
    </row>
    <row r="5413" spans="2:9">
      <c r="B5413" s="1297"/>
      <c r="C5413" s="1297"/>
      <c r="D5413" s="1297" t="s">
        <v>907</v>
      </c>
      <c r="F5413" s="1399">
        <v>694676.94</v>
      </c>
      <c r="I5413" s="1399">
        <v>694676.94</v>
      </c>
    </row>
    <row r="5414" spans="2:9">
      <c r="B5414" s="1297"/>
      <c r="C5414" s="1297"/>
      <c r="D5414" s="1297" t="s">
        <v>908</v>
      </c>
      <c r="F5414" s="1399">
        <v>29526.23</v>
      </c>
      <c r="I5414" s="1399">
        <v>29526.23</v>
      </c>
    </row>
    <row r="5415" spans="2:9">
      <c r="B5415" s="1297"/>
      <c r="C5415" s="1297"/>
      <c r="D5415" s="1297" t="s">
        <v>1034</v>
      </c>
      <c r="F5415" s="1399">
        <v>675</v>
      </c>
      <c r="I5415" s="1399">
        <v>675</v>
      </c>
    </row>
    <row r="5416" spans="2:9">
      <c r="B5416" s="1297"/>
      <c r="C5416" s="1297"/>
      <c r="D5416" s="1297" t="s">
        <v>1039</v>
      </c>
      <c r="F5416" s="1399">
        <v>12799.269999999999</v>
      </c>
      <c r="I5416" s="1399">
        <v>12799.269999999999</v>
      </c>
    </row>
    <row r="5417" spans="2:9">
      <c r="B5417" s="1297"/>
      <c r="C5417" s="1297"/>
      <c r="D5417" s="1297" t="s">
        <v>1041</v>
      </c>
      <c r="F5417" s="1399">
        <v>14768.720000000001</v>
      </c>
      <c r="I5417" s="1399">
        <v>14768.720000000001</v>
      </c>
    </row>
    <row r="5418" spans="2:9">
      <c r="B5418" s="1297"/>
      <c r="C5418" s="1297"/>
      <c r="D5418" s="1297" t="s">
        <v>1042</v>
      </c>
      <c r="F5418" s="1399">
        <v>21685.24</v>
      </c>
      <c r="I5418" s="1399">
        <v>21685.24</v>
      </c>
    </row>
    <row r="5419" spans="2:9">
      <c r="B5419" s="1297"/>
      <c r="C5419" s="1297"/>
      <c r="D5419" s="1297" t="s">
        <v>953</v>
      </c>
      <c r="F5419" s="1399">
        <v>6693</v>
      </c>
      <c r="I5419" s="1399">
        <v>6693</v>
      </c>
    </row>
    <row r="5420" spans="2:9">
      <c r="B5420" s="1297"/>
      <c r="C5420" s="1297"/>
      <c r="D5420" s="1297" t="s">
        <v>1045</v>
      </c>
      <c r="F5420" s="1399">
        <v>309646.26</v>
      </c>
      <c r="I5420" s="1399">
        <v>309646.26</v>
      </c>
    </row>
    <row r="5421" spans="2:9">
      <c r="B5421" s="1297"/>
      <c r="C5421" s="1297"/>
      <c r="D5421" s="1297" t="s">
        <v>1046</v>
      </c>
      <c r="H5421" s="1399">
        <v>4815141</v>
      </c>
      <c r="I5421" s="1399">
        <v>4815141</v>
      </c>
    </row>
    <row r="5422" spans="2:9">
      <c r="B5422" s="1297"/>
      <c r="C5422" s="1297"/>
      <c r="D5422" s="1297" t="s">
        <v>1047</v>
      </c>
      <c r="H5422" s="1399">
        <v>305239</v>
      </c>
      <c r="I5422" s="1399">
        <v>305239</v>
      </c>
    </row>
    <row r="5423" spans="2:9">
      <c r="B5423" s="1297"/>
      <c r="C5423" s="1297"/>
      <c r="D5423" s="1297" t="s">
        <v>1048</v>
      </c>
      <c r="H5423" s="1399">
        <v>-978758</v>
      </c>
      <c r="I5423" s="1399">
        <v>-978758</v>
      </c>
    </row>
    <row r="5424" spans="2:9">
      <c r="B5424" s="1297"/>
      <c r="C5424" s="1297"/>
      <c r="D5424" s="1297" t="s">
        <v>932</v>
      </c>
      <c r="H5424" s="1399">
        <v>85652</v>
      </c>
      <c r="I5424" s="1399">
        <v>85652</v>
      </c>
    </row>
    <row r="5425" spans="2:9">
      <c r="B5425" s="1297"/>
      <c r="C5425" s="1297"/>
      <c r="D5425" s="1297" t="s">
        <v>955</v>
      </c>
      <c r="H5425" s="1399">
        <v>119618.76</v>
      </c>
      <c r="I5425" s="1399">
        <v>119618.76</v>
      </c>
    </row>
    <row r="5426" spans="2:9">
      <c r="B5426" s="1297"/>
      <c r="C5426" s="1297"/>
      <c r="D5426" s="1297" t="s">
        <v>934</v>
      </c>
      <c r="H5426" s="1399">
        <v>24092</v>
      </c>
      <c r="I5426" s="1399">
        <v>24092</v>
      </c>
    </row>
    <row r="5427" spans="2:9">
      <c r="B5427" s="1297"/>
      <c r="C5427" s="1297"/>
      <c r="D5427" s="1297" t="s">
        <v>935</v>
      </c>
      <c r="H5427" s="1399">
        <v>231766.39</v>
      </c>
      <c r="I5427" s="1399">
        <v>231766.39</v>
      </c>
    </row>
    <row r="5428" spans="2:9">
      <c r="B5428" s="1297"/>
      <c r="C5428" s="1297"/>
      <c r="D5428" s="1297" t="s">
        <v>936</v>
      </c>
      <c r="H5428" s="1399">
        <v>20658.88</v>
      </c>
      <c r="I5428" s="1399">
        <v>20658.88</v>
      </c>
    </row>
    <row r="5429" spans="2:9">
      <c r="B5429" s="1297"/>
      <c r="C5429" s="1297"/>
      <c r="D5429" s="1297" t="s">
        <v>937</v>
      </c>
      <c r="H5429" s="1399">
        <v>2772.02</v>
      </c>
      <c r="I5429" s="1399">
        <v>2772.02</v>
      </c>
    </row>
    <row r="5430" spans="2:9">
      <c r="B5430" s="1297"/>
      <c r="C5430" s="1297"/>
      <c r="D5430" s="1297" t="s">
        <v>938</v>
      </c>
      <c r="H5430" s="1399">
        <v>7674</v>
      </c>
      <c r="I5430" s="1399">
        <v>7674</v>
      </c>
    </row>
    <row r="5431" spans="2:9">
      <c r="B5431" s="1297"/>
      <c r="C5431" s="1297"/>
      <c r="D5431" s="1297" t="s">
        <v>939</v>
      </c>
      <c r="H5431" s="1399">
        <v>11265.81</v>
      </c>
      <c r="I5431" s="1399">
        <v>11265.81</v>
      </c>
    </row>
    <row r="5432" spans="2:9">
      <c r="B5432" s="1297"/>
      <c r="C5432" s="1297"/>
      <c r="D5432" s="1297" t="s">
        <v>1131</v>
      </c>
      <c r="E5432" s="1399">
        <v>603006.80000000005</v>
      </c>
      <c r="I5432" s="1399">
        <v>603006.80000000005</v>
      </c>
    </row>
    <row r="5433" spans="2:9">
      <c r="B5433" s="1297"/>
      <c r="C5433" s="1297"/>
      <c r="D5433" s="1297" t="s">
        <v>940</v>
      </c>
      <c r="E5433" s="1399">
        <v>463199.48</v>
      </c>
      <c r="I5433" s="1399">
        <v>463199.48</v>
      </c>
    </row>
    <row r="5434" spans="2:9">
      <c r="B5434" s="1297"/>
      <c r="C5434" s="1297"/>
      <c r="D5434" s="1297" t="s">
        <v>941</v>
      </c>
      <c r="E5434" s="1399">
        <v>256488.47999999998</v>
      </c>
      <c r="I5434" s="1399">
        <v>256488.47999999998</v>
      </c>
    </row>
    <row r="5435" spans="2:9">
      <c r="B5435" s="1297"/>
      <c r="C5435" s="1297"/>
      <c r="D5435" s="1297" t="s">
        <v>943</v>
      </c>
      <c r="E5435" s="1399">
        <v>1382.32</v>
      </c>
      <c r="I5435" s="1399">
        <v>1382.32</v>
      </c>
    </row>
    <row r="5436" spans="2:9">
      <c r="B5436" s="1297"/>
      <c r="C5436" s="1297"/>
      <c r="D5436" s="1297" t="s">
        <v>944</v>
      </c>
      <c r="E5436" s="1399">
        <v>1670942.5499999998</v>
      </c>
      <c r="I5436" s="1399">
        <v>1670942.5499999998</v>
      </c>
    </row>
    <row r="5437" spans="2:9">
      <c r="B5437" s="1297"/>
      <c r="C5437" s="1297"/>
      <c r="D5437" s="1297" t="s">
        <v>945</v>
      </c>
      <c r="E5437" s="1399">
        <v>476035.48</v>
      </c>
      <c r="I5437" s="1399">
        <v>476035.48</v>
      </c>
    </row>
    <row r="5438" spans="2:9">
      <c r="B5438" s="1297"/>
      <c r="C5438" s="1297"/>
      <c r="D5438" s="1297" t="s">
        <v>947</v>
      </c>
      <c r="E5438" s="1399">
        <v>47384.79</v>
      </c>
      <c r="I5438" s="1399">
        <v>47384.79</v>
      </c>
    </row>
    <row r="5439" spans="2:9">
      <c r="B5439" s="1297"/>
      <c r="C5439" s="1297"/>
      <c r="D5439" s="1297" t="s">
        <v>956</v>
      </c>
      <c r="G5439" s="1399">
        <v>7447.36</v>
      </c>
      <c r="I5439" s="1399">
        <v>7447.36</v>
      </c>
    </row>
    <row r="5440" spans="2:9">
      <c r="B5440" s="1297"/>
      <c r="C5440" s="1400" t="s">
        <v>1382</v>
      </c>
      <c r="D5440" s="1400"/>
      <c r="E5440" s="1401">
        <v>3518439.9</v>
      </c>
      <c r="F5440" s="1401">
        <v>4387031.58</v>
      </c>
      <c r="G5440" s="1401">
        <v>7447.36</v>
      </c>
      <c r="H5440" s="1401">
        <v>4645121.8599999985</v>
      </c>
      <c r="I5440" s="1401">
        <v>12558040.700000003</v>
      </c>
    </row>
    <row r="5441" spans="2:9">
      <c r="B5441" s="1297" t="s">
        <v>1383</v>
      </c>
      <c r="C5441" s="1297" t="s">
        <v>1384</v>
      </c>
      <c r="D5441" s="1297" t="s">
        <v>906</v>
      </c>
      <c r="F5441" s="1399">
        <v>12294955.970000001</v>
      </c>
      <c r="I5441" s="1399">
        <v>12294955.970000001</v>
      </c>
    </row>
    <row r="5442" spans="2:9">
      <c r="B5442" s="1297"/>
      <c r="C5442" s="1297"/>
      <c r="D5442" s="1297" t="s">
        <v>952</v>
      </c>
      <c r="F5442" s="1399">
        <v>228538.55</v>
      </c>
      <c r="I5442" s="1399">
        <v>228538.55</v>
      </c>
    </row>
    <row r="5443" spans="2:9">
      <c r="B5443" s="1297"/>
      <c r="C5443" s="1297"/>
      <c r="D5443" s="1297" t="s">
        <v>907</v>
      </c>
      <c r="F5443" s="1399">
        <v>3304962</v>
      </c>
      <c r="I5443" s="1399">
        <v>3304962</v>
      </c>
    </row>
    <row r="5444" spans="2:9">
      <c r="B5444" s="1297"/>
      <c r="C5444" s="1297"/>
      <c r="D5444" s="1297" t="s">
        <v>908</v>
      </c>
      <c r="F5444" s="1399">
        <v>0</v>
      </c>
      <c r="I5444" s="1399">
        <v>0</v>
      </c>
    </row>
    <row r="5445" spans="2:9">
      <c r="B5445" s="1297"/>
      <c r="C5445" s="1297"/>
      <c r="D5445" s="1297" t="s">
        <v>1035</v>
      </c>
      <c r="F5445" s="1399">
        <v>299132.55</v>
      </c>
      <c r="I5445" s="1399">
        <v>299132.55</v>
      </c>
    </row>
    <row r="5446" spans="2:9">
      <c r="B5446" s="1297"/>
      <c r="C5446" s="1297"/>
      <c r="D5446" s="1297" t="s">
        <v>1036</v>
      </c>
      <c r="F5446" s="1399">
        <v>85798</v>
      </c>
      <c r="I5446" s="1399">
        <v>85798</v>
      </c>
    </row>
    <row r="5447" spans="2:9">
      <c r="B5447" s="1297"/>
      <c r="C5447" s="1297"/>
      <c r="D5447" s="1297" t="s">
        <v>1037</v>
      </c>
      <c r="F5447" s="1399">
        <v>7000</v>
      </c>
      <c r="I5447" s="1399">
        <v>7000</v>
      </c>
    </row>
    <row r="5448" spans="2:9">
      <c r="B5448" s="1297"/>
      <c r="C5448" s="1297"/>
      <c r="D5448" s="1297" t="s">
        <v>1039</v>
      </c>
      <c r="F5448" s="1399">
        <v>71351.13</v>
      </c>
      <c r="I5448" s="1399">
        <v>71351.13</v>
      </c>
    </row>
    <row r="5449" spans="2:9">
      <c r="B5449" s="1297"/>
      <c r="C5449" s="1297"/>
      <c r="D5449" s="1297" t="s">
        <v>1040</v>
      </c>
      <c r="F5449" s="1399">
        <v>272597.75</v>
      </c>
      <c r="I5449" s="1399">
        <v>272597.75</v>
      </c>
    </row>
    <row r="5450" spans="2:9">
      <c r="B5450" s="1297"/>
      <c r="C5450" s="1297"/>
      <c r="D5450" s="1297" t="s">
        <v>1041</v>
      </c>
      <c r="F5450" s="1399">
        <v>44900.1</v>
      </c>
      <c r="I5450" s="1399">
        <v>44900.1</v>
      </c>
    </row>
    <row r="5451" spans="2:9">
      <c r="B5451" s="1297"/>
      <c r="C5451" s="1297"/>
      <c r="D5451" s="1297" t="s">
        <v>1042</v>
      </c>
      <c r="F5451" s="1399">
        <v>60994.9</v>
      </c>
      <c r="I5451" s="1399">
        <v>60994.9</v>
      </c>
    </row>
    <row r="5452" spans="2:9">
      <c r="B5452" s="1297"/>
      <c r="C5452" s="1297"/>
      <c r="D5452" s="1297" t="s">
        <v>954</v>
      </c>
      <c r="F5452" s="1399">
        <v>145556.37</v>
      </c>
      <c r="I5452" s="1399">
        <v>145556.37</v>
      </c>
    </row>
    <row r="5453" spans="2:9">
      <c r="B5453" s="1297"/>
      <c r="C5453" s="1297"/>
      <c r="D5453" s="1297" t="s">
        <v>985</v>
      </c>
      <c r="F5453" s="1399">
        <v>73507.28</v>
      </c>
      <c r="I5453" s="1399">
        <v>73507.28</v>
      </c>
    </row>
    <row r="5454" spans="2:9">
      <c r="B5454" s="1297"/>
      <c r="C5454" s="1297"/>
      <c r="D5454" s="1297" t="s">
        <v>1043</v>
      </c>
      <c r="F5454" s="1399">
        <v>485</v>
      </c>
      <c r="I5454" s="1399">
        <v>485</v>
      </c>
    </row>
    <row r="5455" spans="2:9">
      <c r="B5455" s="1297"/>
      <c r="C5455" s="1297"/>
      <c r="D5455" s="1297" t="s">
        <v>986</v>
      </c>
      <c r="F5455" s="1399">
        <v>100216.42</v>
      </c>
      <c r="I5455" s="1399">
        <v>100216.42</v>
      </c>
    </row>
    <row r="5456" spans="2:9">
      <c r="B5456" s="1297"/>
      <c r="C5456" s="1297"/>
      <c r="D5456" s="1297" t="s">
        <v>1045</v>
      </c>
      <c r="F5456" s="1399">
        <v>314375</v>
      </c>
      <c r="I5456" s="1399">
        <v>314375</v>
      </c>
    </row>
    <row r="5457" spans="2:9">
      <c r="B5457" s="1297"/>
      <c r="C5457" s="1297"/>
      <c r="D5457" s="1297" t="s">
        <v>1046</v>
      </c>
      <c r="H5457" s="1399">
        <v>12876844</v>
      </c>
      <c r="I5457" s="1399">
        <v>12876844</v>
      </c>
    </row>
    <row r="5458" spans="2:9">
      <c r="B5458" s="1297"/>
      <c r="C5458" s="1297"/>
      <c r="D5458" s="1297" t="s">
        <v>1128</v>
      </c>
      <c r="H5458" s="1399">
        <v>1509138</v>
      </c>
      <c r="I5458" s="1399">
        <v>1509138</v>
      </c>
    </row>
    <row r="5459" spans="2:9">
      <c r="B5459" s="1297"/>
      <c r="C5459" s="1297"/>
      <c r="D5459" s="1297" t="s">
        <v>1047</v>
      </c>
      <c r="H5459" s="1399">
        <v>694695</v>
      </c>
      <c r="I5459" s="1399">
        <v>694695</v>
      </c>
    </row>
    <row r="5460" spans="2:9">
      <c r="B5460" s="1297"/>
      <c r="C5460" s="1297"/>
      <c r="D5460" s="1297" t="s">
        <v>1048</v>
      </c>
      <c r="H5460" s="1399">
        <v>-5594808</v>
      </c>
      <c r="I5460" s="1399">
        <v>-5594808</v>
      </c>
    </row>
    <row r="5461" spans="2:9">
      <c r="B5461" s="1297"/>
      <c r="C5461" s="1297"/>
      <c r="D5461" s="1297" t="s">
        <v>955</v>
      </c>
      <c r="H5461" s="1399">
        <v>158117.01999999999</v>
      </c>
      <c r="I5461" s="1399">
        <v>158117.01999999999</v>
      </c>
    </row>
    <row r="5462" spans="2:9">
      <c r="B5462" s="1297"/>
      <c r="C5462" s="1297"/>
      <c r="D5462" s="1297" t="s">
        <v>934</v>
      </c>
      <c r="H5462" s="1399">
        <v>44806</v>
      </c>
      <c r="I5462" s="1399">
        <v>44806</v>
      </c>
    </row>
    <row r="5463" spans="2:9">
      <c r="B5463" s="1297"/>
      <c r="C5463" s="1297"/>
      <c r="D5463" s="1297" t="s">
        <v>935</v>
      </c>
      <c r="H5463" s="1399">
        <v>97580.25</v>
      </c>
      <c r="I5463" s="1399">
        <v>97580.25</v>
      </c>
    </row>
    <row r="5464" spans="2:9">
      <c r="B5464" s="1297"/>
      <c r="C5464" s="1297"/>
      <c r="D5464" s="1297" t="s">
        <v>936</v>
      </c>
      <c r="H5464" s="1399">
        <v>63727.4</v>
      </c>
      <c r="I5464" s="1399">
        <v>63727.4</v>
      </c>
    </row>
    <row r="5465" spans="2:9">
      <c r="B5465" s="1297"/>
      <c r="C5465" s="1297"/>
      <c r="D5465" s="1297" t="s">
        <v>937</v>
      </c>
      <c r="H5465" s="1399">
        <v>20699.650000000001</v>
      </c>
      <c r="I5465" s="1399">
        <v>20699.650000000001</v>
      </c>
    </row>
    <row r="5466" spans="2:9">
      <c r="B5466" s="1297"/>
      <c r="C5466" s="1297"/>
      <c r="D5466" s="1297" t="s">
        <v>938</v>
      </c>
      <c r="H5466" s="1399">
        <v>16844</v>
      </c>
      <c r="I5466" s="1399">
        <v>16844</v>
      </c>
    </row>
    <row r="5467" spans="2:9">
      <c r="B5467" s="1297"/>
      <c r="C5467" s="1297"/>
      <c r="D5467" s="1297" t="s">
        <v>939</v>
      </c>
      <c r="H5467" s="1399">
        <v>341421.33999999997</v>
      </c>
      <c r="I5467" s="1399">
        <v>341421.33999999997</v>
      </c>
    </row>
    <row r="5468" spans="2:9">
      <c r="B5468" s="1297"/>
      <c r="C5468" s="1297"/>
      <c r="D5468" s="1297" t="s">
        <v>940</v>
      </c>
      <c r="E5468" s="1399">
        <v>703093.8</v>
      </c>
      <c r="I5468" s="1399">
        <v>703093.8</v>
      </c>
    </row>
    <row r="5469" spans="2:9">
      <c r="B5469" s="1297"/>
      <c r="C5469" s="1297"/>
      <c r="D5469" s="1297" t="s">
        <v>941</v>
      </c>
      <c r="E5469" s="1399">
        <v>262195.20000000001</v>
      </c>
      <c r="I5469" s="1399">
        <v>262195.20000000001</v>
      </c>
    </row>
    <row r="5470" spans="2:9">
      <c r="B5470" s="1297"/>
      <c r="C5470" s="1297"/>
      <c r="D5470" s="1297" t="s">
        <v>943</v>
      </c>
      <c r="E5470" s="1399">
        <v>17098.439999999999</v>
      </c>
      <c r="I5470" s="1399">
        <v>17098.439999999999</v>
      </c>
    </row>
    <row r="5471" spans="2:9">
      <c r="B5471" s="1297"/>
      <c r="C5471" s="1297"/>
      <c r="D5471" s="1297" t="s">
        <v>944</v>
      </c>
      <c r="E5471" s="1399">
        <v>1552330.1700000002</v>
      </c>
      <c r="I5471" s="1399">
        <v>1552330.1700000002</v>
      </c>
    </row>
    <row r="5472" spans="2:9">
      <c r="B5472" s="1297"/>
      <c r="C5472" s="1297"/>
      <c r="D5472" s="1297" t="s">
        <v>945</v>
      </c>
      <c r="E5472" s="1399">
        <v>1093781.51</v>
      </c>
      <c r="I5472" s="1399">
        <v>1093781.51</v>
      </c>
    </row>
    <row r="5473" spans="2:9">
      <c r="B5473" s="1297"/>
      <c r="C5473" s="1297"/>
      <c r="D5473" s="1297" t="s">
        <v>1214</v>
      </c>
      <c r="E5473" s="1399">
        <v>667795.44999999995</v>
      </c>
      <c r="I5473" s="1399">
        <v>667795.44999999995</v>
      </c>
    </row>
    <row r="5474" spans="2:9">
      <c r="B5474" s="1297"/>
      <c r="C5474" s="1297"/>
      <c r="D5474" s="1297" t="s">
        <v>947</v>
      </c>
      <c r="E5474" s="1399">
        <v>117031.9</v>
      </c>
      <c r="I5474" s="1399">
        <v>117031.9</v>
      </c>
    </row>
    <row r="5475" spans="2:9">
      <c r="B5475" s="1297"/>
      <c r="C5475" s="1297"/>
      <c r="D5475" s="1297" t="s">
        <v>1115</v>
      </c>
      <c r="E5475" s="1399">
        <v>2873.96</v>
      </c>
      <c r="I5475" s="1399">
        <v>2873.96</v>
      </c>
    </row>
    <row r="5476" spans="2:9">
      <c r="B5476" s="1297"/>
      <c r="C5476" s="1297"/>
      <c r="D5476" s="1297" t="s">
        <v>948</v>
      </c>
      <c r="G5476" s="1399">
        <v>3541752.7199999997</v>
      </c>
      <c r="I5476" s="1399">
        <v>3541752.7199999997</v>
      </c>
    </row>
    <row r="5477" spans="2:9">
      <c r="B5477" s="1297"/>
      <c r="C5477" s="1297"/>
      <c r="D5477" s="1297" t="s">
        <v>1118</v>
      </c>
      <c r="G5477" s="1399">
        <v>16444.29</v>
      </c>
      <c r="I5477" s="1399">
        <v>16444.29</v>
      </c>
    </row>
    <row r="5478" spans="2:9">
      <c r="B5478" s="1297"/>
      <c r="C5478" s="1400" t="s">
        <v>1385</v>
      </c>
      <c r="D5478" s="1400"/>
      <c r="E5478" s="1401">
        <v>4416200.4300000006</v>
      </c>
      <c r="F5478" s="1401">
        <v>17304371.020000007</v>
      </c>
      <c r="G5478" s="1401">
        <v>3558197.01</v>
      </c>
      <c r="H5478" s="1401">
        <v>10229064.66</v>
      </c>
      <c r="I5478" s="1401">
        <v>35507833.120000005</v>
      </c>
    </row>
    <row r="5479" spans="2:9">
      <c r="B5479" s="1297" t="s">
        <v>1386</v>
      </c>
      <c r="C5479" s="1297" t="s">
        <v>1387</v>
      </c>
      <c r="D5479" s="1297" t="s">
        <v>906</v>
      </c>
      <c r="F5479" s="1399">
        <v>9188035.5399999991</v>
      </c>
      <c r="I5479" s="1399">
        <v>9188035.5399999991</v>
      </c>
    </row>
    <row r="5480" spans="2:9">
      <c r="B5480" s="1297"/>
      <c r="C5480" s="1297"/>
      <c r="D5480" s="1297" t="s">
        <v>952</v>
      </c>
      <c r="F5480" s="1399">
        <v>74922.89</v>
      </c>
      <c r="I5480" s="1399">
        <v>74922.89</v>
      </c>
    </row>
    <row r="5481" spans="2:9">
      <c r="B5481" s="1297"/>
      <c r="C5481" s="1297"/>
      <c r="D5481" s="1297" t="s">
        <v>907</v>
      </c>
      <c r="F5481" s="1399">
        <v>3185570.43</v>
      </c>
      <c r="I5481" s="1399">
        <v>3185570.43</v>
      </c>
    </row>
    <row r="5482" spans="2:9">
      <c r="B5482" s="1297"/>
      <c r="C5482" s="1297"/>
      <c r="D5482" s="1297" t="s">
        <v>908</v>
      </c>
      <c r="F5482" s="1399">
        <v>9031.49</v>
      </c>
      <c r="I5482" s="1399">
        <v>9031.49</v>
      </c>
    </row>
    <row r="5483" spans="2:9">
      <c r="B5483" s="1297"/>
      <c r="C5483" s="1297"/>
      <c r="D5483" s="1297" t="s">
        <v>909</v>
      </c>
      <c r="F5483" s="1399">
        <v>28448.31</v>
      </c>
      <c r="I5483" s="1399">
        <v>28448.31</v>
      </c>
    </row>
    <row r="5484" spans="2:9">
      <c r="B5484" s="1297"/>
      <c r="C5484" s="1297"/>
      <c r="D5484" s="1297" t="s">
        <v>910</v>
      </c>
      <c r="F5484" s="1399">
        <v>38275.81</v>
      </c>
      <c r="I5484" s="1399">
        <v>38275.81</v>
      </c>
    </row>
    <row r="5485" spans="2:9">
      <c r="B5485" s="1297"/>
      <c r="C5485" s="1297"/>
      <c r="D5485" s="1297" t="s">
        <v>1034</v>
      </c>
      <c r="F5485" s="1399">
        <v>32139.1</v>
      </c>
      <c r="I5485" s="1399">
        <v>32139.1</v>
      </c>
    </row>
    <row r="5486" spans="2:9">
      <c r="B5486" s="1297"/>
      <c r="C5486" s="1297"/>
      <c r="D5486" s="1297" t="s">
        <v>1035</v>
      </c>
      <c r="F5486" s="1399">
        <v>244450.08999999997</v>
      </c>
      <c r="I5486" s="1399">
        <v>244450.08999999997</v>
      </c>
    </row>
    <row r="5487" spans="2:9">
      <c r="B5487" s="1297"/>
      <c r="C5487" s="1297"/>
      <c r="D5487" s="1297" t="s">
        <v>1036</v>
      </c>
      <c r="F5487" s="1399">
        <v>68232.81</v>
      </c>
      <c r="I5487" s="1399">
        <v>68232.81</v>
      </c>
    </row>
    <row r="5488" spans="2:9">
      <c r="B5488" s="1297"/>
      <c r="C5488" s="1297"/>
      <c r="D5488" s="1297" t="s">
        <v>1037</v>
      </c>
      <c r="F5488" s="1399">
        <v>12200</v>
      </c>
      <c r="I5488" s="1399">
        <v>12200</v>
      </c>
    </row>
    <row r="5489" spans="2:9">
      <c r="B5489" s="1297"/>
      <c r="C5489" s="1297"/>
      <c r="D5489" s="1297" t="s">
        <v>1039</v>
      </c>
      <c r="F5489" s="1399">
        <v>28205.23</v>
      </c>
      <c r="I5489" s="1399">
        <v>28205.23</v>
      </c>
    </row>
    <row r="5490" spans="2:9">
      <c r="B5490" s="1297"/>
      <c r="C5490" s="1297"/>
      <c r="D5490" s="1297" t="s">
        <v>1040</v>
      </c>
      <c r="F5490" s="1399">
        <v>290859.64999999997</v>
      </c>
      <c r="I5490" s="1399">
        <v>290859.64999999997</v>
      </c>
    </row>
    <row r="5491" spans="2:9">
      <c r="B5491" s="1297"/>
      <c r="C5491" s="1297"/>
      <c r="D5491" s="1297" t="s">
        <v>1041</v>
      </c>
      <c r="F5491" s="1399">
        <v>50864.479999999996</v>
      </c>
      <c r="I5491" s="1399">
        <v>50864.479999999996</v>
      </c>
    </row>
    <row r="5492" spans="2:9">
      <c r="B5492" s="1297"/>
      <c r="C5492" s="1297"/>
      <c r="D5492" s="1297" t="s">
        <v>1042</v>
      </c>
      <c r="F5492" s="1399">
        <v>53151.51999999999</v>
      </c>
      <c r="I5492" s="1399">
        <v>53151.51999999999</v>
      </c>
    </row>
    <row r="5493" spans="2:9">
      <c r="B5493" s="1297"/>
      <c r="C5493" s="1297"/>
      <c r="D5493" s="1297" t="s">
        <v>954</v>
      </c>
      <c r="F5493" s="1399">
        <v>49787.48</v>
      </c>
      <c r="I5493" s="1399">
        <v>49787.48</v>
      </c>
    </row>
    <row r="5494" spans="2:9">
      <c r="B5494" s="1297"/>
      <c r="C5494" s="1297"/>
      <c r="D5494" s="1297" t="s">
        <v>986</v>
      </c>
      <c r="F5494" s="1399">
        <v>145395.15</v>
      </c>
      <c r="I5494" s="1399">
        <v>145395.15</v>
      </c>
    </row>
    <row r="5495" spans="2:9">
      <c r="B5495" s="1297"/>
      <c r="C5495" s="1297"/>
      <c r="D5495" s="1297" t="s">
        <v>996</v>
      </c>
      <c r="F5495" s="1399">
        <v>4094.75</v>
      </c>
      <c r="I5495" s="1399">
        <v>4094.75</v>
      </c>
    </row>
    <row r="5496" spans="2:9">
      <c r="B5496" s="1297"/>
      <c r="C5496" s="1297"/>
      <c r="D5496" s="1297" t="s">
        <v>1044</v>
      </c>
      <c r="F5496" s="1399">
        <v>58563.07</v>
      </c>
      <c r="I5496" s="1399">
        <v>58563.07</v>
      </c>
    </row>
    <row r="5497" spans="2:9">
      <c r="B5497" s="1297"/>
      <c r="C5497" s="1297"/>
      <c r="D5497" s="1297" t="s">
        <v>1045</v>
      </c>
      <c r="F5497" s="1399">
        <v>289766.50999999989</v>
      </c>
      <c r="I5497" s="1399">
        <v>289766.50999999989</v>
      </c>
    </row>
    <row r="5498" spans="2:9">
      <c r="B5498" s="1297"/>
      <c r="C5498" s="1297"/>
      <c r="D5498" s="1297" t="s">
        <v>1046</v>
      </c>
      <c r="H5498" s="1399">
        <v>22797799</v>
      </c>
      <c r="I5498" s="1399">
        <v>22797799</v>
      </c>
    </row>
    <row r="5499" spans="2:9">
      <c r="B5499" s="1297"/>
      <c r="C5499" s="1297"/>
      <c r="D5499" s="1297" t="s">
        <v>1128</v>
      </c>
      <c r="H5499" s="1399">
        <v>1945760</v>
      </c>
      <c r="I5499" s="1399">
        <v>1945760</v>
      </c>
    </row>
    <row r="5500" spans="2:9">
      <c r="B5500" s="1297"/>
      <c r="C5500" s="1297"/>
      <c r="D5500" s="1297" t="s">
        <v>1129</v>
      </c>
      <c r="H5500" s="1399">
        <v>-3306126</v>
      </c>
      <c r="I5500" s="1399">
        <v>-3306126</v>
      </c>
    </row>
    <row r="5501" spans="2:9">
      <c r="B5501" s="1297"/>
      <c r="C5501" s="1297"/>
      <c r="D5501" s="1297" t="s">
        <v>1047</v>
      </c>
      <c r="H5501" s="1399">
        <v>732077</v>
      </c>
      <c r="I5501" s="1399">
        <v>732077</v>
      </c>
    </row>
    <row r="5502" spans="2:9">
      <c r="B5502" s="1297"/>
      <c r="C5502" s="1297"/>
      <c r="D5502" s="1297" t="s">
        <v>1048</v>
      </c>
      <c r="H5502" s="1399">
        <v>-3028075</v>
      </c>
      <c r="I5502" s="1399">
        <v>-3028075</v>
      </c>
    </row>
    <row r="5503" spans="2:9">
      <c r="B5503" s="1297"/>
      <c r="C5503" s="1297"/>
      <c r="D5503" s="1297" t="s">
        <v>932</v>
      </c>
      <c r="H5503" s="1399">
        <v>2161026</v>
      </c>
      <c r="I5503" s="1399">
        <v>2161026</v>
      </c>
    </row>
    <row r="5504" spans="2:9">
      <c r="B5504" s="1297"/>
      <c r="C5504" s="1297"/>
      <c r="D5504" s="1297" t="s">
        <v>955</v>
      </c>
      <c r="H5504" s="1399">
        <v>541300.47999999998</v>
      </c>
      <c r="I5504" s="1399">
        <v>541300.47999999998</v>
      </c>
    </row>
    <row r="5505" spans="2:9">
      <c r="B5505" s="1297"/>
      <c r="C5505" s="1297"/>
      <c r="D5505" s="1297" t="s">
        <v>934</v>
      </c>
      <c r="H5505" s="1399">
        <v>78090</v>
      </c>
      <c r="I5505" s="1399">
        <v>78090</v>
      </c>
    </row>
    <row r="5506" spans="2:9">
      <c r="B5506" s="1297"/>
      <c r="C5506" s="1297"/>
      <c r="D5506" s="1297" t="s">
        <v>935</v>
      </c>
      <c r="H5506" s="1399">
        <v>135762.71</v>
      </c>
      <c r="I5506" s="1399">
        <v>135762.71</v>
      </c>
    </row>
    <row r="5507" spans="2:9">
      <c r="B5507" s="1297"/>
      <c r="C5507" s="1297"/>
      <c r="D5507" s="1297" t="s">
        <v>936</v>
      </c>
      <c r="H5507" s="1399">
        <v>86137.03</v>
      </c>
      <c r="I5507" s="1399">
        <v>86137.03</v>
      </c>
    </row>
    <row r="5508" spans="2:9">
      <c r="B5508" s="1297"/>
      <c r="C5508" s="1297"/>
      <c r="D5508" s="1297" t="s">
        <v>938</v>
      </c>
      <c r="H5508" s="1399">
        <v>29758</v>
      </c>
      <c r="I5508" s="1399">
        <v>29758</v>
      </c>
    </row>
    <row r="5509" spans="2:9">
      <c r="B5509" s="1297"/>
      <c r="C5509" s="1297"/>
      <c r="D5509" s="1297" t="s">
        <v>1131</v>
      </c>
      <c r="E5509" s="1399">
        <v>140583.64000000001</v>
      </c>
      <c r="I5509" s="1399">
        <v>140583.64000000001</v>
      </c>
    </row>
    <row r="5510" spans="2:9">
      <c r="B5510" s="1297"/>
      <c r="C5510" s="1297"/>
      <c r="D5510" s="1297" t="s">
        <v>940</v>
      </c>
      <c r="E5510" s="1399">
        <v>1301968.7400000002</v>
      </c>
      <c r="I5510" s="1399">
        <v>1301968.7400000002</v>
      </c>
    </row>
    <row r="5511" spans="2:9">
      <c r="B5511" s="1297"/>
      <c r="C5511" s="1297"/>
      <c r="D5511" s="1297" t="s">
        <v>941</v>
      </c>
      <c r="E5511" s="1399">
        <v>524278.19000000006</v>
      </c>
      <c r="I5511" s="1399">
        <v>524278.19000000006</v>
      </c>
    </row>
    <row r="5512" spans="2:9">
      <c r="B5512" s="1297"/>
      <c r="C5512" s="1297"/>
      <c r="D5512" s="1297" t="s">
        <v>943</v>
      </c>
      <c r="E5512" s="1399">
        <v>3669.66</v>
      </c>
      <c r="I5512" s="1399">
        <v>3669.66</v>
      </c>
    </row>
    <row r="5513" spans="2:9">
      <c r="B5513" s="1297"/>
      <c r="C5513" s="1297"/>
      <c r="D5513" s="1297" t="s">
        <v>944</v>
      </c>
      <c r="E5513" s="1399">
        <v>3054115.8899999992</v>
      </c>
      <c r="I5513" s="1399">
        <v>3054115.8899999992</v>
      </c>
    </row>
    <row r="5514" spans="2:9">
      <c r="B5514" s="1297"/>
      <c r="C5514" s="1297"/>
      <c r="D5514" s="1297" t="s">
        <v>945</v>
      </c>
      <c r="E5514" s="1399">
        <v>1813408.55</v>
      </c>
      <c r="I5514" s="1399">
        <v>1813408.55</v>
      </c>
    </row>
    <row r="5515" spans="2:9">
      <c r="B5515" s="1297"/>
      <c r="C5515" s="1297"/>
      <c r="D5515" s="1297" t="s">
        <v>946</v>
      </c>
      <c r="E5515" s="1399">
        <v>208364.2</v>
      </c>
      <c r="I5515" s="1399">
        <v>208364.2</v>
      </c>
    </row>
    <row r="5516" spans="2:9">
      <c r="B5516" s="1297"/>
      <c r="C5516" s="1297"/>
      <c r="D5516" s="1297" t="s">
        <v>947</v>
      </c>
      <c r="E5516" s="1399">
        <v>73218.44</v>
      </c>
      <c r="I5516" s="1399">
        <v>73218.44</v>
      </c>
    </row>
    <row r="5517" spans="2:9">
      <c r="B5517" s="1297"/>
      <c r="C5517" s="1297"/>
      <c r="D5517" s="1297" t="s">
        <v>948</v>
      </c>
      <c r="G5517" s="1399">
        <v>42772.97</v>
      </c>
      <c r="I5517" s="1399">
        <v>42772.97</v>
      </c>
    </row>
    <row r="5518" spans="2:9">
      <c r="B5518" s="1297"/>
      <c r="C5518" s="1297"/>
      <c r="D5518" s="1297" t="s">
        <v>1118</v>
      </c>
      <c r="G5518" s="1399">
        <v>219.51</v>
      </c>
      <c r="I5518" s="1399">
        <v>219.51</v>
      </c>
    </row>
    <row r="5519" spans="2:9">
      <c r="B5519" s="1297"/>
      <c r="C5519" s="1400" t="s">
        <v>1388</v>
      </c>
      <c r="D5519" s="1400"/>
      <c r="E5519" s="1401">
        <v>7119607.3099999996</v>
      </c>
      <c r="F5519" s="1401">
        <v>13851994.310000002</v>
      </c>
      <c r="G5519" s="1401">
        <v>42992.480000000003</v>
      </c>
      <c r="H5519" s="1401">
        <v>22173509.220000003</v>
      </c>
      <c r="I5519" s="1401">
        <v>43188103.319999993</v>
      </c>
    </row>
    <row r="5520" spans="2:9">
      <c r="B5520" s="1297" t="s">
        <v>1389</v>
      </c>
      <c r="C5520" s="1297" t="s">
        <v>1390</v>
      </c>
      <c r="D5520" s="1297" t="s">
        <v>906</v>
      </c>
      <c r="F5520" s="1399">
        <v>21009162.129999999</v>
      </c>
      <c r="I5520" s="1399">
        <v>21009162.129999999</v>
      </c>
    </row>
    <row r="5521" spans="2:9">
      <c r="B5521" s="1297"/>
      <c r="C5521" s="1297"/>
      <c r="D5521" s="1297" t="s">
        <v>952</v>
      </c>
      <c r="F5521" s="1399">
        <v>295910.33</v>
      </c>
      <c r="I5521" s="1399">
        <v>295910.33</v>
      </c>
    </row>
    <row r="5522" spans="2:9">
      <c r="B5522" s="1297"/>
      <c r="C5522" s="1297"/>
      <c r="D5522" s="1297" t="s">
        <v>907</v>
      </c>
      <c r="F5522" s="1399">
        <v>4670277.97</v>
      </c>
      <c r="I5522" s="1399">
        <v>4670277.97</v>
      </c>
    </row>
    <row r="5523" spans="2:9">
      <c r="B5523" s="1297"/>
      <c r="C5523" s="1297"/>
      <c r="D5523" s="1297" t="s">
        <v>908</v>
      </c>
      <c r="F5523" s="1399">
        <v>568963.83999999997</v>
      </c>
      <c r="I5523" s="1399">
        <v>568963.83999999997</v>
      </c>
    </row>
    <row r="5524" spans="2:9">
      <c r="B5524" s="1297"/>
      <c r="C5524" s="1297"/>
      <c r="D5524" s="1297" t="s">
        <v>909</v>
      </c>
      <c r="F5524" s="1399">
        <v>155984.49</v>
      </c>
      <c r="I5524" s="1399">
        <v>155984.49</v>
      </c>
    </row>
    <row r="5525" spans="2:9">
      <c r="B5525" s="1297"/>
      <c r="C5525" s="1297"/>
      <c r="D5525" s="1297" t="s">
        <v>910</v>
      </c>
      <c r="F5525" s="1399">
        <v>123985.03</v>
      </c>
      <c r="I5525" s="1399">
        <v>123985.03</v>
      </c>
    </row>
    <row r="5526" spans="2:9">
      <c r="B5526" s="1297"/>
      <c r="C5526" s="1297"/>
      <c r="D5526" s="1297" t="s">
        <v>1034</v>
      </c>
      <c r="F5526" s="1399">
        <v>389245.95</v>
      </c>
      <c r="I5526" s="1399">
        <v>389245.95</v>
      </c>
    </row>
    <row r="5527" spans="2:9">
      <c r="B5527" s="1297"/>
      <c r="C5527" s="1297"/>
      <c r="D5527" s="1297" t="s">
        <v>1035</v>
      </c>
      <c r="F5527" s="1399">
        <v>992025.85</v>
      </c>
      <c r="I5527" s="1399">
        <v>992025.85</v>
      </c>
    </row>
    <row r="5528" spans="2:9">
      <c r="B5528" s="1297"/>
      <c r="C5528" s="1297"/>
      <c r="D5528" s="1297" t="s">
        <v>1036</v>
      </c>
      <c r="F5528" s="1399">
        <v>254037.93000000002</v>
      </c>
      <c r="I5528" s="1399">
        <v>254037.93000000002</v>
      </c>
    </row>
    <row r="5529" spans="2:9">
      <c r="B5529" s="1297"/>
      <c r="C5529" s="1297"/>
      <c r="D5529" s="1297" t="s">
        <v>1038</v>
      </c>
      <c r="F5529" s="1399">
        <v>4900</v>
      </c>
      <c r="I5529" s="1399">
        <v>4900</v>
      </c>
    </row>
    <row r="5530" spans="2:9">
      <c r="B5530" s="1297"/>
      <c r="C5530" s="1297"/>
      <c r="D5530" s="1297" t="s">
        <v>1039</v>
      </c>
      <c r="F5530" s="1399">
        <v>479425.86000000004</v>
      </c>
      <c r="I5530" s="1399">
        <v>479425.86000000004</v>
      </c>
    </row>
    <row r="5531" spans="2:9">
      <c r="B5531" s="1297"/>
      <c r="C5531" s="1297"/>
      <c r="D5531" s="1297" t="s">
        <v>1040</v>
      </c>
      <c r="F5531" s="1399">
        <v>670180.19999999995</v>
      </c>
      <c r="I5531" s="1399">
        <v>670180.19999999995</v>
      </c>
    </row>
    <row r="5532" spans="2:9">
      <c r="B5532" s="1297"/>
      <c r="C5532" s="1297"/>
      <c r="D5532" s="1297" t="s">
        <v>1041</v>
      </c>
      <c r="F5532" s="1399">
        <v>69754.2</v>
      </c>
      <c r="I5532" s="1399">
        <v>69754.2</v>
      </c>
    </row>
    <row r="5533" spans="2:9">
      <c r="B5533" s="1297"/>
      <c r="C5533" s="1297"/>
      <c r="D5533" s="1297" t="s">
        <v>1042</v>
      </c>
      <c r="F5533" s="1399">
        <v>134998.72</v>
      </c>
      <c r="I5533" s="1399">
        <v>134998.72</v>
      </c>
    </row>
    <row r="5534" spans="2:9">
      <c r="B5534" s="1297"/>
      <c r="C5534" s="1297"/>
      <c r="D5534" s="1297" t="s">
        <v>1044</v>
      </c>
      <c r="F5534" s="1399">
        <v>120168</v>
      </c>
      <c r="I5534" s="1399">
        <v>120168</v>
      </c>
    </row>
    <row r="5535" spans="2:9">
      <c r="B5535" s="1297"/>
      <c r="C5535" s="1297"/>
      <c r="D5535" s="1297" t="s">
        <v>1045</v>
      </c>
      <c r="F5535" s="1399">
        <v>1923095.3600000003</v>
      </c>
      <c r="I5535" s="1399">
        <v>1923095.3600000003</v>
      </c>
    </row>
    <row r="5536" spans="2:9">
      <c r="B5536" s="1297"/>
      <c r="C5536" s="1297"/>
      <c r="D5536" s="1297" t="s">
        <v>1046</v>
      </c>
      <c r="H5536" s="1399">
        <v>46472244</v>
      </c>
      <c r="I5536" s="1399">
        <v>46472244</v>
      </c>
    </row>
    <row r="5537" spans="2:9">
      <c r="B5537" s="1297"/>
      <c r="C5537" s="1297"/>
      <c r="D5537" s="1297" t="s">
        <v>1047</v>
      </c>
      <c r="H5537" s="1399">
        <v>1132668</v>
      </c>
      <c r="I5537" s="1399">
        <v>1132668</v>
      </c>
    </row>
    <row r="5538" spans="2:9">
      <c r="B5538" s="1297"/>
      <c r="C5538" s="1297"/>
      <c r="D5538" s="1297" t="s">
        <v>1048</v>
      </c>
      <c r="H5538" s="1399">
        <v>-5921561</v>
      </c>
      <c r="I5538" s="1399">
        <v>-5921561</v>
      </c>
    </row>
    <row r="5539" spans="2:9">
      <c r="B5539" s="1297"/>
      <c r="C5539" s="1297"/>
      <c r="D5539" s="1297" t="s">
        <v>932</v>
      </c>
      <c r="H5539" s="1399">
        <v>6922958</v>
      </c>
      <c r="I5539" s="1399">
        <v>6922958</v>
      </c>
    </row>
    <row r="5540" spans="2:9">
      <c r="B5540" s="1297"/>
      <c r="C5540" s="1297"/>
      <c r="D5540" s="1297" t="s">
        <v>955</v>
      </c>
      <c r="H5540" s="1399">
        <v>1281047.8700000001</v>
      </c>
      <c r="I5540" s="1399">
        <v>1281047.8700000001</v>
      </c>
    </row>
    <row r="5541" spans="2:9">
      <c r="B5541" s="1297"/>
      <c r="C5541" s="1297"/>
      <c r="D5541" s="1297" t="s">
        <v>934</v>
      </c>
      <c r="H5541" s="1399">
        <v>152388</v>
      </c>
      <c r="I5541" s="1399">
        <v>152388</v>
      </c>
    </row>
    <row r="5542" spans="2:9">
      <c r="B5542" s="1297"/>
      <c r="C5542" s="1297"/>
      <c r="D5542" s="1297" t="s">
        <v>1130</v>
      </c>
      <c r="H5542" s="1399">
        <v>234436.7</v>
      </c>
      <c r="I5542" s="1399">
        <v>234436.7</v>
      </c>
    </row>
    <row r="5543" spans="2:9">
      <c r="B5543" s="1297"/>
      <c r="C5543" s="1297"/>
      <c r="D5543" s="1297" t="s">
        <v>935</v>
      </c>
      <c r="H5543" s="1399">
        <v>505641.43</v>
      </c>
      <c r="I5543" s="1399">
        <v>505641.43</v>
      </c>
    </row>
    <row r="5544" spans="2:9">
      <c r="B5544" s="1297"/>
      <c r="C5544" s="1297"/>
      <c r="D5544" s="1297" t="s">
        <v>936</v>
      </c>
      <c r="H5544" s="1399">
        <v>171923.91</v>
      </c>
      <c r="I5544" s="1399">
        <v>171923.91</v>
      </c>
    </row>
    <row r="5545" spans="2:9">
      <c r="B5545" s="1297"/>
      <c r="C5545" s="1297"/>
      <c r="D5545" s="1297" t="s">
        <v>937</v>
      </c>
      <c r="H5545" s="1399">
        <v>31608.61</v>
      </c>
      <c r="I5545" s="1399">
        <v>31608.61</v>
      </c>
    </row>
    <row r="5546" spans="2:9">
      <c r="B5546" s="1297"/>
      <c r="C5546" s="1297"/>
      <c r="D5546" s="1297" t="s">
        <v>938</v>
      </c>
      <c r="H5546" s="1399">
        <v>54463</v>
      </c>
      <c r="I5546" s="1399">
        <v>54463</v>
      </c>
    </row>
    <row r="5547" spans="2:9">
      <c r="B5547" s="1297"/>
      <c r="C5547" s="1297"/>
      <c r="D5547" s="1297" t="s">
        <v>939</v>
      </c>
      <c r="H5547" s="1399">
        <v>3000.72</v>
      </c>
      <c r="I5547" s="1399">
        <v>3000.72</v>
      </c>
    </row>
    <row r="5548" spans="2:9">
      <c r="B5548" s="1297"/>
      <c r="C5548" s="1297"/>
      <c r="D5548" s="1297" t="s">
        <v>1131</v>
      </c>
      <c r="E5548" s="1399">
        <v>126536.25</v>
      </c>
      <c r="I5548" s="1399">
        <v>126536.25</v>
      </c>
    </row>
    <row r="5549" spans="2:9">
      <c r="B5549" s="1297"/>
      <c r="C5549" s="1297"/>
      <c r="D5549" s="1297" t="s">
        <v>940</v>
      </c>
      <c r="E5549" s="1399">
        <v>2393678.04</v>
      </c>
      <c r="I5549" s="1399">
        <v>2393678.04</v>
      </c>
    </row>
    <row r="5550" spans="2:9">
      <c r="B5550" s="1297"/>
      <c r="C5550" s="1297"/>
      <c r="D5550" s="1297" t="s">
        <v>941</v>
      </c>
      <c r="E5550" s="1399">
        <v>978012.86</v>
      </c>
      <c r="I5550" s="1399">
        <v>978012.86</v>
      </c>
    </row>
    <row r="5551" spans="2:9">
      <c r="B5551" s="1297"/>
      <c r="C5551" s="1297"/>
      <c r="D5551" s="1297" t="s">
        <v>943</v>
      </c>
      <c r="E5551" s="1399">
        <v>12868.6</v>
      </c>
      <c r="I5551" s="1399">
        <v>12868.6</v>
      </c>
    </row>
    <row r="5552" spans="2:9">
      <c r="B5552" s="1297"/>
      <c r="C5552" s="1297"/>
      <c r="D5552" s="1297" t="s">
        <v>944</v>
      </c>
      <c r="E5552" s="1399">
        <v>5541245.3799999999</v>
      </c>
      <c r="I5552" s="1399">
        <v>5541245.3799999999</v>
      </c>
    </row>
    <row r="5553" spans="2:9">
      <c r="B5553" s="1297"/>
      <c r="C5553" s="1297"/>
      <c r="D5553" s="1297" t="s">
        <v>945</v>
      </c>
      <c r="E5553" s="1399">
        <v>5894575.6800000006</v>
      </c>
      <c r="I5553" s="1399">
        <v>5894575.6800000006</v>
      </c>
    </row>
    <row r="5554" spans="2:9">
      <c r="B5554" s="1297"/>
      <c r="C5554" s="1297"/>
      <c r="D5554" s="1297" t="s">
        <v>978</v>
      </c>
      <c r="E5554" s="1399">
        <v>1200</v>
      </c>
      <c r="I5554" s="1399">
        <v>1200</v>
      </c>
    </row>
    <row r="5555" spans="2:9">
      <c r="B5555" s="1297"/>
      <c r="C5555" s="1297"/>
      <c r="D5555" s="1297" t="s">
        <v>947</v>
      </c>
      <c r="E5555" s="1399">
        <v>259333.73</v>
      </c>
      <c r="I5555" s="1399">
        <v>259333.73</v>
      </c>
    </row>
    <row r="5556" spans="2:9">
      <c r="B5556" s="1297"/>
      <c r="C5556" s="1297"/>
      <c r="D5556" s="1297" t="s">
        <v>1115</v>
      </c>
      <c r="E5556" s="1399">
        <v>99706.270000000019</v>
      </c>
      <c r="I5556" s="1399">
        <v>99706.270000000019</v>
      </c>
    </row>
    <row r="5557" spans="2:9">
      <c r="B5557" s="1297"/>
      <c r="C5557" s="1297"/>
      <c r="D5557" s="1297" t="s">
        <v>948</v>
      </c>
      <c r="G5557" s="1399">
        <v>6666415.54</v>
      </c>
      <c r="I5557" s="1399">
        <v>6666415.54</v>
      </c>
    </row>
    <row r="5558" spans="2:9">
      <c r="B5558" s="1297"/>
      <c r="C5558" s="1400" t="s">
        <v>1391</v>
      </c>
      <c r="D5558" s="1400"/>
      <c r="E5558" s="1401">
        <v>15307156.809999999</v>
      </c>
      <c r="F5558" s="1401">
        <v>31862115.859999992</v>
      </c>
      <c r="G5558" s="1401">
        <v>6666415.54</v>
      </c>
      <c r="H5558" s="1401">
        <v>51040819.239999995</v>
      </c>
      <c r="I5558" s="1401">
        <v>104876507.45</v>
      </c>
    </row>
    <row r="5559" spans="2:9">
      <c r="B5559" s="1297" t="s">
        <v>1392</v>
      </c>
      <c r="C5559" s="1297" t="s">
        <v>1578</v>
      </c>
      <c r="D5559" s="1297" t="s">
        <v>906</v>
      </c>
      <c r="F5559" s="1399">
        <v>47193707.059999995</v>
      </c>
      <c r="I5559" s="1399">
        <v>47193707.059999995</v>
      </c>
    </row>
    <row r="5560" spans="2:9">
      <c r="B5560" s="1297"/>
      <c r="C5560" s="1297"/>
      <c r="D5560" s="1297" t="s">
        <v>952</v>
      </c>
      <c r="F5560" s="1399">
        <v>583043.81999999995</v>
      </c>
      <c r="I5560" s="1399">
        <v>583043.81999999995</v>
      </c>
    </row>
    <row r="5561" spans="2:9">
      <c r="B5561" s="1297"/>
      <c r="C5561" s="1297"/>
      <c r="D5561" s="1297" t="s">
        <v>907</v>
      </c>
      <c r="F5561" s="1399">
        <v>7783471.8899999997</v>
      </c>
      <c r="I5561" s="1399">
        <v>7783471.8899999997</v>
      </c>
    </row>
    <row r="5562" spans="2:9">
      <c r="B5562" s="1297"/>
      <c r="C5562" s="1297"/>
      <c r="D5562" s="1297" t="s">
        <v>1145</v>
      </c>
      <c r="F5562" s="1399">
        <v>1041649.8</v>
      </c>
      <c r="I5562" s="1399">
        <v>1041649.8</v>
      </c>
    </row>
    <row r="5563" spans="2:9">
      <c r="B5563" s="1297"/>
      <c r="C5563" s="1297"/>
      <c r="D5563" s="1297" t="s">
        <v>908</v>
      </c>
      <c r="F5563" s="1399">
        <v>10467.200000000001</v>
      </c>
      <c r="I5563" s="1399">
        <v>10467.200000000001</v>
      </c>
    </row>
    <row r="5564" spans="2:9">
      <c r="B5564" s="1297"/>
      <c r="C5564" s="1297"/>
      <c r="D5564" s="1297" t="s">
        <v>909</v>
      </c>
      <c r="F5564" s="1399">
        <v>102.25</v>
      </c>
      <c r="I5564" s="1399">
        <v>102.25</v>
      </c>
    </row>
    <row r="5565" spans="2:9">
      <c r="B5565" s="1297"/>
      <c r="C5565" s="1297"/>
      <c r="D5565" s="1297" t="s">
        <v>910</v>
      </c>
      <c r="F5565" s="1399">
        <v>55627.68</v>
      </c>
      <c r="I5565" s="1399">
        <v>55627.68</v>
      </c>
    </row>
    <row r="5566" spans="2:9">
      <c r="B5566" s="1297"/>
      <c r="C5566" s="1297"/>
      <c r="D5566" s="1297" t="s">
        <v>1034</v>
      </c>
      <c r="F5566" s="1399">
        <v>132044.72</v>
      </c>
      <c r="I5566" s="1399">
        <v>132044.72</v>
      </c>
    </row>
    <row r="5567" spans="2:9">
      <c r="B5567" s="1297"/>
      <c r="C5567" s="1297"/>
      <c r="D5567" s="1297" t="s">
        <v>1035</v>
      </c>
      <c r="F5567" s="1399">
        <v>1827423.54</v>
      </c>
      <c r="I5567" s="1399">
        <v>1827423.54</v>
      </c>
    </row>
    <row r="5568" spans="2:9">
      <c r="B5568" s="1297"/>
      <c r="C5568" s="1297"/>
      <c r="D5568" s="1297" t="s">
        <v>1036</v>
      </c>
      <c r="F5568" s="1399">
        <v>368192.01</v>
      </c>
      <c r="I5568" s="1399">
        <v>368192.01</v>
      </c>
    </row>
    <row r="5569" spans="2:9">
      <c r="B5569" s="1297"/>
      <c r="C5569" s="1297"/>
      <c r="D5569" s="1297" t="s">
        <v>1038</v>
      </c>
      <c r="F5569" s="1399">
        <v>275</v>
      </c>
      <c r="I5569" s="1399">
        <v>275</v>
      </c>
    </row>
    <row r="5570" spans="2:9">
      <c r="B5570" s="1297"/>
      <c r="C5570" s="1297"/>
      <c r="D5570" s="1297" t="s">
        <v>1039</v>
      </c>
      <c r="F5570" s="1399">
        <v>149263.1</v>
      </c>
      <c r="I5570" s="1399">
        <v>149263.1</v>
      </c>
    </row>
    <row r="5571" spans="2:9">
      <c r="B5571" s="1297"/>
      <c r="C5571" s="1297"/>
      <c r="D5571" s="1297" t="s">
        <v>1040</v>
      </c>
      <c r="F5571" s="1399">
        <v>1237588.19</v>
      </c>
      <c r="I5571" s="1399">
        <v>1237588.19</v>
      </c>
    </row>
    <row r="5572" spans="2:9">
      <c r="B5572" s="1297"/>
      <c r="C5572" s="1297"/>
      <c r="D5572" s="1297" t="s">
        <v>1041</v>
      </c>
      <c r="F5572" s="1399">
        <v>59673.69</v>
      </c>
      <c r="I5572" s="1399">
        <v>59673.69</v>
      </c>
    </row>
    <row r="5573" spans="2:9">
      <c r="B5573" s="1297"/>
      <c r="C5573" s="1297"/>
      <c r="D5573" s="1297" t="s">
        <v>1042</v>
      </c>
      <c r="F5573" s="1399">
        <v>84889.91</v>
      </c>
      <c r="I5573" s="1399">
        <v>84889.91</v>
      </c>
    </row>
    <row r="5574" spans="2:9">
      <c r="B5574" s="1297"/>
      <c r="C5574" s="1297"/>
      <c r="D5574" s="1297" t="s">
        <v>1043</v>
      </c>
      <c r="F5574" s="1399">
        <v>210153.40000000002</v>
      </c>
      <c r="I5574" s="1399">
        <v>210153.40000000002</v>
      </c>
    </row>
    <row r="5575" spans="2:9">
      <c r="B5575" s="1297"/>
      <c r="C5575" s="1297"/>
      <c r="D5575" s="1297" t="s">
        <v>986</v>
      </c>
      <c r="F5575" s="1399">
        <v>3200</v>
      </c>
      <c r="I5575" s="1399">
        <v>3200</v>
      </c>
    </row>
    <row r="5576" spans="2:9">
      <c r="B5576" s="1297"/>
      <c r="C5576" s="1297"/>
      <c r="D5576" s="1297" t="s">
        <v>996</v>
      </c>
      <c r="F5576" s="1399">
        <v>74122.55</v>
      </c>
      <c r="I5576" s="1399">
        <v>74122.55</v>
      </c>
    </row>
    <row r="5577" spans="2:9">
      <c r="B5577" s="1297"/>
      <c r="C5577" s="1297"/>
      <c r="D5577" s="1297" t="s">
        <v>1004</v>
      </c>
      <c r="F5577" s="1399">
        <v>-68949.53</v>
      </c>
      <c r="I5577" s="1399">
        <v>-68949.53</v>
      </c>
    </row>
    <row r="5578" spans="2:9">
      <c r="B5578" s="1297"/>
      <c r="C5578" s="1297"/>
      <c r="D5578" s="1297" t="s">
        <v>1005</v>
      </c>
      <c r="F5578" s="1399">
        <v>5711.7</v>
      </c>
      <c r="I5578" s="1399">
        <v>5711.7</v>
      </c>
    </row>
    <row r="5579" spans="2:9">
      <c r="B5579" s="1297"/>
      <c r="C5579" s="1297"/>
      <c r="D5579" s="1297" t="s">
        <v>1044</v>
      </c>
      <c r="F5579" s="1399">
        <v>330247.42</v>
      </c>
      <c r="I5579" s="1399">
        <v>330247.42</v>
      </c>
    </row>
    <row r="5580" spans="2:9">
      <c r="B5580" s="1297"/>
      <c r="C5580" s="1297"/>
      <c r="D5580" s="1297" t="s">
        <v>1045</v>
      </c>
      <c r="F5580" s="1399">
        <v>232578.6</v>
      </c>
      <c r="I5580" s="1399">
        <v>232578.6</v>
      </c>
    </row>
    <row r="5581" spans="2:9">
      <c r="B5581" s="1297"/>
      <c r="C5581" s="1297"/>
      <c r="D5581" s="1297" t="s">
        <v>1046</v>
      </c>
      <c r="H5581" s="1399">
        <v>64705465</v>
      </c>
      <c r="I5581" s="1399">
        <v>64705465</v>
      </c>
    </row>
    <row r="5582" spans="2:9">
      <c r="B5582" s="1297"/>
      <c r="C5582" s="1297"/>
      <c r="D5582" s="1297" t="s">
        <v>1128</v>
      </c>
      <c r="H5582" s="1399">
        <v>5884220</v>
      </c>
      <c r="I5582" s="1399">
        <v>5884220</v>
      </c>
    </row>
    <row r="5583" spans="2:9">
      <c r="B5583" s="1297"/>
      <c r="C5583" s="1297"/>
      <c r="D5583" s="1297" t="s">
        <v>1129</v>
      </c>
      <c r="H5583" s="1399">
        <v>-8613312</v>
      </c>
      <c r="I5583" s="1399">
        <v>-8613312</v>
      </c>
    </row>
    <row r="5584" spans="2:9">
      <c r="B5584" s="1297"/>
      <c r="C5584" s="1297"/>
      <c r="D5584" s="1297" t="s">
        <v>1047</v>
      </c>
      <c r="H5584" s="1399">
        <v>1485555</v>
      </c>
      <c r="I5584" s="1399">
        <v>1485555</v>
      </c>
    </row>
    <row r="5585" spans="2:9">
      <c r="B5585" s="1297"/>
      <c r="C5585" s="1297"/>
      <c r="D5585" s="1297" t="s">
        <v>1048</v>
      </c>
      <c r="H5585" s="1399">
        <v>-13159735</v>
      </c>
      <c r="I5585" s="1399">
        <v>-13159735</v>
      </c>
    </row>
    <row r="5586" spans="2:9">
      <c r="B5586" s="1297"/>
      <c r="C5586" s="1297"/>
      <c r="D5586" s="1297" t="s">
        <v>955</v>
      </c>
      <c r="H5586" s="1399">
        <v>1454047.92</v>
      </c>
      <c r="I5586" s="1399">
        <v>1454047.92</v>
      </c>
    </row>
    <row r="5587" spans="2:9">
      <c r="B5587" s="1297"/>
      <c r="C5587" s="1297"/>
      <c r="D5587" s="1297" t="s">
        <v>934</v>
      </c>
      <c r="H5587" s="1399">
        <v>164356</v>
      </c>
      <c r="I5587" s="1399">
        <v>164356</v>
      </c>
    </row>
    <row r="5588" spans="2:9">
      <c r="B5588" s="1297"/>
      <c r="C5588" s="1297"/>
      <c r="D5588" s="1297" t="s">
        <v>1130</v>
      </c>
      <c r="H5588" s="1399">
        <v>1099581.8</v>
      </c>
      <c r="I5588" s="1399">
        <v>1099581.8</v>
      </c>
    </row>
    <row r="5589" spans="2:9">
      <c r="B5589" s="1297"/>
      <c r="C5589" s="1297"/>
      <c r="D5589" s="1297" t="s">
        <v>935</v>
      </c>
      <c r="H5589" s="1399">
        <v>1088075.25</v>
      </c>
      <c r="I5589" s="1399">
        <v>1088075.25</v>
      </c>
    </row>
    <row r="5590" spans="2:9">
      <c r="B5590" s="1297"/>
      <c r="C5590" s="1297"/>
      <c r="D5590" s="1297" t="s">
        <v>936</v>
      </c>
      <c r="H5590" s="1399">
        <v>184179.18</v>
      </c>
      <c r="I5590" s="1399">
        <v>184179.18</v>
      </c>
    </row>
    <row r="5591" spans="2:9">
      <c r="B5591" s="1297"/>
      <c r="C5591" s="1297"/>
      <c r="D5591" s="1297" t="s">
        <v>937</v>
      </c>
      <c r="H5591" s="1399">
        <v>72579.990000000005</v>
      </c>
      <c r="I5591" s="1399">
        <v>72579.990000000005</v>
      </c>
    </row>
    <row r="5592" spans="2:9">
      <c r="B5592" s="1297"/>
      <c r="C5592" s="1297"/>
      <c r="D5592" s="1297" t="s">
        <v>938</v>
      </c>
      <c r="H5592" s="1399">
        <v>62885</v>
      </c>
      <c r="I5592" s="1399">
        <v>62885</v>
      </c>
    </row>
    <row r="5593" spans="2:9">
      <c r="B5593" s="1297"/>
      <c r="C5593" s="1297"/>
      <c r="D5593" s="1297" t="s">
        <v>939</v>
      </c>
      <c r="H5593" s="1399">
        <v>202841.52000000002</v>
      </c>
      <c r="I5593" s="1399">
        <v>202841.52000000002</v>
      </c>
    </row>
    <row r="5594" spans="2:9">
      <c r="B5594" s="1297"/>
      <c r="C5594" s="1297"/>
      <c r="D5594" s="1297" t="s">
        <v>1131</v>
      </c>
      <c r="E5594" s="1399">
        <v>813293.58</v>
      </c>
      <c r="I5594" s="1399">
        <v>813293.58</v>
      </c>
    </row>
    <row r="5595" spans="2:9">
      <c r="B5595" s="1297"/>
      <c r="C5595" s="1297"/>
      <c r="D5595" s="1297" t="s">
        <v>940</v>
      </c>
      <c r="E5595" s="1399">
        <v>2336536.08</v>
      </c>
      <c r="I5595" s="1399">
        <v>2336536.08</v>
      </c>
    </row>
    <row r="5596" spans="2:9">
      <c r="B5596" s="1297"/>
      <c r="C5596" s="1297"/>
      <c r="D5596" s="1297" t="s">
        <v>941</v>
      </c>
      <c r="E5596" s="1399">
        <v>669214.48</v>
      </c>
      <c r="I5596" s="1399">
        <v>669214.48</v>
      </c>
    </row>
    <row r="5597" spans="2:9">
      <c r="B5597" s="1297"/>
      <c r="C5597" s="1297"/>
      <c r="D5597" s="1297" t="s">
        <v>943</v>
      </c>
      <c r="E5597" s="1399">
        <v>36464.83</v>
      </c>
      <c r="I5597" s="1399">
        <v>36464.83</v>
      </c>
    </row>
    <row r="5598" spans="2:9">
      <c r="B5598" s="1297"/>
      <c r="C5598" s="1297"/>
      <c r="D5598" s="1297" t="s">
        <v>944</v>
      </c>
      <c r="E5598" s="1399">
        <v>7393670</v>
      </c>
      <c r="I5598" s="1399">
        <v>7393670</v>
      </c>
    </row>
    <row r="5599" spans="2:9">
      <c r="B5599" s="1297"/>
      <c r="C5599" s="1297"/>
      <c r="D5599" s="1297" t="s">
        <v>945</v>
      </c>
      <c r="E5599" s="1399">
        <v>5384424.8199999994</v>
      </c>
      <c r="I5599" s="1399">
        <v>5384424.8199999994</v>
      </c>
    </row>
    <row r="5600" spans="2:9">
      <c r="B5600" s="1297"/>
      <c r="C5600" s="1297"/>
      <c r="D5600" s="1297" t="s">
        <v>946</v>
      </c>
      <c r="E5600" s="1399">
        <v>65732.33</v>
      </c>
      <c r="I5600" s="1399">
        <v>65732.33</v>
      </c>
    </row>
    <row r="5601" spans="2:9">
      <c r="B5601" s="1297"/>
      <c r="C5601" s="1297"/>
      <c r="D5601" s="1297" t="s">
        <v>947</v>
      </c>
      <c r="E5601" s="1399">
        <v>531953.46</v>
      </c>
      <c r="I5601" s="1399">
        <v>531953.46</v>
      </c>
    </row>
    <row r="5602" spans="2:9">
      <c r="B5602" s="1297"/>
      <c r="C5602" s="1297"/>
      <c r="D5602" s="1297" t="s">
        <v>1115</v>
      </c>
      <c r="E5602" s="1399">
        <v>280.75</v>
      </c>
      <c r="I5602" s="1399">
        <v>280.75</v>
      </c>
    </row>
    <row r="5603" spans="2:9">
      <c r="B5603" s="1297"/>
      <c r="C5603" s="1297"/>
      <c r="D5603" s="1297" t="s">
        <v>948</v>
      </c>
      <c r="G5603" s="1399">
        <v>331340.88</v>
      </c>
      <c r="I5603" s="1399">
        <v>331340.88</v>
      </c>
    </row>
    <row r="5604" spans="2:9">
      <c r="B5604" s="1297"/>
      <c r="C5604" s="1297"/>
      <c r="D5604" s="1297" t="s">
        <v>956</v>
      </c>
      <c r="G5604" s="1399">
        <v>95992</v>
      </c>
      <c r="I5604" s="1399">
        <v>95992</v>
      </c>
    </row>
    <row r="5605" spans="2:9">
      <c r="B5605" s="1297"/>
      <c r="C5605" s="1400" t="s">
        <v>1579</v>
      </c>
      <c r="D5605" s="1400"/>
      <c r="E5605" s="1401">
        <v>17231570.329999998</v>
      </c>
      <c r="F5605" s="1401">
        <v>61314483.999999985</v>
      </c>
      <c r="G5605" s="1401">
        <v>427332.88</v>
      </c>
      <c r="H5605" s="1401">
        <v>54630739.660000004</v>
      </c>
      <c r="I5605" s="1401">
        <v>133604126.86999996</v>
      </c>
    </row>
    <row r="5606" spans="2:9">
      <c r="B5606" s="1297" t="s">
        <v>1580</v>
      </c>
      <c r="C5606" s="1297" t="s">
        <v>1581</v>
      </c>
      <c r="D5606" s="1297" t="s">
        <v>906</v>
      </c>
      <c r="F5606" s="1399">
        <v>11242022.18</v>
      </c>
      <c r="I5606" s="1399">
        <v>11242022.18</v>
      </c>
    </row>
    <row r="5607" spans="2:9">
      <c r="B5607" s="1297"/>
      <c r="C5607" s="1297"/>
      <c r="D5607" s="1297" t="s">
        <v>952</v>
      </c>
      <c r="F5607" s="1399">
        <v>78616.81</v>
      </c>
      <c r="I5607" s="1399">
        <v>78616.81</v>
      </c>
    </row>
    <row r="5608" spans="2:9">
      <c r="B5608" s="1297"/>
      <c r="C5608" s="1297"/>
      <c r="D5608" s="1297" t="s">
        <v>907</v>
      </c>
      <c r="F5608" s="1399">
        <v>6764782.6799999997</v>
      </c>
      <c r="I5608" s="1399">
        <v>6764782.6799999997</v>
      </c>
    </row>
    <row r="5609" spans="2:9">
      <c r="B5609" s="1297"/>
      <c r="C5609" s="1297"/>
      <c r="D5609" s="1297" t="s">
        <v>908</v>
      </c>
      <c r="F5609" s="1399">
        <v>133184.76</v>
      </c>
      <c r="I5609" s="1399">
        <v>133184.76</v>
      </c>
    </row>
    <row r="5610" spans="2:9">
      <c r="B5610" s="1297"/>
      <c r="C5610" s="1297"/>
      <c r="D5610" s="1297" t="s">
        <v>909</v>
      </c>
      <c r="F5610" s="1399">
        <v>37853.33</v>
      </c>
      <c r="I5610" s="1399">
        <v>37853.33</v>
      </c>
    </row>
    <row r="5611" spans="2:9">
      <c r="B5611" s="1297"/>
      <c r="C5611" s="1297"/>
      <c r="D5611" s="1297" t="s">
        <v>910</v>
      </c>
      <c r="F5611" s="1399">
        <v>96989.55</v>
      </c>
      <c r="I5611" s="1399">
        <v>96989.55</v>
      </c>
    </row>
    <row r="5612" spans="2:9">
      <c r="B5612" s="1297"/>
      <c r="C5612" s="1297"/>
      <c r="D5612" s="1297" t="s">
        <v>1034</v>
      </c>
      <c r="F5612" s="1399">
        <v>155018.70000000001</v>
      </c>
      <c r="I5612" s="1399">
        <v>155018.70000000001</v>
      </c>
    </row>
    <row r="5613" spans="2:9">
      <c r="B5613" s="1297"/>
      <c r="C5613" s="1297"/>
      <c r="D5613" s="1297" t="s">
        <v>1035</v>
      </c>
      <c r="F5613" s="1399">
        <v>347961.51</v>
      </c>
      <c r="I5613" s="1399">
        <v>347961.51</v>
      </c>
    </row>
    <row r="5614" spans="2:9">
      <c r="B5614" s="1297"/>
      <c r="C5614" s="1297"/>
      <c r="D5614" s="1297" t="s">
        <v>1036</v>
      </c>
      <c r="F5614" s="1399">
        <v>245409.86</v>
      </c>
      <c r="I5614" s="1399">
        <v>245409.86</v>
      </c>
    </row>
    <row r="5615" spans="2:9">
      <c r="B5615" s="1297"/>
      <c r="C5615" s="1297"/>
      <c r="D5615" s="1297" t="s">
        <v>1037</v>
      </c>
      <c r="F5615" s="1399">
        <v>7920</v>
      </c>
      <c r="I5615" s="1399">
        <v>7920</v>
      </c>
    </row>
    <row r="5616" spans="2:9">
      <c r="B5616" s="1297"/>
      <c r="C5616" s="1297"/>
      <c r="D5616" s="1297" t="s">
        <v>1038</v>
      </c>
      <c r="F5616" s="1399">
        <v>1250</v>
      </c>
      <c r="I5616" s="1399">
        <v>1250</v>
      </c>
    </row>
    <row r="5617" spans="2:9">
      <c r="B5617" s="1297"/>
      <c r="C5617" s="1297"/>
      <c r="D5617" s="1297" t="s">
        <v>1003</v>
      </c>
      <c r="F5617" s="1399">
        <v>269473.14</v>
      </c>
      <c r="I5617" s="1399">
        <v>269473.14</v>
      </c>
    </row>
    <row r="5618" spans="2:9">
      <c r="B5618" s="1297"/>
      <c r="C5618" s="1297"/>
      <c r="D5618" s="1297" t="s">
        <v>1039</v>
      </c>
      <c r="F5618" s="1399">
        <v>38189.79</v>
      </c>
      <c r="I5618" s="1399">
        <v>38189.79</v>
      </c>
    </row>
    <row r="5619" spans="2:9">
      <c r="B5619" s="1297"/>
      <c r="C5619" s="1297"/>
      <c r="D5619" s="1297" t="s">
        <v>1040</v>
      </c>
      <c r="F5619" s="1399">
        <v>239086.00000000003</v>
      </c>
      <c r="I5619" s="1399">
        <v>239086.00000000003</v>
      </c>
    </row>
    <row r="5620" spans="2:9">
      <c r="B5620" s="1297"/>
      <c r="C5620" s="1297"/>
      <c r="D5620" s="1297" t="s">
        <v>1127</v>
      </c>
      <c r="F5620" s="1399">
        <v>49962.3</v>
      </c>
      <c r="I5620" s="1399">
        <v>49962.3</v>
      </c>
    </row>
    <row r="5621" spans="2:9">
      <c r="B5621" s="1297"/>
      <c r="C5621" s="1297"/>
      <c r="D5621" s="1297" t="s">
        <v>1041</v>
      </c>
      <c r="F5621" s="1399">
        <v>130496.15000000001</v>
      </c>
      <c r="I5621" s="1399">
        <v>130496.15000000001</v>
      </c>
    </row>
    <row r="5622" spans="2:9">
      <c r="B5622" s="1297"/>
      <c r="C5622" s="1297"/>
      <c r="D5622" s="1297" t="s">
        <v>1042</v>
      </c>
      <c r="F5622" s="1399">
        <v>89785.19</v>
      </c>
      <c r="I5622" s="1399">
        <v>89785.19</v>
      </c>
    </row>
    <row r="5623" spans="2:9">
      <c r="B5623" s="1297"/>
      <c r="C5623" s="1297"/>
      <c r="D5623" s="1297" t="s">
        <v>954</v>
      </c>
      <c r="F5623" s="1399">
        <v>185659.3</v>
      </c>
      <c r="I5623" s="1399">
        <v>185659.3</v>
      </c>
    </row>
    <row r="5624" spans="2:9">
      <c r="B5624" s="1297"/>
      <c r="C5624" s="1297"/>
      <c r="D5624" s="1297" t="s">
        <v>1043</v>
      </c>
      <c r="F5624" s="1399">
        <v>15010</v>
      </c>
      <c r="I5624" s="1399">
        <v>15010</v>
      </c>
    </row>
    <row r="5625" spans="2:9">
      <c r="B5625" s="1297"/>
      <c r="C5625" s="1297"/>
      <c r="D5625" s="1297" t="s">
        <v>986</v>
      </c>
      <c r="F5625" s="1399">
        <v>14520.02</v>
      </c>
      <c r="I5625" s="1399">
        <v>14520.02</v>
      </c>
    </row>
    <row r="5626" spans="2:9">
      <c r="B5626" s="1297"/>
      <c r="C5626" s="1297"/>
      <c r="D5626" s="1297" t="s">
        <v>996</v>
      </c>
      <c r="F5626" s="1399">
        <v>89627.89</v>
      </c>
      <c r="I5626" s="1399">
        <v>89627.89</v>
      </c>
    </row>
    <row r="5627" spans="2:9">
      <c r="B5627" s="1297"/>
      <c r="C5627" s="1297"/>
      <c r="D5627" s="1297" t="s">
        <v>991</v>
      </c>
      <c r="F5627" s="1399">
        <v>71955.09</v>
      </c>
      <c r="I5627" s="1399">
        <v>71955.09</v>
      </c>
    </row>
    <row r="5628" spans="2:9">
      <c r="B5628" s="1297"/>
      <c r="C5628" s="1297"/>
      <c r="D5628" s="1297" t="s">
        <v>1044</v>
      </c>
      <c r="F5628" s="1399">
        <v>116909.26</v>
      </c>
      <c r="I5628" s="1399">
        <v>116909.26</v>
      </c>
    </row>
    <row r="5629" spans="2:9">
      <c r="B5629" s="1297"/>
      <c r="C5629" s="1297"/>
      <c r="D5629" s="1297" t="s">
        <v>1045</v>
      </c>
      <c r="F5629" s="1399">
        <v>859370.24000000011</v>
      </c>
      <c r="I5629" s="1399">
        <v>859370.24000000011</v>
      </c>
    </row>
    <row r="5630" spans="2:9">
      <c r="B5630" s="1297"/>
      <c r="C5630" s="1297"/>
      <c r="D5630" s="1297" t="s">
        <v>1046</v>
      </c>
      <c r="H5630" s="1399">
        <v>31738151</v>
      </c>
      <c r="I5630" s="1399">
        <v>31738151</v>
      </c>
    </row>
    <row r="5631" spans="2:9">
      <c r="B5631" s="1297"/>
      <c r="C5631" s="1297"/>
      <c r="D5631" s="1297" t="s">
        <v>1128</v>
      </c>
      <c r="H5631" s="1399">
        <v>2445347</v>
      </c>
      <c r="I5631" s="1399">
        <v>2445347</v>
      </c>
    </row>
    <row r="5632" spans="2:9">
      <c r="B5632" s="1297"/>
      <c r="C5632" s="1297"/>
      <c r="D5632" s="1297" t="s">
        <v>1129</v>
      </c>
      <c r="H5632" s="1399">
        <v>-4624997</v>
      </c>
      <c r="I5632" s="1399">
        <v>-4624997</v>
      </c>
    </row>
    <row r="5633" spans="2:9">
      <c r="B5633" s="1297"/>
      <c r="C5633" s="1297"/>
      <c r="D5633" s="1297" t="s">
        <v>1047</v>
      </c>
      <c r="H5633" s="1399">
        <v>853837</v>
      </c>
      <c r="I5633" s="1399">
        <v>853837</v>
      </c>
    </row>
    <row r="5634" spans="2:9">
      <c r="B5634" s="1297"/>
      <c r="C5634" s="1297"/>
      <c r="D5634" s="1297" t="s">
        <v>1048</v>
      </c>
      <c r="H5634" s="1399">
        <v>-3258221</v>
      </c>
      <c r="I5634" s="1399">
        <v>-3258221</v>
      </c>
    </row>
    <row r="5635" spans="2:9">
      <c r="B5635" s="1297"/>
      <c r="C5635" s="1297"/>
      <c r="D5635" s="1297" t="s">
        <v>932</v>
      </c>
      <c r="H5635" s="1399">
        <v>3996307</v>
      </c>
      <c r="I5635" s="1399">
        <v>3996307</v>
      </c>
    </row>
    <row r="5636" spans="2:9">
      <c r="B5636" s="1297"/>
      <c r="C5636" s="1297"/>
      <c r="D5636" s="1297" t="s">
        <v>955</v>
      </c>
      <c r="H5636" s="1399">
        <v>1433114.79</v>
      </c>
      <c r="I5636" s="1399">
        <v>1433114.79</v>
      </c>
    </row>
    <row r="5637" spans="2:9">
      <c r="B5637" s="1297"/>
      <c r="C5637" s="1297"/>
      <c r="D5637" s="1297" t="s">
        <v>934</v>
      </c>
      <c r="H5637" s="1399">
        <v>96140</v>
      </c>
      <c r="I5637" s="1399">
        <v>96140</v>
      </c>
    </row>
    <row r="5638" spans="2:9">
      <c r="B5638" s="1297"/>
      <c r="C5638" s="1297"/>
      <c r="D5638" s="1297" t="s">
        <v>1130</v>
      </c>
      <c r="H5638" s="1399">
        <v>136715.95000000001</v>
      </c>
      <c r="I5638" s="1399">
        <v>136715.95000000001</v>
      </c>
    </row>
    <row r="5639" spans="2:9">
      <c r="B5639" s="1297"/>
      <c r="C5639" s="1297"/>
      <c r="D5639" s="1297" t="s">
        <v>935</v>
      </c>
      <c r="H5639" s="1399">
        <v>1089230.55</v>
      </c>
      <c r="I5639" s="1399">
        <v>1089230.55</v>
      </c>
    </row>
    <row r="5640" spans="2:9">
      <c r="B5640" s="1297"/>
      <c r="C5640" s="1297"/>
      <c r="D5640" s="1297" t="s">
        <v>936</v>
      </c>
      <c r="H5640" s="1399">
        <v>88938.240000000005</v>
      </c>
      <c r="I5640" s="1399">
        <v>88938.240000000005</v>
      </c>
    </row>
    <row r="5641" spans="2:9">
      <c r="B5641" s="1297"/>
      <c r="C5641" s="1297"/>
      <c r="D5641" s="1297" t="s">
        <v>937</v>
      </c>
      <c r="H5641" s="1399">
        <v>43791.93</v>
      </c>
      <c r="I5641" s="1399">
        <v>43791.93</v>
      </c>
    </row>
    <row r="5642" spans="2:9">
      <c r="B5642" s="1297"/>
      <c r="C5642" s="1297"/>
      <c r="D5642" s="1297" t="s">
        <v>938</v>
      </c>
      <c r="H5642" s="1399">
        <v>35934</v>
      </c>
      <c r="I5642" s="1399">
        <v>35934</v>
      </c>
    </row>
    <row r="5643" spans="2:9">
      <c r="B5643" s="1297"/>
      <c r="C5643" s="1297"/>
      <c r="D5643" s="1297" t="s">
        <v>939</v>
      </c>
      <c r="H5643" s="1399">
        <v>86748.75</v>
      </c>
      <c r="I5643" s="1399">
        <v>86748.75</v>
      </c>
    </row>
    <row r="5644" spans="2:9">
      <c r="B5644" s="1297"/>
      <c r="C5644" s="1297"/>
      <c r="D5644" s="1297" t="s">
        <v>1131</v>
      </c>
      <c r="E5644" s="1399">
        <v>54041.760000000002</v>
      </c>
      <c r="I5644" s="1399">
        <v>54041.760000000002</v>
      </c>
    </row>
    <row r="5645" spans="2:9">
      <c r="B5645" s="1297"/>
      <c r="C5645" s="1297"/>
      <c r="D5645" s="1297" t="s">
        <v>940</v>
      </c>
      <c r="E5645" s="1399">
        <v>1694696.3599999999</v>
      </c>
      <c r="I5645" s="1399">
        <v>1694696.3599999999</v>
      </c>
    </row>
    <row r="5646" spans="2:9">
      <c r="B5646" s="1297"/>
      <c r="C5646" s="1297"/>
      <c r="D5646" s="1297" t="s">
        <v>941</v>
      </c>
      <c r="E5646" s="1399">
        <v>647472.27999999991</v>
      </c>
      <c r="I5646" s="1399">
        <v>647472.27999999991</v>
      </c>
    </row>
    <row r="5647" spans="2:9">
      <c r="B5647" s="1297"/>
      <c r="C5647" s="1297"/>
      <c r="D5647" s="1297" t="s">
        <v>942</v>
      </c>
      <c r="E5647" s="1399">
        <v>43893.73</v>
      </c>
      <c r="I5647" s="1399">
        <v>43893.73</v>
      </c>
    </row>
    <row r="5648" spans="2:9">
      <c r="B5648" s="1297"/>
      <c r="C5648" s="1297"/>
      <c r="D5648" s="1297" t="s">
        <v>943</v>
      </c>
      <c r="E5648" s="1399">
        <v>4583.5600000000004</v>
      </c>
      <c r="I5648" s="1399">
        <v>4583.5600000000004</v>
      </c>
    </row>
    <row r="5649" spans="2:9">
      <c r="B5649" s="1297"/>
      <c r="C5649" s="1297"/>
      <c r="D5649" s="1297" t="s">
        <v>944</v>
      </c>
      <c r="E5649" s="1399">
        <v>4753029.8500000006</v>
      </c>
      <c r="I5649" s="1399">
        <v>4753029.8500000006</v>
      </c>
    </row>
    <row r="5650" spans="2:9">
      <c r="B5650" s="1297"/>
      <c r="C5650" s="1297"/>
      <c r="D5650" s="1297" t="s">
        <v>945</v>
      </c>
      <c r="E5650" s="1399">
        <v>2688839.74</v>
      </c>
      <c r="I5650" s="1399">
        <v>2688839.74</v>
      </c>
    </row>
    <row r="5651" spans="2:9">
      <c r="B5651" s="1297"/>
      <c r="C5651" s="1297"/>
      <c r="D5651" s="1297" t="s">
        <v>946</v>
      </c>
      <c r="E5651" s="1399">
        <v>232432.88</v>
      </c>
      <c r="I5651" s="1399">
        <v>232432.88</v>
      </c>
    </row>
    <row r="5652" spans="2:9">
      <c r="B5652" s="1297"/>
      <c r="C5652" s="1297"/>
      <c r="D5652" s="1297" t="s">
        <v>978</v>
      </c>
      <c r="E5652" s="1399">
        <v>25005.01</v>
      </c>
      <c r="I5652" s="1399">
        <v>25005.01</v>
      </c>
    </row>
    <row r="5653" spans="2:9">
      <c r="B5653" s="1297"/>
      <c r="C5653" s="1297"/>
      <c r="D5653" s="1297" t="s">
        <v>1214</v>
      </c>
      <c r="E5653" s="1399">
        <v>209933.95</v>
      </c>
      <c r="I5653" s="1399">
        <v>209933.95</v>
      </c>
    </row>
    <row r="5654" spans="2:9">
      <c r="B5654" s="1297"/>
      <c r="C5654" s="1297"/>
      <c r="D5654" s="1297" t="s">
        <v>947</v>
      </c>
      <c r="E5654" s="1399">
        <v>183416.72999999998</v>
      </c>
      <c r="I5654" s="1399">
        <v>183416.72999999998</v>
      </c>
    </row>
    <row r="5655" spans="2:9">
      <c r="B5655" s="1297"/>
      <c r="C5655" s="1297"/>
      <c r="D5655" s="1297" t="s">
        <v>948</v>
      </c>
      <c r="G5655" s="1399">
        <v>39470728.50999999</v>
      </c>
      <c r="I5655" s="1399">
        <v>39470728.50999999</v>
      </c>
    </row>
    <row r="5656" spans="2:9">
      <c r="B5656" s="1297"/>
      <c r="C5656" s="1297"/>
      <c r="D5656" s="1297" t="s">
        <v>1167</v>
      </c>
      <c r="G5656" s="1399">
        <v>3000</v>
      </c>
      <c r="I5656" s="1399">
        <v>3000</v>
      </c>
    </row>
    <row r="5657" spans="2:9">
      <c r="B5657" s="1297"/>
      <c r="C5657" s="1400" t="s">
        <v>1582</v>
      </c>
      <c r="D5657" s="1400"/>
      <c r="E5657" s="1401">
        <v>10537345.850000001</v>
      </c>
      <c r="F5657" s="1401">
        <v>21281053.750000004</v>
      </c>
      <c r="G5657" s="1401">
        <v>39473728.50999999</v>
      </c>
      <c r="H5657" s="1401">
        <v>34161038.210000001</v>
      </c>
      <c r="I5657" s="1401">
        <v>105453166.31999999</v>
      </c>
    </row>
    <row r="5658" spans="2:9">
      <c r="B5658" s="1297" t="s">
        <v>1583</v>
      </c>
      <c r="C5658" s="1297" t="s">
        <v>1584</v>
      </c>
      <c r="D5658" s="1297" t="s">
        <v>906</v>
      </c>
      <c r="F5658" s="1399">
        <v>2944988.6999999997</v>
      </c>
      <c r="I5658" s="1399">
        <v>2944988.6999999997</v>
      </c>
    </row>
    <row r="5659" spans="2:9">
      <c r="B5659" s="1297"/>
      <c r="C5659" s="1297"/>
      <c r="D5659" s="1297" t="s">
        <v>952</v>
      </c>
      <c r="F5659" s="1399">
        <v>7530.3899999999994</v>
      </c>
      <c r="I5659" s="1399">
        <v>7530.3899999999994</v>
      </c>
    </row>
    <row r="5660" spans="2:9">
      <c r="B5660" s="1297"/>
      <c r="C5660" s="1297"/>
      <c r="D5660" s="1297" t="s">
        <v>907</v>
      </c>
      <c r="F5660" s="1399">
        <v>732014.62</v>
      </c>
      <c r="I5660" s="1399">
        <v>732014.62</v>
      </c>
    </row>
    <row r="5661" spans="2:9">
      <c r="B5661" s="1297"/>
      <c r="C5661" s="1297"/>
      <c r="D5661" s="1297" t="s">
        <v>908</v>
      </c>
      <c r="F5661" s="1399">
        <v>34649.550000000003</v>
      </c>
      <c r="I5661" s="1399">
        <v>34649.550000000003</v>
      </c>
    </row>
    <row r="5662" spans="2:9">
      <c r="B5662" s="1297"/>
      <c r="C5662" s="1297"/>
      <c r="D5662" s="1297" t="s">
        <v>1034</v>
      </c>
      <c r="F5662" s="1399">
        <v>2156.37</v>
      </c>
      <c r="I5662" s="1399">
        <v>2156.37</v>
      </c>
    </row>
    <row r="5663" spans="2:9">
      <c r="B5663" s="1297"/>
      <c r="C5663" s="1297"/>
      <c r="D5663" s="1297" t="s">
        <v>1036</v>
      </c>
      <c r="F5663" s="1399">
        <v>38725.339999999997</v>
      </c>
      <c r="I5663" s="1399">
        <v>38725.339999999997</v>
      </c>
    </row>
    <row r="5664" spans="2:9">
      <c r="B5664" s="1297"/>
      <c r="C5664" s="1297"/>
      <c r="D5664" s="1297" t="s">
        <v>1039</v>
      </c>
      <c r="F5664" s="1399">
        <v>4310.63</v>
      </c>
      <c r="I5664" s="1399">
        <v>4310.63</v>
      </c>
    </row>
    <row r="5665" spans="2:9">
      <c r="B5665" s="1297"/>
      <c r="C5665" s="1297"/>
      <c r="D5665" s="1297" t="s">
        <v>1041</v>
      </c>
      <c r="F5665" s="1399">
        <v>18386.3</v>
      </c>
      <c r="I5665" s="1399">
        <v>18386.3</v>
      </c>
    </row>
    <row r="5666" spans="2:9">
      <c r="B5666" s="1297"/>
      <c r="C5666" s="1297"/>
      <c r="D5666" s="1297" t="s">
        <v>1042</v>
      </c>
      <c r="F5666" s="1399">
        <v>6695</v>
      </c>
      <c r="I5666" s="1399">
        <v>6695</v>
      </c>
    </row>
    <row r="5667" spans="2:9">
      <c r="B5667" s="1297"/>
      <c r="C5667" s="1297"/>
      <c r="D5667" s="1297" t="s">
        <v>1043</v>
      </c>
      <c r="F5667" s="1399">
        <v>300</v>
      </c>
      <c r="I5667" s="1399">
        <v>300</v>
      </c>
    </row>
    <row r="5668" spans="2:9">
      <c r="B5668" s="1297"/>
      <c r="C5668" s="1297"/>
      <c r="D5668" s="1297" t="s">
        <v>1045</v>
      </c>
      <c r="F5668" s="1399">
        <v>114950.33</v>
      </c>
      <c r="I5668" s="1399">
        <v>114950.33</v>
      </c>
    </row>
    <row r="5669" spans="2:9">
      <c r="B5669" s="1297"/>
      <c r="C5669" s="1297"/>
      <c r="D5669" s="1297" t="s">
        <v>1046</v>
      </c>
      <c r="H5669" s="1399">
        <v>3995895</v>
      </c>
      <c r="I5669" s="1399">
        <v>3995895</v>
      </c>
    </row>
    <row r="5670" spans="2:9">
      <c r="B5670" s="1297"/>
      <c r="C5670" s="1297"/>
      <c r="D5670" s="1297" t="s">
        <v>1129</v>
      </c>
      <c r="H5670" s="1399">
        <v>-350451</v>
      </c>
      <c r="I5670" s="1399">
        <v>-350451</v>
      </c>
    </row>
    <row r="5671" spans="2:9">
      <c r="B5671" s="1297"/>
      <c r="C5671" s="1297"/>
      <c r="D5671" s="1297" t="s">
        <v>1047</v>
      </c>
      <c r="H5671" s="1399">
        <v>375970</v>
      </c>
      <c r="I5671" s="1399">
        <v>375970</v>
      </c>
    </row>
    <row r="5672" spans="2:9">
      <c r="B5672" s="1297"/>
      <c r="C5672" s="1297"/>
      <c r="D5672" s="1297" t="s">
        <v>1048</v>
      </c>
      <c r="H5672" s="1399">
        <v>-785060</v>
      </c>
      <c r="I5672" s="1399">
        <v>-785060</v>
      </c>
    </row>
    <row r="5673" spans="2:9">
      <c r="B5673" s="1297"/>
      <c r="C5673" s="1297"/>
      <c r="D5673" s="1297" t="s">
        <v>955</v>
      </c>
      <c r="H5673" s="1399">
        <v>143749.68</v>
      </c>
      <c r="I5673" s="1399">
        <v>143749.68</v>
      </c>
    </row>
    <row r="5674" spans="2:9">
      <c r="B5674" s="1297"/>
      <c r="C5674" s="1297"/>
      <c r="D5674" s="1297" t="s">
        <v>934</v>
      </c>
      <c r="H5674" s="1399">
        <v>14702</v>
      </c>
      <c r="I5674" s="1399">
        <v>14702</v>
      </c>
    </row>
    <row r="5675" spans="2:9">
      <c r="B5675" s="1297"/>
      <c r="C5675" s="1297"/>
      <c r="D5675" s="1297" t="s">
        <v>935</v>
      </c>
      <c r="H5675" s="1399">
        <v>224803.77</v>
      </c>
      <c r="I5675" s="1399">
        <v>224803.77</v>
      </c>
    </row>
    <row r="5676" spans="2:9">
      <c r="B5676" s="1297"/>
      <c r="C5676" s="1297"/>
      <c r="D5676" s="1297" t="s">
        <v>936</v>
      </c>
      <c r="H5676" s="1399">
        <v>11554.97</v>
      </c>
      <c r="I5676" s="1399">
        <v>11554.97</v>
      </c>
    </row>
    <row r="5677" spans="2:9">
      <c r="B5677" s="1297"/>
      <c r="C5677" s="1297"/>
      <c r="D5677" s="1297" t="s">
        <v>937</v>
      </c>
      <c r="H5677" s="1399">
        <v>2523.85</v>
      </c>
      <c r="I5677" s="1399">
        <v>2523.85</v>
      </c>
    </row>
    <row r="5678" spans="2:9">
      <c r="B5678" s="1297"/>
      <c r="C5678" s="1297"/>
      <c r="D5678" s="1297" t="s">
        <v>938</v>
      </c>
      <c r="H5678" s="1399">
        <v>5802</v>
      </c>
      <c r="I5678" s="1399">
        <v>5802</v>
      </c>
    </row>
    <row r="5679" spans="2:9">
      <c r="B5679" s="1297"/>
      <c r="C5679" s="1297"/>
      <c r="D5679" s="1297" t="s">
        <v>940</v>
      </c>
      <c r="E5679" s="1399">
        <v>276932.54000000004</v>
      </c>
      <c r="I5679" s="1399">
        <v>276932.54000000004</v>
      </c>
    </row>
    <row r="5680" spans="2:9">
      <c r="B5680" s="1297"/>
      <c r="C5680" s="1297"/>
      <c r="D5680" s="1297" t="s">
        <v>941</v>
      </c>
      <c r="E5680" s="1399">
        <v>153494.74</v>
      </c>
      <c r="I5680" s="1399">
        <v>153494.74</v>
      </c>
    </row>
    <row r="5681" spans="2:9">
      <c r="B5681" s="1297"/>
      <c r="C5681" s="1297"/>
      <c r="D5681" s="1297" t="s">
        <v>943</v>
      </c>
      <c r="E5681" s="1399">
        <v>12988.42</v>
      </c>
      <c r="I5681" s="1399">
        <v>12988.42</v>
      </c>
    </row>
    <row r="5682" spans="2:9">
      <c r="B5682" s="1297"/>
      <c r="C5682" s="1297"/>
      <c r="D5682" s="1297" t="s">
        <v>944</v>
      </c>
      <c r="E5682" s="1399">
        <v>1112281.5999999999</v>
      </c>
      <c r="I5682" s="1399">
        <v>1112281.5999999999</v>
      </c>
    </row>
    <row r="5683" spans="2:9">
      <c r="B5683" s="1297"/>
      <c r="C5683" s="1297"/>
      <c r="D5683" s="1297" t="s">
        <v>945</v>
      </c>
      <c r="E5683" s="1399">
        <v>180829.36</v>
      </c>
      <c r="I5683" s="1399">
        <v>180829.36</v>
      </c>
    </row>
    <row r="5684" spans="2:9">
      <c r="B5684" s="1297"/>
      <c r="C5684" s="1297"/>
      <c r="D5684" s="1297" t="s">
        <v>947</v>
      </c>
      <c r="E5684" s="1399">
        <v>8230.16</v>
      </c>
      <c r="I5684" s="1399">
        <v>8230.16</v>
      </c>
    </row>
    <row r="5685" spans="2:9">
      <c r="B5685" s="1297"/>
      <c r="C5685" s="1297"/>
      <c r="D5685" s="1297" t="s">
        <v>1115</v>
      </c>
      <c r="E5685" s="1399">
        <v>42870.44</v>
      </c>
      <c r="I5685" s="1399">
        <v>42870.44</v>
      </c>
    </row>
    <row r="5686" spans="2:9">
      <c r="B5686" s="1297"/>
      <c r="C5686" s="1297"/>
      <c r="D5686" s="1297" t="s">
        <v>948</v>
      </c>
      <c r="G5686" s="1399">
        <v>25368.55</v>
      </c>
      <c r="I5686" s="1399">
        <v>25368.55</v>
      </c>
    </row>
    <row r="5687" spans="2:9">
      <c r="B5687" s="1297"/>
      <c r="C5687" s="1297"/>
      <c r="D5687" s="1297" t="s">
        <v>1118</v>
      </c>
      <c r="G5687" s="1399">
        <v>36315.129999999997</v>
      </c>
      <c r="I5687" s="1399">
        <v>36315.129999999997</v>
      </c>
    </row>
    <row r="5688" spans="2:9">
      <c r="B5688" s="1297"/>
      <c r="C5688" s="1400" t="s">
        <v>1585</v>
      </c>
      <c r="D5688" s="1400"/>
      <c r="E5688" s="1401">
        <v>1787627.2599999995</v>
      </c>
      <c r="F5688" s="1401">
        <v>3904707.2299999995</v>
      </c>
      <c r="G5688" s="1401">
        <v>61683.679999999993</v>
      </c>
      <c r="H5688" s="1401">
        <v>3639490.2700000005</v>
      </c>
      <c r="I5688" s="1401">
        <v>9393508.4399999995</v>
      </c>
    </row>
    <row r="5689" spans="2:9">
      <c r="B5689" s="1297" t="s">
        <v>1586</v>
      </c>
      <c r="C5689" s="1297" t="s">
        <v>1587</v>
      </c>
      <c r="D5689" s="1297" t="s">
        <v>906</v>
      </c>
      <c r="F5689" s="1399">
        <v>12107414.76</v>
      </c>
      <c r="I5689" s="1399">
        <v>12107414.76</v>
      </c>
    </row>
    <row r="5690" spans="2:9">
      <c r="B5690" s="1297"/>
      <c r="C5690" s="1297"/>
      <c r="D5690" s="1297" t="s">
        <v>952</v>
      </c>
      <c r="F5690" s="1399">
        <v>13418.32</v>
      </c>
      <c r="I5690" s="1399">
        <v>13418.32</v>
      </c>
    </row>
    <row r="5691" spans="2:9">
      <c r="B5691" s="1297"/>
      <c r="C5691" s="1297"/>
      <c r="D5691" s="1297" t="s">
        <v>907</v>
      </c>
      <c r="F5691" s="1399">
        <v>2863935.14</v>
      </c>
      <c r="I5691" s="1399">
        <v>2863935.14</v>
      </c>
    </row>
    <row r="5692" spans="2:9">
      <c r="B5692" s="1297"/>
      <c r="C5692" s="1297"/>
      <c r="D5692" s="1297" t="s">
        <v>908</v>
      </c>
      <c r="F5692" s="1399">
        <v>50245.9</v>
      </c>
      <c r="I5692" s="1399">
        <v>50245.9</v>
      </c>
    </row>
    <row r="5693" spans="2:9">
      <c r="B5693" s="1297"/>
      <c r="C5693" s="1297"/>
      <c r="D5693" s="1297" t="s">
        <v>1036</v>
      </c>
      <c r="F5693" s="1399">
        <v>71531</v>
      </c>
      <c r="I5693" s="1399">
        <v>71531</v>
      </c>
    </row>
    <row r="5694" spans="2:9">
      <c r="B5694" s="1297"/>
      <c r="C5694" s="1297"/>
      <c r="D5694" s="1297" t="s">
        <v>1039</v>
      </c>
      <c r="F5694" s="1399">
        <v>151087.62</v>
      </c>
      <c r="I5694" s="1399">
        <v>151087.62</v>
      </c>
    </row>
    <row r="5695" spans="2:9">
      <c r="B5695" s="1297"/>
      <c r="C5695" s="1297"/>
      <c r="D5695" s="1297" t="s">
        <v>1041</v>
      </c>
      <c r="F5695" s="1399">
        <v>31115.86</v>
      </c>
      <c r="I5695" s="1399">
        <v>31115.86</v>
      </c>
    </row>
    <row r="5696" spans="2:9">
      <c r="B5696" s="1297"/>
      <c r="C5696" s="1297"/>
      <c r="D5696" s="1297" t="s">
        <v>1042</v>
      </c>
      <c r="F5696" s="1399">
        <v>55794.15</v>
      </c>
      <c r="I5696" s="1399">
        <v>55794.15</v>
      </c>
    </row>
    <row r="5697" spans="2:9">
      <c r="B5697" s="1297"/>
      <c r="C5697" s="1297"/>
      <c r="D5697" s="1297" t="s">
        <v>954</v>
      </c>
      <c r="F5697" s="1399">
        <v>350834.12</v>
      </c>
      <c r="I5697" s="1399">
        <v>350834.12</v>
      </c>
    </row>
    <row r="5698" spans="2:9">
      <c r="B5698" s="1297"/>
      <c r="C5698" s="1297"/>
      <c r="D5698" s="1297" t="s">
        <v>986</v>
      </c>
      <c r="F5698" s="1399">
        <v>31114.570000000003</v>
      </c>
      <c r="I5698" s="1399">
        <v>31114.570000000003</v>
      </c>
    </row>
    <row r="5699" spans="2:9">
      <c r="B5699" s="1297"/>
      <c r="C5699" s="1297"/>
      <c r="D5699" s="1297" t="s">
        <v>1045</v>
      </c>
      <c r="F5699" s="1399">
        <v>656357.26000000013</v>
      </c>
      <c r="I5699" s="1399">
        <v>656357.26000000013</v>
      </c>
    </row>
    <row r="5700" spans="2:9">
      <c r="B5700" s="1297"/>
      <c r="C5700" s="1297"/>
      <c r="D5700" s="1297" t="s">
        <v>1046</v>
      </c>
      <c r="H5700" s="1399">
        <v>15739766</v>
      </c>
      <c r="I5700" s="1399">
        <v>15739766</v>
      </c>
    </row>
    <row r="5701" spans="2:9">
      <c r="B5701" s="1297"/>
      <c r="C5701" s="1297"/>
      <c r="D5701" s="1297" t="s">
        <v>1128</v>
      </c>
      <c r="H5701" s="1399">
        <v>1424229</v>
      </c>
      <c r="I5701" s="1399">
        <v>1424229</v>
      </c>
    </row>
    <row r="5702" spans="2:9">
      <c r="B5702" s="1297"/>
      <c r="C5702" s="1297"/>
      <c r="D5702" s="1297" t="s">
        <v>1129</v>
      </c>
      <c r="H5702" s="1399">
        <v>-2117800</v>
      </c>
      <c r="I5702" s="1399">
        <v>-2117800</v>
      </c>
    </row>
    <row r="5703" spans="2:9">
      <c r="B5703" s="1297"/>
      <c r="C5703" s="1297"/>
      <c r="D5703" s="1297" t="s">
        <v>1047</v>
      </c>
      <c r="H5703" s="1399">
        <v>855415</v>
      </c>
      <c r="I5703" s="1399">
        <v>855415</v>
      </c>
    </row>
    <row r="5704" spans="2:9">
      <c r="B5704" s="1297"/>
      <c r="C5704" s="1297"/>
      <c r="D5704" s="1297" t="s">
        <v>1048</v>
      </c>
      <c r="H5704" s="1399">
        <v>-3747202</v>
      </c>
      <c r="I5704" s="1399">
        <v>-3747202</v>
      </c>
    </row>
    <row r="5705" spans="2:9">
      <c r="B5705" s="1297"/>
      <c r="C5705" s="1297"/>
      <c r="D5705" s="1297" t="s">
        <v>955</v>
      </c>
      <c r="H5705" s="1399">
        <v>338323.8</v>
      </c>
      <c r="I5705" s="1399">
        <v>338323.8</v>
      </c>
    </row>
    <row r="5706" spans="2:9">
      <c r="B5706" s="1297"/>
      <c r="C5706" s="1297"/>
      <c r="D5706" s="1297" t="s">
        <v>934</v>
      </c>
      <c r="H5706" s="1399">
        <v>59310</v>
      </c>
      <c r="I5706" s="1399">
        <v>59310</v>
      </c>
    </row>
    <row r="5707" spans="2:9">
      <c r="B5707" s="1297"/>
      <c r="C5707" s="1297"/>
      <c r="D5707" s="1297" t="s">
        <v>935</v>
      </c>
      <c r="H5707" s="1399">
        <v>354610.69</v>
      </c>
      <c r="I5707" s="1399">
        <v>354610.69</v>
      </c>
    </row>
    <row r="5708" spans="2:9">
      <c r="B5708" s="1297"/>
      <c r="C5708" s="1297"/>
      <c r="D5708" s="1297" t="s">
        <v>936</v>
      </c>
      <c r="H5708" s="1399">
        <v>44118.97</v>
      </c>
      <c r="I5708" s="1399">
        <v>44118.97</v>
      </c>
    </row>
    <row r="5709" spans="2:9">
      <c r="B5709" s="1297"/>
      <c r="C5709" s="1297"/>
      <c r="D5709" s="1297" t="s">
        <v>938</v>
      </c>
      <c r="H5709" s="1399">
        <v>14411</v>
      </c>
      <c r="I5709" s="1399">
        <v>14411</v>
      </c>
    </row>
    <row r="5710" spans="2:9">
      <c r="B5710" s="1297"/>
      <c r="C5710" s="1297"/>
      <c r="D5710" s="1297" t="s">
        <v>939</v>
      </c>
      <c r="H5710" s="1399">
        <v>59250</v>
      </c>
      <c r="I5710" s="1399">
        <v>59250</v>
      </c>
    </row>
    <row r="5711" spans="2:9">
      <c r="B5711" s="1297"/>
      <c r="C5711" s="1297"/>
      <c r="D5711" s="1297" t="s">
        <v>1131</v>
      </c>
      <c r="E5711" s="1399">
        <v>59690.68</v>
      </c>
      <c r="I5711" s="1399">
        <v>59690.68</v>
      </c>
    </row>
    <row r="5712" spans="2:9">
      <c r="B5712" s="1297"/>
      <c r="C5712" s="1297"/>
      <c r="D5712" s="1297" t="s">
        <v>940</v>
      </c>
      <c r="E5712" s="1399">
        <v>938953.54</v>
      </c>
      <c r="I5712" s="1399">
        <v>938953.54</v>
      </c>
    </row>
    <row r="5713" spans="2:9">
      <c r="B5713" s="1297"/>
      <c r="C5713" s="1297"/>
      <c r="D5713" s="1297" t="s">
        <v>941</v>
      </c>
      <c r="E5713" s="1399">
        <v>409353.14</v>
      </c>
      <c r="I5713" s="1399">
        <v>409353.14</v>
      </c>
    </row>
    <row r="5714" spans="2:9">
      <c r="B5714" s="1297"/>
      <c r="C5714" s="1297"/>
      <c r="D5714" s="1297" t="s">
        <v>943</v>
      </c>
      <c r="E5714" s="1399">
        <v>2675.1</v>
      </c>
      <c r="I5714" s="1399">
        <v>2675.1</v>
      </c>
    </row>
    <row r="5715" spans="2:9">
      <c r="B5715" s="1297"/>
      <c r="C5715" s="1297"/>
      <c r="D5715" s="1297" t="s">
        <v>944</v>
      </c>
      <c r="E5715" s="1399">
        <v>2610053.92</v>
      </c>
      <c r="I5715" s="1399">
        <v>2610053.92</v>
      </c>
    </row>
    <row r="5716" spans="2:9">
      <c r="B5716" s="1297"/>
      <c r="C5716" s="1297"/>
      <c r="D5716" s="1297" t="s">
        <v>945</v>
      </c>
      <c r="E5716" s="1399">
        <v>2179305.58</v>
      </c>
      <c r="I5716" s="1399">
        <v>2179305.58</v>
      </c>
    </row>
    <row r="5717" spans="2:9">
      <c r="B5717" s="1297"/>
      <c r="C5717" s="1297"/>
      <c r="D5717" s="1297" t="s">
        <v>946</v>
      </c>
      <c r="E5717" s="1399">
        <v>38303.760000000002</v>
      </c>
      <c r="I5717" s="1399">
        <v>38303.760000000002</v>
      </c>
    </row>
    <row r="5718" spans="2:9">
      <c r="B5718" s="1297"/>
      <c r="C5718" s="1297"/>
      <c r="D5718" s="1297" t="s">
        <v>978</v>
      </c>
      <c r="E5718" s="1399">
        <v>231246.03</v>
      </c>
      <c r="I5718" s="1399">
        <v>231246.03</v>
      </c>
    </row>
    <row r="5719" spans="2:9">
      <c r="B5719" s="1297"/>
      <c r="C5719" s="1297"/>
      <c r="D5719" s="1297" t="s">
        <v>947</v>
      </c>
      <c r="E5719" s="1399">
        <v>97371.08</v>
      </c>
      <c r="I5719" s="1399">
        <v>97371.08</v>
      </c>
    </row>
    <row r="5720" spans="2:9">
      <c r="B5720" s="1297"/>
      <c r="C5720" s="1297"/>
      <c r="D5720" s="1297" t="s">
        <v>948</v>
      </c>
      <c r="G5720" s="1399">
        <v>164148.74</v>
      </c>
      <c r="I5720" s="1399">
        <v>164148.74</v>
      </c>
    </row>
    <row r="5721" spans="2:9">
      <c r="B5721" s="1297"/>
      <c r="C5721" s="1400" t="s">
        <v>1588</v>
      </c>
      <c r="D5721" s="1400"/>
      <c r="E5721" s="1401">
        <v>6566952.8300000001</v>
      </c>
      <c r="F5721" s="1401">
        <v>16382848.699999999</v>
      </c>
      <c r="G5721" s="1401">
        <v>164148.74</v>
      </c>
      <c r="H5721" s="1401">
        <v>13024432.460000001</v>
      </c>
      <c r="I5721" s="1401">
        <v>36138382.729999997</v>
      </c>
    </row>
    <row r="5722" spans="2:9">
      <c r="B5722" s="1297" t="s">
        <v>1589</v>
      </c>
      <c r="C5722" s="1297" t="s">
        <v>1590</v>
      </c>
      <c r="D5722" s="1297" t="s">
        <v>906</v>
      </c>
      <c r="F5722" s="1399">
        <v>11318825.23</v>
      </c>
      <c r="I5722" s="1399">
        <v>11318825.23</v>
      </c>
    </row>
    <row r="5723" spans="2:9">
      <c r="B5723" s="1297"/>
      <c r="C5723" s="1297"/>
      <c r="D5723" s="1297" t="s">
        <v>952</v>
      </c>
      <c r="F5723" s="1399">
        <v>84442.18</v>
      </c>
      <c r="I5723" s="1399">
        <v>84442.18</v>
      </c>
    </row>
    <row r="5724" spans="2:9">
      <c r="B5724" s="1297"/>
      <c r="C5724" s="1297"/>
      <c r="D5724" s="1297" t="s">
        <v>907</v>
      </c>
      <c r="F5724" s="1399">
        <v>4264619.97</v>
      </c>
      <c r="I5724" s="1399">
        <v>4264619.97</v>
      </c>
    </row>
    <row r="5725" spans="2:9">
      <c r="B5725" s="1297"/>
      <c r="C5725" s="1297"/>
      <c r="D5725" s="1297" t="s">
        <v>908</v>
      </c>
      <c r="F5725" s="1399">
        <v>59062.35</v>
      </c>
      <c r="I5725" s="1399">
        <v>59062.35</v>
      </c>
    </row>
    <row r="5726" spans="2:9">
      <c r="B5726" s="1297"/>
      <c r="C5726" s="1297"/>
      <c r="D5726" s="1297" t="s">
        <v>909</v>
      </c>
      <c r="F5726" s="1399">
        <v>43084.02</v>
      </c>
      <c r="I5726" s="1399">
        <v>43084.02</v>
      </c>
    </row>
    <row r="5727" spans="2:9">
      <c r="B5727" s="1297"/>
      <c r="C5727" s="1297"/>
      <c r="D5727" s="1297" t="s">
        <v>910</v>
      </c>
      <c r="F5727" s="1399">
        <v>49369.47</v>
      </c>
      <c r="I5727" s="1399">
        <v>49369.47</v>
      </c>
    </row>
    <row r="5728" spans="2:9">
      <c r="B5728" s="1297"/>
      <c r="C5728" s="1297"/>
      <c r="D5728" s="1297" t="s">
        <v>1034</v>
      </c>
      <c r="F5728" s="1399">
        <v>183648.82</v>
      </c>
      <c r="I5728" s="1399">
        <v>183648.82</v>
      </c>
    </row>
    <row r="5729" spans="2:9">
      <c r="B5729" s="1297"/>
      <c r="C5729" s="1297"/>
      <c r="D5729" s="1297" t="s">
        <v>1035</v>
      </c>
      <c r="F5729" s="1399">
        <v>624024.47</v>
      </c>
      <c r="I5729" s="1399">
        <v>624024.47</v>
      </c>
    </row>
    <row r="5730" spans="2:9">
      <c r="B5730" s="1297"/>
      <c r="C5730" s="1297"/>
      <c r="D5730" s="1297" t="s">
        <v>1036</v>
      </c>
      <c r="F5730" s="1399">
        <v>172395.11</v>
      </c>
      <c r="I5730" s="1399">
        <v>172395.11</v>
      </c>
    </row>
    <row r="5731" spans="2:9">
      <c r="B5731" s="1297"/>
      <c r="C5731" s="1297"/>
      <c r="D5731" s="1297" t="s">
        <v>1037</v>
      </c>
      <c r="F5731" s="1399">
        <v>607.29999999999995</v>
      </c>
      <c r="I5731" s="1399">
        <v>607.29999999999995</v>
      </c>
    </row>
    <row r="5732" spans="2:9">
      <c r="B5732" s="1297"/>
      <c r="C5732" s="1297"/>
      <c r="D5732" s="1297" t="s">
        <v>1038</v>
      </c>
      <c r="F5732" s="1399">
        <v>0</v>
      </c>
      <c r="I5732" s="1399">
        <v>0</v>
      </c>
    </row>
    <row r="5733" spans="2:9">
      <c r="B5733" s="1297"/>
      <c r="C5733" s="1297"/>
      <c r="D5733" s="1297" t="s">
        <v>1039</v>
      </c>
      <c r="F5733" s="1399">
        <v>30682.859999999997</v>
      </c>
      <c r="I5733" s="1399">
        <v>30682.859999999997</v>
      </c>
    </row>
    <row r="5734" spans="2:9">
      <c r="B5734" s="1297"/>
      <c r="C5734" s="1297"/>
      <c r="D5734" s="1297" t="s">
        <v>1040</v>
      </c>
      <c r="F5734" s="1399">
        <v>484868.84999999992</v>
      </c>
      <c r="I5734" s="1399">
        <v>484868.84999999992</v>
      </c>
    </row>
    <row r="5735" spans="2:9">
      <c r="B5735" s="1297"/>
      <c r="C5735" s="1297"/>
      <c r="D5735" s="1297" t="s">
        <v>1041</v>
      </c>
      <c r="F5735" s="1399">
        <v>133814.39999999999</v>
      </c>
      <c r="I5735" s="1399">
        <v>133814.39999999999</v>
      </c>
    </row>
    <row r="5736" spans="2:9">
      <c r="B5736" s="1297"/>
      <c r="C5736" s="1297"/>
      <c r="D5736" s="1297" t="s">
        <v>1042</v>
      </c>
      <c r="F5736" s="1399">
        <v>85772.329999999987</v>
      </c>
      <c r="I5736" s="1399">
        <v>85772.329999999987</v>
      </c>
    </row>
    <row r="5737" spans="2:9">
      <c r="B5737" s="1297"/>
      <c r="C5737" s="1297"/>
      <c r="D5737" s="1297" t="s">
        <v>1043</v>
      </c>
      <c r="F5737" s="1399">
        <v>8789.3799999999992</v>
      </c>
      <c r="I5737" s="1399">
        <v>8789.3799999999992</v>
      </c>
    </row>
    <row r="5738" spans="2:9">
      <c r="B5738" s="1297"/>
      <c r="C5738" s="1297"/>
      <c r="D5738" s="1297" t="s">
        <v>986</v>
      </c>
      <c r="F5738" s="1399">
        <v>9003.7999999999993</v>
      </c>
      <c r="I5738" s="1399">
        <v>9003.7999999999993</v>
      </c>
    </row>
    <row r="5739" spans="2:9">
      <c r="B5739" s="1297"/>
      <c r="C5739" s="1297"/>
      <c r="D5739" s="1297" t="s">
        <v>1045</v>
      </c>
      <c r="F5739" s="1399">
        <v>145748.15</v>
      </c>
      <c r="I5739" s="1399">
        <v>145748.15</v>
      </c>
    </row>
    <row r="5740" spans="2:9">
      <c r="B5740" s="1297"/>
      <c r="C5740" s="1297"/>
      <c r="D5740" s="1297" t="s">
        <v>1046</v>
      </c>
      <c r="H5740" s="1399">
        <v>26084232</v>
      </c>
      <c r="I5740" s="1399">
        <v>26084232</v>
      </c>
    </row>
    <row r="5741" spans="2:9">
      <c r="B5741" s="1297"/>
      <c r="C5741" s="1297"/>
      <c r="D5741" s="1297" t="s">
        <v>1128</v>
      </c>
      <c r="H5741" s="1399">
        <v>2356501</v>
      </c>
      <c r="I5741" s="1399">
        <v>2356501</v>
      </c>
    </row>
    <row r="5742" spans="2:9">
      <c r="B5742" s="1297"/>
      <c r="C5742" s="1297"/>
      <c r="D5742" s="1297" t="s">
        <v>1129</v>
      </c>
      <c r="H5742" s="1399">
        <v>-3791707</v>
      </c>
      <c r="I5742" s="1399">
        <v>-3791707</v>
      </c>
    </row>
    <row r="5743" spans="2:9">
      <c r="B5743" s="1297"/>
      <c r="C5743" s="1297"/>
      <c r="D5743" s="1297" t="s">
        <v>1047</v>
      </c>
      <c r="H5743" s="1399">
        <v>755392</v>
      </c>
      <c r="I5743" s="1399">
        <v>755392</v>
      </c>
    </row>
    <row r="5744" spans="2:9">
      <c r="B5744" s="1297"/>
      <c r="C5744" s="1297"/>
      <c r="D5744" s="1297" t="s">
        <v>1048</v>
      </c>
      <c r="H5744" s="1399">
        <v>-3804959</v>
      </c>
      <c r="I5744" s="1399">
        <v>-3804959</v>
      </c>
    </row>
    <row r="5745" spans="2:9">
      <c r="B5745" s="1297"/>
      <c r="C5745" s="1297"/>
      <c r="D5745" s="1297" t="s">
        <v>932</v>
      </c>
      <c r="H5745" s="1399">
        <v>1895689</v>
      </c>
      <c r="I5745" s="1399">
        <v>1895689</v>
      </c>
    </row>
    <row r="5746" spans="2:9">
      <c r="B5746" s="1297"/>
      <c r="C5746" s="1297"/>
      <c r="D5746" s="1297" t="s">
        <v>955</v>
      </c>
      <c r="H5746" s="1399">
        <v>1658782.25</v>
      </c>
      <c r="I5746" s="1399">
        <v>1658782.25</v>
      </c>
    </row>
    <row r="5747" spans="2:9">
      <c r="B5747" s="1297"/>
      <c r="C5747" s="1297"/>
      <c r="D5747" s="1297" t="s">
        <v>934</v>
      </c>
      <c r="H5747" s="1399">
        <v>88940</v>
      </c>
      <c r="I5747" s="1399">
        <v>88940</v>
      </c>
    </row>
    <row r="5748" spans="2:9">
      <c r="B5748" s="1297"/>
      <c r="C5748" s="1297"/>
      <c r="D5748" s="1297" t="s">
        <v>1130</v>
      </c>
      <c r="H5748" s="1399">
        <v>3011303.1</v>
      </c>
      <c r="I5748" s="1399">
        <v>3011303.1</v>
      </c>
    </row>
    <row r="5749" spans="2:9">
      <c r="B5749" s="1297"/>
      <c r="C5749" s="1297"/>
      <c r="D5749" s="1297" t="s">
        <v>935</v>
      </c>
      <c r="H5749" s="1399">
        <v>513630.05</v>
      </c>
      <c r="I5749" s="1399">
        <v>513630.05</v>
      </c>
    </row>
    <row r="5750" spans="2:9">
      <c r="B5750" s="1297"/>
      <c r="C5750" s="1297"/>
      <c r="D5750" s="1297" t="s">
        <v>936</v>
      </c>
      <c r="H5750" s="1399">
        <v>80184.47</v>
      </c>
      <c r="I5750" s="1399">
        <v>80184.47</v>
      </c>
    </row>
    <row r="5751" spans="2:9">
      <c r="B5751" s="1297"/>
      <c r="C5751" s="1297"/>
      <c r="D5751" s="1297" t="s">
        <v>937</v>
      </c>
      <c r="H5751" s="1399">
        <v>43887.39</v>
      </c>
      <c r="I5751" s="1399">
        <v>43887.39</v>
      </c>
    </row>
    <row r="5752" spans="2:9">
      <c r="B5752" s="1297"/>
      <c r="C5752" s="1297"/>
      <c r="D5752" s="1297" t="s">
        <v>938</v>
      </c>
      <c r="H5752" s="1399">
        <v>30133</v>
      </c>
      <c r="I5752" s="1399">
        <v>30133</v>
      </c>
    </row>
    <row r="5753" spans="2:9">
      <c r="B5753" s="1297"/>
      <c r="C5753" s="1297"/>
      <c r="D5753" s="1297" t="s">
        <v>939</v>
      </c>
      <c r="H5753" s="1399">
        <v>52213.52</v>
      </c>
      <c r="I5753" s="1399">
        <v>52213.52</v>
      </c>
    </row>
    <row r="5754" spans="2:9">
      <c r="B5754" s="1297"/>
      <c r="C5754" s="1297"/>
      <c r="D5754" s="1297" t="s">
        <v>940</v>
      </c>
      <c r="E5754" s="1399">
        <v>1581180.06</v>
      </c>
      <c r="I5754" s="1399">
        <v>1581180.06</v>
      </c>
    </row>
    <row r="5755" spans="2:9">
      <c r="B5755" s="1297"/>
      <c r="C5755" s="1297"/>
      <c r="D5755" s="1297" t="s">
        <v>941</v>
      </c>
      <c r="E5755" s="1399">
        <v>606354.54</v>
      </c>
      <c r="I5755" s="1399">
        <v>606354.54</v>
      </c>
    </row>
    <row r="5756" spans="2:9">
      <c r="B5756" s="1297"/>
      <c r="C5756" s="1297"/>
      <c r="D5756" s="1297" t="s">
        <v>943</v>
      </c>
      <c r="E5756" s="1399">
        <v>2643.28</v>
      </c>
      <c r="I5756" s="1399">
        <v>2643.28</v>
      </c>
    </row>
    <row r="5757" spans="2:9">
      <c r="B5757" s="1297"/>
      <c r="C5757" s="1297"/>
      <c r="D5757" s="1297" t="s">
        <v>944</v>
      </c>
      <c r="E5757" s="1399">
        <v>3277392.91</v>
      </c>
      <c r="I5757" s="1399">
        <v>3277392.91</v>
      </c>
    </row>
    <row r="5758" spans="2:9">
      <c r="B5758" s="1297"/>
      <c r="C5758" s="1297"/>
      <c r="D5758" s="1297" t="s">
        <v>945</v>
      </c>
      <c r="E5758" s="1399">
        <v>1936619.2300000002</v>
      </c>
      <c r="I5758" s="1399">
        <v>1936619.2300000002</v>
      </c>
    </row>
    <row r="5759" spans="2:9">
      <c r="B5759" s="1297"/>
      <c r="C5759" s="1297"/>
      <c r="D5759" s="1297" t="s">
        <v>947</v>
      </c>
      <c r="E5759" s="1399">
        <v>131663.67999999999</v>
      </c>
      <c r="I5759" s="1399">
        <v>131663.67999999999</v>
      </c>
    </row>
    <row r="5760" spans="2:9">
      <c r="B5760" s="1297"/>
      <c r="C5760" s="1297"/>
      <c r="D5760" s="1297" t="s">
        <v>1116</v>
      </c>
      <c r="G5760" s="1399">
        <v>6000000</v>
      </c>
      <c r="I5760" s="1399">
        <v>6000000</v>
      </c>
    </row>
    <row r="5761" spans="2:9">
      <c r="B5761" s="1297"/>
      <c r="C5761" s="1297"/>
      <c r="D5761" s="1297" t="s">
        <v>948</v>
      </c>
      <c r="G5761" s="1399">
        <v>121295.24</v>
      </c>
      <c r="I5761" s="1399">
        <v>121295.24</v>
      </c>
    </row>
    <row r="5762" spans="2:9">
      <c r="B5762" s="1297"/>
      <c r="C5762" s="1400" t="s">
        <v>1591</v>
      </c>
      <c r="D5762" s="1400"/>
      <c r="E5762" s="1401">
        <v>7535853.7000000002</v>
      </c>
      <c r="F5762" s="1401">
        <v>17698758.689999998</v>
      </c>
      <c r="G5762" s="1401">
        <v>6121295.2400000002</v>
      </c>
      <c r="H5762" s="1401">
        <v>28974221.780000001</v>
      </c>
      <c r="I5762" s="1401">
        <v>60330129.410000004</v>
      </c>
    </row>
    <row r="5763" spans="2:9">
      <c r="B5763" s="1297" t="s">
        <v>1592</v>
      </c>
      <c r="C5763" s="1297" t="s">
        <v>1593</v>
      </c>
      <c r="D5763" s="1297" t="s">
        <v>906</v>
      </c>
      <c r="F5763" s="1399">
        <v>1348503.63</v>
      </c>
      <c r="I5763" s="1399">
        <v>1348503.63</v>
      </c>
    </row>
    <row r="5764" spans="2:9">
      <c r="B5764" s="1297"/>
      <c r="C5764" s="1297"/>
      <c r="D5764" s="1297" t="s">
        <v>952</v>
      </c>
      <c r="F5764" s="1399">
        <v>5977.2300000000005</v>
      </c>
      <c r="I5764" s="1399">
        <v>5977.2300000000005</v>
      </c>
    </row>
    <row r="5765" spans="2:9">
      <c r="B5765" s="1297"/>
      <c r="C5765" s="1297"/>
      <c r="D5765" s="1297" t="s">
        <v>907</v>
      </c>
      <c r="F5765" s="1399">
        <v>190087.85</v>
      </c>
      <c r="I5765" s="1399">
        <v>190087.85</v>
      </c>
    </row>
    <row r="5766" spans="2:9">
      <c r="B5766" s="1297"/>
      <c r="C5766" s="1297"/>
      <c r="D5766" s="1297" t="s">
        <v>995</v>
      </c>
      <c r="F5766" s="1399">
        <v>82228.240000000005</v>
      </c>
      <c r="I5766" s="1399">
        <v>82228.240000000005</v>
      </c>
    </row>
    <row r="5767" spans="2:9">
      <c r="B5767" s="1297"/>
      <c r="C5767" s="1297"/>
      <c r="D5767" s="1297" t="s">
        <v>908</v>
      </c>
      <c r="F5767" s="1399">
        <v>2702.38</v>
      </c>
      <c r="I5767" s="1399">
        <v>2702.38</v>
      </c>
    </row>
    <row r="5768" spans="2:9">
      <c r="B5768" s="1297"/>
      <c r="C5768" s="1297"/>
      <c r="D5768" s="1297" t="s">
        <v>910</v>
      </c>
      <c r="F5768" s="1399">
        <v>1377.4</v>
      </c>
      <c r="I5768" s="1399">
        <v>1377.4</v>
      </c>
    </row>
    <row r="5769" spans="2:9">
      <c r="B5769" s="1297"/>
      <c r="C5769" s="1297"/>
      <c r="D5769" s="1297" t="s">
        <v>1034</v>
      </c>
      <c r="F5769" s="1399">
        <v>8791.92</v>
      </c>
      <c r="I5769" s="1399">
        <v>8791.92</v>
      </c>
    </row>
    <row r="5770" spans="2:9">
      <c r="B5770" s="1297"/>
      <c r="C5770" s="1297"/>
      <c r="D5770" s="1297" t="s">
        <v>1035</v>
      </c>
      <c r="F5770" s="1399">
        <v>46640.56</v>
      </c>
      <c r="I5770" s="1399">
        <v>46640.56</v>
      </c>
    </row>
    <row r="5771" spans="2:9">
      <c r="B5771" s="1297"/>
      <c r="C5771" s="1297"/>
      <c r="D5771" s="1297" t="s">
        <v>1036</v>
      </c>
      <c r="F5771" s="1399">
        <v>13201</v>
      </c>
      <c r="I5771" s="1399">
        <v>13201</v>
      </c>
    </row>
    <row r="5772" spans="2:9">
      <c r="B5772" s="1297"/>
      <c r="C5772" s="1297"/>
      <c r="D5772" s="1297" t="s">
        <v>1037</v>
      </c>
      <c r="F5772" s="1399">
        <v>64211.83</v>
      </c>
      <c r="I5772" s="1399">
        <v>64211.83</v>
      </c>
    </row>
    <row r="5773" spans="2:9">
      <c r="B5773" s="1297"/>
      <c r="C5773" s="1297"/>
      <c r="D5773" s="1297" t="s">
        <v>1039</v>
      </c>
      <c r="F5773" s="1399">
        <v>1174.1500000000001</v>
      </c>
      <c r="I5773" s="1399">
        <v>1174.1500000000001</v>
      </c>
    </row>
    <row r="5774" spans="2:9">
      <c r="B5774" s="1297"/>
      <c r="C5774" s="1297"/>
      <c r="D5774" s="1297" t="s">
        <v>1042</v>
      </c>
      <c r="F5774" s="1399">
        <v>8373.7199999999993</v>
      </c>
      <c r="I5774" s="1399">
        <v>8373.7199999999993</v>
      </c>
    </row>
    <row r="5775" spans="2:9">
      <c r="B5775" s="1297"/>
      <c r="C5775" s="1297"/>
      <c r="D5775" s="1297" t="s">
        <v>1203</v>
      </c>
      <c r="F5775" s="1399">
        <v>8422</v>
      </c>
      <c r="I5775" s="1399">
        <v>8422</v>
      </c>
    </row>
    <row r="5776" spans="2:9">
      <c r="B5776" s="1297"/>
      <c r="C5776" s="1297"/>
      <c r="D5776" s="1297" t="s">
        <v>1045</v>
      </c>
      <c r="F5776" s="1399">
        <v>43939.509999999995</v>
      </c>
      <c r="I5776" s="1399">
        <v>43939.509999999995</v>
      </c>
    </row>
    <row r="5777" spans="2:9">
      <c r="B5777" s="1297"/>
      <c r="C5777" s="1297"/>
      <c r="D5777" s="1297" t="s">
        <v>1046</v>
      </c>
      <c r="H5777" s="1399">
        <v>2451057</v>
      </c>
      <c r="I5777" s="1399">
        <v>2451057</v>
      </c>
    </row>
    <row r="5778" spans="2:9">
      <c r="B5778" s="1297"/>
      <c r="C5778" s="1297"/>
      <c r="D5778" s="1297" t="s">
        <v>1047</v>
      </c>
      <c r="H5778" s="1399">
        <v>276247</v>
      </c>
      <c r="I5778" s="1399">
        <v>276247</v>
      </c>
    </row>
    <row r="5779" spans="2:9">
      <c r="B5779" s="1297"/>
      <c r="C5779" s="1297"/>
      <c r="D5779" s="1297" t="s">
        <v>1048</v>
      </c>
      <c r="H5779" s="1399">
        <v>-389280</v>
      </c>
      <c r="I5779" s="1399">
        <v>-389280</v>
      </c>
    </row>
    <row r="5780" spans="2:9">
      <c r="B5780" s="1297"/>
      <c r="C5780" s="1297"/>
      <c r="D5780" s="1297" t="s">
        <v>932</v>
      </c>
      <c r="H5780" s="1399">
        <v>99493</v>
      </c>
      <c r="I5780" s="1399">
        <v>99493</v>
      </c>
    </row>
    <row r="5781" spans="2:9">
      <c r="B5781" s="1297"/>
      <c r="C5781" s="1297"/>
      <c r="D5781" s="1297" t="s">
        <v>933</v>
      </c>
      <c r="H5781" s="1399">
        <v>204523.76</v>
      </c>
      <c r="I5781" s="1399">
        <v>204523.76</v>
      </c>
    </row>
    <row r="5782" spans="2:9">
      <c r="B5782" s="1297"/>
      <c r="C5782" s="1297"/>
      <c r="D5782" s="1297" t="s">
        <v>934</v>
      </c>
      <c r="H5782" s="1399">
        <v>8612</v>
      </c>
      <c r="I5782" s="1399">
        <v>8612</v>
      </c>
    </row>
    <row r="5783" spans="2:9">
      <c r="B5783" s="1297"/>
      <c r="C5783" s="1297"/>
      <c r="D5783" s="1297" t="s">
        <v>935</v>
      </c>
      <c r="H5783" s="1399">
        <v>25314.45</v>
      </c>
      <c r="I5783" s="1399">
        <v>25314.45</v>
      </c>
    </row>
    <row r="5784" spans="2:9">
      <c r="B5784" s="1297"/>
      <c r="C5784" s="1297"/>
      <c r="D5784" s="1297" t="s">
        <v>936</v>
      </c>
      <c r="H5784" s="1399">
        <v>8053.46</v>
      </c>
      <c r="I5784" s="1399">
        <v>8053.46</v>
      </c>
    </row>
    <row r="5785" spans="2:9">
      <c r="B5785" s="1297"/>
      <c r="C5785" s="1297"/>
      <c r="D5785" s="1297" t="s">
        <v>938</v>
      </c>
      <c r="H5785" s="1399">
        <v>2807</v>
      </c>
      <c r="I5785" s="1399">
        <v>2807</v>
      </c>
    </row>
    <row r="5786" spans="2:9">
      <c r="B5786" s="1297"/>
      <c r="C5786" s="1297"/>
      <c r="D5786" s="1297" t="s">
        <v>939</v>
      </c>
      <c r="H5786" s="1399">
        <v>1152.8</v>
      </c>
      <c r="I5786" s="1399">
        <v>1152.8</v>
      </c>
    </row>
    <row r="5787" spans="2:9">
      <c r="B5787" s="1297"/>
      <c r="C5787" s="1297"/>
      <c r="D5787" s="1297" t="s">
        <v>940</v>
      </c>
      <c r="E5787" s="1399">
        <v>134757.76000000001</v>
      </c>
      <c r="I5787" s="1399">
        <v>134757.76000000001</v>
      </c>
    </row>
    <row r="5788" spans="2:9">
      <c r="B5788" s="1297"/>
      <c r="C5788" s="1297"/>
      <c r="D5788" s="1297" t="s">
        <v>941</v>
      </c>
      <c r="E5788" s="1399">
        <v>58114.68</v>
      </c>
      <c r="I5788" s="1399">
        <v>58114.68</v>
      </c>
    </row>
    <row r="5789" spans="2:9">
      <c r="B5789" s="1297"/>
      <c r="C5789" s="1297"/>
      <c r="D5789" s="1297" t="s">
        <v>944</v>
      </c>
      <c r="E5789" s="1399">
        <v>381775.39</v>
      </c>
      <c r="I5789" s="1399">
        <v>381775.39</v>
      </c>
    </row>
    <row r="5790" spans="2:9">
      <c r="B5790" s="1297"/>
      <c r="C5790" s="1297"/>
      <c r="D5790" s="1297" t="s">
        <v>945</v>
      </c>
      <c r="E5790" s="1399">
        <v>215820.95</v>
      </c>
      <c r="I5790" s="1399">
        <v>215820.95</v>
      </c>
    </row>
    <row r="5791" spans="2:9">
      <c r="B5791" s="1297"/>
      <c r="C5791" s="1297"/>
      <c r="D5791" s="1297" t="s">
        <v>947</v>
      </c>
      <c r="E5791" s="1399">
        <v>11341.89</v>
      </c>
      <c r="I5791" s="1399">
        <v>11341.89</v>
      </c>
    </row>
    <row r="5792" spans="2:9">
      <c r="B5792" s="1297"/>
      <c r="C5792" s="1297"/>
      <c r="D5792" s="1297" t="s">
        <v>948</v>
      </c>
      <c r="G5792" s="1399">
        <v>6190.76</v>
      </c>
      <c r="I5792" s="1399">
        <v>6190.76</v>
      </c>
    </row>
    <row r="5793" spans="2:9">
      <c r="B5793" s="1297"/>
      <c r="C5793" s="1400" t="s">
        <v>1594</v>
      </c>
      <c r="D5793" s="1400"/>
      <c r="E5793" s="1401">
        <v>801810.67</v>
      </c>
      <c r="F5793" s="1401">
        <v>1825631.4199999997</v>
      </c>
      <c r="G5793" s="1401">
        <v>6190.76</v>
      </c>
      <c r="H5793" s="1401">
        <v>2687980.4699999997</v>
      </c>
      <c r="I5793" s="1401">
        <v>5321613.3199999984</v>
      </c>
    </row>
    <row r="5794" spans="2:9">
      <c r="B5794" s="1297" t="s">
        <v>1595</v>
      </c>
      <c r="C5794" s="1297" t="s">
        <v>1596</v>
      </c>
      <c r="D5794" s="1297" t="s">
        <v>906</v>
      </c>
      <c r="F5794" s="1399">
        <v>1670541.09</v>
      </c>
      <c r="I5794" s="1399">
        <v>1670541.09</v>
      </c>
    </row>
    <row r="5795" spans="2:9">
      <c r="B5795" s="1297"/>
      <c r="C5795" s="1297"/>
      <c r="D5795" s="1297" t="s">
        <v>952</v>
      </c>
      <c r="F5795" s="1399">
        <v>10721.36</v>
      </c>
      <c r="I5795" s="1399">
        <v>10721.36</v>
      </c>
    </row>
    <row r="5796" spans="2:9">
      <c r="B5796" s="1297"/>
      <c r="C5796" s="1297"/>
      <c r="D5796" s="1297" t="s">
        <v>907</v>
      </c>
      <c r="F5796" s="1399">
        <v>513772.21</v>
      </c>
      <c r="I5796" s="1399">
        <v>513772.21</v>
      </c>
    </row>
    <row r="5797" spans="2:9">
      <c r="B5797" s="1297"/>
      <c r="C5797" s="1297"/>
      <c r="D5797" s="1297" t="s">
        <v>1035</v>
      </c>
      <c r="F5797" s="1399">
        <v>327322.60000000003</v>
      </c>
      <c r="I5797" s="1399">
        <v>327322.60000000003</v>
      </c>
    </row>
    <row r="5798" spans="2:9">
      <c r="B5798" s="1297"/>
      <c r="C5798" s="1297"/>
      <c r="D5798" s="1297" t="s">
        <v>1039</v>
      </c>
      <c r="F5798" s="1399">
        <v>5531.91</v>
      </c>
      <c r="I5798" s="1399">
        <v>5531.91</v>
      </c>
    </row>
    <row r="5799" spans="2:9">
      <c r="B5799" s="1297"/>
      <c r="C5799" s="1297"/>
      <c r="D5799" s="1297" t="s">
        <v>1040</v>
      </c>
      <c r="F5799" s="1399">
        <v>39062.699999999997</v>
      </c>
      <c r="I5799" s="1399">
        <v>39062.699999999997</v>
      </c>
    </row>
    <row r="5800" spans="2:9">
      <c r="B5800" s="1297"/>
      <c r="C5800" s="1297"/>
      <c r="D5800" s="1297" t="s">
        <v>1041</v>
      </c>
      <c r="F5800" s="1399">
        <v>5452.82</v>
      </c>
      <c r="I5800" s="1399">
        <v>5452.82</v>
      </c>
    </row>
    <row r="5801" spans="2:9">
      <c r="B5801" s="1297"/>
      <c r="C5801" s="1297"/>
      <c r="D5801" s="1297" t="s">
        <v>1042</v>
      </c>
      <c r="F5801" s="1399">
        <v>21784.2</v>
      </c>
      <c r="I5801" s="1399">
        <v>21784.2</v>
      </c>
    </row>
    <row r="5802" spans="2:9">
      <c r="B5802" s="1297"/>
      <c r="C5802" s="1297"/>
      <c r="D5802" s="1297" t="s">
        <v>1045</v>
      </c>
      <c r="F5802" s="1399">
        <v>238649.02</v>
      </c>
      <c r="I5802" s="1399">
        <v>238649.02</v>
      </c>
    </row>
    <row r="5803" spans="2:9">
      <c r="B5803" s="1297"/>
      <c r="C5803" s="1297"/>
      <c r="D5803" s="1297" t="s">
        <v>1046</v>
      </c>
      <c r="H5803" s="1399">
        <v>4805190</v>
      </c>
      <c r="I5803" s="1399">
        <v>4805190</v>
      </c>
    </row>
    <row r="5804" spans="2:9">
      <c r="B5804" s="1297"/>
      <c r="C5804" s="1297"/>
      <c r="D5804" s="1297" t="s">
        <v>1047</v>
      </c>
      <c r="H5804" s="1399">
        <v>245615</v>
      </c>
      <c r="I5804" s="1399">
        <v>245615</v>
      </c>
    </row>
    <row r="5805" spans="2:9">
      <c r="B5805" s="1297"/>
      <c r="C5805" s="1297"/>
      <c r="D5805" s="1297" t="s">
        <v>1048</v>
      </c>
      <c r="H5805" s="1399">
        <v>-518508</v>
      </c>
      <c r="I5805" s="1399">
        <v>-518508</v>
      </c>
    </row>
    <row r="5806" spans="2:9">
      <c r="B5806" s="1297"/>
      <c r="C5806" s="1297"/>
      <c r="D5806" s="1297" t="s">
        <v>932</v>
      </c>
      <c r="H5806" s="1399">
        <v>785700</v>
      </c>
      <c r="I5806" s="1399">
        <v>785700</v>
      </c>
    </row>
    <row r="5807" spans="2:9">
      <c r="B5807" s="1297"/>
      <c r="C5807" s="1297"/>
      <c r="D5807" s="1297" t="s">
        <v>955</v>
      </c>
      <c r="H5807" s="1399">
        <v>264878.05</v>
      </c>
      <c r="I5807" s="1399">
        <v>264878.05</v>
      </c>
    </row>
    <row r="5808" spans="2:9">
      <c r="B5808" s="1297"/>
      <c r="C5808" s="1297"/>
      <c r="D5808" s="1297" t="s">
        <v>934</v>
      </c>
      <c r="H5808" s="1399">
        <v>17746</v>
      </c>
      <c r="I5808" s="1399">
        <v>17746</v>
      </c>
    </row>
    <row r="5809" spans="2:9">
      <c r="B5809" s="1297"/>
      <c r="C5809" s="1297"/>
      <c r="D5809" s="1297" t="s">
        <v>1130</v>
      </c>
      <c r="H5809" s="1399">
        <v>375327</v>
      </c>
      <c r="I5809" s="1399">
        <v>375327</v>
      </c>
    </row>
    <row r="5810" spans="2:9">
      <c r="B5810" s="1297"/>
      <c r="C5810" s="1297"/>
      <c r="D5810" s="1297" t="s">
        <v>935</v>
      </c>
      <c r="H5810" s="1399">
        <v>192579.34</v>
      </c>
      <c r="I5810" s="1399">
        <v>192579.34</v>
      </c>
    </row>
    <row r="5811" spans="2:9">
      <c r="B5811" s="1297"/>
      <c r="C5811" s="1297"/>
      <c r="D5811" s="1297" t="s">
        <v>936</v>
      </c>
      <c r="H5811" s="1399">
        <v>20308.73</v>
      </c>
      <c r="I5811" s="1399">
        <v>20308.73</v>
      </c>
    </row>
    <row r="5812" spans="2:9">
      <c r="B5812" s="1297"/>
      <c r="C5812" s="1297"/>
      <c r="D5812" s="1297" t="s">
        <v>938</v>
      </c>
      <c r="H5812" s="1399">
        <v>5240</v>
      </c>
      <c r="I5812" s="1399">
        <v>5240</v>
      </c>
    </row>
    <row r="5813" spans="2:9">
      <c r="B5813" s="1297"/>
      <c r="C5813" s="1297"/>
      <c r="D5813" s="1297" t="s">
        <v>940</v>
      </c>
      <c r="E5813" s="1399">
        <v>314675.96000000002</v>
      </c>
      <c r="I5813" s="1399">
        <v>314675.96000000002</v>
      </c>
    </row>
    <row r="5814" spans="2:9">
      <c r="B5814" s="1297"/>
      <c r="C5814" s="1297"/>
      <c r="D5814" s="1297" t="s">
        <v>941</v>
      </c>
      <c r="E5814" s="1399">
        <v>137923.72</v>
      </c>
      <c r="I5814" s="1399">
        <v>137923.72</v>
      </c>
    </row>
    <row r="5815" spans="2:9">
      <c r="B5815" s="1297"/>
      <c r="C5815" s="1297"/>
      <c r="D5815" s="1297" t="s">
        <v>944</v>
      </c>
      <c r="E5815" s="1399">
        <v>895500.7</v>
      </c>
      <c r="I5815" s="1399">
        <v>895500.7</v>
      </c>
    </row>
    <row r="5816" spans="2:9">
      <c r="B5816" s="1297"/>
      <c r="C5816" s="1297"/>
      <c r="D5816" s="1297" t="s">
        <v>945</v>
      </c>
      <c r="E5816" s="1399">
        <v>492585.72000000003</v>
      </c>
      <c r="I5816" s="1399">
        <v>492585.72000000003</v>
      </c>
    </row>
    <row r="5817" spans="2:9">
      <c r="B5817" s="1297"/>
      <c r="C5817" s="1297"/>
      <c r="D5817" s="1297" t="s">
        <v>947</v>
      </c>
      <c r="E5817" s="1399">
        <v>31753.63</v>
      </c>
      <c r="I5817" s="1399">
        <v>31753.63</v>
      </c>
    </row>
    <row r="5818" spans="2:9">
      <c r="B5818" s="1297"/>
      <c r="C5818" s="1297"/>
      <c r="D5818" s="1297" t="s">
        <v>1116</v>
      </c>
      <c r="G5818" s="1399">
        <v>1500000</v>
      </c>
      <c r="I5818" s="1399">
        <v>1500000</v>
      </c>
    </row>
    <row r="5819" spans="2:9">
      <c r="B5819" s="1297"/>
      <c r="C5819" s="1297"/>
      <c r="D5819" s="1297" t="s">
        <v>948</v>
      </c>
      <c r="G5819" s="1399">
        <v>295669.05000000005</v>
      </c>
      <c r="I5819" s="1399">
        <v>295669.05000000005</v>
      </c>
    </row>
    <row r="5820" spans="2:9">
      <c r="B5820" s="1297"/>
      <c r="C5820" s="1297"/>
      <c r="D5820" s="1297" t="s">
        <v>956</v>
      </c>
      <c r="G5820" s="1399">
        <v>9835</v>
      </c>
      <c r="I5820" s="1399">
        <v>9835</v>
      </c>
    </row>
    <row r="5821" spans="2:9">
      <c r="B5821" s="1297"/>
      <c r="C5821" s="1400" t="s">
        <v>1597</v>
      </c>
      <c r="D5821" s="1400"/>
      <c r="E5821" s="1401">
        <v>1872439.7299999997</v>
      </c>
      <c r="F5821" s="1401">
        <v>2832837.9100000006</v>
      </c>
      <c r="G5821" s="1401">
        <v>1805504.05</v>
      </c>
      <c r="H5821" s="1401">
        <v>6194076.1200000001</v>
      </c>
      <c r="I5821" s="1401">
        <v>12704857.810000004</v>
      </c>
    </row>
    <row r="5822" spans="2:9">
      <c r="B5822" s="1297" t="s">
        <v>1598</v>
      </c>
      <c r="C5822" s="1297" t="s">
        <v>1599</v>
      </c>
      <c r="D5822" s="1297" t="s">
        <v>906</v>
      </c>
      <c r="F5822" s="1399">
        <v>15661082.6</v>
      </c>
      <c r="I5822" s="1399">
        <v>15661082.6</v>
      </c>
    </row>
    <row r="5823" spans="2:9">
      <c r="B5823" s="1297"/>
      <c r="C5823" s="1297"/>
      <c r="D5823" s="1297" t="s">
        <v>952</v>
      </c>
      <c r="F5823" s="1399">
        <v>181456.73</v>
      </c>
      <c r="I5823" s="1399">
        <v>181456.73</v>
      </c>
    </row>
    <row r="5824" spans="2:9">
      <c r="B5824" s="1297"/>
      <c r="C5824" s="1297"/>
      <c r="D5824" s="1297" t="s">
        <v>907</v>
      </c>
      <c r="F5824" s="1399">
        <v>3186507.11</v>
      </c>
      <c r="I5824" s="1399">
        <v>3186507.11</v>
      </c>
    </row>
    <row r="5825" spans="2:9">
      <c r="B5825" s="1297"/>
      <c r="C5825" s="1297"/>
      <c r="D5825" s="1297" t="s">
        <v>909</v>
      </c>
      <c r="F5825" s="1399">
        <v>93510.56</v>
      </c>
      <c r="I5825" s="1399">
        <v>93510.56</v>
      </c>
    </row>
    <row r="5826" spans="2:9">
      <c r="B5826" s="1297"/>
      <c r="C5826" s="1297"/>
      <c r="D5826" s="1297" t="s">
        <v>910</v>
      </c>
      <c r="F5826" s="1399">
        <v>26387</v>
      </c>
      <c r="I5826" s="1399">
        <v>26387</v>
      </c>
    </row>
    <row r="5827" spans="2:9">
      <c r="B5827" s="1297"/>
      <c r="C5827" s="1297"/>
      <c r="D5827" s="1297" t="s">
        <v>1034</v>
      </c>
      <c r="F5827" s="1399">
        <v>63067.86</v>
      </c>
      <c r="I5827" s="1399">
        <v>63067.86</v>
      </c>
    </row>
    <row r="5828" spans="2:9">
      <c r="B5828" s="1297"/>
      <c r="C5828" s="1297"/>
      <c r="D5828" s="1297" t="s">
        <v>1035</v>
      </c>
      <c r="F5828" s="1399">
        <v>796538.11</v>
      </c>
      <c r="I5828" s="1399">
        <v>796538.11</v>
      </c>
    </row>
    <row r="5829" spans="2:9">
      <c r="B5829" s="1297"/>
      <c r="C5829" s="1297"/>
      <c r="D5829" s="1297" t="s">
        <v>1036</v>
      </c>
      <c r="F5829" s="1399">
        <v>164831.42000000001</v>
      </c>
      <c r="I5829" s="1399">
        <v>164831.42000000001</v>
      </c>
    </row>
    <row r="5830" spans="2:9">
      <c r="B5830" s="1297"/>
      <c r="C5830" s="1297"/>
      <c r="D5830" s="1297" t="s">
        <v>1003</v>
      </c>
      <c r="F5830" s="1399">
        <v>4519.01</v>
      </c>
      <c r="I5830" s="1399">
        <v>4519.01</v>
      </c>
    </row>
    <row r="5831" spans="2:9">
      <c r="B5831" s="1297"/>
      <c r="C5831" s="1297"/>
      <c r="D5831" s="1297" t="s">
        <v>1039</v>
      </c>
      <c r="F5831" s="1399">
        <v>49477.549999999996</v>
      </c>
      <c r="I5831" s="1399">
        <v>49477.549999999996</v>
      </c>
    </row>
    <row r="5832" spans="2:9">
      <c r="B5832" s="1297"/>
      <c r="C5832" s="1297"/>
      <c r="D5832" s="1297" t="s">
        <v>1040</v>
      </c>
      <c r="F5832" s="1399">
        <v>407997.95</v>
      </c>
      <c r="I5832" s="1399">
        <v>407997.95</v>
      </c>
    </row>
    <row r="5833" spans="2:9">
      <c r="B5833" s="1297"/>
      <c r="C5833" s="1297"/>
      <c r="D5833" s="1297" t="s">
        <v>1041</v>
      </c>
      <c r="F5833" s="1399">
        <v>171659.61000000002</v>
      </c>
      <c r="I5833" s="1399">
        <v>171659.61000000002</v>
      </c>
    </row>
    <row r="5834" spans="2:9">
      <c r="B5834" s="1297"/>
      <c r="C5834" s="1297"/>
      <c r="D5834" s="1297" t="s">
        <v>1042</v>
      </c>
      <c r="F5834" s="1399">
        <v>80802.69</v>
      </c>
      <c r="I5834" s="1399">
        <v>80802.69</v>
      </c>
    </row>
    <row r="5835" spans="2:9">
      <c r="B5835" s="1297"/>
      <c r="C5835" s="1297"/>
      <c r="D5835" s="1297" t="s">
        <v>1043</v>
      </c>
      <c r="F5835" s="1399">
        <v>37000</v>
      </c>
      <c r="I5835" s="1399">
        <v>37000</v>
      </c>
    </row>
    <row r="5836" spans="2:9">
      <c r="B5836" s="1297"/>
      <c r="C5836" s="1297"/>
      <c r="D5836" s="1297" t="s">
        <v>986</v>
      </c>
      <c r="F5836" s="1399">
        <v>100000</v>
      </c>
      <c r="I5836" s="1399">
        <v>100000</v>
      </c>
    </row>
    <row r="5837" spans="2:9">
      <c r="B5837" s="1297"/>
      <c r="C5837" s="1297"/>
      <c r="D5837" s="1297" t="s">
        <v>990</v>
      </c>
      <c r="F5837" s="1399">
        <v>2157.2399999999998</v>
      </c>
      <c r="I5837" s="1399">
        <v>2157.2399999999998</v>
      </c>
    </row>
    <row r="5838" spans="2:9">
      <c r="B5838" s="1297"/>
      <c r="C5838" s="1297"/>
      <c r="D5838" s="1297" t="s">
        <v>996</v>
      </c>
      <c r="F5838" s="1399">
        <v>24600</v>
      </c>
      <c r="I5838" s="1399">
        <v>24600</v>
      </c>
    </row>
    <row r="5839" spans="2:9">
      <c r="B5839" s="1297"/>
      <c r="C5839" s="1297"/>
      <c r="D5839" s="1297" t="s">
        <v>1045</v>
      </c>
      <c r="F5839" s="1399">
        <v>281384.56</v>
      </c>
      <c r="I5839" s="1399">
        <v>281384.56</v>
      </c>
    </row>
    <row r="5840" spans="2:9">
      <c r="B5840" s="1297"/>
      <c r="C5840" s="1297"/>
      <c r="D5840" s="1297" t="s">
        <v>1046</v>
      </c>
      <c r="H5840" s="1399">
        <v>20983932</v>
      </c>
      <c r="I5840" s="1399">
        <v>20983932</v>
      </c>
    </row>
    <row r="5841" spans="2:9">
      <c r="B5841" s="1297"/>
      <c r="C5841" s="1297"/>
      <c r="D5841" s="1297" t="s">
        <v>1128</v>
      </c>
      <c r="H5841" s="1399">
        <v>1743472</v>
      </c>
      <c r="I5841" s="1399">
        <v>1743472</v>
      </c>
    </row>
    <row r="5842" spans="2:9">
      <c r="B5842" s="1297"/>
      <c r="C5842" s="1297"/>
      <c r="D5842" s="1297" t="s">
        <v>1129</v>
      </c>
      <c r="H5842" s="1399">
        <v>-2592843</v>
      </c>
      <c r="I5842" s="1399">
        <v>-2592843</v>
      </c>
    </row>
    <row r="5843" spans="2:9">
      <c r="B5843" s="1297"/>
      <c r="C5843" s="1297"/>
      <c r="D5843" s="1297" t="s">
        <v>1047</v>
      </c>
      <c r="H5843" s="1399">
        <v>594554</v>
      </c>
      <c r="I5843" s="1399">
        <v>594554</v>
      </c>
    </row>
    <row r="5844" spans="2:9">
      <c r="B5844" s="1297"/>
      <c r="C5844" s="1297"/>
      <c r="D5844" s="1297" t="s">
        <v>1048</v>
      </c>
      <c r="H5844" s="1399">
        <v>-4571980</v>
      </c>
      <c r="I5844" s="1399">
        <v>-4571980</v>
      </c>
    </row>
    <row r="5845" spans="2:9">
      <c r="B5845" s="1297"/>
      <c r="C5845" s="1297"/>
      <c r="D5845" s="1297" t="s">
        <v>934</v>
      </c>
      <c r="H5845" s="1399">
        <v>64800</v>
      </c>
      <c r="I5845" s="1399">
        <v>64800</v>
      </c>
    </row>
    <row r="5846" spans="2:9">
      <c r="B5846" s="1297"/>
      <c r="C5846" s="1297"/>
      <c r="D5846" s="1297" t="s">
        <v>1130</v>
      </c>
      <c r="H5846" s="1399">
        <v>3093723.43</v>
      </c>
      <c r="I5846" s="1399">
        <v>3093723.43</v>
      </c>
    </row>
    <row r="5847" spans="2:9">
      <c r="B5847" s="1297"/>
      <c r="C5847" s="1297"/>
      <c r="D5847" s="1297" t="s">
        <v>935</v>
      </c>
      <c r="H5847" s="1399">
        <v>460923.5</v>
      </c>
      <c r="I5847" s="1399">
        <v>460923.5</v>
      </c>
    </row>
    <row r="5848" spans="2:9">
      <c r="B5848" s="1297"/>
      <c r="C5848" s="1297"/>
      <c r="D5848" s="1297" t="s">
        <v>936</v>
      </c>
      <c r="H5848" s="1399">
        <v>82985.679999999993</v>
      </c>
      <c r="I5848" s="1399">
        <v>82985.679999999993</v>
      </c>
    </row>
    <row r="5849" spans="2:9">
      <c r="B5849" s="1297"/>
      <c r="C5849" s="1297"/>
      <c r="D5849" s="1297" t="s">
        <v>937</v>
      </c>
      <c r="H5849" s="1399">
        <v>26805.01</v>
      </c>
      <c r="I5849" s="1399">
        <v>26805.01</v>
      </c>
    </row>
    <row r="5850" spans="2:9">
      <c r="B5850" s="1297"/>
      <c r="C5850" s="1297"/>
      <c r="D5850" s="1297" t="s">
        <v>938</v>
      </c>
      <c r="H5850" s="1399">
        <v>18154</v>
      </c>
      <c r="I5850" s="1399">
        <v>18154</v>
      </c>
    </row>
    <row r="5851" spans="2:9">
      <c r="B5851" s="1297"/>
      <c r="C5851" s="1297"/>
      <c r="D5851" s="1297" t="s">
        <v>939</v>
      </c>
      <c r="H5851" s="1399">
        <v>298977.93</v>
      </c>
      <c r="I5851" s="1399">
        <v>298977.93</v>
      </c>
    </row>
    <row r="5852" spans="2:9">
      <c r="B5852" s="1297"/>
      <c r="C5852" s="1297"/>
      <c r="D5852" s="1297" t="s">
        <v>940</v>
      </c>
      <c r="E5852" s="1399">
        <v>940829.13</v>
      </c>
      <c r="I5852" s="1399">
        <v>940829.13</v>
      </c>
    </row>
    <row r="5853" spans="2:9">
      <c r="B5853" s="1297"/>
      <c r="C5853" s="1297"/>
      <c r="D5853" s="1297" t="s">
        <v>941</v>
      </c>
      <c r="E5853" s="1399">
        <v>295953.08</v>
      </c>
      <c r="I5853" s="1399">
        <v>295953.08</v>
      </c>
    </row>
    <row r="5854" spans="2:9">
      <c r="B5854" s="1297"/>
      <c r="C5854" s="1297"/>
      <c r="D5854" s="1297" t="s">
        <v>944</v>
      </c>
      <c r="E5854" s="1399">
        <v>2583769.54</v>
      </c>
      <c r="I5854" s="1399">
        <v>2583769.54</v>
      </c>
    </row>
    <row r="5855" spans="2:9">
      <c r="B5855" s="1297"/>
      <c r="C5855" s="1297"/>
      <c r="D5855" s="1297" t="s">
        <v>945</v>
      </c>
      <c r="E5855" s="1399">
        <v>1705059.06</v>
      </c>
      <c r="I5855" s="1399">
        <v>1705059.06</v>
      </c>
    </row>
    <row r="5856" spans="2:9">
      <c r="B5856" s="1297"/>
      <c r="C5856" s="1297"/>
      <c r="D5856" s="1297" t="s">
        <v>946</v>
      </c>
      <c r="E5856" s="1399">
        <v>38198.75</v>
      </c>
      <c r="I5856" s="1399">
        <v>38198.75</v>
      </c>
    </row>
    <row r="5857" spans="2:9">
      <c r="B5857" s="1297"/>
      <c r="C5857" s="1297"/>
      <c r="D5857" s="1297" t="s">
        <v>947</v>
      </c>
      <c r="E5857" s="1399">
        <v>102053.82999999999</v>
      </c>
      <c r="I5857" s="1399">
        <v>102053.82999999999</v>
      </c>
    </row>
    <row r="5858" spans="2:9">
      <c r="B5858" s="1297"/>
      <c r="C5858" s="1297"/>
      <c r="D5858" s="1297" t="s">
        <v>1115</v>
      </c>
      <c r="E5858" s="1399">
        <v>42241.41</v>
      </c>
      <c r="I5858" s="1399">
        <v>42241.41</v>
      </c>
    </row>
    <row r="5859" spans="2:9">
      <c r="B5859" s="1297"/>
      <c r="C5859" s="1297"/>
      <c r="D5859" s="1297" t="s">
        <v>948</v>
      </c>
      <c r="G5859" s="1399">
        <v>7524043.879999998</v>
      </c>
      <c r="I5859" s="1399">
        <v>7524043.879999998</v>
      </c>
    </row>
    <row r="5860" spans="2:9">
      <c r="B5860" s="1297"/>
      <c r="C5860" s="1297"/>
      <c r="D5860" s="1297" t="s">
        <v>956</v>
      </c>
      <c r="G5860" s="1399">
        <v>-100919.54</v>
      </c>
      <c r="I5860" s="1399">
        <v>-100919.54</v>
      </c>
    </row>
    <row r="5861" spans="2:9">
      <c r="B5861" s="1297"/>
      <c r="C5861" s="1297"/>
      <c r="D5861" s="1297" t="s">
        <v>1118</v>
      </c>
      <c r="G5861" s="1399">
        <v>113116</v>
      </c>
      <c r="I5861" s="1399">
        <v>113116</v>
      </c>
    </row>
    <row r="5862" spans="2:9">
      <c r="B5862" s="1297"/>
      <c r="C5862" s="1400" t="s">
        <v>1600</v>
      </c>
      <c r="D5862" s="1400"/>
      <c r="E5862" s="1401">
        <v>5708104.8000000007</v>
      </c>
      <c r="F5862" s="1401">
        <v>21332980</v>
      </c>
      <c r="G5862" s="1401">
        <v>7536240.339999998</v>
      </c>
      <c r="H5862" s="1401">
        <v>20203504.550000001</v>
      </c>
      <c r="I5862" s="1401">
        <v>54780829.68999999</v>
      </c>
    </row>
    <row r="5863" spans="2:9">
      <c r="B5863" s="1297" t="s">
        <v>1601</v>
      </c>
      <c r="C5863" s="1297" t="s">
        <v>1602</v>
      </c>
      <c r="D5863" s="1297" t="s">
        <v>906</v>
      </c>
      <c r="F5863" s="1399">
        <v>24205561.050000001</v>
      </c>
      <c r="I5863" s="1399">
        <v>24205561.050000001</v>
      </c>
    </row>
    <row r="5864" spans="2:9">
      <c r="B5864" s="1297"/>
      <c r="C5864" s="1297"/>
      <c r="D5864" s="1297" t="s">
        <v>952</v>
      </c>
      <c r="F5864" s="1399">
        <v>341490.76</v>
      </c>
      <c r="I5864" s="1399">
        <v>341490.76</v>
      </c>
    </row>
    <row r="5865" spans="2:9">
      <c r="B5865" s="1297"/>
      <c r="C5865" s="1297"/>
      <c r="D5865" s="1297" t="s">
        <v>907</v>
      </c>
      <c r="F5865" s="1399">
        <v>12520569.23</v>
      </c>
      <c r="I5865" s="1399">
        <v>12520569.23</v>
      </c>
    </row>
    <row r="5866" spans="2:9">
      <c r="B5866" s="1297"/>
      <c r="C5866" s="1297"/>
      <c r="D5866" s="1297" t="s">
        <v>908</v>
      </c>
      <c r="F5866" s="1399">
        <v>909609.8</v>
      </c>
      <c r="I5866" s="1399">
        <v>909609.8</v>
      </c>
    </row>
    <row r="5867" spans="2:9">
      <c r="B5867" s="1297"/>
      <c r="C5867" s="1297"/>
      <c r="D5867" s="1297" t="s">
        <v>909</v>
      </c>
      <c r="F5867" s="1399">
        <v>92084.500000000015</v>
      </c>
      <c r="I5867" s="1399">
        <v>92084.500000000015</v>
      </c>
    </row>
    <row r="5868" spans="2:9">
      <c r="B5868" s="1297"/>
      <c r="C5868" s="1297"/>
      <c r="D5868" s="1297" t="s">
        <v>910</v>
      </c>
      <c r="F5868" s="1399">
        <v>951560.15</v>
      </c>
      <c r="I5868" s="1399">
        <v>951560.15</v>
      </c>
    </row>
    <row r="5869" spans="2:9">
      <c r="B5869" s="1297"/>
      <c r="C5869" s="1297"/>
      <c r="D5869" s="1297" t="s">
        <v>1034</v>
      </c>
      <c r="F5869" s="1399">
        <v>227124.18999999997</v>
      </c>
      <c r="I5869" s="1399">
        <v>227124.18999999997</v>
      </c>
    </row>
    <row r="5870" spans="2:9">
      <c r="B5870" s="1297"/>
      <c r="C5870" s="1297"/>
      <c r="D5870" s="1297" t="s">
        <v>1035</v>
      </c>
      <c r="F5870" s="1399">
        <v>1060655.56</v>
      </c>
      <c r="I5870" s="1399">
        <v>1060655.56</v>
      </c>
    </row>
    <row r="5871" spans="2:9">
      <c r="B5871" s="1297"/>
      <c r="C5871" s="1297"/>
      <c r="D5871" s="1297" t="s">
        <v>1036</v>
      </c>
      <c r="F5871" s="1399">
        <v>250772.81</v>
      </c>
      <c r="I5871" s="1399">
        <v>250772.81</v>
      </c>
    </row>
    <row r="5872" spans="2:9">
      <c r="B5872" s="1297"/>
      <c r="C5872" s="1297"/>
      <c r="D5872" s="1297" t="s">
        <v>1037</v>
      </c>
      <c r="F5872" s="1399">
        <v>16109</v>
      </c>
      <c r="I5872" s="1399">
        <v>16109</v>
      </c>
    </row>
    <row r="5873" spans="2:9">
      <c r="B5873" s="1297"/>
      <c r="C5873" s="1297"/>
      <c r="D5873" s="1297" t="s">
        <v>1038</v>
      </c>
      <c r="F5873" s="1399">
        <v>9430</v>
      </c>
      <c r="I5873" s="1399">
        <v>9430</v>
      </c>
    </row>
    <row r="5874" spans="2:9">
      <c r="B5874" s="1297"/>
      <c r="C5874" s="1297"/>
      <c r="D5874" s="1297" t="s">
        <v>1039</v>
      </c>
      <c r="F5874" s="1399">
        <v>288771.52</v>
      </c>
      <c r="I5874" s="1399">
        <v>288771.52</v>
      </c>
    </row>
    <row r="5875" spans="2:9">
      <c r="B5875" s="1297"/>
      <c r="C5875" s="1297"/>
      <c r="D5875" s="1297" t="s">
        <v>1040</v>
      </c>
      <c r="F5875" s="1399">
        <v>1148635.25</v>
      </c>
      <c r="I5875" s="1399">
        <v>1148635.25</v>
      </c>
    </row>
    <row r="5876" spans="2:9">
      <c r="B5876" s="1297"/>
      <c r="C5876" s="1297"/>
      <c r="D5876" s="1297" t="s">
        <v>1041</v>
      </c>
      <c r="F5876" s="1399">
        <v>46147.490000000013</v>
      </c>
      <c r="I5876" s="1399">
        <v>46147.490000000013</v>
      </c>
    </row>
    <row r="5877" spans="2:9">
      <c r="B5877" s="1297"/>
      <c r="C5877" s="1297"/>
      <c r="D5877" s="1297" t="s">
        <v>1042</v>
      </c>
      <c r="F5877" s="1399">
        <v>217574.63</v>
      </c>
      <c r="I5877" s="1399">
        <v>217574.63</v>
      </c>
    </row>
    <row r="5878" spans="2:9">
      <c r="B5878" s="1297"/>
      <c r="C5878" s="1297"/>
      <c r="D5878" s="1297" t="s">
        <v>953</v>
      </c>
      <c r="F5878" s="1399">
        <v>13920.15</v>
      </c>
      <c r="I5878" s="1399">
        <v>13920.15</v>
      </c>
    </row>
    <row r="5879" spans="2:9">
      <c r="B5879" s="1297"/>
      <c r="C5879" s="1297"/>
      <c r="D5879" s="1297" t="s">
        <v>1043</v>
      </c>
      <c r="F5879" s="1399">
        <v>20562.650000000001</v>
      </c>
      <c r="I5879" s="1399">
        <v>20562.650000000001</v>
      </c>
    </row>
    <row r="5880" spans="2:9">
      <c r="B5880" s="1297"/>
      <c r="C5880" s="1297"/>
      <c r="D5880" s="1297" t="s">
        <v>1044</v>
      </c>
      <c r="F5880" s="1399">
        <v>189162</v>
      </c>
      <c r="I5880" s="1399">
        <v>189162</v>
      </c>
    </row>
    <row r="5881" spans="2:9">
      <c r="B5881" s="1297"/>
      <c r="C5881" s="1297"/>
      <c r="D5881" s="1297" t="s">
        <v>1045</v>
      </c>
      <c r="F5881" s="1399">
        <v>2221765.8500000006</v>
      </c>
      <c r="I5881" s="1399">
        <v>2221765.8500000006</v>
      </c>
    </row>
    <row r="5882" spans="2:9">
      <c r="B5882" s="1297"/>
      <c r="C5882" s="1297"/>
      <c r="D5882" s="1297" t="s">
        <v>1046</v>
      </c>
      <c r="H5882" s="1399">
        <v>70001591</v>
      </c>
      <c r="I5882" s="1399">
        <v>70001591</v>
      </c>
    </row>
    <row r="5883" spans="2:9">
      <c r="B5883" s="1297"/>
      <c r="C5883" s="1297"/>
      <c r="D5883" s="1297" t="s">
        <v>1128</v>
      </c>
      <c r="H5883" s="1399">
        <v>5714565</v>
      </c>
      <c r="I5883" s="1399">
        <v>5714565</v>
      </c>
    </row>
    <row r="5884" spans="2:9">
      <c r="B5884" s="1297"/>
      <c r="C5884" s="1297"/>
      <c r="D5884" s="1297" t="s">
        <v>1129</v>
      </c>
      <c r="H5884" s="1399">
        <v>-10094973</v>
      </c>
      <c r="I5884" s="1399">
        <v>-10094973</v>
      </c>
    </row>
    <row r="5885" spans="2:9">
      <c r="B5885" s="1297"/>
      <c r="C5885" s="1297"/>
      <c r="D5885" s="1297" t="s">
        <v>1047</v>
      </c>
      <c r="H5885" s="1399">
        <v>1447908</v>
      </c>
      <c r="I5885" s="1399">
        <v>1447908</v>
      </c>
    </row>
    <row r="5886" spans="2:9">
      <c r="B5886" s="1297"/>
      <c r="C5886" s="1297"/>
      <c r="D5886" s="1297" t="s">
        <v>1048</v>
      </c>
      <c r="H5886" s="1399">
        <v>-8693582</v>
      </c>
      <c r="I5886" s="1399">
        <v>-8693582</v>
      </c>
    </row>
    <row r="5887" spans="2:9">
      <c r="B5887" s="1297"/>
      <c r="C5887" s="1297"/>
      <c r="D5887" s="1297" t="s">
        <v>932</v>
      </c>
      <c r="H5887" s="1399">
        <v>7440441</v>
      </c>
      <c r="I5887" s="1399">
        <v>7440441</v>
      </c>
    </row>
    <row r="5888" spans="2:9">
      <c r="B5888" s="1297"/>
      <c r="C5888" s="1297"/>
      <c r="D5888" s="1297" t="s">
        <v>955</v>
      </c>
      <c r="H5888" s="1399">
        <v>1051586</v>
      </c>
      <c r="I5888" s="1399">
        <v>1051586</v>
      </c>
    </row>
    <row r="5889" spans="2:9">
      <c r="B5889" s="1297"/>
      <c r="C5889" s="1297"/>
      <c r="D5889" s="1297" t="s">
        <v>934</v>
      </c>
      <c r="H5889" s="1399">
        <v>223730</v>
      </c>
      <c r="I5889" s="1399">
        <v>223730</v>
      </c>
    </row>
    <row r="5890" spans="2:9">
      <c r="B5890" s="1297"/>
      <c r="C5890" s="1297"/>
      <c r="D5890" s="1297" t="s">
        <v>1130</v>
      </c>
      <c r="H5890" s="1399">
        <v>-883669.67</v>
      </c>
      <c r="I5890" s="1399">
        <v>-883669.67</v>
      </c>
    </row>
    <row r="5891" spans="2:9">
      <c r="B5891" s="1297"/>
      <c r="C5891" s="1297"/>
      <c r="D5891" s="1297" t="s">
        <v>935</v>
      </c>
      <c r="H5891" s="1399">
        <v>914084.66999999993</v>
      </c>
      <c r="I5891" s="1399">
        <v>914084.66999999993</v>
      </c>
    </row>
    <row r="5892" spans="2:9">
      <c r="B5892" s="1297"/>
      <c r="C5892" s="1297"/>
      <c r="D5892" s="1297" t="s">
        <v>1131</v>
      </c>
      <c r="E5892" s="1399">
        <v>9436.08</v>
      </c>
      <c r="I5892" s="1399">
        <v>9436.08</v>
      </c>
    </row>
    <row r="5893" spans="2:9">
      <c r="B5893" s="1297"/>
      <c r="C5893" s="1297"/>
      <c r="D5893" s="1297" t="s">
        <v>940</v>
      </c>
      <c r="E5893" s="1399">
        <v>4249573.5599999996</v>
      </c>
      <c r="I5893" s="1399">
        <v>4249573.5599999996</v>
      </c>
    </row>
    <row r="5894" spans="2:9">
      <c r="B5894" s="1297"/>
      <c r="C5894" s="1297"/>
      <c r="D5894" s="1297" t="s">
        <v>941</v>
      </c>
      <c r="E5894" s="1399">
        <v>1567550.8600000003</v>
      </c>
      <c r="I5894" s="1399">
        <v>1567550.8600000003</v>
      </c>
    </row>
    <row r="5895" spans="2:9">
      <c r="B5895" s="1297"/>
      <c r="C5895" s="1297"/>
      <c r="D5895" s="1297" t="s">
        <v>943</v>
      </c>
      <c r="E5895" s="1399">
        <v>67768.460000000006</v>
      </c>
      <c r="I5895" s="1399">
        <v>67768.460000000006</v>
      </c>
    </row>
    <row r="5896" spans="2:9">
      <c r="B5896" s="1297"/>
      <c r="C5896" s="1297"/>
      <c r="D5896" s="1297" t="s">
        <v>944</v>
      </c>
      <c r="E5896" s="1399">
        <v>5901565.8399999999</v>
      </c>
      <c r="I5896" s="1399">
        <v>5901565.8399999999</v>
      </c>
    </row>
    <row r="5897" spans="2:9">
      <c r="B5897" s="1297"/>
      <c r="C5897" s="1297"/>
      <c r="D5897" s="1297" t="s">
        <v>945</v>
      </c>
      <c r="E5897" s="1399">
        <v>3861901</v>
      </c>
      <c r="I5897" s="1399">
        <v>3861901</v>
      </c>
    </row>
    <row r="5898" spans="2:9">
      <c r="B5898" s="1297"/>
      <c r="C5898" s="1297"/>
      <c r="D5898" s="1297" t="s">
        <v>946</v>
      </c>
      <c r="E5898" s="1399">
        <v>159597.45000000001</v>
      </c>
      <c r="I5898" s="1399">
        <v>159597.45000000001</v>
      </c>
    </row>
    <row r="5899" spans="2:9">
      <c r="B5899" s="1297"/>
      <c r="C5899" s="1297"/>
      <c r="D5899" s="1297" t="s">
        <v>947</v>
      </c>
      <c r="E5899" s="1399">
        <v>392106.05</v>
      </c>
      <c r="I5899" s="1399">
        <v>392106.05</v>
      </c>
    </row>
    <row r="5900" spans="2:9">
      <c r="B5900" s="1297"/>
      <c r="C5900" s="1297"/>
      <c r="D5900" s="1297" t="s">
        <v>948</v>
      </c>
      <c r="G5900" s="1399">
        <v>14416613.370000001</v>
      </c>
      <c r="I5900" s="1399">
        <v>14416613.370000001</v>
      </c>
    </row>
    <row r="5901" spans="2:9">
      <c r="B5901" s="1297"/>
      <c r="C5901" s="1400" t="s">
        <v>1603</v>
      </c>
      <c r="D5901" s="1400"/>
      <c r="E5901" s="1401">
        <v>16209499.300000001</v>
      </c>
      <c r="F5901" s="1401">
        <v>44731506.590000011</v>
      </c>
      <c r="G5901" s="1401">
        <v>14416613.370000001</v>
      </c>
      <c r="H5901" s="1401">
        <v>67121681</v>
      </c>
      <c r="I5901" s="1401">
        <v>142479300.25999999</v>
      </c>
    </row>
    <row r="5902" spans="2:9">
      <c r="B5902" s="1297" t="s">
        <v>1604</v>
      </c>
      <c r="C5902" s="1297" t="s">
        <v>1605</v>
      </c>
      <c r="D5902" s="1297" t="s">
        <v>906</v>
      </c>
      <c r="F5902" s="1399">
        <v>2093864.65</v>
      </c>
      <c r="I5902" s="1399">
        <v>2093864.65</v>
      </c>
    </row>
    <row r="5903" spans="2:9">
      <c r="B5903" s="1297"/>
      <c r="C5903" s="1297"/>
      <c r="D5903" s="1297" t="s">
        <v>952</v>
      </c>
      <c r="F5903" s="1399">
        <v>4319.26</v>
      </c>
      <c r="I5903" s="1399">
        <v>4319.26</v>
      </c>
    </row>
    <row r="5904" spans="2:9">
      <c r="B5904" s="1297"/>
      <c r="C5904" s="1297"/>
      <c r="D5904" s="1297" t="s">
        <v>907</v>
      </c>
      <c r="F5904" s="1399">
        <v>455396.58</v>
      </c>
      <c r="I5904" s="1399">
        <v>455396.58</v>
      </c>
    </row>
    <row r="5905" spans="2:9">
      <c r="B5905" s="1297"/>
      <c r="C5905" s="1297"/>
      <c r="D5905" s="1297" t="s">
        <v>908</v>
      </c>
      <c r="F5905" s="1399">
        <v>14408.31</v>
      </c>
      <c r="I5905" s="1399">
        <v>14408.31</v>
      </c>
    </row>
    <row r="5906" spans="2:9">
      <c r="B5906" s="1297"/>
      <c r="C5906" s="1297"/>
      <c r="D5906" s="1297" t="s">
        <v>910</v>
      </c>
      <c r="F5906" s="1399">
        <v>59696.03</v>
      </c>
      <c r="I5906" s="1399">
        <v>59696.03</v>
      </c>
    </row>
    <row r="5907" spans="2:9">
      <c r="B5907" s="1297"/>
      <c r="C5907" s="1297"/>
      <c r="D5907" s="1297" t="s">
        <v>1034</v>
      </c>
      <c r="F5907" s="1399">
        <v>700</v>
      </c>
      <c r="I5907" s="1399">
        <v>700</v>
      </c>
    </row>
    <row r="5908" spans="2:9">
      <c r="B5908" s="1297"/>
      <c r="C5908" s="1297"/>
      <c r="D5908" s="1297" t="s">
        <v>1039</v>
      </c>
      <c r="F5908" s="1399">
        <v>13360.980000000001</v>
      </c>
      <c r="I5908" s="1399">
        <v>13360.980000000001</v>
      </c>
    </row>
    <row r="5909" spans="2:9">
      <c r="B5909" s="1297"/>
      <c r="C5909" s="1297"/>
      <c r="D5909" s="1297" t="s">
        <v>1040</v>
      </c>
      <c r="F5909" s="1399">
        <v>42783.360000000001</v>
      </c>
      <c r="I5909" s="1399">
        <v>42783.360000000001</v>
      </c>
    </row>
    <row r="5910" spans="2:9">
      <c r="B5910" s="1297"/>
      <c r="C5910" s="1297"/>
      <c r="D5910" s="1297" t="s">
        <v>1127</v>
      </c>
      <c r="F5910" s="1399">
        <v>7409.56</v>
      </c>
      <c r="I5910" s="1399">
        <v>7409.56</v>
      </c>
    </row>
    <row r="5911" spans="2:9">
      <c r="B5911" s="1297"/>
      <c r="C5911" s="1297"/>
      <c r="D5911" s="1297" t="s">
        <v>1041</v>
      </c>
      <c r="F5911" s="1399">
        <v>91.5</v>
      </c>
      <c r="I5911" s="1399">
        <v>91.5</v>
      </c>
    </row>
    <row r="5912" spans="2:9">
      <c r="B5912" s="1297"/>
      <c r="C5912" s="1297"/>
      <c r="D5912" s="1297" t="s">
        <v>1042</v>
      </c>
      <c r="F5912" s="1399">
        <v>11203.03</v>
      </c>
      <c r="I5912" s="1399">
        <v>11203.03</v>
      </c>
    </row>
    <row r="5913" spans="2:9">
      <c r="B5913" s="1297"/>
      <c r="C5913" s="1297"/>
      <c r="D5913" s="1297" t="s">
        <v>986</v>
      </c>
      <c r="F5913" s="1399">
        <v>365404.74</v>
      </c>
      <c r="I5913" s="1399">
        <v>365404.74</v>
      </c>
    </row>
    <row r="5914" spans="2:9">
      <c r="B5914" s="1297"/>
      <c r="C5914" s="1297"/>
      <c r="D5914" s="1297" t="s">
        <v>1045</v>
      </c>
      <c r="F5914" s="1399">
        <v>158245.06999999998</v>
      </c>
      <c r="I5914" s="1399">
        <v>158245.06999999998</v>
      </c>
    </row>
    <row r="5915" spans="2:9">
      <c r="B5915" s="1297"/>
      <c r="C5915" s="1297"/>
      <c r="D5915" s="1297" t="s">
        <v>1046</v>
      </c>
      <c r="H5915" s="1399">
        <v>6356886.9999999981</v>
      </c>
      <c r="I5915" s="1399">
        <v>6356886.9999999981</v>
      </c>
    </row>
    <row r="5916" spans="2:9">
      <c r="B5916" s="1297"/>
      <c r="C5916" s="1297"/>
      <c r="D5916" s="1297" t="s">
        <v>1047</v>
      </c>
      <c r="H5916" s="1399">
        <v>386616.99999999994</v>
      </c>
      <c r="I5916" s="1399">
        <v>386616.99999999994</v>
      </c>
    </row>
    <row r="5917" spans="2:9">
      <c r="B5917" s="1297"/>
      <c r="C5917" s="1297"/>
      <c r="D5917" s="1297" t="s">
        <v>1048</v>
      </c>
      <c r="H5917" s="1399">
        <v>-638132</v>
      </c>
      <c r="I5917" s="1399">
        <v>-638132</v>
      </c>
    </row>
    <row r="5918" spans="2:9">
      <c r="B5918" s="1297"/>
      <c r="C5918" s="1297"/>
      <c r="D5918" s="1297" t="s">
        <v>932</v>
      </c>
      <c r="H5918" s="1399">
        <v>885209</v>
      </c>
      <c r="I5918" s="1399">
        <v>885209</v>
      </c>
    </row>
    <row r="5919" spans="2:9">
      <c r="B5919" s="1297"/>
      <c r="C5919" s="1297"/>
      <c r="D5919" s="1297" t="s">
        <v>955</v>
      </c>
      <c r="H5919" s="1399">
        <v>392332.7</v>
      </c>
      <c r="I5919" s="1399">
        <v>392332.7</v>
      </c>
    </row>
    <row r="5920" spans="2:9">
      <c r="B5920" s="1297"/>
      <c r="C5920" s="1297"/>
      <c r="D5920" s="1297" t="s">
        <v>934</v>
      </c>
      <c r="H5920" s="1399">
        <v>20281.95</v>
      </c>
      <c r="I5920" s="1399">
        <v>20281.95</v>
      </c>
    </row>
    <row r="5921" spans="2:9">
      <c r="B5921" s="1297"/>
      <c r="C5921" s="1297"/>
      <c r="D5921" s="1297" t="s">
        <v>1130</v>
      </c>
      <c r="H5921" s="1399">
        <v>-103953</v>
      </c>
      <c r="I5921" s="1399">
        <v>-103953</v>
      </c>
    </row>
    <row r="5922" spans="2:9">
      <c r="B5922" s="1297"/>
      <c r="C5922" s="1297"/>
      <c r="D5922" s="1297" t="s">
        <v>935</v>
      </c>
      <c r="H5922" s="1399">
        <v>208504</v>
      </c>
      <c r="I5922" s="1399">
        <v>208504</v>
      </c>
    </row>
    <row r="5923" spans="2:9">
      <c r="B5923" s="1297"/>
      <c r="C5923" s="1297"/>
      <c r="D5923" s="1297" t="s">
        <v>936</v>
      </c>
      <c r="H5923" s="1399">
        <v>21709.33</v>
      </c>
      <c r="I5923" s="1399">
        <v>21709.33</v>
      </c>
    </row>
    <row r="5924" spans="2:9">
      <c r="B5924" s="1297"/>
      <c r="C5924" s="1297"/>
      <c r="D5924" s="1297" t="s">
        <v>938</v>
      </c>
      <c r="H5924" s="1399">
        <v>7486</v>
      </c>
      <c r="I5924" s="1399">
        <v>7486</v>
      </c>
    </row>
    <row r="5925" spans="2:9">
      <c r="B5925" s="1297"/>
      <c r="C5925" s="1297"/>
      <c r="D5925" s="1297" t="s">
        <v>939</v>
      </c>
      <c r="H5925" s="1399">
        <v>42250</v>
      </c>
      <c r="I5925" s="1399">
        <v>42250</v>
      </c>
    </row>
    <row r="5926" spans="2:9">
      <c r="B5926" s="1297"/>
      <c r="C5926" s="1297"/>
      <c r="D5926" s="1297" t="s">
        <v>1131</v>
      </c>
      <c r="E5926" s="1399">
        <v>28407.71</v>
      </c>
      <c r="I5926" s="1399">
        <v>28407.71</v>
      </c>
    </row>
    <row r="5927" spans="2:9">
      <c r="B5927" s="1297"/>
      <c r="C5927" s="1297"/>
      <c r="D5927" s="1297" t="s">
        <v>940</v>
      </c>
      <c r="E5927" s="1399">
        <v>339211.59</v>
      </c>
      <c r="I5927" s="1399">
        <v>339211.59</v>
      </c>
    </row>
    <row r="5928" spans="2:9">
      <c r="B5928" s="1297"/>
      <c r="C5928" s="1297"/>
      <c r="D5928" s="1297" t="s">
        <v>941</v>
      </c>
      <c r="E5928" s="1399">
        <v>147055.04000000001</v>
      </c>
      <c r="I5928" s="1399">
        <v>147055.04000000001</v>
      </c>
    </row>
    <row r="5929" spans="2:9">
      <c r="B5929" s="1297"/>
      <c r="C5929" s="1297"/>
      <c r="D5929" s="1297" t="s">
        <v>943</v>
      </c>
      <c r="E5929" s="1399">
        <v>6995.96</v>
      </c>
      <c r="I5929" s="1399">
        <v>6995.96</v>
      </c>
    </row>
    <row r="5930" spans="2:9">
      <c r="B5930" s="1297"/>
      <c r="C5930" s="1297"/>
      <c r="D5930" s="1297" t="s">
        <v>944</v>
      </c>
      <c r="E5930" s="1399">
        <v>1013766.43</v>
      </c>
      <c r="I5930" s="1399">
        <v>1013766.43</v>
      </c>
    </row>
    <row r="5931" spans="2:9">
      <c r="B5931" s="1297"/>
      <c r="C5931" s="1297"/>
      <c r="D5931" s="1297" t="s">
        <v>945</v>
      </c>
      <c r="E5931" s="1399">
        <v>617225.31000000006</v>
      </c>
      <c r="I5931" s="1399">
        <v>617225.31000000006</v>
      </c>
    </row>
    <row r="5932" spans="2:9">
      <c r="B5932" s="1297"/>
      <c r="C5932" s="1297"/>
      <c r="D5932" s="1297" t="s">
        <v>947</v>
      </c>
      <c r="E5932" s="1399">
        <v>8348.35</v>
      </c>
      <c r="I5932" s="1399">
        <v>8348.35</v>
      </c>
    </row>
    <row r="5933" spans="2:9">
      <c r="B5933" s="1297"/>
      <c r="C5933" s="1297"/>
      <c r="D5933" s="1297" t="s">
        <v>948</v>
      </c>
      <c r="G5933" s="1399">
        <v>5336.75</v>
      </c>
      <c r="I5933" s="1399">
        <v>5336.75</v>
      </c>
    </row>
    <row r="5934" spans="2:9">
      <c r="B5934" s="1297"/>
      <c r="C5934" s="1297"/>
      <c r="D5934" s="1297" t="s">
        <v>1118</v>
      </c>
      <c r="G5934" s="1399">
        <v>-516.23</v>
      </c>
      <c r="I5934" s="1399">
        <v>-516.23</v>
      </c>
    </row>
    <row r="5935" spans="2:9">
      <c r="B5935" s="1297"/>
      <c r="C5935" s="1400" t="s">
        <v>1606</v>
      </c>
      <c r="D5935" s="1400"/>
      <c r="E5935" s="1401">
        <v>2161010.39</v>
      </c>
      <c r="F5935" s="1401">
        <v>3226883.0699999989</v>
      </c>
      <c r="G5935" s="1401">
        <v>4820.5200000000004</v>
      </c>
      <c r="H5935" s="1401">
        <v>7579191.9799999986</v>
      </c>
      <c r="I5935" s="1401">
        <v>12971905.959999995</v>
      </c>
    </row>
    <row r="5936" spans="2:9">
      <c r="B5936" s="1297" t="s">
        <v>1607</v>
      </c>
      <c r="C5936" s="1297" t="s">
        <v>1608</v>
      </c>
      <c r="D5936" s="1297" t="s">
        <v>906</v>
      </c>
      <c r="F5936" s="1399">
        <v>6438230.0899999999</v>
      </c>
      <c r="I5936" s="1399">
        <v>6438230.0899999999</v>
      </c>
    </row>
    <row r="5937" spans="2:9">
      <c r="B5937" s="1297"/>
      <c r="C5937" s="1297"/>
      <c r="D5937" s="1297" t="s">
        <v>952</v>
      </c>
      <c r="F5937" s="1399">
        <v>43616.2</v>
      </c>
      <c r="I5937" s="1399">
        <v>43616.2</v>
      </c>
    </row>
    <row r="5938" spans="2:9">
      <c r="B5938" s="1297"/>
      <c r="C5938" s="1297"/>
      <c r="D5938" s="1297" t="s">
        <v>907</v>
      </c>
      <c r="F5938" s="1399">
        <v>1544533.4</v>
      </c>
      <c r="I5938" s="1399">
        <v>1544533.4</v>
      </c>
    </row>
    <row r="5939" spans="2:9">
      <c r="B5939" s="1297"/>
      <c r="C5939" s="1297"/>
      <c r="D5939" s="1297" t="s">
        <v>908</v>
      </c>
      <c r="F5939" s="1399">
        <v>4766.87</v>
      </c>
      <c r="I5939" s="1399">
        <v>4766.87</v>
      </c>
    </row>
    <row r="5940" spans="2:9">
      <c r="B5940" s="1297"/>
      <c r="C5940" s="1297"/>
      <c r="D5940" s="1297" t="s">
        <v>1035</v>
      </c>
      <c r="F5940" s="1399">
        <v>83709.740000000005</v>
      </c>
      <c r="I5940" s="1399">
        <v>83709.740000000005</v>
      </c>
    </row>
    <row r="5941" spans="2:9">
      <c r="B5941" s="1297"/>
      <c r="C5941" s="1297"/>
      <c r="D5941" s="1297" t="s">
        <v>1036</v>
      </c>
      <c r="F5941" s="1399">
        <v>167118.1</v>
      </c>
      <c r="I5941" s="1399">
        <v>167118.1</v>
      </c>
    </row>
    <row r="5942" spans="2:9">
      <c r="B5942" s="1297"/>
      <c r="C5942" s="1297"/>
      <c r="D5942" s="1297" t="s">
        <v>1039</v>
      </c>
      <c r="F5942" s="1399">
        <v>11361.009999999998</v>
      </c>
      <c r="I5942" s="1399">
        <v>11361.009999999998</v>
      </c>
    </row>
    <row r="5943" spans="2:9">
      <c r="B5943" s="1297"/>
      <c r="C5943" s="1297"/>
      <c r="D5943" s="1297" t="s">
        <v>1040</v>
      </c>
      <c r="F5943" s="1399">
        <v>103919.11</v>
      </c>
      <c r="I5943" s="1399">
        <v>103919.11</v>
      </c>
    </row>
    <row r="5944" spans="2:9">
      <c r="B5944" s="1297"/>
      <c r="C5944" s="1297"/>
      <c r="D5944" s="1297" t="s">
        <v>1041</v>
      </c>
      <c r="F5944" s="1399">
        <v>20373.73</v>
      </c>
      <c r="I5944" s="1399">
        <v>20373.73</v>
      </c>
    </row>
    <row r="5945" spans="2:9">
      <c r="B5945" s="1297"/>
      <c r="C5945" s="1297"/>
      <c r="D5945" s="1297" t="s">
        <v>1042</v>
      </c>
      <c r="F5945" s="1399">
        <v>32387.88</v>
      </c>
      <c r="I5945" s="1399">
        <v>32387.88</v>
      </c>
    </row>
    <row r="5946" spans="2:9">
      <c r="B5946" s="1297"/>
      <c r="C5946" s="1297"/>
      <c r="D5946" s="1297" t="s">
        <v>954</v>
      </c>
      <c r="F5946" s="1399">
        <v>147527.25</v>
      </c>
      <c r="I5946" s="1399">
        <v>147527.25</v>
      </c>
    </row>
    <row r="5947" spans="2:9">
      <c r="B5947" s="1297"/>
      <c r="C5947" s="1297"/>
      <c r="D5947" s="1297" t="s">
        <v>1045</v>
      </c>
      <c r="F5947" s="1399">
        <v>125403.46000000002</v>
      </c>
      <c r="I5947" s="1399">
        <v>125403.46000000002</v>
      </c>
    </row>
    <row r="5948" spans="2:9">
      <c r="B5948" s="1297"/>
      <c r="C5948" s="1297"/>
      <c r="D5948" s="1297" t="s">
        <v>1046</v>
      </c>
      <c r="H5948" s="1399">
        <v>8359576</v>
      </c>
      <c r="I5948" s="1399">
        <v>8359576</v>
      </c>
    </row>
    <row r="5949" spans="2:9">
      <c r="B5949" s="1297"/>
      <c r="C5949" s="1297"/>
      <c r="D5949" s="1297" t="s">
        <v>1047</v>
      </c>
      <c r="H5949" s="1399">
        <v>433953</v>
      </c>
      <c r="I5949" s="1399">
        <v>433953</v>
      </c>
    </row>
    <row r="5950" spans="2:9">
      <c r="B5950" s="1297"/>
      <c r="C5950" s="1297"/>
      <c r="D5950" s="1297" t="s">
        <v>1048</v>
      </c>
      <c r="H5950" s="1399">
        <v>-1437315</v>
      </c>
      <c r="I5950" s="1399">
        <v>-1437315</v>
      </c>
    </row>
    <row r="5951" spans="2:9">
      <c r="B5951" s="1297"/>
      <c r="C5951" s="1297"/>
      <c r="D5951" s="1297" t="s">
        <v>932</v>
      </c>
      <c r="H5951" s="1399">
        <v>288578</v>
      </c>
      <c r="I5951" s="1399">
        <v>288578</v>
      </c>
    </row>
    <row r="5952" spans="2:9">
      <c r="B5952" s="1297"/>
      <c r="C5952" s="1297"/>
      <c r="D5952" s="1297" t="s">
        <v>955</v>
      </c>
      <c r="H5952" s="1399">
        <v>460956.82</v>
      </c>
      <c r="I5952" s="1399">
        <v>460956.82</v>
      </c>
    </row>
    <row r="5953" spans="2:9">
      <c r="B5953" s="1297"/>
      <c r="C5953" s="1297"/>
      <c r="D5953" s="1297" t="s">
        <v>934</v>
      </c>
      <c r="H5953" s="1399">
        <v>29802</v>
      </c>
      <c r="I5953" s="1399">
        <v>29802</v>
      </c>
    </row>
    <row r="5954" spans="2:9">
      <c r="B5954" s="1297"/>
      <c r="C5954" s="1297"/>
      <c r="D5954" s="1297" t="s">
        <v>935</v>
      </c>
      <c r="H5954" s="1399">
        <v>459289.18000000005</v>
      </c>
      <c r="I5954" s="1399">
        <v>459289.18000000005</v>
      </c>
    </row>
    <row r="5955" spans="2:9">
      <c r="B5955" s="1297"/>
      <c r="C5955" s="1297"/>
      <c r="D5955" s="1297" t="s">
        <v>936</v>
      </c>
      <c r="H5955" s="1399">
        <v>34314.75</v>
      </c>
      <c r="I5955" s="1399">
        <v>34314.75</v>
      </c>
    </row>
    <row r="5956" spans="2:9">
      <c r="B5956" s="1297"/>
      <c r="C5956" s="1297"/>
      <c r="D5956" s="1297" t="s">
        <v>937</v>
      </c>
      <c r="H5956" s="1399">
        <v>7708.87</v>
      </c>
      <c r="I5956" s="1399">
        <v>7708.87</v>
      </c>
    </row>
    <row r="5957" spans="2:9">
      <c r="B5957" s="1297"/>
      <c r="C5957" s="1297"/>
      <c r="D5957" s="1297" t="s">
        <v>938</v>
      </c>
      <c r="H5957" s="1399">
        <v>12165</v>
      </c>
      <c r="I5957" s="1399">
        <v>12165</v>
      </c>
    </row>
    <row r="5958" spans="2:9">
      <c r="B5958" s="1297"/>
      <c r="C5958" s="1297"/>
      <c r="D5958" s="1297" t="s">
        <v>939</v>
      </c>
      <c r="H5958" s="1399">
        <v>59690.75</v>
      </c>
      <c r="I5958" s="1399">
        <v>59690.75</v>
      </c>
    </row>
    <row r="5959" spans="2:9">
      <c r="B5959" s="1297"/>
      <c r="C5959" s="1297"/>
      <c r="D5959" s="1297" t="s">
        <v>940</v>
      </c>
      <c r="E5959" s="1399">
        <v>632113.28</v>
      </c>
      <c r="I5959" s="1399">
        <v>632113.28</v>
      </c>
    </row>
    <row r="5960" spans="2:9">
      <c r="B5960" s="1297"/>
      <c r="C5960" s="1297"/>
      <c r="D5960" s="1297" t="s">
        <v>941</v>
      </c>
      <c r="E5960" s="1399">
        <v>226666.9</v>
      </c>
      <c r="I5960" s="1399">
        <v>226666.9</v>
      </c>
    </row>
    <row r="5961" spans="2:9">
      <c r="B5961" s="1297"/>
      <c r="C5961" s="1297"/>
      <c r="D5961" s="1297" t="s">
        <v>943</v>
      </c>
      <c r="E5961" s="1399">
        <v>14727.48</v>
      </c>
      <c r="I5961" s="1399">
        <v>14727.48</v>
      </c>
    </row>
    <row r="5962" spans="2:9">
      <c r="B5962" s="1297"/>
      <c r="C5962" s="1297"/>
      <c r="D5962" s="1297" t="s">
        <v>944</v>
      </c>
      <c r="E5962" s="1399">
        <v>1747517.91</v>
      </c>
      <c r="I5962" s="1399">
        <v>1747517.91</v>
      </c>
    </row>
    <row r="5963" spans="2:9">
      <c r="B5963" s="1297"/>
      <c r="C5963" s="1297"/>
      <c r="D5963" s="1297" t="s">
        <v>945</v>
      </c>
      <c r="E5963" s="1399">
        <v>696049.29</v>
      </c>
      <c r="I5963" s="1399">
        <v>696049.29</v>
      </c>
    </row>
    <row r="5964" spans="2:9">
      <c r="B5964" s="1297"/>
      <c r="C5964" s="1297"/>
      <c r="D5964" s="1297" t="s">
        <v>947</v>
      </c>
      <c r="E5964" s="1399">
        <v>58675.37</v>
      </c>
      <c r="I5964" s="1399">
        <v>58675.37</v>
      </c>
    </row>
    <row r="5965" spans="2:9">
      <c r="B5965" s="1297"/>
      <c r="C5965" s="1297"/>
      <c r="D5965" s="1297" t="s">
        <v>948</v>
      </c>
      <c r="G5965" s="1399">
        <v>1503677.63</v>
      </c>
      <c r="I5965" s="1399">
        <v>1503677.63</v>
      </c>
    </row>
    <row r="5966" spans="2:9">
      <c r="B5966" s="1297"/>
      <c r="C5966" s="1400" t="s">
        <v>1609</v>
      </c>
      <c r="D5966" s="1400"/>
      <c r="E5966" s="1401">
        <v>3375750.23</v>
      </c>
      <c r="F5966" s="1401">
        <v>8722946.8400000017</v>
      </c>
      <c r="G5966" s="1401">
        <v>1503677.63</v>
      </c>
      <c r="H5966" s="1401">
        <v>8708719.3699999992</v>
      </c>
      <c r="I5966" s="1401">
        <v>22311094.070000004</v>
      </c>
    </row>
    <row r="5967" spans="2:9">
      <c r="B5967" s="1297" t="s">
        <v>1610</v>
      </c>
      <c r="C5967" s="1297" t="s">
        <v>1426</v>
      </c>
      <c r="D5967" s="1297" t="s">
        <v>906</v>
      </c>
      <c r="F5967" s="1399">
        <v>7091146.1299999999</v>
      </c>
      <c r="I5967" s="1399">
        <v>7091146.1299999999</v>
      </c>
    </row>
    <row r="5968" spans="2:9">
      <c r="B5968" s="1297"/>
      <c r="C5968" s="1297"/>
      <c r="D5968" s="1297" t="s">
        <v>952</v>
      </c>
      <c r="F5968" s="1399">
        <v>23477.119999999999</v>
      </c>
      <c r="I5968" s="1399">
        <v>23477.119999999999</v>
      </c>
    </row>
    <row r="5969" spans="2:9">
      <c r="B5969" s="1297"/>
      <c r="C5969" s="1297"/>
      <c r="D5969" s="1297" t="s">
        <v>907</v>
      </c>
      <c r="F5969" s="1399">
        <v>1848139.26</v>
      </c>
      <c r="I5969" s="1399">
        <v>1848139.26</v>
      </c>
    </row>
    <row r="5970" spans="2:9">
      <c r="B5970" s="1297"/>
      <c r="C5970" s="1297"/>
      <c r="D5970" s="1297" t="s">
        <v>908</v>
      </c>
      <c r="F5970" s="1399">
        <v>36413.449999999997</v>
      </c>
      <c r="I5970" s="1399">
        <v>36413.449999999997</v>
      </c>
    </row>
    <row r="5971" spans="2:9">
      <c r="B5971" s="1297"/>
      <c r="C5971" s="1297"/>
      <c r="D5971" s="1297" t="s">
        <v>909</v>
      </c>
      <c r="F5971" s="1399">
        <v>13680.26</v>
      </c>
      <c r="I5971" s="1399">
        <v>13680.26</v>
      </c>
    </row>
    <row r="5972" spans="2:9">
      <c r="B5972" s="1297"/>
      <c r="C5972" s="1297"/>
      <c r="D5972" s="1297" t="s">
        <v>910</v>
      </c>
      <c r="F5972" s="1399">
        <v>96144.34</v>
      </c>
      <c r="I5972" s="1399">
        <v>96144.34</v>
      </c>
    </row>
    <row r="5973" spans="2:9">
      <c r="B5973" s="1297"/>
      <c r="C5973" s="1297"/>
      <c r="D5973" s="1297" t="s">
        <v>1034</v>
      </c>
      <c r="F5973" s="1399">
        <v>2797.04</v>
      </c>
      <c r="I5973" s="1399">
        <v>2797.04</v>
      </c>
    </row>
    <row r="5974" spans="2:9">
      <c r="B5974" s="1297"/>
      <c r="C5974" s="1297"/>
      <c r="D5974" s="1297" t="s">
        <v>1035</v>
      </c>
      <c r="F5974" s="1399">
        <v>174499.36</v>
      </c>
      <c r="I5974" s="1399">
        <v>174499.36</v>
      </c>
    </row>
    <row r="5975" spans="2:9">
      <c r="B5975" s="1297"/>
      <c r="C5975" s="1297"/>
      <c r="D5975" s="1297" t="s">
        <v>1036</v>
      </c>
      <c r="F5975" s="1399">
        <v>156702.25</v>
      </c>
      <c r="I5975" s="1399">
        <v>156702.25</v>
      </c>
    </row>
    <row r="5976" spans="2:9">
      <c r="B5976" s="1297"/>
      <c r="C5976" s="1297"/>
      <c r="D5976" s="1297" t="s">
        <v>1003</v>
      </c>
      <c r="F5976" s="1399">
        <v>12404.9</v>
      </c>
      <c r="I5976" s="1399">
        <v>12404.9</v>
      </c>
    </row>
    <row r="5977" spans="2:9">
      <c r="B5977" s="1297"/>
      <c r="C5977" s="1297"/>
      <c r="D5977" s="1297" t="s">
        <v>1039</v>
      </c>
      <c r="F5977" s="1399">
        <v>10493.480000000001</v>
      </c>
      <c r="I5977" s="1399">
        <v>10493.480000000001</v>
      </c>
    </row>
    <row r="5978" spans="2:9">
      <c r="B5978" s="1297"/>
      <c r="C5978" s="1297"/>
      <c r="D5978" s="1297" t="s">
        <v>1040</v>
      </c>
      <c r="F5978" s="1399">
        <v>57401.02</v>
      </c>
      <c r="I5978" s="1399">
        <v>57401.02</v>
      </c>
    </row>
    <row r="5979" spans="2:9">
      <c r="B5979" s="1297"/>
      <c r="C5979" s="1297"/>
      <c r="D5979" s="1297" t="s">
        <v>1041</v>
      </c>
      <c r="F5979" s="1399">
        <v>3183</v>
      </c>
      <c r="I5979" s="1399">
        <v>3183</v>
      </c>
    </row>
    <row r="5980" spans="2:9">
      <c r="B5980" s="1297"/>
      <c r="C5980" s="1297"/>
      <c r="D5980" s="1297" t="s">
        <v>1042</v>
      </c>
      <c r="F5980" s="1399">
        <v>21452.5</v>
      </c>
      <c r="I5980" s="1399">
        <v>21452.5</v>
      </c>
    </row>
    <row r="5981" spans="2:9">
      <c r="B5981" s="1297"/>
      <c r="C5981" s="1297"/>
      <c r="D5981" s="1297" t="s">
        <v>1043</v>
      </c>
      <c r="F5981" s="1399">
        <v>1770</v>
      </c>
      <c r="I5981" s="1399">
        <v>1770</v>
      </c>
    </row>
    <row r="5982" spans="2:9">
      <c r="B5982" s="1297"/>
      <c r="C5982" s="1297"/>
      <c r="D5982" s="1297" t="s">
        <v>991</v>
      </c>
      <c r="F5982" s="1399">
        <v>5281.25</v>
      </c>
      <c r="I5982" s="1399">
        <v>5281.25</v>
      </c>
    </row>
    <row r="5983" spans="2:9">
      <c r="B5983" s="1297"/>
      <c r="C5983" s="1297"/>
      <c r="D5983" s="1297" t="s">
        <v>1044</v>
      </c>
      <c r="F5983" s="1399">
        <v>18900</v>
      </c>
      <c r="I5983" s="1399">
        <v>18900</v>
      </c>
    </row>
    <row r="5984" spans="2:9">
      <c r="B5984" s="1297"/>
      <c r="C5984" s="1297"/>
      <c r="D5984" s="1297" t="s">
        <v>1045</v>
      </c>
      <c r="F5984" s="1399">
        <v>31229.840000000004</v>
      </c>
      <c r="I5984" s="1399">
        <v>31229.840000000004</v>
      </c>
    </row>
    <row r="5985" spans="2:9">
      <c r="B5985" s="1297"/>
      <c r="C5985" s="1297"/>
      <c r="D5985" s="1297" t="s">
        <v>1046</v>
      </c>
      <c r="H5985" s="1399">
        <v>7297998</v>
      </c>
      <c r="I5985" s="1399">
        <v>7297998</v>
      </c>
    </row>
    <row r="5986" spans="2:9">
      <c r="B5986" s="1297"/>
      <c r="C5986" s="1297"/>
      <c r="D5986" s="1297" t="s">
        <v>1047</v>
      </c>
      <c r="H5986" s="1399">
        <v>446024</v>
      </c>
      <c r="I5986" s="1399">
        <v>446024</v>
      </c>
    </row>
    <row r="5987" spans="2:9">
      <c r="B5987" s="1297"/>
      <c r="C5987" s="1297"/>
      <c r="D5987" s="1297" t="s">
        <v>1048</v>
      </c>
      <c r="H5987" s="1399">
        <v>-1897214</v>
      </c>
      <c r="I5987" s="1399">
        <v>-1897214</v>
      </c>
    </row>
    <row r="5988" spans="2:9">
      <c r="B5988" s="1297"/>
      <c r="C5988" s="1297"/>
      <c r="D5988" s="1297" t="s">
        <v>955</v>
      </c>
      <c r="H5988" s="1399">
        <v>504223.59</v>
      </c>
      <c r="I5988" s="1399">
        <v>504223.59</v>
      </c>
    </row>
    <row r="5989" spans="2:9">
      <c r="B5989" s="1297"/>
      <c r="C5989" s="1297"/>
      <c r="D5989" s="1297" t="s">
        <v>934</v>
      </c>
      <c r="H5989" s="1399">
        <v>27120</v>
      </c>
      <c r="I5989" s="1399">
        <v>27120</v>
      </c>
    </row>
    <row r="5990" spans="2:9">
      <c r="B5990" s="1297"/>
      <c r="C5990" s="1297"/>
      <c r="D5990" s="1297" t="s">
        <v>935</v>
      </c>
      <c r="H5990" s="1399">
        <v>310598.19</v>
      </c>
      <c r="I5990" s="1399">
        <v>310598.19</v>
      </c>
    </row>
    <row r="5991" spans="2:9">
      <c r="B5991" s="1297"/>
      <c r="C5991" s="1297"/>
      <c r="D5991" s="1297" t="s">
        <v>936</v>
      </c>
      <c r="H5991" s="1399">
        <v>26961.59</v>
      </c>
      <c r="I5991" s="1399">
        <v>26961.59</v>
      </c>
    </row>
    <row r="5992" spans="2:9">
      <c r="B5992" s="1297"/>
      <c r="C5992" s="1297"/>
      <c r="D5992" s="1297" t="s">
        <v>938</v>
      </c>
      <c r="H5992" s="1399">
        <v>9732</v>
      </c>
      <c r="I5992" s="1399">
        <v>9732</v>
      </c>
    </row>
    <row r="5993" spans="2:9">
      <c r="B5993" s="1297"/>
      <c r="C5993" s="1297"/>
      <c r="D5993" s="1297" t="s">
        <v>939</v>
      </c>
      <c r="H5993" s="1399">
        <v>54038.29</v>
      </c>
      <c r="I5993" s="1399">
        <v>54038.29</v>
      </c>
    </row>
    <row r="5994" spans="2:9">
      <c r="B5994" s="1297"/>
      <c r="C5994" s="1297"/>
      <c r="D5994" s="1297" t="s">
        <v>1131</v>
      </c>
      <c r="E5994" s="1399">
        <v>1473508.15</v>
      </c>
      <c r="I5994" s="1399">
        <v>1473508.15</v>
      </c>
    </row>
    <row r="5995" spans="2:9">
      <c r="B5995" s="1297"/>
      <c r="C5995" s="1297"/>
      <c r="D5995" s="1297" t="s">
        <v>940</v>
      </c>
      <c r="E5995" s="1399">
        <v>510387.3</v>
      </c>
      <c r="I5995" s="1399">
        <v>510387.3</v>
      </c>
    </row>
    <row r="5996" spans="2:9">
      <c r="B5996" s="1297"/>
      <c r="C5996" s="1297"/>
      <c r="D5996" s="1297" t="s">
        <v>941</v>
      </c>
      <c r="E5996" s="1399">
        <v>171697.34</v>
      </c>
      <c r="I5996" s="1399">
        <v>171697.34</v>
      </c>
    </row>
    <row r="5997" spans="2:9">
      <c r="B5997" s="1297"/>
      <c r="C5997" s="1297"/>
      <c r="D5997" s="1297" t="s">
        <v>943</v>
      </c>
      <c r="E5997" s="1399">
        <v>27827.7</v>
      </c>
      <c r="I5997" s="1399">
        <v>27827.7</v>
      </c>
    </row>
    <row r="5998" spans="2:9">
      <c r="B5998" s="1297"/>
      <c r="C5998" s="1297"/>
      <c r="D5998" s="1297" t="s">
        <v>944</v>
      </c>
      <c r="E5998" s="1399">
        <v>1622060.13</v>
      </c>
      <c r="I5998" s="1399">
        <v>1622060.13</v>
      </c>
    </row>
    <row r="5999" spans="2:9">
      <c r="B5999" s="1297"/>
      <c r="C5999" s="1297"/>
      <c r="D5999" s="1297" t="s">
        <v>945</v>
      </c>
      <c r="E5999" s="1399">
        <v>627024.91</v>
      </c>
      <c r="I5999" s="1399">
        <v>627024.91</v>
      </c>
    </row>
    <row r="6000" spans="2:9">
      <c r="B6000" s="1297"/>
      <c r="C6000" s="1297"/>
      <c r="D6000" s="1297" t="s">
        <v>947</v>
      </c>
      <c r="E6000" s="1399">
        <v>59158.73</v>
      </c>
      <c r="I6000" s="1399">
        <v>59158.73</v>
      </c>
    </row>
    <row r="6001" spans="2:9">
      <c r="B6001" s="1297"/>
      <c r="C6001" s="1297"/>
      <c r="D6001" s="1297" t="s">
        <v>1116</v>
      </c>
      <c r="G6001" s="1399">
        <v>16500000</v>
      </c>
      <c r="I6001" s="1399">
        <v>16500000</v>
      </c>
    </row>
    <row r="6002" spans="2:9">
      <c r="B6002" s="1297"/>
      <c r="C6002" s="1297"/>
      <c r="D6002" s="1297" t="s">
        <v>1117</v>
      </c>
      <c r="G6002" s="1399">
        <v>-133742.39000000001</v>
      </c>
      <c r="I6002" s="1399">
        <v>-133742.39000000001</v>
      </c>
    </row>
    <row r="6003" spans="2:9">
      <c r="B6003" s="1297"/>
      <c r="C6003" s="1297"/>
      <c r="D6003" s="1297" t="s">
        <v>948</v>
      </c>
      <c r="G6003" s="1399">
        <v>2017478.1399999997</v>
      </c>
      <c r="I6003" s="1399">
        <v>2017478.1399999997</v>
      </c>
    </row>
    <row r="6004" spans="2:9">
      <c r="B6004" s="1297"/>
      <c r="C6004" s="1297"/>
      <c r="D6004" s="1297" t="s">
        <v>956</v>
      </c>
      <c r="G6004" s="1399">
        <v>11125</v>
      </c>
      <c r="I6004" s="1399">
        <v>11125</v>
      </c>
    </row>
    <row r="6005" spans="2:9">
      <c r="B6005" s="1297"/>
      <c r="C6005" s="1400" t="s">
        <v>1427</v>
      </c>
      <c r="D6005" s="1400"/>
      <c r="E6005" s="1401">
        <v>4491664.2600000007</v>
      </c>
      <c r="F6005" s="1401">
        <v>9605115.1999999974</v>
      </c>
      <c r="G6005" s="1401">
        <v>18394860.75</v>
      </c>
      <c r="H6005" s="1401">
        <v>6779481.6600000001</v>
      </c>
      <c r="I6005" s="1401">
        <v>39271121.86999999</v>
      </c>
    </row>
    <row r="6006" spans="2:9">
      <c r="B6006" s="1297" t="s">
        <v>1428</v>
      </c>
      <c r="C6006" s="1297" t="s">
        <v>1429</v>
      </c>
      <c r="D6006" s="1297" t="s">
        <v>906</v>
      </c>
      <c r="F6006" s="1399">
        <v>6853329.8099999996</v>
      </c>
      <c r="I6006" s="1399">
        <v>6853329.8099999996</v>
      </c>
    </row>
    <row r="6007" spans="2:9">
      <c r="B6007" s="1297"/>
      <c r="C6007" s="1297"/>
      <c r="D6007" s="1297" t="s">
        <v>952</v>
      </c>
      <c r="F6007" s="1399">
        <v>54555.07</v>
      </c>
      <c r="I6007" s="1399">
        <v>54555.07</v>
      </c>
    </row>
    <row r="6008" spans="2:9">
      <c r="B6008" s="1297"/>
      <c r="C6008" s="1297"/>
      <c r="D6008" s="1297" t="s">
        <v>907</v>
      </c>
      <c r="F6008" s="1399">
        <v>1696899.15</v>
      </c>
      <c r="I6008" s="1399">
        <v>1696899.15</v>
      </c>
    </row>
    <row r="6009" spans="2:9">
      <c r="B6009" s="1297"/>
      <c r="C6009" s="1297"/>
      <c r="D6009" s="1297" t="s">
        <v>908</v>
      </c>
      <c r="F6009" s="1399">
        <v>11502.69</v>
      </c>
      <c r="I6009" s="1399">
        <v>11502.69</v>
      </c>
    </row>
    <row r="6010" spans="2:9">
      <c r="B6010" s="1297"/>
      <c r="C6010" s="1297"/>
      <c r="D6010" s="1297" t="s">
        <v>909</v>
      </c>
      <c r="F6010" s="1399">
        <v>22981.759999999998</v>
      </c>
      <c r="I6010" s="1399">
        <v>22981.759999999998</v>
      </c>
    </row>
    <row r="6011" spans="2:9">
      <c r="B6011" s="1297"/>
      <c r="C6011" s="1297"/>
      <c r="D6011" s="1297" t="s">
        <v>910</v>
      </c>
      <c r="F6011" s="1399">
        <v>41951.25</v>
      </c>
      <c r="I6011" s="1399">
        <v>41951.25</v>
      </c>
    </row>
    <row r="6012" spans="2:9">
      <c r="B6012" s="1297"/>
      <c r="C6012" s="1297"/>
      <c r="D6012" s="1297" t="s">
        <v>1034</v>
      </c>
      <c r="F6012" s="1399">
        <v>22474.66</v>
      </c>
      <c r="I6012" s="1399">
        <v>22474.66</v>
      </c>
    </row>
    <row r="6013" spans="2:9">
      <c r="B6013" s="1297"/>
      <c r="C6013" s="1297"/>
      <c r="D6013" s="1297" t="s">
        <v>1035</v>
      </c>
      <c r="F6013" s="1399">
        <v>165581.29</v>
      </c>
      <c r="I6013" s="1399">
        <v>165581.29</v>
      </c>
    </row>
    <row r="6014" spans="2:9">
      <c r="B6014" s="1297"/>
      <c r="C6014" s="1297"/>
      <c r="D6014" s="1297" t="s">
        <v>1036</v>
      </c>
      <c r="F6014" s="1399">
        <v>114451.9</v>
      </c>
      <c r="I6014" s="1399">
        <v>114451.9</v>
      </c>
    </row>
    <row r="6015" spans="2:9">
      <c r="B6015" s="1297"/>
      <c r="C6015" s="1297"/>
      <c r="D6015" s="1297" t="s">
        <v>1039</v>
      </c>
      <c r="F6015" s="1399">
        <v>13388.199999999997</v>
      </c>
      <c r="I6015" s="1399">
        <v>13388.199999999997</v>
      </c>
    </row>
    <row r="6016" spans="2:9">
      <c r="B6016" s="1297"/>
      <c r="C6016" s="1297"/>
      <c r="D6016" s="1297" t="s">
        <v>1040</v>
      </c>
      <c r="F6016" s="1399">
        <v>160361.34</v>
      </c>
      <c r="I6016" s="1399">
        <v>160361.34</v>
      </c>
    </row>
    <row r="6017" spans="2:9">
      <c r="B6017" s="1297"/>
      <c r="C6017" s="1297"/>
      <c r="D6017" s="1297" t="s">
        <v>1041</v>
      </c>
      <c r="F6017" s="1399">
        <v>11309.55</v>
      </c>
      <c r="I6017" s="1399">
        <v>11309.55</v>
      </c>
    </row>
    <row r="6018" spans="2:9">
      <c r="B6018" s="1297"/>
      <c r="C6018" s="1297"/>
      <c r="D6018" s="1297" t="s">
        <v>1042</v>
      </c>
      <c r="F6018" s="1399">
        <v>29120.1</v>
      </c>
      <c r="I6018" s="1399">
        <v>29120.1</v>
      </c>
    </row>
    <row r="6019" spans="2:9">
      <c r="B6019" s="1297"/>
      <c r="C6019" s="1297"/>
      <c r="D6019" s="1297" t="s">
        <v>954</v>
      </c>
      <c r="F6019" s="1399">
        <v>136340.16999999998</v>
      </c>
      <c r="I6019" s="1399">
        <v>136340.16999999998</v>
      </c>
    </row>
    <row r="6020" spans="2:9">
      <c r="B6020" s="1297"/>
      <c r="C6020" s="1297"/>
      <c r="D6020" s="1297" t="s">
        <v>991</v>
      </c>
      <c r="F6020" s="1399">
        <v>610.91</v>
      </c>
      <c r="I6020" s="1399">
        <v>610.91</v>
      </c>
    </row>
    <row r="6021" spans="2:9">
      <c r="B6021" s="1297"/>
      <c r="C6021" s="1297"/>
      <c r="D6021" s="1297" t="s">
        <v>1044</v>
      </c>
      <c r="F6021" s="1399">
        <v>118529.05</v>
      </c>
      <c r="I6021" s="1399">
        <v>118529.05</v>
      </c>
    </row>
    <row r="6022" spans="2:9">
      <c r="B6022" s="1297"/>
      <c r="C6022" s="1297"/>
      <c r="D6022" s="1297" t="s">
        <v>1045</v>
      </c>
      <c r="F6022" s="1399">
        <v>179703.97999999998</v>
      </c>
      <c r="I6022" s="1399">
        <v>179703.97999999998</v>
      </c>
    </row>
    <row r="6023" spans="2:9">
      <c r="B6023" s="1297"/>
      <c r="C6023" s="1297"/>
      <c r="D6023" s="1297" t="s">
        <v>1046</v>
      </c>
      <c r="H6023" s="1399">
        <v>17743265</v>
      </c>
      <c r="I6023" s="1399">
        <v>17743265</v>
      </c>
    </row>
    <row r="6024" spans="2:9">
      <c r="B6024" s="1297"/>
      <c r="C6024" s="1297"/>
      <c r="D6024" s="1297" t="s">
        <v>1128</v>
      </c>
      <c r="H6024" s="1399">
        <v>1448057</v>
      </c>
      <c r="I6024" s="1399">
        <v>1448057</v>
      </c>
    </row>
    <row r="6025" spans="2:9">
      <c r="B6025" s="1297"/>
      <c r="C6025" s="1297"/>
      <c r="D6025" s="1297" t="s">
        <v>1129</v>
      </c>
      <c r="H6025" s="1399">
        <v>-2526337</v>
      </c>
      <c r="I6025" s="1399">
        <v>-2526337</v>
      </c>
    </row>
    <row r="6026" spans="2:9">
      <c r="B6026" s="1297"/>
      <c r="C6026" s="1297"/>
      <c r="D6026" s="1297" t="s">
        <v>1047</v>
      </c>
      <c r="H6026" s="1399">
        <v>850423</v>
      </c>
      <c r="I6026" s="1399">
        <v>850423</v>
      </c>
    </row>
    <row r="6027" spans="2:9">
      <c r="B6027" s="1297"/>
      <c r="C6027" s="1297"/>
      <c r="D6027" s="1297" t="s">
        <v>1048</v>
      </c>
      <c r="H6027" s="1399">
        <v>-2410622</v>
      </c>
      <c r="I6027" s="1399">
        <v>-2410622</v>
      </c>
    </row>
    <row r="6028" spans="2:9">
      <c r="B6028" s="1297"/>
      <c r="C6028" s="1297"/>
      <c r="D6028" s="1297" t="s">
        <v>932</v>
      </c>
      <c r="H6028" s="1399">
        <v>1174326</v>
      </c>
      <c r="I6028" s="1399">
        <v>1174326</v>
      </c>
    </row>
    <row r="6029" spans="2:9">
      <c r="B6029" s="1297"/>
      <c r="C6029" s="1297"/>
      <c r="D6029" s="1297" t="s">
        <v>955</v>
      </c>
      <c r="H6029" s="1399">
        <v>656779.4</v>
      </c>
      <c r="I6029" s="1399">
        <v>656779.4</v>
      </c>
    </row>
    <row r="6030" spans="2:9">
      <c r="B6030" s="1297"/>
      <c r="C6030" s="1297"/>
      <c r="D6030" s="1297" t="s">
        <v>934</v>
      </c>
      <c r="H6030" s="1399">
        <v>57630</v>
      </c>
      <c r="I6030" s="1399">
        <v>57630</v>
      </c>
    </row>
    <row r="6031" spans="2:9">
      <c r="B6031" s="1297"/>
      <c r="C6031" s="1297"/>
      <c r="D6031" s="1297" t="s">
        <v>935</v>
      </c>
      <c r="H6031" s="1399">
        <v>491653.33</v>
      </c>
      <c r="I6031" s="1399">
        <v>491653.33</v>
      </c>
    </row>
    <row r="6032" spans="2:9">
      <c r="B6032" s="1297"/>
      <c r="C6032" s="1297"/>
      <c r="D6032" s="1297" t="s">
        <v>936</v>
      </c>
      <c r="H6032" s="1399">
        <v>45519.57</v>
      </c>
      <c r="I6032" s="1399">
        <v>45519.57</v>
      </c>
    </row>
    <row r="6033" spans="2:9">
      <c r="B6033" s="1297"/>
      <c r="C6033" s="1297"/>
      <c r="D6033" s="1297" t="s">
        <v>937</v>
      </c>
      <c r="H6033" s="1399">
        <v>7931.64</v>
      </c>
      <c r="I6033" s="1399">
        <v>7931.64</v>
      </c>
    </row>
    <row r="6034" spans="2:9">
      <c r="B6034" s="1297"/>
      <c r="C6034" s="1297"/>
      <c r="D6034" s="1297" t="s">
        <v>938</v>
      </c>
      <c r="H6034" s="1399">
        <v>19839</v>
      </c>
      <c r="I6034" s="1399">
        <v>19839</v>
      </c>
    </row>
    <row r="6035" spans="2:9">
      <c r="B6035" s="1297"/>
      <c r="C6035" s="1297"/>
      <c r="D6035" s="1297" t="s">
        <v>939</v>
      </c>
      <c r="H6035" s="1399">
        <v>6068.53</v>
      </c>
      <c r="I6035" s="1399">
        <v>6068.53</v>
      </c>
    </row>
    <row r="6036" spans="2:9">
      <c r="B6036" s="1297"/>
      <c r="C6036" s="1297"/>
      <c r="D6036" s="1297" t="s">
        <v>1131</v>
      </c>
      <c r="E6036" s="1399">
        <v>68101.31</v>
      </c>
      <c r="I6036" s="1399">
        <v>68101.31</v>
      </c>
    </row>
    <row r="6037" spans="2:9">
      <c r="B6037" s="1297"/>
      <c r="C6037" s="1297"/>
      <c r="D6037" s="1297" t="s">
        <v>940</v>
      </c>
      <c r="E6037" s="1399">
        <v>944956.58</v>
      </c>
      <c r="I6037" s="1399">
        <v>944956.58</v>
      </c>
    </row>
    <row r="6038" spans="2:9">
      <c r="B6038" s="1297"/>
      <c r="C6038" s="1297"/>
      <c r="D6038" s="1297" t="s">
        <v>941</v>
      </c>
      <c r="E6038" s="1399">
        <v>390365.56</v>
      </c>
      <c r="I6038" s="1399">
        <v>390365.56</v>
      </c>
    </row>
    <row r="6039" spans="2:9">
      <c r="B6039" s="1297"/>
      <c r="C6039" s="1297"/>
      <c r="D6039" s="1297" t="s">
        <v>944</v>
      </c>
      <c r="E6039" s="1399">
        <v>2718948.44</v>
      </c>
      <c r="I6039" s="1399">
        <v>2718948.44</v>
      </c>
    </row>
    <row r="6040" spans="2:9">
      <c r="B6040" s="1297"/>
      <c r="C6040" s="1297"/>
      <c r="D6040" s="1297" t="s">
        <v>945</v>
      </c>
      <c r="E6040" s="1399">
        <v>1350871.03</v>
      </c>
      <c r="I6040" s="1399">
        <v>1350871.03</v>
      </c>
    </row>
    <row r="6041" spans="2:9">
      <c r="B6041" s="1297"/>
      <c r="C6041" s="1297"/>
      <c r="D6041" s="1297" t="s">
        <v>947</v>
      </c>
      <c r="E6041" s="1399">
        <v>129735</v>
      </c>
      <c r="I6041" s="1399">
        <v>129735</v>
      </c>
    </row>
    <row r="6042" spans="2:9">
      <c r="B6042" s="1297"/>
      <c r="C6042" s="1297"/>
      <c r="D6042" s="1297" t="s">
        <v>948</v>
      </c>
      <c r="G6042" s="1399">
        <v>3269898.45</v>
      </c>
      <c r="I6042" s="1399">
        <v>3269898.45</v>
      </c>
    </row>
    <row r="6043" spans="2:9">
      <c r="B6043" s="1297"/>
      <c r="C6043" s="1297"/>
      <c r="D6043" s="1297" t="s">
        <v>956</v>
      </c>
      <c r="G6043" s="1399">
        <v>1500</v>
      </c>
      <c r="I6043" s="1399">
        <v>1500</v>
      </c>
    </row>
    <row r="6044" spans="2:9">
      <c r="B6044" s="1297"/>
      <c r="C6044" s="1400" t="s">
        <v>1430</v>
      </c>
      <c r="D6044" s="1400"/>
      <c r="E6044" s="1401">
        <v>5602977.9199999999</v>
      </c>
      <c r="F6044" s="1401">
        <v>9633090.879999999</v>
      </c>
      <c r="G6044" s="1401">
        <v>3271398.45</v>
      </c>
      <c r="H6044" s="1401">
        <v>17564533.469999999</v>
      </c>
      <c r="I6044" s="1401">
        <v>36072000.719999999</v>
      </c>
    </row>
    <row r="6045" spans="2:9">
      <c r="B6045" s="1297" t="s">
        <v>1431</v>
      </c>
      <c r="C6045" s="1297" t="s">
        <v>1432</v>
      </c>
      <c r="D6045" s="1297" t="s">
        <v>906</v>
      </c>
      <c r="F6045" s="1399">
        <v>440124387.69</v>
      </c>
      <c r="I6045" s="1399">
        <v>440124387.69</v>
      </c>
    </row>
    <row r="6046" spans="2:9">
      <c r="B6046" s="1297"/>
      <c r="C6046" s="1297"/>
      <c r="D6046" s="1297" t="s">
        <v>952</v>
      </c>
      <c r="F6046" s="1399">
        <v>4687976.87</v>
      </c>
      <c r="I6046" s="1399">
        <v>4687976.87</v>
      </c>
    </row>
    <row r="6047" spans="2:9">
      <c r="B6047" s="1297"/>
      <c r="C6047" s="1297"/>
      <c r="D6047" s="1297" t="s">
        <v>907</v>
      </c>
      <c r="F6047" s="1399">
        <v>57678243.359999999</v>
      </c>
      <c r="I6047" s="1399">
        <v>57678243.359999999</v>
      </c>
    </row>
    <row r="6048" spans="2:9">
      <c r="B6048" s="1297"/>
      <c r="C6048" s="1297"/>
      <c r="D6048" s="1297" t="s">
        <v>1122</v>
      </c>
      <c r="F6048" s="1399">
        <v>-2329444</v>
      </c>
      <c r="I6048" s="1399">
        <v>-2329444</v>
      </c>
    </row>
    <row r="6049" spans="2:9">
      <c r="B6049" s="1297"/>
      <c r="C6049" s="1297"/>
      <c r="D6049" s="1297" t="s">
        <v>909</v>
      </c>
      <c r="F6049" s="1399">
        <v>19164.36</v>
      </c>
      <c r="I6049" s="1399">
        <v>19164.36</v>
      </c>
    </row>
    <row r="6050" spans="2:9">
      <c r="B6050" s="1297"/>
      <c r="C6050" s="1297"/>
      <c r="D6050" s="1297" t="s">
        <v>910</v>
      </c>
      <c r="F6050" s="1399">
        <v>1639022.3</v>
      </c>
      <c r="I6050" s="1399">
        <v>1639022.3</v>
      </c>
    </row>
    <row r="6051" spans="2:9">
      <c r="B6051" s="1297"/>
      <c r="C6051" s="1297"/>
      <c r="D6051" s="1297" t="s">
        <v>1034</v>
      </c>
      <c r="F6051" s="1399">
        <v>526685.87</v>
      </c>
      <c r="I6051" s="1399">
        <v>526685.87</v>
      </c>
    </row>
    <row r="6052" spans="2:9">
      <c r="B6052" s="1297"/>
      <c r="C6052" s="1297"/>
      <c r="D6052" s="1297" t="s">
        <v>1035</v>
      </c>
      <c r="F6052" s="1399">
        <v>1908251.9800000004</v>
      </c>
      <c r="I6052" s="1399">
        <v>1908251.9800000004</v>
      </c>
    </row>
    <row r="6053" spans="2:9">
      <c r="B6053" s="1297"/>
      <c r="C6053" s="1297"/>
      <c r="D6053" s="1297" t="s">
        <v>1036</v>
      </c>
      <c r="F6053" s="1399">
        <v>670917.30000000005</v>
      </c>
      <c r="I6053" s="1399">
        <v>670917.30000000005</v>
      </c>
    </row>
    <row r="6054" spans="2:9">
      <c r="B6054" s="1297"/>
      <c r="C6054" s="1297"/>
      <c r="D6054" s="1297" t="s">
        <v>1037</v>
      </c>
      <c r="F6054" s="1399">
        <v>25412</v>
      </c>
      <c r="I6054" s="1399">
        <v>25412</v>
      </c>
    </row>
    <row r="6055" spans="2:9">
      <c r="B6055" s="1297"/>
      <c r="C6055" s="1297"/>
      <c r="D6055" s="1297" t="s">
        <v>1038</v>
      </c>
      <c r="F6055" s="1399">
        <v>6080</v>
      </c>
      <c r="I6055" s="1399">
        <v>6080</v>
      </c>
    </row>
    <row r="6056" spans="2:9">
      <c r="B6056" s="1297"/>
      <c r="C6056" s="1297"/>
      <c r="D6056" s="1297" t="s">
        <v>1039</v>
      </c>
      <c r="F6056" s="1399">
        <v>592098.11</v>
      </c>
      <c r="I6056" s="1399">
        <v>592098.11</v>
      </c>
    </row>
    <row r="6057" spans="2:9">
      <c r="B6057" s="1297"/>
      <c r="C6057" s="1297"/>
      <c r="D6057" s="1297" t="s">
        <v>1040</v>
      </c>
      <c r="F6057" s="1399">
        <v>949809.24999999977</v>
      </c>
      <c r="I6057" s="1399">
        <v>949809.24999999977</v>
      </c>
    </row>
    <row r="6058" spans="2:9">
      <c r="B6058" s="1297"/>
      <c r="C6058" s="1297"/>
      <c r="D6058" s="1297" t="s">
        <v>1127</v>
      </c>
      <c r="F6058" s="1399">
        <v>52106.609999999986</v>
      </c>
      <c r="I6058" s="1399">
        <v>52106.609999999986</v>
      </c>
    </row>
    <row r="6059" spans="2:9">
      <c r="B6059" s="1297"/>
      <c r="C6059" s="1297"/>
      <c r="D6059" s="1297" t="s">
        <v>1041</v>
      </c>
      <c r="F6059" s="1399">
        <v>444646.07999999996</v>
      </c>
      <c r="I6059" s="1399">
        <v>444646.07999999996</v>
      </c>
    </row>
    <row r="6060" spans="2:9">
      <c r="B6060" s="1297"/>
      <c r="C6060" s="1297"/>
      <c r="D6060" s="1297" t="s">
        <v>1042</v>
      </c>
      <c r="F6060" s="1399">
        <v>155412.75</v>
      </c>
      <c r="I6060" s="1399">
        <v>155412.75</v>
      </c>
    </row>
    <row r="6061" spans="2:9">
      <c r="B6061" s="1297"/>
      <c r="C6061" s="1297"/>
      <c r="D6061" s="1297" t="s">
        <v>1043</v>
      </c>
      <c r="F6061" s="1399">
        <v>783988.98</v>
      </c>
      <c r="I6061" s="1399">
        <v>783988.98</v>
      </c>
    </row>
    <row r="6062" spans="2:9">
      <c r="B6062" s="1297"/>
      <c r="C6062" s="1297"/>
      <c r="D6062" s="1297" t="s">
        <v>986</v>
      </c>
      <c r="F6062" s="1399">
        <v>1245150.45</v>
      </c>
      <c r="I6062" s="1399">
        <v>1245150.45</v>
      </c>
    </row>
    <row r="6063" spans="2:9">
      <c r="B6063" s="1297"/>
      <c r="C6063" s="1297"/>
      <c r="D6063" s="1297" t="s">
        <v>996</v>
      </c>
      <c r="F6063" s="1399">
        <v>28725.87</v>
      </c>
      <c r="I6063" s="1399">
        <v>28725.87</v>
      </c>
    </row>
    <row r="6064" spans="2:9">
      <c r="B6064" s="1297"/>
      <c r="C6064" s="1297"/>
      <c r="D6064" s="1297" t="s">
        <v>1044</v>
      </c>
      <c r="F6064" s="1399">
        <v>796059.22</v>
      </c>
      <c r="I6064" s="1399">
        <v>796059.22</v>
      </c>
    </row>
    <row r="6065" spans="2:9">
      <c r="B6065" s="1297"/>
      <c r="C6065" s="1297"/>
      <c r="D6065" s="1297" t="s">
        <v>1045</v>
      </c>
      <c r="F6065" s="1399">
        <v>3395386.75</v>
      </c>
      <c r="I6065" s="1399">
        <v>3395386.75</v>
      </c>
    </row>
    <row r="6066" spans="2:9">
      <c r="B6066" s="1297"/>
      <c r="C6066" s="1297"/>
      <c r="D6066" s="1297" t="s">
        <v>1046</v>
      </c>
      <c r="H6066" s="1399">
        <v>245147846</v>
      </c>
      <c r="I6066" s="1399">
        <v>245147846</v>
      </c>
    </row>
    <row r="6067" spans="2:9">
      <c r="B6067" s="1297"/>
      <c r="C6067" s="1297"/>
      <c r="D6067" s="1297" t="s">
        <v>1128</v>
      </c>
      <c r="H6067" s="1399">
        <v>20491789</v>
      </c>
      <c r="I6067" s="1399">
        <v>20491789</v>
      </c>
    </row>
    <row r="6068" spans="2:9">
      <c r="B6068" s="1297"/>
      <c r="C6068" s="1297"/>
      <c r="D6068" s="1297" t="s">
        <v>1129</v>
      </c>
      <c r="H6068" s="1399">
        <v>-21288539</v>
      </c>
      <c r="I6068" s="1399">
        <v>-21288539</v>
      </c>
    </row>
    <row r="6069" spans="2:9">
      <c r="B6069" s="1297"/>
      <c r="C6069" s="1297"/>
      <c r="D6069" s="1297" t="s">
        <v>1047</v>
      </c>
      <c r="H6069" s="1399">
        <v>3873936</v>
      </c>
      <c r="I6069" s="1399">
        <v>3873936</v>
      </c>
    </row>
    <row r="6070" spans="2:9">
      <c r="B6070" s="1297"/>
      <c r="C6070" s="1297"/>
      <c r="D6070" s="1297" t="s">
        <v>1048</v>
      </c>
      <c r="H6070" s="1399">
        <v>-121572502</v>
      </c>
      <c r="I6070" s="1399">
        <v>-121572502</v>
      </c>
    </row>
    <row r="6071" spans="2:9">
      <c r="B6071" s="1297"/>
      <c r="C6071" s="1297"/>
      <c r="D6071" s="1297" t="s">
        <v>955</v>
      </c>
      <c r="H6071" s="1399">
        <v>2637758.36</v>
      </c>
      <c r="I6071" s="1399">
        <v>2637758.36</v>
      </c>
    </row>
    <row r="6072" spans="2:9">
      <c r="B6072" s="1297"/>
      <c r="C6072" s="1297"/>
      <c r="D6072" s="1297" t="s">
        <v>934</v>
      </c>
      <c r="H6072" s="1399">
        <v>659002</v>
      </c>
      <c r="I6072" s="1399">
        <v>659002</v>
      </c>
    </row>
    <row r="6073" spans="2:9">
      <c r="B6073" s="1297"/>
      <c r="C6073" s="1297"/>
      <c r="D6073" s="1297" t="s">
        <v>1130</v>
      </c>
      <c r="H6073" s="1399">
        <v>1767686.4</v>
      </c>
      <c r="I6073" s="1399">
        <v>1767686.4</v>
      </c>
    </row>
    <row r="6074" spans="2:9">
      <c r="B6074" s="1297"/>
      <c r="C6074" s="1297"/>
      <c r="D6074" s="1297" t="s">
        <v>935</v>
      </c>
      <c r="H6074" s="1399">
        <v>3114895.86</v>
      </c>
      <c r="I6074" s="1399">
        <v>3114895.86</v>
      </c>
    </row>
    <row r="6075" spans="2:9">
      <c r="B6075" s="1297"/>
      <c r="C6075" s="1297"/>
      <c r="D6075" s="1297" t="s">
        <v>936</v>
      </c>
      <c r="H6075" s="1399">
        <v>623968.25</v>
      </c>
      <c r="I6075" s="1399">
        <v>623968.25</v>
      </c>
    </row>
    <row r="6076" spans="2:9">
      <c r="B6076" s="1297"/>
      <c r="C6076" s="1297"/>
      <c r="D6076" s="1297" t="s">
        <v>937</v>
      </c>
      <c r="H6076" s="1399">
        <v>173889.68</v>
      </c>
      <c r="I6076" s="1399">
        <v>173889.68</v>
      </c>
    </row>
    <row r="6077" spans="2:9">
      <c r="B6077" s="1297"/>
      <c r="C6077" s="1297"/>
      <c r="D6077" s="1297" t="s">
        <v>1131</v>
      </c>
      <c r="E6077" s="1399">
        <v>971016.27999999991</v>
      </c>
      <c r="I6077" s="1399">
        <v>971016.27999999991</v>
      </c>
    </row>
    <row r="6078" spans="2:9">
      <c r="B6078" s="1297"/>
      <c r="C6078" s="1297"/>
      <c r="D6078" s="1297" t="s">
        <v>940</v>
      </c>
      <c r="E6078" s="1399">
        <v>14445417.199999997</v>
      </c>
      <c r="I6078" s="1399">
        <v>14445417.199999997</v>
      </c>
    </row>
    <row r="6079" spans="2:9">
      <c r="B6079" s="1297"/>
      <c r="C6079" s="1297"/>
      <c r="D6079" s="1297" t="s">
        <v>941</v>
      </c>
      <c r="E6079" s="1399">
        <v>5655839.9000000004</v>
      </c>
      <c r="I6079" s="1399">
        <v>5655839.9000000004</v>
      </c>
    </row>
    <row r="6080" spans="2:9">
      <c r="B6080" s="1297"/>
      <c r="C6080" s="1297"/>
      <c r="D6080" s="1297" t="s">
        <v>943</v>
      </c>
      <c r="E6080" s="1399">
        <v>242511.94999999995</v>
      </c>
      <c r="I6080" s="1399">
        <v>242511.94999999995</v>
      </c>
    </row>
    <row r="6081" spans="2:9">
      <c r="B6081" s="1297"/>
      <c r="C6081" s="1297"/>
      <c r="D6081" s="1297" t="s">
        <v>944</v>
      </c>
      <c r="E6081" s="1399">
        <v>52258608.980000004</v>
      </c>
      <c r="I6081" s="1399">
        <v>52258608.980000004</v>
      </c>
    </row>
    <row r="6082" spans="2:9">
      <c r="B6082" s="1297"/>
      <c r="C6082" s="1297"/>
      <c r="D6082" s="1297" t="s">
        <v>945</v>
      </c>
      <c r="E6082" s="1399">
        <v>27272087.890000001</v>
      </c>
      <c r="I6082" s="1399">
        <v>27272087.890000001</v>
      </c>
    </row>
    <row r="6083" spans="2:9">
      <c r="B6083" s="1297"/>
      <c r="C6083" s="1297"/>
      <c r="D6083" s="1297" t="s">
        <v>946</v>
      </c>
      <c r="E6083" s="1399">
        <v>1415715.77</v>
      </c>
      <c r="I6083" s="1399">
        <v>1415715.77</v>
      </c>
    </row>
    <row r="6084" spans="2:9">
      <c r="B6084" s="1297"/>
      <c r="C6084" s="1297"/>
      <c r="D6084" s="1297" t="s">
        <v>978</v>
      </c>
      <c r="E6084" s="1399">
        <v>192854.53999999998</v>
      </c>
      <c r="I6084" s="1399">
        <v>192854.53999999998</v>
      </c>
    </row>
    <row r="6085" spans="2:9">
      <c r="B6085" s="1297"/>
      <c r="C6085" s="1297"/>
      <c r="D6085" s="1297" t="s">
        <v>1006</v>
      </c>
      <c r="E6085" s="1399">
        <v>51408.94</v>
      </c>
      <c r="I6085" s="1399">
        <v>51408.94</v>
      </c>
    </row>
    <row r="6086" spans="2:9">
      <c r="B6086" s="1297"/>
      <c r="C6086" s="1297"/>
      <c r="D6086" s="1297" t="s">
        <v>1214</v>
      </c>
      <c r="E6086" s="1399">
        <v>1259031.76</v>
      </c>
      <c r="I6086" s="1399">
        <v>1259031.76</v>
      </c>
    </row>
    <row r="6087" spans="2:9">
      <c r="B6087" s="1297"/>
      <c r="C6087" s="1297"/>
      <c r="D6087" s="1297" t="s">
        <v>947</v>
      </c>
      <c r="E6087" s="1399">
        <v>1230788.9500000002</v>
      </c>
      <c r="I6087" s="1399">
        <v>1230788.9500000002</v>
      </c>
    </row>
    <row r="6088" spans="2:9">
      <c r="B6088" s="1297"/>
      <c r="C6088" s="1297"/>
      <c r="D6088" s="1297" t="s">
        <v>1116</v>
      </c>
      <c r="G6088" s="1399">
        <v>104415000</v>
      </c>
      <c r="I6088" s="1399">
        <v>104415000</v>
      </c>
    </row>
    <row r="6089" spans="2:9">
      <c r="B6089" s="1297"/>
      <c r="C6089" s="1297"/>
      <c r="D6089" s="1297" t="s">
        <v>1117</v>
      </c>
      <c r="G6089" s="1399">
        <v>3097709.35</v>
      </c>
      <c r="I6089" s="1399">
        <v>3097709.35</v>
      </c>
    </row>
    <row r="6090" spans="2:9">
      <c r="B6090" s="1297"/>
      <c r="C6090" s="1297"/>
      <c r="D6090" s="1297" t="s">
        <v>948</v>
      </c>
      <c r="G6090" s="1399">
        <v>31085311.740000002</v>
      </c>
      <c r="I6090" s="1399">
        <v>31085311.740000002</v>
      </c>
    </row>
    <row r="6091" spans="2:9">
      <c r="B6091" s="1297"/>
      <c r="C6091" s="1297"/>
      <c r="D6091" s="1297" t="s">
        <v>956</v>
      </c>
      <c r="G6091" s="1399">
        <v>134009971.53</v>
      </c>
      <c r="I6091" s="1399">
        <v>134009971.53</v>
      </c>
    </row>
    <row r="6092" spans="2:9">
      <c r="B6092" s="1297"/>
      <c r="C6092" s="1297"/>
      <c r="D6092" s="1297" t="s">
        <v>1118</v>
      </c>
      <c r="G6092" s="1399">
        <v>4524383.49</v>
      </c>
      <c r="I6092" s="1399">
        <v>4524383.49</v>
      </c>
    </row>
    <row r="6093" spans="2:9">
      <c r="B6093" s="1297"/>
      <c r="C6093" s="1400" t="s">
        <v>1433</v>
      </c>
      <c r="D6093" s="1400"/>
      <c r="E6093" s="1401">
        <v>104995282.16000001</v>
      </c>
      <c r="F6093" s="1401">
        <v>513400081.80000013</v>
      </c>
      <c r="G6093" s="1401">
        <v>277132376.11000001</v>
      </c>
      <c r="H6093" s="1401">
        <v>135629730.55000001</v>
      </c>
      <c r="I6093" s="1401">
        <v>1031157470.6200002</v>
      </c>
    </row>
    <row r="6094" spans="2:9">
      <c r="B6094" s="1297" t="s">
        <v>1434</v>
      </c>
      <c r="C6094" s="1297" t="s">
        <v>1435</v>
      </c>
      <c r="D6094" s="1297" t="s">
        <v>906</v>
      </c>
      <c r="F6094" s="1399">
        <v>211254.6</v>
      </c>
      <c r="I6094" s="1399">
        <v>211254.6</v>
      </c>
    </row>
    <row r="6095" spans="2:9">
      <c r="B6095" s="1297"/>
      <c r="C6095" s="1297"/>
      <c r="D6095" s="1297" t="s">
        <v>952</v>
      </c>
      <c r="F6095" s="1399">
        <v>24654.45</v>
      </c>
      <c r="I6095" s="1399">
        <v>24654.45</v>
      </c>
    </row>
    <row r="6096" spans="2:9">
      <c r="B6096" s="1297"/>
      <c r="C6096" s="1297"/>
      <c r="D6096" s="1297" t="s">
        <v>907</v>
      </c>
      <c r="F6096" s="1399">
        <v>1565513.08</v>
      </c>
      <c r="I6096" s="1399">
        <v>1565513.08</v>
      </c>
    </row>
    <row r="6097" spans="2:9">
      <c r="B6097" s="1297"/>
      <c r="C6097" s="1297"/>
      <c r="D6097" s="1297" t="s">
        <v>1145</v>
      </c>
      <c r="F6097" s="1399">
        <v>2952746.91</v>
      </c>
      <c r="I6097" s="1399">
        <v>2952746.91</v>
      </c>
    </row>
    <row r="6098" spans="2:9">
      <c r="B6098" s="1297"/>
      <c r="C6098" s="1297"/>
      <c r="D6098" s="1297" t="s">
        <v>909</v>
      </c>
      <c r="F6098" s="1399">
        <v>35033.19</v>
      </c>
      <c r="I6098" s="1399">
        <v>35033.19</v>
      </c>
    </row>
    <row r="6099" spans="2:9">
      <c r="B6099" s="1297"/>
      <c r="C6099" s="1297"/>
      <c r="D6099" s="1297" t="s">
        <v>910</v>
      </c>
      <c r="F6099" s="1399">
        <v>377075.35</v>
      </c>
      <c r="I6099" s="1399">
        <v>377075.35</v>
      </c>
    </row>
    <row r="6100" spans="2:9">
      <c r="B6100" s="1297"/>
      <c r="C6100" s="1297"/>
      <c r="D6100" s="1297" t="s">
        <v>1034</v>
      </c>
      <c r="F6100" s="1399">
        <v>44865.16</v>
      </c>
      <c r="I6100" s="1399">
        <v>44865.16</v>
      </c>
    </row>
    <row r="6101" spans="2:9">
      <c r="B6101" s="1297"/>
      <c r="C6101" s="1297"/>
      <c r="D6101" s="1297" t="s">
        <v>1035</v>
      </c>
      <c r="F6101" s="1399">
        <v>411064.51</v>
      </c>
      <c r="I6101" s="1399">
        <v>411064.51</v>
      </c>
    </row>
    <row r="6102" spans="2:9">
      <c r="B6102" s="1297"/>
      <c r="C6102" s="1297"/>
      <c r="D6102" s="1297" t="s">
        <v>1036</v>
      </c>
      <c r="F6102" s="1399">
        <v>120997.48</v>
      </c>
      <c r="I6102" s="1399">
        <v>120997.48</v>
      </c>
    </row>
    <row r="6103" spans="2:9">
      <c r="B6103" s="1297"/>
      <c r="C6103" s="1297"/>
      <c r="D6103" s="1297" t="s">
        <v>1037</v>
      </c>
      <c r="F6103" s="1399">
        <v>816644.88</v>
      </c>
      <c r="I6103" s="1399">
        <v>816644.88</v>
      </c>
    </row>
    <row r="6104" spans="2:9">
      <c r="B6104" s="1297"/>
      <c r="C6104" s="1297"/>
      <c r="D6104" s="1297" t="s">
        <v>1039</v>
      </c>
      <c r="F6104" s="1399">
        <v>34392.14</v>
      </c>
      <c r="I6104" s="1399">
        <v>34392.14</v>
      </c>
    </row>
    <row r="6105" spans="2:9">
      <c r="B6105" s="1297"/>
      <c r="C6105" s="1297"/>
      <c r="D6105" s="1297" t="s">
        <v>1040</v>
      </c>
      <c r="F6105" s="1399">
        <v>353039.31</v>
      </c>
      <c r="I6105" s="1399">
        <v>353039.31</v>
      </c>
    </row>
    <row r="6106" spans="2:9">
      <c r="B6106" s="1297"/>
      <c r="C6106" s="1297"/>
      <c r="D6106" s="1297" t="s">
        <v>1207</v>
      </c>
      <c r="F6106" s="1399">
        <v>19390.23</v>
      </c>
      <c r="I6106" s="1399">
        <v>19390.23</v>
      </c>
    </row>
    <row r="6107" spans="2:9">
      <c r="B6107" s="1297"/>
      <c r="C6107" s="1297"/>
      <c r="D6107" s="1297" t="s">
        <v>1041</v>
      </c>
      <c r="F6107" s="1399">
        <v>3414.9300000000003</v>
      </c>
      <c r="I6107" s="1399">
        <v>3414.9300000000003</v>
      </c>
    </row>
    <row r="6108" spans="2:9">
      <c r="B6108" s="1297"/>
      <c r="C6108" s="1297"/>
      <c r="D6108" s="1297" t="s">
        <v>1042</v>
      </c>
      <c r="F6108" s="1399">
        <v>15618</v>
      </c>
      <c r="I6108" s="1399">
        <v>15618</v>
      </c>
    </row>
    <row r="6109" spans="2:9">
      <c r="B6109" s="1297"/>
      <c r="C6109" s="1297"/>
      <c r="D6109" s="1297" t="s">
        <v>985</v>
      </c>
      <c r="F6109" s="1399">
        <v>82000.820000000007</v>
      </c>
      <c r="I6109" s="1399">
        <v>82000.820000000007</v>
      </c>
    </row>
    <row r="6110" spans="2:9">
      <c r="B6110" s="1297"/>
      <c r="C6110" s="1297"/>
      <c r="D6110" s="1297" t="s">
        <v>986</v>
      </c>
      <c r="F6110" s="1399">
        <v>253633.79</v>
      </c>
      <c r="I6110" s="1399">
        <v>253633.79</v>
      </c>
    </row>
    <row r="6111" spans="2:9">
      <c r="B6111" s="1297"/>
      <c r="C6111" s="1297"/>
      <c r="D6111" s="1297" t="s">
        <v>1004</v>
      </c>
      <c r="F6111" s="1399">
        <v>-31042.95</v>
      </c>
      <c r="I6111" s="1399">
        <v>-31042.95</v>
      </c>
    </row>
    <row r="6112" spans="2:9">
      <c r="B6112" s="1297"/>
      <c r="C6112" s="1297"/>
      <c r="D6112" s="1297" t="s">
        <v>1045</v>
      </c>
      <c r="F6112" s="1399">
        <v>467078.93</v>
      </c>
      <c r="I6112" s="1399">
        <v>467078.93</v>
      </c>
    </row>
    <row r="6113" spans="2:9">
      <c r="B6113" s="1297"/>
      <c r="C6113" s="1297"/>
      <c r="D6113" s="1297" t="s">
        <v>1046</v>
      </c>
      <c r="H6113" s="1399">
        <v>10555476</v>
      </c>
      <c r="I6113" s="1399">
        <v>10555476</v>
      </c>
    </row>
    <row r="6114" spans="2:9">
      <c r="B6114" s="1297"/>
      <c r="C6114" s="1297"/>
      <c r="D6114" s="1297" t="s">
        <v>1128</v>
      </c>
      <c r="H6114" s="1399">
        <v>870481</v>
      </c>
      <c r="I6114" s="1399">
        <v>870481</v>
      </c>
    </row>
    <row r="6115" spans="2:9">
      <c r="B6115" s="1297"/>
      <c r="C6115" s="1297"/>
      <c r="D6115" s="1297" t="s">
        <v>1129</v>
      </c>
      <c r="H6115" s="1399">
        <v>-1390287</v>
      </c>
      <c r="I6115" s="1399">
        <v>-1390287</v>
      </c>
    </row>
    <row r="6116" spans="2:9">
      <c r="B6116" s="1297"/>
      <c r="C6116" s="1297"/>
      <c r="D6116" s="1297" t="s">
        <v>1047</v>
      </c>
      <c r="H6116" s="1399">
        <v>59736</v>
      </c>
      <c r="I6116" s="1399">
        <v>59736</v>
      </c>
    </row>
    <row r="6117" spans="2:9">
      <c r="B6117" s="1297"/>
      <c r="C6117" s="1297"/>
      <c r="D6117" s="1297" t="s">
        <v>1048</v>
      </c>
      <c r="H6117" s="1399">
        <v>-1051179</v>
      </c>
      <c r="I6117" s="1399">
        <v>-1051179</v>
      </c>
    </row>
    <row r="6118" spans="2:9">
      <c r="B6118" s="1297"/>
      <c r="C6118" s="1297"/>
      <c r="D6118" s="1297" t="s">
        <v>932</v>
      </c>
      <c r="H6118" s="1399">
        <v>1126557</v>
      </c>
      <c r="I6118" s="1399">
        <v>1126557</v>
      </c>
    </row>
    <row r="6119" spans="2:9">
      <c r="B6119" s="1297"/>
      <c r="C6119" s="1297"/>
      <c r="D6119" s="1297" t="s">
        <v>955</v>
      </c>
      <c r="H6119" s="1399">
        <v>471469.73</v>
      </c>
      <c r="I6119" s="1399">
        <v>471469.73</v>
      </c>
    </row>
    <row r="6120" spans="2:9">
      <c r="B6120" s="1297"/>
      <c r="C6120" s="1297"/>
      <c r="D6120" s="1297" t="s">
        <v>934</v>
      </c>
      <c r="H6120" s="1399">
        <v>25876</v>
      </c>
      <c r="I6120" s="1399">
        <v>25876</v>
      </c>
    </row>
    <row r="6121" spans="2:9">
      <c r="B6121" s="1297"/>
      <c r="C6121" s="1297"/>
      <c r="D6121" s="1297" t="s">
        <v>935</v>
      </c>
      <c r="H6121" s="1399">
        <v>94784.68</v>
      </c>
      <c r="I6121" s="1399">
        <v>94784.68</v>
      </c>
    </row>
    <row r="6122" spans="2:9">
      <c r="B6122" s="1297"/>
      <c r="C6122" s="1297"/>
      <c r="D6122" s="1297" t="s">
        <v>936</v>
      </c>
      <c r="H6122" s="1399">
        <v>31163.4</v>
      </c>
      <c r="I6122" s="1399">
        <v>31163.4</v>
      </c>
    </row>
    <row r="6123" spans="2:9">
      <c r="B6123" s="1297"/>
      <c r="C6123" s="1297"/>
      <c r="D6123" s="1297" t="s">
        <v>938</v>
      </c>
      <c r="H6123" s="1399">
        <v>5240</v>
      </c>
      <c r="I6123" s="1399">
        <v>5240</v>
      </c>
    </row>
    <row r="6124" spans="2:9">
      <c r="B6124" s="1297"/>
      <c r="C6124" s="1297"/>
      <c r="D6124" s="1297" t="s">
        <v>939</v>
      </c>
      <c r="H6124" s="1399">
        <v>42250</v>
      </c>
      <c r="I6124" s="1399">
        <v>42250</v>
      </c>
    </row>
    <row r="6125" spans="2:9">
      <c r="B6125" s="1297"/>
      <c r="C6125" s="1297"/>
      <c r="D6125" s="1297" t="s">
        <v>940</v>
      </c>
      <c r="E6125" s="1399">
        <v>242184.52</v>
      </c>
      <c r="I6125" s="1399">
        <v>242184.52</v>
      </c>
    </row>
    <row r="6126" spans="2:9">
      <c r="B6126" s="1297"/>
      <c r="C6126" s="1297"/>
      <c r="D6126" s="1297" t="s">
        <v>941</v>
      </c>
      <c r="E6126" s="1399">
        <v>52488.619999999995</v>
      </c>
      <c r="I6126" s="1399">
        <v>52488.619999999995</v>
      </c>
    </row>
    <row r="6127" spans="2:9">
      <c r="B6127" s="1297"/>
      <c r="C6127" s="1297"/>
      <c r="D6127" s="1297" t="s">
        <v>944</v>
      </c>
      <c r="E6127" s="1399">
        <v>750529.24</v>
      </c>
      <c r="I6127" s="1399">
        <v>750529.24</v>
      </c>
    </row>
    <row r="6128" spans="2:9">
      <c r="B6128" s="1297"/>
      <c r="C6128" s="1297"/>
      <c r="D6128" s="1297" t="s">
        <v>945</v>
      </c>
      <c r="E6128" s="1399">
        <v>575843.44999999995</v>
      </c>
      <c r="I6128" s="1399">
        <v>575843.44999999995</v>
      </c>
    </row>
    <row r="6129" spans="2:9">
      <c r="B6129" s="1297"/>
      <c r="C6129" s="1297"/>
      <c r="D6129" s="1297" t="s">
        <v>946</v>
      </c>
      <c r="E6129" s="1399">
        <v>14653.92</v>
      </c>
      <c r="I6129" s="1399">
        <v>14653.92</v>
      </c>
    </row>
    <row r="6130" spans="2:9">
      <c r="B6130" s="1297"/>
      <c r="C6130" s="1297"/>
      <c r="D6130" s="1297" t="s">
        <v>947</v>
      </c>
      <c r="E6130" s="1399">
        <v>45782.12</v>
      </c>
      <c r="I6130" s="1399">
        <v>45782.12</v>
      </c>
    </row>
    <row r="6131" spans="2:9">
      <c r="B6131" s="1297"/>
      <c r="C6131" s="1297"/>
      <c r="D6131" s="1297" t="s">
        <v>1116</v>
      </c>
      <c r="G6131" s="1399">
        <v>2940000</v>
      </c>
      <c r="I6131" s="1399">
        <v>2940000</v>
      </c>
    </row>
    <row r="6132" spans="2:9">
      <c r="B6132" s="1297"/>
      <c r="C6132" s="1297"/>
      <c r="D6132" s="1297" t="s">
        <v>948</v>
      </c>
      <c r="G6132" s="1399">
        <v>1960975.54</v>
      </c>
      <c r="I6132" s="1399">
        <v>1960975.54</v>
      </c>
    </row>
    <row r="6133" spans="2:9">
      <c r="B6133" s="1297"/>
      <c r="C6133" s="1400" t="s">
        <v>1436</v>
      </c>
      <c r="D6133" s="1400"/>
      <c r="E6133" s="1401">
        <v>1681481.87</v>
      </c>
      <c r="F6133" s="1401">
        <v>7757374.8099999996</v>
      </c>
      <c r="G6133" s="1401">
        <v>4900975.54</v>
      </c>
      <c r="H6133" s="1401">
        <v>10841567.810000001</v>
      </c>
      <c r="I6133" s="1401">
        <v>25181400.029999997</v>
      </c>
    </row>
    <row r="6134" spans="2:9">
      <c r="B6134" s="1297" t="s">
        <v>1437</v>
      </c>
      <c r="C6134" s="1297" t="s">
        <v>1438</v>
      </c>
      <c r="D6134" s="1297" t="s">
        <v>907</v>
      </c>
      <c r="F6134" s="1399">
        <v>2869784.14</v>
      </c>
      <c r="I6134" s="1399">
        <v>2869784.14</v>
      </c>
    </row>
    <row r="6135" spans="2:9">
      <c r="B6135" s="1297"/>
      <c r="C6135" s="1297"/>
      <c r="D6135" s="1297" t="s">
        <v>1145</v>
      </c>
      <c r="F6135" s="1399">
        <v>17304552.02</v>
      </c>
      <c r="I6135" s="1399">
        <v>17304552.02</v>
      </c>
    </row>
    <row r="6136" spans="2:9">
      <c r="B6136" s="1297"/>
      <c r="C6136" s="1297"/>
      <c r="D6136" s="1297" t="s">
        <v>1037</v>
      </c>
      <c r="F6136" s="1399">
        <v>1311992.1299999999</v>
      </c>
      <c r="I6136" s="1399">
        <v>1311992.1299999999</v>
      </c>
    </row>
    <row r="6137" spans="2:9">
      <c r="B6137" s="1297"/>
      <c r="C6137" s="1297"/>
      <c r="D6137" s="1297" t="s">
        <v>1039</v>
      </c>
      <c r="F6137" s="1399">
        <v>3490.62</v>
      </c>
      <c r="I6137" s="1399">
        <v>3490.62</v>
      </c>
    </row>
    <row r="6138" spans="2:9">
      <c r="B6138" s="1297"/>
      <c r="C6138" s="1297"/>
      <c r="D6138" s="1297" t="s">
        <v>1040</v>
      </c>
      <c r="F6138" s="1399">
        <v>374430.81</v>
      </c>
      <c r="I6138" s="1399">
        <v>374430.81</v>
      </c>
    </row>
    <row r="6139" spans="2:9">
      <c r="B6139" s="1297"/>
      <c r="C6139" s="1297"/>
      <c r="D6139" s="1297" t="s">
        <v>1041</v>
      </c>
      <c r="F6139" s="1399">
        <v>85103.42</v>
      </c>
      <c r="I6139" s="1399">
        <v>85103.42</v>
      </c>
    </row>
    <row r="6140" spans="2:9">
      <c r="B6140" s="1297"/>
      <c r="C6140" s="1297"/>
      <c r="D6140" s="1297" t="s">
        <v>1045</v>
      </c>
      <c r="F6140" s="1399">
        <v>397724.05999999994</v>
      </c>
      <c r="I6140" s="1399">
        <v>397724.05999999994</v>
      </c>
    </row>
    <row r="6141" spans="2:9">
      <c r="B6141" s="1297"/>
      <c r="C6141" s="1297"/>
      <c r="D6141" s="1297" t="s">
        <v>1046</v>
      </c>
      <c r="H6141" s="1399">
        <v>18191973</v>
      </c>
      <c r="I6141" s="1399">
        <v>18191973</v>
      </c>
    </row>
    <row r="6142" spans="2:9">
      <c r="B6142" s="1297"/>
      <c r="C6142" s="1297"/>
      <c r="D6142" s="1297" t="s">
        <v>1047</v>
      </c>
      <c r="H6142" s="1399">
        <v>-1790273</v>
      </c>
      <c r="I6142" s="1399">
        <v>-1790273</v>
      </c>
    </row>
    <row r="6143" spans="2:9">
      <c r="B6143" s="1297"/>
      <c r="C6143" s="1297"/>
      <c r="D6143" s="1297" t="s">
        <v>1048</v>
      </c>
      <c r="H6143" s="1399">
        <v>-4556825</v>
      </c>
      <c r="I6143" s="1399">
        <v>-4556825</v>
      </c>
    </row>
    <row r="6144" spans="2:9">
      <c r="B6144" s="1297"/>
      <c r="C6144" s="1297"/>
      <c r="D6144" s="1297" t="s">
        <v>934</v>
      </c>
      <c r="H6144" s="1399">
        <v>45792.94</v>
      </c>
      <c r="I6144" s="1399">
        <v>45792.94</v>
      </c>
    </row>
    <row r="6145" spans="2:9">
      <c r="B6145" s="1297"/>
      <c r="C6145" s="1297"/>
      <c r="D6145" s="1297" t="s">
        <v>935</v>
      </c>
      <c r="H6145" s="1399">
        <v>69927.56</v>
      </c>
      <c r="I6145" s="1399">
        <v>69927.56</v>
      </c>
    </row>
    <row r="6146" spans="2:9">
      <c r="B6146" s="1297"/>
      <c r="C6146" s="1297"/>
      <c r="D6146" s="1297" t="s">
        <v>940</v>
      </c>
      <c r="E6146" s="1399">
        <v>902579.4800000001</v>
      </c>
      <c r="I6146" s="1399">
        <v>902579.4800000001</v>
      </c>
    </row>
    <row r="6147" spans="2:9">
      <c r="B6147" s="1297"/>
      <c r="C6147" s="1297"/>
      <c r="D6147" s="1297" t="s">
        <v>944</v>
      </c>
      <c r="E6147" s="1399">
        <v>873036.82000000007</v>
      </c>
      <c r="I6147" s="1399">
        <v>873036.82000000007</v>
      </c>
    </row>
    <row r="6148" spans="2:9">
      <c r="B6148" s="1297"/>
      <c r="C6148" s="1297"/>
      <c r="D6148" s="1297" t="s">
        <v>945</v>
      </c>
      <c r="E6148" s="1399">
        <v>887958.95</v>
      </c>
      <c r="I6148" s="1399">
        <v>887958.95</v>
      </c>
    </row>
    <row r="6149" spans="2:9">
      <c r="B6149" s="1297"/>
      <c r="C6149" s="1297"/>
      <c r="D6149" s="1297" t="s">
        <v>947</v>
      </c>
      <c r="E6149" s="1399">
        <v>57102.990000000005</v>
      </c>
      <c r="I6149" s="1399">
        <v>57102.990000000005</v>
      </c>
    </row>
    <row r="6150" spans="2:9">
      <c r="B6150" s="1297"/>
      <c r="C6150" s="1297"/>
      <c r="D6150" s="1297" t="s">
        <v>948</v>
      </c>
      <c r="G6150" s="1399">
        <v>300082.48</v>
      </c>
      <c r="I6150" s="1399">
        <v>300082.48</v>
      </c>
    </row>
    <row r="6151" spans="2:9">
      <c r="B6151" s="1297"/>
      <c r="C6151" s="1400" t="s">
        <v>1439</v>
      </c>
      <c r="D6151" s="1400"/>
      <c r="E6151" s="1401">
        <v>2720678.24</v>
      </c>
      <c r="F6151" s="1401">
        <v>22347077.199999999</v>
      </c>
      <c r="G6151" s="1401">
        <v>300082.48</v>
      </c>
      <c r="H6151" s="1401">
        <v>11960595.5</v>
      </c>
      <c r="I6151" s="1401">
        <v>37328433.420000002</v>
      </c>
    </row>
    <row r="6152" spans="2:9">
      <c r="B6152" s="1297" t="s">
        <v>1440</v>
      </c>
      <c r="C6152" s="1297" t="s">
        <v>1441</v>
      </c>
      <c r="D6152" s="1297" t="s">
        <v>907</v>
      </c>
      <c r="F6152" s="1399">
        <v>2515624.5699999998</v>
      </c>
      <c r="I6152" s="1399">
        <v>2515624.5699999998</v>
      </c>
    </row>
    <row r="6153" spans="2:9">
      <c r="B6153" s="1297"/>
      <c r="C6153" s="1297"/>
      <c r="D6153" s="1297" t="s">
        <v>1145</v>
      </c>
      <c r="F6153" s="1399">
        <v>10074116.34</v>
      </c>
      <c r="I6153" s="1399">
        <v>10074116.34</v>
      </c>
    </row>
    <row r="6154" spans="2:9">
      <c r="B6154" s="1297"/>
      <c r="C6154" s="1297"/>
      <c r="D6154" s="1297" t="s">
        <v>909</v>
      </c>
      <c r="F6154" s="1399">
        <v>82191.62</v>
      </c>
      <c r="I6154" s="1399">
        <v>82191.62</v>
      </c>
    </row>
    <row r="6155" spans="2:9">
      <c r="B6155" s="1297"/>
      <c r="C6155" s="1297"/>
      <c r="D6155" s="1297" t="s">
        <v>1034</v>
      </c>
      <c r="F6155" s="1399">
        <v>69303.929999999993</v>
      </c>
      <c r="I6155" s="1399">
        <v>69303.929999999993</v>
      </c>
    </row>
    <row r="6156" spans="2:9">
      <c r="B6156" s="1297"/>
      <c r="C6156" s="1297"/>
      <c r="D6156" s="1297" t="s">
        <v>1035</v>
      </c>
      <c r="F6156" s="1399">
        <v>64637.86</v>
      </c>
      <c r="I6156" s="1399">
        <v>64637.86</v>
      </c>
    </row>
    <row r="6157" spans="2:9">
      <c r="B6157" s="1297"/>
      <c r="C6157" s="1297"/>
      <c r="D6157" s="1297" t="s">
        <v>1036</v>
      </c>
      <c r="F6157" s="1399">
        <v>406407.15</v>
      </c>
      <c r="I6157" s="1399">
        <v>406407.15</v>
      </c>
    </row>
    <row r="6158" spans="2:9">
      <c r="B6158" s="1297"/>
      <c r="C6158" s="1297"/>
      <c r="D6158" s="1297" t="s">
        <v>1039</v>
      </c>
      <c r="F6158" s="1399">
        <v>27210.350000000002</v>
      </c>
      <c r="I6158" s="1399">
        <v>27210.350000000002</v>
      </c>
    </row>
    <row r="6159" spans="2:9">
      <c r="B6159" s="1297"/>
      <c r="C6159" s="1297"/>
      <c r="D6159" s="1297" t="s">
        <v>1040</v>
      </c>
      <c r="F6159" s="1399">
        <v>304057.14</v>
      </c>
      <c r="I6159" s="1399">
        <v>304057.14</v>
      </c>
    </row>
    <row r="6160" spans="2:9">
      <c r="B6160" s="1297"/>
      <c r="C6160" s="1297"/>
      <c r="D6160" s="1297" t="s">
        <v>1127</v>
      </c>
      <c r="F6160" s="1399">
        <v>153698.22</v>
      </c>
      <c r="I6160" s="1399">
        <v>153698.22</v>
      </c>
    </row>
    <row r="6161" spans="2:9">
      <c r="B6161" s="1297"/>
      <c r="C6161" s="1297"/>
      <c r="D6161" s="1297" t="s">
        <v>1041</v>
      </c>
      <c r="F6161" s="1399">
        <v>31367.78</v>
      </c>
      <c r="I6161" s="1399">
        <v>31367.78</v>
      </c>
    </row>
    <row r="6162" spans="2:9">
      <c r="B6162" s="1297"/>
      <c r="C6162" s="1297"/>
      <c r="D6162" s="1297" t="s">
        <v>1042</v>
      </c>
      <c r="F6162" s="1399">
        <v>53046.29</v>
      </c>
      <c r="I6162" s="1399">
        <v>53046.29</v>
      </c>
    </row>
    <row r="6163" spans="2:9">
      <c r="B6163" s="1297"/>
      <c r="C6163" s="1297"/>
      <c r="D6163" s="1297" t="s">
        <v>954</v>
      </c>
      <c r="F6163" s="1399">
        <v>108332.62</v>
      </c>
      <c r="I6163" s="1399">
        <v>108332.62</v>
      </c>
    </row>
    <row r="6164" spans="2:9">
      <c r="B6164" s="1297"/>
      <c r="C6164" s="1297"/>
      <c r="D6164" s="1297" t="s">
        <v>985</v>
      </c>
      <c r="F6164" s="1399">
        <v>450260.97</v>
      </c>
      <c r="I6164" s="1399">
        <v>450260.97</v>
      </c>
    </row>
    <row r="6165" spans="2:9">
      <c r="B6165" s="1297"/>
      <c r="C6165" s="1297"/>
      <c r="D6165" s="1297" t="s">
        <v>986</v>
      </c>
      <c r="F6165" s="1399">
        <v>34910.159999999996</v>
      </c>
      <c r="I6165" s="1399">
        <v>34910.159999999996</v>
      </c>
    </row>
    <row r="6166" spans="2:9">
      <c r="B6166" s="1297"/>
      <c r="C6166" s="1297"/>
      <c r="D6166" s="1297" t="s">
        <v>1045</v>
      </c>
      <c r="F6166" s="1399">
        <v>1374550.9500000002</v>
      </c>
      <c r="I6166" s="1399">
        <v>1374550.9500000002</v>
      </c>
    </row>
    <row r="6167" spans="2:9">
      <c r="B6167" s="1297"/>
      <c r="C6167" s="1297"/>
      <c r="D6167" s="1297" t="s">
        <v>1046</v>
      </c>
      <c r="H6167" s="1399">
        <v>17170666</v>
      </c>
      <c r="I6167" s="1399">
        <v>17170666</v>
      </c>
    </row>
    <row r="6168" spans="2:9">
      <c r="B6168" s="1297"/>
      <c r="C6168" s="1297"/>
      <c r="D6168" s="1297" t="s">
        <v>1128</v>
      </c>
      <c r="H6168" s="1399">
        <v>1561152</v>
      </c>
      <c r="I6168" s="1399">
        <v>1561152</v>
      </c>
    </row>
    <row r="6169" spans="2:9">
      <c r="B6169" s="1297"/>
      <c r="C6169" s="1297"/>
      <c r="D6169" s="1297" t="s">
        <v>1129</v>
      </c>
      <c r="H6169" s="1399">
        <v>-2152853</v>
      </c>
      <c r="I6169" s="1399">
        <v>-2152853</v>
      </c>
    </row>
    <row r="6170" spans="2:9">
      <c r="B6170" s="1297"/>
      <c r="C6170" s="1297"/>
      <c r="D6170" s="1297" t="s">
        <v>1047</v>
      </c>
      <c r="H6170" s="1399">
        <v>162191</v>
      </c>
      <c r="I6170" s="1399">
        <v>162191</v>
      </c>
    </row>
    <row r="6171" spans="2:9">
      <c r="B6171" s="1297"/>
      <c r="C6171" s="1297"/>
      <c r="D6171" s="1297" t="s">
        <v>1048</v>
      </c>
      <c r="H6171" s="1399">
        <v>-3895561</v>
      </c>
      <c r="I6171" s="1399">
        <v>-3895561</v>
      </c>
    </row>
    <row r="6172" spans="2:9">
      <c r="B6172" s="1297"/>
      <c r="C6172" s="1297"/>
      <c r="D6172" s="1297" t="s">
        <v>955</v>
      </c>
      <c r="H6172" s="1399">
        <v>900642.47</v>
      </c>
      <c r="I6172" s="1399">
        <v>900642.47</v>
      </c>
    </row>
    <row r="6173" spans="2:9">
      <c r="B6173" s="1297"/>
      <c r="C6173" s="1297"/>
      <c r="D6173" s="1297" t="s">
        <v>934</v>
      </c>
      <c r="H6173" s="1399">
        <v>54610</v>
      </c>
      <c r="I6173" s="1399">
        <v>54610</v>
      </c>
    </row>
    <row r="6174" spans="2:9">
      <c r="B6174" s="1297"/>
      <c r="C6174" s="1297"/>
      <c r="D6174" s="1297" t="s">
        <v>935</v>
      </c>
      <c r="H6174" s="1399">
        <v>104183.63</v>
      </c>
      <c r="I6174" s="1399">
        <v>104183.63</v>
      </c>
    </row>
    <row r="6175" spans="2:9">
      <c r="B6175" s="1297"/>
      <c r="C6175" s="1297"/>
      <c r="D6175" s="1297" t="s">
        <v>936</v>
      </c>
      <c r="H6175" s="1399">
        <v>43068.52</v>
      </c>
      <c r="I6175" s="1399">
        <v>43068.52</v>
      </c>
    </row>
    <row r="6176" spans="2:9">
      <c r="B6176" s="1297"/>
      <c r="C6176" s="1297"/>
      <c r="D6176" s="1297" t="s">
        <v>937</v>
      </c>
      <c r="H6176" s="1399">
        <v>33258.480000000003</v>
      </c>
      <c r="I6176" s="1399">
        <v>33258.480000000003</v>
      </c>
    </row>
    <row r="6177" spans="2:9">
      <c r="B6177" s="1297"/>
      <c r="C6177" s="1297"/>
      <c r="D6177" s="1297" t="s">
        <v>938</v>
      </c>
      <c r="H6177" s="1399">
        <v>14037</v>
      </c>
      <c r="I6177" s="1399">
        <v>14037</v>
      </c>
    </row>
    <row r="6178" spans="2:9">
      <c r="B6178" s="1297"/>
      <c r="C6178" s="1297"/>
      <c r="D6178" s="1297" t="s">
        <v>939</v>
      </c>
      <c r="H6178" s="1399">
        <v>62752.160000000003</v>
      </c>
      <c r="I6178" s="1399">
        <v>62752.160000000003</v>
      </c>
    </row>
    <row r="6179" spans="2:9">
      <c r="B6179" s="1297"/>
      <c r="C6179" s="1297"/>
      <c r="D6179" s="1297" t="s">
        <v>940</v>
      </c>
      <c r="E6179" s="1399">
        <v>1104439.18</v>
      </c>
      <c r="I6179" s="1399">
        <v>1104439.18</v>
      </c>
    </row>
    <row r="6180" spans="2:9">
      <c r="B6180" s="1297"/>
      <c r="C6180" s="1297"/>
      <c r="D6180" s="1297" t="s">
        <v>941</v>
      </c>
      <c r="E6180" s="1399">
        <v>427187.02</v>
      </c>
      <c r="I6180" s="1399">
        <v>427187.02</v>
      </c>
    </row>
    <row r="6181" spans="2:9">
      <c r="B6181" s="1297"/>
      <c r="C6181" s="1297"/>
      <c r="D6181" s="1297" t="s">
        <v>943</v>
      </c>
      <c r="E6181" s="1399">
        <v>44286.78</v>
      </c>
      <c r="I6181" s="1399">
        <v>44286.78</v>
      </c>
    </row>
    <row r="6182" spans="2:9">
      <c r="B6182" s="1297"/>
      <c r="C6182" s="1297"/>
      <c r="D6182" s="1297" t="s">
        <v>944</v>
      </c>
      <c r="E6182" s="1399">
        <v>1399463.7699999998</v>
      </c>
      <c r="I6182" s="1399">
        <v>1399463.7699999998</v>
      </c>
    </row>
    <row r="6183" spans="2:9">
      <c r="B6183" s="1297"/>
      <c r="C6183" s="1297"/>
      <c r="D6183" s="1297" t="s">
        <v>945</v>
      </c>
      <c r="E6183" s="1399">
        <v>1277474.6599999999</v>
      </c>
      <c r="I6183" s="1399">
        <v>1277474.6599999999</v>
      </c>
    </row>
    <row r="6184" spans="2:9">
      <c r="B6184" s="1297"/>
      <c r="C6184" s="1297"/>
      <c r="D6184" s="1297" t="s">
        <v>947</v>
      </c>
      <c r="E6184" s="1399">
        <v>101903.96</v>
      </c>
      <c r="I6184" s="1399">
        <v>101903.96</v>
      </c>
    </row>
    <row r="6185" spans="2:9">
      <c r="B6185" s="1297"/>
      <c r="C6185" s="1297"/>
      <c r="D6185" s="1297" t="s">
        <v>1115</v>
      </c>
      <c r="E6185" s="1399">
        <v>3681.02</v>
      </c>
      <c r="I6185" s="1399">
        <v>3681.02</v>
      </c>
    </row>
    <row r="6186" spans="2:9">
      <c r="B6186" s="1297"/>
      <c r="C6186" s="1297"/>
      <c r="D6186" s="1297" t="s">
        <v>948</v>
      </c>
      <c r="G6186" s="1399">
        <v>66175.59</v>
      </c>
      <c r="I6186" s="1399">
        <v>66175.59</v>
      </c>
    </row>
    <row r="6187" spans="2:9">
      <c r="B6187" s="1297"/>
      <c r="C6187" s="1400" t="s">
        <v>1442</v>
      </c>
      <c r="D6187" s="1400"/>
      <c r="E6187" s="1401">
        <v>4358436.3899999997</v>
      </c>
      <c r="F6187" s="1401">
        <v>15749715.949999999</v>
      </c>
      <c r="G6187" s="1401">
        <v>66175.59</v>
      </c>
      <c r="H6187" s="1401">
        <v>14058147.260000002</v>
      </c>
      <c r="I6187" s="1401">
        <v>34232475.190000005</v>
      </c>
    </row>
    <row r="6188" spans="2:9">
      <c r="B6188" s="1297" t="s">
        <v>1443</v>
      </c>
      <c r="C6188" s="1297" t="s">
        <v>1444</v>
      </c>
      <c r="D6188" s="1297" t="s">
        <v>907</v>
      </c>
      <c r="F6188" s="1399">
        <v>3171602.09</v>
      </c>
      <c r="I6188" s="1399">
        <v>3171602.09</v>
      </c>
    </row>
    <row r="6189" spans="2:9">
      <c r="B6189" s="1297"/>
      <c r="C6189" s="1297"/>
      <c r="D6189" s="1297" t="s">
        <v>1145</v>
      </c>
      <c r="F6189" s="1399">
        <v>12768101.73</v>
      </c>
      <c r="I6189" s="1399">
        <v>12768101.73</v>
      </c>
    </row>
    <row r="6190" spans="2:9">
      <c r="B6190" s="1297"/>
      <c r="C6190" s="1297"/>
      <c r="D6190" s="1297" t="s">
        <v>909</v>
      </c>
      <c r="F6190" s="1399">
        <v>8777.82</v>
      </c>
      <c r="I6190" s="1399">
        <v>8777.82</v>
      </c>
    </row>
    <row r="6191" spans="2:9">
      <c r="B6191" s="1297"/>
      <c r="C6191" s="1297"/>
      <c r="D6191" s="1297" t="s">
        <v>910</v>
      </c>
      <c r="F6191" s="1399">
        <v>555985.80000000005</v>
      </c>
      <c r="I6191" s="1399">
        <v>555985.80000000005</v>
      </c>
    </row>
    <row r="6192" spans="2:9">
      <c r="B6192" s="1297"/>
      <c r="C6192" s="1297"/>
      <c r="D6192" s="1297" t="s">
        <v>1035</v>
      </c>
      <c r="F6192" s="1399">
        <v>136513.29999999999</v>
      </c>
      <c r="I6192" s="1399">
        <v>136513.29999999999</v>
      </c>
    </row>
    <row r="6193" spans="2:9">
      <c r="B6193" s="1297"/>
      <c r="C6193" s="1297"/>
      <c r="D6193" s="1297" t="s">
        <v>1036</v>
      </c>
      <c r="F6193" s="1399">
        <v>509868.53</v>
      </c>
      <c r="I6193" s="1399">
        <v>509868.53</v>
      </c>
    </row>
    <row r="6194" spans="2:9">
      <c r="B6194" s="1297"/>
      <c r="C6194" s="1297"/>
      <c r="D6194" s="1297" t="s">
        <v>1037</v>
      </c>
      <c r="F6194" s="1399">
        <v>222905.9</v>
      </c>
      <c r="I6194" s="1399">
        <v>222905.9</v>
      </c>
    </row>
    <row r="6195" spans="2:9">
      <c r="B6195" s="1297"/>
      <c r="C6195" s="1297"/>
      <c r="D6195" s="1297" t="s">
        <v>1039</v>
      </c>
      <c r="F6195" s="1399">
        <v>75391.829999999987</v>
      </c>
      <c r="I6195" s="1399">
        <v>75391.829999999987</v>
      </c>
    </row>
    <row r="6196" spans="2:9">
      <c r="B6196" s="1297"/>
      <c r="C6196" s="1297"/>
      <c r="D6196" s="1297" t="s">
        <v>1040</v>
      </c>
      <c r="F6196" s="1399">
        <v>611869.54</v>
      </c>
      <c r="I6196" s="1399">
        <v>611869.54</v>
      </c>
    </row>
    <row r="6197" spans="2:9">
      <c r="B6197" s="1297"/>
      <c r="C6197" s="1297"/>
      <c r="D6197" s="1297" t="s">
        <v>1041</v>
      </c>
      <c r="F6197" s="1399">
        <v>40286.629999999997</v>
      </c>
      <c r="I6197" s="1399">
        <v>40286.629999999997</v>
      </c>
    </row>
    <row r="6198" spans="2:9">
      <c r="B6198" s="1297"/>
      <c r="C6198" s="1297"/>
      <c r="D6198" s="1297" t="s">
        <v>1042</v>
      </c>
      <c r="F6198" s="1399">
        <v>58598.3</v>
      </c>
      <c r="I6198" s="1399">
        <v>58598.3</v>
      </c>
    </row>
    <row r="6199" spans="2:9">
      <c r="B6199" s="1297"/>
      <c r="C6199" s="1297"/>
      <c r="D6199" s="1297" t="s">
        <v>986</v>
      </c>
      <c r="F6199" s="1399">
        <v>97506.08</v>
      </c>
      <c r="I6199" s="1399">
        <v>97506.08</v>
      </c>
    </row>
    <row r="6200" spans="2:9">
      <c r="B6200" s="1297"/>
      <c r="C6200" s="1297"/>
      <c r="D6200" s="1297" t="s">
        <v>1045</v>
      </c>
      <c r="F6200" s="1399">
        <v>4600826.0200000005</v>
      </c>
      <c r="I6200" s="1399">
        <v>4600826.0200000005</v>
      </c>
    </row>
    <row r="6201" spans="2:9">
      <c r="B6201" s="1297"/>
      <c r="C6201" s="1297"/>
      <c r="D6201" s="1297" t="s">
        <v>1046</v>
      </c>
      <c r="H6201" s="1399">
        <v>20855737</v>
      </c>
      <c r="I6201" s="1399">
        <v>20855737</v>
      </c>
    </row>
    <row r="6202" spans="2:9">
      <c r="B6202" s="1297"/>
      <c r="C6202" s="1297"/>
      <c r="D6202" s="1297" t="s">
        <v>1128</v>
      </c>
      <c r="H6202" s="1399">
        <v>1988766</v>
      </c>
      <c r="I6202" s="1399">
        <v>1988766</v>
      </c>
    </row>
    <row r="6203" spans="2:9">
      <c r="B6203" s="1297"/>
      <c r="C6203" s="1297"/>
      <c r="D6203" s="1297" t="s">
        <v>1129</v>
      </c>
      <c r="H6203" s="1399">
        <v>-3148363</v>
      </c>
      <c r="I6203" s="1399">
        <v>-3148363</v>
      </c>
    </row>
    <row r="6204" spans="2:9">
      <c r="B6204" s="1297"/>
      <c r="C6204" s="1297"/>
      <c r="D6204" s="1297" t="s">
        <v>1047</v>
      </c>
      <c r="H6204" s="1399">
        <v>336661</v>
      </c>
      <c r="I6204" s="1399">
        <v>336661</v>
      </c>
    </row>
    <row r="6205" spans="2:9">
      <c r="B6205" s="1297"/>
      <c r="C6205" s="1297"/>
      <c r="D6205" s="1297" t="s">
        <v>1048</v>
      </c>
      <c r="H6205" s="1399">
        <v>-3660107</v>
      </c>
      <c r="I6205" s="1399">
        <v>-3660107</v>
      </c>
    </row>
    <row r="6206" spans="2:9">
      <c r="B6206" s="1297"/>
      <c r="C6206" s="1297"/>
      <c r="D6206" s="1297" t="s">
        <v>932</v>
      </c>
      <c r="H6206" s="1399">
        <v>846536</v>
      </c>
      <c r="I6206" s="1399">
        <v>846536</v>
      </c>
    </row>
    <row r="6207" spans="2:9">
      <c r="B6207" s="1297"/>
      <c r="C6207" s="1297"/>
      <c r="D6207" s="1297" t="s">
        <v>955</v>
      </c>
      <c r="H6207" s="1399">
        <v>819745.86</v>
      </c>
      <c r="I6207" s="1399">
        <v>819745.86</v>
      </c>
    </row>
    <row r="6208" spans="2:9">
      <c r="B6208" s="1297"/>
      <c r="C6208" s="1297"/>
      <c r="D6208" s="1297" t="s">
        <v>934</v>
      </c>
      <c r="H6208" s="1399">
        <v>70028</v>
      </c>
      <c r="I6208" s="1399">
        <v>70028</v>
      </c>
    </row>
    <row r="6209" spans="2:9">
      <c r="B6209" s="1297"/>
      <c r="C6209" s="1297"/>
      <c r="D6209" s="1297" t="s">
        <v>935</v>
      </c>
      <c r="H6209" s="1399">
        <v>147617.14000000001</v>
      </c>
      <c r="I6209" s="1399">
        <v>147617.14000000001</v>
      </c>
    </row>
    <row r="6210" spans="2:9">
      <c r="B6210" s="1297"/>
      <c r="C6210" s="1297"/>
      <c r="D6210" s="1297" t="s">
        <v>936</v>
      </c>
      <c r="H6210" s="1399">
        <v>60576.04</v>
      </c>
      <c r="I6210" s="1399">
        <v>60576.04</v>
      </c>
    </row>
    <row r="6211" spans="2:9">
      <c r="B6211" s="1297"/>
      <c r="C6211" s="1297"/>
      <c r="D6211" s="1297" t="s">
        <v>937</v>
      </c>
      <c r="H6211" s="1399">
        <v>19601.38</v>
      </c>
      <c r="I6211" s="1399">
        <v>19601.38</v>
      </c>
    </row>
    <row r="6212" spans="2:9">
      <c r="B6212" s="1297"/>
      <c r="C6212" s="1297"/>
      <c r="D6212" s="1297" t="s">
        <v>938</v>
      </c>
      <c r="H6212" s="1399">
        <v>23769</v>
      </c>
      <c r="I6212" s="1399">
        <v>23769</v>
      </c>
    </row>
    <row r="6213" spans="2:9">
      <c r="B6213" s="1297"/>
      <c r="C6213" s="1297"/>
      <c r="D6213" s="1297" t="s">
        <v>940</v>
      </c>
      <c r="E6213" s="1399">
        <v>1108466.1000000001</v>
      </c>
      <c r="I6213" s="1399">
        <v>1108466.1000000001</v>
      </c>
    </row>
    <row r="6214" spans="2:9">
      <c r="B6214" s="1297"/>
      <c r="C6214" s="1297"/>
      <c r="D6214" s="1297" t="s">
        <v>941</v>
      </c>
      <c r="E6214" s="1399">
        <v>416870.96</v>
      </c>
      <c r="I6214" s="1399">
        <v>416870.96</v>
      </c>
    </row>
    <row r="6215" spans="2:9">
      <c r="B6215" s="1297"/>
      <c r="C6215" s="1297"/>
      <c r="D6215" s="1297" t="s">
        <v>943</v>
      </c>
      <c r="E6215" s="1399">
        <v>22953.32</v>
      </c>
      <c r="I6215" s="1399">
        <v>22953.32</v>
      </c>
    </row>
    <row r="6216" spans="2:9">
      <c r="B6216" s="1297"/>
      <c r="C6216" s="1297"/>
      <c r="D6216" s="1297" t="s">
        <v>944</v>
      </c>
      <c r="E6216" s="1399">
        <v>5991745.29</v>
      </c>
      <c r="I6216" s="1399">
        <v>5991745.29</v>
      </c>
    </row>
    <row r="6217" spans="2:9">
      <c r="B6217" s="1297"/>
      <c r="C6217" s="1297"/>
      <c r="D6217" s="1297" t="s">
        <v>947</v>
      </c>
      <c r="E6217" s="1399">
        <v>146088.32999999999</v>
      </c>
      <c r="I6217" s="1399">
        <v>146088.32999999999</v>
      </c>
    </row>
    <row r="6218" spans="2:9">
      <c r="B6218" s="1297"/>
      <c r="C6218" s="1297"/>
      <c r="D6218" s="1297" t="s">
        <v>1115</v>
      </c>
      <c r="E6218" s="1399">
        <v>65201.7</v>
      </c>
      <c r="I6218" s="1399">
        <v>65201.7</v>
      </c>
    </row>
    <row r="6219" spans="2:9">
      <c r="B6219" s="1297"/>
      <c r="C6219" s="1297"/>
      <c r="D6219" s="1297" t="s">
        <v>948</v>
      </c>
      <c r="G6219" s="1399">
        <v>744325.11</v>
      </c>
      <c r="I6219" s="1399">
        <v>744325.11</v>
      </c>
    </row>
    <row r="6220" spans="2:9">
      <c r="B6220" s="1297"/>
      <c r="C6220" s="1400" t="s">
        <v>1445</v>
      </c>
      <c r="D6220" s="1400"/>
      <c r="E6220" s="1401">
        <v>7751325.7000000002</v>
      </c>
      <c r="F6220" s="1401">
        <v>22858233.569999997</v>
      </c>
      <c r="G6220" s="1401">
        <v>744325.11</v>
      </c>
      <c r="H6220" s="1401">
        <v>18360567.419999998</v>
      </c>
      <c r="I6220" s="1401">
        <v>49714451.799999997</v>
      </c>
    </row>
    <row r="6221" spans="2:9">
      <c r="B6221" s="1297" t="s">
        <v>1446</v>
      </c>
      <c r="C6221" s="1297" t="s">
        <v>1447</v>
      </c>
      <c r="D6221" s="1297" t="s">
        <v>907</v>
      </c>
      <c r="F6221" s="1399">
        <v>4904103.8099999996</v>
      </c>
      <c r="I6221" s="1399">
        <v>4904103.8099999996</v>
      </c>
    </row>
    <row r="6222" spans="2:9">
      <c r="B6222" s="1297"/>
      <c r="C6222" s="1297"/>
      <c r="D6222" s="1297" t="s">
        <v>1145</v>
      </c>
      <c r="F6222" s="1399">
        <v>16377139.390000001</v>
      </c>
      <c r="I6222" s="1399">
        <v>16377139.390000001</v>
      </c>
    </row>
    <row r="6223" spans="2:9">
      <c r="B6223" s="1297"/>
      <c r="C6223" s="1297"/>
      <c r="D6223" s="1297" t="s">
        <v>909</v>
      </c>
      <c r="F6223" s="1399">
        <v>46287.88</v>
      </c>
      <c r="I6223" s="1399">
        <v>46287.88</v>
      </c>
    </row>
    <row r="6224" spans="2:9">
      <c r="B6224" s="1297"/>
      <c r="C6224" s="1297"/>
      <c r="D6224" s="1297" t="s">
        <v>910</v>
      </c>
      <c r="F6224" s="1399">
        <v>197948.63</v>
      </c>
      <c r="I6224" s="1399">
        <v>197948.63</v>
      </c>
    </row>
    <row r="6225" spans="2:9">
      <c r="B6225" s="1297"/>
      <c r="C6225" s="1297"/>
      <c r="D6225" s="1297" t="s">
        <v>1034</v>
      </c>
      <c r="F6225" s="1399">
        <v>92565.170000000013</v>
      </c>
      <c r="I6225" s="1399">
        <v>92565.170000000013</v>
      </c>
    </row>
    <row r="6226" spans="2:9">
      <c r="B6226" s="1297"/>
      <c r="C6226" s="1297"/>
      <c r="D6226" s="1297" t="s">
        <v>1035</v>
      </c>
      <c r="F6226" s="1399">
        <v>390822.77</v>
      </c>
      <c r="I6226" s="1399">
        <v>390822.77</v>
      </c>
    </row>
    <row r="6227" spans="2:9">
      <c r="B6227" s="1297"/>
      <c r="C6227" s="1297"/>
      <c r="D6227" s="1297" t="s">
        <v>1036</v>
      </c>
      <c r="F6227" s="1399">
        <v>128881.93000000001</v>
      </c>
      <c r="I6227" s="1399">
        <v>128881.93000000001</v>
      </c>
    </row>
    <row r="6228" spans="2:9">
      <c r="B6228" s="1297"/>
      <c r="C6228" s="1297"/>
      <c r="D6228" s="1297" t="s">
        <v>1037</v>
      </c>
      <c r="F6228" s="1399">
        <v>50150</v>
      </c>
      <c r="I6228" s="1399">
        <v>50150</v>
      </c>
    </row>
    <row r="6229" spans="2:9">
      <c r="B6229" s="1297"/>
      <c r="C6229" s="1297"/>
      <c r="D6229" s="1297" t="s">
        <v>1039</v>
      </c>
      <c r="F6229" s="1399">
        <v>40328.58</v>
      </c>
      <c r="I6229" s="1399">
        <v>40328.58</v>
      </c>
    </row>
    <row r="6230" spans="2:9">
      <c r="B6230" s="1297"/>
      <c r="C6230" s="1297"/>
      <c r="D6230" s="1297" t="s">
        <v>1040</v>
      </c>
      <c r="F6230" s="1399">
        <v>412082.02999999997</v>
      </c>
      <c r="I6230" s="1399">
        <v>412082.02999999997</v>
      </c>
    </row>
    <row r="6231" spans="2:9">
      <c r="B6231" s="1297"/>
      <c r="C6231" s="1297"/>
      <c r="D6231" s="1297" t="s">
        <v>1041</v>
      </c>
      <c r="F6231" s="1399">
        <v>416827.18</v>
      </c>
      <c r="I6231" s="1399">
        <v>416827.18</v>
      </c>
    </row>
    <row r="6232" spans="2:9">
      <c r="B6232" s="1297"/>
      <c r="C6232" s="1297"/>
      <c r="D6232" s="1297" t="s">
        <v>1042</v>
      </c>
      <c r="F6232" s="1399">
        <v>78189.56</v>
      </c>
      <c r="I6232" s="1399">
        <v>78189.56</v>
      </c>
    </row>
    <row r="6233" spans="2:9">
      <c r="B6233" s="1297"/>
      <c r="C6233" s="1297"/>
      <c r="D6233" s="1297" t="s">
        <v>985</v>
      </c>
      <c r="F6233" s="1399">
        <v>261069.08000000002</v>
      </c>
      <c r="I6233" s="1399">
        <v>261069.08000000002</v>
      </c>
    </row>
    <row r="6234" spans="2:9">
      <c r="B6234" s="1297"/>
      <c r="C6234" s="1297"/>
      <c r="D6234" s="1297" t="s">
        <v>1043</v>
      </c>
      <c r="F6234" s="1399">
        <v>33872.720000000001</v>
      </c>
      <c r="I6234" s="1399">
        <v>33872.720000000001</v>
      </c>
    </row>
    <row r="6235" spans="2:9">
      <c r="B6235" s="1297"/>
      <c r="C6235" s="1297"/>
      <c r="D6235" s="1297" t="s">
        <v>1044</v>
      </c>
      <c r="F6235" s="1399">
        <v>97338.27</v>
      </c>
      <c r="I6235" s="1399">
        <v>97338.27</v>
      </c>
    </row>
    <row r="6236" spans="2:9">
      <c r="B6236" s="1297"/>
      <c r="C6236" s="1297"/>
      <c r="D6236" s="1297" t="s">
        <v>1045</v>
      </c>
      <c r="F6236" s="1399">
        <v>295252.53999999998</v>
      </c>
      <c r="I6236" s="1399">
        <v>295252.53999999998</v>
      </c>
    </row>
    <row r="6237" spans="2:9">
      <c r="B6237" s="1297"/>
      <c r="C6237" s="1297"/>
      <c r="D6237" s="1297" t="s">
        <v>1046</v>
      </c>
      <c r="H6237" s="1399">
        <v>21717359</v>
      </c>
      <c r="I6237" s="1399">
        <v>21717359</v>
      </c>
    </row>
    <row r="6238" spans="2:9">
      <c r="B6238" s="1297"/>
      <c r="C6238" s="1297"/>
      <c r="D6238" s="1297" t="s">
        <v>1128</v>
      </c>
      <c r="H6238" s="1399">
        <v>1830811</v>
      </c>
      <c r="I6238" s="1399">
        <v>1830811</v>
      </c>
    </row>
    <row r="6239" spans="2:9">
      <c r="B6239" s="1297"/>
      <c r="C6239" s="1297"/>
      <c r="D6239" s="1297" t="s">
        <v>1129</v>
      </c>
      <c r="H6239" s="1399">
        <v>-2644878</v>
      </c>
      <c r="I6239" s="1399">
        <v>-2644878</v>
      </c>
    </row>
    <row r="6240" spans="2:9">
      <c r="B6240" s="1297"/>
      <c r="C6240" s="1297"/>
      <c r="D6240" s="1297" t="s">
        <v>1047</v>
      </c>
      <c r="H6240" s="1399">
        <v>296558</v>
      </c>
      <c r="I6240" s="1399">
        <v>296558</v>
      </c>
    </row>
    <row r="6241" spans="2:9">
      <c r="B6241" s="1297"/>
      <c r="C6241" s="1297"/>
      <c r="D6241" s="1297" t="s">
        <v>1048</v>
      </c>
      <c r="H6241" s="1399">
        <v>-4451342</v>
      </c>
      <c r="I6241" s="1399">
        <v>-4451342</v>
      </c>
    </row>
    <row r="6242" spans="2:9">
      <c r="B6242" s="1297"/>
      <c r="C6242" s="1297"/>
      <c r="D6242" s="1297" t="s">
        <v>955</v>
      </c>
      <c r="H6242" s="1399">
        <v>537473.03</v>
      </c>
      <c r="I6242" s="1399">
        <v>537473.03</v>
      </c>
    </row>
    <row r="6243" spans="2:9">
      <c r="B6243" s="1297"/>
      <c r="C6243" s="1297"/>
      <c r="D6243" s="1297" t="s">
        <v>934</v>
      </c>
      <c r="H6243" s="1399">
        <v>61802</v>
      </c>
      <c r="I6243" s="1399">
        <v>61802</v>
      </c>
    </row>
    <row r="6244" spans="2:9">
      <c r="B6244" s="1297"/>
      <c r="C6244" s="1297"/>
      <c r="D6244" s="1297" t="s">
        <v>935</v>
      </c>
      <c r="H6244" s="1399">
        <v>259682.86</v>
      </c>
      <c r="I6244" s="1399">
        <v>259682.86</v>
      </c>
    </row>
    <row r="6245" spans="2:9">
      <c r="B6245" s="1297"/>
      <c r="C6245" s="1297"/>
      <c r="D6245" s="1297" t="s">
        <v>936</v>
      </c>
      <c r="H6245" s="1399">
        <v>46570.02</v>
      </c>
      <c r="I6245" s="1399">
        <v>46570.02</v>
      </c>
    </row>
    <row r="6246" spans="2:9">
      <c r="B6246" s="1297"/>
      <c r="C6246" s="1297"/>
      <c r="D6246" s="1297" t="s">
        <v>937</v>
      </c>
      <c r="H6246" s="1399">
        <v>27243.279999999999</v>
      </c>
      <c r="I6246" s="1399">
        <v>27243.279999999999</v>
      </c>
    </row>
    <row r="6247" spans="2:9">
      <c r="B6247" s="1297"/>
      <c r="C6247" s="1297"/>
      <c r="D6247" s="1297" t="s">
        <v>938</v>
      </c>
      <c r="H6247" s="1399">
        <v>15534</v>
      </c>
      <c r="I6247" s="1399">
        <v>15534</v>
      </c>
    </row>
    <row r="6248" spans="2:9">
      <c r="B6248" s="1297"/>
      <c r="C6248" s="1297"/>
      <c r="D6248" s="1297" t="s">
        <v>940</v>
      </c>
      <c r="E6248" s="1399">
        <v>1352968.28</v>
      </c>
      <c r="I6248" s="1399">
        <v>1352968.28</v>
      </c>
    </row>
    <row r="6249" spans="2:9">
      <c r="B6249" s="1297"/>
      <c r="C6249" s="1297"/>
      <c r="D6249" s="1297" t="s">
        <v>941</v>
      </c>
      <c r="E6249" s="1399">
        <v>507487.13999999996</v>
      </c>
      <c r="I6249" s="1399">
        <v>507487.13999999996</v>
      </c>
    </row>
    <row r="6250" spans="2:9">
      <c r="B6250" s="1297"/>
      <c r="C6250" s="1297"/>
      <c r="D6250" s="1297" t="s">
        <v>943</v>
      </c>
      <c r="E6250" s="1399">
        <v>42468.6</v>
      </c>
      <c r="I6250" s="1399">
        <v>42468.6</v>
      </c>
    </row>
    <row r="6251" spans="2:9">
      <c r="B6251" s="1297"/>
      <c r="C6251" s="1297"/>
      <c r="D6251" s="1297" t="s">
        <v>944</v>
      </c>
      <c r="E6251" s="1399">
        <v>1974757.1799999997</v>
      </c>
      <c r="I6251" s="1399">
        <v>1974757.1799999997</v>
      </c>
    </row>
    <row r="6252" spans="2:9">
      <c r="B6252" s="1297"/>
      <c r="C6252" s="1297"/>
      <c r="D6252" s="1297" t="s">
        <v>945</v>
      </c>
      <c r="E6252" s="1399">
        <v>1417682.64</v>
      </c>
      <c r="I6252" s="1399">
        <v>1417682.64</v>
      </c>
    </row>
    <row r="6253" spans="2:9">
      <c r="B6253" s="1297"/>
      <c r="C6253" s="1297"/>
      <c r="D6253" s="1297" t="s">
        <v>1006</v>
      </c>
      <c r="E6253" s="1399">
        <v>3757.93</v>
      </c>
      <c r="I6253" s="1399">
        <v>3757.93</v>
      </c>
    </row>
    <row r="6254" spans="2:9">
      <c r="B6254" s="1297"/>
      <c r="C6254" s="1297"/>
      <c r="D6254" s="1297" t="s">
        <v>947</v>
      </c>
      <c r="E6254" s="1399">
        <v>229996.29</v>
      </c>
      <c r="I6254" s="1399">
        <v>229996.29</v>
      </c>
    </row>
    <row r="6255" spans="2:9">
      <c r="B6255" s="1297"/>
      <c r="C6255" s="1297"/>
      <c r="D6255" s="1297" t="s">
        <v>948</v>
      </c>
      <c r="G6255" s="1399">
        <v>7797196.7199999997</v>
      </c>
      <c r="I6255" s="1399">
        <v>7797196.7199999997</v>
      </c>
    </row>
    <row r="6256" spans="2:9">
      <c r="B6256" s="1297"/>
      <c r="C6256" s="1400" t="s">
        <v>1448</v>
      </c>
      <c r="D6256" s="1400"/>
      <c r="E6256" s="1401">
        <v>5529118.0599999996</v>
      </c>
      <c r="F6256" s="1401">
        <v>23822859.539999992</v>
      </c>
      <c r="G6256" s="1401">
        <v>7797196.7199999997</v>
      </c>
      <c r="H6256" s="1401">
        <v>17696813.190000001</v>
      </c>
      <c r="I6256" s="1401">
        <v>54845987.509999998</v>
      </c>
    </row>
    <row r="6257" spans="2:9">
      <c r="B6257" s="1297" t="s">
        <v>1449</v>
      </c>
      <c r="C6257" s="1297" t="s">
        <v>1450</v>
      </c>
      <c r="D6257" s="1297" t="s">
        <v>907</v>
      </c>
      <c r="F6257" s="1399">
        <v>701556.5</v>
      </c>
      <c r="I6257" s="1399">
        <v>701556.5</v>
      </c>
    </row>
    <row r="6258" spans="2:9">
      <c r="B6258" s="1297"/>
      <c r="C6258" s="1297"/>
      <c r="D6258" s="1297" t="s">
        <v>1145</v>
      </c>
      <c r="F6258" s="1399">
        <v>1419073.2</v>
      </c>
      <c r="I6258" s="1399">
        <v>1419073.2</v>
      </c>
    </row>
    <row r="6259" spans="2:9">
      <c r="B6259" s="1297"/>
      <c r="C6259" s="1297"/>
      <c r="D6259" s="1297" t="s">
        <v>909</v>
      </c>
      <c r="F6259" s="1399">
        <v>27348.92</v>
      </c>
      <c r="I6259" s="1399">
        <v>27348.92</v>
      </c>
    </row>
    <row r="6260" spans="2:9">
      <c r="B6260" s="1297"/>
      <c r="C6260" s="1297"/>
      <c r="D6260" s="1297" t="s">
        <v>910</v>
      </c>
      <c r="F6260" s="1399">
        <v>167402.16</v>
      </c>
      <c r="I6260" s="1399">
        <v>167402.16</v>
      </c>
    </row>
    <row r="6261" spans="2:9">
      <c r="B6261" s="1297"/>
      <c r="C6261" s="1297"/>
      <c r="D6261" s="1297" t="s">
        <v>1034</v>
      </c>
      <c r="F6261" s="1399">
        <v>42922.98</v>
      </c>
      <c r="I6261" s="1399">
        <v>42922.98</v>
      </c>
    </row>
    <row r="6262" spans="2:9">
      <c r="B6262" s="1297"/>
      <c r="C6262" s="1297"/>
      <c r="D6262" s="1297" t="s">
        <v>1035</v>
      </c>
      <c r="F6262" s="1399">
        <v>290631.2</v>
      </c>
      <c r="I6262" s="1399">
        <v>290631.2</v>
      </c>
    </row>
    <row r="6263" spans="2:9">
      <c r="B6263" s="1297"/>
      <c r="C6263" s="1297"/>
      <c r="D6263" s="1297" t="s">
        <v>1036</v>
      </c>
      <c r="F6263" s="1399">
        <v>108781.86</v>
      </c>
      <c r="I6263" s="1399">
        <v>108781.86</v>
      </c>
    </row>
    <row r="6264" spans="2:9">
      <c r="B6264" s="1297"/>
      <c r="C6264" s="1297"/>
      <c r="D6264" s="1297" t="s">
        <v>1037</v>
      </c>
      <c r="F6264" s="1399">
        <v>375500</v>
      </c>
      <c r="I6264" s="1399">
        <v>375500</v>
      </c>
    </row>
    <row r="6265" spans="2:9">
      <c r="B6265" s="1297"/>
      <c r="C6265" s="1297"/>
      <c r="D6265" s="1297" t="s">
        <v>1039</v>
      </c>
      <c r="F6265" s="1399">
        <v>20035.75</v>
      </c>
      <c r="I6265" s="1399">
        <v>20035.75</v>
      </c>
    </row>
    <row r="6266" spans="2:9">
      <c r="B6266" s="1297"/>
      <c r="C6266" s="1297"/>
      <c r="D6266" s="1297" t="s">
        <v>1040</v>
      </c>
      <c r="F6266" s="1399">
        <v>216513.99</v>
      </c>
      <c r="I6266" s="1399">
        <v>216513.99</v>
      </c>
    </row>
    <row r="6267" spans="2:9">
      <c r="B6267" s="1297"/>
      <c r="C6267" s="1297"/>
      <c r="D6267" s="1297" t="s">
        <v>1127</v>
      </c>
      <c r="F6267" s="1399">
        <v>8164.34</v>
      </c>
      <c r="I6267" s="1399">
        <v>8164.34</v>
      </c>
    </row>
    <row r="6268" spans="2:9">
      <c r="B6268" s="1297"/>
      <c r="C6268" s="1297"/>
      <c r="D6268" s="1297" t="s">
        <v>1041</v>
      </c>
      <c r="F6268" s="1399">
        <v>171839.97</v>
      </c>
      <c r="I6268" s="1399">
        <v>171839.97</v>
      </c>
    </row>
    <row r="6269" spans="2:9">
      <c r="B6269" s="1297"/>
      <c r="C6269" s="1297"/>
      <c r="D6269" s="1297" t="s">
        <v>1042</v>
      </c>
      <c r="F6269" s="1399">
        <v>15608.05</v>
      </c>
      <c r="I6269" s="1399">
        <v>15608.05</v>
      </c>
    </row>
    <row r="6270" spans="2:9">
      <c r="B6270" s="1297"/>
      <c r="C6270" s="1297"/>
      <c r="D6270" s="1297" t="s">
        <v>986</v>
      </c>
      <c r="F6270" s="1399">
        <v>207718.24</v>
      </c>
      <c r="I6270" s="1399">
        <v>207718.24</v>
      </c>
    </row>
    <row r="6271" spans="2:9">
      <c r="B6271" s="1297"/>
      <c r="C6271" s="1297"/>
      <c r="D6271" s="1297" t="s">
        <v>990</v>
      </c>
      <c r="F6271" s="1399">
        <v>37.119999999999997</v>
      </c>
      <c r="I6271" s="1399">
        <v>37.119999999999997</v>
      </c>
    </row>
    <row r="6272" spans="2:9">
      <c r="B6272" s="1297"/>
      <c r="C6272" s="1297"/>
      <c r="D6272" s="1297" t="s">
        <v>1045</v>
      </c>
      <c r="F6272" s="1399">
        <v>251056.2</v>
      </c>
      <c r="I6272" s="1399">
        <v>251056.2</v>
      </c>
    </row>
    <row r="6273" spans="2:9">
      <c r="B6273" s="1297"/>
      <c r="C6273" s="1297"/>
      <c r="D6273" s="1297" t="s">
        <v>1046</v>
      </c>
      <c r="H6273" s="1399">
        <v>7322442</v>
      </c>
      <c r="I6273" s="1399">
        <v>7322442</v>
      </c>
    </row>
    <row r="6274" spans="2:9">
      <c r="B6274" s="1297"/>
      <c r="C6274" s="1297"/>
      <c r="D6274" s="1297" t="s">
        <v>1129</v>
      </c>
      <c r="H6274" s="1399">
        <v>-940291</v>
      </c>
      <c r="I6274" s="1399">
        <v>-940291</v>
      </c>
    </row>
    <row r="6275" spans="2:9">
      <c r="B6275" s="1297"/>
      <c r="C6275" s="1297"/>
      <c r="D6275" s="1297" t="s">
        <v>1047</v>
      </c>
      <c r="H6275" s="1399">
        <v>39014</v>
      </c>
      <c r="I6275" s="1399">
        <v>39014</v>
      </c>
    </row>
    <row r="6276" spans="2:9">
      <c r="B6276" s="1297"/>
      <c r="C6276" s="1297"/>
      <c r="D6276" s="1297" t="s">
        <v>1048</v>
      </c>
      <c r="H6276" s="1399">
        <v>-563715</v>
      </c>
      <c r="I6276" s="1399">
        <v>-563715</v>
      </c>
    </row>
    <row r="6277" spans="2:9">
      <c r="B6277" s="1297"/>
      <c r="C6277" s="1297"/>
      <c r="D6277" s="1297" t="s">
        <v>932</v>
      </c>
      <c r="H6277" s="1399">
        <v>452139</v>
      </c>
      <c r="I6277" s="1399">
        <v>452139</v>
      </c>
    </row>
    <row r="6278" spans="2:9">
      <c r="B6278" s="1297"/>
      <c r="C6278" s="1297"/>
      <c r="D6278" s="1297" t="s">
        <v>934</v>
      </c>
      <c r="H6278" s="1399">
        <v>17746</v>
      </c>
      <c r="I6278" s="1399">
        <v>17746</v>
      </c>
    </row>
    <row r="6279" spans="2:9">
      <c r="B6279" s="1297"/>
      <c r="C6279" s="1297"/>
      <c r="D6279" s="1297" t="s">
        <v>935</v>
      </c>
      <c r="H6279" s="1399">
        <v>43424.44</v>
      </c>
      <c r="I6279" s="1399">
        <v>43424.44</v>
      </c>
    </row>
    <row r="6280" spans="2:9">
      <c r="B6280" s="1297"/>
      <c r="C6280" s="1297"/>
      <c r="D6280" s="1297" t="s">
        <v>936</v>
      </c>
      <c r="H6280" s="1399">
        <v>12605.42</v>
      </c>
      <c r="I6280" s="1399">
        <v>12605.42</v>
      </c>
    </row>
    <row r="6281" spans="2:9">
      <c r="B6281" s="1297"/>
      <c r="C6281" s="1297"/>
      <c r="D6281" s="1297" t="s">
        <v>937</v>
      </c>
      <c r="H6281" s="1399">
        <v>5927.88</v>
      </c>
      <c r="I6281" s="1399">
        <v>5927.88</v>
      </c>
    </row>
    <row r="6282" spans="2:9">
      <c r="B6282" s="1297"/>
      <c r="C6282" s="1297"/>
      <c r="D6282" s="1297" t="s">
        <v>938</v>
      </c>
      <c r="H6282" s="1399">
        <v>3743</v>
      </c>
      <c r="I6282" s="1399">
        <v>3743</v>
      </c>
    </row>
    <row r="6283" spans="2:9">
      <c r="B6283" s="1297"/>
      <c r="C6283" s="1297"/>
      <c r="D6283" s="1297" t="s">
        <v>939</v>
      </c>
      <c r="H6283" s="1399">
        <v>0.01</v>
      </c>
      <c r="I6283" s="1399">
        <v>0.01</v>
      </c>
    </row>
    <row r="6284" spans="2:9">
      <c r="B6284" s="1297"/>
      <c r="C6284" s="1297"/>
      <c r="D6284" s="1297" t="s">
        <v>940</v>
      </c>
      <c r="E6284" s="1399">
        <v>132586.78</v>
      </c>
      <c r="I6284" s="1399">
        <v>132586.78</v>
      </c>
    </row>
    <row r="6285" spans="2:9">
      <c r="B6285" s="1297"/>
      <c r="C6285" s="1297"/>
      <c r="D6285" s="1297" t="s">
        <v>941</v>
      </c>
      <c r="E6285" s="1399">
        <v>20651.78</v>
      </c>
      <c r="I6285" s="1399">
        <v>20651.78</v>
      </c>
    </row>
    <row r="6286" spans="2:9">
      <c r="B6286" s="1297"/>
      <c r="C6286" s="1297"/>
      <c r="D6286" s="1297" t="s">
        <v>944</v>
      </c>
      <c r="E6286" s="1399">
        <v>269044.12</v>
      </c>
      <c r="I6286" s="1399">
        <v>269044.12</v>
      </c>
    </row>
    <row r="6287" spans="2:9">
      <c r="B6287" s="1297"/>
      <c r="C6287" s="1297"/>
      <c r="D6287" s="1297" t="s">
        <v>945</v>
      </c>
      <c r="E6287" s="1399">
        <v>378531.03</v>
      </c>
      <c r="I6287" s="1399">
        <v>378531.03</v>
      </c>
    </row>
    <row r="6288" spans="2:9">
      <c r="B6288" s="1297"/>
      <c r="C6288" s="1297"/>
      <c r="D6288" s="1297" t="s">
        <v>947</v>
      </c>
      <c r="E6288" s="1399">
        <v>15148.35</v>
      </c>
      <c r="I6288" s="1399">
        <v>15148.35</v>
      </c>
    </row>
    <row r="6289" spans="2:9">
      <c r="B6289" s="1297"/>
      <c r="C6289" s="1297"/>
      <c r="D6289" s="1297" t="s">
        <v>1115</v>
      </c>
      <c r="E6289" s="1399">
        <v>0</v>
      </c>
      <c r="I6289" s="1399">
        <v>0</v>
      </c>
    </row>
    <row r="6290" spans="2:9">
      <c r="B6290" s="1297"/>
      <c r="C6290" s="1297"/>
      <c r="D6290" s="1297" t="s">
        <v>948</v>
      </c>
      <c r="G6290" s="1399">
        <v>120972.89</v>
      </c>
      <c r="I6290" s="1399">
        <v>120972.89</v>
      </c>
    </row>
    <row r="6291" spans="2:9">
      <c r="B6291" s="1297"/>
      <c r="C6291" s="1400" t="s">
        <v>1451</v>
      </c>
      <c r="D6291" s="1400"/>
      <c r="E6291" s="1401">
        <v>815962.05999999994</v>
      </c>
      <c r="F6291" s="1401">
        <v>4024190.4800000004</v>
      </c>
      <c r="G6291" s="1401">
        <v>120972.89</v>
      </c>
      <c r="H6291" s="1401">
        <v>6393035.75</v>
      </c>
      <c r="I6291" s="1401">
        <v>11354161.179999998</v>
      </c>
    </row>
    <row r="6292" spans="2:9">
      <c r="B6292" s="1297" t="s">
        <v>1452</v>
      </c>
      <c r="C6292" s="1297" t="s">
        <v>1453</v>
      </c>
      <c r="D6292" s="1297" t="s">
        <v>906</v>
      </c>
      <c r="F6292" s="1399">
        <v>3033181.56</v>
      </c>
      <c r="I6292" s="1399">
        <v>3033181.56</v>
      </c>
    </row>
    <row r="6293" spans="2:9">
      <c r="B6293" s="1297"/>
      <c r="C6293" s="1297"/>
      <c r="D6293" s="1297" t="s">
        <v>952</v>
      </c>
      <c r="F6293" s="1399">
        <v>34112.370000000003</v>
      </c>
      <c r="I6293" s="1399">
        <v>34112.370000000003</v>
      </c>
    </row>
    <row r="6294" spans="2:9">
      <c r="B6294" s="1297"/>
      <c r="C6294" s="1297"/>
      <c r="D6294" s="1297" t="s">
        <v>907</v>
      </c>
      <c r="F6294" s="1399">
        <v>1215641.32</v>
      </c>
      <c r="I6294" s="1399">
        <v>1215641.32</v>
      </c>
    </row>
    <row r="6295" spans="2:9">
      <c r="B6295" s="1297"/>
      <c r="C6295" s="1297"/>
      <c r="D6295" s="1297" t="s">
        <v>909</v>
      </c>
      <c r="F6295" s="1399">
        <v>16528.879999999997</v>
      </c>
      <c r="I6295" s="1399">
        <v>16528.879999999997</v>
      </c>
    </row>
    <row r="6296" spans="2:9">
      <c r="B6296" s="1297"/>
      <c r="C6296" s="1297"/>
      <c r="D6296" s="1297" t="s">
        <v>910</v>
      </c>
      <c r="F6296" s="1399">
        <v>1737.75</v>
      </c>
      <c r="I6296" s="1399">
        <v>1737.75</v>
      </c>
    </row>
    <row r="6297" spans="2:9">
      <c r="B6297" s="1297"/>
      <c r="C6297" s="1297"/>
      <c r="D6297" s="1297" t="s">
        <v>1034</v>
      </c>
      <c r="F6297" s="1399">
        <v>17665.009999999998</v>
      </c>
      <c r="I6297" s="1399">
        <v>17665.009999999998</v>
      </c>
    </row>
    <row r="6298" spans="2:9">
      <c r="B6298" s="1297"/>
      <c r="C6298" s="1297"/>
      <c r="D6298" s="1297" t="s">
        <v>1035</v>
      </c>
      <c r="F6298" s="1399">
        <v>169960.37</v>
      </c>
      <c r="I6298" s="1399">
        <v>169960.37</v>
      </c>
    </row>
    <row r="6299" spans="2:9">
      <c r="B6299" s="1297"/>
      <c r="C6299" s="1297"/>
      <c r="D6299" s="1297" t="s">
        <v>1036</v>
      </c>
      <c r="F6299" s="1399">
        <v>77270.930000000008</v>
      </c>
      <c r="I6299" s="1399">
        <v>77270.930000000008</v>
      </c>
    </row>
    <row r="6300" spans="2:9">
      <c r="B6300" s="1297"/>
      <c r="C6300" s="1297"/>
      <c r="D6300" s="1297" t="s">
        <v>1037</v>
      </c>
      <c r="F6300" s="1399">
        <v>81176.88</v>
      </c>
      <c r="I6300" s="1399">
        <v>81176.88</v>
      </c>
    </row>
    <row r="6301" spans="2:9">
      <c r="B6301" s="1297"/>
      <c r="C6301" s="1297"/>
      <c r="D6301" s="1297" t="s">
        <v>1039</v>
      </c>
      <c r="F6301" s="1399">
        <v>14591.810000000001</v>
      </c>
      <c r="I6301" s="1399">
        <v>14591.810000000001</v>
      </c>
    </row>
    <row r="6302" spans="2:9">
      <c r="B6302" s="1297"/>
      <c r="C6302" s="1297"/>
      <c r="D6302" s="1297" t="s">
        <v>1040</v>
      </c>
      <c r="F6302" s="1399">
        <v>148543.81</v>
      </c>
      <c r="I6302" s="1399">
        <v>148543.81</v>
      </c>
    </row>
    <row r="6303" spans="2:9">
      <c r="B6303" s="1297"/>
      <c r="C6303" s="1297"/>
      <c r="D6303" s="1297" t="s">
        <v>1041</v>
      </c>
      <c r="F6303" s="1399">
        <v>30028.400000000001</v>
      </c>
      <c r="I6303" s="1399">
        <v>30028.400000000001</v>
      </c>
    </row>
    <row r="6304" spans="2:9">
      <c r="B6304" s="1297"/>
      <c r="C6304" s="1297"/>
      <c r="D6304" s="1297" t="s">
        <v>1042</v>
      </c>
      <c r="F6304" s="1399">
        <v>17554.309999999998</v>
      </c>
      <c r="I6304" s="1399">
        <v>17554.309999999998</v>
      </c>
    </row>
    <row r="6305" spans="2:9">
      <c r="B6305" s="1297"/>
      <c r="C6305" s="1297"/>
      <c r="D6305" s="1297" t="s">
        <v>996</v>
      </c>
      <c r="F6305" s="1399">
        <v>60</v>
      </c>
      <c r="I6305" s="1399">
        <v>60</v>
      </c>
    </row>
    <row r="6306" spans="2:9">
      <c r="B6306" s="1297"/>
      <c r="C6306" s="1297"/>
      <c r="D6306" s="1297" t="s">
        <v>1045</v>
      </c>
      <c r="F6306" s="1399">
        <v>165011.78999999998</v>
      </c>
      <c r="I6306" s="1399">
        <v>165011.78999999998</v>
      </c>
    </row>
    <row r="6307" spans="2:9">
      <c r="B6307" s="1297"/>
      <c r="C6307" s="1297"/>
      <c r="D6307" s="1297" t="s">
        <v>1046</v>
      </c>
      <c r="H6307" s="1399">
        <v>8028802</v>
      </c>
      <c r="I6307" s="1399">
        <v>8028802</v>
      </c>
    </row>
    <row r="6308" spans="2:9">
      <c r="B6308" s="1297"/>
      <c r="C6308" s="1297"/>
      <c r="D6308" s="1297" t="s">
        <v>1128</v>
      </c>
      <c r="H6308" s="1399">
        <v>729941</v>
      </c>
      <c r="I6308" s="1399">
        <v>729941</v>
      </c>
    </row>
    <row r="6309" spans="2:9">
      <c r="B6309" s="1297"/>
      <c r="C6309" s="1297"/>
      <c r="D6309" s="1297" t="s">
        <v>1129</v>
      </c>
      <c r="H6309" s="1399">
        <v>-1202806</v>
      </c>
      <c r="I6309" s="1399">
        <v>-1202806</v>
      </c>
    </row>
    <row r="6310" spans="2:9">
      <c r="B6310" s="1297"/>
      <c r="C6310" s="1297"/>
      <c r="D6310" s="1297" t="s">
        <v>1047</v>
      </c>
      <c r="H6310" s="1399">
        <v>124720</v>
      </c>
      <c r="I6310" s="1399">
        <v>124720</v>
      </c>
    </row>
    <row r="6311" spans="2:9">
      <c r="B6311" s="1297"/>
      <c r="C6311" s="1297"/>
      <c r="D6311" s="1297" t="s">
        <v>1048</v>
      </c>
      <c r="H6311" s="1399">
        <v>-911580</v>
      </c>
      <c r="I6311" s="1399">
        <v>-911580</v>
      </c>
    </row>
    <row r="6312" spans="2:9">
      <c r="B6312" s="1297"/>
      <c r="C6312" s="1297"/>
      <c r="D6312" s="1297" t="s">
        <v>932</v>
      </c>
      <c r="H6312" s="1399">
        <v>847833</v>
      </c>
      <c r="I6312" s="1399">
        <v>847833</v>
      </c>
    </row>
    <row r="6313" spans="2:9">
      <c r="B6313" s="1297"/>
      <c r="C6313" s="1297"/>
      <c r="D6313" s="1297" t="s">
        <v>955</v>
      </c>
      <c r="H6313" s="1399">
        <v>140417.03</v>
      </c>
      <c r="I6313" s="1399">
        <v>140417.03</v>
      </c>
    </row>
    <row r="6314" spans="2:9">
      <c r="B6314" s="1297"/>
      <c r="C6314" s="1297"/>
      <c r="D6314" s="1297" t="s">
        <v>934</v>
      </c>
      <c r="H6314" s="1399">
        <v>26868</v>
      </c>
      <c r="I6314" s="1399">
        <v>26868</v>
      </c>
    </row>
    <row r="6315" spans="2:9">
      <c r="B6315" s="1297"/>
      <c r="C6315" s="1297"/>
      <c r="D6315" s="1297" t="s">
        <v>935</v>
      </c>
      <c r="H6315" s="1399">
        <v>134871.87999999998</v>
      </c>
      <c r="I6315" s="1399">
        <v>134871.87999999998</v>
      </c>
    </row>
    <row r="6316" spans="2:9">
      <c r="B6316" s="1297"/>
      <c r="C6316" s="1297"/>
      <c r="D6316" s="1297" t="s">
        <v>936</v>
      </c>
      <c r="H6316" s="1399">
        <v>24860.69</v>
      </c>
      <c r="I6316" s="1399">
        <v>24860.69</v>
      </c>
    </row>
    <row r="6317" spans="2:9">
      <c r="B6317" s="1297"/>
      <c r="C6317" s="1297"/>
      <c r="D6317" s="1297" t="s">
        <v>937</v>
      </c>
      <c r="H6317" s="1399">
        <v>17670.740000000002</v>
      </c>
      <c r="I6317" s="1399">
        <v>17670.740000000002</v>
      </c>
    </row>
    <row r="6318" spans="2:9">
      <c r="B6318" s="1297"/>
      <c r="C6318" s="1297"/>
      <c r="D6318" s="1297" t="s">
        <v>938</v>
      </c>
      <c r="H6318" s="1399">
        <v>7299</v>
      </c>
      <c r="I6318" s="1399">
        <v>7299</v>
      </c>
    </row>
    <row r="6319" spans="2:9">
      <c r="B6319" s="1297"/>
      <c r="C6319" s="1297"/>
      <c r="D6319" s="1297" t="s">
        <v>940</v>
      </c>
      <c r="E6319" s="1399">
        <v>354213.45999999996</v>
      </c>
      <c r="I6319" s="1399">
        <v>354213.45999999996</v>
      </c>
    </row>
    <row r="6320" spans="2:9">
      <c r="B6320" s="1297"/>
      <c r="C6320" s="1297"/>
      <c r="D6320" s="1297" t="s">
        <v>941</v>
      </c>
      <c r="E6320" s="1399">
        <v>139243.26</v>
      </c>
      <c r="I6320" s="1399">
        <v>139243.26</v>
      </c>
    </row>
    <row r="6321" spans="2:9">
      <c r="B6321" s="1297"/>
      <c r="C6321" s="1297"/>
      <c r="D6321" s="1297" t="s">
        <v>943</v>
      </c>
      <c r="E6321" s="1399">
        <v>6463.9000000000005</v>
      </c>
      <c r="I6321" s="1399">
        <v>6463.9000000000005</v>
      </c>
    </row>
    <row r="6322" spans="2:9">
      <c r="B6322" s="1297"/>
      <c r="C6322" s="1297"/>
      <c r="D6322" s="1297" t="s">
        <v>944</v>
      </c>
      <c r="E6322" s="1399">
        <v>659919.8600000001</v>
      </c>
      <c r="I6322" s="1399">
        <v>659919.8600000001</v>
      </c>
    </row>
    <row r="6323" spans="2:9">
      <c r="B6323" s="1297"/>
      <c r="C6323" s="1297"/>
      <c r="D6323" s="1297" t="s">
        <v>945</v>
      </c>
      <c r="E6323" s="1399">
        <v>355587.83</v>
      </c>
      <c r="I6323" s="1399">
        <v>355587.83</v>
      </c>
    </row>
    <row r="6324" spans="2:9">
      <c r="B6324" s="1297"/>
      <c r="C6324" s="1297"/>
      <c r="D6324" s="1297" t="s">
        <v>947</v>
      </c>
      <c r="E6324" s="1399">
        <v>31765.300000000003</v>
      </c>
      <c r="I6324" s="1399">
        <v>31765.300000000003</v>
      </c>
    </row>
    <row r="6325" spans="2:9">
      <c r="B6325" s="1297"/>
      <c r="C6325" s="1297"/>
      <c r="D6325" s="1297" t="s">
        <v>948</v>
      </c>
      <c r="G6325" s="1399">
        <v>1617158.53</v>
      </c>
      <c r="I6325" s="1399">
        <v>1617158.53</v>
      </c>
    </row>
    <row r="6326" spans="2:9">
      <c r="B6326" s="1297"/>
      <c r="C6326" s="1297"/>
      <c r="D6326" s="1297" t="s">
        <v>1118</v>
      </c>
      <c r="G6326" s="1399">
        <v>480</v>
      </c>
      <c r="I6326" s="1399">
        <v>480</v>
      </c>
    </row>
    <row r="6327" spans="2:9">
      <c r="B6327" s="1297"/>
      <c r="C6327" s="1400" t="s">
        <v>1454</v>
      </c>
      <c r="D6327" s="1400"/>
      <c r="E6327" s="1401">
        <v>1547193.61</v>
      </c>
      <c r="F6327" s="1401">
        <v>5023065.1899999985</v>
      </c>
      <c r="G6327" s="1401">
        <v>1617638.53</v>
      </c>
      <c r="H6327" s="1401">
        <v>7968897.3400000008</v>
      </c>
      <c r="I6327" s="1401">
        <v>16156794.669999998</v>
      </c>
    </row>
    <row r="6328" spans="2:9">
      <c r="B6328" s="1297" t="s">
        <v>1455</v>
      </c>
      <c r="C6328" s="1297" t="s">
        <v>1456</v>
      </c>
      <c r="D6328" s="1297" t="s">
        <v>907</v>
      </c>
      <c r="F6328" s="1399">
        <v>5487423.5499999998</v>
      </c>
      <c r="I6328" s="1399">
        <v>5487423.5499999998</v>
      </c>
    </row>
    <row r="6329" spans="2:9">
      <c r="B6329" s="1297"/>
      <c r="C6329" s="1297"/>
      <c r="D6329" s="1297" t="s">
        <v>1145</v>
      </c>
      <c r="F6329" s="1399">
        <v>26345629.850000001</v>
      </c>
      <c r="I6329" s="1399">
        <v>26345629.850000001</v>
      </c>
    </row>
    <row r="6330" spans="2:9">
      <c r="B6330" s="1297"/>
      <c r="C6330" s="1297"/>
      <c r="D6330" s="1297" t="s">
        <v>908</v>
      </c>
      <c r="F6330" s="1399">
        <v>117592.57</v>
      </c>
      <c r="I6330" s="1399">
        <v>117592.57</v>
      </c>
    </row>
    <row r="6331" spans="2:9">
      <c r="B6331" s="1297"/>
      <c r="C6331" s="1297"/>
      <c r="D6331" s="1297" t="s">
        <v>909</v>
      </c>
      <c r="F6331" s="1399">
        <v>21758.92</v>
      </c>
      <c r="I6331" s="1399">
        <v>21758.92</v>
      </c>
    </row>
    <row r="6332" spans="2:9">
      <c r="B6332" s="1297"/>
      <c r="C6332" s="1297"/>
      <c r="D6332" s="1297" t="s">
        <v>910</v>
      </c>
      <c r="F6332" s="1399">
        <v>49796.979999999996</v>
      </c>
      <c r="I6332" s="1399">
        <v>49796.979999999996</v>
      </c>
    </row>
    <row r="6333" spans="2:9">
      <c r="B6333" s="1297"/>
      <c r="C6333" s="1297"/>
      <c r="D6333" s="1297" t="s">
        <v>1034</v>
      </c>
      <c r="F6333" s="1399">
        <v>35859.759999999995</v>
      </c>
      <c r="I6333" s="1399">
        <v>35859.759999999995</v>
      </c>
    </row>
    <row r="6334" spans="2:9">
      <c r="B6334" s="1297"/>
      <c r="C6334" s="1297"/>
      <c r="D6334" s="1297" t="s">
        <v>1035</v>
      </c>
      <c r="F6334" s="1399">
        <v>361253.25000000006</v>
      </c>
      <c r="I6334" s="1399">
        <v>361253.25000000006</v>
      </c>
    </row>
    <row r="6335" spans="2:9">
      <c r="B6335" s="1297"/>
      <c r="C6335" s="1297"/>
      <c r="D6335" s="1297" t="s">
        <v>1036</v>
      </c>
      <c r="F6335" s="1399">
        <v>183098.71</v>
      </c>
      <c r="I6335" s="1399">
        <v>183098.71</v>
      </c>
    </row>
    <row r="6336" spans="2:9">
      <c r="B6336" s="1297"/>
      <c r="C6336" s="1297"/>
      <c r="D6336" s="1297" t="s">
        <v>1037</v>
      </c>
      <c r="F6336" s="1399">
        <v>252064.92</v>
      </c>
      <c r="I6336" s="1399">
        <v>252064.92</v>
      </c>
    </row>
    <row r="6337" spans="2:9">
      <c r="B6337" s="1297"/>
      <c r="C6337" s="1297"/>
      <c r="D6337" s="1297" t="s">
        <v>1039</v>
      </c>
      <c r="F6337" s="1399">
        <v>186231.49000000002</v>
      </c>
      <c r="I6337" s="1399">
        <v>186231.49000000002</v>
      </c>
    </row>
    <row r="6338" spans="2:9">
      <c r="B6338" s="1297"/>
      <c r="C6338" s="1297"/>
      <c r="D6338" s="1297" t="s">
        <v>1040</v>
      </c>
      <c r="F6338" s="1399">
        <v>270325.28000000003</v>
      </c>
      <c r="I6338" s="1399">
        <v>270325.28000000003</v>
      </c>
    </row>
    <row r="6339" spans="2:9">
      <c r="B6339" s="1297"/>
      <c r="C6339" s="1297"/>
      <c r="D6339" s="1297" t="s">
        <v>1041</v>
      </c>
      <c r="F6339" s="1399">
        <v>21519.370000000003</v>
      </c>
      <c r="I6339" s="1399">
        <v>21519.370000000003</v>
      </c>
    </row>
    <row r="6340" spans="2:9">
      <c r="B6340" s="1297"/>
      <c r="C6340" s="1297"/>
      <c r="D6340" s="1297" t="s">
        <v>1042</v>
      </c>
      <c r="F6340" s="1399">
        <v>90018.76</v>
      </c>
      <c r="I6340" s="1399">
        <v>90018.76</v>
      </c>
    </row>
    <row r="6341" spans="2:9">
      <c r="B6341" s="1297"/>
      <c r="C6341" s="1297"/>
      <c r="D6341" s="1297" t="s">
        <v>953</v>
      </c>
      <c r="F6341" s="1399">
        <v>29968.71</v>
      </c>
      <c r="I6341" s="1399">
        <v>29968.71</v>
      </c>
    </row>
    <row r="6342" spans="2:9">
      <c r="B6342" s="1297"/>
      <c r="C6342" s="1297"/>
      <c r="D6342" s="1297" t="s">
        <v>985</v>
      </c>
      <c r="F6342" s="1399">
        <v>170664.08</v>
      </c>
      <c r="I6342" s="1399">
        <v>170664.08</v>
      </c>
    </row>
    <row r="6343" spans="2:9">
      <c r="B6343" s="1297"/>
      <c r="C6343" s="1297"/>
      <c r="D6343" s="1297" t="s">
        <v>1043</v>
      </c>
      <c r="F6343" s="1399">
        <v>5277.5</v>
      </c>
      <c r="I6343" s="1399">
        <v>5277.5</v>
      </c>
    </row>
    <row r="6344" spans="2:9">
      <c r="B6344" s="1297"/>
      <c r="C6344" s="1297"/>
      <c r="D6344" s="1297" t="s">
        <v>986</v>
      </c>
      <c r="F6344" s="1399">
        <v>10310</v>
      </c>
      <c r="I6344" s="1399">
        <v>10310</v>
      </c>
    </row>
    <row r="6345" spans="2:9">
      <c r="B6345" s="1297"/>
      <c r="C6345" s="1297"/>
      <c r="D6345" s="1297" t="s">
        <v>1044</v>
      </c>
      <c r="F6345" s="1399">
        <v>470833.21</v>
      </c>
      <c r="I6345" s="1399">
        <v>470833.21</v>
      </c>
    </row>
    <row r="6346" spans="2:9">
      <c r="B6346" s="1297"/>
      <c r="C6346" s="1297"/>
      <c r="D6346" s="1297" t="s">
        <v>1045</v>
      </c>
      <c r="F6346" s="1399">
        <v>948407.45000000019</v>
      </c>
      <c r="I6346" s="1399">
        <v>948407.45000000019</v>
      </c>
    </row>
    <row r="6347" spans="2:9">
      <c r="B6347" s="1297"/>
      <c r="C6347" s="1297"/>
      <c r="D6347" s="1297" t="s">
        <v>1046</v>
      </c>
      <c r="H6347" s="1399">
        <v>37734881</v>
      </c>
      <c r="I6347" s="1399">
        <v>37734881</v>
      </c>
    </row>
    <row r="6348" spans="2:9">
      <c r="B6348" s="1297"/>
      <c r="C6348" s="1297"/>
      <c r="D6348" s="1297" t="s">
        <v>1128</v>
      </c>
      <c r="H6348" s="1399">
        <v>3107688</v>
      </c>
      <c r="I6348" s="1399">
        <v>3107688</v>
      </c>
    </row>
    <row r="6349" spans="2:9">
      <c r="B6349" s="1297"/>
      <c r="C6349" s="1297"/>
      <c r="D6349" s="1297" t="s">
        <v>1129</v>
      </c>
      <c r="H6349" s="1399">
        <v>-4930693</v>
      </c>
      <c r="I6349" s="1399">
        <v>-4930693</v>
      </c>
    </row>
    <row r="6350" spans="2:9">
      <c r="B6350" s="1297"/>
      <c r="C6350" s="1297"/>
      <c r="D6350" s="1297" t="s">
        <v>1047</v>
      </c>
      <c r="H6350" s="1399">
        <v>372035</v>
      </c>
      <c r="I6350" s="1399">
        <v>372035</v>
      </c>
    </row>
    <row r="6351" spans="2:9">
      <c r="B6351" s="1297"/>
      <c r="C6351" s="1297"/>
      <c r="D6351" s="1297" t="s">
        <v>1048</v>
      </c>
      <c r="H6351" s="1399">
        <v>-6775062</v>
      </c>
      <c r="I6351" s="1399">
        <v>-6775062</v>
      </c>
    </row>
    <row r="6352" spans="2:9">
      <c r="B6352" s="1297"/>
      <c r="C6352" s="1297"/>
      <c r="D6352" s="1297" t="s">
        <v>932</v>
      </c>
      <c r="H6352" s="1399">
        <v>600445</v>
      </c>
      <c r="I6352" s="1399">
        <v>600445</v>
      </c>
    </row>
    <row r="6353" spans="2:9">
      <c r="B6353" s="1297"/>
      <c r="C6353" s="1297"/>
      <c r="D6353" s="1297" t="s">
        <v>955</v>
      </c>
      <c r="H6353" s="1399">
        <v>1255404.1599999999</v>
      </c>
      <c r="I6353" s="1399">
        <v>1255404.1599999999</v>
      </c>
    </row>
    <row r="6354" spans="2:9">
      <c r="B6354" s="1297"/>
      <c r="C6354" s="1297"/>
      <c r="D6354" s="1297" t="s">
        <v>934</v>
      </c>
      <c r="H6354" s="1399">
        <v>126500</v>
      </c>
      <c r="I6354" s="1399">
        <v>126500</v>
      </c>
    </row>
    <row r="6355" spans="2:9">
      <c r="B6355" s="1297"/>
      <c r="C6355" s="1297"/>
      <c r="D6355" s="1297" t="s">
        <v>1130</v>
      </c>
      <c r="H6355" s="1399">
        <v>72465.100000000006</v>
      </c>
      <c r="I6355" s="1399">
        <v>72465.100000000006</v>
      </c>
    </row>
    <row r="6356" spans="2:9">
      <c r="B6356" s="1297"/>
      <c r="C6356" s="1297"/>
      <c r="D6356" s="1297" t="s">
        <v>935</v>
      </c>
      <c r="H6356" s="1399">
        <v>162187.59</v>
      </c>
      <c r="I6356" s="1399">
        <v>162187.59</v>
      </c>
    </row>
    <row r="6357" spans="2:9">
      <c r="B6357" s="1297"/>
      <c r="C6357" s="1297"/>
      <c r="D6357" s="1297" t="s">
        <v>936</v>
      </c>
      <c r="H6357" s="1399">
        <v>79834.320000000007</v>
      </c>
      <c r="I6357" s="1399">
        <v>79834.320000000007</v>
      </c>
    </row>
    <row r="6358" spans="2:9">
      <c r="B6358" s="1297"/>
      <c r="C6358" s="1297"/>
      <c r="D6358" s="1297" t="s">
        <v>937</v>
      </c>
      <c r="H6358" s="1399">
        <v>27319.11</v>
      </c>
      <c r="I6358" s="1399">
        <v>27319.11</v>
      </c>
    </row>
    <row r="6359" spans="2:9">
      <c r="B6359" s="1297"/>
      <c r="C6359" s="1297"/>
      <c r="D6359" s="1297" t="s">
        <v>938</v>
      </c>
      <c r="H6359" s="1399">
        <v>21336</v>
      </c>
      <c r="I6359" s="1399">
        <v>21336</v>
      </c>
    </row>
    <row r="6360" spans="2:9">
      <c r="B6360" s="1297"/>
      <c r="C6360" s="1297"/>
      <c r="D6360" s="1297" t="s">
        <v>940</v>
      </c>
      <c r="E6360" s="1399">
        <v>2698547.02</v>
      </c>
      <c r="I6360" s="1399">
        <v>2698547.02</v>
      </c>
    </row>
    <row r="6361" spans="2:9">
      <c r="B6361" s="1297"/>
      <c r="C6361" s="1297"/>
      <c r="D6361" s="1297" t="s">
        <v>941</v>
      </c>
      <c r="E6361" s="1399">
        <v>897065.08</v>
      </c>
      <c r="I6361" s="1399">
        <v>897065.08</v>
      </c>
    </row>
    <row r="6362" spans="2:9">
      <c r="B6362" s="1297"/>
      <c r="C6362" s="1297"/>
      <c r="D6362" s="1297" t="s">
        <v>943</v>
      </c>
      <c r="E6362" s="1399">
        <v>64610.14</v>
      </c>
      <c r="I6362" s="1399">
        <v>64610.14</v>
      </c>
    </row>
    <row r="6363" spans="2:9">
      <c r="B6363" s="1297"/>
      <c r="C6363" s="1297"/>
      <c r="D6363" s="1297" t="s">
        <v>944</v>
      </c>
      <c r="E6363" s="1399">
        <v>3860441.6699999995</v>
      </c>
      <c r="I6363" s="1399">
        <v>3860441.6699999995</v>
      </c>
    </row>
    <row r="6364" spans="2:9">
      <c r="B6364" s="1297"/>
      <c r="C6364" s="1297"/>
      <c r="D6364" s="1297" t="s">
        <v>945</v>
      </c>
      <c r="E6364" s="1399">
        <v>2764865.9800000004</v>
      </c>
      <c r="I6364" s="1399">
        <v>2764865.9800000004</v>
      </c>
    </row>
    <row r="6365" spans="2:9">
      <c r="B6365" s="1297"/>
      <c r="C6365" s="1297"/>
      <c r="D6365" s="1297" t="s">
        <v>946</v>
      </c>
      <c r="E6365" s="1399">
        <v>387781.26999999996</v>
      </c>
      <c r="I6365" s="1399">
        <v>387781.26999999996</v>
      </c>
    </row>
    <row r="6366" spans="2:9">
      <c r="B6366" s="1297"/>
      <c r="C6366" s="1297"/>
      <c r="D6366" s="1297" t="s">
        <v>978</v>
      </c>
      <c r="E6366" s="1399">
        <v>18283.34</v>
      </c>
      <c r="I6366" s="1399">
        <v>18283.34</v>
      </c>
    </row>
    <row r="6367" spans="2:9">
      <c r="B6367" s="1297"/>
      <c r="C6367" s="1297"/>
      <c r="D6367" s="1297" t="s">
        <v>947</v>
      </c>
      <c r="E6367" s="1399">
        <v>217524.91</v>
      </c>
      <c r="I6367" s="1399">
        <v>217524.91</v>
      </c>
    </row>
    <row r="6368" spans="2:9">
      <c r="B6368" s="1297"/>
      <c r="C6368" s="1297"/>
      <c r="D6368" s="1297" t="s">
        <v>948</v>
      </c>
      <c r="G6368" s="1399">
        <v>8380214.7599999998</v>
      </c>
      <c r="I6368" s="1399">
        <v>8380214.7599999998</v>
      </c>
    </row>
    <row r="6369" spans="2:9">
      <c r="B6369" s="1297"/>
      <c r="C6369" s="1400" t="s">
        <v>1457</v>
      </c>
      <c r="D6369" s="1400"/>
      <c r="E6369" s="1401">
        <v>10909119.41</v>
      </c>
      <c r="F6369" s="1401">
        <v>35058034.360000014</v>
      </c>
      <c r="G6369" s="1401">
        <v>8380214.7599999998</v>
      </c>
      <c r="H6369" s="1401">
        <v>31854340.280000001</v>
      </c>
      <c r="I6369" s="1401">
        <v>86201708.810000017</v>
      </c>
    </row>
    <row r="6370" spans="2:9">
      <c r="B6370" s="1297" t="s">
        <v>1458</v>
      </c>
      <c r="C6370" s="1297" t="s">
        <v>1459</v>
      </c>
      <c r="D6370" s="1297" t="s">
        <v>907</v>
      </c>
      <c r="F6370" s="1399">
        <v>2181531.69</v>
      </c>
      <c r="I6370" s="1399">
        <v>2181531.69</v>
      </c>
    </row>
    <row r="6371" spans="2:9">
      <c r="B6371" s="1297"/>
      <c r="C6371" s="1297"/>
      <c r="D6371" s="1297" t="s">
        <v>1145</v>
      </c>
      <c r="F6371" s="1399">
        <v>24100666.140000001</v>
      </c>
      <c r="I6371" s="1399">
        <v>24100666.140000001</v>
      </c>
    </row>
    <row r="6372" spans="2:9">
      <c r="B6372" s="1297"/>
      <c r="C6372" s="1297"/>
      <c r="D6372" s="1297" t="s">
        <v>1037</v>
      </c>
      <c r="F6372" s="1399">
        <v>707807.57</v>
      </c>
      <c r="I6372" s="1399">
        <v>707807.57</v>
      </c>
    </row>
    <row r="6373" spans="2:9">
      <c r="B6373" s="1297"/>
      <c r="C6373" s="1297"/>
      <c r="D6373" s="1297" t="s">
        <v>1064</v>
      </c>
      <c r="F6373" s="1399">
        <v>920071.3</v>
      </c>
      <c r="I6373" s="1399">
        <v>920071.3</v>
      </c>
    </row>
    <row r="6374" spans="2:9">
      <c r="B6374" s="1297"/>
      <c r="C6374" s="1297"/>
      <c r="D6374" s="1297" t="s">
        <v>1039</v>
      </c>
      <c r="F6374" s="1399">
        <v>38835.29</v>
      </c>
      <c r="I6374" s="1399">
        <v>38835.29</v>
      </c>
    </row>
    <row r="6375" spans="2:9">
      <c r="B6375" s="1297"/>
      <c r="C6375" s="1297"/>
      <c r="D6375" s="1297" t="s">
        <v>1040</v>
      </c>
      <c r="F6375" s="1399">
        <v>457715.59</v>
      </c>
      <c r="I6375" s="1399">
        <v>457715.59</v>
      </c>
    </row>
    <row r="6376" spans="2:9">
      <c r="B6376" s="1297"/>
      <c r="C6376" s="1297"/>
      <c r="D6376" s="1297" t="s">
        <v>1207</v>
      </c>
      <c r="F6376" s="1399">
        <v>49370.86</v>
      </c>
      <c r="I6376" s="1399">
        <v>49370.86</v>
      </c>
    </row>
    <row r="6377" spans="2:9">
      <c r="B6377" s="1297"/>
      <c r="C6377" s="1297"/>
      <c r="D6377" s="1297" t="s">
        <v>1041</v>
      </c>
      <c r="F6377" s="1399">
        <v>63420.959999999999</v>
      </c>
      <c r="I6377" s="1399">
        <v>63420.959999999999</v>
      </c>
    </row>
    <row r="6378" spans="2:9">
      <c r="B6378" s="1297"/>
      <c r="C6378" s="1297"/>
      <c r="D6378" s="1297" t="s">
        <v>1042</v>
      </c>
      <c r="F6378" s="1399">
        <v>57049.11</v>
      </c>
      <c r="I6378" s="1399">
        <v>57049.11</v>
      </c>
    </row>
    <row r="6379" spans="2:9">
      <c r="B6379" s="1297"/>
      <c r="C6379" s="1297"/>
      <c r="D6379" s="1297" t="s">
        <v>953</v>
      </c>
      <c r="F6379" s="1399">
        <v>618</v>
      </c>
      <c r="I6379" s="1399">
        <v>618</v>
      </c>
    </row>
    <row r="6380" spans="2:9">
      <c r="B6380" s="1297"/>
      <c r="C6380" s="1297"/>
      <c r="D6380" s="1297" t="s">
        <v>954</v>
      </c>
      <c r="F6380" s="1399">
        <v>496485.77999999997</v>
      </c>
      <c r="I6380" s="1399">
        <v>496485.77999999997</v>
      </c>
    </row>
    <row r="6381" spans="2:9">
      <c r="B6381" s="1297"/>
      <c r="C6381" s="1297"/>
      <c r="D6381" s="1297" t="s">
        <v>985</v>
      </c>
      <c r="F6381" s="1399">
        <v>50000</v>
      </c>
      <c r="I6381" s="1399">
        <v>50000</v>
      </c>
    </row>
    <row r="6382" spans="2:9">
      <c r="B6382" s="1297"/>
      <c r="C6382" s="1297"/>
      <c r="D6382" s="1297" t="s">
        <v>986</v>
      </c>
      <c r="F6382" s="1399">
        <v>65928.759999999995</v>
      </c>
      <c r="I6382" s="1399">
        <v>65928.759999999995</v>
      </c>
    </row>
    <row r="6383" spans="2:9">
      <c r="B6383" s="1297"/>
      <c r="C6383" s="1297"/>
      <c r="D6383" s="1297" t="s">
        <v>1045</v>
      </c>
      <c r="F6383" s="1399">
        <v>3344104.12</v>
      </c>
      <c r="I6383" s="1399">
        <v>3344104.12</v>
      </c>
    </row>
    <row r="6384" spans="2:9">
      <c r="B6384" s="1297"/>
      <c r="C6384" s="1297"/>
      <c r="D6384" s="1297" t="s">
        <v>1046</v>
      </c>
      <c r="H6384" s="1399">
        <v>16677824</v>
      </c>
      <c r="I6384" s="1399">
        <v>16677824</v>
      </c>
    </row>
    <row r="6385" spans="2:9">
      <c r="B6385" s="1297"/>
      <c r="C6385" s="1297"/>
      <c r="D6385" s="1297" t="s">
        <v>1128</v>
      </c>
      <c r="H6385" s="1399">
        <v>1248035</v>
      </c>
      <c r="I6385" s="1399">
        <v>1248035</v>
      </c>
    </row>
    <row r="6386" spans="2:9">
      <c r="B6386" s="1297"/>
      <c r="C6386" s="1297"/>
      <c r="D6386" s="1297" t="s">
        <v>1129</v>
      </c>
      <c r="H6386" s="1399">
        <v>-1741481</v>
      </c>
      <c r="I6386" s="1399">
        <v>-1741481</v>
      </c>
    </row>
    <row r="6387" spans="2:9">
      <c r="B6387" s="1297"/>
      <c r="C6387" s="1297"/>
      <c r="D6387" s="1297" t="s">
        <v>1047</v>
      </c>
      <c r="H6387" s="1399">
        <v>141093</v>
      </c>
      <c r="I6387" s="1399">
        <v>141093</v>
      </c>
    </row>
    <row r="6388" spans="2:9">
      <c r="B6388" s="1297"/>
      <c r="C6388" s="1297"/>
      <c r="D6388" s="1297" t="s">
        <v>1048</v>
      </c>
      <c r="H6388" s="1399">
        <v>-4739336</v>
      </c>
      <c r="I6388" s="1399">
        <v>-4739336</v>
      </c>
    </row>
    <row r="6389" spans="2:9">
      <c r="B6389" s="1297"/>
      <c r="C6389" s="1297"/>
      <c r="D6389" s="1297" t="s">
        <v>955</v>
      </c>
      <c r="H6389" s="1399">
        <v>923773.75</v>
      </c>
      <c r="I6389" s="1399">
        <v>923773.75</v>
      </c>
    </row>
    <row r="6390" spans="2:9">
      <c r="B6390" s="1297"/>
      <c r="C6390" s="1297"/>
      <c r="D6390" s="1297" t="s">
        <v>934</v>
      </c>
      <c r="H6390" s="1399">
        <v>32476</v>
      </c>
      <c r="I6390" s="1399">
        <v>32476</v>
      </c>
    </row>
    <row r="6391" spans="2:9">
      <c r="B6391" s="1297"/>
      <c r="C6391" s="1297"/>
      <c r="D6391" s="1297" t="s">
        <v>935</v>
      </c>
      <c r="H6391" s="1399">
        <v>199551.83000000002</v>
      </c>
      <c r="I6391" s="1399">
        <v>199551.83000000002</v>
      </c>
    </row>
    <row r="6392" spans="2:9">
      <c r="B6392" s="1297"/>
      <c r="C6392" s="1297"/>
      <c r="D6392" s="1297" t="s">
        <v>936</v>
      </c>
      <c r="H6392" s="1399">
        <v>62676.95</v>
      </c>
      <c r="I6392" s="1399">
        <v>62676.95</v>
      </c>
    </row>
    <row r="6393" spans="2:9">
      <c r="B6393" s="1297"/>
      <c r="C6393" s="1297"/>
      <c r="D6393" s="1297" t="s">
        <v>937</v>
      </c>
      <c r="H6393" s="1399">
        <v>22926.83</v>
      </c>
      <c r="I6393" s="1399">
        <v>22926.83</v>
      </c>
    </row>
    <row r="6394" spans="2:9">
      <c r="B6394" s="1297"/>
      <c r="C6394" s="1297"/>
      <c r="D6394" s="1297" t="s">
        <v>938</v>
      </c>
      <c r="H6394" s="1399">
        <v>10668</v>
      </c>
      <c r="I6394" s="1399">
        <v>10668</v>
      </c>
    </row>
    <row r="6395" spans="2:9">
      <c r="B6395" s="1297"/>
      <c r="C6395" s="1297"/>
      <c r="D6395" s="1297" t="s">
        <v>939</v>
      </c>
      <c r="H6395" s="1399">
        <v>135267.33000000002</v>
      </c>
      <c r="I6395" s="1399">
        <v>135267.33000000002</v>
      </c>
    </row>
    <row r="6396" spans="2:9">
      <c r="B6396" s="1297"/>
      <c r="C6396" s="1297"/>
      <c r="D6396" s="1297" t="s">
        <v>1131</v>
      </c>
      <c r="E6396" s="1399">
        <v>86518.71</v>
      </c>
      <c r="I6396" s="1399">
        <v>86518.71</v>
      </c>
    </row>
    <row r="6397" spans="2:9">
      <c r="B6397" s="1297"/>
      <c r="C6397" s="1297"/>
      <c r="D6397" s="1297" t="s">
        <v>940</v>
      </c>
      <c r="E6397" s="1399">
        <v>361944.92</v>
      </c>
      <c r="I6397" s="1399">
        <v>361944.92</v>
      </c>
    </row>
    <row r="6398" spans="2:9">
      <c r="B6398" s="1297"/>
      <c r="C6398" s="1297"/>
      <c r="D6398" s="1297" t="s">
        <v>941</v>
      </c>
      <c r="E6398" s="1399">
        <v>113200.86</v>
      </c>
      <c r="I6398" s="1399">
        <v>113200.86</v>
      </c>
    </row>
    <row r="6399" spans="2:9">
      <c r="B6399" s="1297"/>
      <c r="C6399" s="1297"/>
      <c r="D6399" s="1297" t="s">
        <v>943</v>
      </c>
      <c r="E6399" s="1399">
        <v>15250.6</v>
      </c>
      <c r="I6399" s="1399">
        <v>15250.6</v>
      </c>
    </row>
    <row r="6400" spans="2:9">
      <c r="B6400" s="1297"/>
      <c r="C6400" s="1297"/>
      <c r="D6400" s="1297" t="s">
        <v>944</v>
      </c>
      <c r="E6400" s="1399">
        <v>1726564.2</v>
      </c>
      <c r="I6400" s="1399">
        <v>1726564.2</v>
      </c>
    </row>
    <row r="6401" spans="2:9">
      <c r="B6401" s="1297"/>
      <c r="C6401" s="1297"/>
      <c r="D6401" s="1297" t="s">
        <v>945</v>
      </c>
      <c r="E6401" s="1399">
        <v>884509.63</v>
      </c>
      <c r="I6401" s="1399">
        <v>884509.63</v>
      </c>
    </row>
    <row r="6402" spans="2:9">
      <c r="B6402" s="1297"/>
      <c r="C6402" s="1297"/>
      <c r="D6402" s="1297" t="s">
        <v>978</v>
      </c>
      <c r="E6402" s="1399">
        <v>31997.200000000001</v>
      </c>
      <c r="I6402" s="1399">
        <v>31997.200000000001</v>
      </c>
    </row>
    <row r="6403" spans="2:9">
      <c r="B6403" s="1297"/>
      <c r="C6403" s="1297"/>
      <c r="D6403" s="1297" t="s">
        <v>947</v>
      </c>
      <c r="E6403" s="1399">
        <v>28321.200000000001</v>
      </c>
      <c r="I6403" s="1399">
        <v>28321.200000000001</v>
      </c>
    </row>
    <row r="6404" spans="2:9">
      <c r="B6404" s="1297"/>
      <c r="C6404" s="1297"/>
      <c r="D6404" s="1297" t="s">
        <v>948</v>
      </c>
      <c r="G6404" s="1399">
        <v>2282839.8699999996</v>
      </c>
      <c r="I6404" s="1399">
        <v>2282839.8699999996</v>
      </c>
    </row>
    <row r="6405" spans="2:9">
      <c r="B6405" s="1297"/>
      <c r="C6405" s="1400" t="s">
        <v>1460</v>
      </c>
      <c r="D6405" s="1400"/>
      <c r="E6405" s="1401">
        <v>3248307.3200000003</v>
      </c>
      <c r="F6405" s="1401">
        <v>32533605.170000006</v>
      </c>
      <c r="G6405" s="1401">
        <v>2282839.8699999996</v>
      </c>
      <c r="H6405" s="1401">
        <v>12973475.689999999</v>
      </c>
      <c r="I6405" s="1401">
        <v>51038228.050000012</v>
      </c>
    </row>
    <row r="6406" spans="2:9">
      <c r="B6406" s="1297" t="s">
        <v>1461</v>
      </c>
      <c r="C6406" s="1297" t="s">
        <v>1462</v>
      </c>
      <c r="D6406" s="1297" t="s">
        <v>906</v>
      </c>
      <c r="F6406" s="1399">
        <v>223497.32</v>
      </c>
      <c r="I6406" s="1399">
        <v>223497.32</v>
      </c>
    </row>
    <row r="6407" spans="2:9">
      <c r="B6407" s="1297"/>
      <c r="C6407" s="1297"/>
      <c r="D6407" s="1297" t="s">
        <v>907</v>
      </c>
      <c r="F6407" s="1399">
        <v>2517157.4300000002</v>
      </c>
      <c r="I6407" s="1399">
        <v>2517157.4300000002</v>
      </c>
    </row>
    <row r="6408" spans="2:9">
      <c r="B6408" s="1297"/>
      <c r="C6408" s="1297"/>
      <c r="D6408" s="1297" t="s">
        <v>1145</v>
      </c>
      <c r="F6408" s="1399">
        <v>7921528.8700000001</v>
      </c>
      <c r="I6408" s="1399">
        <v>7921528.8700000001</v>
      </c>
    </row>
    <row r="6409" spans="2:9">
      <c r="B6409" s="1297"/>
      <c r="C6409" s="1297"/>
      <c r="D6409" s="1297" t="s">
        <v>909</v>
      </c>
      <c r="F6409" s="1399">
        <v>5329.55</v>
      </c>
      <c r="I6409" s="1399">
        <v>5329.55</v>
      </c>
    </row>
    <row r="6410" spans="2:9">
      <c r="B6410" s="1297"/>
      <c r="C6410" s="1297"/>
      <c r="D6410" s="1297" t="s">
        <v>910</v>
      </c>
      <c r="F6410" s="1399">
        <v>52797.220000000008</v>
      </c>
      <c r="I6410" s="1399">
        <v>52797.220000000008</v>
      </c>
    </row>
    <row r="6411" spans="2:9">
      <c r="B6411" s="1297"/>
      <c r="C6411" s="1297"/>
      <c r="D6411" s="1297" t="s">
        <v>1035</v>
      </c>
      <c r="F6411" s="1399">
        <v>114677.79000000001</v>
      </c>
      <c r="I6411" s="1399">
        <v>114677.79000000001</v>
      </c>
    </row>
    <row r="6412" spans="2:9">
      <c r="B6412" s="1297"/>
      <c r="C6412" s="1297"/>
      <c r="D6412" s="1297" t="s">
        <v>1036</v>
      </c>
      <c r="F6412" s="1399">
        <v>134655.47</v>
      </c>
      <c r="I6412" s="1399">
        <v>134655.47</v>
      </c>
    </row>
    <row r="6413" spans="2:9">
      <c r="B6413" s="1297"/>
      <c r="C6413" s="1297"/>
      <c r="D6413" s="1297" t="s">
        <v>1039</v>
      </c>
      <c r="F6413" s="1399">
        <v>21524.650000000005</v>
      </c>
      <c r="I6413" s="1399">
        <v>21524.650000000005</v>
      </c>
    </row>
    <row r="6414" spans="2:9">
      <c r="B6414" s="1297"/>
      <c r="C6414" s="1297"/>
      <c r="D6414" s="1297" t="s">
        <v>1040</v>
      </c>
      <c r="F6414" s="1399">
        <v>44333.98</v>
      </c>
      <c r="I6414" s="1399">
        <v>44333.98</v>
      </c>
    </row>
    <row r="6415" spans="2:9">
      <c r="B6415" s="1297"/>
      <c r="C6415" s="1297"/>
      <c r="D6415" s="1297" t="s">
        <v>1041</v>
      </c>
      <c r="F6415" s="1399">
        <v>7777.42</v>
      </c>
      <c r="I6415" s="1399">
        <v>7777.42</v>
      </c>
    </row>
    <row r="6416" spans="2:9">
      <c r="B6416" s="1297"/>
      <c r="C6416" s="1297"/>
      <c r="D6416" s="1297" t="s">
        <v>1042</v>
      </c>
      <c r="F6416" s="1399">
        <v>33379.199999999997</v>
      </c>
      <c r="I6416" s="1399">
        <v>33379.199999999997</v>
      </c>
    </row>
    <row r="6417" spans="2:9">
      <c r="B6417" s="1297"/>
      <c r="C6417" s="1297"/>
      <c r="D6417" s="1297" t="s">
        <v>954</v>
      </c>
      <c r="F6417" s="1399">
        <v>102952.04999999999</v>
      </c>
      <c r="I6417" s="1399">
        <v>102952.04999999999</v>
      </c>
    </row>
    <row r="6418" spans="2:9">
      <c r="B6418" s="1297"/>
      <c r="C6418" s="1297"/>
      <c r="D6418" s="1297" t="s">
        <v>985</v>
      </c>
      <c r="F6418" s="1399">
        <v>4586.3500000000004</v>
      </c>
      <c r="I6418" s="1399">
        <v>4586.3500000000004</v>
      </c>
    </row>
    <row r="6419" spans="2:9">
      <c r="B6419" s="1297"/>
      <c r="C6419" s="1297"/>
      <c r="D6419" s="1297" t="s">
        <v>986</v>
      </c>
      <c r="F6419" s="1399">
        <v>42445.549999999996</v>
      </c>
      <c r="I6419" s="1399">
        <v>42445.549999999996</v>
      </c>
    </row>
    <row r="6420" spans="2:9">
      <c r="B6420" s="1297"/>
      <c r="C6420" s="1297"/>
      <c r="D6420" s="1297" t="s">
        <v>1045</v>
      </c>
      <c r="F6420" s="1399">
        <v>237120.52999999997</v>
      </c>
      <c r="I6420" s="1399">
        <v>237120.52999999997</v>
      </c>
    </row>
    <row r="6421" spans="2:9">
      <c r="B6421" s="1297"/>
      <c r="C6421" s="1297"/>
      <c r="D6421" s="1297" t="s">
        <v>1046</v>
      </c>
      <c r="H6421" s="1399">
        <v>13761526</v>
      </c>
      <c r="I6421" s="1399">
        <v>13761526</v>
      </c>
    </row>
    <row r="6422" spans="2:9">
      <c r="B6422" s="1297"/>
      <c r="C6422" s="1297"/>
      <c r="D6422" s="1297" t="s">
        <v>1128</v>
      </c>
      <c r="H6422" s="1399">
        <v>1111525</v>
      </c>
      <c r="I6422" s="1399">
        <v>1111525</v>
      </c>
    </row>
    <row r="6423" spans="2:9">
      <c r="B6423" s="1297"/>
      <c r="C6423" s="1297"/>
      <c r="D6423" s="1297" t="s">
        <v>1129</v>
      </c>
      <c r="H6423" s="1399">
        <v>-1917489</v>
      </c>
      <c r="I6423" s="1399">
        <v>-1917489</v>
      </c>
    </row>
    <row r="6424" spans="2:9">
      <c r="B6424" s="1297"/>
      <c r="C6424" s="1297"/>
      <c r="D6424" s="1297" t="s">
        <v>1047</v>
      </c>
      <c r="H6424" s="1399">
        <v>214651</v>
      </c>
      <c r="I6424" s="1399">
        <v>214651</v>
      </c>
    </row>
    <row r="6425" spans="2:9">
      <c r="B6425" s="1297"/>
      <c r="C6425" s="1297"/>
      <c r="D6425" s="1297" t="s">
        <v>1048</v>
      </c>
      <c r="H6425" s="1399">
        <v>-2519388</v>
      </c>
      <c r="I6425" s="1399">
        <v>-2519388</v>
      </c>
    </row>
    <row r="6426" spans="2:9">
      <c r="B6426" s="1297"/>
      <c r="C6426" s="1297"/>
      <c r="D6426" s="1297" t="s">
        <v>932</v>
      </c>
      <c r="H6426" s="1399">
        <v>285344</v>
      </c>
      <c r="I6426" s="1399">
        <v>285344</v>
      </c>
    </row>
    <row r="6427" spans="2:9">
      <c r="B6427" s="1297"/>
      <c r="C6427" s="1297"/>
      <c r="D6427" s="1297" t="s">
        <v>955</v>
      </c>
      <c r="H6427" s="1399">
        <v>738584.75</v>
      </c>
      <c r="I6427" s="1399">
        <v>738584.75</v>
      </c>
    </row>
    <row r="6428" spans="2:9">
      <c r="B6428" s="1297"/>
      <c r="C6428" s="1297"/>
      <c r="D6428" s="1297" t="s">
        <v>934</v>
      </c>
      <c r="H6428" s="1399">
        <v>48881.82</v>
      </c>
      <c r="I6428" s="1399">
        <v>48881.82</v>
      </c>
    </row>
    <row r="6429" spans="2:9">
      <c r="B6429" s="1297"/>
      <c r="C6429" s="1297"/>
      <c r="D6429" s="1297" t="s">
        <v>1130</v>
      </c>
      <c r="H6429" s="1399">
        <v>832520.2</v>
      </c>
      <c r="I6429" s="1399">
        <v>832520.2</v>
      </c>
    </row>
    <row r="6430" spans="2:9">
      <c r="B6430" s="1297"/>
      <c r="C6430" s="1297"/>
      <c r="D6430" s="1297" t="s">
        <v>935</v>
      </c>
      <c r="H6430" s="1399">
        <v>624184.65</v>
      </c>
      <c r="I6430" s="1399">
        <v>624184.65</v>
      </c>
    </row>
    <row r="6431" spans="2:9">
      <c r="B6431" s="1297"/>
      <c r="C6431" s="1297"/>
      <c r="D6431" s="1297" t="s">
        <v>936</v>
      </c>
      <c r="H6431" s="1399">
        <v>38866.71</v>
      </c>
      <c r="I6431" s="1399">
        <v>38866.71</v>
      </c>
    </row>
    <row r="6432" spans="2:9">
      <c r="B6432" s="1297"/>
      <c r="C6432" s="1297"/>
      <c r="D6432" s="1297" t="s">
        <v>937</v>
      </c>
      <c r="H6432" s="1399">
        <v>14252.18</v>
      </c>
      <c r="I6432" s="1399">
        <v>14252.18</v>
      </c>
    </row>
    <row r="6433" spans="2:9">
      <c r="B6433" s="1297"/>
      <c r="C6433" s="1297"/>
      <c r="D6433" s="1297" t="s">
        <v>938</v>
      </c>
      <c r="H6433" s="1399">
        <v>10481</v>
      </c>
      <c r="I6433" s="1399">
        <v>10481</v>
      </c>
    </row>
    <row r="6434" spans="2:9">
      <c r="B6434" s="1297"/>
      <c r="C6434" s="1297"/>
      <c r="D6434" s="1297" t="s">
        <v>939</v>
      </c>
      <c r="H6434" s="1399">
        <v>265607.61</v>
      </c>
      <c r="I6434" s="1399">
        <v>265607.61</v>
      </c>
    </row>
    <row r="6435" spans="2:9">
      <c r="B6435" s="1297"/>
      <c r="C6435" s="1297"/>
      <c r="D6435" s="1297" t="s">
        <v>1131</v>
      </c>
      <c r="E6435" s="1399">
        <v>58202.66</v>
      </c>
      <c r="I6435" s="1399">
        <v>58202.66</v>
      </c>
    </row>
    <row r="6436" spans="2:9">
      <c r="B6436" s="1297"/>
      <c r="C6436" s="1297"/>
      <c r="D6436" s="1297" t="s">
        <v>940</v>
      </c>
      <c r="E6436" s="1399">
        <v>985138.86</v>
      </c>
      <c r="I6436" s="1399">
        <v>985138.86</v>
      </c>
    </row>
    <row r="6437" spans="2:9">
      <c r="B6437" s="1297"/>
      <c r="C6437" s="1297"/>
      <c r="D6437" s="1297" t="s">
        <v>941</v>
      </c>
      <c r="E6437" s="1399">
        <v>426664.82</v>
      </c>
      <c r="I6437" s="1399">
        <v>426664.82</v>
      </c>
    </row>
    <row r="6438" spans="2:9">
      <c r="B6438" s="1297"/>
      <c r="C6438" s="1297"/>
      <c r="D6438" s="1297" t="s">
        <v>943</v>
      </c>
      <c r="E6438" s="1399">
        <v>15010.9</v>
      </c>
      <c r="I6438" s="1399">
        <v>15010.9</v>
      </c>
    </row>
    <row r="6439" spans="2:9">
      <c r="B6439" s="1297"/>
      <c r="C6439" s="1297"/>
      <c r="D6439" s="1297" t="s">
        <v>944</v>
      </c>
      <c r="E6439" s="1399">
        <v>4154845.5799999996</v>
      </c>
      <c r="I6439" s="1399">
        <v>4154845.5799999996</v>
      </c>
    </row>
    <row r="6440" spans="2:9">
      <c r="B6440" s="1297"/>
      <c r="C6440" s="1297"/>
      <c r="D6440" s="1297" t="s">
        <v>945</v>
      </c>
      <c r="E6440" s="1399">
        <v>1402681.2</v>
      </c>
      <c r="I6440" s="1399">
        <v>1402681.2</v>
      </c>
    </row>
    <row r="6441" spans="2:9">
      <c r="B6441" s="1297"/>
      <c r="C6441" s="1297"/>
      <c r="D6441" s="1297" t="s">
        <v>946</v>
      </c>
      <c r="E6441" s="1399">
        <v>458746.17</v>
      </c>
      <c r="I6441" s="1399">
        <v>458746.17</v>
      </c>
    </row>
    <row r="6442" spans="2:9">
      <c r="B6442" s="1297"/>
      <c r="C6442" s="1297"/>
      <c r="D6442" s="1297" t="s">
        <v>947</v>
      </c>
      <c r="E6442" s="1399">
        <v>71539.009999999995</v>
      </c>
      <c r="I6442" s="1399">
        <v>71539.009999999995</v>
      </c>
    </row>
    <row r="6443" spans="2:9">
      <c r="B6443" s="1297"/>
      <c r="C6443" s="1297"/>
      <c r="D6443" s="1297" t="s">
        <v>1115</v>
      </c>
      <c r="E6443" s="1399">
        <v>10024.629999999999</v>
      </c>
      <c r="I6443" s="1399">
        <v>10024.629999999999</v>
      </c>
    </row>
    <row r="6444" spans="2:9">
      <c r="B6444" s="1297"/>
      <c r="C6444" s="1297"/>
      <c r="D6444" s="1297" t="s">
        <v>948</v>
      </c>
      <c r="G6444" s="1399">
        <v>4783743.1400000006</v>
      </c>
      <c r="I6444" s="1399">
        <v>4783743.1400000006</v>
      </c>
    </row>
    <row r="6445" spans="2:9">
      <c r="B6445" s="1297"/>
      <c r="C6445" s="1400" t="s">
        <v>1463</v>
      </c>
      <c r="D6445" s="1400"/>
      <c r="E6445" s="1401">
        <v>7582853.8299999991</v>
      </c>
      <c r="F6445" s="1401">
        <v>11463763.380000003</v>
      </c>
      <c r="G6445" s="1401">
        <v>4783743.1400000006</v>
      </c>
      <c r="H6445" s="1401">
        <v>13509547.92</v>
      </c>
      <c r="I6445" s="1401">
        <v>37339908.269999996</v>
      </c>
    </row>
    <row r="6446" spans="2:9">
      <c r="B6446" s="1297" t="s">
        <v>1464</v>
      </c>
      <c r="C6446" s="1297" t="s">
        <v>1465</v>
      </c>
      <c r="D6446" s="1297" t="s">
        <v>906</v>
      </c>
      <c r="F6446" s="1399">
        <v>25900783.93</v>
      </c>
      <c r="I6446" s="1399">
        <v>25900783.93</v>
      </c>
    </row>
    <row r="6447" spans="2:9">
      <c r="B6447" s="1297"/>
      <c r="C6447" s="1297"/>
      <c r="D6447" s="1297" t="s">
        <v>907</v>
      </c>
      <c r="F6447" s="1399">
        <v>4391107.5199999996</v>
      </c>
      <c r="I6447" s="1399">
        <v>4391107.5199999996</v>
      </c>
    </row>
    <row r="6448" spans="2:9">
      <c r="B6448" s="1297"/>
      <c r="C6448" s="1297"/>
      <c r="D6448" s="1297" t="s">
        <v>908</v>
      </c>
      <c r="F6448" s="1399">
        <v>105363.15</v>
      </c>
      <c r="I6448" s="1399">
        <v>105363.15</v>
      </c>
    </row>
    <row r="6449" spans="2:9">
      <c r="B6449" s="1297"/>
      <c r="C6449" s="1297"/>
      <c r="D6449" s="1297" t="s">
        <v>1034</v>
      </c>
      <c r="F6449" s="1399">
        <v>82174.259999999995</v>
      </c>
      <c r="I6449" s="1399">
        <v>82174.259999999995</v>
      </c>
    </row>
    <row r="6450" spans="2:9">
      <c r="B6450" s="1297"/>
      <c r="C6450" s="1297"/>
      <c r="D6450" s="1297" t="s">
        <v>1035</v>
      </c>
      <c r="F6450" s="1399">
        <v>455324.7</v>
      </c>
      <c r="I6450" s="1399">
        <v>455324.7</v>
      </c>
    </row>
    <row r="6451" spans="2:9">
      <c r="B6451" s="1297"/>
      <c r="C6451" s="1297"/>
      <c r="D6451" s="1297" t="s">
        <v>1037</v>
      </c>
      <c r="F6451" s="1399">
        <v>186115.6</v>
      </c>
      <c r="I6451" s="1399">
        <v>186115.6</v>
      </c>
    </row>
    <row r="6452" spans="2:9">
      <c r="B6452" s="1297"/>
      <c r="C6452" s="1297"/>
      <c r="D6452" s="1297" t="s">
        <v>1039</v>
      </c>
      <c r="F6452" s="1399">
        <v>29795.82</v>
      </c>
      <c r="I6452" s="1399">
        <v>29795.82</v>
      </c>
    </row>
    <row r="6453" spans="2:9">
      <c r="B6453" s="1297"/>
      <c r="C6453" s="1297"/>
      <c r="D6453" s="1297" t="s">
        <v>1040</v>
      </c>
      <c r="F6453" s="1399">
        <v>113539.91</v>
      </c>
      <c r="I6453" s="1399">
        <v>113539.91</v>
      </c>
    </row>
    <row r="6454" spans="2:9">
      <c r="B6454" s="1297"/>
      <c r="C6454" s="1297"/>
      <c r="D6454" s="1297" t="s">
        <v>1041</v>
      </c>
      <c r="F6454" s="1399">
        <v>80933.08</v>
      </c>
      <c r="I6454" s="1399">
        <v>80933.08</v>
      </c>
    </row>
    <row r="6455" spans="2:9">
      <c r="B6455" s="1297"/>
      <c r="C6455" s="1297"/>
      <c r="D6455" s="1297" t="s">
        <v>1042</v>
      </c>
      <c r="F6455" s="1399">
        <v>41508.6</v>
      </c>
      <c r="I6455" s="1399">
        <v>41508.6</v>
      </c>
    </row>
    <row r="6456" spans="2:9">
      <c r="B6456" s="1297"/>
      <c r="C6456" s="1297"/>
      <c r="D6456" s="1297" t="s">
        <v>1043</v>
      </c>
      <c r="F6456" s="1399">
        <v>144502.56</v>
      </c>
      <c r="I6456" s="1399">
        <v>144502.56</v>
      </c>
    </row>
    <row r="6457" spans="2:9">
      <c r="B6457" s="1297"/>
      <c r="C6457" s="1297"/>
      <c r="D6457" s="1297" t="s">
        <v>986</v>
      </c>
      <c r="F6457" s="1399">
        <v>2000</v>
      </c>
      <c r="I6457" s="1399">
        <v>2000</v>
      </c>
    </row>
    <row r="6458" spans="2:9">
      <c r="B6458" s="1297"/>
      <c r="C6458" s="1297"/>
      <c r="D6458" s="1297" t="s">
        <v>1044</v>
      </c>
      <c r="F6458" s="1399">
        <v>62978.27</v>
      </c>
      <c r="I6458" s="1399">
        <v>62978.27</v>
      </c>
    </row>
    <row r="6459" spans="2:9">
      <c r="B6459" s="1297"/>
      <c r="C6459" s="1297"/>
      <c r="D6459" s="1297" t="s">
        <v>1045</v>
      </c>
      <c r="F6459" s="1399">
        <v>529988.98</v>
      </c>
      <c r="I6459" s="1399">
        <v>529988.98</v>
      </c>
    </row>
    <row r="6460" spans="2:9">
      <c r="B6460" s="1297"/>
      <c r="C6460" s="1297"/>
      <c r="D6460" s="1297" t="s">
        <v>1046</v>
      </c>
      <c r="H6460" s="1399">
        <v>36044797</v>
      </c>
      <c r="I6460" s="1399">
        <v>36044797</v>
      </c>
    </row>
    <row r="6461" spans="2:9">
      <c r="B6461" s="1297"/>
      <c r="C6461" s="1297"/>
      <c r="D6461" s="1297" t="s">
        <v>1128</v>
      </c>
      <c r="H6461" s="1399">
        <v>2996261</v>
      </c>
      <c r="I6461" s="1399">
        <v>2996261</v>
      </c>
    </row>
    <row r="6462" spans="2:9">
      <c r="B6462" s="1297"/>
      <c r="C6462" s="1297"/>
      <c r="D6462" s="1297" t="s">
        <v>1129</v>
      </c>
      <c r="H6462" s="1399">
        <v>-4367842</v>
      </c>
      <c r="I6462" s="1399">
        <v>-4367842</v>
      </c>
    </row>
    <row r="6463" spans="2:9">
      <c r="B6463" s="1297"/>
      <c r="C6463" s="1297"/>
      <c r="D6463" s="1297" t="s">
        <v>1047</v>
      </c>
      <c r="H6463" s="1399">
        <v>412329</v>
      </c>
      <c r="I6463" s="1399">
        <v>412329</v>
      </c>
    </row>
    <row r="6464" spans="2:9">
      <c r="B6464" s="1297"/>
      <c r="C6464" s="1297"/>
      <c r="D6464" s="1297" t="s">
        <v>1048</v>
      </c>
      <c r="H6464" s="1399">
        <v>-7440049</v>
      </c>
      <c r="I6464" s="1399">
        <v>-7440049</v>
      </c>
    </row>
    <row r="6465" spans="2:9">
      <c r="B6465" s="1297"/>
      <c r="C6465" s="1297"/>
      <c r="D6465" s="1297" t="s">
        <v>955</v>
      </c>
      <c r="H6465" s="1399">
        <v>728148.65</v>
      </c>
      <c r="I6465" s="1399">
        <v>728148.65</v>
      </c>
    </row>
    <row r="6466" spans="2:9">
      <c r="B6466" s="1297"/>
      <c r="C6466" s="1297"/>
      <c r="D6466" s="1297" t="s">
        <v>934</v>
      </c>
      <c r="H6466" s="1399">
        <v>104783</v>
      </c>
      <c r="I6466" s="1399">
        <v>104783</v>
      </c>
    </row>
    <row r="6467" spans="2:9">
      <c r="B6467" s="1297"/>
      <c r="C6467" s="1297"/>
      <c r="D6467" s="1297" t="s">
        <v>935</v>
      </c>
      <c r="H6467" s="1399">
        <v>186823.31</v>
      </c>
      <c r="I6467" s="1399">
        <v>186823.31</v>
      </c>
    </row>
    <row r="6468" spans="2:9">
      <c r="B6468" s="1297"/>
      <c r="C6468" s="1297"/>
      <c r="D6468" s="1297" t="s">
        <v>936</v>
      </c>
      <c r="H6468" s="1399">
        <v>81935.23</v>
      </c>
      <c r="I6468" s="1399">
        <v>81935.23</v>
      </c>
    </row>
    <row r="6469" spans="2:9">
      <c r="B6469" s="1297"/>
      <c r="C6469" s="1297"/>
      <c r="D6469" s="1297" t="s">
        <v>937</v>
      </c>
      <c r="H6469" s="1399">
        <v>45744.62</v>
      </c>
      <c r="I6469" s="1399">
        <v>45744.62</v>
      </c>
    </row>
    <row r="6470" spans="2:9">
      <c r="B6470" s="1297"/>
      <c r="C6470" s="1297"/>
      <c r="D6470" s="1297" t="s">
        <v>938</v>
      </c>
      <c r="H6470" s="1399">
        <v>21523</v>
      </c>
      <c r="I6470" s="1399">
        <v>21523</v>
      </c>
    </row>
    <row r="6471" spans="2:9">
      <c r="B6471" s="1297"/>
      <c r="C6471" s="1297"/>
      <c r="D6471" s="1297" t="s">
        <v>940</v>
      </c>
      <c r="E6471" s="1399">
        <v>2078404.82</v>
      </c>
      <c r="I6471" s="1399">
        <v>2078404.82</v>
      </c>
    </row>
    <row r="6472" spans="2:9">
      <c r="B6472" s="1297"/>
      <c r="C6472" s="1297"/>
      <c r="D6472" s="1297" t="s">
        <v>941</v>
      </c>
      <c r="E6472" s="1399">
        <v>743133.96</v>
      </c>
      <c r="I6472" s="1399">
        <v>743133.96</v>
      </c>
    </row>
    <row r="6473" spans="2:9">
      <c r="B6473" s="1297"/>
      <c r="C6473" s="1297"/>
      <c r="D6473" s="1297" t="s">
        <v>943</v>
      </c>
      <c r="E6473" s="1399">
        <v>39014.28</v>
      </c>
      <c r="I6473" s="1399">
        <v>39014.28</v>
      </c>
    </row>
    <row r="6474" spans="2:9">
      <c r="B6474" s="1297"/>
      <c r="C6474" s="1297"/>
      <c r="D6474" s="1297" t="s">
        <v>944</v>
      </c>
      <c r="E6474" s="1399">
        <v>5037591.4899999984</v>
      </c>
      <c r="I6474" s="1399">
        <v>5037591.4899999984</v>
      </c>
    </row>
    <row r="6475" spans="2:9">
      <c r="B6475" s="1297"/>
      <c r="C6475" s="1297"/>
      <c r="D6475" s="1297" t="s">
        <v>945</v>
      </c>
      <c r="E6475" s="1399">
        <v>2726427.3</v>
      </c>
      <c r="I6475" s="1399">
        <v>2726427.3</v>
      </c>
    </row>
    <row r="6476" spans="2:9">
      <c r="B6476" s="1297"/>
      <c r="C6476" s="1297"/>
      <c r="D6476" s="1297" t="s">
        <v>947</v>
      </c>
      <c r="E6476" s="1399">
        <v>158977.35999999999</v>
      </c>
      <c r="I6476" s="1399">
        <v>158977.35999999999</v>
      </c>
    </row>
    <row r="6477" spans="2:9">
      <c r="B6477" s="1297"/>
      <c r="C6477" s="1297"/>
      <c r="D6477" s="1297" t="s">
        <v>1115</v>
      </c>
      <c r="E6477" s="1399">
        <v>12376.82</v>
      </c>
      <c r="I6477" s="1399">
        <v>12376.82</v>
      </c>
    </row>
    <row r="6478" spans="2:9">
      <c r="B6478" s="1297"/>
      <c r="C6478" s="1297"/>
      <c r="D6478" s="1297" t="s">
        <v>948</v>
      </c>
      <c r="G6478" s="1399">
        <v>8285362.3899999997</v>
      </c>
      <c r="I6478" s="1399">
        <v>8285362.3899999997</v>
      </c>
    </row>
    <row r="6479" spans="2:9">
      <c r="B6479" s="1297"/>
      <c r="C6479" s="1297"/>
      <c r="D6479" s="1297" t="s">
        <v>956</v>
      </c>
      <c r="G6479" s="1399">
        <v>2893.02</v>
      </c>
      <c r="I6479" s="1399">
        <v>2893.02</v>
      </c>
    </row>
    <row r="6480" spans="2:9">
      <c r="B6480" s="1297"/>
      <c r="C6480" s="1297"/>
      <c r="D6480" s="1297" t="s">
        <v>1118</v>
      </c>
      <c r="G6480" s="1399">
        <v>919987.26</v>
      </c>
      <c r="I6480" s="1399">
        <v>919987.26</v>
      </c>
    </row>
    <row r="6481" spans="2:9">
      <c r="B6481" s="1297"/>
      <c r="C6481" s="1400" t="s">
        <v>1466</v>
      </c>
      <c r="D6481" s="1400"/>
      <c r="E6481" s="1401">
        <v>10795926.029999997</v>
      </c>
      <c r="F6481" s="1401">
        <v>32126116.379999999</v>
      </c>
      <c r="G6481" s="1401">
        <v>9208242.6699999999</v>
      </c>
      <c r="H6481" s="1401">
        <v>28814453.809999999</v>
      </c>
      <c r="I6481" s="1401">
        <v>80944738.889999986</v>
      </c>
    </row>
    <row r="6482" spans="2:9">
      <c r="B6482" s="1297" t="s">
        <v>1467</v>
      </c>
      <c r="C6482" s="1297" t="s">
        <v>1468</v>
      </c>
      <c r="D6482" s="1297" t="s">
        <v>906</v>
      </c>
      <c r="F6482" s="1399">
        <v>7585141.3499999996</v>
      </c>
      <c r="I6482" s="1399">
        <v>7585141.3499999996</v>
      </c>
    </row>
    <row r="6483" spans="2:9">
      <c r="B6483" s="1297"/>
      <c r="C6483" s="1297"/>
      <c r="D6483" s="1297" t="s">
        <v>907</v>
      </c>
      <c r="F6483" s="1399">
        <v>1852417.96</v>
      </c>
      <c r="I6483" s="1399">
        <v>1852417.96</v>
      </c>
    </row>
    <row r="6484" spans="2:9">
      <c r="B6484" s="1297"/>
      <c r="C6484" s="1297"/>
      <c r="D6484" s="1297" t="s">
        <v>908</v>
      </c>
      <c r="F6484" s="1399">
        <v>29051.4</v>
      </c>
      <c r="I6484" s="1399">
        <v>29051.4</v>
      </c>
    </row>
    <row r="6485" spans="2:9">
      <c r="B6485" s="1297"/>
      <c r="C6485" s="1297"/>
      <c r="D6485" s="1297" t="s">
        <v>909</v>
      </c>
      <c r="F6485" s="1399">
        <v>12678.85</v>
      </c>
      <c r="I6485" s="1399">
        <v>12678.85</v>
      </c>
    </row>
    <row r="6486" spans="2:9">
      <c r="B6486" s="1297"/>
      <c r="C6486" s="1297"/>
      <c r="D6486" s="1297" t="s">
        <v>910</v>
      </c>
      <c r="F6486" s="1399">
        <v>699241.07</v>
      </c>
      <c r="I6486" s="1399">
        <v>699241.07</v>
      </c>
    </row>
    <row r="6487" spans="2:9">
      <c r="B6487" s="1297"/>
      <c r="C6487" s="1297"/>
      <c r="D6487" s="1297" t="s">
        <v>1034</v>
      </c>
      <c r="F6487" s="1399">
        <v>177324.03</v>
      </c>
      <c r="I6487" s="1399">
        <v>177324.03</v>
      </c>
    </row>
    <row r="6488" spans="2:9">
      <c r="B6488" s="1297"/>
      <c r="C6488" s="1297"/>
      <c r="D6488" s="1297" t="s">
        <v>1035</v>
      </c>
      <c r="F6488" s="1399">
        <v>354405.82</v>
      </c>
      <c r="I6488" s="1399">
        <v>354405.82</v>
      </c>
    </row>
    <row r="6489" spans="2:9">
      <c r="B6489" s="1297"/>
      <c r="C6489" s="1297"/>
      <c r="D6489" s="1297" t="s">
        <v>1036</v>
      </c>
      <c r="F6489" s="1399">
        <v>136970.60999999999</v>
      </c>
      <c r="I6489" s="1399">
        <v>136970.60999999999</v>
      </c>
    </row>
    <row r="6490" spans="2:9">
      <c r="B6490" s="1297"/>
      <c r="C6490" s="1297"/>
      <c r="D6490" s="1297" t="s">
        <v>1037</v>
      </c>
      <c r="F6490" s="1399">
        <v>138337.07</v>
      </c>
      <c r="I6490" s="1399">
        <v>138337.07</v>
      </c>
    </row>
    <row r="6491" spans="2:9">
      <c r="B6491" s="1297"/>
      <c r="C6491" s="1297"/>
      <c r="D6491" s="1297" t="s">
        <v>1039</v>
      </c>
      <c r="F6491" s="1399">
        <v>36281.230000000003</v>
      </c>
      <c r="I6491" s="1399">
        <v>36281.230000000003</v>
      </c>
    </row>
    <row r="6492" spans="2:9">
      <c r="B6492" s="1297"/>
      <c r="C6492" s="1297"/>
      <c r="D6492" s="1297" t="s">
        <v>1040</v>
      </c>
      <c r="F6492" s="1399">
        <v>302928.25</v>
      </c>
      <c r="I6492" s="1399">
        <v>302928.25</v>
      </c>
    </row>
    <row r="6493" spans="2:9">
      <c r="B6493" s="1297"/>
      <c r="C6493" s="1297"/>
      <c r="D6493" s="1297" t="s">
        <v>1041</v>
      </c>
      <c r="F6493" s="1399">
        <v>27553.69</v>
      </c>
      <c r="I6493" s="1399">
        <v>27553.69</v>
      </c>
    </row>
    <row r="6494" spans="2:9">
      <c r="B6494" s="1297"/>
      <c r="C6494" s="1297"/>
      <c r="D6494" s="1297" t="s">
        <v>1042</v>
      </c>
      <c r="F6494" s="1399">
        <v>31814.35</v>
      </c>
      <c r="I6494" s="1399">
        <v>31814.35</v>
      </c>
    </row>
    <row r="6495" spans="2:9">
      <c r="B6495" s="1297"/>
      <c r="C6495" s="1297"/>
      <c r="D6495" s="1297" t="s">
        <v>985</v>
      </c>
      <c r="F6495" s="1399">
        <v>93096.68</v>
      </c>
      <c r="I6495" s="1399">
        <v>93096.68</v>
      </c>
    </row>
    <row r="6496" spans="2:9">
      <c r="B6496" s="1297"/>
      <c r="C6496" s="1297"/>
      <c r="D6496" s="1297" t="s">
        <v>986</v>
      </c>
      <c r="F6496" s="1399">
        <v>22735.75</v>
      </c>
      <c r="I6496" s="1399">
        <v>22735.75</v>
      </c>
    </row>
    <row r="6497" spans="2:9">
      <c r="B6497" s="1297"/>
      <c r="C6497" s="1297"/>
      <c r="D6497" s="1297" t="s">
        <v>996</v>
      </c>
      <c r="F6497" s="1399">
        <v>114277.12</v>
      </c>
      <c r="I6497" s="1399">
        <v>114277.12</v>
      </c>
    </row>
    <row r="6498" spans="2:9">
      <c r="B6498" s="1297"/>
      <c r="C6498" s="1297"/>
      <c r="D6498" s="1297" t="s">
        <v>1045</v>
      </c>
      <c r="F6498" s="1399">
        <v>219764.87000000002</v>
      </c>
      <c r="I6498" s="1399">
        <v>219764.87000000002</v>
      </c>
    </row>
    <row r="6499" spans="2:9">
      <c r="B6499" s="1297"/>
      <c r="C6499" s="1297"/>
      <c r="D6499" s="1297" t="s">
        <v>1046</v>
      </c>
      <c r="H6499" s="1399">
        <v>13061248</v>
      </c>
      <c r="I6499" s="1399">
        <v>13061248</v>
      </c>
    </row>
    <row r="6500" spans="2:9">
      <c r="B6500" s="1297"/>
      <c r="C6500" s="1297"/>
      <c r="D6500" s="1297" t="s">
        <v>1047</v>
      </c>
      <c r="H6500" s="1399">
        <v>118920</v>
      </c>
      <c r="I6500" s="1399">
        <v>118920</v>
      </c>
    </row>
    <row r="6501" spans="2:9">
      <c r="B6501" s="1297"/>
      <c r="C6501" s="1297"/>
      <c r="D6501" s="1297" t="s">
        <v>1048</v>
      </c>
      <c r="H6501" s="1399">
        <v>-2447471</v>
      </c>
      <c r="I6501" s="1399">
        <v>-2447471</v>
      </c>
    </row>
    <row r="6502" spans="2:9">
      <c r="B6502" s="1297"/>
      <c r="C6502" s="1297"/>
      <c r="D6502" s="1297" t="s">
        <v>932</v>
      </c>
      <c r="H6502" s="1399">
        <v>160455</v>
      </c>
      <c r="I6502" s="1399">
        <v>160455</v>
      </c>
    </row>
    <row r="6503" spans="2:9">
      <c r="B6503" s="1297"/>
      <c r="C6503" s="1297"/>
      <c r="D6503" s="1297" t="s">
        <v>933</v>
      </c>
      <c r="H6503" s="1399">
        <v>377126.85</v>
      </c>
      <c r="I6503" s="1399">
        <v>377126.85</v>
      </c>
    </row>
    <row r="6504" spans="2:9">
      <c r="B6504" s="1297"/>
      <c r="C6504" s="1297"/>
      <c r="D6504" s="1297" t="s">
        <v>934</v>
      </c>
      <c r="H6504" s="1399">
        <v>31896</v>
      </c>
      <c r="I6504" s="1399">
        <v>31896</v>
      </c>
    </row>
    <row r="6505" spans="2:9">
      <c r="B6505" s="1297"/>
      <c r="C6505" s="1297"/>
      <c r="D6505" s="1297" t="s">
        <v>935</v>
      </c>
      <c r="H6505" s="1399">
        <v>174959.54</v>
      </c>
      <c r="I6505" s="1399">
        <v>174959.54</v>
      </c>
    </row>
    <row r="6506" spans="2:9">
      <c r="B6506" s="1297"/>
      <c r="C6506" s="1297"/>
      <c r="D6506" s="1297" t="s">
        <v>936</v>
      </c>
      <c r="H6506" s="1399">
        <v>35715.35</v>
      </c>
      <c r="I6506" s="1399">
        <v>35715.35</v>
      </c>
    </row>
    <row r="6507" spans="2:9">
      <c r="B6507" s="1297"/>
      <c r="C6507" s="1297"/>
      <c r="D6507" s="1297" t="s">
        <v>937</v>
      </c>
      <c r="H6507" s="1399">
        <v>8644.56</v>
      </c>
      <c r="I6507" s="1399">
        <v>8644.56</v>
      </c>
    </row>
    <row r="6508" spans="2:9">
      <c r="B6508" s="1297"/>
      <c r="C6508" s="1297"/>
      <c r="D6508" s="1297" t="s">
        <v>938</v>
      </c>
      <c r="H6508" s="1399">
        <v>11978</v>
      </c>
      <c r="I6508" s="1399">
        <v>11978</v>
      </c>
    </row>
    <row r="6509" spans="2:9">
      <c r="B6509" s="1297"/>
      <c r="C6509" s="1297"/>
      <c r="D6509" s="1297" t="s">
        <v>940</v>
      </c>
      <c r="E6509" s="1399">
        <v>377384.8</v>
      </c>
      <c r="I6509" s="1399">
        <v>377384.8</v>
      </c>
    </row>
    <row r="6510" spans="2:9">
      <c r="B6510" s="1297"/>
      <c r="C6510" s="1297"/>
      <c r="D6510" s="1297" t="s">
        <v>941</v>
      </c>
      <c r="E6510" s="1399">
        <v>103772.34</v>
      </c>
      <c r="I6510" s="1399">
        <v>103772.34</v>
      </c>
    </row>
    <row r="6511" spans="2:9">
      <c r="B6511" s="1297"/>
      <c r="C6511" s="1297"/>
      <c r="D6511" s="1297" t="s">
        <v>944</v>
      </c>
      <c r="E6511" s="1399">
        <v>766238.22</v>
      </c>
      <c r="I6511" s="1399">
        <v>766238.22</v>
      </c>
    </row>
    <row r="6512" spans="2:9">
      <c r="B6512" s="1297"/>
      <c r="C6512" s="1297"/>
      <c r="D6512" s="1297" t="s">
        <v>945</v>
      </c>
      <c r="E6512" s="1399">
        <v>734850</v>
      </c>
      <c r="I6512" s="1399">
        <v>734850</v>
      </c>
    </row>
    <row r="6513" spans="2:9">
      <c r="B6513" s="1297"/>
      <c r="C6513" s="1297"/>
      <c r="D6513" s="1297" t="s">
        <v>978</v>
      </c>
      <c r="E6513" s="1399">
        <v>1200</v>
      </c>
      <c r="I6513" s="1399">
        <v>1200</v>
      </c>
    </row>
    <row r="6514" spans="2:9">
      <c r="B6514" s="1297"/>
      <c r="C6514" s="1297"/>
      <c r="D6514" s="1297" t="s">
        <v>947</v>
      </c>
      <c r="E6514" s="1399">
        <v>39084.97</v>
      </c>
      <c r="I6514" s="1399">
        <v>39084.97</v>
      </c>
    </row>
    <row r="6515" spans="2:9">
      <c r="B6515" s="1297"/>
      <c r="C6515" s="1297"/>
      <c r="D6515" s="1297" t="s">
        <v>1115</v>
      </c>
      <c r="E6515" s="1399">
        <v>68633.64</v>
      </c>
      <c r="I6515" s="1399">
        <v>68633.64</v>
      </c>
    </row>
    <row r="6516" spans="2:9">
      <c r="B6516" s="1297"/>
      <c r="C6516" s="1297"/>
      <c r="D6516" s="1297" t="s">
        <v>948</v>
      </c>
      <c r="G6516" s="1399">
        <v>1455126.7599999998</v>
      </c>
      <c r="I6516" s="1399">
        <v>1455126.7599999998</v>
      </c>
    </row>
    <row r="6517" spans="2:9">
      <c r="B6517" s="1297"/>
      <c r="C6517" s="1400" t="s">
        <v>1469</v>
      </c>
      <c r="D6517" s="1400"/>
      <c r="E6517" s="1401">
        <v>2091163.9699999997</v>
      </c>
      <c r="F6517" s="1401">
        <v>11834020.099999996</v>
      </c>
      <c r="G6517" s="1401">
        <v>1455126.7599999998</v>
      </c>
      <c r="H6517" s="1401">
        <v>11533472.299999999</v>
      </c>
      <c r="I6517" s="1401">
        <v>26913783.129999995</v>
      </c>
    </row>
    <row r="6518" spans="2:9">
      <c r="B6518" s="1297" t="s">
        <v>1470</v>
      </c>
      <c r="C6518" s="1297" t="s">
        <v>1471</v>
      </c>
      <c r="D6518" s="1297" t="s">
        <v>906</v>
      </c>
      <c r="F6518" s="1399">
        <v>43242785.25</v>
      </c>
      <c r="I6518" s="1399">
        <v>43242785.25</v>
      </c>
    </row>
    <row r="6519" spans="2:9">
      <c r="B6519" s="1297"/>
      <c r="C6519" s="1297"/>
      <c r="D6519" s="1297" t="s">
        <v>952</v>
      </c>
      <c r="F6519" s="1399">
        <v>457127.69</v>
      </c>
      <c r="I6519" s="1399">
        <v>457127.69</v>
      </c>
    </row>
    <row r="6520" spans="2:9">
      <c r="B6520" s="1297"/>
      <c r="C6520" s="1297"/>
      <c r="D6520" s="1297" t="s">
        <v>907</v>
      </c>
      <c r="F6520" s="1399">
        <v>7636931.7300000004</v>
      </c>
      <c r="I6520" s="1399">
        <v>7636931.7300000004</v>
      </c>
    </row>
    <row r="6521" spans="2:9">
      <c r="B6521" s="1297"/>
      <c r="C6521" s="1297"/>
      <c r="D6521" s="1297" t="s">
        <v>908</v>
      </c>
      <c r="F6521" s="1399">
        <v>1079173.3</v>
      </c>
      <c r="I6521" s="1399">
        <v>1079173.3</v>
      </c>
    </row>
    <row r="6522" spans="2:9">
      <c r="B6522" s="1297"/>
      <c r="C6522" s="1297"/>
      <c r="D6522" s="1297" t="s">
        <v>1035</v>
      </c>
      <c r="F6522" s="1399">
        <v>42849.34</v>
      </c>
      <c r="I6522" s="1399">
        <v>42849.34</v>
      </c>
    </row>
    <row r="6523" spans="2:9">
      <c r="B6523" s="1297"/>
      <c r="C6523" s="1297"/>
      <c r="D6523" s="1297" t="s">
        <v>1037</v>
      </c>
      <c r="F6523" s="1399">
        <v>504657</v>
      </c>
      <c r="I6523" s="1399">
        <v>504657</v>
      </c>
    </row>
    <row r="6524" spans="2:9">
      <c r="B6524" s="1297"/>
      <c r="C6524" s="1297"/>
      <c r="D6524" s="1297" t="s">
        <v>1038</v>
      </c>
      <c r="F6524" s="1399">
        <v>26800</v>
      </c>
      <c r="I6524" s="1399">
        <v>26800</v>
      </c>
    </row>
    <row r="6525" spans="2:9">
      <c r="B6525" s="1297"/>
      <c r="C6525" s="1297"/>
      <c r="D6525" s="1297" t="s">
        <v>1003</v>
      </c>
      <c r="F6525" s="1399">
        <v>258665.92</v>
      </c>
      <c r="I6525" s="1399">
        <v>258665.92</v>
      </c>
    </row>
    <row r="6526" spans="2:9">
      <c r="B6526" s="1297"/>
      <c r="C6526" s="1297"/>
      <c r="D6526" s="1297" t="s">
        <v>1039</v>
      </c>
      <c r="F6526" s="1399">
        <v>82880.060000000012</v>
      </c>
      <c r="I6526" s="1399">
        <v>82880.060000000012</v>
      </c>
    </row>
    <row r="6527" spans="2:9">
      <c r="B6527" s="1297"/>
      <c r="C6527" s="1297"/>
      <c r="D6527" s="1297" t="s">
        <v>1040</v>
      </c>
      <c r="F6527" s="1399">
        <v>251345.07000000004</v>
      </c>
      <c r="I6527" s="1399">
        <v>251345.07000000004</v>
      </c>
    </row>
    <row r="6528" spans="2:9">
      <c r="B6528" s="1297"/>
      <c r="C6528" s="1297"/>
      <c r="D6528" s="1297" t="s">
        <v>1041</v>
      </c>
      <c r="F6528" s="1399">
        <v>168079.97999999998</v>
      </c>
      <c r="I6528" s="1399">
        <v>168079.97999999998</v>
      </c>
    </row>
    <row r="6529" spans="2:9">
      <c r="B6529" s="1297"/>
      <c r="C6529" s="1297"/>
      <c r="D6529" s="1297" t="s">
        <v>1042</v>
      </c>
      <c r="F6529" s="1399">
        <v>13026.24</v>
      </c>
      <c r="I6529" s="1399">
        <v>13026.24</v>
      </c>
    </row>
    <row r="6530" spans="2:9">
      <c r="B6530" s="1297"/>
      <c r="C6530" s="1297"/>
      <c r="D6530" s="1297" t="s">
        <v>953</v>
      </c>
      <c r="F6530" s="1399">
        <v>191320.58000000005</v>
      </c>
      <c r="I6530" s="1399">
        <v>191320.58000000005</v>
      </c>
    </row>
    <row r="6531" spans="2:9">
      <c r="B6531" s="1297"/>
      <c r="C6531" s="1297"/>
      <c r="D6531" s="1297" t="s">
        <v>954</v>
      </c>
      <c r="F6531" s="1399">
        <v>123897.58</v>
      </c>
      <c r="I6531" s="1399">
        <v>123897.58</v>
      </c>
    </row>
    <row r="6532" spans="2:9">
      <c r="B6532" s="1297"/>
      <c r="C6532" s="1297"/>
      <c r="D6532" s="1297" t="s">
        <v>985</v>
      </c>
      <c r="F6532" s="1399">
        <v>1407869.11</v>
      </c>
      <c r="I6532" s="1399">
        <v>1407869.11</v>
      </c>
    </row>
    <row r="6533" spans="2:9">
      <c r="B6533" s="1297"/>
      <c r="C6533" s="1297"/>
      <c r="D6533" s="1297" t="s">
        <v>986</v>
      </c>
      <c r="F6533" s="1399">
        <v>49905.64</v>
      </c>
      <c r="I6533" s="1399">
        <v>49905.64</v>
      </c>
    </row>
    <row r="6534" spans="2:9">
      <c r="B6534" s="1297"/>
      <c r="C6534" s="1297"/>
      <c r="D6534" s="1297" t="s">
        <v>996</v>
      </c>
      <c r="F6534" s="1399">
        <v>3522.05</v>
      </c>
      <c r="I6534" s="1399">
        <v>3522.05</v>
      </c>
    </row>
    <row r="6535" spans="2:9">
      <c r="B6535" s="1297"/>
      <c r="C6535" s="1297"/>
      <c r="D6535" s="1297" t="s">
        <v>1044</v>
      </c>
      <c r="F6535" s="1399">
        <v>202271</v>
      </c>
      <c r="I6535" s="1399">
        <v>202271</v>
      </c>
    </row>
    <row r="6536" spans="2:9">
      <c r="B6536" s="1297"/>
      <c r="C6536" s="1297"/>
      <c r="D6536" s="1297" t="s">
        <v>1045</v>
      </c>
      <c r="F6536" s="1399">
        <v>1647941.4300000002</v>
      </c>
      <c r="I6536" s="1399">
        <v>1647941.4300000002</v>
      </c>
    </row>
    <row r="6537" spans="2:9">
      <c r="B6537" s="1297"/>
      <c r="C6537" s="1297"/>
      <c r="D6537" s="1297" t="s">
        <v>1046</v>
      </c>
      <c r="H6537" s="1399">
        <v>43894865</v>
      </c>
      <c r="I6537" s="1399">
        <v>43894865</v>
      </c>
    </row>
    <row r="6538" spans="2:9">
      <c r="B6538" s="1297"/>
      <c r="C6538" s="1297"/>
      <c r="D6538" s="1297" t="s">
        <v>1128</v>
      </c>
      <c r="H6538" s="1399">
        <v>3447964</v>
      </c>
      <c r="I6538" s="1399">
        <v>3447964</v>
      </c>
    </row>
    <row r="6539" spans="2:9">
      <c r="B6539" s="1297"/>
      <c r="C6539" s="1297"/>
      <c r="D6539" s="1297" t="s">
        <v>1129</v>
      </c>
      <c r="H6539" s="1399">
        <v>-4992085</v>
      </c>
      <c r="I6539" s="1399">
        <v>-4992085</v>
      </c>
    </row>
    <row r="6540" spans="2:9">
      <c r="B6540" s="1297"/>
      <c r="C6540" s="1297"/>
      <c r="D6540" s="1297" t="s">
        <v>1047</v>
      </c>
      <c r="H6540" s="1399">
        <v>535855</v>
      </c>
      <c r="I6540" s="1399">
        <v>535855</v>
      </c>
    </row>
    <row r="6541" spans="2:9">
      <c r="B6541" s="1297"/>
      <c r="C6541" s="1297"/>
      <c r="D6541" s="1297" t="s">
        <v>1048</v>
      </c>
      <c r="H6541" s="1399">
        <v>-13586773</v>
      </c>
      <c r="I6541" s="1399">
        <v>-13586773</v>
      </c>
    </row>
    <row r="6542" spans="2:9">
      <c r="B6542" s="1297"/>
      <c r="C6542" s="1297"/>
      <c r="D6542" s="1297" t="s">
        <v>934</v>
      </c>
      <c r="H6542" s="1399">
        <v>112668</v>
      </c>
      <c r="I6542" s="1399">
        <v>112668</v>
      </c>
    </row>
    <row r="6543" spans="2:9">
      <c r="B6543" s="1297"/>
      <c r="C6543" s="1297"/>
      <c r="D6543" s="1297" t="s">
        <v>1130</v>
      </c>
      <c r="H6543" s="1399">
        <v>112152.5</v>
      </c>
      <c r="I6543" s="1399">
        <v>112152.5</v>
      </c>
    </row>
    <row r="6544" spans="2:9">
      <c r="B6544" s="1297"/>
      <c r="C6544" s="1297"/>
      <c r="D6544" s="1297" t="s">
        <v>935</v>
      </c>
      <c r="H6544" s="1399">
        <v>552655.56000000006</v>
      </c>
      <c r="I6544" s="1399">
        <v>552655.56000000006</v>
      </c>
    </row>
    <row r="6545" spans="2:9">
      <c r="B6545" s="1297"/>
      <c r="C6545" s="1297"/>
      <c r="D6545" s="1297" t="s">
        <v>936</v>
      </c>
      <c r="H6545" s="1399">
        <v>128155.1</v>
      </c>
      <c r="I6545" s="1399">
        <v>128155.1</v>
      </c>
    </row>
    <row r="6546" spans="2:9">
      <c r="B6546" s="1297"/>
      <c r="C6546" s="1297"/>
      <c r="D6546" s="1297" t="s">
        <v>937</v>
      </c>
      <c r="H6546" s="1399">
        <v>94806.69</v>
      </c>
      <c r="I6546" s="1399">
        <v>94806.69</v>
      </c>
    </row>
    <row r="6547" spans="2:9">
      <c r="B6547" s="1297"/>
      <c r="C6547" s="1297"/>
      <c r="D6547" s="1297" t="s">
        <v>938</v>
      </c>
      <c r="H6547" s="1399">
        <v>42111</v>
      </c>
      <c r="I6547" s="1399">
        <v>42111</v>
      </c>
    </row>
    <row r="6548" spans="2:9">
      <c r="B6548" s="1297"/>
      <c r="C6548" s="1297"/>
      <c r="D6548" s="1297" t="s">
        <v>1131</v>
      </c>
      <c r="E6548" s="1399">
        <v>8848.98</v>
      </c>
      <c r="I6548" s="1399">
        <v>8848.98</v>
      </c>
    </row>
    <row r="6549" spans="2:9">
      <c r="B6549" s="1297"/>
      <c r="C6549" s="1297"/>
      <c r="D6549" s="1297" t="s">
        <v>940</v>
      </c>
      <c r="E6549" s="1399">
        <v>2108966.7599999998</v>
      </c>
      <c r="I6549" s="1399">
        <v>2108966.7599999998</v>
      </c>
    </row>
    <row r="6550" spans="2:9">
      <c r="B6550" s="1297"/>
      <c r="C6550" s="1297"/>
      <c r="D6550" s="1297" t="s">
        <v>941</v>
      </c>
      <c r="E6550" s="1399">
        <v>1061679.6399999999</v>
      </c>
      <c r="I6550" s="1399">
        <v>1061679.6399999999</v>
      </c>
    </row>
    <row r="6551" spans="2:9">
      <c r="B6551" s="1297"/>
      <c r="C6551" s="1297"/>
      <c r="D6551" s="1297" t="s">
        <v>943</v>
      </c>
      <c r="E6551" s="1399">
        <v>67658.94</v>
      </c>
      <c r="I6551" s="1399">
        <v>67658.94</v>
      </c>
    </row>
    <row r="6552" spans="2:9">
      <c r="B6552" s="1297"/>
      <c r="C6552" s="1297"/>
      <c r="D6552" s="1297" t="s">
        <v>944</v>
      </c>
      <c r="E6552" s="1399">
        <v>6227375.0799999991</v>
      </c>
      <c r="I6552" s="1399">
        <v>6227375.0799999991</v>
      </c>
    </row>
    <row r="6553" spans="2:9">
      <c r="B6553" s="1297"/>
      <c r="C6553" s="1297"/>
      <c r="D6553" s="1297" t="s">
        <v>945</v>
      </c>
      <c r="E6553" s="1399">
        <v>3923793.01</v>
      </c>
      <c r="I6553" s="1399">
        <v>3923793.01</v>
      </c>
    </row>
    <row r="6554" spans="2:9">
      <c r="B6554" s="1297"/>
      <c r="C6554" s="1297"/>
      <c r="D6554" s="1297" t="s">
        <v>946</v>
      </c>
      <c r="E6554" s="1399">
        <v>104871.4</v>
      </c>
      <c r="I6554" s="1399">
        <v>104871.4</v>
      </c>
    </row>
    <row r="6555" spans="2:9">
      <c r="B6555" s="1297"/>
      <c r="C6555" s="1297"/>
      <c r="D6555" s="1297" t="s">
        <v>947</v>
      </c>
      <c r="E6555" s="1399">
        <v>316483.74999999994</v>
      </c>
      <c r="I6555" s="1399">
        <v>316483.74999999994</v>
      </c>
    </row>
    <row r="6556" spans="2:9">
      <c r="B6556" s="1297"/>
      <c r="C6556" s="1297"/>
      <c r="D6556" s="1297" t="s">
        <v>1115</v>
      </c>
      <c r="E6556" s="1399">
        <v>20695.86</v>
      </c>
      <c r="I6556" s="1399">
        <v>20695.86</v>
      </c>
    </row>
    <row r="6557" spans="2:9">
      <c r="B6557" s="1297"/>
      <c r="C6557" s="1297"/>
      <c r="D6557" s="1297" t="s">
        <v>948</v>
      </c>
      <c r="G6557" s="1399">
        <v>949828.45</v>
      </c>
      <c r="I6557" s="1399">
        <v>949828.45</v>
      </c>
    </row>
    <row r="6558" spans="2:9">
      <c r="B6558" s="1297"/>
      <c r="C6558" s="1297"/>
      <c r="D6558" s="1297" t="s">
        <v>956</v>
      </c>
      <c r="G6558" s="1399">
        <v>13389.490000000002</v>
      </c>
      <c r="I6558" s="1399">
        <v>13389.490000000002</v>
      </c>
    </row>
    <row r="6559" spans="2:9">
      <c r="B6559" s="1297"/>
      <c r="C6559" s="1400" t="s">
        <v>1472</v>
      </c>
      <c r="D6559" s="1400"/>
      <c r="E6559" s="1401">
        <v>13840373.419999998</v>
      </c>
      <c r="F6559" s="1401">
        <v>57391048.969999999</v>
      </c>
      <c r="G6559" s="1401">
        <v>963217.94</v>
      </c>
      <c r="H6559" s="1401">
        <v>30342374.850000001</v>
      </c>
      <c r="I6559" s="1401">
        <v>102537015.18000001</v>
      </c>
    </row>
    <row r="6560" spans="2:9">
      <c r="B6560" s="1297" t="s">
        <v>1473</v>
      </c>
      <c r="C6560" s="1297" t="s">
        <v>1474</v>
      </c>
      <c r="D6560" s="1297" t="s">
        <v>1035</v>
      </c>
      <c r="F6560" s="1399">
        <v>7997.04</v>
      </c>
      <c r="I6560" s="1399">
        <v>7997.04</v>
      </c>
    </row>
    <row r="6561" spans="2:9">
      <c r="B6561" s="1297"/>
      <c r="C6561" s="1297"/>
      <c r="D6561" s="1297" t="s">
        <v>1037</v>
      </c>
      <c r="F6561" s="1399">
        <v>67270.33</v>
      </c>
      <c r="I6561" s="1399">
        <v>67270.33</v>
      </c>
    </row>
    <row r="6562" spans="2:9">
      <c r="B6562" s="1297"/>
      <c r="C6562" s="1297"/>
      <c r="D6562" s="1297" t="s">
        <v>1039</v>
      </c>
      <c r="F6562" s="1399">
        <v>3099.3900000000003</v>
      </c>
      <c r="I6562" s="1399">
        <v>3099.3900000000003</v>
      </c>
    </row>
    <row r="6563" spans="2:9">
      <c r="B6563" s="1297"/>
      <c r="C6563" s="1297"/>
      <c r="D6563" s="1297" t="s">
        <v>986</v>
      </c>
      <c r="F6563" s="1399">
        <v>25385</v>
      </c>
      <c r="I6563" s="1399">
        <v>25385</v>
      </c>
    </row>
    <row r="6564" spans="2:9">
      <c r="B6564" s="1297"/>
      <c r="C6564" s="1297"/>
      <c r="D6564" s="1297" t="s">
        <v>1045</v>
      </c>
      <c r="F6564" s="1399">
        <v>5376.72</v>
      </c>
      <c r="I6564" s="1399">
        <v>5376.72</v>
      </c>
    </row>
    <row r="6565" spans="2:9">
      <c r="B6565" s="1297"/>
      <c r="C6565" s="1297"/>
      <c r="D6565" s="1297" t="s">
        <v>1046</v>
      </c>
      <c r="H6565" s="1399">
        <v>6311493.71</v>
      </c>
      <c r="I6565" s="1399">
        <v>6311493.71</v>
      </c>
    </row>
    <row r="6566" spans="2:9">
      <c r="B6566" s="1297"/>
      <c r="C6566" s="1297"/>
      <c r="D6566" s="1297" t="s">
        <v>1128</v>
      </c>
      <c r="H6566" s="1399">
        <v>443298</v>
      </c>
      <c r="I6566" s="1399">
        <v>443298</v>
      </c>
    </row>
    <row r="6567" spans="2:9">
      <c r="B6567" s="1297"/>
      <c r="C6567" s="1297"/>
      <c r="D6567" s="1297" t="s">
        <v>1047</v>
      </c>
      <c r="H6567" s="1399">
        <v>34772</v>
      </c>
      <c r="I6567" s="1399">
        <v>34772</v>
      </c>
    </row>
    <row r="6568" spans="2:9">
      <c r="B6568" s="1297"/>
      <c r="C6568" s="1297"/>
      <c r="D6568" s="1297" t="s">
        <v>935</v>
      </c>
      <c r="H6568" s="1399">
        <v>7318</v>
      </c>
      <c r="I6568" s="1399">
        <v>7318</v>
      </c>
    </row>
    <row r="6569" spans="2:9">
      <c r="B6569" s="1297"/>
      <c r="C6569" s="1297"/>
      <c r="D6569" s="1297" t="s">
        <v>936</v>
      </c>
      <c r="H6569" s="1399">
        <v>4201.8100000000004</v>
      </c>
      <c r="I6569" s="1399">
        <v>4201.8100000000004</v>
      </c>
    </row>
    <row r="6570" spans="2:9">
      <c r="B6570" s="1297"/>
      <c r="C6570" s="1297"/>
      <c r="D6570" s="1297" t="s">
        <v>939</v>
      </c>
      <c r="H6570" s="1399">
        <v>36255.730000000003</v>
      </c>
      <c r="I6570" s="1399">
        <v>36255.730000000003</v>
      </c>
    </row>
    <row r="6571" spans="2:9">
      <c r="B6571" s="1297"/>
      <c r="C6571" s="1297"/>
      <c r="D6571" s="1297" t="s">
        <v>944</v>
      </c>
      <c r="E6571" s="1399">
        <v>190692.43</v>
      </c>
      <c r="I6571" s="1399">
        <v>190692.43</v>
      </c>
    </row>
    <row r="6572" spans="2:9">
      <c r="B6572" s="1297"/>
      <c r="C6572" s="1297"/>
      <c r="D6572" s="1297" t="s">
        <v>945</v>
      </c>
      <c r="E6572" s="1399">
        <v>259892.28</v>
      </c>
      <c r="I6572" s="1399">
        <v>259892.28</v>
      </c>
    </row>
    <row r="6573" spans="2:9">
      <c r="B6573" s="1297"/>
      <c r="C6573" s="1297"/>
      <c r="D6573" s="1297" t="s">
        <v>948</v>
      </c>
      <c r="G6573" s="1399">
        <v>4815.3599999999997</v>
      </c>
      <c r="I6573" s="1399">
        <v>4815.3599999999997</v>
      </c>
    </row>
    <row r="6574" spans="2:9">
      <c r="B6574" s="1297"/>
      <c r="C6574" s="1400" t="s">
        <v>1475</v>
      </c>
      <c r="D6574" s="1400"/>
      <c r="E6574" s="1401">
        <v>450584.70999999996</v>
      </c>
      <c r="F6574" s="1401">
        <v>109128.48</v>
      </c>
      <c r="G6574" s="1401">
        <v>4815.3599999999997</v>
      </c>
      <c r="H6574" s="1401">
        <v>6837339.25</v>
      </c>
      <c r="I6574" s="1401">
        <v>7401867.8000000007</v>
      </c>
    </row>
    <row r="6575" spans="2:9">
      <c r="B6575" s="1297" t="s">
        <v>1476</v>
      </c>
      <c r="C6575" s="1297" t="s">
        <v>1477</v>
      </c>
      <c r="D6575" s="1297" t="s">
        <v>1035</v>
      </c>
      <c r="F6575" s="1399">
        <v>96602</v>
      </c>
      <c r="I6575" s="1399">
        <v>96602</v>
      </c>
    </row>
    <row r="6576" spans="2:9">
      <c r="B6576" s="1297"/>
      <c r="C6576" s="1297"/>
      <c r="D6576" s="1297" t="s">
        <v>985</v>
      </c>
      <c r="F6576" s="1399">
        <v>30691</v>
      </c>
      <c r="I6576" s="1399">
        <v>30691</v>
      </c>
    </row>
    <row r="6577" spans="2:9">
      <c r="B6577" s="1297"/>
      <c r="C6577" s="1297"/>
      <c r="D6577" s="1297" t="s">
        <v>1046</v>
      </c>
      <c r="H6577" s="1399">
        <v>24386544</v>
      </c>
      <c r="I6577" s="1399">
        <v>24386544</v>
      </c>
    </row>
    <row r="6578" spans="2:9">
      <c r="B6578" s="1297"/>
      <c r="C6578" s="1297"/>
      <c r="D6578" s="1297" t="s">
        <v>935</v>
      </c>
      <c r="H6578" s="1399">
        <v>115279</v>
      </c>
      <c r="I6578" s="1399">
        <v>115279</v>
      </c>
    </row>
    <row r="6579" spans="2:9">
      <c r="B6579" s="1297"/>
      <c r="C6579" s="1297"/>
      <c r="D6579" s="1297" t="s">
        <v>944</v>
      </c>
      <c r="E6579" s="1399">
        <v>2022212</v>
      </c>
      <c r="I6579" s="1399">
        <v>2022212</v>
      </c>
    </row>
    <row r="6580" spans="2:9">
      <c r="B6580" s="1297"/>
      <c r="C6580" s="1297"/>
      <c r="D6580" s="1297" t="s">
        <v>945</v>
      </c>
      <c r="E6580" s="1399">
        <v>320663</v>
      </c>
      <c r="I6580" s="1399">
        <v>320663</v>
      </c>
    </row>
    <row r="6581" spans="2:9">
      <c r="B6581" s="1297"/>
      <c r="C6581" s="1400" t="s">
        <v>1478</v>
      </c>
      <c r="D6581" s="1400"/>
      <c r="E6581" s="1401">
        <v>2342875</v>
      </c>
      <c r="F6581" s="1401">
        <v>127293</v>
      </c>
      <c r="G6581" s="1401"/>
      <c r="H6581" s="1401">
        <v>24501823</v>
      </c>
      <c r="I6581" s="1401">
        <v>26971991</v>
      </c>
    </row>
    <row r="6582" spans="2:9">
      <c r="B6582" s="1297" t="s">
        <v>1479</v>
      </c>
      <c r="C6582" s="1297" t="s">
        <v>1480</v>
      </c>
      <c r="D6582" s="1297" t="s">
        <v>1034</v>
      </c>
      <c r="F6582" s="1399">
        <v>15050</v>
      </c>
      <c r="I6582" s="1399">
        <v>15050</v>
      </c>
    </row>
    <row r="6583" spans="2:9">
      <c r="B6583" s="1297"/>
      <c r="C6583" s="1297"/>
      <c r="D6583" s="1297" t="s">
        <v>1035</v>
      </c>
      <c r="F6583" s="1399">
        <v>3946.81</v>
      </c>
      <c r="I6583" s="1399">
        <v>3946.81</v>
      </c>
    </row>
    <row r="6584" spans="2:9">
      <c r="B6584" s="1297"/>
      <c r="C6584" s="1297"/>
      <c r="D6584" s="1297" t="s">
        <v>1003</v>
      </c>
      <c r="F6584" s="1399">
        <v>378.01</v>
      </c>
      <c r="I6584" s="1399">
        <v>378.01</v>
      </c>
    </row>
    <row r="6585" spans="2:9">
      <c r="B6585" s="1297"/>
      <c r="C6585" s="1297"/>
      <c r="D6585" s="1297" t="s">
        <v>985</v>
      </c>
      <c r="F6585" s="1399">
        <v>14542.97</v>
      </c>
      <c r="I6585" s="1399">
        <v>14542.97</v>
      </c>
    </row>
    <row r="6586" spans="2:9">
      <c r="B6586" s="1297"/>
      <c r="C6586" s="1297"/>
      <c r="D6586" s="1297" t="s">
        <v>1045</v>
      </c>
      <c r="F6586" s="1399">
        <v>303</v>
      </c>
      <c r="I6586" s="1399">
        <v>303</v>
      </c>
    </row>
    <row r="6587" spans="2:9">
      <c r="B6587" s="1297"/>
      <c r="C6587" s="1297"/>
      <c r="D6587" s="1297" t="s">
        <v>1046</v>
      </c>
      <c r="H6587" s="1399">
        <v>607559.48</v>
      </c>
      <c r="I6587" s="1399">
        <v>607559.48</v>
      </c>
    </row>
    <row r="6588" spans="2:9">
      <c r="B6588" s="1297"/>
      <c r="C6588" s="1297"/>
      <c r="D6588" s="1297" t="s">
        <v>1128</v>
      </c>
      <c r="H6588" s="1399">
        <v>41687</v>
      </c>
      <c r="I6588" s="1399">
        <v>41687</v>
      </c>
    </row>
    <row r="6589" spans="2:9">
      <c r="B6589" s="1297"/>
      <c r="C6589" s="1297"/>
      <c r="D6589" s="1297" t="s">
        <v>1047</v>
      </c>
      <c r="H6589" s="1399">
        <v>17747</v>
      </c>
      <c r="I6589" s="1399">
        <v>17747</v>
      </c>
    </row>
    <row r="6590" spans="2:9">
      <c r="B6590" s="1297"/>
      <c r="C6590" s="1297"/>
      <c r="D6590" s="1297" t="s">
        <v>932</v>
      </c>
      <c r="H6590" s="1399">
        <v>153720</v>
      </c>
      <c r="I6590" s="1399">
        <v>153720</v>
      </c>
    </row>
    <row r="6591" spans="2:9">
      <c r="B6591" s="1297"/>
      <c r="C6591" s="1297"/>
      <c r="D6591" s="1297" t="s">
        <v>944</v>
      </c>
      <c r="E6591" s="1399">
        <v>64799</v>
      </c>
      <c r="I6591" s="1399">
        <v>64799</v>
      </c>
    </row>
    <row r="6592" spans="2:9">
      <c r="B6592" s="1297"/>
      <c r="C6592" s="1297"/>
      <c r="D6592" s="1297" t="s">
        <v>978</v>
      </c>
      <c r="E6592" s="1399">
        <v>7798.75</v>
      </c>
      <c r="I6592" s="1399">
        <v>7798.75</v>
      </c>
    </row>
    <row r="6593" spans="2:9">
      <c r="B6593" s="1297"/>
      <c r="C6593" s="1400" t="s">
        <v>1481</v>
      </c>
      <c r="D6593" s="1400"/>
      <c r="E6593" s="1401">
        <v>72597.75</v>
      </c>
      <c r="F6593" s="1401">
        <v>34220.79</v>
      </c>
      <c r="G6593" s="1401"/>
      <c r="H6593" s="1401">
        <v>820713.48</v>
      </c>
      <c r="I6593" s="1401">
        <v>927532.02</v>
      </c>
    </row>
    <row r="6594" spans="2:9">
      <c r="B6594" s="1297" t="s">
        <v>1482</v>
      </c>
      <c r="C6594" s="1297" t="s">
        <v>1648</v>
      </c>
      <c r="D6594" s="1297" t="s">
        <v>986</v>
      </c>
      <c r="F6594" s="1399">
        <v>20983</v>
      </c>
      <c r="I6594" s="1399">
        <v>20983</v>
      </c>
    </row>
    <row r="6595" spans="2:9">
      <c r="B6595" s="1297"/>
      <c r="C6595" s="1297"/>
      <c r="D6595" s="1297" t="s">
        <v>991</v>
      </c>
      <c r="F6595" s="1399">
        <v>9144</v>
      </c>
      <c r="I6595" s="1399">
        <v>9144</v>
      </c>
    </row>
    <row r="6596" spans="2:9">
      <c r="B6596" s="1297"/>
      <c r="C6596" s="1297"/>
      <c r="D6596" s="1297" t="s">
        <v>1046</v>
      </c>
      <c r="H6596" s="1399">
        <v>1025808</v>
      </c>
      <c r="I6596" s="1399">
        <v>1025808</v>
      </c>
    </row>
    <row r="6597" spans="2:9">
      <c r="B6597" s="1297"/>
      <c r="C6597" s="1297"/>
      <c r="D6597" s="1297" t="s">
        <v>1047</v>
      </c>
      <c r="H6597" s="1399">
        <v>6831.04</v>
      </c>
      <c r="I6597" s="1399">
        <v>6831.04</v>
      </c>
    </row>
    <row r="6598" spans="2:9">
      <c r="B6598" s="1297"/>
      <c r="C6598" s="1297"/>
      <c r="D6598" s="1297" t="s">
        <v>944</v>
      </c>
      <c r="E6598" s="1399">
        <v>58529</v>
      </c>
      <c r="I6598" s="1399">
        <v>58529</v>
      </c>
    </row>
    <row r="6599" spans="2:9">
      <c r="B6599" s="1297"/>
      <c r="C6599" s="1297"/>
      <c r="D6599" s="1297" t="s">
        <v>945</v>
      </c>
      <c r="E6599" s="1399">
        <v>31070.33</v>
      </c>
      <c r="I6599" s="1399">
        <v>31070.33</v>
      </c>
    </row>
    <row r="6600" spans="2:9">
      <c r="B6600" s="1297"/>
      <c r="C6600" s="1400" t="s">
        <v>1649</v>
      </c>
      <c r="D6600" s="1400"/>
      <c r="E6600" s="1401">
        <v>89599.33</v>
      </c>
      <c r="F6600" s="1401">
        <v>30127</v>
      </c>
      <c r="G6600" s="1401"/>
      <c r="H6600" s="1401">
        <v>1032639.04</v>
      </c>
      <c r="I6600" s="1401">
        <v>1152365.3700000001</v>
      </c>
    </row>
    <row r="6601" spans="2:9">
      <c r="B6601" s="1297" t="s">
        <v>1650</v>
      </c>
      <c r="C6601" s="1297" t="s">
        <v>1651</v>
      </c>
      <c r="D6601" s="1297" t="s">
        <v>1034</v>
      </c>
      <c r="F6601" s="1399">
        <v>22148.02</v>
      </c>
      <c r="I6601" s="1399">
        <v>22148.02</v>
      </c>
    </row>
    <row r="6602" spans="2:9">
      <c r="B6602" s="1297"/>
      <c r="C6602" s="1297"/>
      <c r="D6602" s="1297" t="s">
        <v>1035</v>
      </c>
      <c r="F6602" s="1399">
        <v>24080.29</v>
      </c>
      <c r="I6602" s="1399">
        <v>24080.29</v>
      </c>
    </row>
    <row r="6603" spans="2:9">
      <c r="B6603" s="1297"/>
      <c r="C6603" s="1297"/>
      <c r="D6603" s="1297" t="s">
        <v>1039</v>
      </c>
      <c r="F6603" s="1399">
        <v>543.70000000000005</v>
      </c>
      <c r="I6603" s="1399">
        <v>543.70000000000005</v>
      </c>
    </row>
    <row r="6604" spans="2:9">
      <c r="B6604" s="1297"/>
      <c r="C6604" s="1297"/>
      <c r="D6604" s="1297" t="s">
        <v>1040</v>
      </c>
      <c r="F6604" s="1399">
        <v>34162.300000000003</v>
      </c>
      <c r="I6604" s="1399">
        <v>34162.300000000003</v>
      </c>
    </row>
    <row r="6605" spans="2:9">
      <c r="B6605" s="1297"/>
      <c r="C6605" s="1297"/>
      <c r="D6605" s="1297" t="s">
        <v>1207</v>
      </c>
      <c r="F6605" s="1399">
        <v>7261.84</v>
      </c>
      <c r="I6605" s="1399">
        <v>7261.84</v>
      </c>
    </row>
    <row r="6606" spans="2:9">
      <c r="B6606" s="1297"/>
      <c r="C6606" s="1297"/>
      <c r="D6606" s="1297" t="s">
        <v>954</v>
      </c>
      <c r="F6606" s="1399">
        <v>45003.53</v>
      </c>
      <c r="I6606" s="1399">
        <v>45003.53</v>
      </c>
    </row>
    <row r="6607" spans="2:9">
      <c r="B6607" s="1297"/>
      <c r="C6607" s="1297"/>
      <c r="D6607" s="1297" t="s">
        <v>1045</v>
      </c>
      <c r="F6607" s="1399">
        <v>5095.37</v>
      </c>
      <c r="I6607" s="1399">
        <v>5095.37</v>
      </c>
    </row>
    <row r="6608" spans="2:9">
      <c r="B6608" s="1297"/>
      <c r="C6608" s="1297"/>
      <c r="D6608" s="1297" t="s">
        <v>1046</v>
      </c>
      <c r="H6608" s="1399">
        <v>1601860</v>
      </c>
      <c r="I6608" s="1399">
        <v>1601860</v>
      </c>
    </row>
    <row r="6609" spans="2:9">
      <c r="B6609" s="1297"/>
      <c r="C6609" s="1297"/>
      <c r="D6609" s="1297" t="s">
        <v>935</v>
      </c>
      <c r="H6609" s="1399">
        <v>82000</v>
      </c>
      <c r="I6609" s="1399">
        <v>82000</v>
      </c>
    </row>
    <row r="6610" spans="2:9">
      <c r="B6610" s="1297"/>
      <c r="C6610" s="1297"/>
      <c r="D6610" s="1297" t="s">
        <v>940</v>
      </c>
      <c r="E6610" s="1399">
        <v>79017.039999999994</v>
      </c>
      <c r="I6610" s="1399">
        <v>79017.039999999994</v>
      </c>
    </row>
    <row r="6611" spans="2:9">
      <c r="B6611" s="1297"/>
      <c r="C6611" s="1297"/>
      <c r="D6611" s="1297" t="s">
        <v>944</v>
      </c>
      <c r="E6611" s="1399">
        <v>465183.41</v>
      </c>
      <c r="I6611" s="1399">
        <v>465183.41</v>
      </c>
    </row>
    <row r="6612" spans="2:9">
      <c r="B6612" s="1297"/>
      <c r="C6612" s="1297"/>
      <c r="D6612" s="1297" t="s">
        <v>945</v>
      </c>
      <c r="E6612" s="1399">
        <v>30204</v>
      </c>
      <c r="I6612" s="1399">
        <v>30204</v>
      </c>
    </row>
    <row r="6613" spans="2:9">
      <c r="B6613" s="1297"/>
      <c r="C6613" s="1400" t="s">
        <v>1652</v>
      </c>
      <c r="D6613" s="1400"/>
      <c r="E6613" s="1401">
        <v>574404.44999999995</v>
      </c>
      <c r="F6613" s="1401">
        <v>138295.04999999999</v>
      </c>
      <c r="G6613" s="1401"/>
      <c r="H6613" s="1401">
        <v>1683860</v>
      </c>
      <c r="I6613" s="1401">
        <v>2396559.5</v>
      </c>
    </row>
    <row r="6614" spans="2:9">
      <c r="B6614" s="1297" t="s">
        <v>1653</v>
      </c>
      <c r="C6614" s="1297" t="s">
        <v>1654</v>
      </c>
      <c r="D6614" s="1297" t="s">
        <v>1034</v>
      </c>
      <c r="F6614" s="1399">
        <v>26917.55</v>
      </c>
      <c r="I6614" s="1399">
        <v>26917.55</v>
      </c>
    </row>
    <row r="6615" spans="2:9">
      <c r="B6615" s="1297"/>
      <c r="C6615" s="1297"/>
      <c r="D6615" s="1297" t="s">
        <v>1040</v>
      </c>
      <c r="F6615" s="1399">
        <v>26331.99</v>
      </c>
      <c r="I6615" s="1399">
        <v>26331.99</v>
      </c>
    </row>
    <row r="6616" spans="2:9">
      <c r="B6616" s="1297"/>
      <c r="C6616" s="1297"/>
      <c r="D6616" s="1297" t="s">
        <v>1046</v>
      </c>
      <c r="H6616" s="1399">
        <v>905675.66999999993</v>
      </c>
      <c r="I6616" s="1399">
        <v>905675.66999999993</v>
      </c>
    </row>
    <row r="6617" spans="2:9">
      <c r="B6617" s="1297"/>
      <c r="C6617" s="1297"/>
      <c r="D6617" s="1297" t="s">
        <v>935</v>
      </c>
      <c r="H6617" s="1399">
        <v>25000</v>
      </c>
      <c r="I6617" s="1399">
        <v>25000</v>
      </c>
    </row>
    <row r="6618" spans="2:9">
      <c r="B6618" s="1297"/>
      <c r="C6618" s="1297"/>
      <c r="D6618" s="1297" t="s">
        <v>940</v>
      </c>
      <c r="E6618" s="1399">
        <v>28272.14</v>
      </c>
      <c r="I6618" s="1399">
        <v>28272.14</v>
      </c>
    </row>
    <row r="6619" spans="2:9">
      <c r="B6619" s="1297"/>
      <c r="C6619" s="1297"/>
      <c r="D6619" s="1297" t="s">
        <v>944</v>
      </c>
      <c r="E6619" s="1399">
        <v>308656.48</v>
      </c>
      <c r="I6619" s="1399">
        <v>308656.48</v>
      </c>
    </row>
    <row r="6620" spans="2:9">
      <c r="B6620" s="1297"/>
      <c r="C6620" s="1297"/>
      <c r="D6620" s="1297" t="s">
        <v>945</v>
      </c>
      <c r="E6620" s="1399">
        <v>11325</v>
      </c>
      <c r="I6620" s="1399">
        <v>11325</v>
      </c>
    </row>
    <row r="6621" spans="2:9">
      <c r="B6621" s="1297"/>
      <c r="C6621" s="1400" t="s">
        <v>1655</v>
      </c>
      <c r="D6621" s="1400"/>
      <c r="E6621" s="1401">
        <v>348253.62</v>
      </c>
      <c r="F6621" s="1401">
        <v>53249.54</v>
      </c>
      <c r="G6621" s="1401"/>
      <c r="H6621" s="1401">
        <v>930675.66999999993</v>
      </c>
      <c r="I6621" s="1401">
        <v>1332178.83</v>
      </c>
    </row>
    <row r="6622" spans="2:9">
      <c r="B6622" s="1297" t="s">
        <v>1656</v>
      </c>
      <c r="C6622" s="1297" t="s">
        <v>1657</v>
      </c>
      <c r="D6622" s="1297" t="s">
        <v>1040</v>
      </c>
      <c r="F6622" s="1399">
        <v>9602.36</v>
      </c>
      <c r="I6622" s="1399">
        <v>9602.36</v>
      </c>
    </row>
    <row r="6623" spans="2:9">
      <c r="B6623" s="1297"/>
      <c r="C6623" s="1297"/>
      <c r="D6623" s="1297" t="s">
        <v>986</v>
      </c>
      <c r="F6623" s="1399">
        <v>606775.63</v>
      </c>
      <c r="I6623" s="1399">
        <v>606775.63</v>
      </c>
    </row>
    <row r="6624" spans="2:9">
      <c r="B6624" s="1297"/>
      <c r="C6624" s="1297"/>
      <c r="D6624" s="1297" t="s">
        <v>1046</v>
      </c>
      <c r="H6624" s="1399">
        <v>3936254.68</v>
      </c>
      <c r="I6624" s="1399">
        <v>3936254.68</v>
      </c>
    </row>
    <row r="6625" spans="2:9">
      <c r="B6625" s="1297"/>
      <c r="C6625" s="1297"/>
      <c r="D6625" s="1297" t="s">
        <v>1131</v>
      </c>
      <c r="E6625" s="1399">
        <v>588472.17000000004</v>
      </c>
      <c r="I6625" s="1399">
        <v>588472.17000000004</v>
      </c>
    </row>
    <row r="6626" spans="2:9">
      <c r="B6626" s="1297"/>
      <c r="C6626" s="1297"/>
      <c r="D6626" s="1297" t="s">
        <v>940</v>
      </c>
      <c r="E6626" s="1399">
        <v>135253.1</v>
      </c>
      <c r="I6626" s="1399">
        <v>135253.1</v>
      </c>
    </row>
    <row r="6627" spans="2:9">
      <c r="B6627" s="1297"/>
      <c r="C6627" s="1297"/>
      <c r="D6627" s="1297" t="s">
        <v>941</v>
      </c>
      <c r="E6627" s="1399">
        <v>69360.36</v>
      </c>
      <c r="I6627" s="1399">
        <v>69360.36</v>
      </c>
    </row>
    <row r="6628" spans="2:9">
      <c r="B6628" s="1297"/>
      <c r="C6628" s="1297"/>
      <c r="D6628" s="1297" t="s">
        <v>1118</v>
      </c>
      <c r="G6628" s="1399">
        <v>6782.64</v>
      </c>
      <c r="I6628" s="1399">
        <v>6782.64</v>
      </c>
    </row>
    <row r="6629" spans="2:9">
      <c r="B6629" s="1297"/>
      <c r="C6629" s="1400" t="s">
        <v>1658</v>
      </c>
      <c r="D6629" s="1400"/>
      <c r="E6629" s="1401">
        <v>793085.63</v>
      </c>
      <c r="F6629" s="1401">
        <v>616377.99</v>
      </c>
      <c r="G6629" s="1401">
        <v>6782.64</v>
      </c>
      <c r="H6629" s="1401">
        <v>3936254.68</v>
      </c>
      <c r="I6629" s="1401">
        <v>5352500.9399999995</v>
      </c>
    </row>
    <row r="6630" spans="2:9">
      <c r="B6630" s="1297" t="s">
        <v>1659</v>
      </c>
      <c r="C6630" s="1297" t="s">
        <v>1660</v>
      </c>
      <c r="D6630" s="1297" t="s">
        <v>1034</v>
      </c>
      <c r="F6630" s="1399">
        <v>9986</v>
      </c>
      <c r="I6630" s="1399">
        <v>9986</v>
      </c>
    </row>
    <row r="6631" spans="2:9">
      <c r="B6631" s="1297"/>
      <c r="C6631" s="1297"/>
      <c r="D6631" s="1297" t="s">
        <v>1035</v>
      </c>
      <c r="F6631" s="1399">
        <v>209837</v>
      </c>
      <c r="I6631" s="1399">
        <v>209837</v>
      </c>
    </row>
    <row r="6632" spans="2:9">
      <c r="B6632" s="1297"/>
      <c r="C6632" s="1297"/>
      <c r="D6632" s="1297" t="s">
        <v>1039</v>
      </c>
      <c r="F6632" s="1399">
        <v>26</v>
      </c>
      <c r="I6632" s="1399">
        <v>26</v>
      </c>
    </row>
    <row r="6633" spans="2:9">
      <c r="B6633" s="1297"/>
      <c r="C6633" s="1297"/>
      <c r="D6633" s="1297" t="s">
        <v>1040</v>
      </c>
      <c r="F6633" s="1399">
        <v>27480</v>
      </c>
      <c r="I6633" s="1399">
        <v>27480</v>
      </c>
    </row>
    <row r="6634" spans="2:9">
      <c r="B6634" s="1297"/>
      <c r="C6634" s="1297"/>
      <c r="D6634" s="1297" t="s">
        <v>1046</v>
      </c>
      <c r="H6634" s="1399">
        <v>767672</v>
      </c>
      <c r="I6634" s="1399">
        <v>767672</v>
      </c>
    </row>
    <row r="6635" spans="2:9">
      <c r="B6635" s="1297"/>
      <c r="C6635" s="1297"/>
      <c r="D6635" s="1297" t="s">
        <v>1128</v>
      </c>
      <c r="H6635" s="1399">
        <v>56167</v>
      </c>
      <c r="I6635" s="1399">
        <v>56167</v>
      </c>
    </row>
    <row r="6636" spans="2:9">
      <c r="B6636" s="1297"/>
      <c r="C6636" s="1297"/>
      <c r="D6636" s="1297" t="s">
        <v>1129</v>
      </c>
      <c r="H6636" s="1399">
        <v>-666</v>
      </c>
      <c r="I6636" s="1399">
        <v>-666</v>
      </c>
    </row>
    <row r="6637" spans="2:9">
      <c r="B6637" s="1297"/>
      <c r="C6637" s="1297"/>
      <c r="D6637" s="1297" t="s">
        <v>1047</v>
      </c>
      <c r="H6637" s="1399">
        <v>25291</v>
      </c>
      <c r="I6637" s="1399">
        <v>25291</v>
      </c>
    </row>
    <row r="6638" spans="2:9">
      <c r="B6638" s="1297"/>
      <c r="C6638" s="1297"/>
      <c r="D6638" s="1297" t="s">
        <v>932</v>
      </c>
      <c r="H6638" s="1399">
        <v>402617</v>
      </c>
      <c r="I6638" s="1399">
        <v>402617</v>
      </c>
    </row>
    <row r="6639" spans="2:9">
      <c r="B6639" s="1297"/>
      <c r="C6639" s="1297"/>
      <c r="D6639" s="1297" t="s">
        <v>940</v>
      </c>
      <c r="E6639" s="1399">
        <v>8407</v>
      </c>
      <c r="I6639" s="1399">
        <v>8407</v>
      </c>
    </row>
    <row r="6640" spans="2:9">
      <c r="B6640" s="1297"/>
      <c r="C6640" s="1297"/>
      <c r="D6640" s="1297" t="s">
        <v>944</v>
      </c>
      <c r="E6640" s="1399">
        <v>362251</v>
      </c>
      <c r="I6640" s="1399">
        <v>362251</v>
      </c>
    </row>
    <row r="6641" spans="2:9">
      <c r="B6641" s="1297"/>
      <c r="C6641" s="1297"/>
      <c r="D6641" s="1297" t="s">
        <v>945</v>
      </c>
      <c r="E6641" s="1399">
        <v>19398</v>
      </c>
      <c r="I6641" s="1399">
        <v>19398</v>
      </c>
    </row>
    <row r="6642" spans="2:9">
      <c r="B6642" s="1297"/>
      <c r="C6642" s="1400" t="s">
        <v>1517</v>
      </c>
      <c r="D6642" s="1400"/>
      <c r="E6642" s="1401">
        <v>390056</v>
      </c>
      <c r="F6642" s="1401">
        <v>247329</v>
      </c>
      <c r="G6642" s="1401"/>
      <c r="H6642" s="1401">
        <v>1251081</v>
      </c>
      <c r="I6642" s="1401">
        <v>1888466</v>
      </c>
    </row>
    <row r="6643" spans="2:9">
      <c r="B6643" s="1297" t="s">
        <v>1518</v>
      </c>
      <c r="C6643" s="1297" t="s">
        <v>1519</v>
      </c>
      <c r="D6643" s="1297" t="s">
        <v>906</v>
      </c>
      <c r="F6643" s="1399">
        <v>390543.13</v>
      </c>
      <c r="I6643" s="1399">
        <v>390543.13</v>
      </c>
    </row>
    <row r="6644" spans="2:9">
      <c r="B6644" s="1297"/>
      <c r="C6644" s="1297"/>
      <c r="D6644" s="1297" t="s">
        <v>1126</v>
      </c>
      <c r="F6644" s="1399">
        <v>466569.83</v>
      </c>
      <c r="I6644" s="1399">
        <v>466569.83</v>
      </c>
    </row>
    <row r="6645" spans="2:9">
      <c r="B6645" s="1297"/>
      <c r="C6645" s="1297"/>
      <c r="D6645" s="1297" t="s">
        <v>907</v>
      </c>
      <c r="F6645" s="1399">
        <v>945308.73</v>
      </c>
      <c r="I6645" s="1399">
        <v>945308.73</v>
      </c>
    </row>
    <row r="6646" spans="2:9">
      <c r="B6646" s="1297"/>
      <c r="C6646" s="1297"/>
      <c r="D6646" s="1297" t="s">
        <v>909</v>
      </c>
      <c r="F6646" s="1399">
        <v>57195.33</v>
      </c>
      <c r="I6646" s="1399">
        <v>57195.33</v>
      </c>
    </row>
    <row r="6647" spans="2:9">
      <c r="B6647" s="1297"/>
      <c r="C6647" s="1297"/>
      <c r="D6647" s="1297" t="s">
        <v>910</v>
      </c>
      <c r="F6647" s="1399">
        <v>5574</v>
      </c>
      <c r="I6647" s="1399">
        <v>5574</v>
      </c>
    </row>
    <row r="6648" spans="2:9">
      <c r="B6648" s="1297"/>
      <c r="C6648" s="1297"/>
      <c r="D6648" s="1297" t="s">
        <v>1034</v>
      </c>
      <c r="F6648" s="1399">
        <v>44376.44</v>
      </c>
      <c r="I6648" s="1399">
        <v>44376.44</v>
      </c>
    </row>
    <row r="6649" spans="2:9">
      <c r="B6649" s="1297"/>
      <c r="C6649" s="1297"/>
      <c r="D6649" s="1297" t="s">
        <v>1035</v>
      </c>
      <c r="F6649" s="1399">
        <v>101905.4</v>
      </c>
      <c r="I6649" s="1399">
        <v>101905.4</v>
      </c>
    </row>
    <row r="6650" spans="2:9">
      <c r="B6650" s="1297"/>
      <c r="C6650" s="1297"/>
      <c r="D6650" s="1297" t="s">
        <v>1036</v>
      </c>
      <c r="F6650" s="1399">
        <v>79377.960000000006</v>
      </c>
      <c r="I6650" s="1399">
        <v>79377.960000000006</v>
      </c>
    </row>
    <row r="6651" spans="2:9">
      <c r="B6651" s="1297"/>
      <c r="C6651" s="1297"/>
      <c r="D6651" s="1297" t="s">
        <v>1039</v>
      </c>
      <c r="F6651" s="1399">
        <v>31938.260000000002</v>
      </c>
      <c r="I6651" s="1399">
        <v>31938.260000000002</v>
      </c>
    </row>
    <row r="6652" spans="2:9">
      <c r="B6652" s="1297"/>
      <c r="C6652" s="1297"/>
      <c r="D6652" s="1297" t="s">
        <v>1040</v>
      </c>
      <c r="F6652" s="1399">
        <v>47479.72</v>
      </c>
      <c r="I6652" s="1399">
        <v>47479.72</v>
      </c>
    </row>
    <row r="6653" spans="2:9">
      <c r="B6653" s="1297"/>
      <c r="C6653" s="1297"/>
      <c r="D6653" s="1297" t="s">
        <v>1041</v>
      </c>
      <c r="F6653" s="1399">
        <v>41661.9</v>
      </c>
      <c r="I6653" s="1399">
        <v>41661.9</v>
      </c>
    </row>
    <row r="6654" spans="2:9">
      <c r="B6654" s="1297"/>
      <c r="C6654" s="1297"/>
      <c r="D6654" s="1297" t="s">
        <v>1042</v>
      </c>
      <c r="F6654" s="1399">
        <v>21896</v>
      </c>
      <c r="I6654" s="1399">
        <v>21896</v>
      </c>
    </row>
    <row r="6655" spans="2:9">
      <c r="B6655" s="1297"/>
      <c r="C6655" s="1297"/>
      <c r="D6655" s="1297" t="s">
        <v>954</v>
      </c>
      <c r="F6655" s="1399">
        <v>900</v>
      </c>
      <c r="I6655" s="1399">
        <v>900</v>
      </c>
    </row>
    <row r="6656" spans="2:9">
      <c r="B6656" s="1297"/>
      <c r="C6656" s="1297"/>
      <c r="D6656" s="1297" t="s">
        <v>1043</v>
      </c>
      <c r="F6656" s="1399">
        <v>19660</v>
      </c>
      <c r="I6656" s="1399">
        <v>19660</v>
      </c>
    </row>
    <row r="6657" spans="2:9">
      <c r="B6657" s="1297"/>
      <c r="C6657" s="1297"/>
      <c r="D6657" s="1297" t="s">
        <v>986</v>
      </c>
      <c r="F6657" s="1399">
        <v>1000</v>
      </c>
      <c r="I6657" s="1399">
        <v>1000</v>
      </c>
    </row>
    <row r="6658" spans="2:9">
      <c r="B6658" s="1297"/>
      <c r="C6658" s="1297"/>
      <c r="D6658" s="1297" t="s">
        <v>991</v>
      </c>
      <c r="F6658" s="1399">
        <v>1851.5</v>
      </c>
      <c r="I6658" s="1399">
        <v>1851.5</v>
      </c>
    </row>
    <row r="6659" spans="2:9">
      <c r="B6659" s="1297"/>
      <c r="C6659" s="1297"/>
      <c r="D6659" s="1297" t="s">
        <v>1044</v>
      </c>
      <c r="F6659" s="1399">
        <v>19386</v>
      </c>
      <c r="I6659" s="1399">
        <v>19386</v>
      </c>
    </row>
    <row r="6660" spans="2:9">
      <c r="B6660" s="1297"/>
      <c r="C6660" s="1297"/>
      <c r="D6660" s="1297" t="s">
        <v>1045</v>
      </c>
      <c r="F6660" s="1399">
        <v>86219.6</v>
      </c>
      <c r="I6660" s="1399">
        <v>86219.6</v>
      </c>
    </row>
    <row r="6661" spans="2:9">
      <c r="B6661" s="1297"/>
      <c r="C6661" s="1297"/>
      <c r="D6661" s="1297" t="s">
        <v>1046</v>
      </c>
      <c r="H6661" s="1399">
        <v>7376719</v>
      </c>
      <c r="I6661" s="1399">
        <v>7376719</v>
      </c>
    </row>
    <row r="6662" spans="2:9">
      <c r="B6662" s="1297"/>
      <c r="C6662" s="1297"/>
      <c r="D6662" s="1297" t="s">
        <v>1047</v>
      </c>
      <c r="H6662" s="1399">
        <v>70398</v>
      </c>
      <c r="I6662" s="1399">
        <v>70398</v>
      </c>
    </row>
    <row r="6663" spans="2:9">
      <c r="B6663" s="1297"/>
      <c r="C6663" s="1297"/>
      <c r="D6663" s="1297" t="s">
        <v>1048</v>
      </c>
      <c r="H6663" s="1399">
        <v>-197652</v>
      </c>
      <c r="I6663" s="1399">
        <v>-197652</v>
      </c>
    </row>
    <row r="6664" spans="2:9">
      <c r="B6664" s="1297"/>
      <c r="C6664" s="1297"/>
      <c r="D6664" s="1297" t="s">
        <v>932</v>
      </c>
      <c r="H6664" s="1399">
        <v>2747693</v>
      </c>
      <c r="I6664" s="1399">
        <v>2747693</v>
      </c>
    </row>
    <row r="6665" spans="2:9">
      <c r="B6665" s="1297"/>
      <c r="C6665" s="1297"/>
      <c r="D6665" s="1297" t="s">
        <v>955</v>
      </c>
      <c r="H6665" s="1399">
        <v>337475.9</v>
      </c>
      <c r="I6665" s="1399">
        <v>337475.9</v>
      </c>
    </row>
    <row r="6666" spans="2:9">
      <c r="B6666" s="1297"/>
      <c r="C6666" s="1297"/>
      <c r="D6666" s="1297" t="s">
        <v>934</v>
      </c>
      <c r="H6666" s="1399">
        <v>25768</v>
      </c>
      <c r="I6666" s="1399">
        <v>25768</v>
      </c>
    </row>
    <row r="6667" spans="2:9">
      <c r="B6667" s="1297"/>
      <c r="C6667" s="1297"/>
      <c r="D6667" s="1297" t="s">
        <v>935</v>
      </c>
      <c r="H6667" s="1399">
        <v>358186.44</v>
      </c>
      <c r="I6667" s="1399">
        <v>358186.44</v>
      </c>
    </row>
    <row r="6668" spans="2:9">
      <c r="B6668" s="1297"/>
      <c r="C6668" s="1297"/>
      <c r="D6668" s="1297" t="s">
        <v>936</v>
      </c>
      <c r="H6668" s="1399">
        <v>20308.73</v>
      </c>
      <c r="I6668" s="1399">
        <v>20308.73</v>
      </c>
    </row>
    <row r="6669" spans="2:9">
      <c r="B6669" s="1297"/>
      <c r="C6669" s="1297"/>
      <c r="D6669" s="1297" t="s">
        <v>937</v>
      </c>
      <c r="H6669" s="1399">
        <v>10582.57</v>
      </c>
      <c r="I6669" s="1399">
        <v>10582.57</v>
      </c>
    </row>
    <row r="6670" spans="2:9">
      <c r="B6670" s="1297"/>
      <c r="C6670" s="1297"/>
      <c r="D6670" s="1297" t="s">
        <v>938</v>
      </c>
      <c r="H6670" s="1399">
        <v>4866</v>
      </c>
      <c r="I6670" s="1399">
        <v>4866</v>
      </c>
    </row>
    <row r="6671" spans="2:9">
      <c r="B6671" s="1297"/>
      <c r="C6671" s="1297"/>
      <c r="D6671" s="1297" t="s">
        <v>939</v>
      </c>
      <c r="H6671" s="1399">
        <v>935.2</v>
      </c>
      <c r="I6671" s="1399">
        <v>935.2</v>
      </c>
    </row>
    <row r="6672" spans="2:9">
      <c r="B6672" s="1297"/>
      <c r="C6672" s="1297"/>
      <c r="D6672" s="1297" t="s">
        <v>940</v>
      </c>
      <c r="E6672" s="1399">
        <v>495673.26</v>
      </c>
      <c r="I6672" s="1399">
        <v>495673.26</v>
      </c>
    </row>
    <row r="6673" spans="2:9">
      <c r="B6673" s="1297"/>
      <c r="C6673" s="1297"/>
      <c r="D6673" s="1297" t="s">
        <v>941</v>
      </c>
      <c r="E6673" s="1399">
        <v>176408.02</v>
      </c>
      <c r="I6673" s="1399">
        <v>176408.02</v>
      </c>
    </row>
    <row r="6674" spans="2:9">
      <c r="B6674" s="1297"/>
      <c r="C6674" s="1297"/>
      <c r="D6674" s="1297" t="s">
        <v>944</v>
      </c>
      <c r="E6674" s="1399">
        <v>1366348.9200000002</v>
      </c>
      <c r="I6674" s="1399">
        <v>1366348.9200000002</v>
      </c>
    </row>
    <row r="6675" spans="2:9">
      <c r="B6675" s="1297"/>
      <c r="C6675" s="1297"/>
      <c r="D6675" s="1297" t="s">
        <v>945</v>
      </c>
      <c r="E6675" s="1399">
        <v>574891.91999999993</v>
      </c>
      <c r="I6675" s="1399">
        <v>574891.91999999993</v>
      </c>
    </row>
    <row r="6676" spans="2:9">
      <c r="B6676" s="1297"/>
      <c r="C6676" s="1297"/>
      <c r="D6676" s="1297" t="s">
        <v>1006</v>
      </c>
      <c r="E6676" s="1399">
        <v>10122.49</v>
      </c>
      <c r="I6676" s="1399">
        <v>10122.49</v>
      </c>
    </row>
    <row r="6677" spans="2:9">
      <c r="B6677" s="1297"/>
      <c r="C6677" s="1297"/>
      <c r="D6677" s="1297" t="s">
        <v>947</v>
      </c>
      <c r="E6677" s="1399">
        <v>65326.26</v>
      </c>
      <c r="I6677" s="1399">
        <v>65326.26</v>
      </c>
    </row>
    <row r="6678" spans="2:9">
      <c r="B6678" s="1297"/>
      <c r="C6678" s="1297"/>
      <c r="D6678" s="1297" t="s">
        <v>948</v>
      </c>
      <c r="G6678" s="1399">
        <v>406946.41000000009</v>
      </c>
      <c r="I6678" s="1399">
        <v>406946.41000000009</v>
      </c>
    </row>
    <row r="6679" spans="2:9">
      <c r="B6679" s="1297"/>
      <c r="C6679" s="1400" t="s">
        <v>1520</v>
      </c>
      <c r="D6679" s="1400"/>
      <c r="E6679" s="1401">
        <v>2688770.87</v>
      </c>
      <c r="F6679" s="1401">
        <v>2362843.7999999998</v>
      </c>
      <c r="G6679" s="1401">
        <v>406946.41000000009</v>
      </c>
      <c r="H6679" s="1401">
        <v>10755280.84</v>
      </c>
      <c r="I6679" s="1401">
        <v>16213841.92</v>
      </c>
    </row>
    <row r="6680" spans="2:9">
      <c r="B6680" s="1297" t="s">
        <v>1521</v>
      </c>
      <c r="C6680" s="1297" t="s">
        <v>1522</v>
      </c>
      <c r="D6680" s="1297" t="s">
        <v>907</v>
      </c>
      <c r="F6680" s="1399">
        <v>4995937.03</v>
      </c>
      <c r="I6680" s="1399">
        <v>4995937.03</v>
      </c>
    </row>
    <row r="6681" spans="2:9">
      <c r="B6681" s="1297"/>
      <c r="C6681" s="1297"/>
      <c r="D6681" s="1297" t="s">
        <v>1145</v>
      </c>
      <c r="F6681" s="1399">
        <v>17438888.210000001</v>
      </c>
      <c r="I6681" s="1399">
        <v>17438888.210000001</v>
      </c>
    </row>
    <row r="6682" spans="2:9">
      <c r="B6682" s="1297"/>
      <c r="C6682" s="1297"/>
      <c r="D6682" s="1297" t="s">
        <v>1035</v>
      </c>
      <c r="F6682" s="1399">
        <v>521922.41</v>
      </c>
      <c r="I6682" s="1399">
        <v>521922.41</v>
      </c>
    </row>
    <row r="6683" spans="2:9">
      <c r="B6683" s="1297"/>
      <c r="C6683" s="1297"/>
      <c r="D6683" s="1297" t="s">
        <v>1036</v>
      </c>
      <c r="F6683" s="1399">
        <v>591247.35</v>
      </c>
      <c r="I6683" s="1399">
        <v>591247.35</v>
      </c>
    </row>
    <row r="6684" spans="2:9">
      <c r="B6684" s="1297"/>
      <c r="C6684" s="1297"/>
      <c r="D6684" s="1297" t="s">
        <v>1037</v>
      </c>
      <c r="F6684" s="1399">
        <v>85548</v>
      </c>
      <c r="I6684" s="1399">
        <v>85548</v>
      </c>
    </row>
    <row r="6685" spans="2:9">
      <c r="B6685" s="1297"/>
      <c r="C6685" s="1297"/>
      <c r="D6685" s="1297" t="s">
        <v>1038</v>
      </c>
      <c r="F6685" s="1399">
        <v>0</v>
      </c>
      <c r="I6685" s="1399">
        <v>0</v>
      </c>
    </row>
    <row r="6686" spans="2:9">
      <c r="B6686" s="1297"/>
      <c r="C6686" s="1297"/>
      <c r="D6686" s="1297" t="s">
        <v>1039</v>
      </c>
      <c r="F6686" s="1399">
        <v>147947.93</v>
      </c>
      <c r="I6686" s="1399">
        <v>147947.93</v>
      </c>
    </row>
    <row r="6687" spans="2:9">
      <c r="B6687" s="1297"/>
      <c r="C6687" s="1297"/>
      <c r="D6687" s="1297" t="s">
        <v>1040</v>
      </c>
      <c r="F6687" s="1399">
        <v>231575.72999999998</v>
      </c>
      <c r="I6687" s="1399">
        <v>231575.72999999998</v>
      </c>
    </row>
    <row r="6688" spans="2:9">
      <c r="B6688" s="1297"/>
      <c r="C6688" s="1297"/>
      <c r="D6688" s="1297" t="s">
        <v>1127</v>
      </c>
      <c r="F6688" s="1399">
        <v>5618.5999999999995</v>
      </c>
      <c r="I6688" s="1399">
        <v>5618.5999999999995</v>
      </c>
    </row>
    <row r="6689" spans="2:9">
      <c r="B6689" s="1297"/>
      <c r="C6689" s="1297"/>
      <c r="D6689" s="1297" t="s">
        <v>1041</v>
      </c>
      <c r="F6689" s="1399">
        <v>8535.9</v>
      </c>
      <c r="I6689" s="1399">
        <v>8535.9</v>
      </c>
    </row>
    <row r="6690" spans="2:9">
      <c r="B6690" s="1297"/>
      <c r="C6690" s="1297"/>
      <c r="D6690" s="1297" t="s">
        <v>1042</v>
      </c>
      <c r="F6690" s="1399">
        <v>74965.539999999994</v>
      </c>
      <c r="I6690" s="1399">
        <v>74965.539999999994</v>
      </c>
    </row>
    <row r="6691" spans="2:9">
      <c r="B6691" s="1297"/>
      <c r="C6691" s="1297"/>
      <c r="D6691" s="1297" t="s">
        <v>986</v>
      </c>
      <c r="F6691" s="1399">
        <v>206326.87</v>
      </c>
      <c r="I6691" s="1399">
        <v>206326.87</v>
      </c>
    </row>
    <row r="6692" spans="2:9">
      <c r="B6692" s="1297"/>
      <c r="C6692" s="1297"/>
      <c r="D6692" s="1297" t="s">
        <v>996</v>
      </c>
      <c r="F6692" s="1399">
        <v>0</v>
      </c>
      <c r="I6692" s="1399">
        <v>0</v>
      </c>
    </row>
    <row r="6693" spans="2:9">
      <c r="B6693" s="1297"/>
      <c r="C6693" s="1297"/>
      <c r="D6693" s="1297" t="s">
        <v>1044</v>
      </c>
      <c r="F6693" s="1399">
        <v>198324.75</v>
      </c>
      <c r="I6693" s="1399">
        <v>198324.75</v>
      </c>
    </row>
    <row r="6694" spans="2:9">
      <c r="B6694" s="1297"/>
      <c r="C6694" s="1297"/>
      <c r="D6694" s="1297" t="s">
        <v>1045</v>
      </c>
      <c r="F6694" s="1399">
        <v>664679.76</v>
      </c>
      <c r="I6694" s="1399">
        <v>664679.76</v>
      </c>
    </row>
    <row r="6695" spans="2:9">
      <c r="B6695" s="1297"/>
      <c r="C6695" s="1297"/>
      <c r="D6695" s="1297" t="s">
        <v>1046</v>
      </c>
      <c r="H6695" s="1399">
        <v>27983900</v>
      </c>
      <c r="I6695" s="1399">
        <v>27983900</v>
      </c>
    </row>
    <row r="6696" spans="2:9">
      <c r="B6696" s="1297"/>
      <c r="C6696" s="1297"/>
      <c r="D6696" s="1297" t="s">
        <v>1047</v>
      </c>
      <c r="H6696" s="1399">
        <v>355240</v>
      </c>
      <c r="I6696" s="1399">
        <v>355240</v>
      </c>
    </row>
    <row r="6697" spans="2:9">
      <c r="B6697" s="1297"/>
      <c r="C6697" s="1297"/>
      <c r="D6697" s="1297" t="s">
        <v>1048</v>
      </c>
      <c r="H6697" s="1399">
        <v>-4953813</v>
      </c>
      <c r="I6697" s="1399">
        <v>-4953813</v>
      </c>
    </row>
    <row r="6698" spans="2:9">
      <c r="B6698" s="1297"/>
      <c r="C6698" s="1297"/>
      <c r="D6698" s="1297" t="s">
        <v>932</v>
      </c>
      <c r="H6698" s="1399">
        <v>1461005</v>
      </c>
      <c r="I6698" s="1399">
        <v>1461005</v>
      </c>
    </row>
    <row r="6699" spans="2:9">
      <c r="B6699" s="1297"/>
      <c r="C6699" s="1297"/>
      <c r="D6699" s="1297" t="s">
        <v>955</v>
      </c>
      <c r="H6699" s="1399">
        <v>632210.15</v>
      </c>
      <c r="I6699" s="1399">
        <v>632210.15</v>
      </c>
    </row>
    <row r="6700" spans="2:9">
      <c r="B6700" s="1297"/>
      <c r="C6700" s="1297"/>
      <c r="D6700" s="1297" t="s">
        <v>934</v>
      </c>
      <c r="H6700" s="1399">
        <v>110702</v>
      </c>
      <c r="I6700" s="1399">
        <v>110702</v>
      </c>
    </row>
    <row r="6701" spans="2:9">
      <c r="B6701" s="1297"/>
      <c r="C6701" s="1297"/>
      <c r="D6701" s="1297" t="s">
        <v>935</v>
      </c>
      <c r="H6701" s="1399">
        <v>478867.27</v>
      </c>
      <c r="I6701" s="1399">
        <v>478867.27</v>
      </c>
    </row>
    <row r="6702" spans="2:9">
      <c r="B6702" s="1297"/>
      <c r="C6702" s="1297"/>
      <c r="D6702" s="1297" t="s">
        <v>936</v>
      </c>
      <c r="H6702" s="1399">
        <v>59525.59</v>
      </c>
      <c r="I6702" s="1399">
        <v>59525.59</v>
      </c>
    </row>
    <row r="6703" spans="2:9">
      <c r="B6703" s="1297"/>
      <c r="C6703" s="1297"/>
      <c r="D6703" s="1297" t="s">
        <v>937</v>
      </c>
      <c r="H6703" s="1399">
        <v>32480.560000000001</v>
      </c>
      <c r="I6703" s="1399">
        <v>32480.560000000001</v>
      </c>
    </row>
    <row r="6704" spans="2:9">
      <c r="B6704" s="1297"/>
      <c r="C6704" s="1297"/>
      <c r="D6704" s="1297" t="s">
        <v>938</v>
      </c>
      <c r="H6704" s="1399">
        <v>17031</v>
      </c>
      <c r="I6704" s="1399">
        <v>17031</v>
      </c>
    </row>
    <row r="6705" spans="2:9">
      <c r="B6705" s="1297"/>
      <c r="C6705" s="1297"/>
      <c r="D6705" s="1297" t="s">
        <v>940</v>
      </c>
      <c r="E6705" s="1399">
        <v>1935946.8200000003</v>
      </c>
      <c r="I6705" s="1399">
        <v>1935946.8200000003</v>
      </c>
    </row>
    <row r="6706" spans="2:9">
      <c r="B6706" s="1297"/>
      <c r="C6706" s="1297"/>
      <c r="D6706" s="1297" t="s">
        <v>941</v>
      </c>
      <c r="E6706" s="1399">
        <v>869952.55999999994</v>
      </c>
      <c r="I6706" s="1399">
        <v>869952.55999999994</v>
      </c>
    </row>
    <row r="6707" spans="2:9">
      <c r="B6707" s="1297"/>
      <c r="C6707" s="1297"/>
      <c r="D6707" s="1297" t="s">
        <v>943</v>
      </c>
      <c r="E6707" s="1399">
        <v>36150.94</v>
      </c>
      <c r="I6707" s="1399">
        <v>36150.94</v>
      </c>
    </row>
    <row r="6708" spans="2:9">
      <c r="B6708" s="1297"/>
      <c r="C6708" s="1297"/>
      <c r="D6708" s="1297" t="s">
        <v>944</v>
      </c>
      <c r="E6708" s="1399">
        <v>4556808.830000001</v>
      </c>
      <c r="I6708" s="1399">
        <v>4556808.830000001</v>
      </c>
    </row>
    <row r="6709" spans="2:9">
      <c r="B6709" s="1297"/>
      <c r="C6709" s="1297"/>
      <c r="D6709" s="1297" t="s">
        <v>945</v>
      </c>
      <c r="E6709" s="1399">
        <v>1537258.55</v>
      </c>
      <c r="I6709" s="1399">
        <v>1537258.55</v>
      </c>
    </row>
    <row r="6710" spans="2:9">
      <c r="B6710" s="1297"/>
      <c r="C6710" s="1297"/>
      <c r="D6710" s="1297" t="s">
        <v>946</v>
      </c>
      <c r="E6710" s="1399">
        <v>31414.57</v>
      </c>
      <c r="I6710" s="1399">
        <v>31414.57</v>
      </c>
    </row>
    <row r="6711" spans="2:9">
      <c r="B6711" s="1297"/>
      <c r="C6711" s="1297"/>
      <c r="D6711" s="1297" t="s">
        <v>947</v>
      </c>
      <c r="E6711" s="1399">
        <v>195512.43</v>
      </c>
      <c r="I6711" s="1399">
        <v>195512.43</v>
      </c>
    </row>
    <row r="6712" spans="2:9">
      <c r="B6712" s="1297"/>
      <c r="C6712" s="1297"/>
      <c r="D6712" s="1297" t="s">
        <v>948</v>
      </c>
      <c r="G6712" s="1399">
        <v>6055972.1299999999</v>
      </c>
      <c r="I6712" s="1399">
        <v>6055972.1299999999</v>
      </c>
    </row>
    <row r="6713" spans="2:9">
      <c r="B6713" s="1297"/>
      <c r="C6713" s="1297"/>
      <c r="D6713" s="1297" t="s">
        <v>956</v>
      </c>
      <c r="G6713" s="1399">
        <v>1219.97</v>
      </c>
      <c r="I6713" s="1399">
        <v>1219.97</v>
      </c>
    </row>
    <row r="6714" spans="2:9">
      <c r="B6714" s="1297"/>
      <c r="C6714" s="1400" t="s">
        <v>1523</v>
      </c>
      <c r="D6714" s="1400"/>
      <c r="E6714" s="1401">
        <v>9163044.7000000011</v>
      </c>
      <c r="F6714" s="1401">
        <v>25171518.080000006</v>
      </c>
      <c r="G6714" s="1401">
        <v>6057192.0999999996</v>
      </c>
      <c r="H6714" s="1401">
        <v>26177148.569999997</v>
      </c>
      <c r="I6714" s="1401">
        <v>66568903.45000001</v>
      </c>
    </row>
    <row r="6715" spans="2:9">
      <c r="B6715" s="1297" t="s">
        <v>1524</v>
      </c>
      <c r="C6715" s="1297" t="s">
        <v>1525</v>
      </c>
      <c r="D6715" s="1297" t="s">
        <v>907</v>
      </c>
      <c r="F6715" s="1399">
        <v>1147484.81</v>
      </c>
      <c r="I6715" s="1399">
        <v>1147484.81</v>
      </c>
    </row>
    <row r="6716" spans="2:9">
      <c r="B6716" s="1297"/>
      <c r="C6716" s="1297"/>
      <c r="D6716" s="1297" t="s">
        <v>1145</v>
      </c>
      <c r="F6716" s="1399">
        <v>2388828.89</v>
      </c>
      <c r="I6716" s="1399">
        <v>2388828.89</v>
      </c>
    </row>
    <row r="6717" spans="2:9">
      <c r="B6717" s="1297"/>
      <c r="C6717" s="1297"/>
      <c r="D6717" s="1297" t="s">
        <v>1034</v>
      </c>
      <c r="F6717" s="1399">
        <v>13726.14</v>
      </c>
      <c r="I6717" s="1399">
        <v>13726.14</v>
      </c>
    </row>
    <row r="6718" spans="2:9">
      <c r="B6718" s="1297"/>
      <c r="C6718" s="1297"/>
      <c r="D6718" s="1297" t="s">
        <v>1035</v>
      </c>
      <c r="F6718" s="1399">
        <v>282379.23</v>
      </c>
      <c r="I6718" s="1399">
        <v>282379.23</v>
      </c>
    </row>
    <row r="6719" spans="2:9">
      <c r="B6719" s="1297"/>
      <c r="C6719" s="1297"/>
      <c r="D6719" s="1297" t="s">
        <v>1036</v>
      </c>
      <c r="F6719" s="1399">
        <v>57753.67</v>
      </c>
      <c r="I6719" s="1399">
        <v>57753.67</v>
      </c>
    </row>
    <row r="6720" spans="2:9">
      <c r="B6720" s="1297"/>
      <c r="C6720" s="1297"/>
      <c r="D6720" s="1297" t="s">
        <v>1037</v>
      </c>
      <c r="F6720" s="1399">
        <v>1797324.65</v>
      </c>
      <c r="I6720" s="1399">
        <v>1797324.65</v>
      </c>
    </row>
    <row r="6721" spans="2:9">
      <c r="B6721" s="1297"/>
      <c r="C6721" s="1297"/>
      <c r="D6721" s="1297" t="s">
        <v>1105</v>
      </c>
      <c r="F6721" s="1399">
        <v>98818.58</v>
      </c>
      <c r="I6721" s="1399">
        <v>98818.58</v>
      </c>
    </row>
    <row r="6722" spans="2:9">
      <c r="B6722" s="1297"/>
      <c r="C6722" s="1297"/>
      <c r="D6722" s="1297" t="s">
        <v>1039</v>
      </c>
      <c r="F6722" s="1399">
        <v>81019.87999999999</v>
      </c>
      <c r="I6722" s="1399">
        <v>81019.87999999999</v>
      </c>
    </row>
    <row r="6723" spans="2:9">
      <c r="B6723" s="1297"/>
      <c r="C6723" s="1297"/>
      <c r="D6723" s="1297" t="s">
        <v>1040</v>
      </c>
      <c r="F6723" s="1399">
        <v>171956.53</v>
      </c>
      <c r="I6723" s="1399">
        <v>171956.53</v>
      </c>
    </row>
    <row r="6724" spans="2:9">
      <c r="B6724" s="1297"/>
      <c r="C6724" s="1297"/>
      <c r="D6724" s="1297" t="s">
        <v>1041</v>
      </c>
      <c r="F6724" s="1399">
        <v>5460.16</v>
      </c>
      <c r="I6724" s="1399">
        <v>5460.16</v>
      </c>
    </row>
    <row r="6725" spans="2:9">
      <c r="B6725" s="1297"/>
      <c r="C6725" s="1297"/>
      <c r="D6725" s="1297" t="s">
        <v>1042</v>
      </c>
      <c r="F6725" s="1399">
        <v>28181.45</v>
      </c>
      <c r="I6725" s="1399">
        <v>28181.45</v>
      </c>
    </row>
    <row r="6726" spans="2:9">
      <c r="B6726" s="1297"/>
      <c r="C6726" s="1297"/>
      <c r="D6726" s="1297" t="s">
        <v>953</v>
      </c>
      <c r="F6726" s="1399">
        <v>18713.150000000001</v>
      </c>
      <c r="I6726" s="1399">
        <v>18713.150000000001</v>
      </c>
    </row>
    <row r="6727" spans="2:9">
      <c r="B6727" s="1297"/>
      <c r="C6727" s="1297"/>
      <c r="D6727" s="1297" t="s">
        <v>1043</v>
      </c>
      <c r="F6727" s="1399">
        <v>2317</v>
      </c>
      <c r="I6727" s="1399">
        <v>2317</v>
      </c>
    </row>
    <row r="6728" spans="2:9">
      <c r="B6728" s="1297"/>
      <c r="C6728" s="1297"/>
      <c r="D6728" s="1297" t="s">
        <v>1203</v>
      </c>
      <c r="F6728" s="1399">
        <v>2900</v>
      </c>
      <c r="I6728" s="1399">
        <v>2900</v>
      </c>
    </row>
    <row r="6729" spans="2:9">
      <c r="B6729" s="1297"/>
      <c r="C6729" s="1297"/>
      <c r="D6729" s="1297" t="s">
        <v>1045</v>
      </c>
      <c r="F6729" s="1399">
        <v>131654.66</v>
      </c>
      <c r="I6729" s="1399">
        <v>131654.66</v>
      </c>
    </row>
    <row r="6730" spans="2:9">
      <c r="B6730" s="1297"/>
      <c r="C6730" s="1297"/>
      <c r="D6730" s="1297" t="s">
        <v>1046</v>
      </c>
      <c r="H6730" s="1399">
        <v>8378341</v>
      </c>
      <c r="I6730" s="1399">
        <v>8378341</v>
      </c>
    </row>
    <row r="6731" spans="2:9">
      <c r="B6731" s="1297"/>
      <c r="C6731" s="1297"/>
      <c r="D6731" s="1297" t="s">
        <v>1047</v>
      </c>
      <c r="H6731" s="1399">
        <v>170610</v>
      </c>
      <c r="I6731" s="1399">
        <v>170610</v>
      </c>
    </row>
    <row r="6732" spans="2:9">
      <c r="B6732" s="1297"/>
      <c r="C6732" s="1297"/>
      <c r="D6732" s="1297" t="s">
        <v>1048</v>
      </c>
      <c r="H6732" s="1399">
        <v>-775645</v>
      </c>
      <c r="I6732" s="1399">
        <v>-775645</v>
      </c>
    </row>
    <row r="6733" spans="2:9">
      <c r="B6733" s="1297"/>
      <c r="C6733" s="1297"/>
      <c r="D6733" s="1297" t="s">
        <v>932</v>
      </c>
      <c r="H6733" s="1399">
        <v>1159320</v>
      </c>
      <c r="I6733" s="1399">
        <v>1159320</v>
      </c>
    </row>
    <row r="6734" spans="2:9">
      <c r="B6734" s="1297"/>
      <c r="C6734" s="1297"/>
      <c r="D6734" s="1297" t="s">
        <v>955</v>
      </c>
      <c r="H6734" s="1399">
        <v>452429.07</v>
      </c>
      <c r="I6734" s="1399">
        <v>452429.07</v>
      </c>
    </row>
    <row r="6735" spans="2:9">
      <c r="B6735" s="1297"/>
      <c r="C6735" s="1297"/>
      <c r="D6735" s="1297" t="s">
        <v>934</v>
      </c>
      <c r="H6735" s="1399">
        <v>27560</v>
      </c>
      <c r="I6735" s="1399">
        <v>27560</v>
      </c>
    </row>
    <row r="6736" spans="2:9">
      <c r="B6736" s="1297"/>
      <c r="C6736" s="1297"/>
      <c r="D6736" s="1297" t="s">
        <v>935</v>
      </c>
      <c r="H6736" s="1399">
        <v>125571.38</v>
      </c>
      <c r="I6736" s="1399">
        <v>125571.38</v>
      </c>
    </row>
    <row r="6737" spans="2:9">
      <c r="B6737" s="1297"/>
      <c r="C6737" s="1297"/>
      <c r="D6737" s="1297" t="s">
        <v>936</v>
      </c>
      <c r="H6737" s="1399">
        <v>21359.18</v>
      </c>
      <c r="I6737" s="1399">
        <v>21359.18</v>
      </c>
    </row>
    <row r="6738" spans="2:9">
      <c r="B6738" s="1297"/>
      <c r="C6738" s="1297"/>
      <c r="D6738" s="1297" t="s">
        <v>937</v>
      </c>
      <c r="H6738" s="1399">
        <v>6499.47</v>
      </c>
      <c r="I6738" s="1399">
        <v>6499.47</v>
      </c>
    </row>
    <row r="6739" spans="2:9">
      <c r="B6739" s="1297"/>
      <c r="C6739" s="1297"/>
      <c r="D6739" s="1297" t="s">
        <v>938</v>
      </c>
      <c r="H6739" s="1399">
        <v>8048</v>
      </c>
      <c r="I6739" s="1399">
        <v>8048</v>
      </c>
    </row>
    <row r="6740" spans="2:9">
      <c r="B6740" s="1297"/>
      <c r="C6740" s="1297"/>
      <c r="D6740" s="1297" t="s">
        <v>939</v>
      </c>
      <c r="H6740" s="1399">
        <v>56226.84</v>
      </c>
      <c r="I6740" s="1399">
        <v>56226.84</v>
      </c>
    </row>
    <row r="6741" spans="2:9">
      <c r="B6741" s="1297"/>
      <c r="C6741" s="1297"/>
      <c r="D6741" s="1297" t="s">
        <v>1131</v>
      </c>
      <c r="E6741" s="1399">
        <v>56236.800000000003</v>
      </c>
      <c r="I6741" s="1399">
        <v>56236.800000000003</v>
      </c>
    </row>
    <row r="6742" spans="2:9">
      <c r="B6742" s="1297"/>
      <c r="C6742" s="1297"/>
      <c r="D6742" s="1297" t="s">
        <v>940</v>
      </c>
      <c r="E6742" s="1399">
        <v>374946.51</v>
      </c>
      <c r="I6742" s="1399">
        <v>374946.51</v>
      </c>
    </row>
    <row r="6743" spans="2:9">
      <c r="B6743" s="1297"/>
      <c r="C6743" s="1297"/>
      <c r="D6743" s="1297" t="s">
        <v>941</v>
      </c>
      <c r="E6743" s="1399">
        <v>131615.56</v>
      </c>
      <c r="I6743" s="1399">
        <v>131615.56</v>
      </c>
    </row>
    <row r="6744" spans="2:9">
      <c r="B6744" s="1297"/>
      <c r="C6744" s="1297"/>
      <c r="D6744" s="1297" t="s">
        <v>943</v>
      </c>
      <c r="E6744" s="1399">
        <v>9866.42</v>
      </c>
      <c r="I6744" s="1399">
        <v>9866.42</v>
      </c>
    </row>
    <row r="6745" spans="2:9">
      <c r="B6745" s="1297"/>
      <c r="C6745" s="1297"/>
      <c r="D6745" s="1297" t="s">
        <v>944</v>
      </c>
      <c r="E6745" s="1399">
        <v>726818.03000000014</v>
      </c>
      <c r="I6745" s="1399">
        <v>726818.03000000014</v>
      </c>
    </row>
    <row r="6746" spans="2:9">
      <c r="B6746" s="1297"/>
      <c r="C6746" s="1297"/>
      <c r="D6746" s="1297" t="s">
        <v>945</v>
      </c>
      <c r="E6746" s="1399">
        <v>1523352.26</v>
      </c>
      <c r="I6746" s="1399">
        <v>1523352.26</v>
      </c>
    </row>
    <row r="6747" spans="2:9">
      <c r="B6747" s="1297"/>
      <c r="C6747" s="1297"/>
      <c r="D6747" s="1297" t="s">
        <v>947</v>
      </c>
      <c r="E6747" s="1399">
        <v>35248.85</v>
      </c>
      <c r="I6747" s="1399">
        <v>35248.85</v>
      </c>
    </row>
    <row r="6748" spans="2:9">
      <c r="B6748" s="1297"/>
      <c r="C6748" s="1297"/>
      <c r="D6748" s="1297" t="s">
        <v>948</v>
      </c>
      <c r="G6748" s="1399">
        <v>32046.92</v>
      </c>
      <c r="I6748" s="1399">
        <v>32046.92</v>
      </c>
    </row>
    <row r="6749" spans="2:9">
      <c r="B6749" s="1297"/>
      <c r="C6749" s="1297"/>
      <c r="D6749" s="1297" t="s">
        <v>956</v>
      </c>
      <c r="G6749" s="1399">
        <v>2758.88</v>
      </c>
      <c r="I6749" s="1399">
        <v>2758.88</v>
      </c>
    </row>
    <row r="6750" spans="2:9">
      <c r="B6750" s="1297"/>
      <c r="C6750" s="1400" t="s">
        <v>1526</v>
      </c>
      <c r="D6750" s="1400"/>
      <c r="E6750" s="1401">
        <v>2858084.43</v>
      </c>
      <c r="F6750" s="1401">
        <v>6228518.8000000017</v>
      </c>
      <c r="G6750" s="1401">
        <v>34805.799999999996</v>
      </c>
      <c r="H6750" s="1401">
        <v>9630319.9400000013</v>
      </c>
      <c r="I6750" s="1401">
        <v>18751728.970000006</v>
      </c>
    </row>
    <row r="6751" spans="2:9">
      <c r="B6751" s="1297" t="s">
        <v>1527</v>
      </c>
      <c r="C6751" s="1297" t="s">
        <v>1528</v>
      </c>
      <c r="D6751" s="1297" t="s">
        <v>952</v>
      </c>
      <c r="F6751" s="1399">
        <v>111642.55</v>
      </c>
      <c r="I6751" s="1399">
        <v>111642.55</v>
      </c>
    </row>
    <row r="6752" spans="2:9">
      <c r="B6752" s="1297"/>
      <c r="C6752" s="1297"/>
      <c r="D6752" s="1297" t="s">
        <v>907</v>
      </c>
      <c r="F6752" s="1399">
        <v>2225328.33</v>
      </c>
      <c r="I6752" s="1399">
        <v>2225328.33</v>
      </c>
    </row>
    <row r="6753" spans="2:9">
      <c r="B6753" s="1297"/>
      <c r="C6753" s="1297"/>
      <c r="D6753" s="1297" t="s">
        <v>1145</v>
      </c>
      <c r="F6753" s="1399">
        <v>11211312.810000001</v>
      </c>
      <c r="I6753" s="1399">
        <v>11211312.810000001</v>
      </c>
    </row>
    <row r="6754" spans="2:9">
      <c r="B6754" s="1297"/>
      <c r="C6754" s="1297"/>
      <c r="D6754" s="1297" t="s">
        <v>908</v>
      </c>
      <c r="F6754" s="1399">
        <v>15867.94</v>
      </c>
      <c r="I6754" s="1399">
        <v>15867.94</v>
      </c>
    </row>
    <row r="6755" spans="2:9">
      <c r="B6755" s="1297"/>
      <c r="C6755" s="1297"/>
      <c r="D6755" s="1297" t="s">
        <v>909</v>
      </c>
      <c r="F6755" s="1399">
        <v>478.97</v>
      </c>
      <c r="I6755" s="1399">
        <v>478.97</v>
      </c>
    </row>
    <row r="6756" spans="2:9">
      <c r="B6756" s="1297"/>
      <c r="C6756" s="1297"/>
      <c r="D6756" s="1297" t="s">
        <v>910</v>
      </c>
      <c r="F6756" s="1399">
        <v>213750.62</v>
      </c>
      <c r="I6756" s="1399">
        <v>213750.62</v>
      </c>
    </row>
    <row r="6757" spans="2:9">
      <c r="B6757" s="1297"/>
      <c r="C6757" s="1297"/>
      <c r="D6757" s="1297" t="s">
        <v>1034</v>
      </c>
      <c r="F6757" s="1399">
        <v>9953.86</v>
      </c>
      <c r="I6757" s="1399">
        <v>9953.86</v>
      </c>
    </row>
    <row r="6758" spans="2:9">
      <c r="B6758" s="1297"/>
      <c r="C6758" s="1297"/>
      <c r="D6758" s="1297" t="s">
        <v>1035</v>
      </c>
      <c r="F6758" s="1399">
        <v>133263.76999999999</v>
      </c>
      <c r="I6758" s="1399">
        <v>133263.76999999999</v>
      </c>
    </row>
    <row r="6759" spans="2:9">
      <c r="B6759" s="1297"/>
      <c r="C6759" s="1297"/>
      <c r="D6759" s="1297" t="s">
        <v>1036</v>
      </c>
      <c r="F6759" s="1399">
        <v>191595.94</v>
      </c>
      <c r="I6759" s="1399">
        <v>191595.94</v>
      </c>
    </row>
    <row r="6760" spans="2:9">
      <c r="B6760" s="1297"/>
      <c r="C6760" s="1297"/>
      <c r="D6760" s="1297" t="s">
        <v>1039</v>
      </c>
      <c r="F6760" s="1399">
        <v>124688.79000000001</v>
      </c>
      <c r="I6760" s="1399">
        <v>124688.79000000001</v>
      </c>
    </row>
    <row r="6761" spans="2:9">
      <c r="B6761" s="1297"/>
      <c r="C6761" s="1297"/>
      <c r="D6761" s="1297" t="s">
        <v>1040</v>
      </c>
      <c r="F6761" s="1399">
        <v>102150.15</v>
      </c>
      <c r="I6761" s="1399">
        <v>102150.15</v>
      </c>
    </row>
    <row r="6762" spans="2:9">
      <c r="B6762" s="1297"/>
      <c r="C6762" s="1297"/>
      <c r="D6762" s="1297" t="s">
        <v>1127</v>
      </c>
      <c r="F6762" s="1399">
        <v>15747.6</v>
      </c>
      <c r="I6762" s="1399">
        <v>15747.6</v>
      </c>
    </row>
    <row r="6763" spans="2:9">
      <c r="B6763" s="1297"/>
      <c r="C6763" s="1297"/>
      <c r="D6763" s="1297" t="s">
        <v>1041</v>
      </c>
      <c r="F6763" s="1399">
        <v>41437.31</v>
      </c>
      <c r="I6763" s="1399">
        <v>41437.31</v>
      </c>
    </row>
    <row r="6764" spans="2:9">
      <c r="B6764" s="1297"/>
      <c r="C6764" s="1297"/>
      <c r="D6764" s="1297" t="s">
        <v>1042</v>
      </c>
      <c r="F6764" s="1399">
        <v>49818.75</v>
      </c>
      <c r="I6764" s="1399">
        <v>49818.75</v>
      </c>
    </row>
    <row r="6765" spans="2:9">
      <c r="B6765" s="1297"/>
      <c r="C6765" s="1297"/>
      <c r="D6765" s="1297" t="s">
        <v>954</v>
      </c>
      <c r="F6765" s="1399">
        <v>173996.99</v>
      </c>
      <c r="I6765" s="1399">
        <v>173996.99</v>
      </c>
    </row>
    <row r="6766" spans="2:9">
      <c r="B6766" s="1297"/>
      <c r="C6766" s="1297"/>
      <c r="D6766" s="1297" t="s">
        <v>986</v>
      </c>
      <c r="F6766" s="1399">
        <v>33726.14</v>
      </c>
      <c r="I6766" s="1399">
        <v>33726.14</v>
      </c>
    </row>
    <row r="6767" spans="2:9">
      <c r="B6767" s="1297"/>
      <c r="C6767" s="1297"/>
      <c r="D6767" s="1297" t="s">
        <v>991</v>
      </c>
      <c r="F6767" s="1399">
        <v>9043.1</v>
      </c>
      <c r="I6767" s="1399">
        <v>9043.1</v>
      </c>
    </row>
    <row r="6768" spans="2:9">
      <c r="B6768" s="1297"/>
      <c r="C6768" s="1297"/>
      <c r="D6768" s="1297" t="s">
        <v>1044</v>
      </c>
      <c r="F6768" s="1399">
        <v>45048.45</v>
      </c>
      <c r="I6768" s="1399">
        <v>45048.45</v>
      </c>
    </row>
    <row r="6769" spans="2:9">
      <c r="B6769" s="1297"/>
      <c r="C6769" s="1297"/>
      <c r="D6769" s="1297" t="s">
        <v>1045</v>
      </c>
      <c r="F6769" s="1399">
        <v>426253.22</v>
      </c>
      <c r="I6769" s="1399">
        <v>426253.22</v>
      </c>
    </row>
    <row r="6770" spans="2:9">
      <c r="B6770" s="1297"/>
      <c r="C6770" s="1297"/>
      <c r="D6770" s="1297" t="s">
        <v>1046</v>
      </c>
      <c r="H6770" s="1399">
        <v>14839113</v>
      </c>
      <c r="I6770" s="1399">
        <v>14839113</v>
      </c>
    </row>
    <row r="6771" spans="2:9">
      <c r="B6771" s="1297"/>
      <c r="C6771" s="1297"/>
      <c r="D6771" s="1297" t="s">
        <v>1128</v>
      </c>
      <c r="H6771" s="1399">
        <v>1206706</v>
      </c>
      <c r="I6771" s="1399">
        <v>1206706</v>
      </c>
    </row>
    <row r="6772" spans="2:9">
      <c r="B6772" s="1297"/>
      <c r="C6772" s="1297"/>
      <c r="D6772" s="1297" t="s">
        <v>1129</v>
      </c>
      <c r="H6772" s="1399">
        <v>-1844355</v>
      </c>
      <c r="I6772" s="1399">
        <v>-1844355</v>
      </c>
    </row>
    <row r="6773" spans="2:9">
      <c r="B6773" s="1297"/>
      <c r="C6773" s="1297"/>
      <c r="D6773" s="1297" t="s">
        <v>1047</v>
      </c>
      <c r="H6773" s="1399">
        <v>98284</v>
      </c>
      <c r="I6773" s="1399">
        <v>98284</v>
      </c>
    </row>
    <row r="6774" spans="2:9">
      <c r="B6774" s="1297"/>
      <c r="C6774" s="1297"/>
      <c r="D6774" s="1297" t="s">
        <v>1048</v>
      </c>
      <c r="H6774" s="1399">
        <v>-2978871</v>
      </c>
      <c r="I6774" s="1399">
        <v>-2978871</v>
      </c>
    </row>
    <row r="6775" spans="2:9">
      <c r="B6775" s="1297"/>
      <c r="C6775" s="1297"/>
      <c r="D6775" s="1297" t="s">
        <v>955</v>
      </c>
      <c r="H6775" s="1399">
        <v>979587.37</v>
      </c>
      <c r="I6775" s="1399">
        <v>979587.37</v>
      </c>
    </row>
    <row r="6776" spans="2:9">
      <c r="B6776" s="1297"/>
      <c r="C6776" s="1297"/>
      <c r="D6776" s="1297" t="s">
        <v>934</v>
      </c>
      <c r="H6776" s="1399">
        <v>45606</v>
      </c>
      <c r="I6776" s="1399">
        <v>45606</v>
      </c>
    </row>
    <row r="6777" spans="2:9">
      <c r="B6777" s="1297"/>
      <c r="C6777" s="1297"/>
      <c r="D6777" s="1297" t="s">
        <v>935</v>
      </c>
      <c r="H6777" s="1399">
        <v>103180.07</v>
      </c>
      <c r="I6777" s="1399">
        <v>103180.07</v>
      </c>
    </row>
    <row r="6778" spans="2:9">
      <c r="B6778" s="1297"/>
      <c r="C6778" s="1297"/>
      <c r="D6778" s="1297" t="s">
        <v>936</v>
      </c>
      <c r="H6778" s="1399">
        <v>40967.61</v>
      </c>
      <c r="I6778" s="1399">
        <v>40967.61</v>
      </c>
    </row>
    <row r="6779" spans="2:9">
      <c r="B6779" s="1297"/>
      <c r="C6779" s="1297"/>
      <c r="D6779" s="1297" t="s">
        <v>937</v>
      </c>
      <c r="H6779" s="1399">
        <v>25193.72</v>
      </c>
      <c r="I6779" s="1399">
        <v>25193.72</v>
      </c>
    </row>
    <row r="6780" spans="2:9">
      <c r="B6780" s="1297"/>
      <c r="C6780" s="1297"/>
      <c r="D6780" s="1297" t="s">
        <v>938</v>
      </c>
      <c r="H6780" s="1399">
        <v>8984</v>
      </c>
      <c r="I6780" s="1399">
        <v>8984</v>
      </c>
    </row>
    <row r="6781" spans="2:9">
      <c r="B6781" s="1297"/>
      <c r="C6781" s="1297"/>
      <c r="D6781" s="1297" t="s">
        <v>939</v>
      </c>
      <c r="H6781" s="1399">
        <v>0</v>
      </c>
      <c r="I6781" s="1399">
        <v>0</v>
      </c>
    </row>
    <row r="6782" spans="2:9">
      <c r="B6782" s="1297"/>
      <c r="C6782" s="1297"/>
      <c r="D6782" s="1297" t="s">
        <v>1131</v>
      </c>
      <c r="E6782" s="1399">
        <v>49299.18</v>
      </c>
      <c r="I6782" s="1399">
        <v>49299.18</v>
      </c>
    </row>
    <row r="6783" spans="2:9">
      <c r="B6783" s="1297"/>
      <c r="C6783" s="1297"/>
      <c r="D6783" s="1297" t="s">
        <v>940</v>
      </c>
      <c r="E6783" s="1399">
        <v>898739.79999999993</v>
      </c>
      <c r="I6783" s="1399">
        <v>898739.79999999993</v>
      </c>
    </row>
    <row r="6784" spans="2:9">
      <c r="B6784" s="1297"/>
      <c r="C6784" s="1297"/>
      <c r="D6784" s="1297" t="s">
        <v>941</v>
      </c>
      <c r="E6784" s="1399">
        <v>398383.86</v>
      </c>
      <c r="I6784" s="1399">
        <v>398383.86</v>
      </c>
    </row>
    <row r="6785" spans="2:9">
      <c r="B6785" s="1297"/>
      <c r="C6785" s="1297"/>
      <c r="D6785" s="1297" t="s">
        <v>943</v>
      </c>
      <c r="E6785" s="1399">
        <v>3677.06</v>
      </c>
      <c r="I6785" s="1399">
        <v>3677.06</v>
      </c>
    </row>
    <row r="6786" spans="2:9">
      <c r="B6786" s="1297"/>
      <c r="C6786" s="1297"/>
      <c r="D6786" s="1297" t="s">
        <v>944</v>
      </c>
      <c r="E6786" s="1399">
        <v>2880629.4000000008</v>
      </c>
      <c r="I6786" s="1399">
        <v>2880629.4000000008</v>
      </c>
    </row>
    <row r="6787" spans="2:9">
      <c r="B6787" s="1297"/>
      <c r="C6787" s="1297"/>
      <c r="D6787" s="1297" t="s">
        <v>945</v>
      </c>
      <c r="E6787" s="1399">
        <v>2118569.23</v>
      </c>
      <c r="I6787" s="1399">
        <v>2118569.23</v>
      </c>
    </row>
    <row r="6788" spans="2:9">
      <c r="B6788" s="1297"/>
      <c r="C6788" s="1297"/>
      <c r="D6788" s="1297" t="s">
        <v>947</v>
      </c>
      <c r="E6788" s="1399">
        <v>102496.47</v>
      </c>
      <c r="I6788" s="1399">
        <v>102496.47</v>
      </c>
    </row>
    <row r="6789" spans="2:9">
      <c r="B6789" s="1297"/>
      <c r="C6789" s="1297"/>
      <c r="D6789" s="1297" t="s">
        <v>1116</v>
      </c>
      <c r="G6789" s="1399">
        <v>2000000</v>
      </c>
      <c r="I6789" s="1399">
        <v>2000000</v>
      </c>
    </row>
    <row r="6790" spans="2:9">
      <c r="B6790" s="1297"/>
      <c r="C6790" s="1297"/>
      <c r="D6790" s="1297" t="s">
        <v>948</v>
      </c>
      <c r="G6790" s="1399">
        <v>5003330.47</v>
      </c>
      <c r="I6790" s="1399">
        <v>5003330.47</v>
      </c>
    </row>
    <row r="6791" spans="2:9">
      <c r="B6791" s="1297"/>
      <c r="C6791" s="1400" t="s">
        <v>1529</v>
      </c>
      <c r="D6791" s="1400"/>
      <c r="E6791" s="1401">
        <v>6451795.0000000009</v>
      </c>
      <c r="F6791" s="1401">
        <v>15135105.289999999</v>
      </c>
      <c r="G6791" s="1401">
        <v>7003330.4699999997</v>
      </c>
      <c r="H6791" s="1401">
        <v>12524395.77</v>
      </c>
      <c r="I6791" s="1401">
        <v>41114626.529999994</v>
      </c>
    </row>
    <row r="6792" spans="2:9">
      <c r="B6792" s="1297" t="s">
        <v>1530</v>
      </c>
      <c r="C6792" s="1297" t="s">
        <v>1531</v>
      </c>
      <c r="D6792" s="1297" t="s">
        <v>907</v>
      </c>
      <c r="F6792" s="1399">
        <v>709001.57</v>
      </c>
      <c r="I6792" s="1399">
        <v>709001.57</v>
      </c>
    </row>
    <row r="6793" spans="2:9">
      <c r="B6793" s="1297"/>
      <c r="C6793" s="1297"/>
      <c r="D6793" s="1297" t="s">
        <v>1145</v>
      </c>
      <c r="F6793" s="1399">
        <v>1096371.77</v>
      </c>
      <c r="I6793" s="1399">
        <v>1096371.77</v>
      </c>
    </row>
    <row r="6794" spans="2:9">
      <c r="B6794" s="1297"/>
      <c r="C6794" s="1297"/>
      <c r="D6794" s="1297" t="s">
        <v>1037</v>
      </c>
      <c r="F6794" s="1399">
        <v>120270</v>
      </c>
      <c r="I6794" s="1399">
        <v>120270</v>
      </c>
    </row>
    <row r="6795" spans="2:9">
      <c r="B6795" s="1297"/>
      <c r="C6795" s="1297"/>
      <c r="D6795" s="1297" t="s">
        <v>1039</v>
      </c>
      <c r="F6795" s="1399">
        <v>39733.57</v>
      </c>
      <c r="I6795" s="1399">
        <v>39733.57</v>
      </c>
    </row>
    <row r="6796" spans="2:9">
      <c r="B6796" s="1297"/>
      <c r="C6796" s="1297"/>
      <c r="D6796" s="1297" t="s">
        <v>1040</v>
      </c>
      <c r="F6796" s="1399">
        <v>196097.8</v>
      </c>
      <c r="I6796" s="1399">
        <v>196097.8</v>
      </c>
    </row>
    <row r="6797" spans="2:9">
      <c r="B6797" s="1297"/>
      <c r="C6797" s="1297"/>
      <c r="D6797" s="1297" t="s">
        <v>1041</v>
      </c>
      <c r="F6797" s="1399">
        <v>82724.72</v>
      </c>
      <c r="I6797" s="1399">
        <v>82724.72</v>
      </c>
    </row>
    <row r="6798" spans="2:9">
      <c r="B6798" s="1297"/>
      <c r="C6798" s="1297"/>
      <c r="D6798" s="1297" t="s">
        <v>1042</v>
      </c>
      <c r="F6798" s="1399">
        <v>18234.849999999999</v>
      </c>
      <c r="I6798" s="1399">
        <v>18234.849999999999</v>
      </c>
    </row>
    <row r="6799" spans="2:9">
      <c r="B6799" s="1297"/>
      <c r="C6799" s="1297"/>
      <c r="D6799" s="1297" t="s">
        <v>954</v>
      </c>
      <c r="F6799" s="1399">
        <v>61857.42</v>
      </c>
      <c r="I6799" s="1399">
        <v>61857.42</v>
      </c>
    </row>
    <row r="6800" spans="2:9">
      <c r="B6800" s="1297"/>
      <c r="C6800" s="1297"/>
      <c r="D6800" s="1297" t="s">
        <v>1045</v>
      </c>
      <c r="F6800" s="1399">
        <v>1110</v>
      </c>
      <c r="I6800" s="1399">
        <v>1110</v>
      </c>
    </row>
    <row r="6801" spans="2:9">
      <c r="B6801" s="1297"/>
      <c r="C6801" s="1297"/>
      <c r="D6801" s="1297" t="s">
        <v>1046</v>
      </c>
      <c r="H6801" s="1399">
        <v>7023736</v>
      </c>
      <c r="I6801" s="1399">
        <v>7023736</v>
      </c>
    </row>
    <row r="6802" spans="2:9">
      <c r="B6802" s="1297"/>
      <c r="C6802" s="1297"/>
      <c r="D6802" s="1297" t="s">
        <v>1047</v>
      </c>
      <c r="H6802" s="1399">
        <v>38368</v>
      </c>
      <c r="I6802" s="1399">
        <v>38368</v>
      </c>
    </row>
    <row r="6803" spans="2:9">
      <c r="B6803" s="1297"/>
      <c r="C6803" s="1297"/>
      <c r="D6803" s="1297" t="s">
        <v>1048</v>
      </c>
      <c r="H6803" s="1399">
        <v>-422642</v>
      </c>
      <c r="I6803" s="1399">
        <v>-422642</v>
      </c>
    </row>
    <row r="6804" spans="2:9">
      <c r="B6804" s="1297"/>
      <c r="C6804" s="1297"/>
      <c r="D6804" s="1297" t="s">
        <v>932</v>
      </c>
      <c r="H6804" s="1399">
        <v>1173685</v>
      </c>
      <c r="I6804" s="1399">
        <v>1173685</v>
      </c>
    </row>
    <row r="6805" spans="2:9">
      <c r="B6805" s="1297"/>
      <c r="C6805" s="1297"/>
      <c r="D6805" s="1297" t="s">
        <v>955</v>
      </c>
      <c r="H6805" s="1399">
        <v>431923.06</v>
      </c>
      <c r="I6805" s="1399">
        <v>431923.06</v>
      </c>
    </row>
    <row r="6806" spans="2:9">
      <c r="B6806" s="1297"/>
      <c r="C6806" s="1297"/>
      <c r="D6806" s="1297" t="s">
        <v>934</v>
      </c>
      <c r="H6806" s="1399">
        <v>20118</v>
      </c>
      <c r="I6806" s="1399">
        <v>20118</v>
      </c>
    </row>
    <row r="6807" spans="2:9">
      <c r="B6807" s="1297"/>
      <c r="C6807" s="1297"/>
      <c r="D6807" s="1297" t="s">
        <v>935</v>
      </c>
      <c r="H6807" s="1399">
        <v>57253.17</v>
      </c>
      <c r="I6807" s="1399">
        <v>57253.17</v>
      </c>
    </row>
    <row r="6808" spans="2:9">
      <c r="B6808" s="1297"/>
      <c r="C6808" s="1297"/>
      <c r="D6808" s="1297" t="s">
        <v>936</v>
      </c>
      <c r="H6808" s="1399">
        <v>17507.53</v>
      </c>
      <c r="I6808" s="1399">
        <v>17507.53</v>
      </c>
    </row>
    <row r="6809" spans="2:9">
      <c r="B6809" s="1297"/>
      <c r="C6809" s="1297"/>
      <c r="D6809" s="1297" t="s">
        <v>938</v>
      </c>
      <c r="H6809" s="1399">
        <v>4492</v>
      </c>
      <c r="I6809" s="1399">
        <v>4492</v>
      </c>
    </row>
    <row r="6810" spans="2:9">
      <c r="B6810" s="1297"/>
      <c r="C6810" s="1297"/>
      <c r="D6810" s="1297" t="s">
        <v>940</v>
      </c>
      <c r="E6810" s="1399">
        <v>227077.32</v>
      </c>
      <c r="I6810" s="1399">
        <v>227077.32</v>
      </c>
    </row>
    <row r="6811" spans="2:9">
      <c r="B6811" s="1297"/>
      <c r="C6811" s="1297"/>
      <c r="D6811" s="1297" t="s">
        <v>941</v>
      </c>
      <c r="E6811" s="1399">
        <v>33730.1</v>
      </c>
      <c r="I6811" s="1399">
        <v>33730.1</v>
      </c>
    </row>
    <row r="6812" spans="2:9">
      <c r="B6812" s="1297"/>
      <c r="C6812" s="1297"/>
      <c r="D6812" s="1297" t="s">
        <v>944</v>
      </c>
      <c r="E6812" s="1399">
        <v>428357</v>
      </c>
      <c r="I6812" s="1399">
        <v>428357</v>
      </c>
    </row>
    <row r="6813" spans="2:9">
      <c r="B6813" s="1297"/>
      <c r="C6813" s="1297"/>
      <c r="D6813" s="1297" t="s">
        <v>945</v>
      </c>
      <c r="E6813" s="1399">
        <v>582944.73</v>
      </c>
      <c r="I6813" s="1399">
        <v>582944.73</v>
      </c>
    </row>
    <row r="6814" spans="2:9">
      <c r="B6814" s="1297"/>
      <c r="C6814" s="1297"/>
      <c r="D6814" s="1297" t="s">
        <v>948</v>
      </c>
      <c r="G6814" s="1399">
        <v>690515</v>
      </c>
      <c r="I6814" s="1399">
        <v>690515</v>
      </c>
    </row>
    <row r="6815" spans="2:9">
      <c r="B6815" s="1297"/>
      <c r="C6815" s="1400" t="s">
        <v>1532</v>
      </c>
      <c r="D6815" s="1400"/>
      <c r="E6815" s="1401">
        <v>1272109.1499999999</v>
      </c>
      <c r="F6815" s="1401">
        <v>2325401.7000000002</v>
      </c>
      <c r="G6815" s="1401">
        <v>690515</v>
      </c>
      <c r="H6815" s="1401">
        <v>8344440.7599999998</v>
      </c>
      <c r="I6815" s="1401">
        <v>12632466.609999999</v>
      </c>
    </row>
    <row r="6816" spans="2:9">
      <c r="B6816" s="1297" t="s">
        <v>1533</v>
      </c>
      <c r="C6816" s="1297" t="s">
        <v>1534</v>
      </c>
      <c r="D6816" s="1297" t="s">
        <v>906</v>
      </c>
      <c r="F6816" s="1399">
        <v>24585028.239999998</v>
      </c>
      <c r="I6816" s="1399">
        <v>24585028.239999998</v>
      </c>
    </row>
    <row r="6817" spans="2:9">
      <c r="B6817" s="1297"/>
      <c r="C6817" s="1297"/>
      <c r="D6817" s="1297" t="s">
        <v>952</v>
      </c>
      <c r="F6817" s="1399">
        <v>247368.77</v>
      </c>
      <c r="I6817" s="1399">
        <v>247368.77</v>
      </c>
    </row>
    <row r="6818" spans="2:9">
      <c r="B6818" s="1297"/>
      <c r="C6818" s="1297"/>
      <c r="D6818" s="1297" t="s">
        <v>907</v>
      </c>
      <c r="F6818" s="1399">
        <v>9527596.0500000007</v>
      </c>
      <c r="I6818" s="1399">
        <v>9527596.0500000007</v>
      </c>
    </row>
    <row r="6819" spans="2:9">
      <c r="B6819" s="1297"/>
      <c r="C6819" s="1297"/>
      <c r="D6819" s="1297" t="s">
        <v>908</v>
      </c>
      <c r="F6819" s="1399">
        <v>0</v>
      </c>
      <c r="I6819" s="1399">
        <v>0</v>
      </c>
    </row>
    <row r="6820" spans="2:9">
      <c r="B6820" s="1297"/>
      <c r="C6820" s="1297"/>
      <c r="D6820" s="1297" t="s">
        <v>1034</v>
      </c>
      <c r="F6820" s="1399">
        <v>487605.09</v>
      </c>
      <c r="I6820" s="1399">
        <v>487605.09</v>
      </c>
    </row>
    <row r="6821" spans="2:9">
      <c r="B6821" s="1297"/>
      <c r="C6821" s="1297"/>
      <c r="D6821" s="1297" t="s">
        <v>1035</v>
      </c>
      <c r="F6821" s="1399">
        <v>400774.34</v>
      </c>
      <c r="I6821" s="1399">
        <v>400774.34</v>
      </c>
    </row>
    <row r="6822" spans="2:9">
      <c r="B6822" s="1297"/>
      <c r="C6822" s="1297"/>
      <c r="D6822" s="1297" t="s">
        <v>1037</v>
      </c>
      <c r="F6822" s="1399">
        <v>0</v>
      </c>
      <c r="I6822" s="1399">
        <v>0</v>
      </c>
    </row>
    <row r="6823" spans="2:9">
      <c r="B6823" s="1297"/>
      <c r="C6823" s="1297"/>
      <c r="D6823" s="1297" t="s">
        <v>1038</v>
      </c>
      <c r="F6823" s="1399">
        <v>12875</v>
      </c>
      <c r="I6823" s="1399">
        <v>12875</v>
      </c>
    </row>
    <row r="6824" spans="2:9">
      <c r="B6824" s="1297"/>
      <c r="C6824" s="1297"/>
      <c r="D6824" s="1297" t="s">
        <v>1039</v>
      </c>
      <c r="F6824" s="1399">
        <v>65458.720000000001</v>
      </c>
      <c r="I6824" s="1399">
        <v>65458.720000000001</v>
      </c>
    </row>
    <row r="6825" spans="2:9">
      <c r="B6825" s="1297"/>
      <c r="C6825" s="1297"/>
      <c r="D6825" s="1297" t="s">
        <v>1040</v>
      </c>
      <c r="F6825" s="1399">
        <v>211943.8</v>
      </c>
      <c r="I6825" s="1399">
        <v>211943.8</v>
      </c>
    </row>
    <row r="6826" spans="2:9">
      <c r="B6826" s="1297"/>
      <c r="C6826" s="1297"/>
      <c r="D6826" s="1297" t="s">
        <v>1207</v>
      </c>
      <c r="F6826" s="1399">
        <v>0</v>
      </c>
      <c r="I6826" s="1399">
        <v>0</v>
      </c>
    </row>
    <row r="6827" spans="2:9">
      <c r="B6827" s="1297"/>
      <c r="C6827" s="1297"/>
      <c r="D6827" s="1297" t="s">
        <v>1041</v>
      </c>
      <c r="F6827" s="1399">
        <v>19900.53</v>
      </c>
      <c r="I6827" s="1399">
        <v>19900.53</v>
      </c>
    </row>
    <row r="6828" spans="2:9">
      <c r="B6828" s="1297"/>
      <c r="C6828" s="1297"/>
      <c r="D6828" s="1297" t="s">
        <v>1042</v>
      </c>
      <c r="F6828" s="1399">
        <v>71426.53</v>
      </c>
      <c r="I6828" s="1399">
        <v>71426.53</v>
      </c>
    </row>
    <row r="6829" spans="2:9">
      <c r="B6829" s="1297"/>
      <c r="C6829" s="1297"/>
      <c r="D6829" s="1297" t="s">
        <v>954</v>
      </c>
      <c r="F6829" s="1399">
        <v>436732.29</v>
      </c>
      <c r="I6829" s="1399">
        <v>436732.29</v>
      </c>
    </row>
    <row r="6830" spans="2:9">
      <c r="B6830" s="1297"/>
      <c r="C6830" s="1297"/>
      <c r="D6830" s="1297" t="s">
        <v>1044</v>
      </c>
      <c r="F6830" s="1399">
        <v>92918.45</v>
      </c>
      <c r="I6830" s="1399">
        <v>92918.45</v>
      </c>
    </row>
    <row r="6831" spans="2:9">
      <c r="B6831" s="1297"/>
      <c r="C6831" s="1297"/>
      <c r="D6831" s="1297" t="s">
        <v>1045</v>
      </c>
      <c r="F6831" s="1399">
        <v>782170.81</v>
      </c>
      <c r="I6831" s="1399">
        <v>782170.81</v>
      </c>
    </row>
    <row r="6832" spans="2:9">
      <c r="B6832" s="1297"/>
      <c r="C6832" s="1297"/>
      <c r="D6832" s="1297" t="s">
        <v>1046</v>
      </c>
      <c r="H6832" s="1399">
        <v>41484086</v>
      </c>
      <c r="I6832" s="1399">
        <v>41484086</v>
      </c>
    </row>
    <row r="6833" spans="2:9">
      <c r="B6833" s="1297"/>
      <c r="C6833" s="1297"/>
      <c r="D6833" s="1297" t="s">
        <v>1129</v>
      </c>
      <c r="H6833" s="1399">
        <v>-5134999</v>
      </c>
      <c r="I6833" s="1399">
        <v>-5134999</v>
      </c>
    </row>
    <row r="6834" spans="2:9">
      <c r="B6834" s="1297"/>
      <c r="C6834" s="1297"/>
      <c r="D6834" s="1297" t="s">
        <v>1047</v>
      </c>
      <c r="H6834" s="1399">
        <v>651349</v>
      </c>
      <c r="I6834" s="1399">
        <v>651349</v>
      </c>
    </row>
    <row r="6835" spans="2:9">
      <c r="B6835" s="1297"/>
      <c r="C6835" s="1297"/>
      <c r="D6835" s="1297" t="s">
        <v>1048</v>
      </c>
      <c r="H6835" s="1399">
        <v>-7228341</v>
      </c>
      <c r="I6835" s="1399">
        <v>-7228341</v>
      </c>
    </row>
    <row r="6836" spans="2:9">
      <c r="B6836" s="1297"/>
      <c r="C6836" s="1297"/>
      <c r="D6836" s="1297" t="s">
        <v>932</v>
      </c>
      <c r="H6836" s="1399">
        <v>693436</v>
      </c>
      <c r="I6836" s="1399">
        <v>693436</v>
      </c>
    </row>
    <row r="6837" spans="2:9">
      <c r="B6837" s="1297"/>
      <c r="C6837" s="1297"/>
      <c r="D6837" s="1297" t="s">
        <v>934</v>
      </c>
      <c r="H6837" s="1399">
        <v>118338</v>
      </c>
      <c r="I6837" s="1399">
        <v>118338</v>
      </c>
    </row>
    <row r="6838" spans="2:9">
      <c r="B6838" s="1297"/>
      <c r="C6838" s="1297"/>
      <c r="D6838" s="1297" t="s">
        <v>1130</v>
      </c>
      <c r="H6838" s="1399">
        <v>0</v>
      </c>
      <c r="I6838" s="1399">
        <v>0</v>
      </c>
    </row>
    <row r="6839" spans="2:9">
      <c r="B6839" s="1297"/>
      <c r="C6839" s="1297"/>
      <c r="D6839" s="1297" t="s">
        <v>935</v>
      </c>
      <c r="H6839" s="1399">
        <v>610095.79</v>
      </c>
      <c r="I6839" s="1399">
        <v>610095.79</v>
      </c>
    </row>
    <row r="6840" spans="2:9">
      <c r="B6840" s="1297"/>
      <c r="C6840" s="1297"/>
      <c r="D6840" s="1297" t="s">
        <v>936</v>
      </c>
      <c r="H6840" s="1399">
        <v>91739.44</v>
      </c>
      <c r="I6840" s="1399">
        <v>91739.44</v>
      </c>
    </row>
    <row r="6841" spans="2:9">
      <c r="B6841" s="1297"/>
      <c r="C6841" s="1297"/>
      <c r="D6841" s="1297" t="s">
        <v>937</v>
      </c>
      <c r="H6841" s="1399">
        <v>29468.560000000001</v>
      </c>
      <c r="I6841" s="1399">
        <v>29468.560000000001</v>
      </c>
    </row>
    <row r="6842" spans="2:9">
      <c r="B6842" s="1297"/>
      <c r="C6842" s="1297"/>
      <c r="D6842" s="1297" t="s">
        <v>938</v>
      </c>
      <c r="H6842" s="1399">
        <v>41736</v>
      </c>
      <c r="I6842" s="1399">
        <v>41736</v>
      </c>
    </row>
    <row r="6843" spans="2:9">
      <c r="B6843" s="1297"/>
      <c r="C6843" s="1297"/>
      <c r="D6843" s="1297" t="s">
        <v>939</v>
      </c>
      <c r="H6843" s="1399">
        <v>446743.99</v>
      </c>
      <c r="I6843" s="1399">
        <v>446743.99</v>
      </c>
    </row>
    <row r="6844" spans="2:9">
      <c r="B6844" s="1297"/>
      <c r="C6844" s="1297"/>
      <c r="D6844" s="1297" t="s">
        <v>1131</v>
      </c>
      <c r="E6844" s="1399">
        <v>44870.81</v>
      </c>
      <c r="I6844" s="1399">
        <v>44870.81</v>
      </c>
    </row>
    <row r="6845" spans="2:9">
      <c r="B6845" s="1297"/>
      <c r="C6845" s="1297"/>
      <c r="D6845" s="1297" t="s">
        <v>940</v>
      </c>
      <c r="E6845" s="1399">
        <v>2430066.6800000002</v>
      </c>
      <c r="I6845" s="1399">
        <v>2430066.6800000002</v>
      </c>
    </row>
    <row r="6846" spans="2:9">
      <c r="B6846" s="1297"/>
      <c r="C6846" s="1297"/>
      <c r="D6846" s="1297" t="s">
        <v>941</v>
      </c>
      <c r="E6846" s="1399">
        <v>931662.18</v>
      </c>
      <c r="I6846" s="1399">
        <v>931662.18</v>
      </c>
    </row>
    <row r="6847" spans="2:9">
      <c r="B6847" s="1297"/>
      <c r="C6847" s="1297"/>
      <c r="D6847" s="1297" t="s">
        <v>943</v>
      </c>
      <c r="E6847" s="1399">
        <v>1318.68</v>
      </c>
      <c r="I6847" s="1399">
        <v>1318.68</v>
      </c>
    </row>
    <row r="6848" spans="2:9">
      <c r="B6848" s="1297"/>
      <c r="C6848" s="1297"/>
      <c r="D6848" s="1297" t="s">
        <v>944</v>
      </c>
      <c r="E6848" s="1399">
        <v>10798002.93</v>
      </c>
      <c r="I6848" s="1399">
        <v>10798002.93</v>
      </c>
    </row>
    <row r="6849" spans="2:9">
      <c r="B6849" s="1297"/>
      <c r="C6849" s="1297"/>
      <c r="D6849" s="1297" t="s">
        <v>946</v>
      </c>
      <c r="E6849" s="1399">
        <v>0</v>
      </c>
      <c r="I6849" s="1399">
        <v>0</v>
      </c>
    </row>
    <row r="6850" spans="2:9">
      <c r="B6850" s="1297"/>
      <c r="C6850" s="1297"/>
      <c r="D6850" s="1297" t="s">
        <v>1006</v>
      </c>
      <c r="E6850" s="1399">
        <v>17636</v>
      </c>
      <c r="I6850" s="1399">
        <v>17636</v>
      </c>
    </row>
    <row r="6851" spans="2:9">
      <c r="B6851" s="1297"/>
      <c r="C6851" s="1297"/>
      <c r="D6851" s="1297" t="s">
        <v>947</v>
      </c>
      <c r="E6851" s="1399">
        <v>209478.12</v>
      </c>
      <c r="I6851" s="1399">
        <v>209478.12</v>
      </c>
    </row>
    <row r="6852" spans="2:9">
      <c r="B6852" s="1297"/>
      <c r="C6852" s="1297"/>
      <c r="D6852" s="1297" t="s">
        <v>1115</v>
      </c>
      <c r="E6852" s="1399">
        <v>0</v>
      </c>
      <c r="I6852" s="1399">
        <v>0</v>
      </c>
    </row>
    <row r="6853" spans="2:9">
      <c r="B6853" s="1297"/>
      <c r="C6853" s="1297"/>
      <c r="D6853" s="1297" t="s">
        <v>1116</v>
      </c>
      <c r="G6853" s="1399">
        <v>0</v>
      </c>
      <c r="I6853" s="1399">
        <v>0</v>
      </c>
    </row>
    <row r="6854" spans="2:9">
      <c r="B6854" s="1297"/>
      <c r="C6854" s="1297"/>
      <c r="D6854" s="1297" t="s">
        <v>1535</v>
      </c>
      <c r="G6854" s="1399">
        <v>0</v>
      </c>
      <c r="I6854" s="1399">
        <v>0</v>
      </c>
    </row>
    <row r="6855" spans="2:9">
      <c r="B6855" s="1297"/>
      <c r="C6855" s="1297"/>
      <c r="D6855" s="1297" t="s">
        <v>948</v>
      </c>
      <c r="G6855" s="1399">
        <v>7625001</v>
      </c>
      <c r="I6855" s="1399">
        <v>7625001</v>
      </c>
    </row>
    <row r="6856" spans="2:9">
      <c r="B6856" s="1297"/>
      <c r="C6856" s="1297"/>
      <c r="D6856" s="1297" t="s">
        <v>956</v>
      </c>
      <c r="G6856" s="1399">
        <v>0</v>
      </c>
      <c r="I6856" s="1399">
        <v>0</v>
      </c>
    </row>
    <row r="6857" spans="2:9">
      <c r="B6857" s="1297"/>
      <c r="C6857" s="1297"/>
      <c r="D6857" s="1297" t="s">
        <v>1118</v>
      </c>
      <c r="G6857" s="1399">
        <v>0</v>
      </c>
      <c r="I6857" s="1399">
        <v>0</v>
      </c>
    </row>
    <row r="6858" spans="2:9">
      <c r="B6858" s="1297"/>
      <c r="C6858" s="1400" t="s">
        <v>1536</v>
      </c>
      <c r="D6858" s="1400"/>
      <c r="E6858" s="1401">
        <v>14433035.4</v>
      </c>
      <c r="F6858" s="1401">
        <v>36941798.620000012</v>
      </c>
      <c r="G6858" s="1401">
        <v>7625001</v>
      </c>
      <c r="H6858" s="1401">
        <v>31803652.779999997</v>
      </c>
      <c r="I6858" s="1401">
        <v>90803487.800000042</v>
      </c>
    </row>
    <row r="6859" spans="2:9">
      <c r="B6859" s="1297" t="s">
        <v>1537</v>
      </c>
      <c r="C6859" s="1297" t="s">
        <v>1538</v>
      </c>
      <c r="D6859" s="1297" t="s">
        <v>907</v>
      </c>
      <c r="F6859" s="1399">
        <v>2153804.0299999998</v>
      </c>
      <c r="I6859" s="1399">
        <v>2153804.0299999998</v>
      </c>
    </row>
    <row r="6860" spans="2:9">
      <c r="B6860" s="1297"/>
      <c r="C6860" s="1297"/>
      <c r="D6860" s="1297" t="s">
        <v>1145</v>
      </c>
      <c r="F6860" s="1399">
        <v>3717055.05</v>
      </c>
      <c r="I6860" s="1399">
        <v>3717055.05</v>
      </c>
    </row>
    <row r="6861" spans="2:9">
      <c r="B6861" s="1297"/>
      <c r="C6861" s="1297"/>
      <c r="D6861" s="1297" t="s">
        <v>909</v>
      </c>
      <c r="F6861" s="1399">
        <v>36890.230000000003</v>
      </c>
      <c r="I6861" s="1399">
        <v>36890.230000000003</v>
      </c>
    </row>
    <row r="6862" spans="2:9">
      <c r="B6862" s="1297"/>
      <c r="C6862" s="1297"/>
      <c r="D6862" s="1297" t="s">
        <v>910</v>
      </c>
      <c r="F6862" s="1399">
        <v>12343.32</v>
      </c>
      <c r="I6862" s="1399">
        <v>12343.32</v>
      </c>
    </row>
    <row r="6863" spans="2:9">
      <c r="B6863" s="1297"/>
      <c r="C6863" s="1297"/>
      <c r="D6863" s="1297" t="s">
        <v>1034</v>
      </c>
      <c r="F6863" s="1399">
        <v>89144.1</v>
      </c>
      <c r="I6863" s="1399">
        <v>89144.1</v>
      </c>
    </row>
    <row r="6864" spans="2:9">
      <c r="B6864" s="1297"/>
      <c r="C6864" s="1297"/>
      <c r="D6864" s="1297" t="s">
        <v>1035</v>
      </c>
      <c r="F6864" s="1399">
        <v>239361.86</v>
      </c>
      <c r="I6864" s="1399">
        <v>239361.86</v>
      </c>
    </row>
    <row r="6865" spans="2:9">
      <c r="B6865" s="1297"/>
      <c r="C6865" s="1297"/>
      <c r="D6865" s="1297" t="s">
        <v>1036</v>
      </c>
      <c r="F6865" s="1399">
        <v>131440.53</v>
      </c>
      <c r="I6865" s="1399">
        <v>131440.53</v>
      </c>
    </row>
    <row r="6866" spans="2:9">
      <c r="B6866" s="1297"/>
      <c r="C6866" s="1297"/>
      <c r="D6866" s="1297" t="s">
        <v>1037</v>
      </c>
      <c r="F6866" s="1399">
        <v>159854.58000000002</v>
      </c>
      <c r="I6866" s="1399">
        <v>159854.58000000002</v>
      </c>
    </row>
    <row r="6867" spans="2:9">
      <c r="B6867" s="1297"/>
      <c r="C6867" s="1297"/>
      <c r="D6867" s="1297" t="s">
        <v>1038</v>
      </c>
      <c r="F6867" s="1399">
        <v>9747.9</v>
      </c>
      <c r="I6867" s="1399">
        <v>9747.9</v>
      </c>
    </row>
    <row r="6868" spans="2:9">
      <c r="B6868" s="1297"/>
      <c r="C6868" s="1297"/>
      <c r="D6868" s="1297" t="s">
        <v>1039</v>
      </c>
      <c r="F6868" s="1399">
        <v>45675.25</v>
      </c>
      <c r="I6868" s="1399">
        <v>45675.25</v>
      </c>
    </row>
    <row r="6869" spans="2:9">
      <c r="B6869" s="1297"/>
      <c r="C6869" s="1297"/>
      <c r="D6869" s="1297" t="s">
        <v>1040</v>
      </c>
      <c r="F6869" s="1399">
        <v>210614.04</v>
      </c>
      <c r="I6869" s="1399">
        <v>210614.04</v>
      </c>
    </row>
    <row r="6870" spans="2:9">
      <c r="B6870" s="1297"/>
      <c r="C6870" s="1297"/>
      <c r="D6870" s="1297" t="s">
        <v>1041</v>
      </c>
      <c r="F6870" s="1399">
        <v>33545.019999999997</v>
      </c>
      <c r="I6870" s="1399">
        <v>33545.019999999997</v>
      </c>
    </row>
    <row r="6871" spans="2:9">
      <c r="B6871" s="1297"/>
      <c r="C6871" s="1297"/>
      <c r="D6871" s="1297" t="s">
        <v>1042</v>
      </c>
      <c r="F6871" s="1399">
        <v>23480.73</v>
      </c>
      <c r="I6871" s="1399">
        <v>23480.73</v>
      </c>
    </row>
    <row r="6872" spans="2:9">
      <c r="B6872" s="1297"/>
      <c r="C6872" s="1297"/>
      <c r="D6872" s="1297" t="s">
        <v>954</v>
      </c>
      <c r="F6872" s="1399">
        <v>27109.07</v>
      </c>
      <c r="I6872" s="1399">
        <v>27109.07</v>
      </c>
    </row>
    <row r="6873" spans="2:9">
      <c r="B6873" s="1297"/>
      <c r="C6873" s="1297"/>
      <c r="D6873" s="1297" t="s">
        <v>985</v>
      </c>
      <c r="F6873" s="1399">
        <v>148412</v>
      </c>
      <c r="I6873" s="1399">
        <v>148412</v>
      </c>
    </row>
    <row r="6874" spans="2:9">
      <c r="B6874" s="1297"/>
      <c r="C6874" s="1297"/>
      <c r="D6874" s="1297" t="s">
        <v>1043</v>
      </c>
      <c r="F6874" s="1399">
        <v>63403.31</v>
      </c>
      <c r="I6874" s="1399">
        <v>63403.31</v>
      </c>
    </row>
    <row r="6875" spans="2:9">
      <c r="B6875" s="1297"/>
      <c r="C6875" s="1297"/>
      <c r="D6875" s="1297" t="s">
        <v>986</v>
      </c>
      <c r="F6875" s="1399">
        <v>505</v>
      </c>
      <c r="I6875" s="1399">
        <v>505</v>
      </c>
    </row>
    <row r="6876" spans="2:9">
      <c r="B6876" s="1297"/>
      <c r="C6876" s="1297"/>
      <c r="D6876" s="1297" t="s">
        <v>996</v>
      </c>
      <c r="F6876" s="1399">
        <v>15000</v>
      </c>
      <c r="I6876" s="1399">
        <v>15000</v>
      </c>
    </row>
    <row r="6877" spans="2:9">
      <c r="B6877" s="1297"/>
      <c r="C6877" s="1297"/>
      <c r="D6877" s="1297" t="s">
        <v>1045</v>
      </c>
      <c r="F6877" s="1399">
        <v>289940.26</v>
      </c>
      <c r="I6877" s="1399">
        <v>289940.26</v>
      </c>
    </row>
    <row r="6878" spans="2:9">
      <c r="B6878" s="1297"/>
      <c r="C6878" s="1297"/>
      <c r="D6878" s="1297" t="s">
        <v>1046</v>
      </c>
      <c r="H6878" s="1399">
        <v>11027777</v>
      </c>
      <c r="I6878" s="1399">
        <v>11027777</v>
      </c>
    </row>
    <row r="6879" spans="2:9">
      <c r="B6879" s="1297"/>
      <c r="C6879" s="1297"/>
      <c r="D6879" s="1297" t="s">
        <v>1047</v>
      </c>
      <c r="H6879" s="1399">
        <v>202149</v>
      </c>
      <c r="I6879" s="1399">
        <v>202149</v>
      </c>
    </row>
    <row r="6880" spans="2:9">
      <c r="B6880" s="1297"/>
      <c r="C6880" s="1297"/>
      <c r="D6880" s="1297" t="s">
        <v>1048</v>
      </c>
      <c r="H6880" s="1399">
        <v>-1358507</v>
      </c>
      <c r="I6880" s="1399">
        <v>-1358507</v>
      </c>
    </row>
    <row r="6881" spans="2:9">
      <c r="B6881" s="1297"/>
      <c r="C6881" s="1297"/>
      <c r="D6881" s="1297" t="s">
        <v>932</v>
      </c>
      <c r="H6881" s="1399">
        <v>932697</v>
      </c>
      <c r="I6881" s="1399">
        <v>932697</v>
      </c>
    </row>
    <row r="6882" spans="2:9">
      <c r="B6882" s="1297"/>
      <c r="C6882" s="1297"/>
      <c r="D6882" s="1297" t="s">
        <v>933</v>
      </c>
      <c r="H6882" s="1399">
        <v>601871.22</v>
      </c>
      <c r="I6882" s="1399">
        <v>601871.22</v>
      </c>
    </row>
    <row r="6883" spans="2:9">
      <c r="B6883" s="1297"/>
      <c r="C6883" s="1297"/>
      <c r="D6883" s="1297" t="s">
        <v>934</v>
      </c>
      <c r="H6883" s="1399">
        <v>40208</v>
      </c>
      <c r="I6883" s="1399">
        <v>40208</v>
      </c>
    </row>
    <row r="6884" spans="2:9">
      <c r="B6884" s="1297"/>
      <c r="C6884" s="1297"/>
      <c r="D6884" s="1297" t="s">
        <v>1130</v>
      </c>
      <c r="H6884" s="1399">
        <v>258712.1</v>
      </c>
      <c r="I6884" s="1399">
        <v>258712.1</v>
      </c>
    </row>
    <row r="6885" spans="2:9">
      <c r="B6885" s="1297"/>
      <c r="C6885" s="1297"/>
      <c r="D6885" s="1297" t="s">
        <v>935</v>
      </c>
      <c r="H6885" s="1399">
        <v>76103.59</v>
      </c>
      <c r="I6885" s="1399">
        <v>76103.59</v>
      </c>
    </row>
    <row r="6886" spans="2:9">
      <c r="B6886" s="1297"/>
      <c r="C6886" s="1297"/>
      <c r="D6886" s="1297" t="s">
        <v>936</v>
      </c>
      <c r="H6886" s="1399">
        <v>29412.639999999999</v>
      </c>
      <c r="I6886" s="1399">
        <v>29412.639999999999</v>
      </c>
    </row>
    <row r="6887" spans="2:9">
      <c r="B6887" s="1297"/>
      <c r="C6887" s="1297"/>
      <c r="D6887" s="1297" t="s">
        <v>937</v>
      </c>
      <c r="H6887" s="1399">
        <v>12302.25</v>
      </c>
      <c r="I6887" s="1399">
        <v>12302.25</v>
      </c>
    </row>
    <row r="6888" spans="2:9">
      <c r="B6888" s="1297"/>
      <c r="C6888" s="1297"/>
      <c r="D6888" s="1297" t="s">
        <v>938</v>
      </c>
      <c r="H6888" s="1399">
        <v>8984</v>
      </c>
      <c r="I6888" s="1399">
        <v>8984</v>
      </c>
    </row>
    <row r="6889" spans="2:9">
      <c r="B6889" s="1297"/>
      <c r="C6889" s="1297"/>
      <c r="D6889" s="1297" t="s">
        <v>939</v>
      </c>
      <c r="H6889" s="1399">
        <v>20000</v>
      </c>
      <c r="I6889" s="1399">
        <v>20000</v>
      </c>
    </row>
    <row r="6890" spans="2:9">
      <c r="B6890" s="1297"/>
      <c r="C6890" s="1297"/>
      <c r="D6890" s="1297" t="s">
        <v>940</v>
      </c>
      <c r="E6890" s="1399">
        <v>671639.98</v>
      </c>
      <c r="I6890" s="1399">
        <v>671639.98</v>
      </c>
    </row>
    <row r="6891" spans="2:9">
      <c r="B6891" s="1297"/>
      <c r="C6891" s="1297"/>
      <c r="D6891" s="1297" t="s">
        <v>941</v>
      </c>
      <c r="E6891" s="1399">
        <v>218797.6</v>
      </c>
      <c r="I6891" s="1399">
        <v>218797.6</v>
      </c>
    </row>
    <row r="6892" spans="2:9">
      <c r="B6892" s="1297"/>
      <c r="C6892" s="1297"/>
      <c r="D6892" s="1297" t="s">
        <v>943</v>
      </c>
      <c r="E6892" s="1399">
        <v>11766</v>
      </c>
      <c r="I6892" s="1399">
        <v>11766</v>
      </c>
    </row>
    <row r="6893" spans="2:9">
      <c r="B6893" s="1297"/>
      <c r="C6893" s="1297"/>
      <c r="D6893" s="1297" t="s">
        <v>944</v>
      </c>
      <c r="E6893" s="1399">
        <v>1527827.3699999999</v>
      </c>
      <c r="I6893" s="1399">
        <v>1527827.3699999999</v>
      </c>
    </row>
    <row r="6894" spans="2:9">
      <c r="B6894" s="1297"/>
      <c r="C6894" s="1297"/>
      <c r="D6894" s="1297" t="s">
        <v>945</v>
      </c>
      <c r="E6894" s="1399">
        <v>1237464.7499999998</v>
      </c>
      <c r="I6894" s="1399">
        <v>1237464.7499999998</v>
      </c>
    </row>
    <row r="6895" spans="2:9">
      <c r="B6895" s="1297"/>
      <c r="C6895" s="1297"/>
      <c r="D6895" s="1297" t="s">
        <v>947</v>
      </c>
      <c r="E6895" s="1399">
        <v>80915.100000000006</v>
      </c>
      <c r="I6895" s="1399">
        <v>80915.100000000006</v>
      </c>
    </row>
    <row r="6896" spans="2:9">
      <c r="B6896" s="1297"/>
      <c r="C6896" s="1297"/>
      <c r="D6896" s="1297" t="s">
        <v>948</v>
      </c>
      <c r="G6896" s="1399">
        <v>229.32999999998719</v>
      </c>
      <c r="I6896" s="1399">
        <v>229.32999999998719</v>
      </c>
    </row>
    <row r="6897" spans="2:9">
      <c r="B6897" s="1297"/>
      <c r="C6897" s="1400" t="s">
        <v>1539</v>
      </c>
      <c r="D6897" s="1400"/>
      <c r="E6897" s="1401">
        <v>3748410.7999999993</v>
      </c>
      <c r="F6897" s="1401">
        <v>7407326.2800000012</v>
      </c>
      <c r="G6897" s="1401">
        <v>229.32999999998719</v>
      </c>
      <c r="H6897" s="1401">
        <v>11851709.800000001</v>
      </c>
      <c r="I6897" s="1401">
        <v>23007676.210000005</v>
      </c>
    </row>
    <row r="6898" spans="2:9">
      <c r="B6898" s="1297" t="s">
        <v>1540</v>
      </c>
      <c r="C6898" s="1297" t="s">
        <v>1541</v>
      </c>
      <c r="D6898" s="1297" t="s">
        <v>1039</v>
      </c>
      <c r="F6898" s="1399">
        <v>714.07</v>
      </c>
      <c r="I6898" s="1399">
        <v>714.07</v>
      </c>
    </row>
    <row r="6899" spans="2:9">
      <c r="B6899" s="1297"/>
      <c r="C6899" s="1297"/>
      <c r="D6899" s="1297" t="s">
        <v>996</v>
      </c>
      <c r="F6899" s="1399">
        <v>460476</v>
      </c>
      <c r="I6899" s="1399">
        <v>460476</v>
      </c>
    </row>
    <row r="6900" spans="2:9">
      <c r="B6900" s="1297"/>
      <c r="C6900" s="1297"/>
      <c r="D6900" s="1297" t="s">
        <v>1044</v>
      </c>
      <c r="F6900" s="1399">
        <v>79401.84</v>
      </c>
      <c r="I6900" s="1399">
        <v>79401.84</v>
      </c>
    </row>
    <row r="6901" spans="2:9">
      <c r="B6901" s="1297"/>
      <c r="C6901" s="1297"/>
      <c r="D6901" s="1297" t="s">
        <v>1045</v>
      </c>
      <c r="F6901" s="1399">
        <v>572499.77</v>
      </c>
      <c r="I6901" s="1399">
        <v>572499.77</v>
      </c>
    </row>
    <row r="6902" spans="2:9">
      <c r="B6902" s="1297"/>
      <c r="C6902" s="1297"/>
      <c r="D6902" s="1297" t="s">
        <v>935</v>
      </c>
      <c r="H6902" s="1399">
        <v>4761565.34</v>
      </c>
      <c r="I6902" s="1399">
        <v>4761565.34</v>
      </c>
    </row>
    <row r="6903" spans="2:9">
      <c r="B6903" s="1297"/>
      <c r="C6903" s="1297"/>
      <c r="D6903" s="1297" t="s">
        <v>936</v>
      </c>
      <c r="H6903" s="1399">
        <v>14006.02</v>
      </c>
      <c r="I6903" s="1399">
        <v>14006.02</v>
      </c>
    </row>
    <row r="6904" spans="2:9">
      <c r="B6904" s="1297"/>
      <c r="C6904" s="1297"/>
      <c r="D6904" s="1297" t="s">
        <v>939</v>
      </c>
      <c r="H6904" s="1399">
        <v>10990.82</v>
      </c>
      <c r="I6904" s="1399">
        <v>10990.82</v>
      </c>
    </row>
    <row r="6905" spans="2:9">
      <c r="B6905" s="1297"/>
      <c r="C6905" s="1297"/>
      <c r="D6905" s="1297" t="s">
        <v>944</v>
      </c>
      <c r="E6905" s="1399">
        <v>1306443.6500000001</v>
      </c>
      <c r="I6905" s="1399">
        <v>1306443.6500000001</v>
      </c>
    </row>
    <row r="6906" spans="2:9">
      <c r="B6906" s="1297"/>
      <c r="C6906" s="1400" t="s">
        <v>1542</v>
      </c>
      <c r="D6906" s="1400"/>
      <c r="E6906" s="1401">
        <v>1306443.6500000001</v>
      </c>
      <c r="F6906" s="1401">
        <v>1113091.6800000002</v>
      </c>
      <c r="G6906" s="1401"/>
      <c r="H6906" s="1401">
        <v>4786562.18</v>
      </c>
      <c r="I6906" s="1401">
        <v>7206097.5099999998</v>
      </c>
    </row>
    <row r="6907" spans="2:9">
      <c r="B6907" s="1297" t="s">
        <v>1543</v>
      </c>
      <c r="C6907" s="1297" t="s">
        <v>1544</v>
      </c>
      <c r="D6907" s="1297" t="s">
        <v>1034</v>
      </c>
      <c r="F6907" s="1399">
        <v>8739.14</v>
      </c>
      <c r="I6907" s="1399">
        <v>8739.14</v>
      </c>
    </row>
    <row r="6908" spans="2:9">
      <c r="B6908" s="1297"/>
      <c r="C6908" s="1297"/>
      <c r="D6908" s="1297" t="s">
        <v>1039</v>
      </c>
      <c r="F6908" s="1399">
        <v>6827.9100000000008</v>
      </c>
      <c r="I6908" s="1399">
        <v>6827.9100000000008</v>
      </c>
    </row>
    <row r="6909" spans="2:9">
      <c r="B6909" s="1297"/>
      <c r="C6909" s="1297"/>
      <c r="D6909" s="1297" t="s">
        <v>954</v>
      </c>
      <c r="F6909" s="1399">
        <v>110.95</v>
      </c>
      <c r="I6909" s="1399">
        <v>110.95</v>
      </c>
    </row>
    <row r="6910" spans="2:9">
      <c r="B6910" s="1297"/>
      <c r="C6910" s="1297"/>
      <c r="D6910" s="1297" t="s">
        <v>1043</v>
      </c>
      <c r="F6910" s="1399">
        <v>0</v>
      </c>
      <c r="I6910" s="1399">
        <v>0</v>
      </c>
    </row>
    <row r="6911" spans="2:9">
      <c r="B6911" s="1297"/>
      <c r="C6911" s="1297"/>
      <c r="D6911" s="1297" t="s">
        <v>996</v>
      </c>
      <c r="F6911" s="1399">
        <v>461537.72</v>
      </c>
      <c r="I6911" s="1399">
        <v>461537.72</v>
      </c>
    </row>
    <row r="6912" spans="2:9">
      <c r="B6912" s="1297"/>
      <c r="C6912" s="1297"/>
      <c r="D6912" s="1297" t="s">
        <v>1044</v>
      </c>
      <c r="F6912" s="1399">
        <v>10800</v>
      </c>
      <c r="I6912" s="1399">
        <v>10800</v>
      </c>
    </row>
    <row r="6913" spans="2:9">
      <c r="B6913" s="1297"/>
      <c r="C6913" s="1297"/>
      <c r="D6913" s="1297" t="s">
        <v>1045</v>
      </c>
      <c r="F6913" s="1399">
        <v>487191.1</v>
      </c>
      <c r="I6913" s="1399">
        <v>487191.1</v>
      </c>
    </row>
    <row r="6914" spans="2:9">
      <c r="B6914" s="1297"/>
      <c r="C6914" s="1297"/>
      <c r="D6914" s="1297" t="s">
        <v>935</v>
      </c>
      <c r="H6914" s="1399">
        <v>2879540.63</v>
      </c>
      <c r="I6914" s="1399">
        <v>2879540.63</v>
      </c>
    </row>
    <row r="6915" spans="2:9">
      <c r="B6915" s="1297"/>
      <c r="C6915" s="1297"/>
      <c r="D6915" s="1297" t="s">
        <v>936</v>
      </c>
      <c r="H6915" s="1399">
        <v>13655.87</v>
      </c>
      <c r="I6915" s="1399">
        <v>13655.87</v>
      </c>
    </row>
    <row r="6916" spans="2:9">
      <c r="B6916" s="1297"/>
      <c r="C6916" s="1297"/>
      <c r="D6916" s="1297" t="s">
        <v>944</v>
      </c>
      <c r="E6916" s="1399">
        <v>526669.31000000006</v>
      </c>
      <c r="I6916" s="1399">
        <v>526669.31000000006</v>
      </c>
    </row>
    <row r="6917" spans="2:9">
      <c r="B6917" s="1297"/>
      <c r="C6917" s="1297"/>
      <c r="D6917" s="1297" t="s">
        <v>1118</v>
      </c>
      <c r="G6917" s="1399">
        <v>18993</v>
      </c>
      <c r="I6917" s="1399">
        <v>18993</v>
      </c>
    </row>
    <row r="6918" spans="2:9">
      <c r="B6918" s="1297"/>
      <c r="C6918" s="1400" t="s">
        <v>1545</v>
      </c>
      <c r="D6918" s="1400"/>
      <c r="E6918" s="1401">
        <v>526669.31000000006</v>
      </c>
      <c r="F6918" s="1401">
        <v>975206.82</v>
      </c>
      <c r="G6918" s="1401">
        <v>18993</v>
      </c>
      <c r="H6918" s="1401">
        <v>2893196.5</v>
      </c>
      <c r="I6918" s="1401">
        <v>4414065.63</v>
      </c>
    </row>
    <row r="6919" spans="2:9">
      <c r="B6919" s="1297" t="s">
        <v>1546</v>
      </c>
      <c r="C6919" s="1297" t="s">
        <v>1547</v>
      </c>
      <c r="D6919" s="1297" t="s">
        <v>1039</v>
      </c>
      <c r="F6919" s="1399">
        <v>3665.26</v>
      </c>
      <c r="I6919" s="1399">
        <v>3665.26</v>
      </c>
    </row>
    <row r="6920" spans="2:9">
      <c r="B6920" s="1297"/>
      <c r="C6920" s="1297"/>
      <c r="D6920" s="1297" t="s">
        <v>996</v>
      </c>
      <c r="F6920" s="1399">
        <v>2667791.54</v>
      </c>
      <c r="I6920" s="1399">
        <v>2667791.54</v>
      </c>
    </row>
    <row r="6921" spans="2:9">
      <c r="B6921" s="1297"/>
      <c r="C6921" s="1297"/>
      <c r="D6921" s="1297" t="s">
        <v>1044</v>
      </c>
      <c r="F6921" s="1399">
        <v>9200</v>
      </c>
      <c r="I6921" s="1399">
        <v>9200</v>
      </c>
    </row>
    <row r="6922" spans="2:9">
      <c r="B6922" s="1297"/>
      <c r="C6922" s="1297"/>
      <c r="D6922" s="1297" t="s">
        <v>1045</v>
      </c>
      <c r="F6922" s="1399">
        <v>836936.15999999992</v>
      </c>
      <c r="I6922" s="1399">
        <v>836936.15999999992</v>
      </c>
    </row>
    <row r="6923" spans="2:9">
      <c r="B6923" s="1297"/>
      <c r="C6923" s="1297"/>
      <c r="D6923" s="1297" t="s">
        <v>935</v>
      </c>
      <c r="H6923" s="1399">
        <v>2471782</v>
      </c>
      <c r="I6923" s="1399">
        <v>2471782</v>
      </c>
    </row>
    <row r="6924" spans="2:9">
      <c r="B6924" s="1297"/>
      <c r="C6924" s="1297"/>
      <c r="D6924" s="1297" t="s">
        <v>939</v>
      </c>
      <c r="H6924" s="1399">
        <v>290337.48000000004</v>
      </c>
      <c r="I6924" s="1399">
        <v>290337.48000000004</v>
      </c>
    </row>
    <row r="6925" spans="2:9">
      <c r="B6925" s="1297"/>
      <c r="C6925" s="1297"/>
      <c r="D6925" s="1297" t="s">
        <v>944</v>
      </c>
      <c r="E6925" s="1399">
        <v>1210243.42</v>
      </c>
      <c r="I6925" s="1399">
        <v>1210243.42</v>
      </c>
    </row>
    <row r="6926" spans="2:9">
      <c r="B6926" s="1297"/>
      <c r="C6926" s="1400" t="s">
        <v>1548</v>
      </c>
      <c r="D6926" s="1400"/>
      <c r="E6926" s="1401">
        <v>1210243.42</v>
      </c>
      <c r="F6926" s="1401">
        <v>3517592.96</v>
      </c>
      <c r="G6926" s="1401"/>
      <c r="H6926" s="1401">
        <v>2762119.48</v>
      </c>
      <c r="I6926" s="1401">
        <v>7489955.8600000003</v>
      </c>
    </row>
    <row r="6927" spans="2:9">
      <c r="B6927" s="1297" t="s">
        <v>1549</v>
      </c>
      <c r="C6927" s="1297" t="s">
        <v>1550</v>
      </c>
      <c r="D6927" s="1297" t="s">
        <v>1039</v>
      </c>
      <c r="F6927" s="1399">
        <v>2825.86</v>
      </c>
      <c r="I6927" s="1399">
        <v>2825.86</v>
      </c>
    </row>
    <row r="6928" spans="2:9">
      <c r="B6928" s="1297"/>
      <c r="C6928" s="1297"/>
      <c r="D6928" s="1297" t="s">
        <v>996</v>
      </c>
      <c r="F6928" s="1399">
        <v>259717</v>
      </c>
      <c r="I6928" s="1399">
        <v>259717</v>
      </c>
    </row>
    <row r="6929" spans="2:9">
      <c r="B6929" s="1297"/>
      <c r="C6929" s="1297"/>
      <c r="D6929" s="1297" t="s">
        <v>1044</v>
      </c>
      <c r="F6929" s="1399">
        <v>62452.51</v>
      </c>
      <c r="I6929" s="1399">
        <v>62452.51</v>
      </c>
    </row>
    <row r="6930" spans="2:9">
      <c r="B6930" s="1297"/>
      <c r="C6930" s="1297"/>
      <c r="D6930" s="1297" t="s">
        <v>1045</v>
      </c>
      <c r="F6930" s="1399">
        <v>895584.50000000012</v>
      </c>
      <c r="I6930" s="1399">
        <v>895584.50000000012</v>
      </c>
    </row>
    <row r="6931" spans="2:9">
      <c r="B6931" s="1297"/>
      <c r="C6931" s="1297"/>
      <c r="D6931" s="1297" t="s">
        <v>935</v>
      </c>
      <c r="H6931" s="1399">
        <v>6370253</v>
      </c>
      <c r="I6931" s="1399">
        <v>6370253</v>
      </c>
    </row>
    <row r="6932" spans="2:9">
      <c r="B6932" s="1297"/>
      <c r="C6932" s="1297"/>
      <c r="D6932" s="1297" t="s">
        <v>936</v>
      </c>
      <c r="H6932" s="1399">
        <v>21009.03</v>
      </c>
      <c r="I6932" s="1399">
        <v>21009.03</v>
      </c>
    </row>
    <row r="6933" spans="2:9">
      <c r="B6933" s="1297"/>
      <c r="C6933" s="1297"/>
      <c r="D6933" s="1297" t="s">
        <v>939</v>
      </c>
      <c r="H6933" s="1399">
        <v>215157.26</v>
      </c>
      <c r="I6933" s="1399">
        <v>215157.26</v>
      </c>
    </row>
    <row r="6934" spans="2:9">
      <c r="B6934" s="1297"/>
      <c r="C6934" s="1297"/>
      <c r="D6934" s="1297" t="s">
        <v>944</v>
      </c>
      <c r="E6934" s="1399">
        <v>1643856.27</v>
      </c>
      <c r="I6934" s="1399">
        <v>1643856.27</v>
      </c>
    </row>
    <row r="6935" spans="2:9">
      <c r="B6935" s="1297"/>
      <c r="C6935" s="1297"/>
      <c r="D6935" s="1297" t="s">
        <v>1118</v>
      </c>
      <c r="G6935" s="1399">
        <v>343853.76999999996</v>
      </c>
      <c r="I6935" s="1399">
        <v>343853.76999999996</v>
      </c>
    </row>
    <row r="6936" spans="2:9">
      <c r="B6936" s="1297"/>
      <c r="C6936" s="1400" t="s">
        <v>1551</v>
      </c>
      <c r="D6936" s="1400"/>
      <c r="E6936" s="1401">
        <v>1643856.27</v>
      </c>
      <c r="F6936" s="1401">
        <v>1220579.8700000001</v>
      </c>
      <c r="G6936" s="1401">
        <v>343853.76999999996</v>
      </c>
      <c r="H6936" s="1401">
        <v>6606419.29</v>
      </c>
      <c r="I6936" s="1401">
        <v>9814709.1999999993</v>
      </c>
    </row>
    <row r="6937" spans="2:9">
      <c r="B6937" s="1297" t="s">
        <v>1552</v>
      </c>
      <c r="C6937" s="1297" t="s">
        <v>1553</v>
      </c>
      <c r="D6937" s="1297" t="s">
        <v>1037</v>
      </c>
      <c r="F6937" s="1399">
        <v>141117.76000000001</v>
      </c>
      <c r="I6937" s="1399">
        <v>141117.76000000001</v>
      </c>
    </row>
    <row r="6938" spans="2:9">
      <c r="B6938" s="1297"/>
      <c r="C6938" s="1297"/>
      <c r="D6938" s="1297" t="s">
        <v>1105</v>
      </c>
      <c r="F6938" s="1399">
        <v>491548.65</v>
      </c>
      <c r="I6938" s="1399">
        <v>491548.65</v>
      </c>
    </row>
    <row r="6939" spans="2:9">
      <c r="B6939" s="1297"/>
      <c r="C6939" s="1297"/>
      <c r="D6939" s="1297" t="s">
        <v>1039</v>
      </c>
      <c r="F6939" s="1399">
        <v>30460.55</v>
      </c>
      <c r="I6939" s="1399">
        <v>30460.55</v>
      </c>
    </row>
    <row r="6940" spans="2:9">
      <c r="B6940" s="1297"/>
      <c r="C6940" s="1297"/>
      <c r="D6940" s="1297" t="s">
        <v>996</v>
      </c>
      <c r="F6940" s="1399">
        <v>3566517.6999999997</v>
      </c>
      <c r="I6940" s="1399">
        <v>3566517.6999999997</v>
      </c>
    </row>
    <row r="6941" spans="2:9">
      <c r="B6941" s="1297"/>
      <c r="C6941" s="1297"/>
      <c r="D6941" s="1297" t="s">
        <v>1005</v>
      </c>
      <c r="F6941" s="1399">
        <v>1235999.43</v>
      </c>
      <c r="I6941" s="1399">
        <v>1235999.43</v>
      </c>
    </row>
    <row r="6942" spans="2:9">
      <c r="B6942" s="1297"/>
      <c r="C6942" s="1297"/>
      <c r="D6942" s="1297" t="s">
        <v>1044</v>
      </c>
      <c r="F6942" s="1399">
        <v>48552.62</v>
      </c>
      <c r="I6942" s="1399">
        <v>48552.62</v>
      </c>
    </row>
    <row r="6943" spans="2:9">
      <c r="B6943" s="1297"/>
      <c r="C6943" s="1297"/>
      <c r="D6943" s="1297" t="s">
        <v>1045</v>
      </c>
      <c r="F6943" s="1399">
        <v>377736.19000000006</v>
      </c>
      <c r="I6943" s="1399">
        <v>377736.19000000006</v>
      </c>
    </row>
    <row r="6944" spans="2:9">
      <c r="B6944" s="1297"/>
      <c r="C6944" s="1297"/>
      <c r="D6944" s="1297" t="s">
        <v>935</v>
      </c>
      <c r="H6944" s="1399">
        <v>2725319.7800000003</v>
      </c>
      <c r="I6944" s="1399">
        <v>2725319.7800000003</v>
      </c>
    </row>
    <row r="6945" spans="2:9">
      <c r="B6945" s="1297"/>
      <c r="C6945" s="1297"/>
      <c r="D6945" s="1297" t="s">
        <v>936</v>
      </c>
      <c r="H6945" s="1399">
        <v>18557.98</v>
      </c>
      <c r="I6945" s="1399">
        <v>18557.98</v>
      </c>
    </row>
    <row r="6946" spans="2:9">
      <c r="B6946" s="1297"/>
      <c r="C6946" s="1297"/>
      <c r="D6946" s="1297" t="s">
        <v>939</v>
      </c>
      <c r="H6946" s="1399">
        <v>4738.13</v>
      </c>
      <c r="I6946" s="1399">
        <v>4738.13</v>
      </c>
    </row>
    <row r="6947" spans="2:9">
      <c r="B6947" s="1297"/>
      <c r="C6947" s="1297"/>
      <c r="D6947" s="1297" t="s">
        <v>1131</v>
      </c>
      <c r="E6947" s="1399">
        <v>354189.41</v>
      </c>
      <c r="I6947" s="1399">
        <v>354189.41</v>
      </c>
    </row>
    <row r="6948" spans="2:9">
      <c r="B6948" s="1297"/>
      <c r="C6948" s="1297"/>
      <c r="D6948" s="1297" t="s">
        <v>944</v>
      </c>
      <c r="E6948" s="1399">
        <v>908109.19000000006</v>
      </c>
      <c r="I6948" s="1399">
        <v>908109.19000000006</v>
      </c>
    </row>
    <row r="6949" spans="2:9">
      <c r="B6949" s="1297"/>
      <c r="C6949" s="1297"/>
      <c r="D6949" s="1297" t="s">
        <v>948</v>
      </c>
      <c r="G6949" s="1399">
        <v>688983.08</v>
      </c>
      <c r="I6949" s="1399">
        <v>688983.08</v>
      </c>
    </row>
    <row r="6950" spans="2:9">
      <c r="B6950" s="1297"/>
      <c r="C6950" s="1297"/>
      <c r="D6950" s="1297" t="s">
        <v>1118</v>
      </c>
      <c r="G6950" s="1399">
        <v>578871.13</v>
      </c>
      <c r="I6950" s="1399">
        <v>578871.13</v>
      </c>
    </row>
    <row r="6951" spans="2:9">
      <c r="B6951" s="1297"/>
      <c r="C6951" s="1400" t="s">
        <v>1554</v>
      </c>
      <c r="D6951" s="1400"/>
      <c r="E6951" s="1401">
        <v>1262298.6000000001</v>
      </c>
      <c r="F6951" s="1401">
        <v>5891932.9000000004</v>
      </c>
      <c r="G6951" s="1401">
        <v>1267854.21</v>
      </c>
      <c r="H6951" s="1401">
        <v>2748615.89</v>
      </c>
      <c r="I6951" s="1401">
        <v>11170701.600000001</v>
      </c>
    </row>
    <row r="6952" spans="2:9">
      <c r="B6952" s="1297" t="s">
        <v>1555</v>
      </c>
      <c r="C6952" s="1297" t="s">
        <v>1556</v>
      </c>
      <c r="D6952" s="1297" t="s">
        <v>1105</v>
      </c>
      <c r="F6952" s="1399">
        <v>111291</v>
      </c>
      <c r="I6952" s="1399">
        <v>111291</v>
      </c>
    </row>
    <row r="6953" spans="2:9">
      <c r="B6953" s="1297"/>
      <c r="C6953" s="1297"/>
      <c r="D6953" s="1297" t="s">
        <v>1039</v>
      </c>
      <c r="F6953" s="1399">
        <v>1957.11</v>
      </c>
      <c r="I6953" s="1399">
        <v>1957.11</v>
      </c>
    </row>
    <row r="6954" spans="2:9">
      <c r="B6954" s="1297"/>
      <c r="C6954" s="1297"/>
      <c r="D6954" s="1297" t="s">
        <v>986</v>
      </c>
      <c r="F6954" s="1399">
        <v>103050</v>
      </c>
      <c r="I6954" s="1399">
        <v>103050</v>
      </c>
    </row>
    <row r="6955" spans="2:9">
      <c r="B6955" s="1297"/>
      <c r="C6955" s="1297"/>
      <c r="D6955" s="1297" t="s">
        <v>996</v>
      </c>
      <c r="F6955" s="1399">
        <v>1882163.8900000001</v>
      </c>
      <c r="I6955" s="1399">
        <v>1882163.8900000001</v>
      </c>
    </row>
    <row r="6956" spans="2:9">
      <c r="B6956" s="1297"/>
      <c r="C6956" s="1297"/>
      <c r="D6956" s="1297" t="s">
        <v>1045</v>
      </c>
      <c r="F6956" s="1399">
        <v>996060.23</v>
      </c>
      <c r="I6956" s="1399">
        <v>996060.23</v>
      </c>
    </row>
    <row r="6957" spans="2:9">
      <c r="B6957" s="1297"/>
      <c r="C6957" s="1297"/>
      <c r="D6957" s="1297" t="s">
        <v>935</v>
      </c>
      <c r="H6957" s="1399">
        <v>3857799</v>
      </c>
      <c r="I6957" s="1399">
        <v>3857799</v>
      </c>
    </row>
    <row r="6958" spans="2:9">
      <c r="B6958" s="1297"/>
      <c r="C6958" s="1297"/>
      <c r="D6958" s="1297" t="s">
        <v>936</v>
      </c>
      <c r="H6958" s="1399">
        <v>21009.03</v>
      </c>
      <c r="I6958" s="1399">
        <v>21009.03</v>
      </c>
    </row>
    <row r="6959" spans="2:9">
      <c r="B6959" s="1297"/>
      <c r="C6959" s="1297"/>
      <c r="D6959" s="1297" t="s">
        <v>939</v>
      </c>
      <c r="H6959" s="1399">
        <v>104632</v>
      </c>
      <c r="I6959" s="1399">
        <v>104632</v>
      </c>
    </row>
    <row r="6960" spans="2:9">
      <c r="B6960" s="1297"/>
      <c r="C6960" s="1297"/>
      <c r="D6960" s="1297" t="s">
        <v>944</v>
      </c>
      <c r="E6960" s="1399">
        <v>820980.39</v>
      </c>
      <c r="I6960" s="1399">
        <v>820980.39</v>
      </c>
    </row>
    <row r="6961" spans="2:9">
      <c r="B6961" s="1297"/>
      <c r="C6961" s="1297"/>
      <c r="D6961" s="1297" t="s">
        <v>946</v>
      </c>
      <c r="E6961" s="1399">
        <v>202088</v>
      </c>
      <c r="I6961" s="1399">
        <v>202088</v>
      </c>
    </row>
    <row r="6962" spans="2:9">
      <c r="B6962" s="1297"/>
      <c r="C6962" s="1400" t="s">
        <v>1557</v>
      </c>
      <c r="D6962" s="1400"/>
      <c r="E6962" s="1401">
        <v>1023068.39</v>
      </c>
      <c r="F6962" s="1401">
        <v>3094522.23</v>
      </c>
      <c r="G6962" s="1401"/>
      <c r="H6962" s="1401">
        <v>3983440.03</v>
      </c>
      <c r="I6962" s="1401">
        <v>8101030.6500000004</v>
      </c>
    </row>
    <row r="6963" spans="2:9">
      <c r="B6963" s="1297" t="s">
        <v>1558</v>
      </c>
      <c r="C6963" s="1297" t="s">
        <v>1559</v>
      </c>
      <c r="D6963" s="1297" t="s">
        <v>908</v>
      </c>
      <c r="F6963" s="1399">
        <v>0</v>
      </c>
      <c r="I6963" s="1399">
        <v>0</v>
      </c>
    </row>
    <row r="6964" spans="2:9">
      <c r="B6964" s="1297"/>
      <c r="C6964" s="1297"/>
      <c r="D6964" s="1297" t="s">
        <v>1039</v>
      </c>
      <c r="F6964" s="1399">
        <v>7166.85</v>
      </c>
      <c r="I6964" s="1399">
        <v>7166.85</v>
      </c>
    </row>
    <row r="6965" spans="2:9">
      <c r="B6965" s="1297"/>
      <c r="C6965" s="1297"/>
      <c r="D6965" s="1297" t="s">
        <v>996</v>
      </c>
      <c r="F6965" s="1399">
        <v>3101878.0300000003</v>
      </c>
      <c r="I6965" s="1399">
        <v>3101878.0300000003</v>
      </c>
    </row>
    <row r="6966" spans="2:9">
      <c r="B6966" s="1297"/>
      <c r="C6966" s="1297"/>
      <c r="D6966" s="1297" t="s">
        <v>1004</v>
      </c>
      <c r="F6966" s="1399">
        <v>-1389736.51</v>
      </c>
      <c r="I6966" s="1399">
        <v>-1389736.51</v>
      </c>
    </row>
    <row r="6967" spans="2:9">
      <c r="B6967" s="1297"/>
      <c r="C6967" s="1297"/>
      <c r="D6967" s="1297" t="s">
        <v>1044</v>
      </c>
      <c r="F6967" s="1399">
        <v>16698</v>
      </c>
      <c r="I6967" s="1399">
        <v>16698</v>
      </c>
    </row>
    <row r="6968" spans="2:9">
      <c r="B6968" s="1297"/>
      <c r="C6968" s="1297"/>
      <c r="D6968" s="1297" t="s">
        <v>1045</v>
      </c>
      <c r="F6968" s="1399">
        <v>260430.32</v>
      </c>
      <c r="I6968" s="1399">
        <v>260430.32</v>
      </c>
    </row>
    <row r="6969" spans="2:9">
      <c r="B6969" s="1297"/>
      <c r="C6969" s="1297"/>
      <c r="D6969" s="1297" t="s">
        <v>935</v>
      </c>
      <c r="H6969" s="1399">
        <v>464855</v>
      </c>
      <c r="I6969" s="1399">
        <v>464855</v>
      </c>
    </row>
    <row r="6970" spans="2:9">
      <c r="B6970" s="1297"/>
      <c r="C6970" s="1297"/>
      <c r="D6970" s="1297" t="s">
        <v>936</v>
      </c>
      <c r="H6970" s="1399">
        <v>3851.66</v>
      </c>
      <c r="I6970" s="1399">
        <v>3851.66</v>
      </c>
    </row>
    <row r="6971" spans="2:9">
      <c r="B6971" s="1297"/>
      <c r="C6971" s="1297"/>
      <c r="D6971" s="1297" t="s">
        <v>944</v>
      </c>
      <c r="E6971" s="1399">
        <v>738130.09000000008</v>
      </c>
      <c r="I6971" s="1399">
        <v>738130.09000000008</v>
      </c>
    </row>
    <row r="6972" spans="2:9">
      <c r="B6972" s="1297"/>
      <c r="C6972" s="1297"/>
      <c r="D6972" s="1297" t="s">
        <v>948</v>
      </c>
      <c r="G6972" s="1399">
        <v>325450.32</v>
      </c>
      <c r="I6972" s="1399">
        <v>325450.32</v>
      </c>
    </row>
    <row r="6973" spans="2:9">
      <c r="B6973" s="1297"/>
      <c r="C6973" s="1400" t="s">
        <v>1560</v>
      </c>
      <c r="D6973" s="1400"/>
      <c r="E6973" s="1401">
        <v>738130.09000000008</v>
      </c>
      <c r="F6973" s="1401">
        <v>1996436.6900000004</v>
      </c>
      <c r="G6973" s="1401">
        <v>325450.32</v>
      </c>
      <c r="H6973" s="1401">
        <v>468706.66</v>
      </c>
      <c r="I6973" s="1401">
        <v>3528723.7600000002</v>
      </c>
    </row>
    <row r="6974" spans="2:9">
      <c r="B6974" s="1297" t="s">
        <v>1561</v>
      </c>
      <c r="C6974" s="1297" t="s">
        <v>1562</v>
      </c>
      <c r="D6974" s="1297" t="s">
        <v>1039</v>
      </c>
      <c r="F6974" s="1399">
        <v>2904.04</v>
      </c>
      <c r="I6974" s="1399">
        <v>2904.04</v>
      </c>
    </row>
    <row r="6975" spans="2:9">
      <c r="B6975" s="1297"/>
      <c r="C6975" s="1297"/>
      <c r="D6975" s="1297" t="s">
        <v>996</v>
      </c>
      <c r="F6975" s="1399">
        <v>405866.76</v>
      </c>
      <c r="I6975" s="1399">
        <v>405866.76</v>
      </c>
    </row>
    <row r="6976" spans="2:9">
      <c r="B6976" s="1297"/>
      <c r="C6976" s="1297"/>
      <c r="D6976" s="1297" t="s">
        <v>1044</v>
      </c>
      <c r="F6976" s="1399">
        <v>9737.2000000000007</v>
      </c>
      <c r="I6976" s="1399">
        <v>9737.2000000000007</v>
      </c>
    </row>
    <row r="6977" spans="2:9">
      <c r="B6977" s="1297"/>
      <c r="C6977" s="1297"/>
      <c r="D6977" s="1297" t="s">
        <v>1045</v>
      </c>
      <c r="F6977" s="1399">
        <v>607654.23</v>
      </c>
      <c r="I6977" s="1399">
        <v>607654.23</v>
      </c>
    </row>
    <row r="6978" spans="2:9">
      <c r="B6978" s="1297"/>
      <c r="C6978" s="1297"/>
      <c r="D6978" s="1297" t="s">
        <v>935</v>
      </c>
      <c r="H6978" s="1399">
        <v>453494</v>
      </c>
      <c r="I6978" s="1399">
        <v>453494</v>
      </c>
    </row>
    <row r="6979" spans="2:9">
      <c r="B6979" s="1297"/>
      <c r="C6979" s="1297"/>
      <c r="D6979" s="1297" t="s">
        <v>936</v>
      </c>
      <c r="H6979" s="1399">
        <v>1400.6</v>
      </c>
      <c r="I6979" s="1399">
        <v>1400.6</v>
      </c>
    </row>
    <row r="6980" spans="2:9">
      <c r="B6980" s="1297"/>
      <c r="C6980" s="1297"/>
      <c r="D6980" s="1297" t="s">
        <v>944</v>
      </c>
      <c r="E6980" s="1399">
        <v>800365.53</v>
      </c>
      <c r="I6980" s="1399">
        <v>800365.53</v>
      </c>
    </row>
    <row r="6981" spans="2:9">
      <c r="B6981" s="1297"/>
      <c r="C6981" s="1400" t="s">
        <v>1563</v>
      </c>
      <c r="D6981" s="1400"/>
      <c r="E6981" s="1401">
        <v>800365.53</v>
      </c>
      <c r="F6981" s="1401">
        <v>1026162.23</v>
      </c>
      <c r="G6981" s="1401"/>
      <c r="H6981" s="1401">
        <v>454894.6</v>
      </c>
      <c r="I6981" s="1401">
        <v>2281422.3600000003</v>
      </c>
    </row>
    <row r="6982" spans="2:9">
      <c r="B6982" s="1297" t="s">
        <v>1564</v>
      </c>
      <c r="C6982" s="1297" t="s">
        <v>1565</v>
      </c>
      <c r="D6982" s="1297" t="s">
        <v>1039</v>
      </c>
      <c r="F6982" s="1399">
        <v>4766.6000000000004</v>
      </c>
      <c r="I6982" s="1399">
        <v>4766.6000000000004</v>
      </c>
    </row>
    <row r="6983" spans="2:9">
      <c r="B6983" s="1297"/>
      <c r="C6983" s="1297"/>
      <c r="D6983" s="1297" t="s">
        <v>1044</v>
      </c>
      <c r="F6983" s="1399">
        <v>47727</v>
      </c>
      <c r="I6983" s="1399">
        <v>47727</v>
      </c>
    </row>
    <row r="6984" spans="2:9">
      <c r="B6984" s="1297"/>
      <c r="C6984" s="1297"/>
      <c r="D6984" s="1297" t="s">
        <v>1045</v>
      </c>
      <c r="F6984" s="1399">
        <v>547525.38</v>
      </c>
      <c r="I6984" s="1399">
        <v>547525.38</v>
      </c>
    </row>
    <row r="6985" spans="2:9">
      <c r="B6985" s="1297"/>
      <c r="C6985" s="1297"/>
      <c r="D6985" s="1297" t="s">
        <v>935</v>
      </c>
      <c r="H6985" s="1399">
        <v>2244790</v>
      </c>
      <c r="I6985" s="1399">
        <v>2244790</v>
      </c>
    </row>
    <row r="6986" spans="2:9">
      <c r="B6986" s="1297"/>
      <c r="C6986" s="1297"/>
      <c r="D6986" s="1297" t="s">
        <v>936</v>
      </c>
      <c r="H6986" s="1399">
        <v>5602.41</v>
      </c>
      <c r="I6986" s="1399">
        <v>5602.41</v>
      </c>
    </row>
    <row r="6987" spans="2:9">
      <c r="B6987" s="1297"/>
      <c r="C6987" s="1297"/>
      <c r="D6987" s="1297" t="s">
        <v>944</v>
      </c>
      <c r="E6987" s="1399">
        <v>652401.38</v>
      </c>
      <c r="I6987" s="1399">
        <v>652401.38</v>
      </c>
    </row>
    <row r="6988" spans="2:9">
      <c r="B6988" s="1297"/>
      <c r="C6988" s="1400" t="s">
        <v>1566</v>
      </c>
      <c r="D6988" s="1400"/>
      <c r="E6988" s="1401">
        <v>652401.38</v>
      </c>
      <c r="F6988" s="1401">
        <v>600018.98</v>
      </c>
      <c r="G6988" s="1401"/>
      <c r="H6988" s="1401">
        <v>2250392.41</v>
      </c>
      <c r="I6988" s="1401">
        <v>3502812.77</v>
      </c>
    </row>
    <row r="6989" spans="2:9">
      <c r="B6989" s="1297" t="s">
        <v>1567</v>
      </c>
      <c r="C6989" s="1297" t="s">
        <v>1568</v>
      </c>
      <c r="D6989" s="1297" t="s">
        <v>1039</v>
      </c>
      <c r="F6989" s="1399">
        <v>1555.75</v>
      </c>
      <c r="I6989" s="1399">
        <v>1555.75</v>
      </c>
    </row>
    <row r="6990" spans="2:9">
      <c r="B6990" s="1297"/>
      <c r="C6990" s="1297"/>
      <c r="D6990" s="1297" t="s">
        <v>996</v>
      </c>
      <c r="F6990" s="1399">
        <v>689879.36</v>
      </c>
      <c r="I6990" s="1399">
        <v>689879.36</v>
      </c>
    </row>
    <row r="6991" spans="2:9">
      <c r="B6991" s="1297"/>
      <c r="C6991" s="1297"/>
      <c r="D6991" s="1297" t="s">
        <v>1004</v>
      </c>
      <c r="F6991" s="1399">
        <v>-70207.42</v>
      </c>
      <c r="I6991" s="1399">
        <v>-70207.42</v>
      </c>
    </row>
    <row r="6992" spans="2:9">
      <c r="B6992" s="1297"/>
      <c r="C6992" s="1297"/>
      <c r="D6992" s="1297" t="s">
        <v>1044</v>
      </c>
      <c r="F6992" s="1399">
        <v>28888</v>
      </c>
      <c r="I6992" s="1399">
        <v>28888</v>
      </c>
    </row>
    <row r="6993" spans="2:9">
      <c r="B6993" s="1297"/>
      <c r="C6993" s="1297"/>
      <c r="D6993" s="1297" t="s">
        <v>1045</v>
      </c>
      <c r="F6993" s="1399">
        <v>546394.69999999995</v>
      </c>
      <c r="I6993" s="1399">
        <v>546394.69999999995</v>
      </c>
    </row>
    <row r="6994" spans="2:9">
      <c r="B6994" s="1297"/>
      <c r="C6994" s="1297"/>
      <c r="D6994" s="1297" t="s">
        <v>935</v>
      </c>
      <c r="H6994" s="1399">
        <v>1805424</v>
      </c>
      <c r="I6994" s="1399">
        <v>1805424</v>
      </c>
    </row>
    <row r="6995" spans="2:9">
      <c r="B6995" s="1297"/>
      <c r="C6995" s="1297"/>
      <c r="D6995" s="1297" t="s">
        <v>936</v>
      </c>
      <c r="H6995" s="1399">
        <v>5252.25</v>
      </c>
      <c r="I6995" s="1399">
        <v>5252.25</v>
      </c>
    </row>
    <row r="6996" spans="2:9">
      <c r="B6996" s="1297"/>
      <c r="C6996" s="1297"/>
      <c r="D6996" s="1297" t="s">
        <v>944</v>
      </c>
      <c r="E6996" s="1399">
        <v>804722.85</v>
      </c>
      <c r="I6996" s="1399">
        <v>804722.85</v>
      </c>
    </row>
    <row r="6997" spans="2:9">
      <c r="B6997" s="1297"/>
      <c r="C6997" s="1400" t="s">
        <v>1569</v>
      </c>
      <c r="D6997" s="1400"/>
      <c r="E6997" s="1401">
        <v>804722.85</v>
      </c>
      <c r="F6997" s="1401">
        <v>1196510.3899999999</v>
      </c>
      <c r="G6997" s="1401"/>
      <c r="H6997" s="1401">
        <v>1810676.25</v>
      </c>
      <c r="I6997" s="1401">
        <v>3811909.4899999998</v>
      </c>
    </row>
    <row r="6998" spans="2:9">
      <c r="B6998" s="1297" t="s">
        <v>1570</v>
      </c>
      <c r="C6998" s="1297" t="s">
        <v>1571</v>
      </c>
      <c r="D6998" s="1297" t="s">
        <v>1039</v>
      </c>
      <c r="F6998" s="1399">
        <v>4722.5</v>
      </c>
      <c r="I6998" s="1399">
        <v>4722.5</v>
      </c>
    </row>
    <row r="6999" spans="2:9">
      <c r="B6999" s="1297"/>
      <c r="C6999" s="1297"/>
      <c r="D6999" s="1297" t="s">
        <v>996</v>
      </c>
      <c r="F6999" s="1399">
        <v>685838.5</v>
      </c>
      <c r="I6999" s="1399">
        <v>685838.5</v>
      </c>
    </row>
    <row r="7000" spans="2:9">
      <c r="B7000" s="1297"/>
      <c r="C7000" s="1297"/>
      <c r="D7000" s="1297" t="s">
        <v>1044</v>
      </c>
      <c r="F7000" s="1399">
        <v>3000</v>
      </c>
      <c r="I7000" s="1399">
        <v>3000</v>
      </c>
    </row>
    <row r="7001" spans="2:9">
      <c r="B7001" s="1297"/>
      <c r="C7001" s="1297"/>
      <c r="D7001" s="1297" t="s">
        <v>1045</v>
      </c>
      <c r="F7001" s="1399">
        <v>205997.76</v>
      </c>
      <c r="I7001" s="1399">
        <v>205997.76</v>
      </c>
    </row>
    <row r="7002" spans="2:9">
      <c r="B7002" s="1297"/>
      <c r="C7002" s="1297"/>
      <c r="D7002" s="1297" t="s">
        <v>935</v>
      </c>
      <c r="H7002" s="1399">
        <v>837283</v>
      </c>
      <c r="I7002" s="1399">
        <v>837283</v>
      </c>
    </row>
    <row r="7003" spans="2:9">
      <c r="B7003" s="1297"/>
      <c r="C7003" s="1297"/>
      <c r="D7003" s="1297" t="s">
        <v>936</v>
      </c>
      <c r="H7003" s="1399">
        <v>1050.45</v>
      </c>
      <c r="I7003" s="1399">
        <v>1050.45</v>
      </c>
    </row>
    <row r="7004" spans="2:9">
      <c r="B7004" s="1297"/>
      <c r="C7004" s="1297"/>
      <c r="D7004" s="1297" t="s">
        <v>944</v>
      </c>
      <c r="E7004" s="1399">
        <v>858751.66</v>
      </c>
      <c r="I7004" s="1399">
        <v>858751.66</v>
      </c>
    </row>
    <row r="7005" spans="2:9">
      <c r="B7005" s="1297"/>
      <c r="C7005" s="1297"/>
      <c r="D7005" s="1297" t="s">
        <v>945</v>
      </c>
      <c r="E7005" s="1399">
        <v>30379.9</v>
      </c>
      <c r="I7005" s="1399">
        <v>30379.9</v>
      </c>
    </row>
    <row r="7006" spans="2:9">
      <c r="B7006" s="1297"/>
      <c r="C7006" s="1400" t="s">
        <v>1572</v>
      </c>
      <c r="D7006" s="1400"/>
      <c r="E7006" s="1401">
        <v>889131.56</v>
      </c>
      <c r="F7006" s="1401">
        <v>899558.76</v>
      </c>
      <c r="G7006" s="1401"/>
      <c r="H7006" s="1401">
        <v>838333.45</v>
      </c>
      <c r="I7006" s="1401">
        <v>2627023.77</v>
      </c>
    </row>
    <row r="7007" spans="2:9">
      <c r="B7007" s="1297" t="s">
        <v>1573</v>
      </c>
      <c r="C7007" s="1297" t="s">
        <v>1574</v>
      </c>
      <c r="D7007" s="1297" t="s">
        <v>1039</v>
      </c>
      <c r="F7007" s="1399">
        <v>2200.06</v>
      </c>
      <c r="I7007" s="1399">
        <v>2200.06</v>
      </c>
    </row>
    <row r="7008" spans="2:9">
      <c r="B7008" s="1297"/>
      <c r="C7008" s="1297"/>
      <c r="D7008" s="1297" t="s">
        <v>996</v>
      </c>
      <c r="F7008" s="1399">
        <v>152285</v>
      </c>
      <c r="I7008" s="1399">
        <v>152285</v>
      </c>
    </row>
    <row r="7009" spans="2:9">
      <c r="B7009" s="1297"/>
      <c r="C7009" s="1297"/>
      <c r="D7009" s="1297" t="s">
        <v>1044</v>
      </c>
      <c r="F7009" s="1399">
        <v>178204.17</v>
      </c>
      <c r="I7009" s="1399">
        <v>178204.17</v>
      </c>
    </row>
    <row r="7010" spans="2:9">
      <c r="B7010" s="1297"/>
      <c r="C7010" s="1297"/>
      <c r="D7010" s="1297" t="s">
        <v>1045</v>
      </c>
      <c r="F7010" s="1399">
        <v>1717775.0700000003</v>
      </c>
      <c r="I7010" s="1399">
        <v>1717775.0700000003</v>
      </c>
    </row>
    <row r="7011" spans="2:9">
      <c r="B7011" s="1297"/>
      <c r="C7011" s="1297"/>
      <c r="D7011" s="1297" t="s">
        <v>1046</v>
      </c>
      <c r="H7011" s="1399">
        <v>55000</v>
      </c>
      <c r="I7011" s="1399">
        <v>55000</v>
      </c>
    </row>
    <row r="7012" spans="2:9">
      <c r="B7012" s="1297"/>
      <c r="C7012" s="1297"/>
      <c r="D7012" s="1297" t="s">
        <v>935</v>
      </c>
      <c r="H7012" s="1399">
        <v>2334807.85</v>
      </c>
      <c r="I7012" s="1399">
        <v>2334807.85</v>
      </c>
    </row>
    <row r="7013" spans="2:9">
      <c r="B7013" s="1297"/>
      <c r="C7013" s="1297"/>
      <c r="D7013" s="1297" t="s">
        <v>936</v>
      </c>
      <c r="H7013" s="1399">
        <v>12255.27</v>
      </c>
      <c r="I7013" s="1399">
        <v>12255.27</v>
      </c>
    </row>
    <row r="7014" spans="2:9">
      <c r="B7014" s="1297"/>
      <c r="C7014" s="1297"/>
      <c r="D7014" s="1297" t="s">
        <v>944</v>
      </c>
      <c r="E7014" s="1399">
        <v>1153991.2399999998</v>
      </c>
      <c r="I7014" s="1399">
        <v>1153991.2399999998</v>
      </c>
    </row>
    <row r="7015" spans="2:9">
      <c r="B7015" s="1297"/>
      <c r="C7015" s="1297"/>
      <c r="D7015" s="1297" t="s">
        <v>946</v>
      </c>
      <c r="E7015" s="1399">
        <v>1837952.28</v>
      </c>
      <c r="I7015" s="1399">
        <v>1837952.28</v>
      </c>
    </row>
    <row r="7016" spans="2:9">
      <c r="B7016" s="1297"/>
      <c r="C7016" s="1400" t="s">
        <v>1575</v>
      </c>
      <c r="D7016" s="1400"/>
      <c r="E7016" s="1401">
        <v>2991943.5199999996</v>
      </c>
      <c r="F7016" s="1401">
        <v>2050464.3000000003</v>
      </c>
      <c r="G7016" s="1401"/>
      <c r="H7016" s="1401">
        <v>2402063.12</v>
      </c>
      <c r="I7016" s="1401">
        <v>7444470.9400000004</v>
      </c>
    </row>
    <row r="7017" spans="2:9">
      <c r="B7017" s="1297" t="s">
        <v>1576</v>
      </c>
      <c r="C7017" s="1297" t="s">
        <v>1577</v>
      </c>
      <c r="D7017" s="1297" t="s">
        <v>1039</v>
      </c>
      <c r="F7017" s="1399">
        <v>2998.5899999999997</v>
      </c>
      <c r="I7017" s="1399">
        <v>2998.5899999999997</v>
      </c>
    </row>
    <row r="7018" spans="2:9">
      <c r="B7018" s="1297"/>
      <c r="C7018" s="1297"/>
      <c r="D7018" s="1297" t="s">
        <v>996</v>
      </c>
      <c r="F7018" s="1399">
        <v>3193616.57</v>
      </c>
      <c r="I7018" s="1399">
        <v>3193616.57</v>
      </c>
    </row>
    <row r="7019" spans="2:9">
      <c r="B7019" s="1297"/>
      <c r="C7019" s="1297"/>
      <c r="D7019" s="1297" t="s">
        <v>1004</v>
      </c>
      <c r="F7019" s="1399">
        <v>-2063144.31</v>
      </c>
      <c r="I7019" s="1399">
        <v>-2063144.31</v>
      </c>
    </row>
    <row r="7020" spans="2:9">
      <c r="B7020" s="1297"/>
      <c r="C7020" s="1297"/>
      <c r="D7020" s="1297" t="s">
        <v>1044</v>
      </c>
      <c r="F7020" s="1399">
        <v>65317.47</v>
      </c>
      <c r="I7020" s="1399">
        <v>65317.47</v>
      </c>
    </row>
    <row r="7021" spans="2:9">
      <c r="B7021" s="1297"/>
      <c r="C7021" s="1297"/>
      <c r="D7021" s="1297" t="s">
        <v>1045</v>
      </c>
      <c r="F7021" s="1399">
        <v>667545.52</v>
      </c>
      <c r="I7021" s="1399">
        <v>667545.52</v>
      </c>
    </row>
    <row r="7022" spans="2:9">
      <c r="B7022" s="1297"/>
      <c r="C7022" s="1297"/>
      <c r="D7022" s="1297" t="s">
        <v>935</v>
      </c>
      <c r="H7022" s="1399">
        <v>5156461</v>
      </c>
      <c r="I7022" s="1399">
        <v>5156461</v>
      </c>
    </row>
    <row r="7023" spans="2:9">
      <c r="B7023" s="1297"/>
      <c r="C7023" s="1297"/>
      <c r="D7023" s="1297" t="s">
        <v>936</v>
      </c>
      <c r="H7023" s="1399">
        <v>17157.37</v>
      </c>
      <c r="I7023" s="1399">
        <v>17157.37</v>
      </c>
    </row>
    <row r="7024" spans="2:9">
      <c r="B7024" s="1297"/>
      <c r="C7024" s="1297"/>
      <c r="D7024" s="1297" t="s">
        <v>944</v>
      </c>
      <c r="E7024" s="1399">
        <v>1518746.14</v>
      </c>
      <c r="I7024" s="1399">
        <v>1518746.14</v>
      </c>
    </row>
    <row r="7025" spans="2:9">
      <c r="B7025" s="1297"/>
      <c r="C7025" s="1297"/>
      <c r="D7025" s="1297" t="s">
        <v>1118</v>
      </c>
      <c r="G7025" s="1399">
        <v>125412.32</v>
      </c>
      <c r="I7025" s="1399">
        <v>125412.32</v>
      </c>
    </row>
    <row r="7026" spans="2:9">
      <c r="B7026" s="1297"/>
      <c r="C7026" s="1400" t="s">
        <v>1713</v>
      </c>
      <c r="D7026" s="1400"/>
      <c r="E7026" s="1401">
        <v>1518746.14</v>
      </c>
      <c r="F7026" s="1401">
        <v>1866333.8399999996</v>
      </c>
      <c r="G7026" s="1401">
        <v>125412.32</v>
      </c>
      <c r="H7026" s="1401">
        <v>5173618.37</v>
      </c>
      <c r="I7026" s="1401">
        <v>8684110.6699999999</v>
      </c>
    </row>
    <row r="7027" spans="2:9">
      <c r="B7027" s="1297" t="s">
        <v>1714</v>
      </c>
      <c r="C7027" s="1297" t="s">
        <v>1715</v>
      </c>
      <c r="D7027" s="1297" t="s">
        <v>1037</v>
      </c>
      <c r="F7027" s="1399">
        <v>94050</v>
      </c>
      <c r="I7027" s="1399">
        <v>94050</v>
      </c>
    </row>
    <row r="7028" spans="2:9">
      <c r="B7028" s="1297"/>
      <c r="C7028" s="1297"/>
      <c r="D7028" s="1297" t="s">
        <v>1105</v>
      </c>
      <c r="F7028" s="1399">
        <v>278503.76</v>
      </c>
      <c r="I7028" s="1399">
        <v>278503.76</v>
      </c>
    </row>
    <row r="7029" spans="2:9">
      <c r="B7029" s="1297"/>
      <c r="C7029" s="1297"/>
      <c r="D7029" s="1297" t="s">
        <v>1064</v>
      </c>
      <c r="F7029" s="1399">
        <v>25075</v>
      </c>
      <c r="I7029" s="1399">
        <v>25075</v>
      </c>
    </row>
    <row r="7030" spans="2:9">
      <c r="B7030" s="1297"/>
      <c r="C7030" s="1297"/>
      <c r="D7030" s="1297" t="s">
        <v>1039</v>
      </c>
      <c r="F7030" s="1399">
        <v>9709.06</v>
      </c>
      <c r="I7030" s="1399">
        <v>9709.06</v>
      </c>
    </row>
    <row r="7031" spans="2:9">
      <c r="B7031" s="1297"/>
      <c r="C7031" s="1297"/>
      <c r="D7031" s="1297" t="s">
        <v>996</v>
      </c>
      <c r="F7031" s="1399">
        <v>839003.45</v>
      </c>
      <c r="I7031" s="1399">
        <v>839003.45</v>
      </c>
    </row>
    <row r="7032" spans="2:9">
      <c r="B7032" s="1297"/>
      <c r="C7032" s="1297"/>
      <c r="D7032" s="1297" t="s">
        <v>1004</v>
      </c>
      <c r="F7032" s="1399">
        <v>-241696.21</v>
      </c>
      <c r="I7032" s="1399">
        <v>-241696.21</v>
      </c>
    </row>
    <row r="7033" spans="2:9">
      <c r="B7033" s="1297"/>
      <c r="C7033" s="1297"/>
      <c r="D7033" s="1297" t="s">
        <v>1044</v>
      </c>
      <c r="F7033" s="1399">
        <v>39600</v>
      </c>
      <c r="I7033" s="1399">
        <v>39600</v>
      </c>
    </row>
    <row r="7034" spans="2:9">
      <c r="B7034" s="1297"/>
      <c r="C7034" s="1297"/>
      <c r="D7034" s="1297" t="s">
        <v>1045</v>
      </c>
      <c r="F7034" s="1399">
        <v>5521.44</v>
      </c>
      <c r="I7034" s="1399">
        <v>5521.44</v>
      </c>
    </row>
    <row r="7035" spans="2:9">
      <c r="B7035" s="1297"/>
      <c r="C7035" s="1297"/>
      <c r="D7035" s="1297" t="s">
        <v>935</v>
      </c>
      <c r="H7035" s="1399">
        <v>631155.35</v>
      </c>
      <c r="I7035" s="1399">
        <v>631155.35</v>
      </c>
    </row>
    <row r="7036" spans="2:9">
      <c r="B7036" s="1297"/>
      <c r="C7036" s="1297"/>
      <c r="D7036" s="1297" t="s">
        <v>936</v>
      </c>
      <c r="H7036" s="1399">
        <v>2451.04</v>
      </c>
      <c r="I7036" s="1399">
        <v>2451.04</v>
      </c>
    </row>
    <row r="7037" spans="2:9">
      <c r="B7037" s="1297"/>
      <c r="C7037" s="1297"/>
      <c r="D7037" s="1297" t="s">
        <v>944</v>
      </c>
      <c r="E7037" s="1399">
        <v>584876.98</v>
      </c>
      <c r="I7037" s="1399">
        <v>584876.98</v>
      </c>
    </row>
    <row r="7038" spans="2:9">
      <c r="B7038" s="1297"/>
      <c r="C7038" s="1297"/>
      <c r="D7038" s="1297" t="s">
        <v>948</v>
      </c>
      <c r="G7038" s="1399">
        <v>0</v>
      </c>
      <c r="I7038" s="1399">
        <v>0</v>
      </c>
    </row>
    <row r="7039" spans="2:9">
      <c r="B7039" s="1297"/>
      <c r="C7039" s="1297"/>
      <c r="D7039" s="1297" t="s">
        <v>956</v>
      </c>
      <c r="G7039" s="1399">
        <v>6344.25</v>
      </c>
      <c r="I7039" s="1399">
        <v>6344.25</v>
      </c>
    </row>
    <row r="7040" spans="2:9">
      <c r="B7040" s="1297"/>
      <c r="C7040" s="1297"/>
      <c r="D7040" s="1297" t="s">
        <v>1118</v>
      </c>
      <c r="G7040" s="1399">
        <v>-694</v>
      </c>
      <c r="I7040" s="1399">
        <v>-694</v>
      </c>
    </row>
    <row r="7041" spans="2:9">
      <c r="B7041" s="1297"/>
      <c r="C7041" s="1400" t="s">
        <v>1716</v>
      </c>
      <c r="D7041" s="1400"/>
      <c r="E7041" s="1401">
        <v>584876.98</v>
      </c>
      <c r="F7041" s="1401">
        <v>1049766.5</v>
      </c>
      <c r="G7041" s="1401">
        <v>5650.25</v>
      </c>
      <c r="H7041" s="1401">
        <v>633606.39</v>
      </c>
      <c r="I7041" s="1401">
        <v>2273900.12</v>
      </c>
    </row>
    <row r="7042" spans="2:9">
      <c r="B7042" s="1297" t="s">
        <v>1717</v>
      </c>
      <c r="C7042" s="1297" t="s">
        <v>1718</v>
      </c>
      <c r="D7042" s="1297" t="s">
        <v>1039</v>
      </c>
      <c r="F7042" s="1399">
        <v>1625.1</v>
      </c>
      <c r="I7042" s="1399">
        <v>1625.1</v>
      </c>
    </row>
    <row r="7043" spans="2:9">
      <c r="B7043" s="1297"/>
      <c r="C7043" s="1297"/>
      <c r="D7043" s="1297" t="s">
        <v>996</v>
      </c>
      <c r="F7043" s="1399">
        <v>267387.86</v>
      </c>
      <c r="I7043" s="1399">
        <v>267387.86</v>
      </c>
    </row>
    <row r="7044" spans="2:9">
      <c r="B7044" s="1297"/>
      <c r="C7044" s="1297"/>
      <c r="D7044" s="1297" t="s">
        <v>1044</v>
      </c>
      <c r="F7044" s="1399">
        <v>65458</v>
      </c>
      <c r="I7044" s="1399">
        <v>65458</v>
      </c>
    </row>
    <row r="7045" spans="2:9">
      <c r="B7045" s="1297"/>
      <c r="C7045" s="1297"/>
      <c r="D7045" s="1297" t="s">
        <v>1045</v>
      </c>
      <c r="F7045" s="1399">
        <v>237671.03</v>
      </c>
      <c r="I7045" s="1399">
        <v>237671.03</v>
      </c>
    </row>
    <row r="7046" spans="2:9">
      <c r="B7046" s="1297"/>
      <c r="C7046" s="1297"/>
      <c r="D7046" s="1297" t="s">
        <v>935</v>
      </c>
      <c r="H7046" s="1399">
        <v>564610</v>
      </c>
      <c r="I7046" s="1399">
        <v>564610</v>
      </c>
    </row>
    <row r="7047" spans="2:9">
      <c r="B7047" s="1297"/>
      <c r="C7047" s="1297"/>
      <c r="D7047" s="1297" t="s">
        <v>936</v>
      </c>
      <c r="H7047" s="1399">
        <v>3501.51</v>
      </c>
      <c r="I7047" s="1399">
        <v>3501.51</v>
      </c>
    </row>
    <row r="7048" spans="2:9">
      <c r="B7048" s="1297"/>
      <c r="C7048" s="1297"/>
      <c r="D7048" s="1297" t="s">
        <v>939</v>
      </c>
      <c r="H7048" s="1399">
        <v>225082.77000000002</v>
      </c>
      <c r="I7048" s="1399">
        <v>225082.77000000002</v>
      </c>
    </row>
    <row r="7049" spans="2:9">
      <c r="B7049" s="1297"/>
      <c r="C7049" s="1297"/>
      <c r="D7049" s="1297" t="s">
        <v>944</v>
      </c>
      <c r="E7049" s="1399">
        <v>1394328.98</v>
      </c>
      <c r="I7049" s="1399">
        <v>1394328.98</v>
      </c>
    </row>
    <row r="7050" spans="2:9">
      <c r="B7050" s="1297"/>
      <c r="C7050" s="1297"/>
      <c r="D7050" s="1297" t="s">
        <v>1118</v>
      </c>
      <c r="G7050" s="1399">
        <v>236109.22999999998</v>
      </c>
      <c r="I7050" s="1399">
        <v>236109.22999999998</v>
      </c>
    </row>
    <row r="7051" spans="2:9">
      <c r="B7051" s="1297"/>
      <c r="C7051" s="1400" t="s">
        <v>1719</v>
      </c>
      <c r="D7051" s="1400"/>
      <c r="E7051" s="1401">
        <v>1394328.98</v>
      </c>
      <c r="F7051" s="1401">
        <v>572141.99</v>
      </c>
      <c r="G7051" s="1401">
        <v>236109.22999999998</v>
      </c>
      <c r="H7051" s="1401">
        <v>793194.28</v>
      </c>
      <c r="I7051" s="1401">
        <v>2995774.48</v>
      </c>
    </row>
    <row r="7052" spans="2:9">
      <c r="B7052" s="1297" t="s">
        <v>1720</v>
      </c>
      <c r="C7052" s="1297" t="s">
        <v>1721</v>
      </c>
      <c r="D7052" s="1297" t="s">
        <v>1037</v>
      </c>
      <c r="F7052" s="1399">
        <v>11725</v>
      </c>
      <c r="I7052" s="1399">
        <v>11725</v>
      </c>
    </row>
    <row r="7053" spans="2:9">
      <c r="B7053" s="1297"/>
      <c r="C7053" s="1297"/>
      <c r="D7053" s="1297" t="s">
        <v>1105</v>
      </c>
      <c r="F7053" s="1399">
        <v>98845</v>
      </c>
      <c r="I7053" s="1399">
        <v>98845</v>
      </c>
    </row>
    <row r="7054" spans="2:9">
      <c r="B7054" s="1297"/>
      <c r="C7054" s="1297"/>
      <c r="D7054" s="1297" t="s">
        <v>1039</v>
      </c>
      <c r="F7054" s="1399">
        <v>0</v>
      </c>
      <c r="I7054" s="1399">
        <v>0</v>
      </c>
    </row>
    <row r="7055" spans="2:9">
      <c r="B7055" s="1297"/>
      <c r="C7055" s="1297"/>
      <c r="D7055" s="1297" t="s">
        <v>996</v>
      </c>
      <c r="F7055" s="1399">
        <v>277255</v>
      </c>
      <c r="I7055" s="1399">
        <v>277255</v>
      </c>
    </row>
    <row r="7056" spans="2:9">
      <c r="B7056" s="1297"/>
      <c r="C7056" s="1297"/>
      <c r="D7056" s="1297" t="s">
        <v>1004</v>
      </c>
      <c r="F7056" s="1399">
        <v>-453829.9</v>
      </c>
      <c r="I7056" s="1399">
        <v>-453829.9</v>
      </c>
    </row>
    <row r="7057" spans="1:9">
      <c r="B7057" s="1297"/>
      <c r="C7057" s="1297"/>
      <c r="D7057" s="1297" t="s">
        <v>1005</v>
      </c>
      <c r="F7057" s="1399">
        <v>453134.6</v>
      </c>
      <c r="I7057" s="1399">
        <v>453134.6</v>
      </c>
    </row>
    <row r="7058" spans="1:9">
      <c r="B7058" s="1297"/>
      <c r="C7058" s="1297"/>
      <c r="D7058" s="1297" t="s">
        <v>1044</v>
      </c>
      <c r="F7058" s="1399">
        <v>30095.06</v>
      </c>
      <c r="I7058" s="1399">
        <v>30095.06</v>
      </c>
    </row>
    <row r="7059" spans="1:9">
      <c r="B7059" s="1297"/>
      <c r="C7059" s="1297"/>
      <c r="D7059" s="1297" t="s">
        <v>1045</v>
      </c>
      <c r="F7059" s="1399">
        <v>41226.370000000003</v>
      </c>
      <c r="I7059" s="1399">
        <v>41226.370000000003</v>
      </c>
    </row>
    <row r="7060" spans="1:9">
      <c r="B7060" s="1297"/>
      <c r="C7060" s="1297"/>
      <c r="D7060" s="1297" t="s">
        <v>935</v>
      </c>
      <c r="H7060" s="1399">
        <v>1832550</v>
      </c>
      <c r="I7060" s="1399">
        <v>1832550</v>
      </c>
    </row>
    <row r="7061" spans="1:9">
      <c r="B7061" s="1297"/>
      <c r="C7061" s="1297"/>
      <c r="D7061" s="1297" t="s">
        <v>936</v>
      </c>
      <c r="H7061" s="1399">
        <v>4902.1099999999997</v>
      </c>
      <c r="I7061" s="1399">
        <v>4902.1099999999997</v>
      </c>
    </row>
    <row r="7062" spans="1:9">
      <c r="B7062" s="1297"/>
      <c r="C7062" s="1297"/>
      <c r="D7062" s="1297" t="s">
        <v>944</v>
      </c>
      <c r="E7062" s="1399">
        <v>655756.62000000011</v>
      </c>
      <c r="I7062" s="1399">
        <v>655756.62000000011</v>
      </c>
    </row>
    <row r="7063" spans="1:9">
      <c r="B7063" s="1297"/>
      <c r="C7063" s="1297"/>
      <c r="D7063" s="1297" t="s">
        <v>1118</v>
      </c>
      <c r="G7063" s="1399">
        <v>6444.64</v>
      </c>
      <c r="I7063" s="1399">
        <v>6444.64</v>
      </c>
    </row>
    <row r="7064" spans="1:9">
      <c r="B7064" s="1297"/>
      <c r="C7064" s="1400" t="s">
        <v>1722</v>
      </c>
      <c r="D7064" s="1400"/>
      <c r="E7064" s="1401">
        <v>655756.62000000011</v>
      </c>
      <c r="F7064" s="1401">
        <v>458451.12999999995</v>
      </c>
      <c r="G7064" s="1401">
        <v>6444.64</v>
      </c>
      <c r="H7064" s="1401">
        <v>1837452.11</v>
      </c>
      <c r="I7064" s="1401">
        <v>2958104.5</v>
      </c>
    </row>
    <row r="7065" spans="1:9">
      <c r="A7065" s="1297" t="s">
        <v>1723</v>
      </c>
      <c r="B7065" s="1297"/>
      <c r="C7065" s="1297"/>
      <c r="D7065" s="1297"/>
      <c r="E7065" s="1399">
        <v>2317494955.2499986</v>
      </c>
      <c r="F7065" s="1399">
        <v>8358162242.2300119</v>
      </c>
      <c r="G7065" s="1399">
        <v>2288512622.6699996</v>
      </c>
      <c r="H7065" s="1399">
        <v>7523382694.9199982</v>
      </c>
      <c r="I7065" s="1399">
        <v>20487552515.070042</v>
      </c>
    </row>
    <row r="7066" spans="1:9">
      <c r="A7066" s="1297" t="s">
        <v>902</v>
      </c>
      <c r="B7066" s="1297"/>
      <c r="C7066" s="1297"/>
      <c r="D7066" s="1297"/>
      <c r="E7066" s="1399">
        <v>2317494955.2499986</v>
      </c>
      <c r="F7066" s="1399">
        <v>8358162242.2300119</v>
      </c>
      <c r="G7066" s="1399">
        <v>2288512622.6699996</v>
      </c>
      <c r="H7066" s="1399">
        <v>7523382694.9199982</v>
      </c>
      <c r="I7066" s="1399">
        <v>20487552515.070042</v>
      </c>
    </row>
    <row r="7067" spans="1:9">
      <c r="B7067" s="1297"/>
      <c r="C7067" s="1297"/>
      <c r="D7067" s="1297"/>
    </row>
    <row r="7068" spans="1:9">
      <c r="B7068" s="1297"/>
      <c r="C7068" s="1297"/>
      <c r="D7068" s="1297"/>
    </row>
    <row r="7069" spans="1:9">
      <c r="B7069" s="1297"/>
      <c r="C7069" s="1297"/>
      <c r="D7069" s="1297"/>
    </row>
    <row r="7070" spans="1:9">
      <c r="B7070" s="1297"/>
      <c r="C7070" s="1297"/>
      <c r="D7070" s="1297"/>
    </row>
    <row r="7071" spans="1:9">
      <c r="B7071" s="1297"/>
      <c r="C7071" s="1297"/>
      <c r="D7071" s="1297"/>
    </row>
    <row r="7072" spans="1:9">
      <c r="B7072" s="1297"/>
      <c r="C7072" s="1297"/>
      <c r="D7072" s="1297"/>
    </row>
    <row r="7073" s="1297" customFormat="1"/>
    <row r="7074" s="1297" customFormat="1"/>
    <row r="7075" s="1297" customFormat="1"/>
    <row r="7076" s="1297" customFormat="1"/>
    <row r="7077" s="1297" customFormat="1"/>
    <row r="7078" s="1297" customFormat="1"/>
    <row r="7079" s="1297" customFormat="1"/>
    <row r="7080" s="1297" customFormat="1"/>
    <row r="7081" s="1297" customFormat="1"/>
    <row r="7082" s="1297" customFormat="1"/>
    <row r="7083" s="1297" customFormat="1"/>
    <row r="7084" s="1297" customFormat="1"/>
    <row r="7085" s="1297" customFormat="1"/>
    <row r="7086" s="1297" customFormat="1"/>
    <row r="7087" s="1297" customFormat="1"/>
    <row r="7088" s="1297" customFormat="1"/>
    <row r="7089" s="1297" customFormat="1"/>
    <row r="7090" s="1297" customFormat="1"/>
    <row r="7091" s="1297" customFormat="1"/>
    <row r="7092" s="1297" customFormat="1"/>
    <row r="7093" s="1297" customFormat="1"/>
    <row r="7094" s="1297" customFormat="1"/>
    <row r="7095" s="1297" customFormat="1"/>
    <row r="7096" s="1297" customFormat="1"/>
    <row r="7097" s="1297" customFormat="1"/>
    <row r="7098" s="1297" customFormat="1"/>
    <row r="7099" s="1297" customFormat="1"/>
    <row r="7100" s="1297" customFormat="1"/>
    <row r="7101" s="1297" customFormat="1"/>
    <row r="7102" s="1297" customFormat="1"/>
    <row r="7103" s="1297" customFormat="1"/>
    <row r="7104" s="1297" customFormat="1"/>
    <row r="7105" s="1297" customFormat="1"/>
    <row r="7106" s="1297" customFormat="1"/>
    <row r="7107" s="1297" customFormat="1"/>
    <row r="7108" s="1297" customFormat="1"/>
    <row r="7109" s="1297" customFormat="1"/>
    <row r="7110" s="1297" customFormat="1"/>
    <row r="7111" s="1297" customFormat="1"/>
    <row r="7112" s="1297" customFormat="1"/>
    <row r="7113" s="1297" customFormat="1"/>
    <row r="7114" s="1297" customFormat="1"/>
    <row r="7115" s="1297" customFormat="1"/>
    <row r="7116" s="1297" customFormat="1"/>
    <row r="7117" s="1297" customFormat="1"/>
    <row r="7118" s="1297" customFormat="1"/>
    <row r="7119" s="1297" customFormat="1"/>
    <row r="7120" s="1297" customFormat="1"/>
    <row r="7121" s="1297" customFormat="1"/>
    <row r="7122" s="1297" customFormat="1"/>
    <row r="7123" s="1297" customFormat="1"/>
    <row r="7124" s="1297" customFormat="1"/>
    <row r="7125" s="1297" customFormat="1"/>
    <row r="7126" s="1297" customFormat="1"/>
    <row r="7127" s="1297" customFormat="1"/>
    <row r="7128" s="1297" customFormat="1"/>
    <row r="7129" s="1297" customFormat="1"/>
    <row r="7130" s="1297" customFormat="1"/>
    <row r="7131" s="1297" customFormat="1"/>
    <row r="7132" s="1297" customFormat="1"/>
    <row r="7133" s="1297" customFormat="1"/>
    <row r="7134" s="1297" customFormat="1"/>
    <row r="7135" s="1297" customFormat="1"/>
    <row r="7136" s="1297" customFormat="1"/>
    <row r="7137" s="1297" customFormat="1"/>
    <row r="7138" s="1297" customFormat="1"/>
    <row r="7139" s="1297" customFormat="1"/>
    <row r="7140" s="1297" customFormat="1"/>
    <row r="7141" s="1297" customFormat="1"/>
    <row r="7142" s="1297" customFormat="1"/>
    <row r="7143" s="1297" customFormat="1"/>
    <row r="7144" s="1297" customFormat="1"/>
    <row r="7145" s="1297" customFormat="1"/>
    <row r="7146" s="1297" customFormat="1"/>
    <row r="7147" s="1297" customFormat="1"/>
    <row r="7148" s="1297" customFormat="1"/>
    <row r="7149" s="1297" customFormat="1"/>
    <row r="7150" s="1297" customFormat="1"/>
    <row r="7151" s="1297" customFormat="1"/>
    <row r="7152" s="1297" customFormat="1"/>
    <row r="7153" s="1297" customFormat="1"/>
    <row r="7154" s="1297" customFormat="1"/>
    <row r="7155" s="1297" customFormat="1"/>
    <row r="7156" s="1297" customFormat="1"/>
    <row r="7157" s="1297" customFormat="1"/>
    <row r="7158" s="1297" customFormat="1"/>
    <row r="7159" s="1297" customFormat="1"/>
    <row r="7160" s="1297" customFormat="1"/>
    <row r="7161" s="1297" customFormat="1"/>
    <row r="7162" s="1297" customFormat="1"/>
    <row r="7163" s="1297" customFormat="1"/>
    <row r="7164" s="1297" customFormat="1"/>
    <row r="7165" s="1297" customFormat="1"/>
    <row r="7166" s="1297" customFormat="1"/>
    <row r="7167" s="1297" customFormat="1"/>
    <row r="7168" s="1297" customFormat="1"/>
    <row r="7169" s="1297" customFormat="1"/>
    <row r="7170" s="1297" customFormat="1"/>
    <row r="7171" s="1297" customFormat="1"/>
    <row r="7172" s="1297" customFormat="1"/>
    <row r="7173" s="1297" customFormat="1"/>
    <row r="7174" s="1297" customFormat="1"/>
    <row r="7175" s="1297" customFormat="1"/>
    <row r="7176" s="1297" customFormat="1"/>
    <row r="7177" s="1297" customFormat="1"/>
    <row r="7178" s="1297" customFormat="1"/>
    <row r="7179" s="1297" customFormat="1"/>
    <row r="7180" s="1297" customFormat="1"/>
    <row r="7181" s="1297" customFormat="1"/>
    <row r="7182" s="1297" customFormat="1"/>
    <row r="7183" s="1297" customFormat="1"/>
    <row r="7184" s="1297" customFormat="1"/>
    <row r="7185" s="1297" customFormat="1"/>
    <row r="7186" s="1297" customFormat="1"/>
    <row r="7187" s="1297" customFormat="1"/>
    <row r="7188" s="1297" customFormat="1"/>
    <row r="7189" s="1297" customFormat="1"/>
    <row r="7190" s="1297" customFormat="1"/>
    <row r="7191" s="1297" customFormat="1"/>
    <row r="7192" s="1297" customFormat="1"/>
    <row r="7193" s="1297" customFormat="1"/>
    <row r="7194" s="1297" customFormat="1"/>
    <row r="7195" s="1297" customFormat="1"/>
    <row r="7196" s="1297" customFormat="1"/>
    <row r="7197" s="1297" customFormat="1"/>
    <row r="7198" s="1297" customFormat="1"/>
    <row r="7199" s="1297" customFormat="1"/>
    <row r="7200" s="1297" customFormat="1"/>
    <row r="7201" s="1297" customFormat="1"/>
    <row r="7202" s="1297" customFormat="1"/>
    <row r="7203" s="1297" customFormat="1"/>
    <row r="7204" s="1297" customFormat="1"/>
    <row r="7205" s="1297" customFormat="1"/>
    <row r="7206" s="1297" customFormat="1"/>
    <row r="7207" s="1297" customFormat="1"/>
    <row r="7208" s="1297" customFormat="1"/>
    <row r="7209" s="1297" customFormat="1"/>
    <row r="7210" s="1297" customFormat="1"/>
    <row r="7211" s="1297" customFormat="1"/>
    <row r="7212" s="1297" customFormat="1"/>
    <row r="7213" s="1297" customFormat="1"/>
    <row r="7214" s="1297" customFormat="1"/>
    <row r="7215" s="1297" customFormat="1"/>
    <row r="7216" s="1297" customFormat="1"/>
    <row r="7217" s="1297" customFormat="1"/>
    <row r="7218" s="1297" customFormat="1"/>
    <row r="7219" s="1297" customFormat="1"/>
    <row r="7220" s="1297" customFormat="1"/>
    <row r="7221" s="1297" customFormat="1"/>
    <row r="7222" s="1297" customFormat="1"/>
    <row r="7223" s="1297" customFormat="1"/>
    <row r="7224" s="1297" customFormat="1"/>
    <row r="7225" s="1297" customFormat="1"/>
    <row r="7226" s="1297" customFormat="1"/>
    <row r="7227" s="1297" customFormat="1"/>
    <row r="7228" s="1297" customFormat="1"/>
    <row r="7229" s="1297" customFormat="1"/>
    <row r="7230" s="1297" customFormat="1"/>
    <row r="7231" s="1297" customFormat="1"/>
    <row r="7232" s="1297" customFormat="1"/>
    <row r="7233" s="1297" customFormat="1"/>
    <row r="7234" s="1297" customFormat="1"/>
    <row r="7235" s="1297" customFormat="1"/>
    <row r="7236" s="1297" customFormat="1"/>
    <row r="7237" s="1297" customFormat="1"/>
    <row r="7238" s="1297" customFormat="1"/>
    <row r="7239" s="1297" customFormat="1"/>
    <row r="7240" s="1297" customFormat="1"/>
    <row r="7241" s="1297" customFormat="1"/>
    <row r="7242" s="1297" customFormat="1"/>
    <row r="7243" s="1297" customFormat="1"/>
    <row r="7244" s="1297" customFormat="1"/>
    <row r="7245" s="1297" customFormat="1"/>
    <row r="7246" s="1297" customFormat="1"/>
    <row r="7247" s="1297" customFormat="1"/>
    <row r="7248" s="1297" customFormat="1"/>
    <row r="7249" s="1297" customFormat="1"/>
    <row r="7250" s="1297" customFormat="1"/>
    <row r="7251" s="1297" customFormat="1"/>
    <row r="7252" s="1297" customFormat="1"/>
    <row r="7253" s="1297" customFormat="1"/>
    <row r="7254" s="1297" customFormat="1"/>
    <row r="7255" s="1297" customFormat="1"/>
    <row r="7256" s="1297" customFormat="1"/>
    <row r="7257" s="1297" customFormat="1"/>
    <row r="7258" s="1297" customFormat="1"/>
    <row r="7259" s="1297" customFormat="1"/>
    <row r="7260" s="1297" customFormat="1"/>
    <row r="7261" s="1297" customFormat="1"/>
    <row r="7262" s="1297" customFormat="1"/>
    <row r="7263" s="1297" customFormat="1"/>
    <row r="7264" s="1297" customFormat="1"/>
    <row r="7265" spans="4:4" s="1297" customFormat="1"/>
    <row r="7266" spans="4:4" s="1297" customFormat="1"/>
    <row r="7267" spans="4:4" s="1297" customFormat="1"/>
    <row r="7268" spans="4:4" s="1297" customFormat="1"/>
    <row r="7269" spans="4:4" s="1297" customFormat="1"/>
    <row r="7270" spans="4:4" s="1297" customFormat="1"/>
    <row r="7271" spans="4:4" s="1297" customFormat="1">
      <c r="D7271" s="1399"/>
    </row>
    <row r="7272" spans="4:4" s="1297" customFormat="1">
      <c r="D7272" s="1399"/>
    </row>
    <row r="7273" spans="4:4" s="1297" customFormat="1">
      <c r="D7273" s="1399"/>
    </row>
    <row r="7274" spans="4:4" s="1297" customFormat="1">
      <c r="D7274" s="1399"/>
    </row>
    <row r="7275" spans="4:4" s="1297" customFormat="1">
      <c r="D7275" s="1399"/>
    </row>
    <row r="7276" spans="4:4" s="1297" customFormat="1">
      <c r="D7276" s="1399"/>
    </row>
    <row r="7277" spans="4:4" s="1297" customFormat="1">
      <c r="D7277" s="1399"/>
    </row>
    <row r="7278" spans="4:4" s="1297" customFormat="1">
      <c r="D7278" s="1399"/>
    </row>
    <row r="7279" spans="4:4" s="1297" customFormat="1">
      <c r="D7279" s="1399"/>
    </row>
    <row r="7280" spans="4:4" s="1297" customFormat="1">
      <c r="D7280" s="1399"/>
    </row>
    <row r="7281" s="1297" customFormat="1"/>
    <row r="7282" s="1297" customFormat="1"/>
    <row r="7283" s="1297" customFormat="1"/>
    <row r="7284" s="1297" customFormat="1"/>
    <row r="7285" s="1297" customFormat="1"/>
    <row r="7286" s="1297" customFormat="1"/>
    <row r="7287" s="1297" customFormat="1"/>
    <row r="7288" s="1297" customFormat="1"/>
    <row r="7289" s="1297" customFormat="1"/>
    <row r="7290" s="1297" customFormat="1"/>
    <row r="7291" s="1297" customFormat="1"/>
    <row r="7292" s="1297" customFormat="1"/>
    <row r="7293" s="1297" customFormat="1"/>
    <row r="7294" s="1297" customFormat="1"/>
    <row r="7295" s="1297" customFormat="1"/>
    <row r="7296" s="1297" customFormat="1"/>
    <row r="7297" s="1297" customFormat="1"/>
    <row r="7298" s="1297" customFormat="1"/>
    <row r="7299" s="1297" customFormat="1"/>
    <row r="7300" s="1297" customFormat="1"/>
    <row r="7301" s="1297" customFormat="1"/>
    <row r="7302" s="1297" customFormat="1"/>
    <row r="7303" s="1297" customFormat="1"/>
    <row r="7304" s="1297" customFormat="1"/>
    <row r="7305" s="1297" customFormat="1"/>
    <row r="7306" s="1297" customFormat="1"/>
    <row r="7307" s="1297" customFormat="1"/>
    <row r="7308" s="1297" customFormat="1"/>
    <row r="7309" s="1297" customFormat="1"/>
    <row r="7310" s="1297" customFormat="1"/>
    <row r="7311" s="1297" customFormat="1"/>
    <row r="7312" s="1297" customFormat="1"/>
    <row r="7313" s="1297" customFormat="1"/>
    <row r="7314" s="1297" customFormat="1"/>
    <row r="7315" s="1297" customFormat="1"/>
    <row r="7316" s="1297" customFormat="1"/>
    <row r="7317" s="1297" customFormat="1"/>
    <row r="7318" s="1297" customFormat="1"/>
    <row r="7319" s="1297" customFormat="1"/>
    <row r="7320" s="1297" customFormat="1"/>
    <row r="7321" s="1297" customFormat="1"/>
    <row r="7322" s="1297" customFormat="1"/>
    <row r="7323" s="1297" customFormat="1"/>
    <row r="7324" s="1297" customFormat="1"/>
    <row r="7325" s="1297" customFormat="1"/>
    <row r="7326" s="1297" customFormat="1"/>
    <row r="7327" s="1297" customFormat="1"/>
    <row r="7328" s="1297" customFormat="1"/>
    <row r="7329" s="1297" customFormat="1"/>
    <row r="7330" s="1297" customFormat="1"/>
    <row r="7331" s="1297" customFormat="1"/>
    <row r="7332" s="1297" customFormat="1"/>
    <row r="7333" s="1297" customFormat="1"/>
    <row r="7334" s="1297" customFormat="1"/>
    <row r="7335" s="1297" customFormat="1"/>
    <row r="7336" s="1297" customFormat="1"/>
    <row r="7337" s="1297" customFormat="1"/>
    <row r="7338" s="1297" customFormat="1"/>
    <row r="7339" s="1297" customFormat="1"/>
    <row r="7340" s="1297" customFormat="1"/>
    <row r="7341" s="1297" customFormat="1"/>
    <row r="7342" s="1297" customFormat="1"/>
    <row r="7343" s="1297" customFormat="1"/>
    <row r="7344" s="1297" customFormat="1"/>
    <row r="7345" s="1297" customFormat="1"/>
    <row r="7346" s="1297" customFormat="1"/>
    <row r="7347" s="1297" customFormat="1"/>
    <row r="7348" s="1297" customFormat="1"/>
    <row r="7349" s="1297" customFormat="1"/>
    <row r="7350" s="1297" customFormat="1"/>
    <row r="7351" s="1297" customFormat="1"/>
    <row r="7352" s="1297" customFormat="1"/>
    <row r="7353" s="1297" customFormat="1"/>
    <row r="7354" s="1297" customFormat="1"/>
    <row r="7355" s="1297" customFormat="1"/>
    <row r="7356" s="1297" customFormat="1"/>
    <row r="7357" s="1297" customFormat="1"/>
    <row r="7358" s="1297" customFormat="1"/>
    <row r="7359" s="1297" customFormat="1"/>
    <row r="7360" s="1297" customFormat="1"/>
    <row r="7361" s="1297" customFormat="1"/>
    <row r="7362" s="1297" customFormat="1"/>
    <row r="7363" s="1297" customFormat="1"/>
    <row r="7364" s="1297" customFormat="1"/>
    <row r="7365" s="1297" customFormat="1"/>
    <row r="7366" s="1297" customFormat="1"/>
    <row r="7367" s="1297" customFormat="1"/>
    <row r="7368" s="1297" customFormat="1"/>
    <row r="7369" s="1297" customFormat="1"/>
    <row r="7370" s="1297" customFormat="1"/>
    <row r="7371" s="1297" customFormat="1"/>
    <row r="7372" s="1297" customFormat="1"/>
    <row r="7373" s="1297" customFormat="1"/>
    <row r="7374" s="1297" customFormat="1"/>
    <row r="7375" s="1297" customFormat="1"/>
    <row r="7376" s="1297" customFormat="1"/>
    <row r="7377" s="1297" customFormat="1"/>
    <row r="7378" s="1297" customFormat="1"/>
    <row r="7379" s="1297" customFormat="1"/>
    <row r="7380" s="1297" customFormat="1"/>
    <row r="7381" s="1297" customFormat="1"/>
    <row r="7382" s="1297" customFormat="1"/>
    <row r="7383" s="1297" customFormat="1"/>
    <row r="7384" s="1297" customFormat="1"/>
    <row r="7385" s="1297" customFormat="1"/>
    <row r="7386" s="1297" customFormat="1"/>
    <row r="7387" s="1297" customFormat="1"/>
    <row r="7388" s="1297" customFormat="1"/>
    <row r="7389" s="1297" customFormat="1"/>
    <row r="7390" s="1297" customFormat="1"/>
    <row r="7391" s="1297" customFormat="1"/>
    <row r="7392" s="1297" customFormat="1"/>
    <row r="7393" s="1297" customFormat="1"/>
    <row r="7394" s="1297" customFormat="1"/>
    <row r="7395" s="1297" customFormat="1"/>
    <row r="7396" s="1297" customFormat="1"/>
    <row r="7397" s="1297" customFormat="1"/>
    <row r="7398" s="1297" customFormat="1"/>
    <row r="7399" s="1297" customFormat="1"/>
    <row r="7400" s="1297" customFormat="1"/>
    <row r="7401" s="1297" customFormat="1"/>
    <row r="7402" s="1297" customFormat="1"/>
    <row r="7403" s="1297" customFormat="1"/>
    <row r="7404" s="1297" customFormat="1"/>
    <row r="7405" s="1297" customFormat="1"/>
    <row r="7406" s="1297" customFormat="1"/>
    <row r="7407" s="1297" customFormat="1"/>
    <row r="7408" s="1297" customFormat="1"/>
    <row r="7409" s="1297" customFormat="1"/>
    <row r="7410" s="1297" customFormat="1"/>
    <row r="7411" s="1297" customFormat="1"/>
    <row r="7412" s="1297" customFormat="1"/>
    <row r="7413" s="1297" customFormat="1"/>
    <row r="7414" s="1297" customFormat="1"/>
    <row r="7415" s="1297" customFormat="1"/>
    <row r="7416" s="1297" customFormat="1"/>
    <row r="7417" s="1297" customFormat="1"/>
    <row r="7418" s="1297" customFormat="1"/>
    <row r="7419" s="1297" customFormat="1"/>
    <row r="7420" s="1297" customFormat="1"/>
    <row r="7421" s="1297" customFormat="1"/>
    <row r="7422" s="1297" customFormat="1"/>
    <row r="7423" s="1297" customFormat="1"/>
    <row r="7424" s="1297" customFormat="1"/>
    <row r="7425" s="1297" customFormat="1"/>
    <row r="7426" s="1297" customFormat="1"/>
    <row r="7427" s="1297" customFormat="1"/>
    <row r="7428" s="1297" customFormat="1"/>
    <row r="7429" s="1297" customFormat="1"/>
    <row r="7430" s="1297" customFormat="1"/>
    <row r="7431" s="1297" customFormat="1"/>
    <row r="7432" s="1297" customFormat="1"/>
    <row r="7433" s="1297" customFormat="1"/>
    <row r="7434" s="1297" customFormat="1"/>
    <row r="7435" s="1297" customFormat="1"/>
    <row r="7436" s="1297" customFormat="1"/>
    <row r="7437" s="1297" customFormat="1"/>
    <row r="7438" s="1297" customFormat="1"/>
    <row r="7439" s="1297" customFormat="1"/>
    <row r="7440" s="1297" customFormat="1"/>
    <row r="7441" s="1297" customFormat="1"/>
    <row r="7442" s="1297" customFormat="1"/>
    <row r="7443" s="1297" customFormat="1"/>
    <row r="7444" s="1297" customFormat="1"/>
    <row r="7445" s="1297" customFormat="1"/>
    <row r="7446" s="1297" customFormat="1"/>
    <row r="7447" s="1297" customFormat="1"/>
    <row r="7448" s="1297" customFormat="1"/>
    <row r="7449" s="1297" customFormat="1"/>
    <row r="7450" s="1297" customFormat="1"/>
    <row r="7451" s="1297" customFormat="1"/>
    <row r="7452" s="1297" customFormat="1"/>
    <row r="7453" s="1297" customFormat="1"/>
    <row r="7454" s="1297" customFormat="1"/>
    <row r="7455" s="1297" customFormat="1"/>
    <row r="7456" s="1297" customFormat="1"/>
    <row r="7457" s="1297" customFormat="1"/>
    <row r="7458" s="1297" customFormat="1"/>
    <row r="7459" s="1297" customFormat="1"/>
    <row r="7460" s="1297" customFormat="1"/>
    <row r="7461" s="1297" customFormat="1"/>
    <row r="7462" s="1297" customFormat="1"/>
    <row r="7463" s="1297" customFormat="1"/>
    <row r="7464" s="1297" customFormat="1"/>
    <row r="7465" s="1297" customFormat="1"/>
    <row r="7466" s="1297" customFormat="1"/>
    <row r="7467" s="1297" customFormat="1"/>
    <row r="7468" s="1297" customFormat="1"/>
    <row r="7469" s="1297" customFormat="1"/>
    <row r="7470" s="1297" customFormat="1"/>
    <row r="7471" s="1297" customFormat="1"/>
    <row r="7472" s="1297" customFormat="1"/>
    <row r="7473" s="1297" customFormat="1"/>
    <row r="7474" s="1297" customFormat="1"/>
    <row r="7475" s="1297" customFormat="1"/>
    <row r="7476" s="1297" customFormat="1"/>
    <row r="7477" s="1297" customFormat="1"/>
    <row r="7478" s="1297" customFormat="1"/>
    <row r="7479" s="1297" customFormat="1"/>
    <row r="7480" s="1297" customFormat="1"/>
    <row r="7481" s="1297" customFormat="1"/>
    <row r="7482" s="1297" customFormat="1"/>
    <row r="7483" s="1297" customFormat="1"/>
    <row r="7484" s="1297" customFormat="1"/>
    <row r="7485" s="1297" customFormat="1"/>
    <row r="7486" s="1297" customFormat="1"/>
    <row r="7487" s="1297" customFormat="1"/>
    <row r="7488" s="1297" customFormat="1"/>
    <row r="7489" s="1297" customFormat="1"/>
    <row r="7490" s="1297" customFormat="1"/>
    <row r="7491" s="1297" customFormat="1"/>
    <row r="7492" s="1297" customFormat="1"/>
    <row r="7493" s="1297" customFormat="1"/>
    <row r="7494" s="1297" customFormat="1"/>
    <row r="7495" s="1297" customFormat="1"/>
    <row r="7496" s="1297" customFormat="1"/>
    <row r="7497" s="1297" customFormat="1"/>
    <row r="7498" s="1297" customFormat="1"/>
    <row r="7499" s="1297" customFormat="1"/>
    <row r="7500" s="1297" customFormat="1"/>
    <row r="7501" s="1297" customFormat="1"/>
    <row r="7502" s="1297" customFormat="1"/>
    <row r="7503" s="1297" customFormat="1"/>
    <row r="7504" s="1297" customFormat="1"/>
    <row r="7505" s="1297" customFormat="1"/>
    <row r="7506" s="1297" customFormat="1"/>
    <row r="7507" s="1297" customFormat="1"/>
    <row r="7508" s="1297" customFormat="1"/>
    <row r="7509" s="1297" customFormat="1"/>
    <row r="7510" s="1297" customFormat="1"/>
    <row r="7511" s="1297" customFormat="1"/>
    <row r="7512" s="1297" customFormat="1"/>
    <row r="7513" s="1297" customFormat="1"/>
    <row r="7514" s="1297" customFormat="1"/>
    <row r="7515" s="1297" customFormat="1"/>
    <row r="7516" s="1297" customFormat="1"/>
    <row r="7517" s="1297" customFormat="1"/>
    <row r="7518" s="1297" customFormat="1"/>
    <row r="7519" s="1297" customFormat="1"/>
    <row r="7520" s="1297" customFormat="1"/>
    <row r="7521" s="1297" customFormat="1"/>
    <row r="7522" s="1297" customFormat="1"/>
    <row r="7523" s="1297" customFormat="1"/>
    <row r="7524" s="1297" customFormat="1"/>
    <row r="7525" s="1297" customFormat="1"/>
    <row r="7526" s="1297" customFormat="1"/>
    <row r="7527" s="1297" customFormat="1"/>
    <row r="7528" s="1297" customFormat="1"/>
    <row r="7529" s="1297" customFormat="1"/>
    <row r="7530" s="1297" customFormat="1"/>
    <row r="7531" s="1297" customFormat="1"/>
    <row r="7532" s="1297" customFormat="1"/>
    <row r="7533" s="1297" customFormat="1"/>
    <row r="7534" s="1297" customFormat="1"/>
    <row r="7535" s="1297" customFormat="1"/>
    <row r="7536" s="1297" customFormat="1"/>
    <row r="7537" s="1297" customFormat="1"/>
    <row r="7538" s="1297" customFormat="1"/>
    <row r="7539" s="1297" customFormat="1"/>
    <row r="7540" s="1297" customFormat="1"/>
    <row r="7541" s="1297" customFormat="1"/>
    <row r="7542" s="1297" customFormat="1"/>
    <row r="7543" s="1297" customFormat="1"/>
    <row r="7544" s="1297" customFormat="1"/>
    <row r="7545" s="1297" customFormat="1"/>
    <row r="7546" s="1297" customFormat="1"/>
    <row r="7547" s="1297" customFormat="1"/>
    <row r="7548" s="1297" customFormat="1"/>
    <row r="7549" s="1297" customFormat="1"/>
    <row r="7550" s="1297" customFormat="1"/>
    <row r="7551" s="1297" customFormat="1"/>
    <row r="7552" s="1297" customFormat="1"/>
    <row r="7553" s="1297" customFormat="1"/>
    <row r="7554" s="1297" customFormat="1"/>
    <row r="7555" s="1297" customFormat="1"/>
    <row r="7556" s="1297" customFormat="1"/>
    <row r="7557" s="1297" customFormat="1"/>
    <row r="7558" s="1297" customFormat="1"/>
    <row r="7559" s="1297" customFormat="1"/>
    <row r="7560" s="1297" customFormat="1"/>
    <row r="7561" s="1297" customFormat="1"/>
    <row r="7562" s="1297" customFormat="1"/>
    <row r="7563" s="1297" customFormat="1"/>
    <row r="7564" s="1297" customFormat="1"/>
    <row r="7565" s="1297" customFormat="1"/>
    <row r="7566" s="1297" customFormat="1"/>
    <row r="7567" s="1297" customFormat="1"/>
    <row r="7568" s="1297" customFormat="1"/>
    <row r="7569" s="1297" customFormat="1"/>
    <row r="7570" s="1297" customFormat="1"/>
    <row r="7571" s="1297" customFormat="1"/>
    <row r="7572" s="1297" customFormat="1"/>
    <row r="7573" s="1297" customFormat="1"/>
    <row r="7574" s="1297" customFormat="1"/>
    <row r="7575" s="1297" customFormat="1"/>
    <row r="7576" s="1297" customFormat="1"/>
    <row r="7577" s="1297" customFormat="1"/>
    <row r="7578" s="1297" customFormat="1"/>
    <row r="7579" s="1297" customFormat="1"/>
    <row r="7580" s="1297" customFormat="1"/>
    <row r="7581" s="1297" customFormat="1"/>
    <row r="7582" s="1297" customFormat="1"/>
    <row r="7583" s="1297" customFormat="1"/>
    <row r="7584" s="1297" customFormat="1"/>
    <row r="7585" s="1297" customFormat="1"/>
    <row r="7586" s="1297" customFormat="1"/>
    <row r="7587" s="1297" customFormat="1"/>
    <row r="7588" s="1297" customFormat="1"/>
    <row r="7589" s="1297" customFormat="1"/>
    <row r="7590" s="1297" customFormat="1"/>
    <row r="7591" s="1297" customFormat="1"/>
    <row r="7592" s="1297" customFormat="1"/>
    <row r="7593" s="1297" customFormat="1"/>
    <row r="7594" s="1297" customFormat="1"/>
    <row r="7595" s="1297" customFormat="1"/>
    <row r="7596" s="1297" customFormat="1"/>
    <row r="7597" s="1297" customFormat="1"/>
    <row r="7598" s="1297" customFormat="1"/>
    <row r="7599" s="1297" customFormat="1"/>
    <row r="7600" s="1297" customFormat="1"/>
    <row r="7601" s="1297" customFormat="1"/>
    <row r="7602" s="1297" customFormat="1"/>
    <row r="7603" s="1297" customFormat="1"/>
    <row r="7604" s="1297" customFormat="1"/>
    <row r="7605" s="1297" customFormat="1"/>
    <row r="7606" s="1297" customFormat="1"/>
    <row r="7607" s="1297" customFormat="1"/>
    <row r="7608" s="1297" customFormat="1"/>
    <row r="7609" s="1297" customFormat="1"/>
    <row r="7610" s="1297" customFormat="1"/>
    <row r="7611" s="1297" customFormat="1"/>
    <row r="7612" s="1297" customFormat="1"/>
    <row r="7613" s="1297" customFormat="1"/>
    <row r="7614" s="1297" customFormat="1"/>
    <row r="7615" s="1297" customFormat="1"/>
    <row r="7616" s="1297" customFormat="1"/>
    <row r="7617" s="1297" customFormat="1"/>
    <row r="7618" s="1297" customFormat="1"/>
    <row r="7619" s="1297" customFormat="1"/>
    <row r="7620" s="1297" customFormat="1"/>
    <row r="7621" s="1297" customFormat="1"/>
    <row r="7622" s="1297" customFormat="1"/>
    <row r="7623" s="1297" customFormat="1"/>
    <row r="7624" s="1297" customFormat="1"/>
    <row r="7625" s="1297" customFormat="1"/>
    <row r="7626" s="1297" customFormat="1"/>
    <row r="7627" s="1297" customFormat="1"/>
    <row r="7628" s="1297" customFormat="1"/>
    <row r="7629" s="1297" customFormat="1"/>
    <row r="7630" s="1297" customFormat="1"/>
    <row r="7631" s="1297" customFormat="1"/>
    <row r="7632" s="1297" customFormat="1"/>
    <row r="7633" s="1297" customFormat="1"/>
    <row r="7634" s="1297" customFormat="1"/>
    <row r="7635" s="1297" customFormat="1"/>
    <row r="7636" s="1297" customFormat="1"/>
    <row r="7637" s="1297" customFormat="1"/>
    <row r="7638" s="1297" customFormat="1"/>
    <row r="7639" s="1297" customFormat="1"/>
    <row r="7640" s="1297" customFormat="1"/>
    <row r="7641" s="1297" customFormat="1"/>
    <row r="7642" s="1297" customFormat="1"/>
    <row r="7643" s="1297" customFormat="1"/>
    <row r="7644" s="1297" customFormat="1"/>
    <row r="7645" s="1297" customFormat="1"/>
    <row r="7646" s="1297" customFormat="1"/>
    <row r="7647" s="1297" customFormat="1"/>
    <row r="7648" s="1297" customFormat="1"/>
    <row r="7649" s="1297" customFormat="1"/>
    <row r="7650" s="1297" customFormat="1"/>
    <row r="7651" s="1297" customFormat="1"/>
    <row r="7652" s="1297" customFormat="1"/>
    <row r="7653" s="1297" customFormat="1"/>
    <row r="7654" s="1297" customFormat="1"/>
    <row r="7655" s="1297" customFormat="1"/>
    <row r="7656" s="1297" customFormat="1"/>
    <row r="7657" s="1297" customFormat="1"/>
    <row r="7658" s="1297" customFormat="1"/>
    <row r="7659" s="1297" customFormat="1"/>
    <row r="7660" s="1297" customFormat="1"/>
    <row r="7661" s="1297" customFormat="1"/>
    <row r="7662" s="1297" customFormat="1"/>
    <row r="7663" s="1297" customFormat="1"/>
    <row r="7664" s="1297" customFormat="1"/>
    <row r="7665" s="1297" customFormat="1"/>
    <row r="7666" s="1297" customFormat="1"/>
    <row r="7667" s="1297" customFormat="1"/>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3:P7584"/>
  <sheetViews>
    <sheetView workbookViewId="0"/>
  </sheetViews>
  <sheetFormatPr defaultColWidth="10.1640625" defaultRowHeight="11.25"/>
  <cols>
    <col min="1" max="1" width="9.33203125" style="1297" customWidth="1"/>
    <col min="2" max="2" width="10" style="1399" customWidth="1"/>
    <col min="3" max="3" width="12" style="1399" customWidth="1"/>
    <col min="4" max="4" width="18" style="1399" customWidth="1"/>
    <col min="5" max="5" width="72" style="1399" customWidth="1"/>
    <col min="6" max="9" width="15" style="1399" customWidth="1"/>
    <col min="10" max="10" width="18" style="1399" customWidth="1"/>
    <col min="11" max="11" width="16.83203125" style="1399" customWidth="1"/>
    <col min="12" max="16384" width="10.1640625" style="1297"/>
  </cols>
  <sheetData>
    <row r="3" spans="1:16" ht="63">
      <c r="A3" s="1396" t="s">
        <v>894</v>
      </c>
      <c r="B3" s="1396" t="s">
        <v>895</v>
      </c>
      <c r="C3" s="1396" t="s">
        <v>174</v>
      </c>
      <c r="D3" s="1397" t="s">
        <v>896</v>
      </c>
      <c r="E3" s="1397" t="s">
        <v>897</v>
      </c>
      <c r="F3" s="1398" t="s">
        <v>898</v>
      </c>
      <c r="G3" s="1398" t="s">
        <v>899</v>
      </c>
      <c r="H3" s="1398" t="s">
        <v>900</v>
      </c>
      <c r="I3" s="1398" t="s">
        <v>901</v>
      </c>
      <c r="J3" s="1398" t="s">
        <v>902</v>
      </c>
      <c r="K3" s="1402" t="s">
        <v>1724</v>
      </c>
      <c r="L3" s="1403" t="s">
        <v>1725</v>
      </c>
      <c r="M3" s="1403" t="s">
        <v>1726</v>
      </c>
      <c r="N3" s="1402" t="s">
        <v>1727</v>
      </c>
      <c r="O3" s="422"/>
      <c r="P3" s="422"/>
    </row>
    <row r="4" spans="1:16">
      <c r="A4" s="1297" t="s">
        <v>903</v>
      </c>
      <c r="B4" s="1297" t="s">
        <v>904</v>
      </c>
      <c r="C4" s="1297">
        <v>3299</v>
      </c>
      <c r="D4" s="1297" t="s">
        <v>905</v>
      </c>
      <c r="E4" s="1297" t="s">
        <v>906</v>
      </c>
      <c r="G4" s="1399">
        <v>10686696</v>
      </c>
      <c r="J4" s="1399">
        <v>10686696</v>
      </c>
    </row>
    <row r="5" spans="1:16">
      <c r="B5" s="1297"/>
      <c r="C5" s="1297"/>
      <c r="D5" s="1297"/>
      <c r="E5" s="1297" t="s">
        <v>907</v>
      </c>
      <c r="G5" s="1399">
        <v>3750301.44</v>
      </c>
      <c r="J5" s="1399">
        <v>3750301.44</v>
      </c>
    </row>
    <row r="6" spans="1:16">
      <c r="B6" s="1297"/>
      <c r="C6" s="1297"/>
      <c r="D6" s="1297"/>
      <c r="E6" s="1297" t="s">
        <v>908</v>
      </c>
      <c r="G6" s="1399">
        <v>27280.53</v>
      </c>
      <c r="J6" s="1399">
        <v>27280.53</v>
      </c>
    </row>
    <row r="7" spans="1:16">
      <c r="B7" s="1297"/>
      <c r="C7" s="1297"/>
      <c r="D7" s="1297"/>
      <c r="E7" s="1297" t="s">
        <v>909</v>
      </c>
      <c r="H7" s="1399">
        <v>23993.57</v>
      </c>
      <c r="J7" s="1399">
        <v>23993.57</v>
      </c>
    </row>
    <row r="8" spans="1:16">
      <c r="B8" s="1297"/>
      <c r="C8" s="1297"/>
      <c r="D8" s="1297"/>
      <c r="E8" s="1297" t="s">
        <v>910</v>
      </c>
      <c r="H8" s="1399">
        <v>34092.619999999995</v>
      </c>
      <c r="J8" s="1399">
        <v>34092.619999999995</v>
      </c>
    </row>
    <row r="9" spans="1:16">
      <c r="B9" s="1297"/>
      <c r="C9" s="1297"/>
      <c r="D9" s="1297"/>
      <c r="E9" s="1297" t="s">
        <v>1034</v>
      </c>
      <c r="H9" s="1399">
        <v>77843.39</v>
      </c>
      <c r="J9" s="1399">
        <v>77843.39</v>
      </c>
    </row>
    <row r="10" spans="1:16">
      <c r="B10" s="1297"/>
      <c r="C10" s="1297"/>
      <c r="D10" s="1297"/>
      <c r="E10" s="1297" t="s">
        <v>1035</v>
      </c>
      <c r="H10" s="1399">
        <v>233640.58</v>
      </c>
      <c r="J10" s="1399">
        <v>233640.58</v>
      </c>
    </row>
    <row r="11" spans="1:16">
      <c r="B11" s="1297"/>
      <c r="C11" s="1297"/>
      <c r="D11" s="1297"/>
      <c r="E11" s="1297" t="s">
        <v>1036</v>
      </c>
      <c r="H11" s="1399">
        <v>147273.82999999999</v>
      </c>
      <c r="J11" s="1399">
        <v>147273.82999999999</v>
      </c>
    </row>
    <row r="12" spans="1:16">
      <c r="B12" s="1297"/>
      <c r="C12" s="1297"/>
      <c r="D12" s="1297"/>
      <c r="E12" s="1297" t="s">
        <v>1037</v>
      </c>
      <c r="H12" s="1399">
        <v>2950</v>
      </c>
      <c r="J12" s="1399">
        <v>2950</v>
      </c>
    </row>
    <row r="13" spans="1:16">
      <c r="B13" s="1297"/>
      <c r="C13" s="1297"/>
      <c r="D13" s="1297"/>
      <c r="E13" s="1297" t="s">
        <v>1038</v>
      </c>
      <c r="H13" s="1399">
        <v>0</v>
      </c>
      <c r="J13" s="1399">
        <v>0</v>
      </c>
    </row>
    <row r="14" spans="1:16">
      <c r="B14" s="1297"/>
      <c r="C14" s="1297"/>
      <c r="D14" s="1297"/>
      <c r="E14" s="1297" t="s">
        <v>1039</v>
      </c>
      <c r="H14" s="1399">
        <v>33184.560000000005</v>
      </c>
      <c r="J14" s="1399">
        <v>33184.560000000005</v>
      </c>
    </row>
    <row r="15" spans="1:16">
      <c r="B15" s="1297"/>
      <c r="C15" s="1297"/>
      <c r="D15" s="1297"/>
      <c r="E15" s="1297" t="s">
        <v>1040</v>
      </c>
      <c r="H15" s="1399">
        <v>186981.93000000002</v>
      </c>
      <c r="J15" s="1399">
        <v>186981.93000000002</v>
      </c>
    </row>
    <row r="16" spans="1:16">
      <c r="B16" s="1297"/>
      <c r="C16" s="1297"/>
      <c r="D16" s="1297"/>
      <c r="E16" s="1297" t="s">
        <v>1041</v>
      </c>
      <c r="H16" s="1399">
        <v>48265.860000000008</v>
      </c>
      <c r="J16" s="1399">
        <v>48265.860000000008</v>
      </c>
    </row>
    <row r="17" spans="5:10" s="1297" customFormat="1">
      <c r="E17" s="1297" t="s">
        <v>1042</v>
      </c>
      <c r="F17" s="1399"/>
      <c r="G17" s="1399"/>
      <c r="H17" s="1399">
        <v>48977.4</v>
      </c>
      <c r="I17" s="1399"/>
      <c r="J17" s="1399">
        <v>48977.4</v>
      </c>
    </row>
    <row r="18" spans="5:10" s="1297" customFormat="1">
      <c r="E18" s="1297" t="s">
        <v>1043</v>
      </c>
      <c r="F18" s="1399"/>
      <c r="G18" s="1399"/>
      <c r="H18" s="1399">
        <v>6650</v>
      </c>
      <c r="I18" s="1399"/>
      <c r="J18" s="1399">
        <v>6650</v>
      </c>
    </row>
    <row r="19" spans="5:10" s="1297" customFormat="1">
      <c r="E19" s="1297" t="s">
        <v>1044</v>
      </c>
      <c r="F19" s="1399">
        <v>23248</v>
      </c>
      <c r="G19" s="1399"/>
      <c r="H19" s="1399"/>
      <c r="I19" s="1399"/>
      <c r="J19" s="1399">
        <v>23248</v>
      </c>
    </row>
    <row r="20" spans="5:10" s="1297" customFormat="1">
      <c r="E20" s="1297" t="s">
        <v>1045</v>
      </c>
      <c r="F20" s="1399"/>
      <c r="G20" s="1399"/>
      <c r="H20" s="1399">
        <v>469019.52</v>
      </c>
      <c r="I20" s="1399"/>
      <c r="J20" s="1399">
        <v>469019.52</v>
      </c>
    </row>
    <row r="21" spans="5:10" s="1297" customFormat="1">
      <c r="E21" s="1297" t="s">
        <v>1046</v>
      </c>
      <c r="F21" s="1399"/>
      <c r="G21" s="1399"/>
      <c r="H21" s="1399"/>
      <c r="I21" s="1399">
        <v>17376260</v>
      </c>
      <c r="J21" s="1399">
        <v>17376260</v>
      </c>
    </row>
    <row r="22" spans="5:10" s="1297" customFormat="1">
      <c r="E22" s="1297" t="s">
        <v>1047</v>
      </c>
      <c r="F22" s="1399"/>
      <c r="G22" s="1399"/>
      <c r="H22" s="1399"/>
      <c r="I22" s="1399">
        <v>713255</v>
      </c>
      <c r="J22" s="1399">
        <v>713255</v>
      </c>
    </row>
    <row r="23" spans="5:10" s="1297" customFormat="1">
      <c r="E23" s="1297" t="s">
        <v>1048</v>
      </c>
      <c r="F23" s="1399"/>
      <c r="G23" s="1399"/>
      <c r="H23" s="1399"/>
      <c r="I23" s="1399">
        <v>-2787182</v>
      </c>
      <c r="J23" s="1399">
        <v>-2787182</v>
      </c>
    </row>
    <row r="24" spans="5:10" s="1297" customFormat="1">
      <c r="E24" s="1297" t="s">
        <v>932</v>
      </c>
      <c r="F24" s="1399"/>
      <c r="G24" s="1399"/>
      <c r="H24" s="1399"/>
      <c r="I24" s="1399">
        <v>1216807</v>
      </c>
      <c r="J24" s="1399">
        <v>1216807</v>
      </c>
    </row>
    <row r="25" spans="5:10" s="1297" customFormat="1">
      <c r="E25" s="1404" t="s">
        <v>933</v>
      </c>
      <c r="F25" s="1405"/>
      <c r="G25" s="1405"/>
      <c r="H25" s="1405"/>
      <c r="I25" s="1405">
        <v>1062324.52</v>
      </c>
      <c r="J25" s="1405">
        <v>1062324.52</v>
      </c>
    </row>
    <row r="26" spans="5:10" s="1297" customFormat="1">
      <c r="E26" s="1297" t="s">
        <v>934</v>
      </c>
      <c r="F26" s="1399"/>
      <c r="G26" s="1399"/>
      <c r="H26" s="1399"/>
      <c r="I26" s="1399">
        <v>52237.81</v>
      </c>
      <c r="J26" s="1399">
        <v>52237.81</v>
      </c>
    </row>
    <row r="27" spans="5:10" s="1297" customFormat="1">
      <c r="E27" s="1297" t="s">
        <v>935</v>
      </c>
      <c r="F27" s="1399"/>
      <c r="G27" s="1399"/>
      <c r="H27" s="1399"/>
      <c r="I27" s="1399">
        <v>264693.14</v>
      </c>
      <c r="J27" s="1399">
        <v>264693.14</v>
      </c>
    </row>
    <row r="28" spans="5:10" s="1297" customFormat="1">
      <c r="E28" s="1297" t="s">
        <v>936</v>
      </c>
      <c r="F28" s="1399"/>
      <c r="G28" s="1399"/>
      <c r="H28" s="1399"/>
      <c r="I28" s="1399">
        <v>51472.13</v>
      </c>
      <c r="J28" s="1399">
        <v>51472.13</v>
      </c>
    </row>
    <row r="29" spans="5:10" s="1297" customFormat="1">
      <c r="E29" s="1297" t="s">
        <v>937</v>
      </c>
      <c r="F29" s="1399"/>
      <c r="G29" s="1399"/>
      <c r="H29" s="1399"/>
      <c r="I29" s="1399">
        <v>36549.81</v>
      </c>
      <c r="J29" s="1399">
        <v>36549.81</v>
      </c>
    </row>
    <row r="30" spans="5:10" s="1297" customFormat="1">
      <c r="E30" s="1297" t="s">
        <v>938</v>
      </c>
      <c r="F30" s="1399"/>
      <c r="G30" s="1399"/>
      <c r="H30" s="1399"/>
      <c r="I30" s="1399">
        <v>12540</v>
      </c>
      <c r="J30" s="1399">
        <v>12540</v>
      </c>
    </row>
    <row r="31" spans="5:10" s="1297" customFormat="1">
      <c r="E31" s="1297" t="s">
        <v>939</v>
      </c>
      <c r="F31" s="1399"/>
      <c r="G31" s="1399"/>
      <c r="H31" s="1399"/>
      <c r="I31" s="1399">
        <v>1000</v>
      </c>
      <c r="J31" s="1399">
        <v>1000</v>
      </c>
    </row>
    <row r="32" spans="5:10" s="1297" customFormat="1">
      <c r="E32" s="1297" t="s">
        <v>940</v>
      </c>
      <c r="F32" s="1399">
        <v>876448.45999999985</v>
      </c>
      <c r="G32" s="1399"/>
      <c r="H32" s="1399"/>
      <c r="I32" s="1399"/>
      <c r="J32" s="1399">
        <v>876448.45999999985</v>
      </c>
    </row>
    <row r="33" spans="2:12">
      <c r="B33" s="1297"/>
      <c r="C33" s="1297"/>
      <c r="D33" s="1297"/>
      <c r="E33" s="1297" t="s">
        <v>941</v>
      </c>
      <c r="F33" s="1399">
        <v>263269.72000000003</v>
      </c>
      <c r="J33" s="1399">
        <v>263269.72000000003</v>
      </c>
    </row>
    <row r="34" spans="2:12">
      <c r="B34" s="1297"/>
      <c r="C34" s="1297"/>
      <c r="D34" s="1297"/>
      <c r="E34" s="1297" t="s">
        <v>942</v>
      </c>
      <c r="F34" s="1399">
        <v>0</v>
      </c>
      <c r="J34" s="1399">
        <v>0</v>
      </c>
    </row>
    <row r="35" spans="2:12">
      <c r="B35" s="1297"/>
      <c r="C35" s="1297"/>
      <c r="D35" s="1297"/>
      <c r="E35" s="1297" t="s">
        <v>943</v>
      </c>
      <c r="F35" s="1399">
        <v>717.06</v>
      </c>
      <c r="J35" s="1399">
        <v>717.06</v>
      </c>
    </row>
    <row r="36" spans="2:12">
      <c r="B36" s="1297"/>
      <c r="C36" s="1297"/>
      <c r="D36" s="1297"/>
      <c r="E36" s="1297" t="s">
        <v>944</v>
      </c>
      <c r="F36" s="1399">
        <v>2817463.33</v>
      </c>
      <c r="J36" s="1399">
        <v>2817463.33</v>
      </c>
    </row>
    <row r="37" spans="2:12">
      <c r="B37" s="1297"/>
      <c r="C37" s="1297"/>
      <c r="D37" s="1297"/>
      <c r="E37" s="1297" t="s">
        <v>945</v>
      </c>
      <c r="F37" s="1399">
        <v>1811018.55</v>
      </c>
      <c r="J37" s="1399">
        <v>1811018.55</v>
      </c>
    </row>
    <row r="38" spans="2:12">
      <c r="B38" s="1297"/>
      <c r="C38" s="1297"/>
      <c r="D38" s="1297"/>
      <c r="E38" s="1297" t="s">
        <v>946</v>
      </c>
      <c r="F38" s="1399">
        <v>0</v>
      </c>
      <c r="J38" s="1399">
        <v>0</v>
      </c>
    </row>
    <row r="39" spans="2:12">
      <c r="B39" s="1297"/>
      <c r="C39" s="1297"/>
      <c r="D39" s="1297"/>
      <c r="E39" s="1297" t="s">
        <v>947</v>
      </c>
      <c r="F39" s="1399">
        <v>114487.39</v>
      </c>
      <c r="J39" s="1399">
        <v>114487.39</v>
      </c>
    </row>
    <row r="40" spans="2:12">
      <c r="B40" s="1297"/>
      <c r="C40" s="1297"/>
      <c r="D40" s="1297"/>
      <c r="E40" s="1404" t="s">
        <v>948</v>
      </c>
      <c r="F40" s="1405"/>
      <c r="G40" s="1405"/>
      <c r="H40" s="1405">
        <v>7187195.3899999997</v>
      </c>
      <c r="I40" s="1405"/>
      <c r="J40" s="1405">
        <v>7187195.3899999997</v>
      </c>
    </row>
    <row r="41" spans="2:12" s="1400" customFormat="1">
      <c r="D41" s="1400" t="s">
        <v>949</v>
      </c>
      <c r="F41" s="1401">
        <f>SUM(F4:F40)</f>
        <v>5906652.5099999998</v>
      </c>
      <c r="G41" s="1401">
        <f>SUM(G4:G40)</f>
        <v>14464277.969999999</v>
      </c>
      <c r="H41" s="1401">
        <f>SUM(H4:H40)-H40</f>
        <v>1312873.2600000007</v>
      </c>
      <c r="I41" s="1401">
        <f>SUM(I4:I40)-I25</f>
        <v>16937632.889999997</v>
      </c>
      <c r="J41" s="1401">
        <f>SUM(J4:J40)</f>
        <v>46870956.539999999</v>
      </c>
      <c r="K41" s="1401">
        <f>SUM(F41:I41)</f>
        <v>38621436.629999995</v>
      </c>
      <c r="L41" s="1406">
        <f>K41/C4</f>
        <v>11707.013225219762</v>
      </c>
    </row>
    <row r="42" spans="2:12">
      <c r="B42" s="1297" t="s">
        <v>950</v>
      </c>
      <c r="C42" s="1297">
        <v>1617</v>
      </c>
      <c r="D42" s="1297" t="s">
        <v>951</v>
      </c>
      <c r="E42" s="1297" t="s">
        <v>906</v>
      </c>
      <c r="G42" s="1399">
        <v>1837307.58</v>
      </c>
      <c r="J42" s="1399">
        <v>1837307.58</v>
      </c>
    </row>
    <row r="43" spans="2:12">
      <c r="B43" s="1297"/>
      <c r="C43" s="1297"/>
      <c r="D43" s="1297"/>
      <c r="E43" s="1297" t="s">
        <v>952</v>
      </c>
      <c r="G43" s="1399">
        <v>3470.03</v>
      </c>
      <c r="J43" s="1399">
        <v>3470.03</v>
      </c>
    </row>
    <row r="44" spans="2:12">
      <c r="B44" s="1297"/>
      <c r="C44" s="1297"/>
      <c r="D44" s="1297"/>
      <c r="E44" s="1297" t="s">
        <v>907</v>
      </c>
      <c r="G44" s="1399">
        <v>713596.85</v>
      </c>
      <c r="J44" s="1399">
        <v>713596.85</v>
      </c>
    </row>
    <row r="45" spans="2:12">
      <c r="B45" s="1297"/>
      <c r="C45" s="1297"/>
      <c r="D45" s="1297"/>
      <c r="E45" s="1297" t="s">
        <v>908</v>
      </c>
      <c r="G45" s="1399">
        <v>9100.58</v>
      </c>
      <c r="J45" s="1399">
        <v>9100.58</v>
      </c>
    </row>
    <row r="46" spans="2:12">
      <c r="B46" s="1297"/>
      <c r="C46" s="1297"/>
      <c r="D46" s="1297"/>
      <c r="E46" s="1297" t="s">
        <v>1034</v>
      </c>
      <c r="G46" s="1297"/>
      <c r="H46" s="1399">
        <v>17832.099999999999</v>
      </c>
      <c r="J46" s="1399">
        <v>17832.099999999999</v>
      </c>
    </row>
    <row r="47" spans="2:12">
      <c r="B47" s="1297"/>
      <c r="C47" s="1297"/>
      <c r="D47" s="1297"/>
      <c r="E47" s="1297" t="s">
        <v>1035</v>
      </c>
      <c r="G47" s="1297"/>
      <c r="H47" s="1399">
        <v>173727.84</v>
      </c>
      <c r="J47" s="1399">
        <v>173727.84</v>
      </c>
    </row>
    <row r="48" spans="2:12">
      <c r="B48" s="1297"/>
      <c r="C48" s="1297"/>
      <c r="D48" s="1297"/>
      <c r="E48" s="1297" t="s">
        <v>1036</v>
      </c>
      <c r="G48" s="1297"/>
      <c r="H48" s="1399">
        <v>48082.75</v>
      </c>
      <c r="J48" s="1399">
        <v>48082.75</v>
      </c>
    </row>
    <row r="49" spans="5:10" s="1297" customFormat="1">
      <c r="E49" s="1297" t="s">
        <v>1039</v>
      </c>
      <c r="F49" s="1399"/>
      <c r="H49" s="1399">
        <v>1271.2399999999975</v>
      </c>
      <c r="I49" s="1399"/>
      <c r="J49" s="1399">
        <v>1271.2399999999975</v>
      </c>
    </row>
    <row r="50" spans="5:10" s="1297" customFormat="1">
      <c r="E50" s="1297" t="s">
        <v>1041</v>
      </c>
      <c r="F50" s="1399"/>
      <c r="H50" s="1399">
        <v>282.2</v>
      </c>
      <c r="I50" s="1399"/>
      <c r="J50" s="1399">
        <v>282.2</v>
      </c>
    </row>
    <row r="51" spans="5:10" s="1297" customFormat="1">
      <c r="E51" s="1297" t="s">
        <v>1042</v>
      </c>
      <c r="F51" s="1399"/>
      <c r="H51" s="1399">
        <v>10774.25</v>
      </c>
      <c r="I51" s="1399"/>
      <c r="J51" s="1399">
        <v>10774.25</v>
      </c>
    </row>
    <row r="52" spans="5:10" s="1297" customFormat="1">
      <c r="E52" s="1297" t="s">
        <v>953</v>
      </c>
      <c r="F52" s="1399"/>
      <c r="H52" s="1399">
        <v>47980.85</v>
      </c>
      <c r="I52" s="1399"/>
      <c r="J52" s="1399">
        <v>47980.85</v>
      </c>
    </row>
    <row r="53" spans="5:10" s="1297" customFormat="1">
      <c r="E53" s="1297" t="s">
        <v>954</v>
      </c>
      <c r="F53" s="1399"/>
      <c r="H53" s="1399">
        <v>3695.65</v>
      </c>
      <c r="I53" s="1399"/>
      <c r="J53" s="1399">
        <v>3695.65</v>
      </c>
    </row>
    <row r="54" spans="5:10" s="1297" customFormat="1">
      <c r="E54" s="1297" t="s">
        <v>1044</v>
      </c>
      <c r="F54" s="1399"/>
      <c r="H54" s="1399">
        <v>15780</v>
      </c>
      <c r="I54" s="1399"/>
      <c r="J54" s="1399">
        <v>15780</v>
      </c>
    </row>
    <row r="55" spans="5:10" s="1297" customFormat="1">
      <c r="E55" s="1297" t="s">
        <v>1045</v>
      </c>
      <c r="F55" s="1399"/>
      <c r="H55" s="1399">
        <v>174148.6</v>
      </c>
      <c r="I55" s="1399"/>
      <c r="J55" s="1399">
        <v>174148.6</v>
      </c>
    </row>
    <row r="56" spans="5:10" s="1297" customFormat="1">
      <c r="E56" s="1297" t="s">
        <v>1046</v>
      </c>
      <c r="F56" s="1399"/>
      <c r="G56" s="1399"/>
      <c r="H56" s="1399"/>
      <c r="I56" s="1399">
        <v>8613628</v>
      </c>
      <c r="J56" s="1399">
        <v>8613628</v>
      </c>
    </row>
    <row r="57" spans="5:10" s="1297" customFormat="1">
      <c r="E57" s="1297" t="s">
        <v>1047</v>
      </c>
      <c r="F57" s="1399"/>
      <c r="G57" s="1399"/>
      <c r="H57" s="1399"/>
      <c r="I57" s="1399">
        <v>375199</v>
      </c>
      <c r="J57" s="1399">
        <v>375199</v>
      </c>
    </row>
    <row r="58" spans="5:10" s="1297" customFormat="1">
      <c r="E58" s="1297" t="s">
        <v>1048</v>
      </c>
      <c r="F58" s="1399"/>
      <c r="G58" s="1399"/>
      <c r="H58" s="1399"/>
      <c r="I58" s="1399">
        <v>-576197</v>
      </c>
      <c r="J58" s="1399">
        <v>-576197</v>
      </c>
    </row>
    <row r="59" spans="5:10" s="1297" customFormat="1">
      <c r="E59" s="1297" t="s">
        <v>932</v>
      </c>
      <c r="F59" s="1399"/>
      <c r="G59" s="1399"/>
      <c r="H59" s="1399"/>
      <c r="I59" s="1399">
        <v>1702766</v>
      </c>
      <c r="J59" s="1399">
        <v>1702766</v>
      </c>
    </row>
    <row r="60" spans="5:10" s="1297" customFormat="1">
      <c r="E60" s="1404" t="s">
        <v>955</v>
      </c>
      <c r="F60" s="1405"/>
      <c r="G60" s="1405"/>
      <c r="H60" s="1405"/>
      <c r="I60" s="1405">
        <v>468561.5</v>
      </c>
      <c r="J60" s="1405">
        <v>468561.5</v>
      </c>
    </row>
    <row r="61" spans="5:10" s="1297" customFormat="1">
      <c r="E61" s="1297" t="s">
        <v>934</v>
      </c>
      <c r="F61" s="1399"/>
      <c r="G61" s="1399"/>
      <c r="H61" s="1399"/>
      <c r="I61" s="1399">
        <v>31348</v>
      </c>
      <c r="J61" s="1399">
        <v>31348</v>
      </c>
    </row>
    <row r="62" spans="5:10" s="1297" customFormat="1">
      <c r="E62" s="1297" t="s">
        <v>935</v>
      </c>
      <c r="F62" s="1399"/>
      <c r="G62" s="1399"/>
      <c r="H62" s="1399"/>
      <c r="I62" s="1399">
        <v>204995.96</v>
      </c>
      <c r="J62" s="1399">
        <v>204995.96</v>
      </c>
    </row>
    <row r="63" spans="5:10" s="1297" customFormat="1">
      <c r="E63" s="1297" t="s">
        <v>936</v>
      </c>
      <c r="F63" s="1399"/>
      <c r="G63" s="1399"/>
      <c r="H63" s="1399"/>
      <c r="I63" s="1399">
        <v>25560.99</v>
      </c>
      <c r="J63" s="1399">
        <v>25560.99</v>
      </c>
    </row>
    <row r="64" spans="5:10" s="1297" customFormat="1">
      <c r="E64" s="1297" t="s">
        <v>937</v>
      </c>
      <c r="F64" s="1399"/>
      <c r="G64" s="1399"/>
      <c r="H64" s="1399"/>
      <c r="I64" s="1399">
        <v>4205.3</v>
      </c>
      <c r="J64" s="1399">
        <v>4205.3</v>
      </c>
    </row>
    <row r="65" spans="2:12">
      <c r="B65" s="1297"/>
      <c r="C65" s="1297"/>
      <c r="D65" s="1297"/>
      <c r="E65" s="1297" t="s">
        <v>938</v>
      </c>
      <c r="I65" s="1399">
        <v>8048</v>
      </c>
      <c r="J65" s="1399">
        <v>8048</v>
      </c>
    </row>
    <row r="66" spans="2:12">
      <c r="B66" s="1297"/>
      <c r="C66" s="1297"/>
      <c r="D66" s="1297"/>
      <c r="E66" s="1297" t="s">
        <v>939</v>
      </c>
      <c r="I66" s="1399">
        <v>8494.86</v>
      </c>
      <c r="J66" s="1399">
        <v>8494.86</v>
      </c>
    </row>
    <row r="67" spans="2:12">
      <c r="B67" s="1297"/>
      <c r="C67" s="1297"/>
      <c r="D67" s="1297"/>
      <c r="E67" s="1297" t="s">
        <v>940</v>
      </c>
      <c r="F67" s="1399">
        <v>566929.36</v>
      </c>
      <c r="J67" s="1399">
        <v>566929.36</v>
      </c>
    </row>
    <row r="68" spans="2:12">
      <c r="B68" s="1297"/>
      <c r="C68" s="1297"/>
      <c r="D68" s="1297"/>
      <c r="E68" s="1297" t="s">
        <v>941</v>
      </c>
      <c r="F68" s="1399">
        <v>281741.53999999998</v>
      </c>
      <c r="J68" s="1399">
        <v>281741.53999999998</v>
      </c>
    </row>
    <row r="69" spans="2:12">
      <c r="B69" s="1297"/>
      <c r="C69" s="1297"/>
      <c r="D69" s="1297"/>
      <c r="E69" s="1297" t="s">
        <v>942</v>
      </c>
      <c r="F69" s="1399">
        <v>10045.68</v>
      </c>
      <c r="J69" s="1399">
        <v>10045.68</v>
      </c>
    </row>
    <row r="70" spans="2:12">
      <c r="B70" s="1297"/>
      <c r="C70" s="1297"/>
      <c r="D70" s="1297"/>
      <c r="E70" s="1297" t="s">
        <v>944</v>
      </c>
      <c r="F70" s="1399">
        <v>1311014.29</v>
      </c>
      <c r="J70" s="1399">
        <v>1311014.29</v>
      </c>
    </row>
    <row r="71" spans="2:12">
      <c r="B71" s="1297"/>
      <c r="C71" s="1297"/>
      <c r="D71" s="1297"/>
      <c r="E71" s="1297" t="s">
        <v>945</v>
      </c>
      <c r="F71" s="1399">
        <v>914904.08000000007</v>
      </c>
      <c r="J71" s="1399">
        <v>914904.08000000007</v>
      </c>
    </row>
    <row r="72" spans="2:12">
      <c r="B72" s="1297"/>
      <c r="C72" s="1297"/>
      <c r="D72" s="1297"/>
      <c r="E72" s="1297" t="s">
        <v>947</v>
      </c>
      <c r="F72" s="1399">
        <v>28642.85</v>
      </c>
      <c r="J72" s="1399">
        <v>28642.85</v>
      </c>
    </row>
    <row r="73" spans="2:12">
      <c r="B73" s="1297"/>
      <c r="C73" s="1297"/>
      <c r="D73" s="1297"/>
      <c r="E73" s="1404" t="s">
        <v>948</v>
      </c>
      <c r="F73" s="1405"/>
      <c r="G73" s="1405"/>
      <c r="H73" s="1405">
        <v>1542438.0799999998</v>
      </c>
      <c r="I73" s="1405"/>
      <c r="J73" s="1405">
        <v>1542438.0799999998</v>
      </c>
    </row>
    <row r="74" spans="2:12">
      <c r="B74" s="1297"/>
      <c r="C74" s="1297"/>
      <c r="D74" s="1297"/>
      <c r="E74" s="1297" t="s">
        <v>956</v>
      </c>
      <c r="H74" s="1399">
        <v>53814.5</v>
      </c>
      <c r="J74" s="1399">
        <v>53814.5</v>
      </c>
    </row>
    <row r="75" spans="2:12" s="1400" customFormat="1">
      <c r="D75" s="1400" t="s">
        <v>957</v>
      </c>
      <c r="F75" s="1401">
        <f>SUM(F42:F74)</f>
        <v>3113277.8000000003</v>
      </c>
      <c r="G75" s="1401">
        <f>SUM(G42:G74)</f>
        <v>2563475.04</v>
      </c>
      <c r="H75" s="1401">
        <f>SUM(H42:H74)-H73</f>
        <v>547389.98</v>
      </c>
      <c r="I75" s="1401">
        <f>SUM(I42:I74)-I60</f>
        <v>10398049.110000001</v>
      </c>
      <c r="J75" s="1401">
        <f>SUM(J42:J74)</f>
        <v>18633191.509999998</v>
      </c>
      <c r="K75" s="1401">
        <f>SUM(F75:I75)</f>
        <v>16622191.930000002</v>
      </c>
      <c r="L75" s="1407">
        <f>K75/C42</f>
        <v>10279.648688930118</v>
      </c>
    </row>
    <row r="76" spans="2:12">
      <c r="B76" s="1297" t="s">
        <v>958</v>
      </c>
      <c r="C76" s="1297">
        <v>1860</v>
      </c>
      <c r="D76" s="1297" t="s">
        <v>959</v>
      </c>
      <c r="E76" s="1297" t="s">
        <v>906</v>
      </c>
      <c r="G76" s="1399">
        <v>2999863.01</v>
      </c>
      <c r="J76" s="1399">
        <v>2999863.01</v>
      </c>
    </row>
    <row r="77" spans="2:12">
      <c r="B77" s="1297"/>
      <c r="C77" s="1297"/>
      <c r="D77" s="1297"/>
      <c r="E77" s="1297" t="s">
        <v>952</v>
      </c>
      <c r="G77" s="1399">
        <v>19729.27</v>
      </c>
      <c r="J77" s="1399">
        <v>19729.27</v>
      </c>
    </row>
    <row r="78" spans="2:12">
      <c r="B78" s="1297"/>
      <c r="C78" s="1297"/>
      <c r="D78" s="1297"/>
      <c r="E78" s="1297" t="s">
        <v>907</v>
      </c>
      <c r="G78" s="1399">
        <v>1135347.58</v>
      </c>
      <c r="J78" s="1399">
        <v>1135347.58</v>
      </c>
    </row>
    <row r="79" spans="2:12">
      <c r="B79" s="1297"/>
      <c r="C79" s="1297"/>
      <c r="D79" s="1297"/>
      <c r="E79" s="1297" t="s">
        <v>908</v>
      </c>
      <c r="G79" s="1399">
        <v>3001.83</v>
      </c>
      <c r="J79" s="1399">
        <v>3001.83</v>
      </c>
    </row>
    <row r="80" spans="2:12">
      <c r="B80" s="1297"/>
      <c r="C80" s="1297"/>
      <c r="D80" s="1297"/>
      <c r="E80" s="1297" t="s">
        <v>910</v>
      </c>
      <c r="G80" s="1297"/>
      <c r="H80" s="1399">
        <v>58941.630000000005</v>
      </c>
      <c r="J80" s="1399">
        <v>58941.630000000005</v>
      </c>
    </row>
    <row r="81" spans="5:10" s="1297" customFormat="1">
      <c r="E81" s="1297" t="s">
        <v>1034</v>
      </c>
      <c r="F81" s="1399"/>
      <c r="H81" s="1399">
        <v>41932.089999999997</v>
      </c>
      <c r="I81" s="1399"/>
      <c r="J81" s="1399">
        <v>41932.089999999997</v>
      </c>
    </row>
    <row r="82" spans="5:10" s="1297" customFormat="1">
      <c r="E82" s="1297" t="s">
        <v>1035</v>
      </c>
      <c r="F82" s="1399"/>
      <c r="H82" s="1399">
        <v>214814.93000000002</v>
      </c>
      <c r="I82" s="1399"/>
      <c r="J82" s="1399">
        <v>214814.93000000002</v>
      </c>
    </row>
    <row r="83" spans="5:10" s="1297" customFormat="1">
      <c r="E83" s="1297" t="s">
        <v>1036</v>
      </c>
      <c r="F83" s="1399"/>
      <c r="H83" s="1399">
        <v>65513.55</v>
      </c>
      <c r="I83" s="1399"/>
      <c r="J83" s="1399">
        <v>65513.55</v>
      </c>
    </row>
    <row r="84" spans="5:10" s="1297" customFormat="1">
      <c r="E84" s="1297" t="s">
        <v>1039</v>
      </c>
      <c r="F84" s="1399"/>
      <c r="H84" s="1399">
        <v>25750.31</v>
      </c>
      <c r="I84" s="1399"/>
      <c r="J84" s="1399">
        <v>25750.31</v>
      </c>
    </row>
    <row r="85" spans="5:10" s="1297" customFormat="1">
      <c r="E85" s="1297" t="s">
        <v>1040</v>
      </c>
      <c r="F85" s="1399"/>
      <c r="H85" s="1399">
        <v>155141.71</v>
      </c>
      <c r="I85" s="1399"/>
      <c r="J85" s="1399">
        <v>155141.71</v>
      </c>
    </row>
    <row r="86" spans="5:10" s="1297" customFormat="1">
      <c r="E86" s="1297" t="s">
        <v>1041</v>
      </c>
      <c r="F86" s="1399"/>
      <c r="H86" s="1399">
        <v>51129</v>
      </c>
      <c r="I86" s="1399"/>
      <c r="J86" s="1399">
        <v>51129</v>
      </c>
    </row>
    <row r="87" spans="5:10" s="1297" customFormat="1">
      <c r="E87" s="1297" t="s">
        <v>1042</v>
      </c>
      <c r="F87" s="1399"/>
      <c r="H87" s="1399">
        <v>46950.59</v>
      </c>
      <c r="I87" s="1399"/>
      <c r="J87" s="1399">
        <v>46950.59</v>
      </c>
    </row>
    <row r="88" spans="5:10" s="1297" customFormat="1">
      <c r="E88" s="1297" t="s">
        <v>953</v>
      </c>
      <c r="F88" s="1399"/>
      <c r="H88" s="1399">
        <v>5396.8</v>
      </c>
      <c r="I88" s="1399"/>
      <c r="J88" s="1399">
        <v>5396.8</v>
      </c>
    </row>
    <row r="89" spans="5:10" s="1297" customFormat="1">
      <c r="E89" s="1297" t="s">
        <v>1045</v>
      </c>
      <c r="F89" s="1399"/>
      <c r="H89" s="1399">
        <v>67807.75</v>
      </c>
      <c r="I89" s="1399"/>
      <c r="J89" s="1399">
        <v>67807.75</v>
      </c>
    </row>
    <row r="90" spans="5:10" s="1297" customFormat="1">
      <c r="E90" s="1297" t="s">
        <v>1046</v>
      </c>
      <c r="F90" s="1399"/>
      <c r="G90" s="1399"/>
      <c r="H90" s="1399"/>
      <c r="I90" s="1399">
        <v>10077693</v>
      </c>
      <c r="J90" s="1399">
        <v>10077693</v>
      </c>
    </row>
    <row r="91" spans="5:10" s="1297" customFormat="1">
      <c r="E91" s="1297" t="s">
        <v>1047</v>
      </c>
      <c r="F91" s="1399"/>
      <c r="G91" s="1399"/>
      <c r="H91" s="1399"/>
      <c r="I91" s="1399">
        <v>369396</v>
      </c>
      <c r="J91" s="1399">
        <v>369396</v>
      </c>
    </row>
    <row r="92" spans="5:10" s="1297" customFormat="1">
      <c r="E92" s="1297" t="s">
        <v>1048</v>
      </c>
      <c r="F92" s="1399"/>
      <c r="G92" s="1399"/>
      <c r="H92" s="1399"/>
      <c r="I92" s="1399">
        <v>-963626</v>
      </c>
      <c r="J92" s="1399">
        <v>-963626</v>
      </c>
    </row>
    <row r="93" spans="5:10" s="1297" customFormat="1">
      <c r="E93" s="1297" t="s">
        <v>932</v>
      </c>
      <c r="F93" s="1399"/>
      <c r="G93" s="1399"/>
      <c r="H93" s="1399"/>
      <c r="I93" s="1399">
        <v>1142589</v>
      </c>
      <c r="J93" s="1399">
        <v>1142589</v>
      </c>
    </row>
    <row r="94" spans="5:10" s="1297" customFormat="1">
      <c r="E94" s="1404" t="s">
        <v>955</v>
      </c>
      <c r="F94" s="1405"/>
      <c r="G94" s="1405"/>
      <c r="H94" s="1405"/>
      <c r="I94" s="1405">
        <v>407815.47</v>
      </c>
      <c r="J94" s="1405">
        <v>407815.47</v>
      </c>
    </row>
    <row r="95" spans="5:10" s="1297" customFormat="1">
      <c r="E95" s="1297" t="s">
        <v>934</v>
      </c>
      <c r="F95" s="1399"/>
      <c r="G95" s="1399"/>
      <c r="H95" s="1399"/>
      <c r="I95" s="1399">
        <v>27112</v>
      </c>
      <c r="J95" s="1399">
        <v>27112</v>
      </c>
    </row>
    <row r="96" spans="5:10" s="1297" customFormat="1">
      <c r="E96" s="1297" t="s">
        <v>935</v>
      </c>
      <c r="F96" s="1399"/>
      <c r="G96" s="1399"/>
      <c r="H96" s="1399"/>
      <c r="I96" s="1399">
        <v>346741.36000000004</v>
      </c>
      <c r="J96" s="1399">
        <v>346741.36000000004</v>
      </c>
    </row>
    <row r="97" spans="5:10" s="1297" customFormat="1">
      <c r="E97" s="1297" t="s">
        <v>936</v>
      </c>
      <c r="F97" s="1399"/>
      <c r="G97" s="1399"/>
      <c r="H97" s="1399"/>
      <c r="I97" s="1399">
        <v>28712.34</v>
      </c>
      <c r="J97" s="1399">
        <v>28712.34</v>
      </c>
    </row>
    <row r="98" spans="5:10" s="1297" customFormat="1">
      <c r="E98" s="1297" t="s">
        <v>937</v>
      </c>
      <c r="F98" s="1399"/>
      <c r="G98" s="1399"/>
      <c r="H98" s="1399"/>
      <c r="I98" s="1399">
        <v>2230.54</v>
      </c>
      <c r="J98" s="1399">
        <v>2230.54</v>
      </c>
    </row>
    <row r="99" spans="5:10" s="1297" customFormat="1">
      <c r="E99" s="1297" t="s">
        <v>938</v>
      </c>
      <c r="F99" s="1399"/>
      <c r="G99" s="1399"/>
      <c r="H99" s="1399"/>
      <c r="I99" s="1399">
        <v>10855</v>
      </c>
      <c r="J99" s="1399">
        <v>10855</v>
      </c>
    </row>
    <row r="100" spans="5:10" s="1297" customFormat="1">
      <c r="E100" s="1297" t="s">
        <v>939</v>
      </c>
      <c r="F100" s="1399"/>
      <c r="G100" s="1399"/>
      <c r="H100" s="1399"/>
      <c r="I100" s="1399">
        <v>44252.32</v>
      </c>
      <c r="J100" s="1399">
        <v>44252.32</v>
      </c>
    </row>
    <row r="101" spans="5:10" s="1297" customFormat="1">
      <c r="E101" s="1297" t="s">
        <v>940</v>
      </c>
      <c r="F101" s="1399">
        <v>495998.38</v>
      </c>
      <c r="G101" s="1399"/>
      <c r="H101" s="1399"/>
      <c r="I101" s="1399"/>
      <c r="J101" s="1399">
        <v>495998.38</v>
      </c>
    </row>
    <row r="102" spans="5:10" s="1297" customFormat="1">
      <c r="E102" s="1297" t="s">
        <v>941</v>
      </c>
      <c r="F102" s="1399">
        <v>154941.85999999999</v>
      </c>
      <c r="G102" s="1399"/>
      <c r="H102" s="1399"/>
      <c r="I102" s="1399"/>
      <c r="J102" s="1399">
        <v>154941.85999999999</v>
      </c>
    </row>
    <row r="103" spans="5:10" s="1297" customFormat="1">
      <c r="E103" s="1297" t="s">
        <v>943</v>
      </c>
      <c r="F103" s="1399">
        <v>683.02</v>
      </c>
      <c r="G103" s="1399"/>
      <c r="H103" s="1399"/>
      <c r="I103" s="1399"/>
      <c r="J103" s="1399">
        <v>683.02</v>
      </c>
    </row>
    <row r="104" spans="5:10" s="1297" customFormat="1">
      <c r="E104" s="1297" t="s">
        <v>944</v>
      </c>
      <c r="F104" s="1399">
        <v>1375864.61</v>
      </c>
      <c r="G104" s="1399"/>
      <c r="H104" s="1399"/>
      <c r="I104" s="1399"/>
      <c r="J104" s="1399">
        <v>1375864.61</v>
      </c>
    </row>
    <row r="105" spans="5:10" s="1297" customFormat="1">
      <c r="E105" s="1297" t="s">
        <v>945</v>
      </c>
      <c r="F105" s="1399">
        <v>733188.51</v>
      </c>
      <c r="G105" s="1399"/>
      <c r="H105" s="1399"/>
      <c r="I105" s="1399"/>
      <c r="J105" s="1399">
        <v>733188.51</v>
      </c>
    </row>
    <row r="106" spans="5:10" s="1297" customFormat="1">
      <c r="E106" s="1297" t="s">
        <v>946</v>
      </c>
      <c r="F106" s="1399">
        <v>32964.58</v>
      </c>
      <c r="G106" s="1399"/>
      <c r="H106" s="1399"/>
      <c r="I106" s="1399"/>
      <c r="J106" s="1399">
        <v>32964.58</v>
      </c>
    </row>
    <row r="107" spans="5:10" s="1297" customFormat="1">
      <c r="E107" s="1297" t="s">
        <v>947</v>
      </c>
      <c r="F107" s="1399">
        <v>35771.58</v>
      </c>
      <c r="G107" s="1399"/>
      <c r="H107" s="1399"/>
      <c r="I107" s="1399"/>
      <c r="J107" s="1399">
        <v>35771.58</v>
      </c>
    </row>
    <row r="108" spans="5:10" s="1297" customFormat="1">
      <c r="E108" s="1297" t="s">
        <v>1115</v>
      </c>
      <c r="F108" s="1399">
        <v>608.28</v>
      </c>
      <c r="G108" s="1399"/>
      <c r="H108" s="1399"/>
      <c r="I108" s="1399"/>
      <c r="J108" s="1399">
        <v>608.28</v>
      </c>
    </row>
    <row r="109" spans="5:10" s="1297" customFormat="1">
      <c r="E109" s="1404" t="s">
        <v>1116</v>
      </c>
      <c r="F109" s="1405"/>
      <c r="G109" s="1405"/>
      <c r="H109" s="1405">
        <v>16600000</v>
      </c>
      <c r="I109" s="1405"/>
      <c r="J109" s="1405">
        <v>16600000</v>
      </c>
    </row>
    <row r="110" spans="5:10" s="1297" customFormat="1">
      <c r="E110" s="1404" t="s">
        <v>1117</v>
      </c>
      <c r="F110" s="1405"/>
      <c r="G110" s="1405"/>
      <c r="H110" s="1405">
        <v>104079.9</v>
      </c>
      <c r="I110" s="1405"/>
      <c r="J110" s="1405">
        <v>104079.9</v>
      </c>
    </row>
    <row r="111" spans="5:10" s="1297" customFormat="1">
      <c r="E111" s="1404" t="s">
        <v>948</v>
      </c>
      <c r="F111" s="1405"/>
      <c r="G111" s="1405"/>
      <c r="H111" s="1405">
        <v>501947.70999999996</v>
      </c>
      <c r="I111" s="1405"/>
      <c r="J111" s="1405">
        <v>501947.70999999996</v>
      </c>
    </row>
    <row r="112" spans="5:10" s="1297" customFormat="1">
      <c r="E112" s="1297" t="s">
        <v>1118</v>
      </c>
      <c r="F112" s="1399"/>
      <c r="G112" s="1399"/>
      <c r="H112" s="1399">
        <v>147944.79999999999</v>
      </c>
      <c r="I112" s="1399"/>
      <c r="J112" s="1399">
        <v>147944.79999999999</v>
      </c>
    </row>
    <row r="113" spans="2:12">
      <c r="B113" s="1297"/>
      <c r="C113" s="1297"/>
      <c r="D113" s="1400" t="s">
        <v>1119</v>
      </c>
      <c r="E113" s="1400"/>
      <c r="F113" s="1401">
        <v>2830020.82</v>
      </c>
      <c r="G113" s="1401">
        <f>SUM(G76:G112)</f>
        <v>4157941.69</v>
      </c>
      <c r="H113" s="1401">
        <f>SUM(H76:H112)-(H109+H110+H111)</f>
        <v>881323.16000000015</v>
      </c>
      <c r="I113" s="1401">
        <f>SUM(I76:I112)-I94</f>
        <v>11085955.559999999</v>
      </c>
      <c r="J113" s="1401">
        <f>SUM(J76:J112)</f>
        <v>36569084.309999987</v>
      </c>
      <c r="K113" s="1401">
        <f>SUM(F113:I113)</f>
        <v>18955241.229999997</v>
      </c>
      <c r="L113" s="1408">
        <f>K113/C76</f>
        <v>10190.989908602149</v>
      </c>
    </row>
    <row r="114" spans="2:12">
      <c r="B114" s="1297" t="s">
        <v>1120</v>
      </c>
      <c r="C114" s="1297">
        <v>327</v>
      </c>
      <c r="D114" s="1297" t="s">
        <v>1121</v>
      </c>
      <c r="E114" s="1297" t="s">
        <v>906</v>
      </c>
      <c r="G114" s="1399">
        <v>2168911.9500000002</v>
      </c>
      <c r="J114" s="1399">
        <v>2168911.9500000002</v>
      </c>
    </row>
    <row r="115" spans="2:12">
      <c r="B115" s="1297"/>
      <c r="C115" s="1297"/>
      <c r="D115" s="1297"/>
      <c r="E115" s="1297" t="s">
        <v>952</v>
      </c>
      <c r="G115" s="1399">
        <v>491.76</v>
      </c>
      <c r="J115" s="1399">
        <v>491.76</v>
      </c>
    </row>
    <row r="116" spans="2:12">
      <c r="B116" s="1297"/>
      <c r="C116" s="1297"/>
      <c r="D116" s="1297"/>
      <c r="E116" s="1297" t="s">
        <v>907</v>
      </c>
      <c r="G116" s="1399">
        <v>281369.73</v>
      </c>
      <c r="J116" s="1399">
        <v>281369.73</v>
      </c>
    </row>
    <row r="117" spans="2:12">
      <c r="B117" s="1297"/>
      <c r="C117" s="1297"/>
      <c r="D117" s="1297"/>
      <c r="E117" s="1297" t="s">
        <v>908</v>
      </c>
      <c r="G117" s="1399">
        <v>1697.72</v>
      </c>
      <c r="J117" s="1399">
        <v>1697.72</v>
      </c>
    </row>
    <row r="118" spans="2:12">
      <c r="B118" s="1297"/>
      <c r="C118" s="1297"/>
      <c r="D118" s="1297"/>
      <c r="E118" s="1297" t="s">
        <v>1122</v>
      </c>
      <c r="G118" s="1399">
        <v>0</v>
      </c>
      <c r="J118" s="1399">
        <v>0</v>
      </c>
    </row>
    <row r="119" spans="2:12">
      <c r="B119" s="1297"/>
      <c r="C119" s="1297"/>
      <c r="D119" s="1297"/>
      <c r="E119" s="1297" t="s">
        <v>1035</v>
      </c>
      <c r="H119" s="1399">
        <v>57540.560000000005</v>
      </c>
      <c r="J119" s="1399">
        <v>57540.560000000005</v>
      </c>
    </row>
    <row r="120" spans="2:12">
      <c r="B120" s="1297"/>
      <c r="C120" s="1297"/>
      <c r="D120" s="1297"/>
      <c r="E120" s="1297" t="s">
        <v>1039</v>
      </c>
      <c r="H120" s="1399">
        <v>251.68</v>
      </c>
      <c r="J120" s="1399">
        <v>251.68</v>
      </c>
    </row>
    <row r="121" spans="2:12">
      <c r="B121" s="1297"/>
      <c r="C121" s="1297"/>
      <c r="D121" s="1297"/>
      <c r="E121" s="1297" t="s">
        <v>1041</v>
      </c>
      <c r="H121" s="1399">
        <v>6119.9</v>
      </c>
      <c r="J121" s="1399">
        <v>6119.9</v>
      </c>
    </row>
    <row r="122" spans="2:12">
      <c r="B122" s="1297"/>
      <c r="C122" s="1297"/>
      <c r="D122" s="1297"/>
      <c r="E122" s="1297" t="s">
        <v>1045</v>
      </c>
      <c r="H122" s="1399">
        <v>58714.079999999994</v>
      </c>
      <c r="J122" s="1399">
        <v>58714.079999999994</v>
      </c>
    </row>
    <row r="123" spans="2:12">
      <c r="B123" s="1297"/>
      <c r="C123" s="1297"/>
      <c r="D123" s="1297"/>
      <c r="E123" s="1297" t="s">
        <v>1046</v>
      </c>
      <c r="I123" s="1399">
        <v>2107781</v>
      </c>
      <c r="J123" s="1399">
        <v>2107781</v>
      </c>
    </row>
    <row r="124" spans="2:12">
      <c r="B124" s="1297"/>
      <c r="C124" s="1297"/>
      <c r="D124" s="1297"/>
      <c r="E124" s="1297" t="s">
        <v>1047</v>
      </c>
      <c r="I124" s="1399">
        <v>266218</v>
      </c>
      <c r="J124" s="1399">
        <v>266218</v>
      </c>
    </row>
    <row r="125" spans="2:12">
      <c r="B125" s="1297"/>
      <c r="C125" s="1297"/>
      <c r="D125" s="1297"/>
      <c r="E125" s="1297" t="s">
        <v>1048</v>
      </c>
      <c r="I125" s="1399">
        <v>-635818</v>
      </c>
      <c r="J125" s="1399">
        <v>-635818</v>
      </c>
    </row>
    <row r="126" spans="2:12">
      <c r="B126" s="1297"/>
      <c r="C126" s="1297"/>
      <c r="D126" s="1297"/>
      <c r="E126" s="1297" t="s">
        <v>933</v>
      </c>
      <c r="I126" s="1399">
        <v>89836.85</v>
      </c>
      <c r="J126" s="1399">
        <v>89836.85</v>
      </c>
    </row>
    <row r="127" spans="2:12">
      <c r="B127" s="1297"/>
      <c r="C127" s="1297"/>
      <c r="D127" s="1297"/>
      <c r="E127" s="1297" t="s">
        <v>934</v>
      </c>
      <c r="I127" s="1399">
        <v>8762</v>
      </c>
      <c r="J127" s="1399">
        <v>8762</v>
      </c>
    </row>
    <row r="128" spans="2:12">
      <c r="B128" s="1297"/>
      <c r="C128" s="1297"/>
      <c r="D128" s="1297"/>
      <c r="E128" s="1297" t="s">
        <v>935</v>
      </c>
      <c r="I128" s="1399">
        <v>128416.31000000001</v>
      </c>
      <c r="J128" s="1399">
        <v>128416.31000000001</v>
      </c>
    </row>
    <row r="129" spans="2:12">
      <c r="B129" s="1297"/>
      <c r="C129" s="1297"/>
      <c r="D129" s="1297"/>
      <c r="E129" s="1297" t="s">
        <v>936</v>
      </c>
      <c r="I129" s="1399">
        <v>5602.41</v>
      </c>
      <c r="J129" s="1399">
        <v>5602.41</v>
      </c>
    </row>
    <row r="130" spans="2:12">
      <c r="B130" s="1297"/>
      <c r="C130" s="1297"/>
      <c r="D130" s="1297"/>
      <c r="E130" s="1297" t="s">
        <v>938</v>
      </c>
      <c r="I130" s="1399">
        <v>3930</v>
      </c>
      <c r="J130" s="1399">
        <v>3930</v>
      </c>
    </row>
    <row r="131" spans="2:12">
      <c r="B131" s="1297"/>
      <c r="C131" s="1297"/>
      <c r="D131" s="1297"/>
      <c r="E131" s="1297" t="s">
        <v>939</v>
      </c>
      <c r="I131" s="1399">
        <v>16856</v>
      </c>
      <c r="J131" s="1399">
        <v>16856</v>
      </c>
    </row>
    <row r="132" spans="2:12">
      <c r="B132" s="1297"/>
      <c r="C132" s="1297"/>
      <c r="D132" s="1297"/>
      <c r="E132" s="1297" t="s">
        <v>940</v>
      </c>
      <c r="F132" s="1399">
        <v>130198.8</v>
      </c>
      <c r="J132" s="1399">
        <v>130198.8</v>
      </c>
    </row>
    <row r="133" spans="2:12">
      <c r="B133" s="1297"/>
      <c r="C133" s="1297"/>
      <c r="D133" s="1297"/>
      <c r="E133" s="1297" t="s">
        <v>941</v>
      </c>
      <c r="F133" s="1399">
        <v>67276.600000000006</v>
      </c>
      <c r="J133" s="1399">
        <v>67276.600000000006</v>
      </c>
    </row>
    <row r="134" spans="2:12">
      <c r="B134" s="1297"/>
      <c r="C134" s="1297"/>
      <c r="D134" s="1297"/>
      <c r="E134" s="1297" t="s">
        <v>944</v>
      </c>
      <c r="F134" s="1399">
        <v>567204.80000000005</v>
      </c>
      <c r="J134" s="1399">
        <v>567204.80000000005</v>
      </c>
    </row>
    <row r="135" spans="2:12">
      <c r="B135" s="1297"/>
      <c r="C135" s="1297"/>
      <c r="D135" s="1297"/>
      <c r="E135" s="1297" t="s">
        <v>945</v>
      </c>
      <c r="F135" s="1399">
        <v>114824.69</v>
      </c>
      <c r="J135" s="1399">
        <v>114824.69</v>
      </c>
    </row>
    <row r="136" spans="2:12">
      <c r="B136" s="1297"/>
      <c r="C136" s="1297"/>
      <c r="D136" s="1297"/>
      <c r="E136" s="1297" t="s">
        <v>947</v>
      </c>
      <c r="F136" s="1399">
        <v>851.52</v>
      </c>
      <c r="J136" s="1399">
        <v>851.52</v>
      </c>
    </row>
    <row r="137" spans="2:12">
      <c r="B137" s="1297"/>
      <c r="C137" s="1297"/>
      <c r="D137" s="1297"/>
      <c r="E137" s="1404" t="s">
        <v>948</v>
      </c>
      <c r="F137" s="1405"/>
      <c r="G137" s="1405"/>
      <c r="H137" s="1405">
        <v>514427.17000000004</v>
      </c>
      <c r="I137" s="1405"/>
      <c r="J137" s="1405">
        <v>514427.17000000004</v>
      </c>
    </row>
    <row r="138" spans="2:12">
      <c r="B138" s="1297"/>
      <c r="C138" s="1297"/>
      <c r="D138" s="1400" t="s">
        <v>1123</v>
      </c>
      <c r="E138" s="1400"/>
      <c r="F138" s="1401">
        <f>SUM(F114:F137)</f>
        <v>880356.41000000015</v>
      </c>
      <c r="G138" s="1401">
        <f>SUM(G114:G137)</f>
        <v>2452471.16</v>
      </c>
      <c r="H138" s="1401">
        <f>SUM(H114:H137)-H137</f>
        <v>122626.21999999997</v>
      </c>
      <c r="I138" s="1401">
        <f>SUM(I114:I137)</f>
        <v>1991584.57</v>
      </c>
      <c r="J138" s="1401">
        <f>SUM(J114:J137)</f>
        <v>5961465.5299999993</v>
      </c>
      <c r="K138" s="1401">
        <f>SUM(F138:I138)</f>
        <v>5447038.3600000003</v>
      </c>
      <c r="L138" s="1408">
        <f>K138/C114</f>
        <v>16657.609663608564</v>
      </c>
    </row>
    <row r="139" spans="2:12">
      <c r="B139" s="1297" t="s">
        <v>1124</v>
      </c>
      <c r="C139" s="1297">
        <v>5428</v>
      </c>
      <c r="D139" s="1297" t="s">
        <v>1125</v>
      </c>
      <c r="E139" s="1297" t="s">
        <v>906</v>
      </c>
      <c r="G139" s="1399">
        <v>16305752.029999999</v>
      </c>
      <c r="J139" s="1399">
        <v>16305752.029999999</v>
      </c>
    </row>
    <row r="140" spans="2:12">
      <c r="B140" s="1297"/>
      <c r="C140" s="1297"/>
      <c r="D140" s="1297"/>
      <c r="E140" s="1297" t="s">
        <v>1126</v>
      </c>
      <c r="G140" s="1399">
        <v>566338.98</v>
      </c>
      <c r="J140" s="1399">
        <v>566338.98</v>
      </c>
    </row>
    <row r="141" spans="2:12">
      <c r="B141" s="1297"/>
      <c r="C141" s="1297"/>
      <c r="D141" s="1297"/>
      <c r="E141" s="1297" t="s">
        <v>952</v>
      </c>
      <c r="G141" s="1399">
        <v>175843.42</v>
      </c>
      <c r="J141" s="1399">
        <v>175843.42</v>
      </c>
    </row>
    <row r="142" spans="2:12">
      <c r="B142" s="1297"/>
      <c r="C142" s="1297"/>
      <c r="D142" s="1297"/>
      <c r="E142" s="1297" t="s">
        <v>907</v>
      </c>
      <c r="G142" s="1399">
        <v>5816712.5700000003</v>
      </c>
      <c r="J142" s="1399">
        <v>5816712.5700000003</v>
      </c>
    </row>
    <row r="143" spans="2:12">
      <c r="B143" s="1297"/>
      <c r="C143" s="1297"/>
      <c r="D143" s="1297"/>
      <c r="E143" s="1297" t="s">
        <v>908</v>
      </c>
      <c r="G143" s="1399">
        <v>20118.79</v>
      </c>
      <c r="J143" s="1399">
        <v>20118.79</v>
      </c>
    </row>
    <row r="144" spans="2:12">
      <c r="B144" s="1297"/>
      <c r="C144" s="1297"/>
      <c r="D144" s="1297"/>
      <c r="E144" s="1297" t="s">
        <v>909</v>
      </c>
      <c r="G144" s="1297"/>
      <c r="H144" s="1399">
        <v>72755.05</v>
      </c>
      <c r="J144" s="1399">
        <v>72755.05</v>
      </c>
    </row>
    <row r="145" spans="5:10" s="1297" customFormat="1">
      <c r="E145" s="1297" t="s">
        <v>910</v>
      </c>
      <c r="F145" s="1399"/>
      <c r="H145" s="1399">
        <v>20988.53</v>
      </c>
      <c r="I145" s="1399"/>
      <c r="J145" s="1399">
        <v>20988.53</v>
      </c>
    </row>
    <row r="146" spans="5:10" s="1297" customFormat="1">
      <c r="E146" s="1297" t="s">
        <v>1034</v>
      </c>
      <c r="F146" s="1399"/>
      <c r="H146" s="1399">
        <v>23011.48</v>
      </c>
      <c r="I146" s="1399"/>
      <c r="J146" s="1399">
        <v>23011.48</v>
      </c>
    </row>
    <row r="147" spans="5:10" s="1297" customFormat="1">
      <c r="E147" s="1297" t="s">
        <v>1035</v>
      </c>
      <c r="F147" s="1399"/>
      <c r="H147" s="1399">
        <v>407783.87</v>
      </c>
      <c r="I147" s="1399"/>
      <c r="J147" s="1399">
        <v>407783.87</v>
      </c>
    </row>
    <row r="148" spans="5:10" s="1297" customFormat="1">
      <c r="E148" s="1297" t="s">
        <v>1036</v>
      </c>
      <c r="F148" s="1399"/>
      <c r="H148" s="1399">
        <v>104413.37</v>
      </c>
      <c r="I148" s="1399"/>
      <c r="J148" s="1399">
        <v>104413.37</v>
      </c>
    </row>
    <row r="149" spans="5:10" s="1297" customFormat="1">
      <c r="E149" s="1297" t="s">
        <v>1037</v>
      </c>
      <c r="F149" s="1399"/>
      <c r="H149" s="1399">
        <v>11373.74</v>
      </c>
      <c r="I149" s="1399"/>
      <c r="J149" s="1399">
        <v>11373.74</v>
      </c>
    </row>
    <row r="150" spans="5:10" s="1297" customFormat="1">
      <c r="E150" s="1297" t="s">
        <v>1039</v>
      </c>
      <c r="F150" s="1399"/>
      <c r="H150" s="1399">
        <v>79251.140000000014</v>
      </c>
      <c r="I150" s="1399"/>
      <c r="J150" s="1399">
        <v>79251.140000000014</v>
      </c>
    </row>
    <row r="151" spans="5:10" s="1297" customFormat="1">
      <c r="E151" s="1297" t="s">
        <v>1040</v>
      </c>
      <c r="F151" s="1399"/>
      <c r="H151" s="1399">
        <v>266536.25</v>
      </c>
      <c r="I151" s="1399"/>
      <c r="J151" s="1399">
        <v>266536.25</v>
      </c>
    </row>
    <row r="152" spans="5:10" s="1297" customFormat="1">
      <c r="E152" s="1297" t="s">
        <v>1127</v>
      </c>
      <c r="F152" s="1399"/>
      <c r="H152" s="1399">
        <v>10694.39</v>
      </c>
      <c r="I152" s="1399"/>
      <c r="J152" s="1399">
        <v>10694.39</v>
      </c>
    </row>
    <row r="153" spans="5:10" s="1297" customFormat="1">
      <c r="E153" s="1297" t="s">
        <v>1041</v>
      </c>
      <c r="F153" s="1399"/>
      <c r="H153" s="1399">
        <v>68579.009999999995</v>
      </c>
      <c r="I153" s="1399"/>
      <c r="J153" s="1399">
        <v>68579.009999999995</v>
      </c>
    </row>
    <row r="154" spans="5:10" s="1297" customFormat="1">
      <c r="E154" s="1297" t="s">
        <v>1042</v>
      </c>
      <c r="F154" s="1399"/>
      <c r="H154" s="1399">
        <v>85881.61</v>
      </c>
      <c r="I154" s="1399"/>
      <c r="J154" s="1399">
        <v>85881.61</v>
      </c>
    </row>
    <row r="155" spans="5:10" s="1297" customFormat="1">
      <c r="E155" s="1297" t="s">
        <v>1044</v>
      </c>
      <c r="F155" s="1399"/>
      <c r="G155" s="1399">
        <v>30225.4</v>
      </c>
      <c r="H155" s="1399"/>
      <c r="I155" s="1399"/>
      <c r="J155" s="1399">
        <v>30225.4</v>
      </c>
    </row>
    <row r="156" spans="5:10" s="1297" customFormat="1">
      <c r="E156" s="1297" t="s">
        <v>1045</v>
      </c>
      <c r="F156" s="1399"/>
      <c r="H156" s="1399">
        <v>696116.64</v>
      </c>
      <c r="I156" s="1399"/>
      <c r="J156" s="1399">
        <v>696116.64</v>
      </c>
    </row>
    <row r="157" spans="5:10" s="1297" customFormat="1">
      <c r="E157" s="1297" t="s">
        <v>1046</v>
      </c>
      <c r="F157" s="1399"/>
      <c r="G157" s="1399"/>
      <c r="H157" s="1399"/>
      <c r="I157" s="1399">
        <v>29655306</v>
      </c>
      <c r="J157" s="1399">
        <v>29655306</v>
      </c>
    </row>
    <row r="158" spans="5:10" s="1297" customFormat="1">
      <c r="E158" s="1297" t="s">
        <v>1128</v>
      </c>
      <c r="F158" s="1399"/>
      <c r="G158" s="1399"/>
      <c r="H158" s="1399"/>
      <c r="I158" s="1399">
        <v>1687393</v>
      </c>
      <c r="J158" s="1399">
        <v>1687393</v>
      </c>
    </row>
    <row r="159" spans="5:10" s="1297" customFormat="1">
      <c r="E159" s="1297" t="s">
        <v>1129</v>
      </c>
      <c r="F159" s="1399"/>
      <c r="G159" s="1399"/>
      <c r="H159" s="1399"/>
      <c r="I159" s="1399">
        <v>-3975627</v>
      </c>
      <c r="J159" s="1399">
        <v>-3975627</v>
      </c>
    </row>
    <row r="160" spans="5:10" s="1297" customFormat="1">
      <c r="E160" s="1297" t="s">
        <v>1047</v>
      </c>
      <c r="F160" s="1399"/>
      <c r="G160" s="1399"/>
      <c r="H160" s="1399"/>
      <c r="I160" s="1399">
        <v>909501</v>
      </c>
      <c r="J160" s="1399">
        <v>909501</v>
      </c>
    </row>
    <row r="161" spans="5:10" s="1297" customFormat="1">
      <c r="E161" s="1297" t="s">
        <v>1048</v>
      </c>
      <c r="F161" s="1399"/>
      <c r="G161" s="1399"/>
      <c r="H161" s="1399"/>
      <c r="I161" s="1399">
        <v>-5280449</v>
      </c>
      <c r="J161" s="1399">
        <v>-5280449</v>
      </c>
    </row>
    <row r="162" spans="5:10" s="1297" customFormat="1">
      <c r="E162" s="1297" t="s">
        <v>932</v>
      </c>
      <c r="F162" s="1399"/>
      <c r="G162" s="1399"/>
      <c r="H162" s="1399"/>
      <c r="I162" s="1399">
        <v>845574</v>
      </c>
      <c r="J162" s="1399">
        <v>845574</v>
      </c>
    </row>
    <row r="163" spans="5:10" s="1297" customFormat="1">
      <c r="E163" s="1404" t="s">
        <v>955</v>
      </c>
      <c r="F163" s="1405"/>
      <c r="G163" s="1405"/>
      <c r="H163" s="1405"/>
      <c r="I163" s="1405">
        <v>651235.55000000005</v>
      </c>
      <c r="J163" s="1405">
        <v>651235.55000000005</v>
      </c>
    </row>
    <row r="164" spans="5:10" s="1297" customFormat="1">
      <c r="E164" s="1297" t="s">
        <v>934</v>
      </c>
      <c r="F164" s="1399"/>
      <c r="G164" s="1399"/>
      <c r="H164" s="1399"/>
      <c r="I164" s="1399">
        <v>91298</v>
      </c>
      <c r="J164" s="1399">
        <v>91298</v>
      </c>
    </row>
    <row r="165" spans="5:10" s="1297" customFormat="1">
      <c r="E165" s="1297" t="s">
        <v>1130</v>
      </c>
      <c r="F165" s="1399"/>
      <c r="G165" s="1399"/>
      <c r="H165" s="1399"/>
      <c r="I165" s="1399">
        <v>2162142.9</v>
      </c>
      <c r="J165" s="1399">
        <v>2162142.9</v>
      </c>
    </row>
    <row r="166" spans="5:10" s="1297" customFormat="1">
      <c r="E166" s="1297" t="s">
        <v>935</v>
      </c>
      <c r="F166" s="1399"/>
      <c r="G166" s="1399"/>
      <c r="H166" s="1399"/>
      <c r="I166" s="1399">
        <v>499795.94</v>
      </c>
      <c r="J166" s="1399">
        <v>499795.94</v>
      </c>
    </row>
    <row r="167" spans="5:10" s="1297" customFormat="1">
      <c r="E167" s="1297" t="s">
        <v>936</v>
      </c>
      <c r="F167" s="1399"/>
      <c r="G167" s="1399"/>
      <c r="H167" s="1399"/>
      <c r="I167" s="1399">
        <v>85436.73</v>
      </c>
      <c r="J167" s="1399">
        <v>85436.73</v>
      </c>
    </row>
    <row r="168" spans="5:10" s="1297" customFormat="1">
      <c r="E168" s="1297" t="s">
        <v>937</v>
      </c>
      <c r="F168" s="1399"/>
      <c r="G168" s="1399"/>
      <c r="H168" s="1399"/>
      <c r="I168" s="1399">
        <v>14741.36</v>
      </c>
      <c r="J168" s="1399">
        <v>14741.36</v>
      </c>
    </row>
    <row r="169" spans="5:10" s="1297" customFormat="1">
      <c r="E169" s="1297" t="s">
        <v>938</v>
      </c>
      <c r="F169" s="1399"/>
      <c r="G169" s="1399"/>
      <c r="H169" s="1399"/>
      <c r="I169" s="1399">
        <v>27887</v>
      </c>
      <c r="J169" s="1399">
        <v>27887</v>
      </c>
    </row>
    <row r="170" spans="5:10" s="1297" customFormat="1">
      <c r="E170" s="1297" t="s">
        <v>939</v>
      </c>
      <c r="F170" s="1399"/>
      <c r="G170" s="1399"/>
      <c r="H170" s="1399"/>
      <c r="I170" s="1399">
        <v>208819.97</v>
      </c>
      <c r="J170" s="1399">
        <v>208819.97</v>
      </c>
    </row>
    <row r="171" spans="5:10" s="1297" customFormat="1">
      <c r="E171" s="1297" t="s">
        <v>1131</v>
      </c>
      <c r="F171" s="1399">
        <v>1544471.18</v>
      </c>
      <c r="G171" s="1399"/>
      <c r="H171" s="1399"/>
      <c r="I171" s="1399"/>
      <c r="J171" s="1399">
        <v>1544471.18</v>
      </c>
    </row>
    <row r="172" spans="5:10" s="1297" customFormat="1">
      <c r="E172" s="1297" t="s">
        <v>940</v>
      </c>
      <c r="F172" s="1399">
        <v>1829411.81</v>
      </c>
      <c r="G172" s="1399"/>
      <c r="H172" s="1399"/>
      <c r="I172" s="1399"/>
      <c r="J172" s="1399">
        <v>1829411.81</v>
      </c>
    </row>
    <row r="173" spans="5:10" s="1297" customFormat="1">
      <c r="E173" s="1297" t="s">
        <v>941</v>
      </c>
      <c r="F173" s="1399">
        <v>645802.64</v>
      </c>
      <c r="G173" s="1399"/>
      <c r="H173" s="1399"/>
      <c r="I173" s="1399"/>
      <c r="J173" s="1399">
        <v>645802.64</v>
      </c>
    </row>
    <row r="174" spans="5:10" s="1297" customFormat="1">
      <c r="E174" s="1297" t="s">
        <v>943</v>
      </c>
      <c r="F174" s="1399">
        <v>79429.38</v>
      </c>
      <c r="G174" s="1399"/>
      <c r="H174" s="1399"/>
      <c r="I174" s="1399"/>
      <c r="J174" s="1399">
        <v>79429.38</v>
      </c>
    </row>
    <row r="175" spans="5:10" s="1297" customFormat="1">
      <c r="E175" s="1297" t="s">
        <v>944</v>
      </c>
      <c r="F175" s="1399">
        <v>4769656.8099999996</v>
      </c>
      <c r="G175" s="1399"/>
      <c r="H175" s="1399"/>
      <c r="I175" s="1399"/>
      <c r="J175" s="1399">
        <v>4769656.8099999996</v>
      </c>
    </row>
    <row r="176" spans="5:10" s="1297" customFormat="1">
      <c r="E176" s="1297" t="s">
        <v>945</v>
      </c>
      <c r="F176" s="1399">
        <v>2565760.3600000003</v>
      </c>
      <c r="G176" s="1399"/>
      <c r="H176" s="1399"/>
      <c r="I176" s="1399"/>
      <c r="J176" s="1399">
        <v>2565760.3600000003</v>
      </c>
    </row>
    <row r="177" spans="2:12">
      <c r="B177" s="1297"/>
      <c r="C177" s="1297"/>
      <c r="D177" s="1297"/>
      <c r="E177" s="1297" t="s">
        <v>946</v>
      </c>
      <c r="F177" s="1399">
        <v>36667.71</v>
      </c>
      <c r="J177" s="1399">
        <v>36667.71</v>
      </c>
    </row>
    <row r="178" spans="2:12">
      <c r="B178" s="1297"/>
      <c r="C178" s="1297"/>
      <c r="D178" s="1297"/>
      <c r="E178" s="1297" t="s">
        <v>978</v>
      </c>
      <c r="F178" s="1399">
        <v>39886.57</v>
      </c>
      <c r="J178" s="1399">
        <v>39886.57</v>
      </c>
    </row>
    <row r="179" spans="2:12">
      <c r="B179" s="1297"/>
      <c r="C179" s="1297"/>
      <c r="D179" s="1297"/>
      <c r="E179" s="1297" t="s">
        <v>947</v>
      </c>
      <c r="F179" s="1399">
        <v>133753.35</v>
      </c>
      <c r="J179" s="1399">
        <v>133753.35</v>
      </c>
    </row>
    <row r="180" spans="2:12">
      <c r="B180" s="1297"/>
      <c r="C180" s="1297"/>
      <c r="D180" s="1297"/>
      <c r="E180" s="1404" t="s">
        <v>948</v>
      </c>
      <c r="F180" s="1405"/>
      <c r="G180" s="1405"/>
      <c r="H180" s="1405">
        <v>4925000</v>
      </c>
      <c r="I180" s="1405"/>
      <c r="J180" s="1405">
        <v>4925000</v>
      </c>
    </row>
    <row r="181" spans="2:12">
      <c r="B181" s="1297"/>
      <c r="C181" s="1297"/>
      <c r="D181" s="1297"/>
      <c r="E181" s="1297" t="s">
        <v>1118</v>
      </c>
      <c r="H181" s="1399">
        <v>7365</v>
      </c>
      <c r="J181" s="1399">
        <v>7365</v>
      </c>
    </row>
    <row r="182" spans="2:12">
      <c r="B182" s="1297"/>
      <c r="C182" s="1297"/>
      <c r="D182" s="1400" t="s">
        <v>979</v>
      </c>
      <c r="E182" s="1400"/>
      <c r="F182" s="1401">
        <f>SUM(F139:F181)</f>
        <v>11644839.810000001</v>
      </c>
      <c r="G182" s="1401">
        <f>SUM(G139:G181)</f>
        <v>22914991.189999998</v>
      </c>
      <c r="H182" s="1401">
        <f>SUM(H139:H181)-H180</f>
        <v>1854750.08</v>
      </c>
      <c r="I182" s="1401">
        <f>SUM(I139:I181)-I163</f>
        <v>26931819.899999999</v>
      </c>
      <c r="J182" s="1401">
        <f>SUM(J139:J181)</f>
        <v>68922636.530000001</v>
      </c>
      <c r="K182" s="1401">
        <f>SUM(F182:I182)</f>
        <v>63346400.979999997</v>
      </c>
      <c r="L182" s="1408">
        <f>K182/C139</f>
        <v>11670.302317612379</v>
      </c>
    </row>
    <row r="183" spans="2:12">
      <c r="B183" s="1297" t="s">
        <v>980</v>
      </c>
      <c r="C183" s="1297">
        <v>2862</v>
      </c>
      <c r="D183" s="1297" t="s">
        <v>981</v>
      </c>
      <c r="E183" s="1297" t="s">
        <v>906</v>
      </c>
      <c r="G183" s="1399">
        <v>7433526.8499999996</v>
      </c>
      <c r="J183" s="1399">
        <v>7433526.8499999996</v>
      </c>
    </row>
    <row r="184" spans="2:12">
      <c r="B184" s="1297"/>
      <c r="C184" s="1297"/>
      <c r="D184" s="1297"/>
      <c r="E184" s="1297" t="s">
        <v>952</v>
      </c>
      <c r="G184" s="1399">
        <v>77954.91</v>
      </c>
      <c r="J184" s="1399">
        <v>77954.91</v>
      </c>
    </row>
    <row r="185" spans="2:12">
      <c r="B185" s="1297"/>
      <c r="C185" s="1297"/>
      <c r="D185" s="1297"/>
      <c r="E185" s="1297" t="s">
        <v>907</v>
      </c>
      <c r="G185" s="1399">
        <v>2643762.33</v>
      </c>
      <c r="J185" s="1399">
        <v>2643762.33</v>
      </c>
    </row>
    <row r="186" spans="2:12">
      <c r="B186" s="1297"/>
      <c r="C186" s="1297"/>
      <c r="D186" s="1297"/>
      <c r="E186" s="1297" t="s">
        <v>1034</v>
      </c>
      <c r="G186" s="1297"/>
      <c r="H186" s="1399">
        <v>4527.59</v>
      </c>
      <c r="J186" s="1399">
        <v>4527.59</v>
      </c>
    </row>
    <row r="187" spans="2:12">
      <c r="B187" s="1297"/>
      <c r="C187" s="1297"/>
      <c r="D187" s="1297"/>
      <c r="E187" s="1297" t="s">
        <v>1035</v>
      </c>
      <c r="G187" s="1297"/>
      <c r="H187" s="1399">
        <v>445058.65</v>
      </c>
      <c r="J187" s="1399">
        <v>445058.65</v>
      </c>
    </row>
    <row r="188" spans="2:12">
      <c r="B188" s="1297"/>
      <c r="C188" s="1297"/>
      <c r="D188" s="1297"/>
      <c r="E188" s="1297" t="s">
        <v>1036</v>
      </c>
      <c r="G188" s="1297"/>
      <c r="H188" s="1399">
        <v>111567.26</v>
      </c>
      <c r="J188" s="1399">
        <v>111567.26</v>
      </c>
    </row>
    <row r="189" spans="2:12">
      <c r="B189" s="1297"/>
      <c r="C189" s="1297"/>
      <c r="D189" s="1297"/>
      <c r="E189" s="1297" t="s">
        <v>1039</v>
      </c>
      <c r="G189" s="1297"/>
      <c r="H189" s="1399">
        <v>43547.589999999989</v>
      </c>
      <c r="J189" s="1399">
        <v>43547.589999999989</v>
      </c>
    </row>
    <row r="190" spans="2:12">
      <c r="B190" s="1297"/>
      <c r="C190" s="1297"/>
      <c r="D190" s="1297"/>
      <c r="E190" s="1297" t="s">
        <v>1040</v>
      </c>
      <c r="G190" s="1297"/>
      <c r="H190" s="1399">
        <v>279289.12</v>
      </c>
      <c r="J190" s="1399">
        <v>279289.12</v>
      </c>
    </row>
    <row r="191" spans="2:12">
      <c r="B191" s="1297"/>
      <c r="C191" s="1297"/>
      <c r="D191" s="1297"/>
      <c r="E191" s="1297" t="s">
        <v>1041</v>
      </c>
      <c r="G191" s="1297"/>
      <c r="H191" s="1399">
        <v>19630.689999999999</v>
      </c>
      <c r="J191" s="1399">
        <v>19630.689999999999</v>
      </c>
    </row>
    <row r="192" spans="2:12">
      <c r="B192" s="1297"/>
      <c r="C192" s="1297"/>
      <c r="D192" s="1297"/>
      <c r="E192" s="1297" t="s">
        <v>1042</v>
      </c>
      <c r="G192" s="1297"/>
      <c r="H192" s="1399">
        <v>33373.25</v>
      </c>
      <c r="J192" s="1399">
        <v>33373.25</v>
      </c>
    </row>
    <row r="193" spans="5:10" s="1297" customFormat="1">
      <c r="E193" s="1297" t="s">
        <v>1043</v>
      </c>
      <c r="F193" s="1399"/>
      <c r="H193" s="1399">
        <v>1300</v>
      </c>
      <c r="I193" s="1399"/>
      <c r="J193" s="1399">
        <v>1300</v>
      </c>
    </row>
    <row r="194" spans="5:10" s="1297" customFormat="1">
      <c r="E194" s="1297" t="s">
        <v>1044</v>
      </c>
      <c r="F194" s="1399">
        <v>16237.93</v>
      </c>
      <c r="H194" s="1399"/>
      <c r="I194" s="1399"/>
      <c r="J194" s="1399">
        <v>16237.93</v>
      </c>
    </row>
    <row r="195" spans="5:10" s="1297" customFormat="1">
      <c r="E195" s="1297" t="s">
        <v>1045</v>
      </c>
      <c r="F195" s="1399"/>
      <c r="H195" s="1399">
        <v>331351.09999999998</v>
      </c>
      <c r="I195" s="1399"/>
      <c r="J195" s="1399">
        <v>331351.09999999998</v>
      </c>
    </row>
    <row r="196" spans="5:10" s="1297" customFormat="1">
      <c r="E196" s="1297" t="s">
        <v>1046</v>
      </c>
      <c r="F196" s="1399"/>
      <c r="G196" s="1399"/>
      <c r="H196" s="1399"/>
      <c r="I196" s="1399">
        <v>11680500</v>
      </c>
      <c r="J196" s="1399">
        <v>11680500</v>
      </c>
    </row>
    <row r="197" spans="5:10" s="1297" customFormat="1">
      <c r="E197" s="1297" t="s">
        <v>1047</v>
      </c>
      <c r="F197" s="1399"/>
      <c r="G197" s="1399"/>
      <c r="H197" s="1399"/>
      <c r="I197" s="1399">
        <v>474791</v>
      </c>
      <c r="J197" s="1399">
        <v>474791</v>
      </c>
    </row>
    <row r="198" spans="5:10" s="1297" customFormat="1">
      <c r="E198" s="1297" t="s">
        <v>1048</v>
      </c>
      <c r="F198" s="1399"/>
      <c r="G198" s="1399"/>
      <c r="H198" s="1399"/>
      <c r="I198" s="1399">
        <v>0</v>
      </c>
      <c r="J198" s="1399">
        <v>0</v>
      </c>
    </row>
    <row r="199" spans="5:10" s="1297" customFormat="1">
      <c r="E199" s="1297" t="s">
        <v>932</v>
      </c>
      <c r="F199" s="1399"/>
      <c r="G199" s="1399"/>
      <c r="H199" s="1399"/>
      <c r="I199" s="1399">
        <v>250145</v>
      </c>
      <c r="J199" s="1399">
        <v>250145</v>
      </c>
    </row>
    <row r="200" spans="5:10" s="1297" customFormat="1">
      <c r="E200" s="1297" t="s">
        <v>934</v>
      </c>
      <c r="F200" s="1399"/>
      <c r="G200" s="1399"/>
      <c r="H200" s="1399"/>
      <c r="I200" s="1399">
        <v>46246</v>
      </c>
      <c r="J200" s="1399">
        <v>46246</v>
      </c>
    </row>
    <row r="201" spans="5:10" s="1297" customFormat="1">
      <c r="E201" s="1297" t="s">
        <v>935</v>
      </c>
      <c r="F201" s="1399"/>
      <c r="G201" s="1399"/>
      <c r="H201" s="1399"/>
      <c r="I201" s="1399">
        <v>855542.6</v>
      </c>
      <c r="J201" s="1399">
        <v>855542.6</v>
      </c>
    </row>
    <row r="202" spans="5:10" s="1297" customFormat="1">
      <c r="E202" s="1297" t="s">
        <v>936</v>
      </c>
      <c r="F202" s="1399"/>
      <c r="G202" s="1399"/>
      <c r="H202" s="1399"/>
      <c r="I202" s="1399">
        <v>46920.17</v>
      </c>
      <c r="J202" s="1399">
        <v>46920.17</v>
      </c>
    </row>
    <row r="203" spans="5:10" s="1297" customFormat="1">
      <c r="E203" s="1297" t="s">
        <v>937</v>
      </c>
      <c r="F203" s="1399"/>
      <c r="G203" s="1399"/>
      <c r="H203" s="1399"/>
      <c r="I203" s="1399">
        <v>9981.09</v>
      </c>
      <c r="J203" s="1399">
        <v>9981.09</v>
      </c>
    </row>
    <row r="204" spans="5:10" s="1297" customFormat="1">
      <c r="E204" s="1297" t="s">
        <v>938</v>
      </c>
      <c r="F204" s="1399"/>
      <c r="G204" s="1399"/>
      <c r="H204" s="1399"/>
      <c r="I204" s="1399">
        <v>16844</v>
      </c>
      <c r="J204" s="1399">
        <v>16844</v>
      </c>
    </row>
    <row r="205" spans="5:10" s="1297" customFormat="1">
      <c r="E205" s="1297" t="s">
        <v>939</v>
      </c>
      <c r="F205" s="1399"/>
      <c r="G205" s="1399"/>
      <c r="H205" s="1399"/>
      <c r="I205" s="1399">
        <v>487.1</v>
      </c>
      <c r="J205" s="1399">
        <v>487.1</v>
      </c>
    </row>
    <row r="206" spans="5:10" s="1297" customFormat="1">
      <c r="E206" s="1297" t="s">
        <v>940</v>
      </c>
      <c r="F206" s="1399">
        <v>741422.42</v>
      </c>
      <c r="G206" s="1399"/>
      <c r="H206" s="1399"/>
      <c r="I206" s="1399"/>
      <c r="J206" s="1399">
        <v>741422.42</v>
      </c>
    </row>
    <row r="207" spans="5:10" s="1297" customFormat="1">
      <c r="E207" s="1297" t="s">
        <v>941</v>
      </c>
      <c r="F207" s="1399">
        <v>260682.48</v>
      </c>
      <c r="G207" s="1399"/>
      <c r="H207" s="1399"/>
      <c r="I207" s="1399"/>
      <c r="J207" s="1399">
        <v>260682.48</v>
      </c>
    </row>
    <row r="208" spans="5:10" s="1297" customFormat="1">
      <c r="E208" s="1297" t="s">
        <v>943</v>
      </c>
      <c r="F208" s="1399">
        <v>13271.9</v>
      </c>
      <c r="G208" s="1399"/>
      <c r="H208" s="1399"/>
      <c r="I208" s="1399"/>
      <c r="J208" s="1399">
        <v>13271.9</v>
      </c>
    </row>
    <row r="209" spans="2:12">
      <c r="B209" s="1297"/>
      <c r="C209" s="1297"/>
      <c r="D209" s="1297"/>
      <c r="E209" s="1297" t="s">
        <v>944</v>
      </c>
      <c r="F209" s="1399">
        <v>2592156.7200000002</v>
      </c>
      <c r="J209" s="1399">
        <v>2592156.7200000002</v>
      </c>
    </row>
    <row r="210" spans="2:12">
      <c r="B210" s="1297"/>
      <c r="C210" s="1297"/>
      <c r="D210" s="1297"/>
      <c r="E210" s="1297" t="s">
        <v>945</v>
      </c>
      <c r="F210" s="1399">
        <v>762943.17</v>
      </c>
      <c r="J210" s="1399">
        <v>762943.17</v>
      </c>
    </row>
    <row r="211" spans="2:12">
      <c r="B211" s="1297"/>
      <c r="C211" s="1297"/>
      <c r="D211" s="1297"/>
      <c r="E211" s="1297" t="s">
        <v>947</v>
      </c>
      <c r="F211" s="1399">
        <v>27816.62</v>
      </c>
      <c r="J211" s="1399">
        <v>27816.62</v>
      </c>
    </row>
    <row r="212" spans="2:12">
      <c r="B212" s="1297"/>
      <c r="C212" s="1297"/>
      <c r="D212" s="1297"/>
      <c r="E212" s="1404" t="s">
        <v>1116</v>
      </c>
      <c r="F212" s="1405"/>
      <c r="G212" s="1405"/>
      <c r="H212" s="1405">
        <v>9726039.0999999996</v>
      </c>
      <c r="I212" s="1405"/>
      <c r="J212" s="1405">
        <v>9726039.0999999996</v>
      </c>
    </row>
    <row r="213" spans="2:12">
      <c r="B213" s="1297"/>
      <c r="C213" s="1297"/>
      <c r="D213" s="1297"/>
      <c r="E213" s="1404" t="s">
        <v>948</v>
      </c>
      <c r="F213" s="1405"/>
      <c r="G213" s="1405"/>
      <c r="H213" s="1405">
        <v>373720.05000000005</v>
      </c>
      <c r="I213" s="1405"/>
      <c r="J213" s="1405">
        <v>373720.05000000005</v>
      </c>
    </row>
    <row r="214" spans="2:12">
      <c r="B214" s="1297"/>
      <c r="C214" s="1297"/>
      <c r="D214" s="1400" t="s">
        <v>982</v>
      </c>
      <c r="E214" s="1400"/>
      <c r="F214" s="1401">
        <f>SUM(F183:F213)</f>
        <v>4414531.24</v>
      </c>
      <c r="G214" s="1401">
        <f>SUM(G183:G213)</f>
        <v>10155244.09</v>
      </c>
      <c r="H214" s="1401">
        <f>SUM(H183:H213)-(H212+H213)</f>
        <v>1269645.25</v>
      </c>
      <c r="I214" s="1401">
        <f>SUM(I183:I213)</f>
        <v>13381456.959999999</v>
      </c>
      <c r="J214" s="1401">
        <f>SUM(J183:J213)</f>
        <v>39320636.689999998</v>
      </c>
      <c r="K214" s="1401">
        <f>SUM(F214:I214)</f>
        <v>29220877.539999999</v>
      </c>
      <c r="L214" s="1408">
        <f>J214/C183</f>
        <v>13738.866767994408</v>
      </c>
    </row>
    <row r="215" spans="2:12">
      <c r="B215" s="1297" t="s">
        <v>983</v>
      </c>
      <c r="C215" s="1297">
        <v>12309</v>
      </c>
      <c r="D215" s="1297" t="s">
        <v>984</v>
      </c>
      <c r="E215" s="1297" t="s">
        <v>906</v>
      </c>
      <c r="G215" s="1399">
        <v>29916609.43</v>
      </c>
      <c r="J215" s="1399">
        <v>29916609.43</v>
      </c>
    </row>
    <row r="216" spans="2:12">
      <c r="B216" s="1297"/>
      <c r="C216" s="1297"/>
      <c r="D216" s="1297"/>
      <c r="E216" s="1297" t="s">
        <v>952</v>
      </c>
      <c r="G216" s="1399">
        <v>415462.69</v>
      </c>
      <c r="J216" s="1399">
        <v>415462.69</v>
      </c>
    </row>
    <row r="217" spans="2:12">
      <c r="B217" s="1297"/>
      <c r="C217" s="1297"/>
      <c r="D217" s="1297"/>
      <c r="E217" s="1297" t="s">
        <v>907</v>
      </c>
      <c r="G217" s="1399">
        <v>7899654.5199999996</v>
      </c>
      <c r="J217" s="1399">
        <v>7899654.5199999996</v>
      </c>
    </row>
    <row r="218" spans="2:12">
      <c r="B218" s="1297"/>
      <c r="C218" s="1297"/>
      <c r="D218" s="1297"/>
      <c r="E218" s="1297" t="s">
        <v>908</v>
      </c>
      <c r="G218" s="1399">
        <v>13608.09</v>
      </c>
      <c r="J218" s="1399">
        <v>13608.09</v>
      </c>
    </row>
    <row r="219" spans="2:12">
      <c r="B219" s="1297"/>
      <c r="C219" s="1297"/>
      <c r="D219" s="1297"/>
      <c r="E219" s="1297" t="s">
        <v>909</v>
      </c>
      <c r="H219" s="1399">
        <v>99233.41</v>
      </c>
      <c r="J219" s="1399">
        <v>99233.41</v>
      </c>
    </row>
    <row r="220" spans="2:12">
      <c r="B220" s="1297"/>
      <c r="C220" s="1297"/>
      <c r="D220" s="1297"/>
      <c r="E220" s="1297" t="s">
        <v>910</v>
      </c>
      <c r="H220" s="1399">
        <v>69130.33</v>
      </c>
      <c r="J220" s="1399">
        <v>69130.33</v>
      </c>
    </row>
    <row r="221" spans="2:12">
      <c r="B221" s="1297"/>
      <c r="C221" s="1297"/>
      <c r="D221" s="1297"/>
      <c r="E221" s="1297" t="s">
        <v>1034</v>
      </c>
      <c r="H221" s="1399">
        <v>134816.37</v>
      </c>
      <c r="J221" s="1399">
        <v>134816.37</v>
      </c>
    </row>
    <row r="222" spans="2:12">
      <c r="B222" s="1297"/>
      <c r="C222" s="1297"/>
      <c r="D222" s="1297"/>
      <c r="E222" s="1297" t="s">
        <v>1035</v>
      </c>
      <c r="H222" s="1399">
        <v>554310.91</v>
      </c>
      <c r="J222" s="1399">
        <v>554310.91</v>
      </c>
    </row>
    <row r="223" spans="2:12">
      <c r="B223" s="1297"/>
      <c r="C223" s="1297"/>
      <c r="D223" s="1297"/>
      <c r="E223" s="1297" t="s">
        <v>1036</v>
      </c>
      <c r="H223" s="1399">
        <v>311649.3</v>
      </c>
      <c r="J223" s="1399">
        <v>311649.3</v>
      </c>
    </row>
    <row r="224" spans="2:12">
      <c r="B224" s="1297"/>
      <c r="C224" s="1297"/>
      <c r="D224" s="1297"/>
      <c r="E224" s="1297" t="s">
        <v>1039</v>
      </c>
      <c r="H224" s="1399">
        <v>55019.159999999996</v>
      </c>
      <c r="J224" s="1399">
        <v>55019.159999999996</v>
      </c>
    </row>
    <row r="225" spans="5:10" s="1297" customFormat="1">
      <c r="E225" s="1297" t="s">
        <v>1040</v>
      </c>
      <c r="F225" s="1399"/>
      <c r="G225" s="1399"/>
      <c r="H225" s="1399">
        <v>1247511.76</v>
      </c>
      <c r="I225" s="1399"/>
      <c r="J225" s="1399">
        <v>1247511.76</v>
      </c>
    </row>
    <row r="226" spans="5:10" s="1297" customFormat="1">
      <c r="E226" s="1297" t="s">
        <v>1041</v>
      </c>
      <c r="F226" s="1399"/>
      <c r="G226" s="1399"/>
      <c r="H226" s="1399">
        <v>49441.47</v>
      </c>
      <c r="I226" s="1399"/>
      <c r="J226" s="1399">
        <v>49441.47</v>
      </c>
    </row>
    <row r="227" spans="5:10" s="1297" customFormat="1">
      <c r="E227" s="1297" t="s">
        <v>1042</v>
      </c>
      <c r="F227" s="1399"/>
      <c r="G227" s="1399"/>
      <c r="H227" s="1399">
        <v>165783.13</v>
      </c>
      <c r="I227" s="1399"/>
      <c r="J227" s="1399">
        <v>165783.13</v>
      </c>
    </row>
    <row r="228" spans="5:10" s="1297" customFormat="1">
      <c r="E228" s="1297" t="s">
        <v>985</v>
      </c>
      <c r="F228" s="1399"/>
      <c r="G228" s="1399"/>
      <c r="H228" s="1399">
        <v>404957.11</v>
      </c>
      <c r="I228" s="1399"/>
      <c r="J228" s="1399">
        <v>404957.11</v>
      </c>
    </row>
    <row r="229" spans="5:10" s="1297" customFormat="1">
      <c r="E229" s="1297" t="s">
        <v>1043</v>
      </c>
      <c r="F229" s="1399"/>
      <c r="G229" s="1399"/>
      <c r="H229" s="1399">
        <v>20647.21</v>
      </c>
      <c r="I229" s="1399"/>
      <c r="J229" s="1399">
        <v>20647.21</v>
      </c>
    </row>
    <row r="230" spans="5:10" s="1297" customFormat="1">
      <c r="E230" s="1297" t="s">
        <v>986</v>
      </c>
      <c r="F230" s="1399"/>
      <c r="G230" s="1399"/>
      <c r="H230" s="1399">
        <v>300634.55</v>
      </c>
      <c r="I230" s="1399"/>
      <c r="J230" s="1399">
        <v>300634.55</v>
      </c>
    </row>
    <row r="231" spans="5:10" s="1297" customFormat="1">
      <c r="E231" s="1297" t="s">
        <v>1044</v>
      </c>
      <c r="F231" s="1399">
        <v>87611.36</v>
      </c>
      <c r="G231" s="1399"/>
      <c r="H231" s="1399"/>
      <c r="I231" s="1399"/>
      <c r="J231" s="1399">
        <v>87611.36</v>
      </c>
    </row>
    <row r="232" spans="5:10" s="1297" customFormat="1">
      <c r="E232" s="1297" t="s">
        <v>1045</v>
      </c>
      <c r="F232" s="1399"/>
      <c r="G232" s="1399"/>
      <c r="H232" s="1399">
        <v>1483362.32</v>
      </c>
      <c r="I232" s="1399"/>
      <c r="J232" s="1399">
        <v>1483362.32</v>
      </c>
    </row>
    <row r="233" spans="5:10" s="1297" customFormat="1">
      <c r="E233" s="1297" t="s">
        <v>1046</v>
      </c>
      <c r="F233" s="1399"/>
      <c r="G233" s="1399"/>
      <c r="H233" s="1399"/>
      <c r="I233" s="1399">
        <v>63277663</v>
      </c>
      <c r="J233" s="1399">
        <v>63277663</v>
      </c>
    </row>
    <row r="234" spans="5:10" s="1297" customFormat="1">
      <c r="E234" s="1297" t="s">
        <v>1128</v>
      </c>
      <c r="F234" s="1399"/>
      <c r="G234" s="1399"/>
      <c r="H234" s="1399"/>
      <c r="I234" s="1399">
        <v>5374697</v>
      </c>
      <c r="J234" s="1399">
        <v>5374697</v>
      </c>
    </row>
    <row r="235" spans="5:10" s="1297" customFormat="1">
      <c r="E235" s="1297" t="s">
        <v>1129</v>
      </c>
      <c r="F235" s="1399"/>
      <c r="G235" s="1399"/>
      <c r="H235" s="1399"/>
      <c r="I235" s="1399">
        <v>-8603741</v>
      </c>
      <c r="J235" s="1399">
        <v>-8603741</v>
      </c>
    </row>
    <row r="236" spans="5:10" s="1297" customFormat="1">
      <c r="E236" s="1297" t="s">
        <v>1047</v>
      </c>
      <c r="F236" s="1399"/>
      <c r="G236" s="1399"/>
      <c r="H236" s="1399"/>
      <c r="I236" s="1399">
        <v>1307653</v>
      </c>
      <c r="J236" s="1399">
        <v>1307653</v>
      </c>
    </row>
    <row r="237" spans="5:10" s="1297" customFormat="1">
      <c r="E237" s="1297" t="s">
        <v>1048</v>
      </c>
      <c r="F237" s="1399"/>
      <c r="G237" s="1399"/>
      <c r="H237" s="1399"/>
      <c r="I237" s="1399">
        <v>-9756649</v>
      </c>
      <c r="J237" s="1399">
        <v>-9756649</v>
      </c>
    </row>
    <row r="238" spans="5:10" s="1297" customFormat="1">
      <c r="E238" s="1297" t="s">
        <v>932</v>
      </c>
      <c r="F238" s="1399"/>
      <c r="G238" s="1399"/>
      <c r="H238" s="1399"/>
      <c r="I238" s="1399">
        <v>5192105</v>
      </c>
      <c r="J238" s="1399">
        <v>5192105</v>
      </c>
    </row>
    <row r="239" spans="5:10" s="1297" customFormat="1">
      <c r="E239" s="1404" t="s">
        <v>955</v>
      </c>
      <c r="F239" s="1405"/>
      <c r="G239" s="1405"/>
      <c r="H239" s="1405"/>
      <c r="I239" s="1405">
        <v>1548190.24</v>
      </c>
      <c r="J239" s="1405">
        <v>1548190.24</v>
      </c>
    </row>
    <row r="240" spans="5:10" s="1297" customFormat="1">
      <c r="E240" s="1297" t="s">
        <v>934</v>
      </c>
      <c r="F240" s="1399"/>
      <c r="G240" s="1399"/>
      <c r="H240" s="1399"/>
      <c r="I240" s="1399">
        <v>189856</v>
      </c>
      <c r="J240" s="1399">
        <v>189856</v>
      </c>
    </row>
    <row r="241" spans="2:12">
      <c r="B241" s="1297"/>
      <c r="C241" s="1297"/>
      <c r="D241" s="1297"/>
      <c r="E241" s="1297" t="s">
        <v>935</v>
      </c>
      <c r="I241" s="1399">
        <v>965536.81</v>
      </c>
      <c r="J241" s="1399">
        <v>965536.81</v>
      </c>
    </row>
    <row r="242" spans="2:12">
      <c r="B242" s="1297"/>
      <c r="C242" s="1297"/>
      <c r="D242" s="1297"/>
      <c r="E242" s="1297" t="s">
        <v>936</v>
      </c>
      <c r="I242" s="1399">
        <v>206588.82</v>
      </c>
      <c r="J242" s="1399">
        <v>206588.82</v>
      </c>
    </row>
    <row r="243" spans="2:12">
      <c r="B243" s="1297"/>
      <c r="C243" s="1297"/>
      <c r="D243" s="1297"/>
      <c r="E243" s="1297" t="s">
        <v>937</v>
      </c>
      <c r="I243" s="1399">
        <v>18542.919999999998</v>
      </c>
      <c r="J243" s="1399">
        <v>18542.919999999998</v>
      </c>
    </row>
    <row r="244" spans="2:12">
      <c r="B244" s="1297"/>
      <c r="C244" s="1297"/>
      <c r="D244" s="1297"/>
      <c r="E244" s="1297" t="s">
        <v>938</v>
      </c>
      <c r="I244" s="1399">
        <v>60827</v>
      </c>
      <c r="J244" s="1399">
        <v>60827</v>
      </c>
    </row>
    <row r="245" spans="2:12">
      <c r="B245" s="1297"/>
      <c r="C245" s="1297"/>
      <c r="D245" s="1297"/>
      <c r="E245" s="1297" t="s">
        <v>939</v>
      </c>
      <c r="I245" s="1399">
        <v>623699.36</v>
      </c>
      <c r="J245" s="1399">
        <v>623699.36</v>
      </c>
    </row>
    <row r="246" spans="2:12">
      <c r="B246" s="1297"/>
      <c r="C246" s="1297"/>
      <c r="D246" s="1297"/>
      <c r="E246" s="1297" t="s">
        <v>1131</v>
      </c>
      <c r="F246" s="1399">
        <v>117699.8</v>
      </c>
      <c r="J246" s="1399">
        <v>117699.8</v>
      </c>
    </row>
    <row r="247" spans="2:12">
      <c r="B247" s="1297"/>
      <c r="C247" s="1297"/>
      <c r="D247" s="1297"/>
      <c r="E247" s="1297" t="s">
        <v>940</v>
      </c>
      <c r="F247" s="1399">
        <v>3046000.92</v>
      </c>
      <c r="J247" s="1399">
        <v>3046000.92</v>
      </c>
    </row>
    <row r="248" spans="2:12">
      <c r="B248" s="1297"/>
      <c r="C248" s="1297"/>
      <c r="D248" s="1297"/>
      <c r="E248" s="1297" t="s">
        <v>941</v>
      </c>
      <c r="F248" s="1399">
        <v>1261356.72</v>
      </c>
      <c r="J248" s="1399">
        <v>1261356.72</v>
      </c>
    </row>
    <row r="249" spans="2:12">
      <c r="B249" s="1297"/>
      <c r="C249" s="1297"/>
      <c r="D249" s="1297"/>
      <c r="E249" s="1297" t="s">
        <v>944</v>
      </c>
      <c r="F249" s="1399">
        <v>5481866.6699999999</v>
      </c>
      <c r="J249" s="1399">
        <v>5481866.6699999999</v>
      </c>
    </row>
    <row r="250" spans="2:12">
      <c r="B250" s="1297"/>
      <c r="C250" s="1297"/>
      <c r="D250" s="1297"/>
      <c r="E250" s="1297" t="s">
        <v>945</v>
      </c>
      <c r="F250" s="1399">
        <v>4611731.6900000004</v>
      </c>
      <c r="J250" s="1399">
        <v>4611731.6900000004</v>
      </c>
    </row>
    <row r="251" spans="2:12">
      <c r="B251" s="1297"/>
      <c r="C251" s="1297"/>
      <c r="D251" s="1297"/>
      <c r="E251" s="1297" t="s">
        <v>947</v>
      </c>
      <c r="F251" s="1399">
        <v>333558.28999999998</v>
      </c>
      <c r="J251" s="1399">
        <v>333558.28999999998</v>
      </c>
    </row>
    <row r="252" spans="2:12">
      <c r="B252" s="1297"/>
      <c r="C252" s="1297"/>
      <c r="D252" s="1297"/>
      <c r="E252" s="1404" t="s">
        <v>1116</v>
      </c>
      <c r="F252" s="1405"/>
      <c r="G252" s="1405"/>
      <c r="H252" s="1405">
        <v>5271073.67</v>
      </c>
      <c r="I252" s="1405"/>
      <c r="J252" s="1405">
        <v>5271073.67</v>
      </c>
    </row>
    <row r="253" spans="2:12">
      <c r="B253" s="1297"/>
      <c r="C253" s="1297"/>
      <c r="D253" s="1297"/>
      <c r="E253" s="1404" t="s">
        <v>948</v>
      </c>
      <c r="F253" s="1405"/>
      <c r="G253" s="1405"/>
      <c r="H253" s="1405">
        <v>5491885.6399999997</v>
      </c>
      <c r="I253" s="1405"/>
      <c r="J253" s="1405">
        <v>5491885.6399999997</v>
      </c>
    </row>
    <row r="254" spans="2:12">
      <c r="B254" s="1297"/>
      <c r="C254" s="1297"/>
      <c r="D254" s="1400" t="s">
        <v>987</v>
      </c>
      <c r="E254" s="1400"/>
      <c r="F254" s="1401">
        <f>SUM(F215:F253)</f>
        <v>14939825.449999999</v>
      </c>
      <c r="G254" s="1401">
        <f>SUM(G215:G253)</f>
        <v>38245334.730000004</v>
      </c>
      <c r="H254" s="1401">
        <f>SUM(H215:H253)-(H252+H253)</f>
        <v>4896497.0300000012</v>
      </c>
      <c r="I254" s="1401">
        <f>SUM(I215:I253)-I239</f>
        <v>58856778.910000004</v>
      </c>
      <c r="J254" s="1401">
        <f>SUM(J215:J253)</f>
        <v>129249585.66999997</v>
      </c>
      <c r="K254" s="1401">
        <f>SUM(F254:I254)</f>
        <v>116938436.12</v>
      </c>
      <c r="L254" s="1408">
        <f>K254/C215</f>
        <v>9500.2385344057202</v>
      </c>
    </row>
    <row r="255" spans="2:12">
      <c r="B255" s="1297" t="s">
        <v>988</v>
      </c>
      <c r="C255" s="1297">
        <v>13826</v>
      </c>
      <c r="D255" s="1297" t="s">
        <v>989</v>
      </c>
      <c r="E255" s="1297" t="s">
        <v>906</v>
      </c>
      <c r="G255" s="1399">
        <v>36976851.880000003</v>
      </c>
      <c r="J255" s="1399">
        <v>36976851.880000003</v>
      </c>
    </row>
    <row r="256" spans="2:12">
      <c r="B256" s="1297"/>
      <c r="C256" s="1297"/>
      <c r="D256" s="1297"/>
      <c r="E256" s="1297" t="s">
        <v>952</v>
      </c>
      <c r="G256" s="1399">
        <v>63696.23</v>
      </c>
      <c r="J256" s="1399">
        <v>63696.23</v>
      </c>
    </row>
    <row r="257" spans="5:10" s="1297" customFormat="1">
      <c r="E257" s="1297" t="s">
        <v>907</v>
      </c>
      <c r="F257" s="1399"/>
      <c r="G257" s="1399">
        <v>17994574.32</v>
      </c>
      <c r="H257" s="1399"/>
      <c r="I257" s="1399"/>
      <c r="J257" s="1399">
        <v>17994574.32</v>
      </c>
    </row>
    <row r="258" spans="5:10" s="1297" customFormat="1">
      <c r="E258" s="1297" t="s">
        <v>908</v>
      </c>
      <c r="F258" s="1399"/>
      <c r="G258" s="1399">
        <v>42342.53</v>
      </c>
      <c r="H258" s="1399"/>
      <c r="I258" s="1399"/>
      <c r="J258" s="1399">
        <v>42342.53</v>
      </c>
    </row>
    <row r="259" spans="5:10" s="1297" customFormat="1">
      <c r="E259" s="1297" t="s">
        <v>909</v>
      </c>
      <c r="F259" s="1399"/>
      <c r="G259" s="1399"/>
      <c r="H259" s="1399">
        <v>208461.54</v>
      </c>
      <c r="I259" s="1399"/>
      <c r="J259" s="1399">
        <v>208461.54</v>
      </c>
    </row>
    <row r="260" spans="5:10" s="1297" customFormat="1">
      <c r="E260" s="1297" t="s">
        <v>910</v>
      </c>
      <c r="F260" s="1399"/>
      <c r="G260" s="1399"/>
      <c r="H260" s="1399">
        <v>200365.41999999995</v>
      </c>
      <c r="I260" s="1399"/>
      <c r="J260" s="1399">
        <v>200365.41999999995</v>
      </c>
    </row>
    <row r="261" spans="5:10" s="1297" customFormat="1">
      <c r="E261" s="1297" t="s">
        <v>1034</v>
      </c>
      <c r="F261" s="1399"/>
      <c r="G261" s="1399"/>
      <c r="H261" s="1399">
        <v>395153.77999999985</v>
      </c>
      <c r="I261" s="1399"/>
      <c r="J261" s="1399">
        <v>395153.77999999985</v>
      </c>
    </row>
    <row r="262" spans="5:10" s="1297" customFormat="1">
      <c r="E262" s="1297" t="s">
        <v>1035</v>
      </c>
      <c r="F262" s="1399"/>
      <c r="G262" s="1399"/>
      <c r="H262" s="1399">
        <v>926786.66999999993</v>
      </c>
      <c r="I262" s="1399"/>
      <c r="J262" s="1399">
        <v>926786.66999999993</v>
      </c>
    </row>
    <row r="263" spans="5:10" s="1297" customFormat="1">
      <c r="E263" s="1297" t="s">
        <v>1036</v>
      </c>
      <c r="F263" s="1399"/>
      <c r="G263" s="1399"/>
      <c r="H263" s="1399">
        <v>338262.96</v>
      </c>
      <c r="I263" s="1399"/>
      <c r="J263" s="1399">
        <v>338262.96</v>
      </c>
    </row>
    <row r="264" spans="5:10" s="1297" customFormat="1">
      <c r="E264" s="1297" t="s">
        <v>1037</v>
      </c>
      <c r="F264" s="1399"/>
      <c r="G264" s="1399"/>
      <c r="H264" s="1399">
        <v>586932</v>
      </c>
      <c r="I264" s="1399"/>
      <c r="J264" s="1399">
        <v>586932</v>
      </c>
    </row>
    <row r="265" spans="5:10" s="1297" customFormat="1">
      <c r="E265" s="1297" t="s">
        <v>1038</v>
      </c>
      <c r="F265" s="1399"/>
      <c r="G265" s="1399"/>
      <c r="H265" s="1399">
        <v>19602</v>
      </c>
      <c r="I265" s="1399"/>
      <c r="J265" s="1399">
        <v>19602</v>
      </c>
    </row>
    <row r="266" spans="5:10" s="1297" customFormat="1">
      <c r="E266" s="1297" t="s">
        <v>1039</v>
      </c>
      <c r="F266" s="1399"/>
      <c r="G266" s="1399"/>
      <c r="H266" s="1399">
        <v>382768.70999999996</v>
      </c>
      <c r="I266" s="1399"/>
      <c r="J266" s="1399">
        <v>382768.70999999996</v>
      </c>
    </row>
    <row r="267" spans="5:10" s="1297" customFormat="1">
      <c r="E267" s="1297" t="s">
        <v>1040</v>
      </c>
      <c r="F267" s="1399"/>
      <c r="G267" s="1399"/>
      <c r="H267" s="1399">
        <v>1644004.92</v>
      </c>
      <c r="I267" s="1399"/>
      <c r="J267" s="1399">
        <v>1644004.92</v>
      </c>
    </row>
    <row r="268" spans="5:10" s="1297" customFormat="1">
      <c r="E268" s="1297" t="s">
        <v>1041</v>
      </c>
      <c r="F268" s="1399"/>
      <c r="G268" s="1399"/>
      <c r="H268" s="1399">
        <v>332742.26</v>
      </c>
      <c r="I268" s="1399"/>
      <c r="J268" s="1399">
        <v>332742.26</v>
      </c>
    </row>
    <row r="269" spans="5:10" s="1297" customFormat="1">
      <c r="E269" s="1297" t="s">
        <v>1042</v>
      </c>
      <c r="F269" s="1399"/>
      <c r="G269" s="1399"/>
      <c r="H269" s="1399">
        <v>192948.58</v>
      </c>
      <c r="I269" s="1399"/>
      <c r="J269" s="1399">
        <v>192948.58</v>
      </c>
    </row>
    <row r="270" spans="5:10" s="1297" customFormat="1">
      <c r="E270" s="1297" t="s">
        <v>986</v>
      </c>
      <c r="F270" s="1399"/>
      <c r="G270" s="1399"/>
      <c r="H270" s="1399">
        <v>53353.38</v>
      </c>
      <c r="I270" s="1399"/>
      <c r="J270" s="1399">
        <v>53353.38</v>
      </c>
    </row>
    <row r="271" spans="5:10" s="1297" customFormat="1">
      <c r="E271" s="1297" t="s">
        <v>990</v>
      </c>
      <c r="F271" s="1399"/>
      <c r="G271" s="1399"/>
      <c r="H271" s="1399">
        <v>7466.24</v>
      </c>
      <c r="I271" s="1399"/>
      <c r="J271" s="1399">
        <v>7466.24</v>
      </c>
    </row>
    <row r="272" spans="5:10" s="1297" customFormat="1">
      <c r="E272" s="1297" t="s">
        <v>991</v>
      </c>
      <c r="F272" s="1399"/>
      <c r="G272" s="1399"/>
      <c r="H272" s="1399">
        <v>178534.09</v>
      </c>
      <c r="I272" s="1399"/>
      <c r="J272" s="1399">
        <v>178534.09</v>
      </c>
    </row>
    <row r="273" spans="5:10" s="1297" customFormat="1">
      <c r="E273" s="1297" t="s">
        <v>1044</v>
      </c>
      <c r="F273" s="1409">
        <v>349299.74</v>
      </c>
      <c r="G273" s="1399"/>
      <c r="H273" s="1399"/>
      <c r="I273" s="1399"/>
      <c r="J273" s="1399">
        <v>349299.74</v>
      </c>
    </row>
    <row r="274" spans="5:10" s="1297" customFormat="1">
      <c r="E274" s="1297" t="s">
        <v>1045</v>
      </c>
      <c r="F274" s="1399"/>
      <c r="G274" s="1399"/>
      <c r="H274" s="1399">
        <v>1891920.3499999996</v>
      </c>
      <c r="I274" s="1399"/>
      <c r="J274" s="1399">
        <v>1891920.3499999996</v>
      </c>
    </row>
    <row r="275" spans="5:10" s="1297" customFormat="1">
      <c r="E275" s="1297" t="s">
        <v>1046</v>
      </c>
      <c r="F275" s="1399"/>
      <c r="G275" s="1399"/>
      <c r="H275" s="1399"/>
      <c r="I275" s="1399">
        <v>74514992</v>
      </c>
      <c r="J275" s="1399">
        <v>74514992</v>
      </c>
    </row>
    <row r="276" spans="5:10" s="1297" customFormat="1">
      <c r="E276" s="1297" t="s">
        <v>1128</v>
      </c>
      <c r="F276" s="1399"/>
      <c r="G276" s="1399"/>
      <c r="H276" s="1399"/>
      <c r="I276" s="1399">
        <v>6339756</v>
      </c>
      <c r="J276" s="1399">
        <v>6339756</v>
      </c>
    </row>
    <row r="277" spans="5:10" s="1297" customFormat="1">
      <c r="E277" s="1297" t="s">
        <v>1129</v>
      </c>
      <c r="F277" s="1399"/>
      <c r="G277" s="1399"/>
      <c r="H277" s="1399"/>
      <c r="I277" s="1399">
        <v>-10260186</v>
      </c>
      <c r="J277" s="1399">
        <v>-10260186</v>
      </c>
    </row>
    <row r="278" spans="5:10" s="1297" customFormat="1">
      <c r="E278" s="1297" t="s">
        <v>1047</v>
      </c>
      <c r="F278" s="1399"/>
      <c r="G278" s="1399"/>
      <c r="H278" s="1399"/>
      <c r="I278" s="1399">
        <v>1738005</v>
      </c>
      <c r="J278" s="1399">
        <v>1738005</v>
      </c>
    </row>
    <row r="279" spans="5:10" s="1297" customFormat="1">
      <c r="E279" s="1297" t="s">
        <v>1048</v>
      </c>
      <c r="F279" s="1399"/>
      <c r="G279" s="1399"/>
      <c r="H279" s="1399"/>
      <c r="I279" s="1399">
        <v>-10440444</v>
      </c>
      <c r="J279" s="1399">
        <v>-10440444</v>
      </c>
    </row>
    <row r="280" spans="5:10" s="1297" customFormat="1">
      <c r="E280" s="1297" t="s">
        <v>932</v>
      </c>
      <c r="F280" s="1399"/>
      <c r="G280" s="1399"/>
      <c r="H280" s="1399"/>
      <c r="I280" s="1399">
        <v>7964256</v>
      </c>
      <c r="J280" s="1399">
        <v>7964256</v>
      </c>
    </row>
    <row r="281" spans="5:10" s="1297" customFormat="1">
      <c r="E281" s="1404" t="s">
        <v>955</v>
      </c>
      <c r="F281" s="1405"/>
      <c r="G281" s="1405"/>
      <c r="H281" s="1405"/>
      <c r="I281" s="1405">
        <v>1550304.94</v>
      </c>
      <c r="J281" s="1405">
        <v>1550304.94</v>
      </c>
    </row>
    <row r="282" spans="5:10" s="1297" customFormat="1">
      <c r="E282" s="1297" t="s">
        <v>934</v>
      </c>
      <c r="F282" s="1399"/>
      <c r="G282" s="1399"/>
      <c r="H282" s="1399"/>
      <c r="I282" s="1399">
        <v>209318</v>
      </c>
      <c r="J282" s="1399">
        <v>209318</v>
      </c>
    </row>
    <row r="283" spans="5:10" s="1297" customFormat="1">
      <c r="E283" s="1297" t="s">
        <v>1130</v>
      </c>
      <c r="F283" s="1399"/>
      <c r="G283" s="1399"/>
      <c r="H283" s="1399"/>
      <c r="I283" s="1399">
        <v>1243340</v>
      </c>
      <c r="J283" s="1399">
        <v>1243340</v>
      </c>
    </row>
    <row r="284" spans="5:10" s="1297" customFormat="1">
      <c r="E284" s="1297" t="s">
        <v>935</v>
      </c>
      <c r="F284" s="1399"/>
      <c r="G284" s="1399"/>
      <c r="H284" s="1399"/>
      <c r="I284" s="1399">
        <v>1462748.0399999998</v>
      </c>
      <c r="J284" s="1399">
        <v>1462748.0399999998</v>
      </c>
    </row>
    <row r="285" spans="5:10" s="1297" customFormat="1">
      <c r="E285" s="1297" t="s">
        <v>936</v>
      </c>
      <c r="F285" s="1399"/>
      <c r="G285" s="1399"/>
      <c r="H285" s="1399"/>
      <c r="I285" s="1399">
        <v>202036.86</v>
      </c>
      <c r="J285" s="1399">
        <v>202036.86</v>
      </c>
    </row>
    <row r="286" spans="5:10" s="1297" customFormat="1">
      <c r="E286" s="1297" t="s">
        <v>937</v>
      </c>
      <c r="F286" s="1399"/>
      <c r="G286" s="1399"/>
      <c r="H286" s="1399"/>
      <c r="I286" s="1399">
        <v>41730.480000000003</v>
      </c>
      <c r="J286" s="1399">
        <v>41730.480000000003</v>
      </c>
    </row>
    <row r="287" spans="5:10" s="1297" customFormat="1">
      <c r="E287" s="1297" t="s">
        <v>938</v>
      </c>
      <c r="F287" s="1399"/>
      <c r="G287" s="1399"/>
      <c r="H287" s="1399"/>
      <c r="I287" s="1399">
        <v>74302</v>
      </c>
      <c r="J287" s="1399">
        <v>74302</v>
      </c>
    </row>
    <row r="288" spans="5:10" s="1297" customFormat="1">
      <c r="E288" s="1297" t="s">
        <v>939</v>
      </c>
      <c r="F288" s="1399"/>
      <c r="G288" s="1399"/>
      <c r="H288" s="1399"/>
      <c r="I288" s="1399">
        <v>3220</v>
      </c>
      <c r="J288" s="1399">
        <v>3220</v>
      </c>
    </row>
    <row r="289" spans="2:12">
      <c r="B289" s="1297"/>
      <c r="C289" s="1297"/>
      <c r="D289" s="1297"/>
      <c r="E289" s="1297" t="s">
        <v>940</v>
      </c>
      <c r="F289" s="1399">
        <v>3377596.6</v>
      </c>
      <c r="J289" s="1399">
        <v>3377596.6</v>
      </c>
    </row>
    <row r="290" spans="2:12">
      <c r="B290" s="1297"/>
      <c r="C290" s="1297"/>
      <c r="D290" s="1297"/>
      <c r="E290" s="1297" t="s">
        <v>941</v>
      </c>
      <c r="F290" s="1399">
        <v>965993.68</v>
      </c>
      <c r="J290" s="1399">
        <v>965993.68</v>
      </c>
    </row>
    <row r="291" spans="2:12">
      <c r="B291" s="1297"/>
      <c r="C291" s="1297"/>
      <c r="D291" s="1297"/>
      <c r="E291" s="1297" t="s">
        <v>943</v>
      </c>
      <c r="F291" s="1399">
        <v>45686.44</v>
      </c>
      <c r="J291" s="1399">
        <v>45686.44</v>
      </c>
    </row>
    <row r="292" spans="2:12">
      <c r="B292" s="1297"/>
      <c r="C292" s="1297"/>
      <c r="D292" s="1297"/>
      <c r="E292" s="1297" t="s">
        <v>944</v>
      </c>
      <c r="F292" s="1399">
        <v>4552206.01</v>
      </c>
      <c r="J292" s="1399">
        <v>4552206.01</v>
      </c>
    </row>
    <row r="293" spans="2:12">
      <c r="B293" s="1297"/>
      <c r="C293" s="1297"/>
      <c r="D293" s="1297"/>
      <c r="E293" s="1297" t="s">
        <v>945</v>
      </c>
      <c r="F293" s="1399">
        <v>6103574.7299999995</v>
      </c>
      <c r="J293" s="1399">
        <v>6103574.7299999995</v>
      </c>
    </row>
    <row r="294" spans="2:12">
      <c r="B294" s="1297"/>
      <c r="C294" s="1297"/>
      <c r="D294" s="1297"/>
      <c r="E294" s="1297" t="s">
        <v>946</v>
      </c>
      <c r="F294" s="1399">
        <v>13333.34</v>
      </c>
      <c r="J294" s="1399">
        <v>13333.34</v>
      </c>
    </row>
    <row r="295" spans="2:12">
      <c r="B295" s="1297"/>
      <c r="C295" s="1297"/>
      <c r="D295" s="1297"/>
      <c r="E295" s="1297" t="s">
        <v>947</v>
      </c>
      <c r="F295" s="1399">
        <v>235604.96</v>
      </c>
      <c r="J295" s="1399">
        <v>235604.96</v>
      </c>
    </row>
    <row r="296" spans="2:12">
      <c r="B296" s="1297"/>
      <c r="C296" s="1297"/>
      <c r="D296" s="1297"/>
      <c r="E296" s="1297" t="s">
        <v>1115</v>
      </c>
      <c r="F296" s="1399">
        <v>125091.68000000001</v>
      </c>
      <c r="J296" s="1399">
        <v>125091.68000000001</v>
      </c>
    </row>
    <row r="297" spans="2:12">
      <c r="B297" s="1297"/>
      <c r="C297" s="1297"/>
      <c r="D297" s="1297"/>
      <c r="E297" s="1404" t="s">
        <v>1116</v>
      </c>
      <c r="F297" s="1405">
        <v>69960000</v>
      </c>
      <c r="G297" s="1405"/>
      <c r="H297" s="1405"/>
      <c r="I297" s="1405"/>
      <c r="J297" s="1405">
        <v>69960000</v>
      </c>
    </row>
    <row r="298" spans="2:12">
      <c r="B298" s="1297"/>
      <c r="C298" s="1297"/>
      <c r="D298" s="1297"/>
      <c r="E298" s="1404" t="s">
        <v>1117</v>
      </c>
      <c r="F298" s="1405"/>
      <c r="G298" s="1405"/>
      <c r="H298" s="1405">
        <v>5221889.7</v>
      </c>
      <c r="I298" s="1405"/>
      <c r="J298" s="1405">
        <v>5221889.7</v>
      </c>
    </row>
    <row r="299" spans="2:12">
      <c r="B299" s="1297"/>
      <c r="C299" s="1297"/>
      <c r="D299" s="1297"/>
      <c r="E299" s="1404" t="s">
        <v>948</v>
      </c>
      <c r="F299" s="1405"/>
      <c r="G299" s="1405"/>
      <c r="H299" s="1405">
        <v>93090840.229999989</v>
      </c>
      <c r="I299" s="1405"/>
      <c r="J299" s="1405">
        <v>93090840.229999989</v>
      </c>
    </row>
    <row r="300" spans="2:12">
      <c r="B300" s="1297"/>
      <c r="C300" s="1297"/>
      <c r="D300" s="1297"/>
      <c r="E300" s="359" t="s">
        <v>956</v>
      </c>
      <c r="H300" s="1399">
        <v>16105.31</v>
      </c>
      <c r="J300" s="1399">
        <v>16105.31</v>
      </c>
    </row>
    <row r="301" spans="2:12">
      <c r="B301" s="1297"/>
      <c r="C301" s="1297"/>
      <c r="D301" s="1400" t="s">
        <v>992</v>
      </c>
      <c r="E301" s="1400"/>
      <c r="F301" s="1401">
        <f>SUM(F255:F300)-F297</f>
        <v>15768387.180000007</v>
      </c>
      <c r="G301" s="1401">
        <f>SUM(G255:G300)</f>
        <v>55077464.960000001</v>
      </c>
      <c r="H301" s="1401">
        <f>SUM(H255:H300)-(H298+H299)</f>
        <v>7375408.2099999934</v>
      </c>
      <c r="I301" s="1401">
        <f>SUM(I255:I300)-I281</f>
        <v>73093074.38000001</v>
      </c>
      <c r="J301" s="1401">
        <f>SUM(J255:J300)</f>
        <v>321137369.59999996</v>
      </c>
      <c r="K301" s="1401">
        <f>SUM(F301:I301)</f>
        <v>151314334.73000002</v>
      </c>
      <c r="L301" s="1408">
        <f>K301/C255</f>
        <v>10944.187381021266</v>
      </c>
    </row>
    <row r="302" spans="2:12">
      <c r="B302" s="1297" t="s">
        <v>993</v>
      </c>
      <c r="C302" s="1297">
        <v>3110</v>
      </c>
      <c r="D302" s="1297" t="s">
        <v>994</v>
      </c>
      <c r="E302" s="1297" t="s">
        <v>906</v>
      </c>
      <c r="G302" s="1399">
        <v>5230085.1000000006</v>
      </c>
      <c r="J302" s="1399">
        <v>5230085.1000000006</v>
      </c>
    </row>
    <row r="303" spans="2:12">
      <c r="B303" s="1297"/>
      <c r="C303" s="1297"/>
      <c r="D303" s="1297"/>
      <c r="E303" s="1297" t="s">
        <v>952</v>
      </c>
      <c r="G303" s="1399">
        <v>44132.29</v>
      </c>
      <c r="J303" s="1399">
        <v>44132.29</v>
      </c>
    </row>
    <row r="304" spans="2:12">
      <c r="B304" s="1297"/>
      <c r="C304" s="1297"/>
      <c r="D304" s="1297"/>
      <c r="E304" s="1297" t="s">
        <v>907</v>
      </c>
      <c r="G304" s="1399">
        <v>2298617.0499999998</v>
      </c>
      <c r="J304" s="1399">
        <v>2298617.0499999998</v>
      </c>
    </row>
    <row r="305" spans="5:10" s="1297" customFormat="1">
      <c r="E305" s="1297" t="s">
        <v>995</v>
      </c>
      <c r="F305" s="1399"/>
      <c r="G305" s="1399">
        <v>9804.2000000000007</v>
      </c>
      <c r="H305" s="1399"/>
      <c r="I305" s="1399"/>
      <c r="J305" s="1399">
        <v>9804.2000000000007</v>
      </c>
    </row>
    <row r="306" spans="5:10" s="1297" customFormat="1">
      <c r="E306" s="1297" t="s">
        <v>908</v>
      </c>
      <c r="F306" s="1399"/>
      <c r="G306" s="1399">
        <v>15060.5</v>
      </c>
      <c r="H306" s="1399"/>
      <c r="I306" s="1399"/>
      <c r="J306" s="1399">
        <v>15060.5</v>
      </c>
    </row>
    <row r="307" spans="5:10" s="1297" customFormat="1">
      <c r="E307" s="1297" t="s">
        <v>909</v>
      </c>
      <c r="F307" s="1399"/>
      <c r="G307" s="1399"/>
      <c r="H307" s="1399">
        <v>36530.49</v>
      </c>
      <c r="I307" s="1399"/>
      <c r="J307" s="1399">
        <v>36530.49</v>
      </c>
    </row>
    <row r="308" spans="5:10" s="1297" customFormat="1">
      <c r="E308" s="1297" t="s">
        <v>910</v>
      </c>
      <c r="F308" s="1399"/>
      <c r="G308" s="1399"/>
      <c r="H308" s="1399">
        <v>24988.7</v>
      </c>
      <c r="I308" s="1399"/>
      <c r="J308" s="1399">
        <v>24988.7</v>
      </c>
    </row>
    <row r="309" spans="5:10" s="1297" customFormat="1">
      <c r="E309" s="1297" t="s">
        <v>1034</v>
      </c>
      <c r="F309" s="1399"/>
      <c r="G309" s="1399"/>
      <c r="H309" s="1399">
        <v>19228.98</v>
      </c>
      <c r="I309" s="1399"/>
      <c r="J309" s="1399">
        <v>19228.98</v>
      </c>
    </row>
    <row r="310" spans="5:10" s="1297" customFormat="1">
      <c r="E310" s="1297" t="s">
        <v>1035</v>
      </c>
      <c r="F310" s="1399"/>
      <c r="G310" s="1399"/>
      <c r="H310" s="1399">
        <v>379056.49</v>
      </c>
      <c r="I310" s="1399"/>
      <c r="J310" s="1399">
        <v>379056.49</v>
      </c>
    </row>
    <row r="311" spans="5:10" s="1297" customFormat="1">
      <c r="E311" s="1297" t="s">
        <v>1036</v>
      </c>
      <c r="F311" s="1399"/>
      <c r="G311" s="1399"/>
      <c r="H311" s="1399">
        <v>165604.35</v>
      </c>
      <c r="I311" s="1399"/>
      <c r="J311" s="1399">
        <v>165604.35</v>
      </c>
    </row>
    <row r="312" spans="5:10" s="1297" customFormat="1">
      <c r="E312" s="1297" t="s">
        <v>1037</v>
      </c>
      <c r="F312" s="1399"/>
      <c r="G312" s="1399"/>
      <c r="H312" s="1399">
        <v>10755.67</v>
      </c>
      <c r="I312" s="1399"/>
      <c r="J312" s="1399">
        <v>10755.67</v>
      </c>
    </row>
    <row r="313" spans="5:10" s="1297" customFormat="1">
      <c r="E313" s="1297" t="s">
        <v>1039</v>
      </c>
      <c r="F313" s="1399"/>
      <c r="G313" s="1399"/>
      <c r="H313" s="1399">
        <v>98163.25</v>
      </c>
      <c r="I313" s="1399"/>
      <c r="J313" s="1399">
        <v>98163.25</v>
      </c>
    </row>
    <row r="314" spans="5:10" s="1297" customFormat="1">
      <c r="E314" s="1297" t="s">
        <v>1040</v>
      </c>
      <c r="F314" s="1399"/>
      <c r="G314" s="1399"/>
      <c r="H314" s="1399">
        <v>93677.55</v>
      </c>
      <c r="I314" s="1399"/>
      <c r="J314" s="1399">
        <v>93677.55</v>
      </c>
    </row>
    <row r="315" spans="5:10" s="1297" customFormat="1">
      <c r="E315" s="1297" t="s">
        <v>1041</v>
      </c>
      <c r="F315" s="1399"/>
      <c r="G315" s="1399"/>
      <c r="H315" s="1399">
        <v>26484</v>
      </c>
      <c r="I315" s="1399"/>
      <c r="J315" s="1399">
        <v>26484</v>
      </c>
    </row>
    <row r="316" spans="5:10" s="1297" customFormat="1">
      <c r="E316" s="1297" t="s">
        <v>1042</v>
      </c>
      <c r="F316" s="1399"/>
      <c r="G316" s="1399"/>
      <c r="H316" s="1399">
        <v>51736.5</v>
      </c>
      <c r="I316" s="1399"/>
      <c r="J316" s="1399">
        <v>51736.5</v>
      </c>
    </row>
    <row r="317" spans="5:10" s="1297" customFormat="1">
      <c r="E317" s="1297" t="s">
        <v>1043</v>
      </c>
      <c r="F317" s="1399"/>
      <c r="G317" s="1399"/>
      <c r="H317" s="1399">
        <v>44450</v>
      </c>
      <c r="I317" s="1399"/>
      <c r="J317" s="1399">
        <v>44450</v>
      </c>
    </row>
    <row r="318" spans="5:10" s="1297" customFormat="1">
      <c r="E318" s="1297" t="s">
        <v>986</v>
      </c>
      <c r="F318" s="1399"/>
      <c r="G318" s="1399"/>
      <c r="H318" s="1399">
        <v>88551.09</v>
      </c>
      <c r="I318" s="1399"/>
      <c r="J318" s="1399">
        <v>88551.09</v>
      </c>
    </row>
    <row r="319" spans="5:10" s="1297" customFormat="1">
      <c r="E319" s="1297" t="s">
        <v>990</v>
      </c>
      <c r="F319" s="1399"/>
      <c r="G319" s="1399"/>
      <c r="H319" s="1399">
        <v>1329.31</v>
      </c>
      <c r="I319" s="1399"/>
      <c r="J319" s="1399">
        <v>1329.31</v>
      </c>
    </row>
    <row r="320" spans="5:10" s="1297" customFormat="1">
      <c r="E320" s="1297" t="s">
        <v>996</v>
      </c>
      <c r="F320" s="1399"/>
      <c r="G320" s="1399"/>
      <c r="H320" s="1399">
        <v>18499.86</v>
      </c>
      <c r="I320" s="1399"/>
      <c r="J320" s="1399">
        <v>18499.86</v>
      </c>
    </row>
    <row r="321" spans="5:10" s="1297" customFormat="1">
      <c r="E321" s="1297" t="s">
        <v>1045</v>
      </c>
      <c r="F321" s="1399"/>
      <c r="G321" s="1399"/>
      <c r="H321" s="1399">
        <v>140440.55000000002</v>
      </c>
      <c r="I321" s="1399"/>
      <c r="J321" s="1399">
        <v>140440.55000000002</v>
      </c>
    </row>
    <row r="322" spans="5:10" s="1297" customFormat="1">
      <c r="E322" s="1297" t="s">
        <v>1046</v>
      </c>
      <c r="F322" s="1399"/>
      <c r="G322" s="1399"/>
      <c r="H322" s="1399"/>
      <c r="I322" s="1399">
        <v>15684615</v>
      </c>
      <c r="J322" s="1399">
        <v>15684615</v>
      </c>
    </row>
    <row r="323" spans="5:10" s="1297" customFormat="1">
      <c r="E323" s="1297" t="s">
        <v>1047</v>
      </c>
      <c r="F323" s="1399"/>
      <c r="G323" s="1399"/>
      <c r="H323" s="1399"/>
      <c r="I323" s="1399">
        <v>433382</v>
      </c>
      <c r="J323" s="1399">
        <v>433382</v>
      </c>
    </row>
    <row r="324" spans="5:10" s="1297" customFormat="1">
      <c r="E324" s="1297" t="s">
        <v>1048</v>
      </c>
      <c r="F324" s="1399"/>
      <c r="G324" s="1399"/>
      <c r="H324" s="1399"/>
      <c r="I324" s="1399">
        <v>-1619137</v>
      </c>
      <c r="J324" s="1399">
        <v>-1619137</v>
      </c>
    </row>
    <row r="325" spans="5:10" s="1297" customFormat="1">
      <c r="E325" s="1297" t="s">
        <v>932</v>
      </c>
      <c r="F325" s="1399"/>
      <c r="G325" s="1399"/>
      <c r="H325" s="1399"/>
      <c r="I325" s="1399">
        <v>2303892</v>
      </c>
      <c r="J325" s="1399">
        <v>2303892</v>
      </c>
    </row>
    <row r="326" spans="5:10" s="1297" customFormat="1">
      <c r="E326" s="1404" t="s">
        <v>955</v>
      </c>
      <c r="F326" s="1405"/>
      <c r="G326" s="1405"/>
      <c r="H326" s="1405"/>
      <c r="I326" s="1405">
        <v>767134.16</v>
      </c>
      <c r="J326" s="1405">
        <v>767134.16</v>
      </c>
    </row>
    <row r="327" spans="5:10" s="1297" customFormat="1">
      <c r="E327" s="1297" t="s">
        <v>934</v>
      </c>
      <c r="F327" s="1399"/>
      <c r="G327" s="1399"/>
      <c r="H327" s="1399"/>
      <c r="I327" s="1399">
        <v>55120</v>
      </c>
      <c r="J327" s="1399">
        <v>55120</v>
      </c>
    </row>
    <row r="328" spans="5:10" s="1297" customFormat="1">
      <c r="E328" s="1297" t="s">
        <v>935</v>
      </c>
      <c r="F328" s="1399"/>
      <c r="G328" s="1399"/>
      <c r="H328" s="1399"/>
      <c r="I328" s="1399">
        <v>370485.04000000004</v>
      </c>
      <c r="J328" s="1399">
        <v>370485.04000000004</v>
      </c>
    </row>
    <row r="329" spans="5:10" s="1297" customFormat="1">
      <c r="E329" s="1297" t="s">
        <v>936</v>
      </c>
      <c r="F329" s="1399"/>
      <c r="G329" s="1399"/>
      <c r="H329" s="1399"/>
      <c r="I329" s="1399">
        <v>45519.57</v>
      </c>
      <c r="J329" s="1399">
        <v>45519.57</v>
      </c>
    </row>
    <row r="330" spans="5:10" s="1297" customFormat="1">
      <c r="E330" s="1297" t="s">
        <v>937</v>
      </c>
      <c r="F330" s="1399"/>
      <c r="G330" s="1399"/>
      <c r="H330" s="1399"/>
      <c r="I330" s="1399">
        <v>13319.62</v>
      </c>
      <c r="J330" s="1399">
        <v>13319.62</v>
      </c>
    </row>
    <row r="331" spans="5:10" s="1297" customFormat="1">
      <c r="E331" s="1297" t="s">
        <v>938</v>
      </c>
      <c r="F331" s="1399"/>
      <c r="G331" s="1399"/>
      <c r="H331" s="1399"/>
      <c r="I331" s="1399">
        <v>15347</v>
      </c>
      <c r="J331" s="1399">
        <v>15347</v>
      </c>
    </row>
    <row r="332" spans="5:10" s="1297" customFormat="1">
      <c r="E332" s="1297" t="s">
        <v>939</v>
      </c>
      <c r="F332" s="1399"/>
      <c r="G332" s="1399"/>
      <c r="H332" s="1399"/>
      <c r="I332" s="1399">
        <v>0</v>
      </c>
      <c r="J332" s="1399">
        <v>0</v>
      </c>
    </row>
    <row r="333" spans="5:10" s="1297" customFormat="1">
      <c r="E333" s="1297" t="s">
        <v>1131</v>
      </c>
      <c r="F333" s="1399">
        <v>45750.879999999997</v>
      </c>
      <c r="G333" s="1399"/>
      <c r="H333" s="1399"/>
      <c r="I333" s="1399"/>
      <c r="J333" s="1399">
        <v>45750.879999999997</v>
      </c>
    </row>
    <row r="334" spans="5:10" s="1297" customFormat="1">
      <c r="E334" s="1297" t="s">
        <v>940</v>
      </c>
      <c r="F334" s="1399">
        <v>988727.84</v>
      </c>
      <c r="G334" s="1399"/>
      <c r="H334" s="1399"/>
      <c r="I334" s="1399"/>
      <c r="J334" s="1399">
        <v>988727.84</v>
      </c>
    </row>
    <row r="335" spans="5:10" s="1297" customFormat="1">
      <c r="E335" s="1297" t="s">
        <v>941</v>
      </c>
      <c r="F335" s="1399">
        <v>345649.74</v>
      </c>
      <c r="G335" s="1399"/>
      <c r="H335" s="1399"/>
      <c r="I335" s="1399"/>
      <c r="J335" s="1399">
        <v>345649.74</v>
      </c>
    </row>
    <row r="336" spans="5:10" s="1297" customFormat="1">
      <c r="E336" s="1297" t="s">
        <v>943</v>
      </c>
      <c r="F336" s="1399">
        <v>5188.1400000000003</v>
      </c>
      <c r="G336" s="1399"/>
      <c r="H336" s="1399"/>
      <c r="I336" s="1399"/>
      <c r="J336" s="1399">
        <v>5188.1400000000003</v>
      </c>
    </row>
    <row r="337" spans="2:12">
      <c r="B337" s="1297"/>
      <c r="C337" s="1297"/>
      <c r="D337" s="1297"/>
      <c r="E337" s="1297" t="s">
        <v>944</v>
      </c>
      <c r="F337" s="1399">
        <v>2852188.2800000003</v>
      </c>
      <c r="J337" s="1399">
        <v>2852188.2800000003</v>
      </c>
    </row>
    <row r="338" spans="2:12">
      <c r="B338" s="1297"/>
      <c r="C338" s="1297"/>
      <c r="D338" s="1297"/>
      <c r="E338" s="1297" t="s">
        <v>945</v>
      </c>
      <c r="F338" s="1399">
        <v>1317457.6700000002</v>
      </c>
      <c r="J338" s="1399">
        <v>1317457.6700000002</v>
      </c>
    </row>
    <row r="339" spans="2:12">
      <c r="B339" s="1297"/>
      <c r="C339" s="1297"/>
      <c r="D339" s="1297"/>
      <c r="E339" s="1297" t="s">
        <v>946</v>
      </c>
      <c r="F339" s="1399">
        <v>73222.09</v>
      </c>
      <c r="J339" s="1399">
        <v>73222.09</v>
      </c>
    </row>
    <row r="340" spans="2:12">
      <c r="B340" s="1297"/>
      <c r="C340" s="1297"/>
      <c r="D340" s="1297"/>
      <c r="E340" s="1297" t="s">
        <v>947</v>
      </c>
      <c r="F340" s="1399">
        <v>42808.93</v>
      </c>
      <c r="J340" s="1399">
        <v>42808.93</v>
      </c>
    </row>
    <row r="341" spans="2:12">
      <c r="B341" s="1297"/>
      <c r="C341" s="1297"/>
      <c r="D341" s="1297"/>
      <c r="E341" s="1404" t="s">
        <v>948</v>
      </c>
      <c r="F341" s="1405"/>
      <c r="G341" s="1405"/>
      <c r="H341" s="1405">
        <v>2018960.91</v>
      </c>
      <c r="I341" s="1405"/>
      <c r="J341" s="1405">
        <v>2018960.91</v>
      </c>
    </row>
    <row r="342" spans="2:12">
      <c r="B342" s="1297"/>
      <c r="C342" s="1297"/>
      <c r="D342" s="1297"/>
      <c r="E342" s="1297" t="s">
        <v>1118</v>
      </c>
      <c r="H342" s="1399">
        <v>-228.28</v>
      </c>
      <c r="J342" s="1399">
        <v>-228.28</v>
      </c>
    </row>
    <row r="343" spans="2:12">
      <c r="B343" s="1297"/>
      <c r="C343" s="1297"/>
      <c r="D343" s="1400" t="s">
        <v>997</v>
      </c>
      <c r="E343" s="1400"/>
      <c r="F343" s="1401">
        <f>SUM(F302:F342)</f>
        <v>5670993.5699999994</v>
      </c>
      <c r="G343" s="1401">
        <f>SUM(G302:G342)</f>
        <v>7597699.1400000006</v>
      </c>
      <c r="H343" s="1401">
        <f>SUM(H302:H342)-H341</f>
        <v>1199268.5100000005</v>
      </c>
      <c r="I343" s="1401">
        <f>SUM(I302:I342)-I326</f>
        <v>17302543.23</v>
      </c>
      <c r="J343" s="1401">
        <f>SUM(J302:J342)</f>
        <v>34556599.519999996</v>
      </c>
      <c r="K343" s="1401">
        <f>SUM(F343:I343)</f>
        <v>31770504.450000003</v>
      </c>
      <c r="L343" s="1408">
        <f>K343/C302</f>
        <v>10215.596286173635</v>
      </c>
    </row>
    <row r="344" spans="2:12">
      <c r="B344" s="1297" t="s">
        <v>998</v>
      </c>
      <c r="C344" s="1297">
        <v>3093</v>
      </c>
      <c r="D344" s="1297" t="s">
        <v>999</v>
      </c>
      <c r="E344" s="1297" t="s">
        <v>906</v>
      </c>
      <c r="G344" s="1399">
        <v>4162894.8</v>
      </c>
      <c r="J344" s="1399">
        <v>4162894.8</v>
      </c>
    </row>
    <row r="345" spans="2:12">
      <c r="B345" s="1297"/>
      <c r="C345" s="1297"/>
      <c r="D345" s="1297"/>
      <c r="E345" s="1297" t="s">
        <v>907</v>
      </c>
      <c r="G345" s="1399">
        <v>1544649.6</v>
      </c>
      <c r="J345" s="1399">
        <v>1544649.6</v>
      </c>
    </row>
    <row r="346" spans="2:12">
      <c r="B346" s="1297"/>
      <c r="C346" s="1297"/>
      <c r="D346" s="1297"/>
      <c r="E346" s="1297" t="s">
        <v>908</v>
      </c>
      <c r="G346" s="1399">
        <v>11481.13</v>
      </c>
      <c r="J346" s="1399">
        <v>11481.13</v>
      </c>
    </row>
    <row r="347" spans="2:12">
      <c r="B347" s="1297"/>
      <c r="C347" s="1297"/>
      <c r="D347" s="1297"/>
      <c r="E347" s="1297" t="s">
        <v>909</v>
      </c>
      <c r="H347" s="1399">
        <v>44803.16</v>
      </c>
      <c r="J347" s="1399">
        <v>44803.16</v>
      </c>
    </row>
    <row r="348" spans="2:12">
      <c r="B348" s="1297"/>
      <c r="C348" s="1297"/>
      <c r="D348" s="1297"/>
      <c r="E348" s="1297" t="s">
        <v>910</v>
      </c>
      <c r="H348" s="1399">
        <v>12665.31</v>
      </c>
      <c r="J348" s="1399">
        <v>12665.31</v>
      </c>
    </row>
    <row r="349" spans="2:12">
      <c r="B349" s="1297"/>
      <c r="C349" s="1297"/>
      <c r="D349" s="1297"/>
      <c r="E349" s="1297" t="s">
        <v>1034</v>
      </c>
      <c r="H349" s="1399">
        <v>44820.12</v>
      </c>
      <c r="J349" s="1399">
        <v>44820.12</v>
      </c>
    </row>
    <row r="350" spans="2:12">
      <c r="B350" s="1297"/>
      <c r="C350" s="1297"/>
      <c r="D350" s="1297"/>
      <c r="E350" s="1297" t="s">
        <v>1035</v>
      </c>
      <c r="H350" s="1399">
        <v>1016314.38</v>
      </c>
      <c r="J350" s="1399">
        <v>1016314.38</v>
      </c>
    </row>
    <row r="351" spans="2:12">
      <c r="B351" s="1297"/>
      <c r="C351" s="1297"/>
      <c r="D351" s="1297"/>
      <c r="E351" s="1297" t="s">
        <v>1036</v>
      </c>
      <c r="H351" s="1399">
        <v>10630</v>
      </c>
      <c r="J351" s="1399">
        <v>10630</v>
      </c>
    </row>
    <row r="352" spans="2:12">
      <c r="B352" s="1297"/>
      <c r="C352" s="1297"/>
      <c r="D352" s="1297"/>
      <c r="E352" s="1297" t="s">
        <v>1039</v>
      </c>
      <c r="H352" s="1399">
        <v>81403.289999999994</v>
      </c>
      <c r="J352" s="1399">
        <v>81403.289999999994</v>
      </c>
    </row>
    <row r="353" spans="5:10" s="1297" customFormat="1">
      <c r="E353" s="1297" t="s">
        <v>1040</v>
      </c>
      <c r="F353" s="1399"/>
      <c r="G353" s="1399"/>
      <c r="H353" s="1399">
        <v>229501.64</v>
      </c>
      <c r="I353" s="1399"/>
      <c r="J353" s="1399">
        <v>229501.64</v>
      </c>
    </row>
    <row r="354" spans="5:10" s="1297" customFormat="1">
      <c r="E354" s="1297" t="s">
        <v>1041</v>
      </c>
      <c r="F354" s="1399"/>
      <c r="G354" s="1399"/>
      <c r="H354" s="1399">
        <v>3702.75</v>
      </c>
      <c r="I354" s="1399"/>
      <c r="J354" s="1399">
        <v>3702.75</v>
      </c>
    </row>
    <row r="355" spans="5:10" s="1297" customFormat="1">
      <c r="E355" s="1297" t="s">
        <v>1042</v>
      </c>
      <c r="F355" s="1399"/>
      <c r="G355" s="1399"/>
      <c r="H355" s="1399">
        <v>46946.95</v>
      </c>
      <c r="I355" s="1399"/>
      <c r="J355" s="1399">
        <v>46946.95</v>
      </c>
    </row>
    <row r="356" spans="5:10" s="1297" customFormat="1">
      <c r="E356" s="1297" t="s">
        <v>1044</v>
      </c>
      <c r="F356" s="1399">
        <v>0</v>
      </c>
      <c r="G356" s="1399"/>
      <c r="H356" s="1399"/>
      <c r="I356" s="1399"/>
      <c r="J356" s="1399">
        <v>0</v>
      </c>
    </row>
    <row r="357" spans="5:10" s="1297" customFormat="1">
      <c r="E357" s="1297" t="s">
        <v>1045</v>
      </c>
      <c r="F357" s="1399"/>
      <c r="G357" s="1399"/>
      <c r="H357" s="1399">
        <v>585497.76</v>
      </c>
      <c r="I357" s="1399"/>
      <c r="J357" s="1399">
        <v>585497.76</v>
      </c>
    </row>
    <row r="358" spans="5:10" s="1297" customFormat="1">
      <c r="E358" s="1297" t="s">
        <v>1046</v>
      </c>
      <c r="F358" s="1399"/>
      <c r="G358" s="1399"/>
      <c r="H358" s="1399"/>
      <c r="I358" s="1399">
        <v>16896595</v>
      </c>
      <c r="J358" s="1399">
        <v>16896595</v>
      </c>
    </row>
    <row r="359" spans="5:10" s="1297" customFormat="1">
      <c r="E359" s="1297" t="s">
        <v>1047</v>
      </c>
      <c r="F359" s="1399"/>
      <c r="G359" s="1399"/>
      <c r="H359" s="1399"/>
      <c r="I359" s="1399">
        <v>-1647827</v>
      </c>
      <c r="J359" s="1399">
        <v>-1647827</v>
      </c>
    </row>
    <row r="360" spans="5:10" s="1297" customFormat="1">
      <c r="E360" s="1297" t="s">
        <v>1048</v>
      </c>
      <c r="F360" s="1399"/>
      <c r="G360" s="1399"/>
      <c r="H360" s="1399"/>
      <c r="I360" s="1399">
        <v>-1260353</v>
      </c>
      <c r="J360" s="1399">
        <v>-1260353</v>
      </c>
    </row>
    <row r="361" spans="5:10" s="1297" customFormat="1">
      <c r="E361" s="1297" t="s">
        <v>932</v>
      </c>
      <c r="F361" s="1399"/>
      <c r="G361" s="1399"/>
      <c r="H361" s="1399"/>
      <c r="I361" s="1399">
        <v>2850707</v>
      </c>
      <c r="J361" s="1399">
        <v>2850707</v>
      </c>
    </row>
    <row r="362" spans="5:10" s="1297" customFormat="1">
      <c r="E362" s="1297" t="s">
        <v>933</v>
      </c>
      <c r="F362" s="1399"/>
      <c r="G362" s="1399"/>
      <c r="H362" s="1399"/>
      <c r="I362" s="1399">
        <v>542611.91999999993</v>
      </c>
      <c r="J362" s="1399">
        <v>542611.91999999993</v>
      </c>
    </row>
    <row r="363" spans="5:10" s="1297" customFormat="1">
      <c r="E363" s="1297" t="s">
        <v>934</v>
      </c>
      <c r="F363" s="1399"/>
      <c r="G363" s="1399"/>
      <c r="H363" s="1399"/>
      <c r="I363" s="1399">
        <v>48160</v>
      </c>
      <c r="J363" s="1399">
        <v>48160</v>
      </c>
    </row>
    <row r="364" spans="5:10" s="1297" customFormat="1">
      <c r="E364" s="1297" t="s">
        <v>935</v>
      </c>
      <c r="F364" s="1399"/>
      <c r="G364" s="1399"/>
      <c r="H364" s="1399"/>
      <c r="I364" s="1399">
        <v>473956.71</v>
      </c>
      <c r="J364" s="1399">
        <v>473956.71</v>
      </c>
    </row>
    <row r="365" spans="5:10" s="1297" customFormat="1">
      <c r="E365" s="1297" t="s">
        <v>936</v>
      </c>
      <c r="F365" s="1399"/>
      <c r="G365" s="1399"/>
      <c r="H365" s="1399"/>
      <c r="I365" s="1399">
        <v>49021.07</v>
      </c>
      <c r="J365" s="1399">
        <v>49021.07</v>
      </c>
    </row>
    <row r="366" spans="5:10" s="1297" customFormat="1">
      <c r="E366" s="1297" t="s">
        <v>937</v>
      </c>
      <c r="F366" s="1399"/>
      <c r="G366" s="1399"/>
      <c r="H366" s="1399"/>
      <c r="I366" s="1399">
        <v>12373.09</v>
      </c>
      <c r="J366" s="1399">
        <v>12373.09</v>
      </c>
    </row>
    <row r="367" spans="5:10" s="1297" customFormat="1">
      <c r="E367" s="1297" t="s">
        <v>938</v>
      </c>
      <c r="F367" s="1399"/>
      <c r="G367" s="1399"/>
      <c r="H367" s="1399"/>
      <c r="I367" s="1399">
        <v>11042</v>
      </c>
      <c r="J367" s="1399">
        <v>11042</v>
      </c>
    </row>
    <row r="368" spans="5:10" s="1297" customFormat="1">
      <c r="E368" s="1297" t="s">
        <v>939</v>
      </c>
      <c r="F368" s="1399"/>
      <c r="G368" s="1399"/>
      <c r="H368" s="1399"/>
      <c r="I368" s="1399">
        <v>790256.57000000007</v>
      </c>
      <c r="J368" s="1399">
        <v>790256.57000000007</v>
      </c>
    </row>
    <row r="369" spans="2:14">
      <c r="B369" s="1297"/>
      <c r="C369" s="1297"/>
      <c r="D369" s="1297"/>
      <c r="E369" s="1297" t="s">
        <v>1131</v>
      </c>
      <c r="F369" s="1399">
        <v>224831.01</v>
      </c>
      <c r="J369" s="1399">
        <v>224831.01</v>
      </c>
    </row>
    <row r="370" spans="2:14">
      <c r="B370" s="1297"/>
      <c r="C370" s="1297"/>
      <c r="D370" s="1297"/>
      <c r="E370" s="1297" t="s">
        <v>940</v>
      </c>
      <c r="F370" s="1399">
        <v>897730.24</v>
      </c>
      <c r="J370" s="1399">
        <v>897730.24</v>
      </c>
    </row>
    <row r="371" spans="2:14">
      <c r="B371" s="1297"/>
      <c r="C371" s="1297"/>
      <c r="D371" s="1297"/>
      <c r="E371" s="1297" t="s">
        <v>941</v>
      </c>
      <c r="F371" s="1399">
        <v>335407.48</v>
      </c>
      <c r="J371" s="1399">
        <v>335407.48</v>
      </c>
    </row>
    <row r="372" spans="2:14">
      <c r="B372" s="1297"/>
      <c r="C372" s="1297"/>
      <c r="D372" s="1297"/>
      <c r="E372" s="1297" t="s">
        <v>943</v>
      </c>
      <c r="F372" s="1399">
        <v>17261.240000000002</v>
      </c>
      <c r="J372" s="1399">
        <v>17261.240000000002</v>
      </c>
    </row>
    <row r="373" spans="2:14">
      <c r="B373" s="1297"/>
      <c r="C373" s="1297"/>
      <c r="D373" s="1297"/>
      <c r="E373" s="1297" t="s">
        <v>944</v>
      </c>
      <c r="F373" s="1399">
        <v>3221277.59</v>
      </c>
      <c r="J373" s="1399">
        <v>3221277.59</v>
      </c>
    </row>
    <row r="374" spans="2:14">
      <c r="B374" s="1297"/>
      <c r="C374" s="1297"/>
      <c r="D374" s="1297"/>
      <c r="E374" s="1297" t="s">
        <v>945</v>
      </c>
      <c r="F374" s="1399">
        <v>1039734.53</v>
      </c>
      <c r="J374" s="1399">
        <v>1039734.53</v>
      </c>
    </row>
    <row r="375" spans="2:14">
      <c r="B375" s="1297"/>
      <c r="C375" s="1297"/>
      <c r="D375" s="1297"/>
      <c r="E375" s="1297" t="s">
        <v>947</v>
      </c>
      <c r="F375" s="1399">
        <v>68294.36</v>
      </c>
      <c r="J375" s="1399">
        <v>68294.36</v>
      </c>
    </row>
    <row r="376" spans="2:14">
      <c r="B376" s="1297"/>
      <c r="C376" s="1297"/>
      <c r="D376" s="1297"/>
      <c r="E376" s="1404" t="s">
        <v>948</v>
      </c>
      <c r="F376" s="1405"/>
      <c r="G376" s="1405"/>
      <c r="H376" s="1405">
        <v>2141694.9300000002</v>
      </c>
      <c r="I376" s="1405"/>
      <c r="J376" s="1405">
        <v>2141694.9300000002</v>
      </c>
    </row>
    <row r="377" spans="2:14">
      <c r="B377" s="1297"/>
      <c r="C377" s="1297"/>
      <c r="D377" s="1297"/>
      <c r="E377" s="1297" t="s">
        <v>956</v>
      </c>
      <c r="H377" s="1399">
        <v>2356.3000000000002</v>
      </c>
      <c r="J377" s="1399">
        <v>2356.3000000000002</v>
      </c>
    </row>
    <row r="378" spans="2:14">
      <c r="B378" s="1297"/>
      <c r="C378" s="1297"/>
      <c r="D378" s="1400" t="s">
        <v>1000</v>
      </c>
      <c r="E378" s="1400"/>
      <c r="F378" s="1401">
        <f>SUM(F344:F377)</f>
        <v>5804536.4500000002</v>
      </c>
      <c r="G378" s="1401">
        <f>SUM(G344:G377)</f>
        <v>5719025.5300000003</v>
      </c>
      <c r="H378" s="1401">
        <f>SUM(H344:H377)-H376</f>
        <v>2078641.6599999997</v>
      </c>
      <c r="I378" s="1401">
        <f>SUM(I344:I377)</f>
        <v>18766543.360000003</v>
      </c>
      <c r="J378" s="1401">
        <f>SUM(J344:J377)</f>
        <v>34510441.93</v>
      </c>
      <c r="K378" s="1401">
        <f>SUM(F378:I378)</f>
        <v>32368747.000000004</v>
      </c>
      <c r="L378" s="1407">
        <f>K378/C344</f>
        <v>10465.162301972197</v>
      </c>
      <c r="M378" s="1407">
        <f>F378/C344</f>
        <v>1876.668752020692</v>
      </c>
      <c r="N378" s="1400">
        <f>F378/K378</f>
        <v>0.17932533656616365</v>
      </c>
    </row>
    <row r="379" spans="2:14">
      <c r="B379" s="1297" t="s">
        <v>1001</v>
      </c>
      <c r="C379" s="1297">
        <v>23656</v>
      </c>
      <c r="D379" s="1297" t="s">
        <v>1002</v>
      </c>
      <c r="E379" s="1297" t="s">
        <v>906</v>
      </c>
      <c r="G379" s="1399">
        <v>77327762.810000002</v>
      </c>
      <c r="J379" s="1399">
        <v>77327762.810000002</v>
      </c>
    </row>
    <row r="380" spans="2:14">
      <c r="B380" s="1297"/>
      <c r="C380" s="1297"/>
      <c r="D380" s="1297"/>
      <c r="E380" s="1297" t="s">
        <v>952</v>
      </c>
      <c r="G380" s="1399">
        <v>672470.97</v>
      </c>
      <c r="J380" s="1399">
        <v>672470.97</v>
      </c>
    </row>
    <row r="381" spans="2:14">
      <c r="B381" s="1297"/>
      <c r="C381" s="1297"/>
      <c r="D381" s="1297"/>
      <c r="E381" s="1297" t="s">
        <v>907</v>
      </c>
      <c r="G381" s="1399">
        <v>34113451.409999996</v>
      </c>
      <c r="J381" s="1399">
        <v>34113451.409999996</v>
      </c>
    </row>
    <row r="382" spans="2:14">
      <c r="B382" s="1297"/>
      <c r="C382" s="1297"/>
      <c r="D382" s="1297"/>
      <c r="E382" s="1297" t="s">
        <v>909</v>
      </c>
      <c r="H382" s="1399">
        <v>323053.95000000013</v>
      </c>
      <c r="J382" s="1399">
        <v>323053.95000000013</v>
      </c>
    </row>
    <row r="383" spans="2:14">
      <c r="B383" s="1297"/>
      <c r="C383" s="1297"/>
      <c r="D383" s="1297"/>
      <c r="E383" s="1297" t="s">
        <v>910</v>
      </c>
      <c r="H383" s="1399">
        <v>456433.55000000005</v>
      </c>
      <c r="J383" s="1399">
        <v>456433.55000000005</v>
      </c>
    </row>
    <row r="384" spans="2:14">
      <c r="B384" s="1297"/>
      <c r="C384" s="1297"/>
      <c r="D384" s="1297"/>
      <c r="E384" s="1297" t="s">
        <v>1034</v>
      </c>
      <c r="H384" s="1399">
        <v>249966.82</v>
      </c>
      <c r="J384" s="1399">
        <v>249966.82</v>
      </c>
    </row>
    <row r="385" spans="5:10" s="1297" customFormat="1">
      <c r="E385" s="1297" t="s">
        <v>1035</v>
      </c>
      <c r="F385" s="1399"/>
      <c r="G385" s="1399"/>
      <c r="H385" s="1399">
        <v>1548178.5099999998</v>
      </c>
      <c r="I385" s="1399"/>
      <c r="J385" s="1399">
        <v>1548178.5099999998</v>
      </c>
    </row>
    <row r="386" spans="5:10" s="1297" customFormat="1">
      <c r="E386" s="1297" t="s">
        <v>1036</v>
      </c>
      <c r="F386" s="1399"/>
      <c r="G386" s="1399"/>
      <c r="H386" s="1399">
        <v>463323.96</v>
      </c>
      <c r="I386" s="1399"/>
      <c r="J386" s="1399">
        <v>463323.96</v>
      </c>
    </row>
    <row r="387" spans="5:10" s="1297" customFormat="1">
      <c r="E387" s="1297" t="s">
        <v>1037</v>
      </c>
      <c r="F387" s="1399"/>
      <c r="G387" s="1399"/>
      <c r="H387" s="1399">
        <v>26011.56</v>
      </c>
      <c r="I387" s="1399"/>
      <c r="J387" s="1399">
        <v>26011.56</v>
      </c>
    </row>
    <row r="388" spans="5:10" s="1297" customFormat="1">
      <c r="E388" s="1297" t="s">
        <v>1038</v>
      </c>
      <c r="F388" s="1399"/>
      <c r="G388" s="1399"/>
      <c r="H388" s="1399">
        <v>64589.51</v>
      </c>
      <c r="I388" s="1399"/>
      <c r="J388" s="1399">
        <v>64589.51</v>
      </c>
    </row>
    <row r="389" spans="5:10" s="1297" customFormat="1">
      <c r="E389" s="1297" t="s">
        <v>1003</v>
      </c>
      <c r="F389" s="1399"/>
      <c r="G389" s="1399"/>
      <c r="H389" s="1399">
        <v>332820.56</v>
      </c>
      <c r="I389" s="1399"/>
      <c r="J389" s="1399">
        <v>332820.56</v>
      </c>
    </row>
    <row r="390" spans="5:10" s="1297" customFormat="1">
      <c r="E390" s="1297" t="s">
        <v>1039</v>
      </c>
      <c r="F390" s="1399"/>
      <c r="G390" s="1399"/>
      <c r="H390" s="1399">
        <v>122055.81999999998</v>
      </c>
      <c r="I390" s="1399"/>
      <c r="J390" s="1399">
        <v>122055.81999999998</v>
      </c>
    </row>
    <row r="391" spans="5:10" s="1297" customFormat="1">
      <c r="E391" s="1297" t="s">
        <v>1040</v>
      </c>
      <c r="F391" s="1399"/>
      <c r="G391" s="1399"/>
      <c r="H391" s="1399">
        <v>660365.20000000019</v>
      </c>
      <c r="I391" s="1399"/>
      <c r="J391" s="1399">
        <v>660365.20000000019</v>
      </c>
    </row>
    <row r="392" spans="5:10" s="1297" customFormat="1">
      <c r="E392" s="1297" t="s">
        <v>1127</v>
      </c>
      <c r="F392" s="1399"/>
      <c r="G392" s="1399"/>
      <c r="H392" s="1399">
        <v>87628.15</v>
      </c>
      <c r="I392" s="1399"/>
      <c r="J392" s="1399">
        <v>87628.15</v>
      </c>
    </row>
    <row r="393" spans="5:10" s="1297" customFormat="1">
      <c r="E393" s="1297" t="s">
        <v>1041</v>
      </c>
      <c r="F393" s="1399"/>
      <c r="G393" s="1399"/>
      <c r="H393" s="1399">
        <v>212777.15000000005</v>
      </c>
      <c r="I393" s="1399"/>
      <c r="J393" s="1399">
        <v>212777.15000000005</v>
      </c>
    </row>
    <row r="394" spans="5:10" s="1297" customFormat="1">
      <c r="E394" s="1297" t="s">
        <v>1042</v>
      </c>
      <c r="F394" s="1399"/>
      <c r="G394" s="1399"/>
      <c r="H394" s="1399">
        <v>220859.75000000003</v>
      </c>
      <c r="I394" s="1399"/>
      <c r="J394" s="1399">
        <v>220859.75000000003</v>
      </c>
    </row>
    <row r="395" spans="5:10" s="1297" customFormat="1">
      <c r="E395" s="1297" t="s">
        <v>953</v>
      </c>
      <c r="F395" s="1399"/>
      <c r="G395" s="1399"/>
      <c r="H395" s="1399">
        <v>469649.52</v>
      </c>
      <c r="I395" s="1399"/>
      <c r="J395" s="1399">
        <v>469649.52</v>
      </c>
    </row>
    <row r="396" spans="5:10" s="1297" customFormat="1">
      <c r="E396" s="1297" t="s">
        <v>1043</v>
      </c>
      <c r="F396" s="1399"/>
      <c r="G396" s="1399"/>
      <c r="H396" s="1399">
        <v>1363383.3599999999</v>
      </c>
      <c r="I396" s="1399"/>
      <c r="J396" s="1399">
        <v>1363383.3599999999</v>
      </c>
    </row>
    <row r="397" spans="5:10" s="1297" customFormat="1">
      <c r="E397" s="1297" t="s">
        <v>986</v>
      </c>
      <c r="F397" s="1399"/>
      <c r="G397" s="1399"/>
      <c r="H397" s="1399">
        <v>49811.490000000005</v>
      </c>
      <c r="I397" s="1399"/>
      <c r="J397" s="1399">
        <v>49811.490000000005</v>
      </c>
    </row>
    <row r="398" spans="5:10" s="1297" customFormat="1">
      <c r="E398" s="1297" t="s">
        <v>990</v>
      </c>
      <c r="F398" s="1399"/>
      <c r="G398" s="1399"/>
      <c r="H398" s="1399">
        <v>12697.07</v>
      </c>
      <c r="I398" s="1399"/>
      <c r="J398" s="1399">
        <v>12697.07</v>
      </c>
    </row>
    <row r="399" spans="5:10" s="1297" customFormat="1">
      <c r="E399" s="1297" t="s">
        <v>996</v>
      </c>
      <c r="F399" s="1399"/>
      <c r="G399" s="1399"/>
      <c r="H399" s="1399">
        <v>9507.7900000000009</v>
      </c>
      <c r="I399" s="1399"/>
      <c r="J399" s="1399">
        <v>9507.7900000000009</v>
      </c>
    </row>
    <row r="400" spans="5:10" s="1297" customFormat="1">
      <c r="E400" s="1297" t="s">
        <v>1004</v>
      </c>
      <c r="F400" s="1399"/>
      <c r="G400" s="1399"/>
      <c r="H400" s="1399">
        <v>-1746370.76</v>
      </c>
      <c r="I400" s="1399"/>
      <c r="J400" s="1399">
        <v>-1746370.76</v>
      </c>
    </row>
    <row r="401" spans="5:10" s="1297" customFormat="1">
      <c r="E401" s="1297" t="s">
        <v>1005</v>
      </c>
      <c r="F401" s="1399"/>
      <c r="G401" s="1399"/>
      <c r="H401" s="1399">
        <v>1734815.66</v>
      </c>
      <c r="I401" s="1399"/>
      <c r="J401" s="1399">
        <v>1734815.66</v>
      </c>
    </row>
    <row r="402" spans="5:10" s="1297" customFormat="1">
      <c r="E402" s="1297" t="s">
        <v>1044</v>
      </c>
      <c r="F402" s="1399">
        <v>1429359.25</v>
      </c>
      <c r="G402" s="1399"/>
      <c r="H402" s="1399"/>
      <c r="I402" s="1399"/>
      <c r="J402" s="1399">
        <v>1429359.25</v>
      </c>
    </row>
    <row r="403" spans="5:10" s="1297" customFormat="1">
      <c r="E403" s="1297" t="s">
        <v>1045</v>
      </c>
      <c r="F403" s="1399"/>
      <c r="G403" s="1399"/>
      <c r="H403" s="1399">
        <v>4693889.2800000012</v>
      </c>
      <c r="I403" s="1399"/>
      <c r="J403" s="1399">
        <v>4693889.2800000012</v>
      </c>
    </row>
    <row r="404" spans="5:10" s="1297" customFormat="1">
      <c r="E404" s="1297" t="s">
        <v>1046</v>
      </c>
      <c r="F404" s="1399"/>
      <c r="G404" s="1399"/>
      <c r="H404" s="1399"/>
      <c r="I404" s="1399">
        <v>93181855</v>
      </c>
      <c r="J404" s="1399">
        <v>93181855</v>
      </c>
    </row>
    <row r="405" spans="5:10" s="1297" customFormat="1">
      <c r="E405" s="1297" t="s">
        <v>932</v>
      </c>
      <c r="F405" s="1399"/>
      <c r="G405" s="1399"/>
      <c r="H405" s="1399"/>
      <c r="I405" s="1399">
        <v>4678040</v>
      </c>
      <c r="J405" s="1399">
        <v>4678040</v>
      </c>
    </row>
    <row r="406" spans="5:10" s="1297" customFormat="1">
      <c r="E406" s="1404" t="s">
        <v>955</v>
      </c>
      <c r="F406" s="1405"/>
      <c r="G406" s="1405"/>
      <c r="H406" s="1405"/>
      <c r="I406" s="1405">
        <v>3268033.79</v>
      </c>
      <c r="J406" s="1405">
        <v>3268033.79</v>
      </c>
    </row>
    <row r="407" spans="5:10" s="1297" customFormat="1">
      <c r="E407" s="1297" t="s">
        <v>934</v>
      </c>
      <c r="F407" s="1399"/>
      <c r="G407" s="1399"/>
      <c r="H407" s="1399"/>
      <c r="I407" s="1399">
        <v>414721.99999999988</v>
      </c>
      <c r="J407" s="1399">
        <v>414721.99999999988</v>
      </c>
    </row>
    <row r="408" spans="5:10" s="1297" customFormat="1">
      <c r="E408" s="1297" t="s">
        <v>1130</v>
      </c>
      <c r="F408" s="1399"/>
      <c r="G408" s="1399"/>
      <c r="H408" s="1399"/>
      <c r="I408" s="1399">
        <v>1048870.1000000001</v>
      </c>
      <c r="J408" s="1399">
        <v>1048870.1000000001</v>
      </c>
    </row>
    <row r="409" spans="5:10" s="1297" customFormat="1">
      <c r="E409" s="1297" t="s">
        <v>935</v>
      </c>
      <c r="F409" s="1399"/>
      <c r="G409" s="1399"/>
      <c r="H409" s="1399"/>
      <c r="I409" s="1399">
        <v>5453929.5700000003</v>
      </c>
      <c r="J409" s="1399">
        <v>5453929.5700000003</v>
      </c>
    </row>
    <row r="410" spans="5:10" s="1297" customFormat="1">
      <c r="E410" s="1297" t="s">
        <v>936</v>
      </c>
      <c r="F410" s="1399"/>
      <c r="G410" s="1399"/>
      <c r="H410" s="1399"/>
      <c r="I410" s="1399">
        <v>386216.04</v>
      </c>
      <c r="J410" s="1399">
        <v>386216.04</v>
      </c>
    </row>
    <row r="411" spans="5:10" s="1297" customFormat="1">
      <c r="E411" s="1297" t="s">
        <v>937</v>
      </c>
      <c r="F411" s="1399"/>
      <c r="G411" s="1399"/>
      <c r="H411" s="1399"/>
      <c r="I411" s="1399">
        <v>32689.27</v>
      </c>
      <c r="J411" s="1399">
        <v>32689.27</v>
      </c>
    </row>
    <row r="412" spans="5:10" s="1297" customFormat="1">
      <c r="E412" s="1297" t="s">
        <v>938</v>
      </c>
      <c r="F412" s="1399"/>
      <c r="G412" s="1399"/>
      <c r="H412" s="1399"/>
      <c r="I412" s="1399">
        <v>128391</v>
      </c>
      <c r="J412" s="1399">
        <v>128391</v>
      </c>
    </row>
    <row r="413" spans="5:10" s="1297" customFormat="1">
      <c r="E413" s="1297" t="s">
        <v>939</v>
      </c>
      <c r="F413" s="1399"/>
      <c r="G413" s="1399"/>
      <c r="H413" s="1399"/>
      <c r="I413" s="1399">
        <v>46007.86</v>
      </c>
      <c r="J413" s="1399">
        <v>46007.86</v>
      </c>
    </row>
    <row r="414" spans="5:10" s="1297" customFormat="1">
      <c r="E414" s="1297" t="s">
        <v>1131</v>
      </c>
      <c r="F414" s="1399">
        <v>368945.77</v>
      </c>
      <c r="G414" s="1399"/>
      <c r="H414" s="1399"/>
      <c r="I414" s="1399"/>
      <c r="J414" s="1399">
        <v>368945.77</v>
      </c>
    </row>
    <row r="415" spans="5:10" s="1297" customFormat="1">
      <c r="E415" s="1297" t="s">
        <v>940</v>
      </c>
      <c r="F415" s="1399">
        <v>8314258.7599999979</v>
      </c>
      <c r="G415" s="1399"/>
      <c r="H415" s="1399"/>
      <c r="I415" s="1399"/>
      <c r="J415" s="1399">
        <v>8314258.7599999979</v>
      </c>
    </row>
    <row r="416" spans="5:10" s="1297" customFormat="1">
      <c r="E416" s="1297" t="s">
        <v>941</v>
      </c>
      <c r="F416" s="1399">
        <v>3029838.44</v>
      </c>
      <c r="G416" s="1399"/>
      <c r="H416" s="1399"/>
      <c r="I416" s="1399"/>
      <c r="J416" s="1399">
        <v>3029838.44</v>
      </c>
    </row>
    <row r="417" spans="2:12">
      <c r="B417" s="1297"/>
      <c r="C417" s="1297"/>
      <c r="D417" s="1297"/>
      <c r="E417" s="1297" t="s">
        <v>943</v>
      </c>
      <c r="F417" s="1399">
        <v>106470.43</v>
      </c>
      <c r="J417" s="1399">
        <v>106470.43</v>
      </c>
    </row>
    <row r="418" spans="2:12">
      <c r="B418" s="1297"/>
      <c r="C418" s="1297"/>
      <c r="D418" s="1297"/>
      <c r="E418" s="1297" t="s">
        <v>944</v>
      </c>
      <c r="F418" s="1399">
        <v>28254194.460000001</v>
      </c>
      <c r="J418" s="1399">
        <v>28254194.460000001</v>
      </c>
    </row>
    <row r="419" spans="2:12">
      <c r="B419" s="1297"/>
      <c r="C419" s="1297"/>
      <c r="D419" s="1297"/>
      <c r="E419" s="1297" t="s">
        <v>945</v>
      </c>
      <c r="F419" s="1399">
        <v>15233625.889999999</v>
      </c>
      <c r="J419" s="1399">
        <v>15233625.889999999</v>
      </c>
    </row>
    <row r="420" spans="2:12">
      <c r="B420" s="1297"/>
      <c r="C420" s="1297"/>
      <c r="D420" s="1297"/>
      <c r="E420" s="1297" t="s">
        <v>946</v>
      </c>
      <c r="F420" s="1399">
        <v>406089.94</v>
      </c>
      <c r="J420" s="1399">
        <v>406089.94</v>
      </c>
    </row>
    <row r="421" spans="2:12">
      <c r="B421" s="1297"/>
      <c r="C421" s="1297"/>
      <c r="D421" s="1297"/>
      <c r="E421" s="1297" t="s">
        <v>978</v>
      </c>
      <c r="F421" s="1399">
        <v>30329.8</v>
      </c>
      <c r="J421" s="1399">
        <v>30329.8</v>
      </c>
    </row>
    <row r="422" spans="2:12">
      <c r="B422" s="1297"/>
      <c r="C422" s="1297"/>
      <c r="D422" s="1297"/>
      <c r="E422" s="1297" t="s">
        <v>1006</v>
      </c>
      <c r="F422" s="1399">
        <v>22780.77</v>
      </c>
      <c r="J422" s="1399">
        <v>22780.77</v>
      </c>
    </row>
    <row r="423" spans="2:12">
      <c r="B423" s="1297"/>
      <c r="C423" s="1297"/>
      <c r="D423" s="1297"/>
      <c r="E423" s="1297" t="s">
        <v>947</v>
      </c>
      <c r="F423" s="1399">
        <v>831895.67999999993</v>
      </c>
      <c r="J423" s="1399">
        <v>831895.67999999993</v>
      </c>
    </row>
    <row r="424" spans="2:12">
      <c r="B424" s="1297"/>
      <c r="C424" s="1297"/>
      <c r="D424" s="1297"/>
      <c r="E424" s="1404" t="s">
        <v>1116</v>
      </c>
      <c r="F424" s="1405"/>
      <c r="G424" s="1405"/>
      <c r="H424" s="1405">
        <v>30000000</v>
      </c>
      <c r="I424" s="1405"/>
      <c r="J424" s="1405">
        <v>30000000</v>
      </c>
    </row>
    <row r="425" spans="2:12">
      <c r="B425" s="1297"/>
      <c r="C425" s="1297"/>
      <c r="D425" s="1297"/>
      <c r="E425" s="1404" t="s">
        <v>1117</v>
      </c>
      <c r="F425" s="1405"/>
      <c r="G425" s="1405"/>
      <c r="H425" s="1405">
        <v>2701490.25</v>
      </c>
      <c r="I425" s="1405"/>
      <c r="J425" s="1405">
        <v>2701490.25</v>
      </c>
    </row>
    <row r="426" spans="2:12">
      <c r="B426" s="1297"/>
      <c r="C426" s="1297"/>
      <c r="D426" s="1297"/>
      <c r="E426" s="1404" t="s">
        <v>948</v>
      </c>
      <c r="F426" s="1405"/>
      <c r="G426" s="1405"/>
      <c r="H426" s="1405">
        <v>27176695.380000003</v>
      </c>
      <c r="I426" s="1405"/>
      <c r="J426" s="1405">
        <v>27176695.380000003</v>
      </c>
    </row>
    <row r="427" spans="2:12">
      <c r="B427" s="1297"/>
      <c r="C427" s="1297"/>
      <c r="D427" s="1297"/>
      <c r="E427" s="1297" t="s">
        <v>956</v>
      </c>
      <c r="H427" s="1399">
        <v>126591.49</v>
      </c>
      <c r="J427" s="1399">
        <v>126591.49</v>
      </c>
    </row>
    <row r="428" spans="2:12">
      <c r="B428" s="1297"/>
      <c r="C428" s="1297"/>
      <c r="D428" s="1297"/>
      <c r="E428" s="1297" t="s">
        <v>1118</v>
      </c>
      <c r="H428" s="1399">
        <v>124.13</v>
      </c>
      <c r="J428" s="1399">
        <v>124.13</v>
      </c>
    </row>
    <row r="429" spans="2:12">
      <c r="B429" s="1297"/>
      <c r="C429" s="1297"/>
      <c r="D429" s="1400" t="s">
        <v>1007</v>
      </c>
      <c r="E429" s="1400"/>
      <c r="F429" s="1401">
        <f>SUM(F379:F428)</f>
        <v>58027789.189999998</v>
      </c>
      <c r="G429" s="1401">
        <f>SUM(G379:G428)</f>
        <v>112113685.19</v>
      </c>
      <c r="H429" s="1401">
        <f>SUM(H379:H428)-(H424+H425+H426)</f>
        <v>11482163.519999988</v>
      </c>
      <c r="I429" s="1401">
        <f>SUM(I379:I428)-I406</f>
        <v>105370720.84</v>
      </c>
      <c r="J429" s="1401">
        <f>SUM(J379:J428)</f>
        <v>350140578.15999997</v>
      </c>
      <c r="K429" s="1401">
        <f>SUM(F429:I429)</f>
        <v>286994358.74000001</v>
      </c>
      <c r="L429" s="1408">
        <f>K429/C379</f>
        <v>12131.990139499494</v>
      </c>
    </row>
    <row r="430" spans="2:12">
      <c r="B430" s="1297" t="s">
        <v>1008</v>
      </c>
      <c r="C430" s="1297">
        <v>2332</v>
      </c>
      <c r="D430" s="1297" t="s">
        <v>1009</v>
      </c>
      <c r="E430" s="1297" t="s">
        <v>906</v>
      </c>
      <c r="G430" s="1399">
        <v>3194258.48</v>
      </c>
      <c r="J430" s="1399">
        <v>3194258.48</v>
      </c>
    </row>
    <row r="431" spans="2:12">
      <c r="B431" s="1297"/>
      <c r="C431" s="1297"/>
      <c r="D431" s="1297"/>
      <c r="E431" s="1297" t="s">
        <v>952</v>
      </c>
      <c r="G431" s="1399">
        <v>30587.24</v>
      </c>
      <c r="J431" s="1399">
        <v>30587.24</v>
      </c>
    </row>
    <row r="432" spans="2:12">
      <c r="B432" s="1297"/>
      <c r="C432" s="1297"/>
      <c r="D432" s="1297"/>
      <c r="E432" s="1297" t="s">
        <v>907</v>
      </c>
      <c r="G432" s="1399">
        <v>978939.77</v>
      </c>
      <c r="J432" s="1399">
        <v>978939.77</v>
      </c>
    </row>
    <row r="433" spans="5:10" s="1297" customFormat="1">
      <c r="E433" s="1297" t="s">
        <v>908</v>
      </c>
      <c r="F433" s="1399"/>
      <c r="G433" s="1399">
        <v>7469.03</v>
      </c>
      <c r="H433" s="1399"/>
      <c r="I433" s="1399"/>
      <c r="J433" s="1399">
        <v>7469.03</v>
      </c>
    </row>
    <row r="434" spans="5:10" s="1297" customFormat="1">
      <c r="E434" s="1297" t="s">
        <v>909</v>
      </c>
      <c r="F434" s="1399"/>
      <c r="G434" s="1399"/>
      <c r="H434" s="1399">
        <v>2247.4</v>
      </c>
      <c r="I434" s="1399"/>
      <c r="J434" s="1399">
        <v>2247.4</v>
      </c>
    </row>
    <row r="435" spans="5:10" s="1297" customFormat="1">
      <c r="E435" s="1297" t="s">
        <v>1035</v>
      </c>
      <c r="F435" s="1399"/>
      <c r="G435" s="1399"/>
      <c r="H435" s="1399">
        <v>776867.97</v>
      </c>
      <c r="I435" s="1399"/>
      <c r="J435" s="1399">
        <v>776867.97</v>
      </c>
    </row>
    <row r="436" spans="5:10" s="1297" customFormat="1">
      <c r="E436" s="1297" t="s">
        <v>1036</v>
      </c>
      <c r="F436" s="1399"/>
      <c r="G436" s="1399"/>
      <c r="H436" s="1399">
        <v>12456.97</v>
      </c>
      <c r="I436" s="1399"/>
      <c r="J436" s="1399">
        <v>12456.97</v>
      </c>
    </row>
    <row r="437" spans="5:10" s="1297" customFormat="1">
      <c r="E437" s="1297" t="s">
        <v>1039</v>
      </c>
      <c r="F437" s="1399"/>
      <c r="G437" s="1399"/>
      <c r="H437" s="1399">
        <v>37976.860000000008</v>
      </c>
      <c r="I437" s="1399"/>
      <c r="J437" s="1399">
        <v>37976.860000000008</v>
      </c>
    </row>
    <row r="438" spans="5:10" s="1297" customFormat="1">
      <c r="E438" s="1297" t="s">
        <v>1040</v>
      </c>
      <c r="F438" s="1399"/>
      <c r="G438" s="1399"/>
      <c r="H438" s="1399">
        <v>258390.11</v>
      </c>
      <c r="I438" s="1399"/>
      <c r="J438" s="1399">
        <v>258390.11</v>
      </c>
    </row>
    <row r="439" spans="5:10" s="1297" customFormat="1">
      <c r="E439" s="1297" t="s">
        <v>1041</v>
      </c>
      <c r="F439" s="1399"/>
      <c r="G439" s="1399"/>
      <c r="H439" s="1399">
        <v>26381.3</v>
      </c>
      <c r="I439" s="1399"/>
      <c r="J439" s="1399">
        <v>26381.3</v>
      </c>
    </row>
    <row r="440" spans="5:10" s="1297" customFormat="1">
      <c r="E440" s="1297" t="s">
        <v>1042</v>
      </c>
      <c r="F440" s="1399"/>
      <c r="G440" s="1399"/>
      <c r="H440" s="1399">
        <v>60862.879999999997</v>
      </c>
      <c r="I440" s="1399"/>
      <c r="J440" s="1399">
        <v>60862.879999999997</v>
      </c>
    </row>
    <row r="441" spans="5:10" s="1297" customFormat="1">
      <c r="E441" s="1297" t="s">
        <v>1044</v>
      </c>
      <c r="F441" s="1399">
        <v>13</v>
      </c>
      <c r="G441" s="1399"/>
      <c r="H441" s="1399">
        <v>13</v>
      </c>
      <c r="I441" s="1399"/>
      <c r="J441" s="1399">
        <v>13</v>
      </c>
    </row>
    <row r="442" spans="5:10" s="1297" customFormat="1">
      <c r="E442" s="1297" t="s">
        <v>1045</v>
      </c>
      <c r="F442" s="1399"/>
      <c r="G442" s="1399"/>
      <c r="H442" s="1399">
        <v>311247.40000000002</v>
      </c>
      <c r="I442" s="1399"/>
      <c r="J442" s="1399">
        <v>311247.40000000002</v>
      </c>
    </row>
    <row r="443" spans="5:10" s="1297" customFormat="1">
      <c r="E443" s="1297" t="s">
        <v>1046</v>
      </c>
      <c r="F443" s="1399"/>
      <c r="G443" s="1399"/>
      <c r="H443" s="1399"/>
      <c r="I443" s="1399">
        <v>12364588</v>
      </c>
      <c r="J443" s="1399">
        <v>12364588</v>
      </c>
    </row>
    <row r="444" spans="5:10" s="1297" customFormat="1">
      <c r="E444" s="1297" t="s">
        <v>1047</v>
      </c>
      <c r="F444" s="1399"/>
      <c r="G444" s="1399"/>
      <c r="H444" s="1399"/>
      <c r="I444" s="1399">
        <v>424423</v>
      </c>
      <c r="J444" s="1399">
        <v>424423</v>
      </c>
    </row>
    <row r="445" spans="5:10" s="1297" customFormat="1">
      <c r="E445" s="1297" t="s">
        <v>1048</v>
      </c>
      <c r="F445" s="1399"/>
      <c r="G445" s="1399"/>
      <c r="H445" s="1399"/>
      <c r="I445" s="1399">
        <v>-1114388</v>
      </c>
      <c r="J445" s="1399">
        <v>-1114388</v>
      </c>
    </row>
    <row r="446" spans="5:10" s="1297" customFormat="1">
      <c r="E446" s="1297" t="s">
        <v>932</v>
      </c>
      <c r="F446" s="1399"/>
      <c r="G446" s="1399"/>
      <c r="H446" s="1399"/>
      <c r="I446" s="1399">
        <v>1492901</v>
      </c>
      <c r="J446" s="1399">
        <v>1492901</v>
      </c>
    </row>
    <row r="447" spans="5:10" s="1297" customFormat="1">
      <c r="E447" s="1297" t="s">
        <v>933</v>
      </c>
      <c r="F447" s="1399"/>
      <c r="G447" s="1399"/>
      <c r="H447" s="1399"/>
      <c r="I447" s="1399">
        <v>738266.2</v>
      </c>
      <c r="J447" s="1399">
        <v>738266.2</v>
      </c>
    </row>
    <row r="448" spans="5:10" s="1297" customFormat="1">
      <c r="E448" s="1297" t="s">
        <v>934</v>
      </c>
      <c r="F448" s="1399"/>
      <c r="G448" s="1399"/>
      <c r="H448" s="1399"/>
      <c r="I448" s="1399">
        <v>45868</v>
      </c>
      <c r="J448" s="1399">
        <v>45868</v>
      </c>
    </row>
    <row r="449" spans="5:10" s="1297" customFormat="1">
      <c r="E449" s="1297" t="s">
        <v>1130</v>
      </c>
      <c r="F449" s="1399"/>
      <c r="G449" s="1399"/>
      <c r="H449" s="1399"/>
      <c r="I449" s="1399">
        <v>190853.6</v>
      </c>
      <c r="J449" s="1399">
        <v>190853.6</v>
      </c>
    </row>
    <row r="450" spans="5:10" s="1297" customFormat="1">
      <c r="E450" s="1297" t="s">
        <v>935</v>
      </c>
      <c r="F450" s="1399"/>
      <c r="G450" s="1399"/>
      <c r="H450" s="1399"/>
      <c r="I450" s="1399">
        <v>244616.97000000003</v>
      </c>
      <c r="J450" s="1399">
        <v>244616.97000000003</v>
      </c>
    </row>
    <row r="451" spans="5:10" s="1297" customFormat="1">
      <c r="E451" s="1297" t="s">
        <v>936</v>
      </c>
      <c r="F451" s="1399"/>
      <c r="G451" s="1399"/>
      <c r="H451" s="1399"/>
      <c r="I451" s="1399">
        <v>39917.160000000003</v>
      </c>
      <c r="J451" s="1399">
        <v>39917.160000000003</v>
      </c>
    </row>
    <row r="452" spans="5:10" s="1297" customFormat="1">
      <c r="E452" s="1297" t="s">
        <v>937</v>
      </c>
      <c r="F452" s="1399"/>
      <c r="G452" s="1399"/>
      <c r="H452" s="1399"/>
      <c r="I452" s="1399">
        <v>21793.4</v>
      </c>
      <c r="J452" s="1399">
        <v>21793.4</v>
      </c>
    </row>
    <row r="453" spans="5:10" s="1297" customFormat="1">
      <c r="E453" s="1297" t="s">
        <v>938</v>
      </c>
      <c r="F453" s="1399"/>
      <c r="G453" s="1399"/>
      <c r="H453" s="1399"/>
      <c r="I453" s="1399">
        <v>15534</v>
      </c>
      <c r="J453" s="1399">
        <v>15534</v>
      </c>
    </row>
    <row r="454" spans="5:10" s="1297" customFormat="1">
      <c r="E454" s="1297" t="s">
        <v>939</v>
      </c>
      <c r="F454" s="1399"/>
      <c r="G454" s="1399"/>
      <c r="H454" s="1399"/>
      <c r="I454" s="1399">
        <v>41770.47</v>
      </c>
      <c r="J454" s="1399">
        <v>41770.47</v>
      </c>
    </row>
    <row r="455" spans="5:10" s="1297" customFormat="1">
      <c r="E455" s="1297" t="s">
        <v>1131</v>
      </c>
      <c r="F455" s="1399">
        <v>1329942.1599999999</v>
      </c>
      <c r="G455" s="1399"/>
      <c r="H455" s="1399"/>
      <c r="I455" s="1399"/>
      <c r="J455" s="1399">
        <v>1329942.1599999999</v>
      </c>
    </row>
    <row r="456" spans="5:10" s="1297" customFormat="1">
      <c r="E456" s="1297" t="s">
        <v>940</v>
      </c>
      <c r="F456" s="1399">
        <v>768530.94</v>
      </c>
      <c r="G456" s="1399"/>
      <c r="H456" s="1399"/>
      <c r="I456" s="1399"/>
      <c r="J456" s="1399">
        <v>768530.94</v>
      </c>
    </row>
    <row r="457" spans="5:10" s="1297" customFormat="1">
      <c r="E457" s="1297" t="s">
        <v>941</v>
      </c>
      <c r="F457" s="1399">
        <v>246090.6</v>
      </c>
      <c r="G457" s="1399"/>
      <c r="H457" s="1399"/>
      <c r="I457" s="1399"/>
      <c r="J457" s="1399">
        <v>246090.6</v>
      </c>
    </row>
    <row r="458" spans="5:10" s="1297" customFormat="1">
      <c r="E458" s="1297" t="s">
        <v>943</v>
      </c>
      <c r="F458" s="1399">
        <v>27227.56</v>
      </c>
      <c r="G458" s="1399"/>
      <c r="H458" s="1399"/>
      <c r="I458" s="1399"/>
      <c r="J458" s="1399">
        <v>27227.56</v>
      </c>
    </row>
    <row r="459" spans="5:10" s="1297" customFormat="1">
      <c r="E459" s="1297" t="s">
        <v>944</v>
      </c>
      <c r="F459" s="1399">
        <v>1805985.21</v>
      </c>
      <c r="G459" s="1399"/>
      <c r="H459" s="1399"/>
      <c r="I459" s="1399"/>
      <c r="J459" s="1399">
        <v>1805985.21</v>
      </c>
    </row>
    <row r="460" spans="5:10" s="1297" customFormat="1">
      <c r="E460" s="1297" t="s">
        <v>945</v>
      </c>
      <c r="F460" s="1399">
        <v>948042.32</v>
      </c>
      <c r="G460" s="1399"/>
      <c r="H460" s="1399"/>
      <c r="I460" s="1399"/>
      <c r="J460" s="1399">
        <v>948042.32</v>
      </c>
    </row>
    <row r="461" spans="5:10" s="1297" customFormat="1">
      <c r="E461" s="1297" t="s">
        <v>946</v>
      </c>
      <c r="F461" s="1399">
        <v>48975.72</v>
      </c>
      <c r="G461" s="1399"/>
      <c r="H461" s="1399"/>
      <c r="I461" s="1399"/>
      <c r="J461" s="1399">
        <v>48975.72</v>
      </c>
    </row>
    <row r="462" spans="5:10" s="1297" customFormat="1">
      <c r="E462" s="1297" t="s">
        <v>947</v>
      </c>
      <c r="F462" s="1399">
        <v>176038.5</v>
      </c>
      <c r="G462" s="1399"/>
      <c r="H462" s="1399"/>
      <c r="I462" s="1399"/>
      <c r="J462" s="1399">
        <v>176038.5</v>
      </c>
    </row>
    <row r="463" spans="5:10" s="1297" customFormat="1">
      <c r="E463" s="1404" t="s">
        <v>948</v>
      </c>
      <c r="F463" s="1405"/>
      <c r="G463" s="1405"/>
      <c r="H463" s="1405">
        <v>4279306.82</v>
      </c>
      <c r="I463" s="1405"/>
      <c r="J463" s="1405">
        <v>4279306.82</v>
      </c>
    </row>
    <row r="464" spans="5:10" s="1297" customFormat="1">
      <c r="E464" s="1297" t="s">
        <v>1118</v>
      </c>
      <c r="F464" s="1399"/>
      <c r="G464" s="1399"/>
      <c r="H464" s="1399">
        <v>900</v>
      </c>
      <c r="I464" s="1399"/>
      <c r="J464" s="1399">
        <v>900</v>
      </c>
    </row>
    <row r="465" spans="2:12">
      <c r="B465" s="1297"/>
      <c r="C465" s="1297"/>
      <c r="D465" s="1400" t="s">
        <v>1010</v>
      </c>
      <c r="E465" s="1400"/>
      <c r="F465" s="1401">
        <f>SUM(F430:F464)</f>
        <v>5350846.01</v>
      </c>
      <c r="G465" s="1401">
        <f>SUM(G430:G464)</f>
        <v>4211254.5200000005</v>
      </c>
      <c r="H465" s="1401">
        <f>SUM(H430:H464)-H463</f>
        <v>1487343.8900000006</v>
      </c>
      <c r="I465" s="1401">
        <f>SUM(I430:I464)</f>
        <v>14506143.800000001</v>
      </c>
      <c r="J465" s="1401">
        <f>SUM(J430:J464)</f>
        <v>29834882.039999999</v>
      </c>
      <c r="K465" s="1401">
        <f>SUM(F465:I465)</f>
        <v>25555588.220000003</v>
      </c>
      <c r="L465" s="1408">
        <f>K465/C430</f>
        <v>10958.657041166382</v>
      </c>
    </row>
    <row r="466" spans="2:12">
      <c r="B466" s="1297" t="s">
        <v>1011</v>
      </c>
      <c r="C466" s="1297">
        <v>3308</v>
      </c>
      <c r="D466" s="1297" t="s">
        <v>1012</v>
      </c>
      <c r="E466" s="1297" t="s">
        <v>906</v>
      </c>
      <c r="G466" s="1399">
        <v>4123002.98</v>
      </c>
      <c r="J466" s="1399">
        <v>4123002.98</v>
      </c>
    </row>
    <row r="467" spans="2:12">
      <c r="B467" s="1297"/>
      <c r="C467" s="1297"/>
      <c r="D467" s="1297"/>
      <c r="E467" s="1297" t="s">
        <v>907</v>
      </c>
      <c r="G467" s="1399">
        <v>1066140.3899999999</v>
      </c>
      <c r="J467" s="1399">
        <v>1066140.3899999999</v>
      </c>
    </row>
    <row r="468" spans="2:12">
      <c r="B468" s="1297"/>
      <c r="C468" s="1297"/>
      <c r="D468" s="1297"/>
      <c r="E468" s="1297" t="s">
        <v>908</v>
      </c>
      <c r="G468" s="1399">
        <v>66814.100000000006</v>
      </c>
      <c r="J468" s="1399">
        <v>66814.100000000006</v>
      </c>
    </row>
    <row r="469" spans="2:12">
      <c r="B469" s="1297"/>
      <c r="C469" s="1297"/>
      <c r="D469" s="1297"/>
      <c r="E469" s="1297" t="s">
        <v>909</v>
      </c>
      <c r="H469" s="1399">
        <v>15542.18</v>
      </c>
      <c r="J469" s="1399">
        <v>15542.18</v>
      </c>
    </row>
    <row r="470" spans="2:12">
      <c r="B470" s="1297"/>
      <c r="C470" s="1297"/>
      <c r="D470" s="1297"/>
      <c r="E470" s="1297" t="s">
        <v>910</v>
      </c>
      <c r="H470" s="1399">
        <v>1770</v>
      </c>
      <c r="J470" s="1399">
        <v>1770</v>
      </c>
    </row>
    <row r="471" spans="2:12">
      <c r="B471" s="1297"/>
      <c r="C471" s="1297"/>
      <c r="D471" s="1297"/>
      <c r="E471" s="1297" t="s">
        <v>1034</v>
      </c>
      <c r="H471" s="1399">
        <v>30100.959999999999</v>
      </c>
      <c r="J471" s="1399">
        <v>30100.959999999999</v>
      </c>
    </row>
    <row r="472" spans="2:12">
      <c r="B472" s="1297"/>
      <c r="C472" s="1297"/>
      <c r="D472" s="1297"/>
      <c r="E472" s="1297" t="s">
        <v>1035</v>
      </c>
      <c r="H472" s="1399">
        <v>648058.62000000011</v>
      </c>
      <c r="J472" s="1399">
        <v>648058.62000000011</v>
      </c>
    </row>
    <row r="473" spans="2:12">
      <c r="B473" s="1297"/>
      <c r="C473" s="1297"/>
      <c r="D473" s="1297"/>
      <c r="E473" s="1297" t="s">
        <v>1036</v>
      </c>
      <c r="H473" s="1399">
        <v>116089.09</v>
      </c>
      <c r="J473" s="1399">
        <v>116089.09</v>
      </c>
    </row>
    <row r="474" spans="2:12">
      <c r="B474" s="1297"/>
      <c r="C474" s="1297"/>
      <c r="D474" s="1297"/>
      <c r="E474" s="1297" t="s">
        <v>1039</v>
      </c>
      <c r="H474" s="1399">
        <v>141468.00000000003</v>
      </c>
      <c r="J474" s="1399">
        <v>141468.00000000003</v>
      </c>
    </row>
    <row r="475" spans="2:12">
      <c r="B475" s="1297"/>
      <c r="C475" s="1297"/>
      <c r="D475" s="1297"/>
      <c r="E475" s="1297" t="s">
        <v>1040</v>
      </c>
      <c r="H475" s="1399">
        <v>180350.97</v>
      </c>
      <c r="J475" s="1399">
        <v>180350.97</v>
      </c>
    </row>
    <row r="476" spans="2:12">
      <c r="B476" s="1297"/>
      <c r="C476" s="1297"/>
      <c r="D476" s="1297"/>
      <c r="E476" s="1297" t="s">
        <v>1041</v>
      </c>
      <c r="H476" s="1399">
        <v>45259.09</v>
      </c>
      <c r="J476" s="1399">
        <v>45259.09</v>
      </c>
    </row>
    <row r="477" spans="2:12">
      <c r="B477" s="1297"/>
      <c r="C477" s="1297"/>
      <c r="D477" s="1297"/>
      <c r="E477" s="1297" t="s">
        <v>1042</v>
      </c>
      <c r="H477" s="1399">
        <v>55005.36</v>
      </c>
      <c r="J477" s="1399">
        <v>55005.36</v>
      </c>
    </row>
    <row r="478" spans="2:12">
      <c r="B478" s="1297"/>
      <c r="C478" s="1297"/>
      <c r="D478" s="1297"/>
      <c r="E478" s="1297" t="s">
        <v>953</v>
      </c>
      <c r="H478" s="1399">
        <v>29781</v>
      </c>
      <c r="J478" s="1399">
        <v>29781</v>
      </c>
    </row>
    <row r="479" spans="2:12">
      <c r="B479" s="1297"/>
      <c r="C479" s="1297"/>
      <c r="D479" s="1297"/>
      <c r="E479" s="1297" t="s">
        <v>986</v>
      </c>
      <c r="H479" s="1399">
        <v>28701.68</v>
      </c>
      <c r="J479" s="1399">
        <v>28701.68</v>
      </c>
    </row>
    <row r="480" spans="2:12">
      <c r="B480" s="1297"/>
      <c r="C480" s="1297"/>
      <c r="D480" s="1297"/>
      <c r="E480" s="1297" t="s">
        <v>1045</v>
      </c>
      <c r="H480" s="1399">
        <v>217217.83000000002</v>
      </c>
      <c r="J480" s="1399">
        <v>217217.83000000002</v>
      </c>
    </row>
    <row r="481" spans="5:10" s="1297" customFormat="1">
      <c r="E481" s="1297" t="s">
        <v>1046</v>
      </c>
      <c r="F481" s="1399"/>
      <c r="G481" s="1399"/>
      <c r="H481" s="1399"/>
      <c r="I481" s="1399">
        <v>16459799</v>
      </c>
      <c r="J481" s="1399">
        <v>16459799</v>
      </c>
    </row>
    <row r="482" spans="5:10" s="1297" customFormat="1">
      <c r="E482" s="1297" t="s">
        <v>1047</v>
      </c>
      <c r="F482" s="1399"/>
      <c r="G482" s="1399"/>
      <c r="H482" s="1399"/>
      <c r="I482" s="1399">
        <v>627857</v>
      </c>
      <c r="J482" s="1399">
        <v>627857</v>
      </c>
    </row>
    <row r="483" spans="5:10" s="1297" customFormat="1">
      <c r="E483" s="1297" t="s">
        <v>1048</v>
      </c>
      <c r="F483" s="1399"/>
      <c r="G483" s="1399"/>
      <c r="H483" s="1399"/>
      <c r="I483" s="1399">
        <v>-1507339</v>
      </c>
      <c r="J483" s="1399">
        <v>-1507339</v>
      </c>
    </row>
    <row r="484" spans="5:10" s="1297" customFormat="1">
      <c r="E484" s="1297" t="s">
        <v>932</v>
      </c>
      <c r="F484" s="1399"/>
      <c r="G484" s="1399"/>
      <c r="H484" s="1399"/>
      <c r="I484" s="1399">
        <v>2343553</v>
      </c>
      <c r="J484" s="1399">
        <v>2343553</v>
      </c>
    </row>
    <row r="485" spans="5:10" s="1297" customFormat="1">
      <c r="E485" s="1297" t="s">
        <v>933</v>
      </c>
      <c r="F485" s="1399"/>
      <c r="G485" s="1399"/>
      <c r="H485" s="1399"/>
      <c r="I485" s="1399">
        <v>907022.35</v>
      </c>
      <c r="J485" s="1399">
        <v>907022.35</v>
      </c>
    </row>
    <row r="486" spans="5:10" s="1297" customFormat="1">
      <c r="E486" s="1297" t="s">
        <v>934</v>
      </c>
      <c r="F486" s="1399"/>
      <c r="G486" s="1399"/>
      <c r="H486" s="1399"/>
      <c r="I486" s="1399">
        <v>56510</v>
      </c>
      <c r="J486" s="1399">
        <v>56510</v>
      </c>
    </row>
    <row r="487" spans="5:10" s="1297" customFormat="1">
      <c r="E487" s="1297" t="s">
        <v>1130</v>
      </c>
      <c r="F487" s="1399"/>
      <c r="G487" s="1399"/>
      <c r="H487" s="1399"/>
      <c r="I487" s="1399">
        <v>180</v>
      </c>
      <c r="J487" s="1399">
        <v>180</v>
      </c>
    </row>
    <row r="488" spans="5:10" s="1297" customFormat="1">
      <c r="E488" s="1297" t="s">
        <v>935</v>
      </c>
      <c r="F488" s="1399"/>
      <c r="G488" s="1399"/>
      <c r="H488" s="1399"/>
      <c r="I488" s="1399">
        <v>475185.07</v>
      </c>
      <c r="J488" s="1399">
        <v>475185.07</v>
      </c>
    </row>
    <row r="489" spans="5:10" s="1297" customFormat="1">
      <c r="E489" s="1297" t="s">
        <v>936</v>
      </c>
      <c r="F489" s="1399"/>
      <c r="G489" s="1399"/>
      <c r="H489" s="1399"/>
      <c r="I489" s="1399">
        <v>54973.63</v>
      </c>
      <c r="J489" s="1399">
        <v>54973.63</v>
      </c>
    </row>
    <row r="490" spans="5:10" s="1297" customFormat="1">
      <c r="E490" s="1297" t="s">
        <v>937</v>
      </c>
      <c r="F490" s="1399"/>
      <c r="G490" s="1399"/>
      <c r="H490" s="1399"/>
      <c r="I490" s="1399">
        <v>2590.65</v>
      </c>
      <c r="J490" s="1399">
        <v>2590.65</v>
      </c>
    </row>
    <row r="491" spans="5:10" s="1297" customFormat="1">
      <c r="E491" s="1297" t="s">
        <v>938</v>
      </c>
      <c r="F491" s="1399"/>
      <c r="G491" s="1399"/>
      <c r="H491" s="1399"/>
      <c r="I491" s="1399">
        <v>19839</v>
      </c>
      <c r="J491" s="1399">
        <v>19839</v>
      </c>
    </row>
    <row r="492" spans="5:10" s="1297" customFormat="1">
      <c r="E492" s="1297" t="s">
        <v>1131</v>
      </c>
      <c r="F492" s="1399">
        <v>59487.37</v>
      </c>
      <c r="G492" s="1399"/>
      <c r="H492" s="1399"/>
      <c r="I492" s="1399"/>
      <c r="J492" s="1399">
        <v>59487.37</v>
      </c>
    </row>
    <row r="493" spans="5:10" s="1297" customFormat="1">
      <c r="E493" s="1297" t="s">
        <v>940</v>
      </c>
      <c r="F493" s="1399">
        <v>1100370.25</v>
      </c>
      <c r="G493" s="1399"/>
      <c r="H493" s="1399"/>
      <c r="I493" s="1399"/>
      <c r="J493" s="1399">
        <v>1100370.25</v>
      </c>
    </row>
    <row r="494" spans="5:10" s="1297" customFormat="1">
      <c r="E494" s="1297" t="s">
        <v>941</v>
      </c>
      <c r="F494" s="1399">
        <v>438311.05000000005</v>
      </c>
      <c r="G494" s="1399"/>
      <c r="H494" s="1399"/>
      <c r="I494" s="1399"/>
      <c r="J494" s="1399">
        <v>438311.05000000005</v>
      </c>
    </row>
    <row r="495" spans="5:10" s="1297" customFormat="1">
      <c r="E495" s="1297" t="s">
        <v>942</v>
      </c>
      <c r="F495" s="1399">
        <v>11561.34</v>
      </c>
      <c r="G495" s="1399"/>
      <c r="H495" s="1399"/>
      <c r="I495" s="1399"/>
      <c r="J495" s="1399">
        <v>11561.34</v>
      </c>
    </row>
    <row r="496" spans="5:10" s="1297" customFormat="1">
      <c r="E496" s="1297" t="s">
        <v>944</v>
      </c>
      <c r="F496" s="1399">
        <v>1681473.34</v>
      </c>
      <c r="G496" s="1399"/>
      <c r="H496" s="1399"/>
      <c r="I496" s="1399"/>
      <c r="J496" s="1399">
        <v>1681473.34</v>
      </c>
    </row>
    <row r="497" spans="2:12">
      <c r="B497" s="1297"/>
      <c r="C497" s="1297"/>
      <c r="D497" s="1297"/>
      <c r="E497" s="1297" t="s">
        <v>945</v>
      </c>
      <c r="F497" s="1399">
        <v>1513879.6300000001</v>
      </c>
      <c r="J497" s="1399">
        <v>1513879.6300000001</v>
      </c>
    </row>
    <row r="498" spans="2:12">
      <c r="B498" s="1297"/>
      <c r="C498" s="1297"/>
      <c r="D498" s="1297"/>
      <c r="E498" s="1297" t="s">
        <v>978</v>
      </c>
      <c r="F498" s="1399">
        <v>1200</v>
      </c>
      <c r="J498" s="1399">
        <v>1200</v>
      </c>
    </row>
    <row r="499" spans="2:12">
      <c r="B499" s="1297"/>
      <c r="C499" s="1297"/>
      <c r="D499" s="1297"/>
      <c r="E499" s="1297" t="s">
        <v>947</v>
      </c>
      <c r="F499" s="1399">
        <v>104069.65999999997</v>
      </c>
      <c r="J499" s="1399">
        <v>104069.65999999997</v>
      </c>
    </row>
    <row r="500" spans="2:12">
      <c r="B500" s="1297"/>
      <c r="C500" s="1297"/>
      <c r="D500" s="1297"/>
      <c r="E500" s="1297" t="s">
        <v>1115</v>
      </c>
      <c r="F500" s="1399">
        <v>48000</v>
      </c>
      <c r="J500" s="1399">
        <v>48000</v>
      </c>
    </row>
    <row r="501" spans="2:12">
      <c r="B501" s="1297"/>
      <c r="C501" s="1297"/>
      <c r="D501" s="1297"/>
      <c r="E501" s="1404" t="s">
        <v>948</v>
      </c>
      <c r="F501" s="1405"/>
      <c r="G501" s="1405"/>
      <c r="H501" s="1405">
        <v>132306.93</v>
      </c>
      <c r="I501" s="1405"/>
      <c r="J501" s="1405">
        <v>132306.93</v>
      </c>
    </row>
    <row r="502" spans="2:12">
      <c r="B502" s="1297"/>
      <c r="C502" s="1297"/>
      <c r="D502" s="1297"/>
      <c r="E502" s="1297" t="s">
        <v>956</v>
      </c>
      <c r="H502" s="1399">
        <v>6071</v>
      </c>
      <c r="J502" s="1399">
        <v>6071</v>
      </c>
    </row>
    <row r="503" spans="2:12">
      <c r="B503" s="1297"/>
      <c r="C503" s="1297"/>
      <c r="D503" s="1297"/>
      <c r="E503" s="1297" t="s">
        <v>1118</v>
      </c>
      <c r="H503" s="1399">
        <v>203.75</v>
      </c>
      <c r="J503" s="1399">
        <v>203.75</v>
      </c>
    </row>
    <row r="504" spans="2:12">
      <c r="B504" s="1297"/>
      <c r="C504" s="1297"/>
      <c r="D504" s="1400" t="s">
        <v>1013</v>
      </c>
      <c r="E504" s="1400"/>
      <c r="F504" s="1401">
        <f>SUM(F466:F503)</f>
        <v>4958352.6400000006</v>
      </c>
      <c r="G504" s="1401">
        <f>SUM(G466:G503)</f>
        <v>5255957.47</v>
      </c>
      <c r="H504" s="1401">
        <f>SUM(H466:H503)-H501</f>
        <v>1515619.5300000003</v>
      </c>
      <c r="I504" s="1401">
        <f>SUM(I466:I503)</f>
        <v>19440170.699999999</v>
      </c>
      <c r="J504" s="1401">
        <f>SUM(J466:J503)</f>
        <v>31302407.27</v>
      </c>
      <c r="K504" s="1401">
        <f>SUM(F504:I504)</f>
        <v>31170100.34</v>
      </c>
      <c r="L504" s="1408">
        <f>K504/C466</f>
        <v>9422.642182587666</v>
      </c>
    </row>
    <row r="505" spans="2:12">
      <c r="B505" s="1297" t="s">
        <v>1014</v>
      </c>
      <c r="C505" s="1297">
        <v>2204</v>
      </c>
      <c r="D505" s="1297" t="s">
        <v>1015</v>
      </c>
      <c r="E505" s="1297" t="s">
        <v>906</v>
      </c>
      <c r="G505" s="1399">
        <v>5648792.4199999999</v>
      </c>
      <c r="J505" s="1399">
        <v>5648792.4199999999</v>
      </c>
    </row>
    <row r="506" spans="2:12">
      <c r="B506" s="1297"/>
      <c r="C506" s="1297"/>
      <c r="D506" s="1297"/>
      <c r="E506" s="1297" t="s">
        <v>952</v>
      </c>
      <c r="G506" s="1399">
        <v>57271.94</v>
      </c>
      <c r="J506" s="1399">
        <v>57271.94</v>
      </c>
    </row>
    <row r="507" spans="2:12">
      <c r="B507" s="1297"/>
      <c r="C507" s="1297"/>
      <c r="D507" s="1297"/>
      <c r="E507" s="1297" t="s">
        <v>907</v>
      </c>
      <c r="G507" s="1399">
        <v>1079329.0900000001</v>
      </c>
      <c r="J507" s="1399">
        <v>1079329.0900000001</v>
      </c>
    </row>
    <row r="508" spans="2:12">
      <c r="B508" s="1297"/>
      <c r="C508" s="1297"/>
      <c r="D508" s="1297"/>
      <c r="E508" s="1297" t="s">
        <v>908</v>
      </c>
      <c r="H508" s="1399">
        <v>26523.7</v>
      </c>
      <c r="J508" s="1399">
        <v>26523.7</v>
      </c>
    </row>
    <row r="509" spans="2:12">
      <c r="B509" s="1297"/>
      <c r="C509" s="1297"/>
      <c r="D509" s="1297"/>
      <c r="E509" s="1297" t="s">
        <v>909</v>
      </c>
      <c r="H509" s="1399">
        <v>19115.2</v>
      </c>
      <c r="J509" s="1399">
        <v>19115.2</v>
      </c>
    </row>
    <row r="510" spans="2:12">
      <c r="B510" s="1297"/>
      <c r="C510" s="1297"/>
      <c r="D510" s="1297"/>
      <c r="E510" s="1297" t="s">
        <v>910</v>
      </c>
      <c r="H510" s="1399">
        <v>41430.18</v>
      </c>
      <c r="J510" s="1399">
        <v>41430.18</v>
      </c>
    </row>
    <row r="511" spans="2:12">
      <c r="B511" s="1297"/>
      <c r="C511" s="1297"/>
      <c r="D511" s="1297"/>
      <c r="E511" s="1297" t="s">
        <v>1034</v>
      </c>
      <c r="H511" s="1399">
        <v>11295.369999999999</v>
      </c>
      <c r="J511" s="1399">
        <v>11295.369999999999</v>
      </c>
    </row>
    <row r="512" spans="2:12">
      <c r="B512" s="1297"/>
      <c r="C512" s="1297"/>
      <c r="D512" s="1297"/>
      <c r="E512" s="1297" t="s">
        <v>1035</v>
      </c>
      <c r="H512" s="1399">
        <v>106595.65</v>
      </c>
      <c r="J512" s="1399">
        <v>106595.65</v>
      </c>
    </row>
    <row r="513" spans="5:10" s="1297" customFormat="1">
      <c r="E513" s="1297" t="s">
        <v>1036</v>
      </c>
      <c r="F513" s="1399"/>
      <c r="G513" s="1399"/>
      <c r="H513" s="1399">
        <v>86378.23</v>
      </c>
      <c r="I513" s="1399"/>
      <c r="J513" s="1399">
        <v>86378.23</v>
      </c>
    </row>
    <row r="514" spans="5:10" s="1297" customFormat="1">
      <c r="E514" s="1297" t="s">
        <v>1039</v>
      </c>
      <c r="F514" s="1399"/>
      <c r="G514" s="1399"/>
      <c r="H514" s="1399">
        <v>52018.6</v>
      </c>
      <c r="I514" s="1399"/>
      <c r="J514" s="1399">
        <v>52018.6</v>
      </c>
    </row>
    <row r="515" spans="5:10" s="1297" customFormat="1">
      <c r="E515" s="1297" t="s">
        <v>1040</v>
      </c>
      <c r="F515" s="1399"/>
      <c r="G515" s="1399"/>
      <c r="H515" s="1399">
        <v>85803.540000000008</v>
      </c>
      <c r="I515" s="1399"/>
      <c r="J515" s="1399">
        <v>85803.540000000008</v>
      </c>
    </row>
    <row r="516" spans="5:10" s="1297" customFormat="1">
      <c r="E516" s="1297" t="s">
        <v>1041</v>
      </c>
      <c r="F516" s="1399"/>
      <c r="G516" s="1399"/>
      <c r="H516" s="1399">
        <v>13513.28</v>
      </c>
      <c r="I516" s="1399"/>
      <c r="J516" s="1399">
        <v>13513.28</v>
      </c>
    </row>
    <row r="517" spans="5:10" s="1297" customFormat="1">
      <c r="E517" s="1297" t="s">
        <v>1042</v>
      </c>
      <c r="F517" s="1399"/>
      <c r="G517" s="1399"/>
      <c r="H517" s="1399">
        <v>45110.84</v>
      </c>
      <c r="I517" s="1399"/>
      <c r="J517" s="1399">
        <v>45110.84</v>
      </c>
    </row>
    <row r="518" spans="5:10" s="1297" customFormat="1">
      <c r="E518" s="1297" t="s">
        <v>996</v>
      </c>
      <c r="F518" s="1399"/>
      <c r="G518" s="1399"/>
      <c r="H518" s="1399">
        <v>-1852.28</v>
      </c>
      <c r="I518" s="1399"/>
      <c r="J518" s="1399">
        <v>-1852.28</v>
      </c>
    </row>
    <row r="519" spans="5:10" s="1297" customFormat="1">
      <c r="E519" s="1297" t="s">
        <v>1044</v>
      </c>
      <c r="F519" s="1399">
        <v>93734.15</v>
      </c>
      <c r="G519" s="1399"/>
      <c r="H519" s="1399"/>
      <c r="I519" s="1399"/>
      <c r="J519" s="1399">
        <v>93734.15</v>
      </c>
    </row>
    <row r="520" spans="5:10" s="1297" customFormat="1">
      <c r="E520" s="1297" t="s">
        <v>1045</v>
      </c>
      <c r="F520" s="1399"/>
      <c r="G520" s="1399"/>
      <c r="H520" s="1399">
        <v>198294.88</v>
      </c>
      <c r="I520" s="1399"/>
      <c r="J520" s="1399">
        <v>198294.88</v>
      </c>
    </row>
    <row r="521" spans="5:10" s="1297" customFormat="1">
      <c r="E521" s="1297" t="s">
        <v>1046</v>
      </c>
      <c r="F521" s="1399"/>
      <c r="G521" s="1399"/>
      <c r="H521" s="1399"/>
      <c r="I521" s="1399">
        <v>10744744</v>
      </c>
      <c r="J521" s="1399">
        <v>10744744</v>
      </c>
    </row>
    <row r="522" spans="5:10" s="1297" customFormat="1">
      <c r="E522" s="1297" t="s">
        <v>1047</v>
      </c>
      <c r="F522" s="1399"/>
      <c r="G522" s="1399"/>
      <c r="H522" s="1399"/>
      <c r="I522" s="1399">
        <v>429155.27</v>
      </c>
      <c r="J522" s="1399">
        <v>429155.27</v>
      </c>
    </row>
    <row r="523" spans="5:10" s="1297" customFormat="1">
      <c r="E523" s="1297" t="s">
        <v>1048</v>
      </c>
      <c r="F523" s="1399"/>
      <c r="G523" s="1399"/>
      <c r="H523" s="1399"/>
      <c r="I523" s="1399">
        <v>-2035637</v>
      </c>
      <c r="J523" s="1399">
        <v>-2035637</v>
      </c>
    </row>
    <row r="524" spans="5:10" s="1297" customFormat="1">
      <c r="E524" s="1297" t="s">
        <v>932</v>
      </c>
      <c r="F524" s="1399"/>
      <c r="G524" s="1399"/>
      <c r="H524" s="1399"/>
      <c r="I524" s="1399">
        <v>383432</v>
      </c>
      <c r="J524" s="1399">
        <v>383432</v>
      </c>
    </row>
    <row r="525" spans="5:10" s="1297" customFormat="1">
      <c r="E525" s="1404" t="s">
        <v>955</v>
      </c>
      <c r="F525" s="1405"/>
      <c r="G525" s="1405"/>
      <c r="H525" s="1405"/>
      <c r="I525" s="1405">
        <v>-3808.64</v>
      </c>
      <c r="J525" s="1405">
        <v>-3808.64</v>
      </c>
    </row>
    <row r="526" spans="5:10" s="1297" customFormat="1">
      <c r="E526" s="1297" t="s">
        <v>934</v>
      </c>
      <c r="F526" s="1399"/>
      <c r="G526" s="1399"/>
      <c r="H526" s="1399"/>
      <c r="I526" s="1399">
        <v>40882</v>
      </c>
      <c r="J526" s="1399">
        <v>40882</v>
      </c>
    </row>
    <row r="527" spans="5:10" s="1297" customFormat="1">
      <c r="E527" s="1297" t="s">
        <v>935</v>
      </c>
      <c r="F527" s="1399"/>
      <c r="G527" s="1399"/>
      <c r="H527" s="1399"/>
      <c r="I527" s="1399">
        <v>930032.08000000007</v>
      </c>
      <c r="J527" s="1399">
        <v>930032.08000000007</v>
      </c>
    </row>
    <row r="528" spans="5:10" s="1297" customFormat="1">
      <c r="E528" s="1297" t="s">
        <v>936</v>
      </c>
      <c r="F528" s="1399"/>
      <c r="G528" s="1399"/>
      <c r="H528" s="1399"/>
      <c r="I528" s="1399">
        <v>35365.199999999997</v>
      </c>
      <c r="J528" s="1399">
        <v>35365.199999999997</v>
      </c>
    </row>
    <row r="529" spans="2:12">
      <c r="B529" s="1297"/>
      <c r="C529" s="1297"/>
      <c r="D529" s="1297"/>
      <c r="E529" s="1297" t="s">
        <v>937</v>
      </c>
      <c r="I529" s="1399">
        <v>22855.7</v>
      </c>
      <c r="J529" s="1399">
        <v>22855.7</v>
      </c>
    </row>
    <row r="530" spans="2:12">
      <c r="B530" s="1297"/>
      <c r="C530" s="1297"/>
      <c r="D530" s="1297"/>
      <c r="E530" s="1297" t="s">
        <v>938</v>
      </c>
      <c r="I530" s="1399">
        <v>14786</v>
      </c>
      <c r="J530" s="1399">
        <v>14786</v>
      </c>
    </row>
    <row r="531" spans="2:12">
      <c r="B531" s="1297"/>
      <c r="C531" s="1297"/>
      <c r="D531" s="1297"/>
      <c r="E531" s="1297" t="s">
        <v>940</v>
      </c>
      <c r="F531" s="1399">
        <v>820803</v>
      </c>
      <c r="J531" s="1399">
        <v>820803</v>
      </c>
    </row>
    <row r="532" spans="2:12">
      <c r="B532" s="1297"/>
      <c r="C532" s="1297"/>
      <c r="D532" s="1297"/>
      <c r="E532" s="1297" t="s">
        <v>941</v>
      </c>
      <c r="F532" s="1399">
        <v>438513.42</v>
      </c>
      <c r="J532" s="1399">
        <v>438513.42</v>
      </c>
    </row>
    <row r="533" spans="2:12">
      <c r="B533" s="1297"/>
      <c r="C533" s="1297"/>
      <c r="D533" s="1297"/>
      <c r="E533" s="1297" t="s">
        <v>943</v>
      </c>
      <c r="F533" s="1399">
        <v>17244.219999999998</v>
      </c>
      <c r="J533" s="1399">
        <v>17244.219999999998</v>
      </c>
    </row>
    <row r="534" spans="2:12">
      <c r="B534" s="1297"/>
      <c r="C534" s="1297"/>
      <c r="D534" s="1297"/>
      <c r="E534" s="1297" t="s">
        <v>944</v>
      </c>
      <c r="F534" s="1399">
        <v>2588652.23</v>
      </c>
      <c r="J534" s="1399">
        <v>2588652.23</v>
      </c>
    </row>
    <row r="535" spans="2:12">
      <c r="B535" s="1297"/>
      <c r="C535" s="1297"/>
      <c r="D535" s="1297"/>
      <c r="E535" s="1297" t="s">
        <v>945</v>
      </c>
      <c r="F535" s="1399">
        <v>1193024.27</v>
      </c>
      <c r="J535" s="1399">
        <v>1193024.27</v>
      </c>
    </row>
    <row r="536" spans="2:12">
      <c r="B536" s="1297"/>
      <c r="C536" s="1297"/>
      <c r="D536" s="1297"/>
      <c r="E536" s="1297" t="s">
        <v>978</v>
      </c>
      <c r="F536" s="1399">
        <v>1200</v>
      </c>
      <c r="J536" s="1399">
        <v>1200</v>
      </c>
    </row>
    <row r="537" spans="2:12">
      <c r="B537" s="1297"/>
      <c r="C537" s="1297"/>
      <c r="D537" s="1297"/>
      <c r="E537" s="1297" t="s">
        <v>947</v>
      </c>
      <c r="F537" s="1399">
        <v>90678.739999999991</v>
      </c>
      <c r="J537" s="1399">
        <v>90678.739999999991</v>
      </c>
    </row>
    <row r="538" spans="2:12">
      <c r="B538" s="1297"/>
      <c r="C538" s="1297"/>
      <c r="D538" s="1297"/>
      <c r="E538" s="1404" t="s">
        <v>948</v>
      </c>
      <c r="F538" s="1405"/>
      <c r="G538" s="1405"/>
      <c r="H538" s="1405">
        <v>1169071.8899999999</v>
      </c>
      <c r="I538" s="1405"/>
      <c r="J538" s="1405">
        <v>1169071.8899999999</v>
      </c>
    </row>
    <row r="539" spans="2:12">
      <c r="B539" s="1297"/>
      <c r="C539" s="1297"/>
      <c r="D539" s="1400" t="s">
        <v>1016</v>
      </c>
      <c r="E539" s="1400"/>
      <c r="F539" s="1401">
        <f>SUM(F505:F538)</f>
        <v>5243850.03</v>
      </c>
      <c r="G539" s="1401">
        <f>SUM(G505:G538)</f>
        <v>6785393.4500000002</v>
      </c>
      <c r="H539" s="1401">
        <f>SUM(H505:H538)-H538</f>
        <v>684227.19</v>
      </c>
      <c r="I539" s="1401">
        <f>SUM(I505:I538)</f>
        <v>10561806.609999998</v>
      </c>
      <c r="J539" s="1401">
        <f>SUM(J505:J538)</f>
        <v>24444349.169999998</v>
      </c>
      <c r="K539" s="1401">
        <f>SUM(F539:I539)</f>
        <v>23275277.279999997</v>
      </c>
      <c r="L539" s="1408">
        <f>K539/C505</f>
        <v>10560.470635208711</v>
      </c>
    </row>
    <row r="540" spans="2:12">
      <c r="B540" s="1297" t="s">
        <v>1017</v>
      </c>
      <c r="C540" s="1297">
        <v>7354</v>
      </c>
      <c r="D540" s="1297" t="s">
        <v>1018</v>
      </c>
      <c r="E540" s="1297" t="s">
        <v>906</v>
      </c>
      <c r="G540" s="1399">
        <v>19852987.77</v>
      </c>
      <c r="J540" s="1399">
        <v>19852987.77</v>
      </c>
    </row>
    <row r="541" spans="2:12">
      <c r="B541" s="1297"/>
      <c r="C541" s="1297"/>
      <c r="D541" s="1297"/>
      <c r="E541" s="1297" t="s">
        <v>952</v>
      </c>
      <c r="G541" s="1399">
        <v>96201.8</v>
      </c>
      <c r="J541" s="1399">
        <v>96201.8</v>
      </c>
    </row>
    <row r="542" spans="2:12">
      <c r="B542" s="1297"/>
      <c r="C542" s="1297"/>
      <c r="D542" s="1297"/>
      <c r="E542" s="1297" t="s">
        <v>907</v>
      </c>
      <c r="G542" s="1399">
        <v>5010195.18</v>
      </c>
      <c r="J542" s="1399">
        <v>5010195.18</v>
      </c>
    </row>
    <row r="543" spans="2:12">
      <c r="B543" s="1297"/>
      <c r="C543" s="1297"/>
      <c r="D543" s="1297"/>
      <c r="E543" s="1297" t="s">
        <v>908</v>
      </c>
      <c r="G543" s="1399">
        <v>26321.37</v>
      </c>
      <c r="J543" s="1399">
        <v>26321.37</v>
      </c>
    </row>
    <row r="544" spans="2:12">
      <c r="B544" s="1297"/>
      <c r="C544" s="1297"/>
      <c r="D544" s="1297"/>
      <c r="E544" s="1297" t="s">
        <v>1122</v>
      </c>
      <c r="H544" s="1399">
        <v>-2047</v>
      </c>
      <c r="J544" s="1399">
        <v>-2047</v>
      </c>
    </row>
    <row r="545" spans="5:10" s="1297" customFormat="1">
      <c r="E545" s="1297" t="s">
        <v>909</v>
      </c>
      <c r="F545" s="1399"/>
      <c r="G545" s="1399"/>
      <c r="H545" s="1399">
        <v>16385.689999999999</v>
      </c>
      <c r="I545" s="1399"/>
      <c r="J545" s="1399">
        <v>16385.689999999999</v>
      </c>
    </row>
    <row r="546" spans="5:10" s="1297" customFormat="1">
      <c r="E546" s="1297" t="s">
        <v>910</v>
      </c>
      <c r="F546" s="1399"/>
      <c r="G546" s="1399"/>
      <c r="H546" s="1399">
        <v>131053.62</v>
      </c>
      <c r="I546" s="1399"/>
      <c r="J546" s="1399">
        <v>131053.62</v>
      </c>
    </row>
    <row r="547" spans="5:10" s="1297" customFormat="1">
      <c r="E547" s="1297" t="s">
        <v>1034</v>
      </c>
      <c r="F547" s="1399"/>
      <c r="G547" s="1399"/>
      <c r="H547" s="1399">
        <v>45134.04</v>
      </c>
      <c r="I547" s="1399"/>
      <c r="J547" s="1399">
        <v>45134.04</v>
      </c>
    </row>
    <row r="548" spans="5:10" s="1297" customFormat="1">
      <c r="E548" s="1297" t="s">
        <v>1035</v>
      </c>
      <c r="F548" s="1399"/>
      <c r="G548" s="1399"/>
      <c r="H548" s="1399">
        <v>526253.48</v>
      </c>
      <c r="I548" s="1399"/>
      <c r="J548" s="1399">
        <v>526253.48</v>
      </c>
    </row>
    <row r="549" spans="5:10" s="1297" customFormat="1">
      <c r="E549" s="1297" t="s">
        <v>1036</v>
      </c>
      <c r="F549" s="1399"/>
      <c r="G549" s="1399"/>
      <c r="H549" s="1399">
        <v>164451.71</v>
      </c>
      <c r="I549" s="1399"/>
      <c r="J549" s="1399">
        <v>164451.71</v>
      </c>
    </row>
    <row r="550" spans="5:10" s="1297" customFormat="1">
      <c r="E550" s="1297" t="s">
        <v>1039</v>
      </c>
      <c r="F550" s="1399"/>
      <c r="G550" s="1399"/>
      <c r="H550" s="1399">
        <v>419494.04</v>
      </c>
      <c r="I550" s="1399"/>
      <c r="J550" s="1399">
        <v>419494.04</v>
      </c>
    </row>
    <row r="551" spans="5:10" s="1297" customFormat="1">
      <c r="E551" s="1297" t="s">
        <v>1040</v>
      </c>
      <c r="F551" s="1399"/>
      <c r="G551" s="1399"/>
      <c r="H551" s="1399">
        <v>1048189.42</v>
      </c>
      <c r="I551" s="1399"/>
      <c r="J551" s="1399">
        <v>1048189.42</v>
      </c>
    </row>
    <row r="552" spans="5:10" s="1297" customFormat="1">
      <c r="E552" s="1297" t="s">
        <v>1041</v>
      </c>
      <c r="F552" s="1399"/>
      <c r="G552" s="1399"/>
      <c r="H552" s="1399">
        <v>174842.82</v>
      </c>
      <c r="I552" s="1399"/>
      <c r="J552" s="1399">
        <v>174842.82</v>
      </c>
    </row>
    <row r="553" spans="5:10" s="1297" customFormat="1">
      <c r="E553" s="1297" t="s">
        <v>1042</v>
      </c>
      <c r="F553" s="1399"/>
      <c r="G553" s="1399"/>
      <c r="H553" s="1399">
        <v>93323.32</v>
      </c>
      <c r="I553" s="1399"/>
      <c r="J553" s="1399">
        <v>93323.32</v>
      </c>
    </row>
    <row r="554" spans="5:10" s="1297" customFormat="1">
      <c r="E554" s="1297" t="s">
        <v>985</v>
      </c>
      <c r="F554" s="1399"/>
      <c r="G554" s="1399"/>
      <c r="H554" s="1399">
        <v>878051.86</v>
      </c>
      <c r="I554" s="1399"/>
      <c r="J554" s="1399">
        <v>878051.86</v>
      </c>
    </row>
    <row r="555" spans="5:10" s="1297" customFormat="1">
      <c r="E555" s="1297" t="s">
        <v>1044</v>
      </c>
      <c r="F555" s="1399">
        <v>22736.9</v>
      </c>
      <c r="G555" s="1399"/>
      <c r="H555" s="1399"/>
      <c r="I555" s="1399"/>
      <c r="J555" s="1399">
        <v>22736.9</v>
      </c>
    </row>
    <row r="556" spans="5:10" s="1297" customFormat="1">
      <c r="E556" s="1297" t="s">
        <v>1045</v>
      </c>
      <c r="F556" s="1399"/>
      <c r="G556" s="1399"/>
      <c r="H556" s="1399">
        <v>231120.73</v>
      </c>
      <c r="I556" s="1399"/>
      <c r="J556" s="1399">
        <v>231120.73</v>
      </c>
    </row>
    <row r="557" spans="5:10" s="1297" customFormat="1">
      <c r="E557" s="1297" t="s">
        <v>1046</v>
      </c>
      <c r="F557" s="1399"/>
      <c r="G557" s="1399"/>
      <c r="H557" s="1399"/>
      <c r="I557" s="1399">
        <v>35414847</v>
      </c>
      <c r="J557" s="1399">
        <v>35414847</v>
      </c>
    </row>
    <row r="558" spans="5:10" s="1297" customFormat="1">
      <c r="E558" s="1297" t="s">
        <v>1128</v>
      </c>
      <c r="F558" s="1399"/>
      <c r="G558" s="1399"/>
      <c r="H558" s="1399"/>
      <c r="I558" s="1399">
        <v>3146868</v>
      </c>
      <c r="J558" s="1399">
        <v>3146868</v>
      </c>
    </row>
    <row r="559" spans="5:10" s="1297" customFormat="1">
      <c r="E559" s="1297" t="s">
        <v>1129</v>
      </c>
      <c r="F559" s="1399"/>
      <c r="G559" s="1399"/>
      <c r="H559" s="1399"/>
      <c r="I559" s="1399">
        <v>-4491870</v>
      </c>
      <c r="J559" s="1399">
        <v>-4491870</v>
      </c>
    </row>
    <row r="560" spans="5:10" s="1297" customFormat="1">
      <c r="E560" s="1297" t="s">
        <v>1047</v>
      </c>
      <c r="F560" s="1399"/>
      <c r="G560" s="1399"/>
      <c r="H560" s="1399"/>
      <c r="I560" s="1399">
        <v>603082</v>
      </c>
      <c r="J560" s="1399">
        <v>603082</v>
      </c>
    </row>
    <row r="561" spans="2:12">
      <c r="B561" s="1297"/>
      <c r="C561" s="1297"/>
      <c r="D561" s="1297"/>
      <c r="E561" s="1297" t="s">
        <v>1048</v>
      </c>
      <c r="I561" s="1399">
        <v>-5737449</v>
      </c>
      <c r="J561" s="1399">
        <v>-5737449</v>
      </c>
    </row>
    <row r="562" spans="2:12">
      <c r="B562" s="1297"/>
      <c r="C562" s="1297"/>
      <c r="D562" s="1297"/>
      <c r="E562" s="1297" t="s">
        <v>932</v>
      </c>
      <c r="I562" s="1399">
        <v>1603515</v>
      </c>
      <c r="J562" s="1399">
        <v>1603515</v>
      </c>
    </row>
    <row r="563" spans="2:12">
      <c r="B563" s="1297"/>
      <c r="C563" s="1297"/>
      <c r="D563" s="1297"/>
      <c r="E563" s="1404" t="s">
        <v>955</v>
      </c>
      <c r="F563" s="1405"/>
      <c r="G563" s="1405"/>
      <c r="H563" s="1405"/>
      <c r="I563" s="1405">
        <v>1040898.33</v>
      </c>
      <c r="J563" s="1405">
        <v>1040898.33</v>
      </c>
    </row>
    <row r="564" spans="2:12">
      <c r="B564" s="1297"/>
      <c r="C564" s="1297"/>
      <c r="D564" s="1297"/>
      <c r="E564" s="1297" t="s">
        <v>934</v>
      </c>
      <c r="I564" s="1399">
        <v>100410</v>
      </c>
      <c r="J564" s="1399">
        <v>100410</v>
      </c>
    </row>
    <row r="565" spans="2:12">
      <c r="B565" s="1297"/>
      <c r="C565" s="1297"/>
      <c r="D565" s="1297"/>
      <c r="E565" s="1297" t="s">
        <v>935</v>
      </c>
      <c r="I565" s="1399">
        <v>392770.27</v>
      </c>
      <c r="J565" s="1399">
        <v>392770.27</v>
      </c>
    </row>
    <row r="566" spans="2:12">
      <c r="B566" s="1297"/>
      <c r="C566" s="1297"/>
      <c r="D566" s="1297"/>
      <c r="E566" s="1297" t="s">
        <v>936</v>
      </c>
      <c r="I566" s="1399">
        <v>80534.62</v>
      </c>
      <c r="J566" s="1399">
        <v>80534.62</v>
      </c>
    </row>
    <row r="567" spans="2:12">
      <c r="B567" s="1297"/>
      <c r="C567" s="1297"/>
      <c r="D567" s="1297"/>
      <c r="E567" s="1297" t="s">
        <v>938</v>
      </c>
      <c r="I567" s="1399">
        <v>27700</v>
      </c>
      <c r="J567" s="1399">
        <v>27700</v>
      </c>
    </row>
    <row r="568" spans="2:12">
      <c r="B568" s="1297"/>
      <c r="C568" s="1297"/>
      <c r="D568" s="1297"/>
      <c r="E568" s="1297" t="s">
        <v>1131</v>
      </c>
      <c r="F568" s="1399">
        <v>200283.28999999998</v>
      </c>
      <c r="J568" s="1399">
        <v>200283.28999999998</v>
      </c>
    </row>
    <row r="569" spans="2:12">
      <c r="B569" s="1297"/>
      <c r="C569" s="1297"/>
      <c r="D569" s="1297"/>
      <c r="E569" s="1297" t="s">
        <v>940</v>
      </c>
      <c r="F569" s="1399">
        <v>1288087.6599999999</v>
      </c>
      <c r="J569" s="1399">
        <v>1288087.6599999999</v>
      </c>
    </row>
    <row r="570" spans="2:12">
      <c r="B570" s="1297"/>
      <c r="C570" s="1297"/>
      <c r="D570" s="1297"/>
      <c r="E570" s="1297" t="s">
        <v>941</v>
      </c>
      <c r="F570" s="1399">
        <v>209012.24</v>
      </c>
      <c r="J570" s="1399">
        <v>209012.24</v>
      </c>
    </row>
    <row r="571" spans="2:12">
      <c r="B571" s="1297"/>
      <c r="C571" s="1297"/>
      <c r="D571" s="1297"/>
      <c r="E571" s="1297" t="s">
        <v>944</v>
      </c>
      <c r="F571" s="1399">
        <v>2100207.79</v>
      </c>
      <c r="J571" s="1399">
        <v>2100207.79</v>
      </c>
    </row>
    <row r="572" spans="2:12">
      <c r="B572" s="1297"/>
      <c r="C572" s="1297"/>
      <c r="D572" s="1297"/>
      <c r="E572" s="1297" t="s">
        <v>945</v>
      </c>
      <c r="F572" s="1399">
        <v>2134367.83</v>
      </c>
      <c r="J572" s="1399">
        <v>2134367.83</v>
      </c>
    </row>
    <row r="573" spans="2:12">
      <c r="B573" s="1297"/>
      <c r="C573" s="1297"/>
      <c r="D573" s="1297"/>
      <c r="E573" s="1297" t="s">
        <v>1006</v>
      </c>
      <c r="F573" s="1399">
        <v>349018.05</v>
      </c>
      <c r="J573" s="1399">
        <v>349018.05</v>
      </c>
    </row>
    <row r="574" spans="2:12">
      <c r="B574" s="1297"/>
      <c r="C574" s="1297"/>
      <c r="D574" s="1297"/>
      <c r="E574" s="1297" t="s">
        <v>947</v>
      </c>
      <c r="F574" s="1399">
        <v>400712.24</v>
      </c>
      <c r="J574" s="1399">
        <v>400712.24</v>
      </c>
    </row>
    <row r="575" spans="2:12">
      <c r="B575" s="1297"/>
      <c r="C575" s="1297"/>
      <c r="D575" s="1297"/>
      <c r="E575" s="1404" t="s">
        <v>948</v>
      </c>
      <c r="F575" s="1405"/>
      <c r="G575" s="1405"/>
      <c r="H575" s="1405">
        <v>5861682.5700000003</v>
      </c>
      <c r="I575" s="1405"/>
      <c r="J575" s="1405">
        <v>5861682.5700000003</v>
      </c>
    </row>
    <row r="576" spans="2:12">
      <c r="B576" s="1297"/>
      <c r="C576" s="1297"/>
      <c r="D576" s="1400" t="s">
        <v>1019</v>
      </c>
      <c r="E576" s="1400"/>
      <c r="F576" s="1410">
        <f>SUM(F540:F575)</f>
        <v>6704426</v>
      </c>
      <c r="G576" s="1410">
        <f>SUM(G540:G575)</f>
        <v>24985706.120000001</v>
      </c>
      <c r="H576" s="1410">
        <f>SUM(H540:H575)-H575</f>
        <v>3726253.7300000004</v>
      </c>
      <c r="I576" s="1410">
        <f>SUM(I540:I575)-I563</f>
        <v>31140407.890000001</v>
      </c>
      <c r="J576" s="1410">
        <f>SUM(J540:J575)</f>
        <v>73459374.639999986</v>
      </c>
      <c r="K576" s="1401">
        <f>SUM(F576:I576)</f>
        <v>66556793.740000002</v>
      </c>
      <c r="L576" s="1408">
        <f>K576/C540</f>
        <v>9050.4206880609199</v>
      </c>
    </row>
    <row r="577" spans="2:10" s="1297" customFormat="1">
      <c r="B577" s="1297" t="s">
        <v>1020</v>
      </c>
      <c r="C577" s="1297">
        <v>9031</v>
      </c>
      <c r="D577" s="1297" t="s">
        <v>1021</v>
      </c>
      <c r="E577" s="1297" t="s">
        <v>906</v>
      </c>
      <c r="F577" s="1399"/>
      <c r="G577" s="1399">
        <v>18547231.27</v>
      </c>
      <c r="H577" s="1399"/>
      <c r="I577" s="1399"/>
      <c r="J577" s="1399">
        <v>18547231.27</v>
      </c>
    </row>
    <row r="578" spans="2:10" s="1297" customFormat="1">
      <c r="E578" s="1297" t="s">
        <v>1126</v>
      </c>
      <c r="F578" s="1399"/>
      <c r="G578" s="1399">
        <v>10041732.15</v>
      </c>
      <c r="H578" s="1399"/>
      <c r="I578" s="1399"/>
      <c r="J578" s="1399">
        <v>10041732.15</v>
      </c>
    </row>
    <row r="579" spans="2:10" s="1297" customFormat="1">
      <c r="E579" s="1297" t="s">
        <v>952</v>
      </c>
      <c r="F579" s="1399"/>
      <c r="G579" s="1399">
        <v>307599.13</v>
      </c>
      <c r="H579" s="1399"/>
      <c r="I579" s="1399"/>
      <c r="J579" s="1399">
        <v>307599.13</v>
      </c>
    </row>
    <row r="580" spans="2:10" s="1297" customFormat="1">
      <c r="E580" s="1297" t="s">
        <v>907</v>
      </c>
      <c r="F580" s="1399"/>
      <c r="G580" s="1399">
        <v>10038558.5</v>
      </c>
      <c r="H580" s="1399"/>
      <c r="I580" s="1399"/>
      <c r="J580" s="1399">
        <v>10038558.5</v>
      </c>
    </row>
    <row r="581" spans="2:10" s="1297" customFormat="1">
      <c r="E581" s="1297" t="s">
        <v>908</v>
      </c>
      <c r="F581" s="1399"/>
      <c r="G581" s="1399">
        <v>9519.0400000000009</v>
      </c>
      <c r="H581" s="1399"/>
      <c r="I581" s="1399"/>
      <c r="J581" s="1399">
        <v>9519.0400000000009</v>
      </c>
    </row>
    <row r="582" spans="2:10" s="1297" customFormat="1">
      <c r="E582" s="1297" t="s">
        <v>1122</v>
      </c>
      <c r="F582" s="1399"/>
      <c r="G582" s="1399"/>
      <c r="H582" s="1399">
        <v>-280960</v>
      </c>
      <c r="I582" s="1399"/>
      <c r="J582" s="1399">
        <v>-280960</v>
      </c>
    </row>
    <row r="583" spans="2:10" s="1297" customFormat="1">
      <c r="E583" s="1297" t="s">
        <v>1035</v>
      </c>
      <c r="F583" s="1399"/>
      <c r="G583" s="1399"/>
      <c r="H583" s="1399">
        <v>125833.59</v>
      </c>
      <c r="I583" s="1399"/>
      <c r="J583" s="1399">
        <v>125833.59</v>
      </c>
    </row>
    <row r="584" spans="2:10" s="1297" customFormat="1">
      <c r="E584" s="1297" t="s">
        <v>1036</v>
      </c>
      <c r="F584" s="1399"/>
      <c r="G584" s="1399"/>
      <c r="H584" s="1399">
        <v>183756.22</v>
      </c>
      <c r="I584" s="1399"/>
      <c r="J584" s="1399">
        <v>183756.22</v>
      </c>
    </row>
    <row r="585" spans="2:10" s="1297" customFormat="1">
      <c r="E585" s="1297" t="s">
        <v>1037</v>
      </c>
      <c r="F585" s="1399"/>
      <c r="G585" s="1399"/>
      <c r="H585" s="1399">
        <v>1329</v>
      </c>
      <c r="I585" s="1399"/>
      <c r="J585" s="1399">
        <v>1329</v>
      </c>
    </row>
    <row r="586" spans="2:10" s="1297" customFormat="1">
      <c r="E586" s="1297" t="s">
        <v>1039</v>
      </c>
      <c r="F586" s="1399"/>
      <c r="G586" s="1399"/>
      <c r="H586" s="1399">
        <v>160934.73000000007</v>
      </c>
      <c r="I586" s="1399"/>
      <c r="J586" s="1399">
        <v>160934.73000000007</v>
      </c>
    </row>
    <row r="587" spans="2:10" s="1297" customFormat="1">
      <c r="E587" s="1297" t="s">
        <v>1040</v>
      </c>
      <c r="F587" s="1399"/>
      <c r="G587" s="1399"/>
      <c r="H587" s="1399">
        <v>796909.39999999991</v>
      </c>
      <c r="I587" s="1399"/>
      <c r="J587" s="1399">
        <v>796909.39999999991</v>
      </c>
    </row>
    <row r="588" spans="2:10" s="1297" customFormat="1">
      <c r="E588" s="1297" t="s">
        <v>1041</v>
      </c>
      <c r="F588" s="1399"/>
      <c r="G588" s="1399"/>
      <c r="H588" s="1399">
        <v>283618.65000000002</v>
      </c>
      <c r="I588" s="1399"/>
      <c r="J588" s="1399">
        <v>283618.65000000002</v>
      </c>
    </row>
    <row r="589" spans="2:10" s="1297" customFormat="1">
      <c r="E589" s="1297" t="s">
        <v>1042</v>
      </c>
      <c r="F589" s="1399"/>
      <c r="G589" s="1399"/>
      <c r="H589" s="1399">
        <v>138649.51999999999</v>
      </c>
      <c r="I589" s="1399"/>
      <c r="J589" s="1399">
        <v>138649.51999999999</v>
      </c>
    </row>
    <row r="590" spans="2:10" s="1297" customFormat="1">
      <c r="E590" s="1297" t="s">
        <v>954</v>
      </c>
      <c r="F590" s="1399"/>
      <c r="G590" s="1399"/>
      <c r="H590" s="1399">
        <v>1668037.1400000001</v>
      </c>
      <c r="I590" s="1399"/>
      <c r="J590" s="1399">
        <v>1668037.1400000001</v>
      </c>
    </row>
    <row r="591" spans="2:10" s="1297" customFormat="1">
      <c r="E591" s="1297" t="s">
        <v>986</v>
      </c>
      <c r="F591" s="1399"/>
      <c r="G591" s="1399"/>
      <c r="H591" s="1399">
        <v>119572.03</v>
      </c>
      <c r="I591" s="1399"/>
      <c r="J591" s="1399">
        <v>119572.03</v>
      </c>
    </row>
    <row r="592" spans="2:10" s="1297" customFormat="1">
      <c r="E592" s="1297" t="s">
        <v>996</v>
      </c>
      <c r="F592" s="1399"/>
      <c r="G592" s="1399"/>
      <c r="H592" s="1399">
        <v>115350</v>
      </c>
      <c r="I592" s="1399"/>
      <c r="J592" s="1399">
        <v>115350</v>
      </c>
    </row>
    <row r="593" spans="5:10" s="1297" customFormat="1">
      <c r="E593" s="1297" t="s">
        <v>1044</v>
      </c>
      <c r="F593" s="1399">
        <v>295589.14</v>
      </c>
      <c r="G593" s="1399"/>
      <c r="H593" s="1399"/>
      <c r="I593" s="1399"/>
      <c r="J593" s="1399">
        <v>295589.14</v>
      </c>
    </row>
    <row r="594" spans="5:10" s="1297" customFormat="1">
      <c r="E594" s="1297" t="s">
        <v>1045</v>
      </c>
      <c r="F594" s="1399"/>
      <c r="G594" s="1399"/>
      <c r="H594" s="1399">
        <v>877806.66999999981</v>
      </c>
      <c r="I594" s="1399"/>
      <c r="J594" s="1399">
        <v>877806.66999999981</v>
      </c>
    </row>
    <row r="595" spans="5:10" s="1297" customFormat="1">
      <c r="E595" s="1297" t="s">
        <v>1046</v>
      </c>
      <c r="F595" s="1399"/>
      <c r="G595" s="1399"/>
      <c r="H595" s="1399"/>
      <c r="I595" s="1399">
        <v>47740760</v>
      </c>
      <c r="J595" s="1399">
        <v>47740760</v>
      </c>
    </row>
    <row r="596" spans="5:10" s="1297" customFormat="1">
      <c r="E596" s="1297" t="s">
        <v>1128</v>
      </c>
      <c r="F596" s="1399"/>
      <c r="G596" s="1399"/>
      <c r="H596" s="1399"/>
      <c r="I596" s="1399">
        <v>3922400</v>
      </c>
      <c r="J596" s="1399">
        <v>3922400</v>
      </c>
    </row>
    <row r="597" spans="5:10" s="1297" customFormat="1">
      <c r="E597" s="1297" t="s">
        <v>1129</v>
      </c>
      <c r="F597" s="1399"/>
      <c r="G597" s="1399"/>
      <c r="H597" s="1399"/>
      <c r="I597" s="1399">
        <v>-6409438</v>
      </c>
      <c r="J597" s="1399">
        <v>-6409438</v>
      </c>
    </row>
    <row r="598" spans="5:10" s="1297" customFormat="1">
      <c r="E598" s="1297" t="s">
        <v>1047</v>
      </c>
      <c r="F598" s="1399"/>
      <c r="G598" s="1399"/>
      <c r="H598" s="1399"/>
      <c r="I598" s="1399">
        <v>1399870</v>
      </c>
      <c r="J598" s="1399">
        <v>1399870</v>
      </c>
    </row>
    <row r="599" spans="5:10" s="1297" customFormat="1">
      <c r="E599" s="1297" t="s">
        <v>1048</v>
      </c>
      <c r="F599" s="1399"/>
      <c r="G599" s="1399"/>
      <c r="H599" s="1399"/>
      <c r="I599" s="1399">
        <v>-7800977</v>
      </c>
      <c r="J599" s="1399">
        <v>-7800977</v>
      </c>
    </row>
    <row r="600" spans="5:10" s="1297" customFormat="1">
      <c r="E600" s="1297" t="s">
        <v>932</v>
      </c>
      <c r="F600" s="1399"/>
      <c r="G600" s="1399"/>
      <c r="H600" s="1399"/>
      <c r="I600" s="1399">
        <v>2506159</v>
      </c>
      <c r="J600" s="1399">
        <v>2506159</v>
      </c>
    </row>
    <row r="601" spans="5:10" s="1297" customFormat="1">
      <c r="E601" s="1404" t="s">
        <v>955</v>
      </c>
      <c r="F601" s="1405"/>
      <c r="G601" s="1405"/>
      <c r="H601" s="1405"/>
      <c r="I601" s="1405">
        <v>1767453.44</v>
      </c>
      <c r="J601" s="1405">
        <v>1767453.44</v>
      </c>
    </row>
    <row r="602" spans="5:10" s="1297" customFormat="1">
      <c r="E602" s="1297" t="s">
        <v>934</v>
      </c>
      <c r="F602" s="1399"/>
      <c r="G602" s="1399"/>
      <c r="H602" s="1399"/>
      <c r="I602" s="1399">
        <v>135636</v>
      </c>
      <c r="J602" s="1399">
        <v>135636</v>
      </c>
    </row>
    <row r="603" spans="5:10" s="1297" customFormat="1">
      <c r="E603" s="1297" t="s">
        <v>1130</v>
      </c>
      <c r="F603" s="1399"/>
      <c r="G603" s="1399"/>
      <c r="H603" s="1399"/>
      <c r="I603" s="1399">
        <v>1342343</v>
      </c>
      <c r="J603" s="1399">
        <v>1342343</v>
      </c>
    </row>
    <row r="604" spans="5:10" s="1297" customFormat="1">
      <c r="E604" s="1297" t="s">
        <v>935</v>
      </c>
      <c r="F604" s="1399"/>
      <c r="G604" s="1399"/>
      <c r="H604" s="1399"/>
      <c r="I604" s="1399">
        <v>970726.51</v>
      </c>
      <c r="J604" s="1399">
        <v>970726.51</v>
      </c>
    </row>
    <row r="605" spans="5:10" s="1297" customFormat="1">
      <c r="E605" s="1297" t="s">
        <v>936</v>
      </c>
      <c r="F605" s="1399"/>
      <c r="G605" s="1399"/>
      <c r="H605" s="1399"/>
      <c r="I605" s="1399">
        <v>179977.38</v>
      </c>
      <c r="J605" s="1399">
        <v>179977.38</v>
      </c>
    </row>
    <row r="606" spans="5:10" s="1297" customFormat="1">
      <c r="E606" s="1297" t="s">
        <v>937</v>
      </c>
      <c r="F606" s="1399"/>
      <c r="G606" s="1399"/>
      <c r="H606" s="1399"/>
      <c r="I606" s="1399">
        <v>48935.76</v>
      </c>
      <c r="J606" s="1399">
        <v>48935.76</v>
      </c>
    </row>
    <row r="607" spans="5:10" s="1297" customFormat="1">
      <c r="E607" s="1297" t="s">
        <v>938</v>
      </c>
      <c r="F607" s="1399"/>
      <c r="G607" s="1399"/>
      <c r="H607" s="1399"/>
      <c r="I607" s="1399">
        <v>56709</v>
      </c>
      <c r="J607" s="1399">
        <v>56709</v>
      </c>
    </row>
    <row r="608" spans="5:10" s="1297" customFormat="1">
      <c r="E608" s="1297" t="s">
        <v>939</v>
      </c>
      <c r="F608" s="1399"/>
      <c r="G608" s="1399"/>
      <c r="H608" s="1399"/>
      <c r="I608" s="1399">
        <v>43908.29</v>
      </c>
      <c r="J608" s="1399">
        <v>43908.29</v>
      </c>
    </row>
    <row r="609" spans="2:12">
      <c r="B609" s="1297"/>
      <c r="C609" s="1297"/>
      <c r="D609" s="1297"/>
      <c r="E609" s="1297" t="s">
        <v>940</v>
      </c>
      <c r="F609" s="1399">
        <v>2447984</v>
      </c>
      <c r="J609" s="1399">
        <v>2447984</v>
      </c>
    </row>
    <row r="610" spans="2:12">
      <c r="B610" s="1297"/>
      <c r="C610" s="1297"/>
      <c r="D610" s="1297"/>
      <c r="E610" s="1297" t="s">
        <v>941</v>
      </c>
      <c r="F610" s="1399">
        <v>806360.76</v>
      </c>
      <c r="J610" s="1399">
        <v>806360.76</v>
      </c>
    </row>
    <row r="611" spans="2:12">
      <c r="B611" s="1297"/>
      <c r="C611" s="1297"/>
      <c r="D611" s="1297"/>
      <c r="E611" s="1297" t="s">
        <v>943</v>
      </c>
      <c r="F611" s="1399">
        <v>51482.37</v>
      </c>
      <c r="J611" s="1399">
        <v>51482.37</v>
      </c>
    </row>
    <row r="612" spans="2:12">
      <c r="B612" s="1297"/>
      <c r="C612" s="1297"/>
      <c r="D612" s="1297"/>
      <c r="E612" s="1297" t="s">
        <v>944</v>
      </c>
      <c r="F612" s="1399">
        <v>5808599.2300000004</v>
      </c>
      <c r="J612" s="1399">
        <v>5808599.2300000004</v>
      </c>
    </row>
    <row r="613" spans="2:12">
      <c r="B613" s="1297"/>
      <c r="C613" s="1297"/>
      <c r="D613" s="1297"/>
      <c r="E613" s="1297" t="s">
        <v>945</v>
      </c>
      <c r="F613" s="1399">
        <v>3693386.19</v>
      </c>
      <c r="J613" s="1399">
        <v>3693386.19</v>
      </c>
    </row>
    <row r="614" spans="2:12">
      <c r="B614" s="1297"/>
      <c r="C614" s="1297"/>
      <c r="D614" s="1297"/>
      <c r="E614" s="1297" t="s">
        <v>946</v>
      </c>
      <c r="F614" s="1399">
        <v>475902.44999999995</v>
      </c>
      <c r="J614" s="1399">
        <v>475902.44999999995</v>
      </c>
    </row>
    <row r="615" spans="2:12">
      <c r="B615" s="1297"/>
      <c r="C615" s="1297"/>
      <c r="D615" s="1297"/>
      <c r="E615" s="1297" t="s">
        <v>947</v>
      </c>
      <c r="F615" s="1399">
        <v>284081.54000000004</v>
      </c>
      <c r="J615" s="1399">
        <v>284081.54000000004</v>
      </c>
    </row>
    <row r="616" spans="2:12">
      <c r="B616" s="1297"/>
      <c r="C616" s="1297"/>
      <c r="D616" s="1297"/>
      <c r="E616" s="1404" t="s">
        <v>1116</v>
      </c>
      <c r="F616" s="1405"/>
      <c r="G616" s="1405"/>
      <c r="H616" s="1405">
        <v>13600500</v>
      </c>
      <c r="I616" s="1405"/>
      <c r="J616" s="1405">
        <v>13600500</v>
      </c>
    </row>
    <row r="617" spans="2:12">
      <c r="B617" s="1297"/>
      <c r="C617" s="1297"/>
      <c r="D617" s="1297"/>
      <c r="E617" s="1404" t="s">
        <v>948</v>
      </c>
      <c r="F617" s="1405"/>
      <c r="G617" s="1405"/>
      <c r="H617" s="1405">
        <v>8350984.4900000012</v>
      </c>
      <c r="I617" s="1405"/>
      <c r="J617" s="1405">
        <v>8350984.4900000012</v>
      </c>
    </row>
    <row r="618" spans="2:12">
      <c r="B618" s="1297"/>
      <c r="C618" s="1297"/>
      <c r="D618" s="1400" t="s">
        <v>1022</v>
      </c>
      <c r="E618" s="1400"/>
      <c r="F618" s="1401">
        <f>SUM(F577:F617)</f>
        <v>13863385.68</v>
      </c>
      <c r="G618" s="1401">
        <f>SUM(G577:G617)</f>
        <v>38944640.089999996</v>
      </c>
      <c r="H618" s="1401">
        <f>SUM(H577:H617)-(H616+H617)</f>
        <v>4190836.9499999993</v>
      </c>
      <c r="I618" s="1401">
        <f>SUM(I577:I617)-I601</f>
        <v>44137009.939999998</v>
      </c>
      <c r="J618" s="1401">
        <f>SUM(J577:J617)</f>
        <v>124854810.59000003</v>
      </c>
      <c r="K618" s="1401">
        <f>SUM(F618:I618)</f>
        <v>101135872.66</v>
      </c>
      <c r="L618" s="1408">
        <f>K618/C577</f>
        <v>11198.745726940539</v>
      </c>
    </row>
    <row r="619" spans="2:12">
      <c r="B619" s="1297" t="s">
        <v>1023</v>
      </c>
      <c r="C619" s="1297">
        <v>4317</v>
      </c>
      <c r="D619" s="1297" t="s">
        <v>1024</v>
      </c>
      <c r="E619" s="1297" t="s">
        <v>906</v>
      </c>
      <c r="G619" s="1399">
        <v>21178206.510000002</v>
      </c>
      <c r="J619" s="1399">
        <v>21178206.510000002</v>
      </c>
    </row>
    <row r="620" spans="2:12">
      <c r="B620" s="1297"/>
      <c r="C620" s="1297"/>
      <c r="D620" s="1297"/>
      <c r="E620" s="1297" t="s">
        <v>952</v>
      </c>
      <c r="G620" s="1399">
        <v>56542.47</v>
      </c>
      <c r="J620" s="1399">
        <v>56542.47</v>
      </c>
    </row>
    <row r="621" spans="2:12">
      <c r="B621" s="1297"/>
      <c r="C621" s="1297"/>
      <c r="D621" s="1297"/>
      <c r="E621" s="1297" t="s">
        <v>995</v>
      </c>
      <c r="G621" s="1399">
        <v>52325.84</v>
      </c>
      <c r="J621" s="1399">
        <v>52325.84</v>
      </c>
    </row>
    <row r="622" spans="2:12">
      <c r="B622" s="1297"/>
      <c r="C622" s="1297"/>
      <c r="D622" s="1297"/>
      <c r="E622" s="1297" t="s">
        <v>908</v>
      </c>
      <c r="G622" s="1399">
        <v>29261.03</v>
      </c>
      <c r="J622" s="1399">
        <v>29261.03</v>
      </c>
    </row>
    <row r="623" spans="2:12">
      <c r="B623" s="1297"/>
      <c r="C623" s="1297"/>
      <c r="D623" s="1297"/>
      <c r="E623" s="1297" t="s">
        <v>1034</v>
      </c>
      <c r="H623" s="1399">
        <v>45980.5</v>
      </c>
      <c r="J623" s="1399">
        <v>45980.5</v>
      </c>
    </row>
    <row r="624" spans="2:12">
      <c r="B624" s="1297"/>
      <c r="C624" s="1297"/>
      <c r="D624" s="1297"/>
      <c r="E624" s="1297" t="s">
        <v>1037</v>
      </c>
      <c r="H624" s="1399">
        <v>1370</v>
      </c>
      <c r="J624" s="1399">
        <v>1370</v>
      </c>
    </row>
    <row r="625" spans="5:10" s="1297" customFormat="1">
      <c r="E625" s="1297" t="s">
        <v>1003</v>
      </c>
      <c r="F625" s="1399"/>
      <c r="G625" s="1399"/>
      <c r="H625" s="1399">
        <v>5441.55</v>
      </c>
      <c r="I625" s="1399"/>
      <c r="J625" s="1399">
        <v>5441.55</v>
      </c>
    </row>
    <row r="626" spans="5:10" s="1297" customFormat="1">
      <c r="E626" s="1297" t="s">
        <v>1039</v>
      </c>
      <c r="F626" s="1399"/>
      <c r="G626" s="1399"/>
      <c r="H626" s="1399">
        <v>61714.73</v>
      </c>
      <c r="I626" s="1399"/>
      <c r="J626" s="1399">
        <v>61714.73</v>
      </c>
    </row>
    <row r="627" spans="5:10" s="1297" customFormat="1">
      <c r="E627" s="1297" t="s">
        <v>1041</v>
      </c>
      <c r="F627" s="1399"/>
      <c r="G627" s="1399"/>
      <c r="H627" s="1399">
        <v>66561.11</v>
      </c>
      <c r="I627" s="1399"/>
      <c r="J627" s="1399">
        <v>66561.11</v>
      </c>
    </row>
    <row r="628" spans="5:10" s="1297" customFormat="1">
      <c r="E628" s="1297" t="s">
        <v>1042</v>
      </c>
      <c r="F628" s="1399"/>
      <c r="G628" s="1399"/>
      <c r="H628" s="1399">
        <v>107958.08999999998</v>
      </c>
      <c r="I628" s="1399"/>
      <c r="J628" s="1399">
        <v>107958.08999999998</v>
      </c>
    </row>
    <row r="629" spans="5:10" s="1297" customFormat="1">
      <c r="E629" s="1297" t="s">
        <v>985</v>
      </c>
      <c r="F629" s="1399"/>
      <c r="G629" s="1399"/>
      <c r="H629" s="1399">
        <v>43100.42</v>
      </c>
      <c r="I629" s="1399"/>
      <c r="J629" s="1399">
        <v>43100.42</v>
      </c>
    </row>
    <row r="630" spans="5:10" s="1297" customFormat="1">
      <c r="E630" s="1297" t="s">
        <v>1043</v>
      </c>
      <c r="F630" s="1399"/>
      <c r="G630" s="1399"/>
      <c r="H630" s="1399">
        <v>85055</v>
      </c>
      <c r="I630" s="1399"/>
      <c r="J630" s="1399">
        <v>85055</v>
      </c>
    </row>
    <row r="631" spans="5:10" s="1297" customFormat="1">
      <c r="E631" s="1297" t="s">
        <v>1044</v>
      </c>
      <c r="F631" s="1399">
        <v>51876.56</v>
      </c>
      <c r="G631" s="1399"/>
      <c r="H631" s="1399"/>
      <c r="I631" s="1399"/>
      <c r="J631" s="1399">
        <v>51876.56</v>
      </c>
    </row>
    <row r="632" spans="5:10" s="1297" customFormat="1">
      <c r="E632" s="1297" t="s">
        <v>1045</v>
      </c>
      <c r="F632" s="1399"/>
      <c r="G632" s="1399"/>
      <c r="H632" s="1399">
        <v>331176.67000000004</v>
      </c>
      <c r="I632" s="1399"/>
      <c r="J632" s="1399">
        <v>331176.67000000004</v>
      </c>
    </row>
    <row r="633" spans="5:10" s="1297" customFormat="1">
      <c r="E633" s="1297" t="s">
        <v>1046</v>
      </c>
      <c r="F633" s="1399"/>
      <c r="G633" s="1399"/>
      <c r="H633" s="1399"/>
      <c r="I633" s="1399">
        <v>22356110</v>
      </c>
      <c r="J633" s="1399">
        <v>22356110</v>
      </c>
    </row>
    <row r="634" spans="5:10" s="1297" customFormat="1">
      <c r="E634" s="1297" t="s">
        <v>1128</v>
      </c>
      <c r="F634" s="1399"/>
      <c r="G634" s="1399"/>
      <c r="H634" s="1399"/>
      <c r="I634" s="1399">
        <v>1886770</v>
      </c>
      <c r="J634" s="1399">
        <v>1886770</v>
      </c>
    </row>
    <row r="635" spans="5:10" s="1297" customFormat="1">
      <c r="E635" s="1297" t="s">
        <v>1129</v>
      </c>
      <c r="F635" s="1399"/>
      <c r="G635" s="1399"/>
      <c r="H635" s="1399"/>
      <c r="I635" s="1399">
        <v>-2604918</v>
      </c>
      <c r="J635" s="1399">
        <v>-2604918</v>
      </c>
    </row>
    <row r="636" spans="5:10" s="1297" customFormat="1">
      <c r="E636" s="1297" t="s">
        <v>1047</v>
      </c>
      <c r="F636" s="1399"/>
      <c r="G636" s="1399"/>
      <c r="H636" s="1399"/>
      <c r="I636" s="1399">
        <v>957292</v>
      </c>
      <c r="J636" s="1399">
        <v>957292</v>
      </c>
    </row>
    <row r="637" spans="5:10" s="1297" customFormat="1">
      <c r="E637" s="1297" t="s">
        <v>1048</v>
      </c>
      <c r="F637" s="1399"/>
      <c r="G637" s="1399"/>
      <c r="H637" s="1399"/>
      <c r="I637" s="1399">
        <v>-6788158</v>
      </c>
      <c r="J637" s="1399">
        <v>-6788158</v>
      </c>
    </row>
    <row r="638" spans="5:10" s="1297" customFormat="1">
      <c r="E638" s="1404" t="s">
        <v>955</v>
      </c>
      <c r="F638" s="1405"/>
      <c r="G638" s="1405"/>
      <c r="H638" s="1405"/>
      <c r="I638" s="1405">
        <v>1282149.1299999999</v>
      </c>
      <c r="J638" s="1405">
        <v>1282149.1299999999</v>
      </c>
    </row>
    <row r="639" spans="5:10" s="1297" customFormat="1">
      <c r="E639" s="1297" t="s">
        <v>934</v>
      </c>
      <c r="F639" s="1399"/>
      <c r="G639" s="1399"/>
      <c r="H639" s="1399"/>
      <c r="I639" s="1399">
        <v>85590</v>
      </c>
      <c r="J639" s="1399">
        <v>85590</v>
      </c>
    </row>
    <row r="640" spans="5:10" s="1297" customFormat="1">
      <c r="E640" s="1297" t="s">
        <v>1130</v>
      </c>
      <c r="F640" s="1399"/>
      <c r="G640" s="1399"/>
      <c r="H640" s="1399"/>
      <c r="I640" s="1399">
        <v>152584</v>
      </c>
      <c r="J640" s="1399">
        <v>152584</v>
      </c>
    </row>
    <row r="641" spans="2:12">
      <c r="B641" s="1297"/>
      <c r="C641" s="1297"/>
      <c r="D641" s="1297"/>
      <c r="E641" s="1297" t="s">
        <v>935</v>
      </c>
      <c r="I641" s="1399">
        <v>565925.45000000007</v>
      </c>
      <c r="J641" s="1399">
        <v>565925.45000000007</v>
      </c>
    </row>
    <row r="642" spans="2:12">
      <c r="B642" s="1297"/>
      <c r="C642" s="1297"/>
      <c r="D642" s="1297"/>
      <c r="E642" s="1297" t="s">
        <v>936</v>
      </c>
      <c r="I642" s="1399">
        <v>124303.44</v>
      </c>
      <c r="J642" s="1399">
        <v>124303.44</v>
      </c>
    </row>
    <row r="643" spans="2:12">
      <c r="B643" s="1297"/>
      <c r="C643" s="1297"/>
      <c r="D643" s="1297"/>
      <c r="E643" s="1297" t="s">
        <v>937</v>
      </c>
      <c r="I643" s="1399">
        <v>570.03</v>
      </c>
      <c r="J643" s="1399">
        <v>570.03</v>
      </c>
    </row>
    <row r="644" spans="2:12">
      <c r="B644" s="1297"/>
      <c r="C644" s="1297"/>
      <c r="D644" s="1297"/>
      <c r="E644" s="1297" t="s">
        <v>938</v>
      </c>
      <c r="I644" s="1399">
        <v>34250</v>
      </c>
      <c r="J644" s="1399">
        <v>34250</v>
      </c>
    </row>
    <row r="645" spans="2:12">
      <c r="B645" s="1297"/>
      <c r="C645" s="1297"/>
      <c r="D645" s="1297"/>
      <c r="E645" s="1297" t="s">
        <v>940</v>
      </c>
      <c r="F645" s="1399">
        <v>1868139.5899999999</v>
      </c>
      <c r="J645" s="1399">
        <v>1868139.5899999999</v>
      </c>
    </row>
    <row r="646" spans="2:12">
      <c r="B646" s="1297"/>
      <c r="C646" s="1297"/>
      <c r="D646" s="1297"/>
      <c r="E646" s="1297" t="s">
        <v>941</v>
      </c>
      <c r="F646" s="1399">
        <v>875010.8</v>
      </c>
      <c r="J646" s="1399">
        <v>875010.8</v>
      </c>
    </row>
    <row r="647" spans="2:12">
      <c r="B647" s="1297"/>
      <c r="C647" s="1297"/>
      <c r="D647" s="1297"/>
      <c r="E647" s="1297" t="s">
        <v>943</v>
      </c>
      <c r="F647" s="1399">
        <v>31838.5</v>
      </c>
      <c r="J647" s="1399">
        <v>31838.5</v>
      </c>
    </row>
    <row r="648" spans="2:12">
      <c r="B648" s="1297"/>
      <c r="C648" s="1297"/>
      <c r="D648" s="1297"/>
      <c r="E648" s="1297" t="s">
        <v>944</v>
      </c>
      <c r="F648" s="1399">
        <v>4387987.3099999996</v>
      </c>
      <c r="J648" s="1399">
        <v>4387987.3099999996</v>
      </c>
    </row>
    <row r="649" spans="2:12">
      <c r="B649" s="1297"/>
      <c r="C649" s="1297"/>
      <c r="D649" s="1297"/>
      <c r="E649" s="1297" t="s">
        <v>945</v>
      </c>
      <c r="F649" s="1399">
        <v>2746595.35</v>
      </c>
      <c r="J649" s="1399">
        <v>2746595.35</v>
      </c>
    </row>
    <row r="650" spans="2:12">
      <c r="B650" s="1297"/>
      <c r="C650" s="1297"/>
      <c r="D650" s="1297"/>
      <c r="E650" s="1297" t="s">
        <v>946</v>
      </c>
      <c r="F650" s="1399">
        <v>120209.35</v>
      </c>
      <c r="J650" s="1399">
        <v>120209.35</v>
      </c>
    </row>
    <row r="651" spans="2:12">
      <c r="B651" s="1297"/>
      <c r="C651" s="1297"/>
      <c r="D651" s="1297"/>
      <c r="E651" s="1297" t="s">
        <v>978</v>
      </c>
      <c r="F651" s="1399">
        <v>1131493.6299999999</v>
      </c>
      <c r="J651" s="1399">
        <v>1131493.6299999999</v>
      </c>
    </row>
    <row r="652" spans="2:12">
      <c r="B652" s="1297"/>
      <c r="C652" s="1297"/>
      <c r="D652" s="1297"/>
      <c r="E652" s="1297" t="s">
        <v>947</v>
      </c>
      <c r="F652" s="1399">
        <v>146466.12</v>
      </c>
      <c r="J652" s="1399">
        <v>146466.12</v>
      </c>
    </row>
    <row r="653" spans="2:12">
      <c r="B653" s="1297"/>
      <c r="C653" s="1297"/>
      <c r="D653" s="1297"/>
      <c r="E653" s="1404" t="s">
        <v>948</v>
      </c>
      <c r="F653" s="1405"/>
      <c r="G653" s="1405"/>
      <c r="H653" s="1405">
        <v>174273.55</v>
      </c>
      <c r="I653" s="1405"/>
      <c r="J653" s="1405">
        <v>174273.55</v>
      </c>
    </row>
    <row r="654" spans="2:12">
      <c r="B654" s="1297"/>
      <c r="C654" s="1297"/>
      <c r="D654" s="1297"/>
      <c r="E654" s="1297" t="s">
        <v>956</v>
      </c>
      <c r="H654" s="1399">
        <v>7491.75</v>
      </c>
      <c r="J654" s="1399">
        <v>7491.75</v>
      </c>
    </row>
    <row r="655" spans="2:12">
      <c r="B655" s="1297"/>
      <c r="C655" s="1297"/>
      <c r="D655" s="1400" t="s">
        <v>1025</v>
      </c>
      <c r="E655" s="1400"/>
      <c r="F655" s="1401">
        <f>SUM(F619:F654)</f>
        <v>11359617.209999999</v>
      </c>
      <c r="G655" s="1401">
        <f>SUM(G619:G654)</f>
        <v>21316335.850000001</v>
      </c>
      <c r="H655" s="1401">
        <f>SUM(H619:H654)-H653</f>
        <v>755849.82000000007</v>
      </c>
      <c r="I655" s="1401">
        <f>SUM(I619:I654)-I638</f>
        <v>16770318.920000002</v>
      </c>
      <c r="J655" s="1401">
        <f>SUM(J619:J654)</f>
        <v>51658544.480000004</v>
      </c>
      <c r="K655" s="1401">
        <f>SUM(F655:I655)</f>
        <v>50202121.800000004</v>
      </c>
      <c r="L655" s="1408">
        <f>K655/C619</f>
        <v>11628.937178596248</v>
      </c>
    </row>
    <row r="656" spans="2:12">
      <c r="B656" s="1297" t="s">
        <v>1026</v>
      </c>
      <c r="C656" s="1297">
        <v>3508</v>
      </c>
      <c r="D656" s="1297" t="s">
        <v>1027</v>
      </c>
      <c r="E656" s="1297" t="s">
        <v>906</v>
      </c>
      <c r="G656" s="1399">
        <v>10796409.119999999</v>
      </c>
      <c r="J656" s="1399">
        <v>10796409.119999999</v>
      </c>
    </row>
    <row r="657" spans="5:10" s="1297" customFormat="1">
      <c r="E657" s="1297" t="s">
        <v>952</v>
      </c>
      <c r="F657" s="1399"/>
      <c r="G657" s="1399">
        <v>92300.01</v>
      </c>
      <c r="H657" s="1399"/>
      <c r="I657" s="1399"/>
      <c r="J657" s="1399">
        <v>92300.01</v>
      </c>
    </row>
    <row r="658" spans="5:10" s="1297" customFormat="1">
      <c r="E658" s="1297" t="s">
        <v>907</v>
      </c>
      <c r="F658" s="1399"/>
      <c r="G658" s="1399">
        <v>3040203.5</v>
      </c>
      <c r="H658" s="1399"/>
      <c r="I658" s="1399"/>
      <c r="J658" s="1399">
        <v>3040203.5</v>
      </c>
    </row>
    <row r="659" spans="5:10" s="1297" customFormat="1">
      <c r="E659" s="1297" t="s">
        <v>908</v>
      </c>
      <c r="F659" s="1399"/>
      <c r="G659" s="1399">
        <v>16381.83</v>
      </c>
      <c r="H659" s="1399"/>
      <c r="I659" s="1399"/>
      <c r="J659" s="1399">
        <v>16381.83</v>
      </c>
    </row>
    <row r="660" spans="5:10" s="1297" customFormat="1">
      <c r="E660" s="1297" t="s">
        <v>909</v>
      </c>
      <c r="F660" s="1399"/>
      <c r="G660" s="1399"/>
      <c r="H660" s="1399">
        <v>398275.34</v>
      </c>
      <c r="I660" s="1399"/>
      <c r="J660" s="1399">
        <v>398275.34</v>
      </c>
    </row>
    <row r="661" spans="5:10" s="1297" customFormat="1">
      <c r="E661" s="1297" t="s">
        <v>910</v>
      </c>
      <c r="F661" s="1399"/>
      <c r="G661" s="1399"/>
      <c r="H661" s="1399">
        <v>21549.5</v>
      </c>
      <c r="I661" s="1399"/>
      <c r="J661" s="1399">
        <v>21549.5</v>
      </c>
    </row>
    <row r="662" spans="5:10" s="1297" customFormat="1">
      <c r="E662" s="1297" t="s">
        <v>1034</v>
      </c>
      <c r="F662" s="1399"/>
      <c r="G662" s="1399"/>
      <c r="H662" s="1399">
        <v>7229.07</v>
      </c>
      <c r="I662" s="1399"/>
      <c r="J662" s="1399">
        <v>7229.07</v>
      </c>
    </row>
    <row r="663" spans="5:10" s="1297" customFormat="1">
      <c r="E663" s="1297" t="s">
        <v>1035</v>
      </c>
      <c r="F663" s="1399"/>
      <c r="G663" s="1399"/>
      <c r="H663" s="1399">
        <v>150213.23999999996</v>
      </c>
      <c r="I663" s="1399"/>
      <c r="J663" s="1399">
        <v>150213.23999999996</v>
      </c>
    </row>
    <row r="664" spans="5:10" s="1297" customFormat="1">
      <c r="E664" s="1297" t="s">
        <v>1036</v>
      </c>
      <c r="F664" s="1399"/>
      <c r="G664" s="1399"/>
      <c r="H664" s="1399">
        <v>87306.65</v>
      </c>
      <c r="I664" s="1399"/>
      <c r="J664" s="1399">
        <v>87306.65</v>
      </c>
    </row>
    <row r="665" spans="5:10" s="1297" customFormat="1">
      <c r="E665" s="1297" t="s">
        <v>1037</v>
      </c>
      <c r="F665" s="1399"/>
      <c r="G665" s="1399"/>
      <c r="H665" s="1399">
        <v>9183.7199999999993</v>
      </c>
      <c r="I665" s="1399"/>
      <c r="J665" s="1399">
        <v>9183.7199999999993</v>
      </c>
    </row>
    <row r="666" spans="5:10" s="1297" customFormat="1">
      <c r="E666" s="1297" t="s">
        <v>1038</v>
      </c>
      <c r="F666" s="1399"/>
      <c r="G666" s="1399"/>
      <c r="H666" s="1399">
        <v>20195.5</v>
      </c>
      <c r="I666" s="1399"/>
      <c r="J666" s="1399">
        <v>20195.5</v>
      </c>
    </row>
    <row r="667" spans="5:10" s="1297" customFormat="1">
      <c r="E667" s="1297" t="s">
        <v>1003</v>
      </c>
      <c r="F667" s="1399"/>
      <c r="G667" s="1399"/>
      <c r="H667" s="1399">
        <v>4050.41</v>
      </c>
      <c r="I667" s="1399"/>
      <c r="J667" s="1399">
        <v>4050.41</v>
      </c>
    </row>
    <row r="668" spans="5:10" s="1297" customFormat="1">
      <c r="E668" s="1297" t="s">
        <v>1039</v>
      </c>
      <c r="F668" s="1399"/>
      <c r="G668" s="1399"/>
      <c r="H668" s="1399">
        <v>21275.809999999998</v>
      </c>
      <c r="I668" s="1399"/>
      <c r="J668" s="1399">
        <v>21275.809999999998</v>
      </c>
    </row>
    <row r="669" spans="5:10" s="1297" customFormat="1">
      <c r="E669" s="1297" t="s">
        <v>1040</v>
      </c>
      <c r="F669" s="1399"/>
      <c r="G669" s="1399"/>
      <c r="H669" s="1399">
        <v>230452.04</v>
      </c>
      <c r="I669" s="1399"/>
      <c r="J669" s="1399">
        <v>230452.04</v>
      </c>
    </row>
    <row r="670" spans="5:10" s="1297" customFormat="1">
      <c r="E670" s="1297" t="s">
        <v>1127</v>
      </c>
      <c r="F670" s="1399"/>
      <c r="G670" s="1399"/>
      <c r="H670" s="1399">
        <v>442.56</v>
      </c>
      <c r="I670" s="1399"/>
      <c r="J670" s="1399">
        <v>442.56</v>
      </c>
    </row>
    <row r="671" spans="5:10" s="1297" customFormat="1">
      <c r="E671" s="1297" t="s">
        <v>1041</v>
      </c>
      <c r="F671" s="1399"/>
      <c r="G671" s="1399"/>
      <c r="H671" s="1399">
        <v>16467.899999999998</v>
      </c>
      <c r="I671" s="1399"/>
      <c r="J671" s="1399">
        <v>16467.899999999998</v>
      </c>
    </row>
    <row r="672" spans="5:10" s="1297" customFormat="1">
      <c r="E672" s="1297" t="s">
        <v>1042</v>
      </c>
      <c r="F672" s="1399"/>
      <c r="G672" s="1399"/>
      <c r="H672" s="1399">
        <v>53563.32</v>
      </c>
      <c r="I672" s="1399"/>
      <c r="J672" s="1399">
        <v>53563.32</v>
      </c>
    </row>
    <row r="673" spans="5:10" s="1297" customFormat="1">
      <c r="E673" s="1297" t="s">
        <v>986</v>
      </c>
      <c r="F673" s="1399"/>
      <c r="G673" s="1399"/>
      <c r="H673" s="1399">
        <v>10000</v>
      </c>
      <c r="I673" s="1399"/>
      <c r="J673" s="1399">
        <v>10000</v>
      </c>
    </row>
    <row r="674" spans="5:10" s="1297" customFormat="1">
      <c r="E674" s="1297" t="s">
        <v>1045</v>
      </c>
      <c r="F674" s="1399"/>
      <c r="G674" s="1399"/>
      <c r="H674" s="1399">
        <v>358627.92</v>
      </c>
      <c r="I674" s="1399"/>
      <c r="J674" s="1399">
        <v>358627.92</v>
      </c>
    </row>
    <row r="675" spans="5:10" s="1297" customFormat="1">
      <c r="E675" s="1297" t="s">
        <v>1046</v>
      </c>
      <c r="F675" s="1399"/>
      <c r="G675" s="1399"/>
      <c r="H675" s="1399"/>
      <c r="I675" s="1399">
        <v>19143246</v>
      </c>
      <c r="J675" s="1399">
        <v>19143246</v>
      </c>
    </row>
    <row r="676" spans="5:10" s="1297" customFormat="1">
      <c r="E676" s="1297" t="s">
        <v>1129</v>
      </c>
      <c r="F676" s="1399"/>
      <c r="G676" s="1399"/>
      <c r="H676" s="1399"/>
      <c r="I676" s="1399">
        <v>-2319107</v>
      </c>
      <c r="J676" s="1399">
        <v>-2319107</v>
      </c>
    </row>
    <row r="677" spans="5:10" s="1297" customFormat="1">
      <c r="E677" s="1297" t="s">
        <v>1047</v>
      </c>
      <c r="F677" s="1399"/>
      <c r="G677" s="1399"/>
      <c r="H677" s="1399"/>
      <c r="I677" s="1399">
        <v>475841.5</v>
      </c>
      <c r="J677" s="1399">
        <v>475841.5</v>
      </c>
    </row>
    <row r="678" spans="5:10" s="1297" customFormat="1">
      <c r="E678" s="1297" t="s">
        <v>1048</v>
      </c>
      <c r="F678" s="1399"/>
      <c r="G678" s="1399"/>
      <c r="H678" s="1399"/>
      <c r="I678" s="1399">
        <v>-3086052</v>
      </c>
      <c r="J678" s="1399">
        <v>-3086052</v>
      </c>
    </row>
    <row r="679" spans="5:10" s="1297" customFormat="1">
      <c r="E679" s="1297" t="s">
        <v>932</v>
      </c>
      <c r="F679" s="1399"/>
      <c r="G679" s="1399"/>
      <c r="H679" s="1399"/>
      <c r="I679" s="1399">
        <v>893981</v>
      </c>
      <c r="J679" s="1399">
        <v>893981</v>
      </c>
    </row>
    <row r="680" spans="5:10" s="1297" customFormat="1">
      <c r="E680" s="1404" t="s">
        <v>955</v>
      </c>
      <c r="F680" s="1405"/>
      <c r="G680" s="1405"/>
      <c r="H680" s="1405"/>
      <c r="I680" s="1405">
        <v>77090.59</v>
      </c>
      <c r="J680" s="1405">
        <v>77090.59</v>
      </c>
    </row>
    <row r="681" spans="5:10" s="1297" customFormat="1">
      <c r="E681" s="1297" t="s">
        <v>934</v>
      </c>
      <c r="F681" s="1399"/>
      <c r="G681" s="1399"/>
      <c r="H681" s="1399"/>
      <c r="I681" s="1399">
        <v>54700</v>
      </c>
      <c r="J681" s="1399">
        <v>54700</v>
      </c>
    </row>
    <row r="682" spans="5:10" s="1297" customFormat="1">
      <c r="E682" s="1297" t="s">
        <v>935</v>
      </c>
      <c r="F682" s="1399"/>
      <c r="G682" s="1399"/>
      <c r="H682" s="1399"/>
      <c r="I682" s="1399">
        <v>329192.3</v>
      </c>
      <c r="J682" s="1399">
        <v>329192.3</v>
      </c>
    </row>
    <row r="683" spans="5:10" s="1297" customFormat="1">
      <c r="E683" s="1297" t="s">
        <v>936</v>
      </c>
      <c r="F683" s="1399"/>
      <c r="G683" s="1399"/>
      <c r="H683" s="1399"/>
      <c r="I683" s="1399">
        <v>49721.38</v>
      </c>
      <c r="J683" s="1399">
        <v>49721.38</v>
      </c>
    </row>
    <row r="684" spans="5:10" s="1297" customFormat="1">
      <c r="E684" s="1297" t="s">
        <v>937</v>
      </c>
      <c r="F684" s="1399"/>
      <c r="G684" s="1399"/>
      <c r="H684" s="1399"/>
      <c r="I684" s="1399">
        <v>9192.18</v>
      </c>
      <c r="J684" s="1399">
        <v>9192.18</v>
      </c>
    </row>
    <row r="685" spans="5:10" s="1297" customFormat="1">
      <c r="E685" s="1297" t="s">
        <v>938</v>
      </c>
      <c r="F685" s="1399"/>
      <c r="G685" s="1399"/>
      <c r="H685" s="1399"/>
      <c r="I685" s="1399">
        <v>24705</v>
      </c>
      <c r="J685" s="1399">
        <v>24705</v>
      </c>
    </row>
    <row r="686" spans="5:10" s="1297" customFormat="1">
      <c r="E686" s="1297" t="s">
        <v>939</v>
      </c>
      <c r="F686" s="1399"/>
      <c r="G686" s="1399"/>
      <c r="H686" s="1399"/>
      <c r="I686" s="1399">
        <v>119772.8</v>
      </c>
      <c r="J686" s="1399">
        <v>119772.8</v>
      </c>
    </row>
    <row r="687" spans="5:10" s="1297" customFormat="1">
      <c r="E687" s="1297" t="s">
        <v>940</v>
      </c>
      <c r="F687" s="1399">
        <v>901437.29999999993</v>
      </c>
      <c r="G687" s="1399"/>
      <c r="H687" s="1399"/>
      <c r="I687" s="1399"/>
      <c r="J687" s="1399">
        <v>901437.29999999993</v>
      </c>
    </row>
    <row r="688" spans="5:10" s="1297" customFormat="1">
      <c r="E688" s="1297" t="s">
        <v>941</v>
      </c>
      <c r="F688" s="1399">
        <v>285147.44</v>
      </c>
      <c r="G688" s="1399"/>
      <c r="H688" s="1399"/>
      <c r="I688" s="1399"/>
      <c r="J688" s="1399">
        <v>285147.44</v>
      </c>
    </row>
    <row r="689" spans="2:12">
      <c r="B689" s="1297"/>
      <c r="C689" s="1297"/>
      <c r="D689" s="1297"/>
      <c r="E689" s="1297" t="s">
        <v>943</v>
      </c>
      <c r="F689" s="1399">
        <v>14871.04</v>
      </c>
      <c r="J689" s="1399">
        <v>14871.04</v>
      </c>
    </row>
    <row r="690" spans="2:12">
      <c r="B690" s="1297"/>
      <c r="C690" s="1297"/>
      <c r="D690" s="1297"/>
      <c r="E690" s="1297" t="s">
        <v>944</v>
      </c>
      <c r="F690" s="1399">
        <v>2015595.1199999999</v>
      </c>
      <c r="J690" s="1399">
        <v>2015595.1199999999</v>
      </c>
    </row>
    <row r="691" spans="2:12">
      <c r="B691" s="1297"/>
      <c r="C691" s="1297"/>
      <c r="D691" s="1297"/>
      <c r="E691" s="1297" t="s">
        <v>945</v>
      </c>
      <c r="F691" s="1399">
        <v>1201416.8700000001</v>
      </c>
      <c r="J691" s="1399">
        <v>1201416.8700000001</v>
      </c>
    </row>
    <row r="692" spans="2:12">
      <c r="B692" s="1297"/>
      <c r="C692" s="1297"/>
      <c r="D692" s="1297"/>
      <c r="E692" s="1297" t="s">
        <v>946</v>
      </c>
      <c r="F692" s="1399">
        <v>272867.94</v>
      </c>
      <c r="J692" s="1399">
        <v>272867.94</v>
      </c>
    </row>
    <row r="693" spans="2:12">
      <c r="B693" s="1297"/>
      <c r="C693" s="1297"/>
      <c r="D693" s="1297"/>
      <c r="E693" s="1297" t="s">
        <v>947</v>
      </c>
      <c r="F693" s="1399">
        <v>127823.58000000002</v>
      </c>
      <c r="J693" s="1399">
        <v>127823.58000000002</v>
      </c>
    </row>
    <row r="694" spans="2:12">
      <c r="B694" s="1297"/>
      <c r="C694" s="1297"/>
      <c r="D694" s="1297"/>
      <c r="E694" s="1297" t="s">
        <v>1115</v>
      </c>
      <c r="F694" s="1399">
        <v>62536.76</v>
      </c>
      <c r="J694" s="1399">
        <v>62536.76</v>
      </c>
    </row>
    <row r="695" spans="2:12">
      <c r="B695" s="1297"/>
      <c r="C695" s="1297"/>
      <c r="D695" s="1297"/>
      <c r="E695" s="1404" t="s">
        <v>948</v>
      </c>
      <c r="F695" s="1405"/>
      <c r="G695" s="1405"/>
      <c r="H695" s="1405">
        <v>6036750.2400000002</v>
      </c>
      <c r="I695" s="1405"/>
      <c r="J695" s="1405">
        <v>6036750.2400000002</v>
      </c>
    </row>
    <row r="696" spans="2:12">
      <c r="B696" s="1297"/>
      <c r="C696" s="1297"/>
      <c r="D696" s="1297"/>
      <c r="E696" s="1297" t="s">
        <v>956</v>
      </c>
      <c r="H696" s="1399">
        <v>7000</v>
      </c>
      <c r="J696" s="1399">
        <v>7000</v>
      </c>
    </row>
    <row r="697" spans="2:12">
      <c r="B697" s="1297"/>
      <c r="C697" s="1297"/>
      <c r="D697" s="1297"/>
      <c r="E697" s="1297" t="s">
        <v>1118</v>
      </c>
      <c r="H697" s="1399">
        <v>711.41</v>
      </c>
      <c r="J697" s="1399">
        <v>711.41</v>
      </c>
    </row>
    <row r="698" spans="2:12">
      <c r="B698" s="1297"/>
      <c r="C698" s="1297"/>
      <c r="D698" s="1400" t="s">
        <v>1028</v>
      </c>
      <c r="E698" s="1400"/>
      <c r="F698" s="1401">
        <f>SUM(F656:F697)</f>
        <v>4881696.05</v>
      </c>
      <c r="G698" s="1401">
        <f>SUM(G656:G697)</f>
        <v>13945294.459999999</v>
      </c>
      <c r="H698" s="1401">
        <f>SUM(H656:H697)-H695</f>
        <v>1396544.3900000006</v>
      </c>
      <c r="I698" s="1401">
        <f>SUM(I656:I697)-I680</f>
        <v>15695193.160000002</v>
      </c>
      <c r="J698" s="1401">
        <f>SUM(J656:J697)</f>
        <v>42032568.889999986</v>
      </c>
      <c r="K698" s="1401">
        <f>SUM(F698:I698)</f>
        <v>35918728.060000002</v>
      </c>
      <c r="L698" s="1408">
        <f>K698/C656</f>
        <v>10239.090096921323</v>
      </c>
    </row>
    <row r="699" spans="2:12">
      <c r="B699" s="1297" t="s">
        <v>1029</v>
      </c>
      <c r="C699" s="1297">
        <v>608</v>
      </c>
      <c r="D699" s="1297" t="s">
        <v>1030</v>
      </c>
      <c r="E699" s="1297" t="s">
        <v>906</v>
      </c>
      <c r="G699" s="1399">
        <v>2088257.93</v>
      </c>
      <c r="J699" s="1399">
        <v>2088257.93</v>
      </c>
    </row>
    <row r="700" spans="2:12">
      <c r="B700" s="1297"/>
      <c r="C700" s="1297"/>
      <c r="D700" s="1297"/>
      <c r="E700" s="1297" t="s">
        <v>952</v>
      </c>
      <c r="G700" s="1399">
        <v>38201.599999999999</v>
      </c>
      <c r="J700" s="1399">
        <v>38201.599999999999</v>
      </c>
    </row>
    <row r="701" spans="2:12">
      <c r="B701" s="1297"/>
      <c r="C701" s="1297"/>
      <c r="D701" s="1297"/>
      <c r="E701" s="1297" t="s">
        <v>907</v>
      </c>
      <c r="G701" s="1399">
        <v>431037.27</v>
      </c>
      <c r="J701" s="1399">
        <v>431037.27</v>
      </c>
    </row>
    <row r="702" spans="2:12">
      <c r="B702" s="1297"/>
      <c r="C702" s="1297"/>
      <c r="D702" s="1297"/>
      <c r="E702" s="1297" t="s">
        <v>908</v>
      </c>
      <c r="G702" s="1399">
        <v>20778.54</v>
      </c>
      <c r="J702" s="1399">
        <v>20778.54</v>
      </c>
    </row>
    <row r="703" spans="2:12">
      <c r="B703" s="1297"/>
      <c r="C703" s="1297"/>
      <c r="D703" s="1297"/>
      <c r="E703" s="1297" t="s">
        <v>1039</v>
      </c>
      <c r="H703" s="1399">
        <v>10037.01</v>
      </c>
      <c r="J703" s="1399">
        <v>10037.01</v>
      </c>
    </row>
    <row r="704" spans="2:12">
      <c r="B704" s="1297"/>
      <c r="C704" s="1297"/>
      <c r="D704" s="1297"/>
      <c r="E704" s="1297" t="s">
        <v>1041</v>
      </c>
      <c r="H704" s="1399">
        <v>1156.8500000000001</v>
      </c>
      <c r="J704" s="1399">
        <v>1156.8500000000001</v>
      </c>
    </row>
    <row r="705" spans="5:10" s="1297" customFormat="1">
      <c r="E705" s="1297" t="s">
        <v>1042</v>
      </c>
      <c r="F705" s="1399"/>
      <c r="G705" s="1399"/>
      <c r="H705" s="1399">
        <v>22589.72</v>
      </c>
      <c r="I705" s="1399"/>
      <c r="J705" s="1399">
        <v>22589.72</v>
      </c>
    </row>
    <row r="706" spans="5:10" s="1297" customFormat="1">
      <c r="E706" s="1297" t="s">
        <v>1043</v>
      </c>
      <c r="F706" s="1399"/>
      <c r="G706" s="1399"/>
      <c r="H706" s="1399">
        <v>5640</v>
      </c>
      <c r="I706" s="1399"/>
      <c r="J706" s="1399">
        <v>5640</v>
      </c>
    </row>
    <row r="707" spans="5:10" s="1297" customFormat="1">
      <c r="E707" s="1297" t="s">
        <v>1044</v>
      </c>
      <c r="F707" s="1399">
        <v>7351</v>
      </c>
      <c r="G707" s="1399"/>
      <c r="H707" s="1399"/>
      <c r="I707" s="1399"/>
      <c r="J707" s="1399">
        <v>7351</v>
      </c>
    </row>
    <row r="708" spans="5:10" s="1297" customFormat="1">
      <c r="E708" s="1297" t="s">
        <v>1045</v>
      </c>
      <c r="F708" s="1399"/>
      <c r="G708" s="1399"/>
      <c r="H708" s="1399">
        <v>29329.79</v>
      </c>
      <c r="I708" s="1399"/>
      <c r="J708" s="1399">
        <v>29329.79</v>
      </c>
    </row>
    <row r="709" spans="5:10" s="1297" customFormat="1">
      <c r="E709" s="1297" t="s">
        <v>1046</v>
      </c>
      <c r="F709" s="1399"/>
      <c r="G709" s="1399"/>
      <c r="H709" s="1399"/>
      <c r="I709" s="1399">
        <v>3249064</v>
      </c>
      <c r="J709" s="1399">
        <v>3249064</v>
      </c>
    </row>
    <row r="710" spans="5:10" s="1297" customFormat="1">
      <c r="E710" s="1297" t="s">
        <v>1047</v>
      </c>
      <c r="F710" s="1399"/>
      <c r="G710" s="1399"/>
      <c r="H710" s="1399"/>
      <c r="I710" s="1399">
        <v>392754</v>
      </c>
      <c r="J710" s="1399">
        <v>392754</v>
      </c>
    </row>
    <row r="711" spans="5:10" s="1297" customFormat="1">
      <c r="E711" s="1297" t="s">
        <v>1048</v>
      </c>
      <c r="F711" s="1399"/>
      <c r="G711" s="1399"/>
      <c r="H711" s="1399"/>
      <c r="I711" s="1399">
        <v>-792848</v>
      </c>
      <c r="J711" s="1399">
        <v>-792848</v>
      </c>
    </row>
    <row r="712" spans="5:10" s="1297" customFormat="1">
      <c r="E712" s="1297" t="s">
        <v>932</v>
      </c>
      <c r="F712" s="1399"/>
      <c r="G712" s="1399"/>
      <c r="H712" s="1399"/>
      <c r="I712" s="1399">
        <v>177065</v>
      </c>
      <c r="J712" s="1399">
        <v>177065</v>
      </c>
    </row>
    <row r="713" spans="5:10" s="1297" customFormat="1">
      <c r="E713" s="359" t="s">
        <v>933</v>
      </c>
      <c r="F713" s="1411"/>
      <c r="G713" s="1411"/>
      <c r="H713" s="1411"/>
      <c r="I713" s="1411">
        <v>94435.74</v>
      </c>
      <c r="J713" s="1411">
        <v>94435.74</v>
      </c>
    </row>
    <row r="714" spans="5:10" s="1297" customFormat="1">
      <c r="E714" s="1297" t="s">
        <v>934</v>
      </c>
      <c r="F714" s="1399"/>
      <c r="G714" s="1399"/>
      <c r="H714" s="1399"/>
      <c r="I714" s="1399">
        <v>12498</v>
      </c>
      <c r="J714" s="1399">
        <v>12498</v>
      </c>
    </row>
    <row r="715" spans="5:10" s="1297" customFormat="1">
      <c r="E715" s="1297" t="s">
        <v>935</v>
      </c>
      <c r="F715" s="1399"/>
      <c r="G715" s="1399"/>
      <c r="H715" s="1399"/>
      <c r="I715" s="1399">
        <v>77651.33</v>
      </c>
      <c r="J715" s="1399">
        <v>77651.33</v>
      </c>
    </row>
    <row r="716" spans="5:10" s="1297" customFormat="1">
      <c r="E716" s="1297" t="s">
        <v>936</v>
      </c>
      <c r="F716" s="1399"/>
      <c r="G716" s="1399"/>
      <c r="H716" s="1399"/>
      <c r="I716" s="1399">
        <v>16457.080000000002</v>
      </c>
      <c r="J716" s="1399">
        <v>16457.080000000002</v>
      </c>
    </row>
    <row r="717" spans="5:10" s="1297" customFormat="1">
      <c r="E717" s="1297" t="s">
        <v>937</v>
      </c>
      <c r="F717" s="1399"/>
      <c r="G717" s="1399"/>
      <c r="H717" s="1399"/>
      <c r="I717" s="1399">
        <v>2890.36</v>
      </c>
      <c r="J717" s="1399">
        <v>2890.36</v>
      </c>
    </row>
    <row r="718" spans="5:10" s="1297" customFormat="1">
      <c r="E718" s="1297" t="s">
        <v>938</v>
      </c>
      <c r="F718" s="1399"/>
      <c r="G718" s="1399"/>
      <c r="H718" s="1399"/>
      <c r="I718" s="1399">
        <v>4679</v>
      </c>
      <c r="J718" s="1399">
        <v>4679</v>
      </c>
    </row>
    <row r="719" spans="5:10" s="1297" customFormat="1">
      <c r="E719" s="1297" t="s">
        <v>939</v>
      </c>
      <c r="F719" s="1399"/>
      <c r="G719" s="1399"/>
      <c r="H719" s="1399"/>
      <c r="I719" s="1399">
        <v>49506.619999999995</v>
      </c>
      <c r="J719" s="1399">
        <v>49506.619999999995</v>
      </c>
    </row>
    <row r="720" spans="5:10" s="1297" customFormat="1">
      <c r="E720" s="1297" t="s">
        <v>1131</v>
      </c>
      <c r="F720" s="1399">
        <v>31497.1</v>
      </c>
      <c r="G720" s="1399"/>
      <c r="H720" s="1399"/>
      <c r="I720" s="1399"/>
      <c r="J720" s="1399">
        <v>31497.1</v>
      </c>
    </row>
    <row r="721" spans="2:12">
      <c r="B721" s="1297"/>
      <c r="C721" s="1297"/>
      <c r="D721" s="1297"/>
      <c r="E721" s="1297" t="s">
        <v>940</v>
      </c>
      <c r="F721" s="1399">
        <v>234367.5</v>
      </c>
      <c r="J721" s="1399">
        <v>234367.5</v>
      </c>
    </row>
    <row r="722" spans="2:12">
      <c r="B722" s="1297"/>
      <c r="C722" s="1297"/>
      <c r="D722" s="1297"/>
      <c r="E722" s="1297" t="s">
        <v>941</v>
      </c>
      <c r="F722" s="1399">
        <v>107511.44</v>
      </c>
      <c r="J722" s="1399">
        <v>107511.44</v>
      </c>
    </row>
    <row r="723" spans="2:12">
      <c r="B723" s="1297"/>
      <c r="C723" s="1297"/>
      <c r="D723" s="1297"/>
      <c r="E723" s="1297" t="s">
        <v>943</v>
      </c>
      <c r="F723" s="1399">
        <v>0</v>
      </c>
      <c r="J723" s="1399">
        <v>0</v>
      </c>
    </row>
    <row r="724" spans="2:12">
      <c r="B724" s="1297"/>
      <c r="C724" s="1297"/>
      <c r="D724" s="1297"/>
      <c r="E724" s="1297" t="s">
        <v>944</v>
      </c>
      <c r="F724" s="1399">
        <v>810932.54</v>
      </c>
      <c r="J724" s="1399">
        <v>810932.54</v>
      </c>
    </row>
    <row r="725" spans="2:12">
      <c r="B725" s="1297"/>
      <c r="C725" s="1297"/>
      <c r="D725" s="1297"/>
      <c r="E725" s="1297" t="s">
        <v>945</v>
      </c>
      <c r="F725" s="1399">
        <v>441779.01999999996</v>
      </c>
      <c r="J725" s="1399">
        <v>441779.01999999996</v>
      </c>
    </row>
    <row r="726" spans="2:12">
      <c r="B726" s="1297"/>
      <c r="C726" s="1297"/>
      <c r="D726" s="1297"/>
      <c r="E726" s="1297" t="s">
        <v>947</v>
      </c>
      <c r="F726" s="1399">
        <v>30958.48</v>
      </c>
      <c r="J726" s="1399">
        <v>30958.48</v>
      </c>
    </row>
    <row r="727" spans="2:12">
      <c r="B727" s="1297"/>
      <c r="C727" s="1297"/>
      <c r="D727" s="1297"/>
      <c r="E727" s="1297" t="s">
        <v>1115</v>
      </c>
      <c r="F727" s="1399">
        <v>30.42</v>
      </c>
      <c r="J727" s="1399">
        <v>30.42</v>
      </c>
    </row>
    <row r="728" spans="2:12">
      <c r="B728" s="1297"/>
      <c r="C728" s="1297"/>
      <c r="D728" s="1297"/>
      <c r="E728" s="1404" t="s">
        <v>948</v>
      </c>
      <c r="F728" s="1405"/>
      <c r="G728" s="1405"/>
      <c r="H728" s="1405">
        <v>75595.459999999992</v>
      </c>
      <c r="I728" s="1405"/>
      <c r="J728" s="1405">
        <v>75595.459999999992</v>
      </c>
    </row>
    <row r="729" spans="2:12">
      <c r="B729" s="1297"/>
      <c r="C729" s="1297"/>
      <c r="D729" s="1297"/>
      <c r="E729" s="1297" t="s">
        <v>1118</v>
      </c>
      <c r="H729" s="1399">
        <v>352.64</v>
      </c>
      <c r="J729" s="1399">
        <v>352.64</v>
      </c>
    </row>
    <row r="730" spans="2:12">
      <c r="B730" s="1297"/>
      <c r="C730" s="1297"/>
      <c r="D730" s="1400" t="s">
        <v>1031</v>
      </c>
      <c r="E730" s="1400"/>
      <c r="F730" s="1401">
        <f>SUM(F699:F729)</f>
        <v>1664427.5</v>
      </c>
      <c r="G730" s="1401">
        <f>SUM(G699:G729)</f>
        <v>2578275.34</v>
      </c>
      <c r="H730" s="1401">
        <f>SUM(H699:H729)-H728</f>
        <v>69106.010000000009</v>
      </c>
      <c r="I730" s="1401">
        <f>SUM(I699:I729)</f>
        <v>3284153.1300000004</v>
      </c>
      <c r="J730" s="1401">
        <f>SUM(J699:J729)</f>
        <v>7671557.4400000004</v>
      </c>
      <c r="K730" s="1401">
        <f>SUM(F730:I730)</f>
        <v>7595961.9800000004</v>
      </c>
      <c r="L730" s="1408">
        <f>K730/C699</f>
        <v>12493.358519736843</v>
      </c>
    </row>
    <row r="731" spans="2:12">
      <c r="B731" s="1297" t="s">
        <v>1032</v>
      </c>
      <c r="C731" s="1297">
        <v>9099</v>
      </c>
      <c r="D731" s="1297" t="s">
        <v>1033</v>
      </c>
      <c r="E731" s="1297" t="s">
        <v>906</v>
      </c>
      <c r="G731" s="1399">
        <v>23899770.120000001</v>
      </c>
      <c r="J731" s="1399">
        <v>23899770.120000001</v>
      </c>
    </row>
    <row r="732" spans="2:12">
      <c r="B732" s="1297"/>
      <c r="C732" s="1297"/>
      <c r="D732" s="1297"/>
      <c r="E732" s="1297" t="s">
        <v>952</v>
      </c>
      <c r="G732" s="1399">
        <v>291133.52</v>
      </c>
      <c r="J732" s="1399">
        <v>291133.52</v>
      </c>
    </row>
    <row r="733" spans="2:12">
      <c r="B733" s="1297"/>
      <c r="C733" s="1297"/>
      <c r="D733" s="1297"/>
      <c r="E733" s="1297" t="s">
        <v>907</v>
      </c>
      <c r="G733" s="1399">
        <v>7916231.0099999998</v>
      </c>
      <c r="J733" s="1399">
        <v>7916231.0099999998</v>
      </c>
    </row>
    <row r="734" spans="2:12">
      <c r="B734" s="1297"/>
      <c r="C734" s="1297"/>
      <c r="D734" s="1297"/>
      <c r="E734" s="1297" t="s">
        <v>908</v>
      </c>
      <c r="G734" s="1399">
        <v>17123.68</v>
      </c>
      <c r="J734" s="1399">
        <v>17123.68</v>
      </c>
    </row>
    <row r="735" spans="2:12">
      <c r="B735" s="1297"/>
      <c r="C735" s="1297"/>
      <c r="D735" s="1297"/>
      <c r="E735" s="1297" t="s">
        <v>909</v>
      </c>
      <c r="H735" s="1399">
        <v>71733.14</v>
      </c>
      <c r="J735" s="1399">
        <v>71733.14</v>
      </c>
    </row>
    <row r="736" spans="2:12">
      <c r="B736" s="1297"/>
      <c r="C736" s="1297"/>
      <c r="D736" s="1297"/>
      <c r="E736" s="1297" t="s">
        <v>910</v>
      </c>
      <c r="H736" s="1399">
        <v>314863.61</v>
      </c>
      <c r="J736" s="1399">
        <v>314863.61</v>
      </c>
    </row>
    <row r="737" spans="5:10" s="1297" customFormat="1">
      <c r="E737" s="1297" t="s">
        <v>1034</v>
      </c>
      <c r="F737" s="1399"/>
      <c r="G737" s="1399"/>
      <c r="H737" s="1399">
        <v>128826.29999999999</v>
      </c>
      <c r="I737" s="1399"/>
      <c r="J737" s="1399">
        <v>128826.29999999999</v>
      </c>
    </row>
    <row r="738" spans="5:10" s="1297" customFormat="1">
      <c r="E738" s="1297" t="s">
        <v>1035</v>
      </c>
      <c r="F738" s="1399"/>
      <c r="G738" s="1399"/>
      <c r="H738" s="1399">
        <v>963133.89000000013</v>
      </c>
      <c r="I738" s="1399"/>
      <c r="J738" s="1399">
        <v>963133.89000000013</v>
      </c>
    </row>
    <row r="739" spans="5:10" s="1297" customFormat="1">
      <c r="E739" s="1297" t="s">
        <v>1036</v>
      </c>
      <c r="F739" s="1399"/>
      <c r="G739" s="1399"/>
      <c r="H739" s="1399">
        <v>306326.32</v>
      </c>
      <c r="I739" s="1399"/>
      <c r="J739" s="1399">
        <v>306326.32</v>
      </c>
    </row>
    <row r="740" spans="5:10" s="1297" customFormat="1">
      <c r="E740" s="1297" t="s">
        <v>1039</v>
      </c>
      <c r="F740" s="1399"/>
      <c r="G740" s="1399"/>
      <c r="H740" s="1399">
        <v>45148.279999999984</v>
      </c>
      <c r="I740" s="1399"/>
      <c r="J740" s="1399">
        <v>45148.279999999984</v>
      </c>
    </row>
    <row r="741" spans="5:10" s="1297" customFormat="1">
      <c r="E741" s="1297" t="s">
        <v>1040</v>
      </c>
      <c r="F741" s="1399"/>
      <c r="G741" s="1399"/>
      <c r="H741" s="1399">
        <v>879715.10999999987</v>
      </c>
      <c r="I741" s="1399"/>
      <c r="J741" s="1399">
        <v>879715.10999999987</v>
      </c>
    </row>
    <row r="742" spans="5:10" s="1297" customFormat="1">
      <c r="E742" s="1297" t="s">
        <v>1041</v>
      </c>
      <c r="F742" s="1399"/>
      <c r="G742" s="1399"/>
      <c r="H742" s="1399">
        <v>29321.559999999998</v>
      </c>
      <c r="I742" s="1399"/>
      <c r="J742" s="1399">
        <v>29321.559999999998</v>
      </c>
    </row>
    <row r="743" spans="5:10" s="1297" customFormat="1">
      <c r="E743" s="1297" t="s">
        <v>1042</v>
      </c>
      <c r="F743" s="1399"/>
      <c r="G743" s="1399"/>
      <c r="H743" s="1399">
        <v>79687.41</v>
      </c>
      <c r="I743" s="1399"/>
      <c r="J743" s="1399">
        <v>79687.41</v>
      </c>
    </row>
    <row r="744" spans="5:10" s="1297" customFormat="1">
      <c r="E744" s="1297" t="s">
        <v>985</v>
      </c>
      <c r="F744" s="1399"/>
      <c r="G744" s="1399"/>
      <c r="H744" s="1399">
        <v>373119</v>
      </c>
      <c r="I744" s="1399"/>
      <c r="J744" s="1399">
        <v>373119</v>
      </c>
    </row>
    <row r="745" spans="5:10" s="1297" customFormat="1">
      <c r="E745" s="1297" t="s">
        <v>986</v>
      </c>
      <c r="F745" s="1399"/>
      <c r="G745" s="1399"/>
      <c r="H745" s="1399">
        <v>17579.05</v>
      </c>
      <c r="I745" s="1399"/>
      <c r="J745" s="1399">
        <v>17579.05</v>
      </c>
    </row>
    <row r="746" spans="5:10" s="1297" customFormat="1">
      <c r="E746" s="1297" t="s">
        <v>1044</v>
      </c>
      <c r="F746" s="1399">
        <v>44565.97</v>
      </c>
      <c r="G746" s="1399"/>
      <c r="H746" s="1399"/>
      <c r="I746" s="1399"/>
      <c r="J746" s="1399">
        <v>44565.97</v>
      </c>
    </row>
    <row r="747" spans="5:10" s="1297" customFormat="1">
      <c r="E747" s="1297" t="s">
        <v>1045</v>
      </c>
      <c r="F747" s="1399"/>
      <c r="G747" s="1399"/>
      <c r="H747" s="1399">
        <v>309508.98</v>
      </c>
      <c r="I747" s="1399"/>
      <c r="J747" s="1399">
        <v>309508.98</v>
      </c>
    </row>
    <row r="748" spans="5:10" s="1297" customFormat="1">
      <c r="E748" s="1297" t="s">
        <v>1046</v>
      </c>
      <c r="F748" s="1399"/>
      <c r="G748" s="1399"/>
      <c r="H748" s="1399"/>
      <c r="I748" s="1399">
        <v>48927176</v>
      </c>
      <c r="J748" s="1399">
        <v>48927176</v>
      </c>
    </row>
    <row r="749" spans="5:10" s="1297" customFormat="1">
      <c r="E749" s="1297" t="s">
        <v>1128</v>
      </c>
      <c r="F749" s="1399"/>
      <c r="G749" s="1399"/>
      <c r="H749" s="1399"/>
      <c r="I749" s="1399">
        <v>3960987</v>
      </c>
      <c r="J749" s="1399">
        <v>3960987</v>
      </c>
    </row>
    <row r="750" spans="5:10" s="1297" customFormat="1">
      <c r="E750" s="1297" t="s">
        <v>1129</v>
      </c>
      <c r="F750" s="1399"/>
      <c r="G750" s="1399"/>
      <c r="H750" s="1399"/>
      <c r="I750" s="1399">
        <v>-6903385</v>
      </c>
      <c r="J750" s="1399">
        <v>-6903385</v>
      </c>
    </row>
    <row r="751" spans="5:10" s="1297" customFormat="1">
      <c r="E751" s="1297" t="s">
        <v>1047</v>
      </c>
      <c r="F751" s="1399"/>
      <c r="G751" s="1399"/>
      <c r="H751" s="1399"/>
      <c r="I751" s="1399">
        <v>1173435</v>
      </c>
      <c r="J751" s="1399">
        <v>1173435</v>
      </c>
    </row>
    <row r="752" spans="5:10" s="1297" customFormat="1">
      <c r="E752" s="1297" t="s">
        <v>1048</v>
      </c>
      <c r="F752" s="1399"/>
      <c r="G752" s="1399"/>
      <c r="H752" s="1399"/>
      <c r="I752" s="1399">
        <v>-8473261</v>
      </c>
      <c r="J752" s="1399">
        <v>-8473261</v>
      </c>
    </row>
    <row r="753" spans="5:10" s="1297" customFormat="1">
      <c r="E753" s="1297" t="s">
        <v>932</v>
      </c>
      <c r="F753" s="1399"/>
      <c r="G753" s="1399"/>
      <c r="H753" s="1399"/>
      <c r="I753" s="1399">
        <v>1693789</v>
      </c>
      <c r="J753" s="1399">
        <v>1693789</v>
      </c>
    </row>
    <row r="754" spans="5:10" s="1297" customFormat="1">
      <c r="E754" s="1404" t="s">
        <v>955</v>
      </c>
      <c r="F754" s="1405"/>
      <c r="G754" s="1405"/>
      <c r="H754" s="1405"/>
      <c r="I754" s="1405">
        <v>951671.52000000014</v>
      </c>
      <c r="J754" s="1405">
        <v>951671.52000000014</v>
      </c>
    </row>
    <row r="755" spans="5:10" s="1297" customFormat="1">
      <c r="E755" s="1297" t="s">
        <v>934</v>
      </c>
      <c r="F755" s="1399"/>
      <c r="G755" s="1399"/>
      <c r="H755" s="1399"/>
      <c r="I755" s="1399">
        <v>140096</v>
      </c>
      <c r="J755" s="1399">
        <v>140096</v>
      </c>
    </row>
    <row r="756" spans="5:10" s="1297" customFormat="1">
      <c r="E756" s="1297" t="s">
        <v>935</v>
      </c>
      <c r="F756" s="1399"/>
      <c r="G756" s="1399"/>
      <c r="H756" s="1399"/>
      <c r="I756" s="1399">
        <v>695873.0399999998</v>
      </c>
      <c r="J756" s="1399">
        <v>695873.0399999998</v>
      </c>
    </row>
    <row r="757" spans="5:10" s="1297" customFormat="1">
      <c r="E757" s="1297" t="s">
        <v>936</v>
      </c>
      <c r="F757" s="1399"/>
      <c r="G757" s="1399"/>
      <c r="H757" s="1399"/>
      <c r="I757" s="1399">
        <v>91739.44</v>
      </c>
      <c r="J757" s="1399">
        <v>91739.44</v>
      </c>
    </row>
    <row r="758" spans="5:10" s="1297" customFormat="1">
      <c r="E758" s="1297" t="s">
        <v>937</v>
      </c>
      <c r="F758" s="1399"/>
      <c r="G758" s="1399"/>
      <c r="H758" s="1399"/>
      <c r="I758" s="1399">
        <v>50621.47</v>
      </c>
      <c r="J758" s="1399">
        <v>50621.47</v>
      </c>
    </row>
    <row r="759" spans="5:10" s="1297" customFormat="1">
      <c r="E759" s="1297" t="s">
        <v>938</v>
      </c>
      <c r="F759" s="1399"/>
      <c r="G759" s="1399"/>
      <c r="H759" s="1399"/>
      <c r="I759" s="1399">
        <v>43982</v>
      </c>
      <c r="J759" s="1399">
        <v>43982</v>
      </c>
    </row>
    <row r="760" spans="5:10" s="1297" customFormat="1">
      <c r="E760" s="1297" t="s">
        <v>939</v>
      </c>
      <c r="F760" s="1399"/>
      <c r="G760" s="1399"/>
      <c r="H760" s="1399"/>
      <c r="I760" s="1399">
        <v>254204.64</v>
      </c>
      <c r="J760" s="1399">
        <v>254204.64</v>
      </c>
    </row>
    <row r="761" spans="5:10" s="1297" customFormat="1">
      <c r="E761" s="1297" t="s">
        <v>1131</v>
      </c>
      <c r="F761" s="1399">
        <v>88112.11</v>
      </c>
      <c r="G761" s="1399"/>
      <c r="H761" s="1399"/>
      <c r="I761" s="1399"/>
      <c r="J761" s="1399">
        <v>88112.11</v>
      </c>
    </row>
    <row r="762" spans="5:10" s="1297" customFormat="1">
      <c r="E762" s="1297" t="s">
        <v>940</v>
      </c>
      <c r="F762" s="1399">
        <v>1688181.76</v>
      </c>
      <c r="G762" s="1399"/>
      <c r="H762" s="1399"/>
      <c r="I762" s="1399"/>
      <c r="J762" s="1399">
        <v>1688181.76</v>
      </c>
    </row>
    <row r="763" spans="5:10" s="1297" customFormat="1">
      <c r="E763" s="1297" t="s">
        <v>941</v>
      </c>
      <c r="F763" s="1399">
        <v>709390.37999999989</v>
      </c>
      <c r="G763" s="1399"/>
      <c r="H763" s="1399"/>
      <c r="I763" s="1399"/>
      <c r="J763" s="1399">
        <v>709390.37999999989</v>
      </c>
    </row>
    <row r="764" spans="5:10" s="1297" customFormat="1">
      <c r="E764" s="1297" t="s">
        <v>943</v>
      </c>
      <c r="F764" s="1399">
        <v>13050.640000000003</v>
      </c>
      <c r="G764" s="1399"/>
      <c r="H764" s="1399"/>
      <c r="I764" s="1399"/>
      <c r="J764" s="1399">
        <v>13050.640000000003</v>
      </c>
    </row>
    <row r="765" spans="5:10" s="1297" customFormat="1">
      <c r="E765" s="1297" t="s">
        <v>944</v>
      </c>
      <c r="F765" s="1399">
        <v>3703853.6300000004</v>
      </c>
      <c r="G765" s="1399"/>
      <c r="H765" s="1399"/>
      <c r="I765" s="1399"/>
      <c r="J765" s="1399">
        <v>3703853.6300000004</v>
      </c>
    </row>
    <row r="766" spans="5:10" s="1297" customFormat="1">
      <c r="E766" s="1297" t="s">
        <v>945</v>
      </c>
      <c r="F766" s="1399">
        <v>4192425.91</v>
      </c>
      <c r="G766" s="1399"/>
      <c r="H766" s="1399"/>
      <c r="I766" s="1399"/>
      <c r="J766" s="1399">
        <v>4192425.91</v>
      </c>
    </row>
    <row r="767" spans="5:10" s="1297" customFormat="1">
      <c r="E767" s="1297" t="s">
        <v>1006</v>
      </c>
      <c r="F767" s="1399">
        <v>6584695.6999999993</v>
      </c>
      <c r="G767" s="1399"/>
      <c r="H767" s="1399"/>
      <c r="I767" s="1399"/>
      <c r="J767" s="1399">
        <v>6584695.6999999993</v>
      </c>
    </row>
    <row r="768" spans="5:10" s="1297" customFormat="1">
      <c r="E768" s="1297" t="s">
        <v>1199</v>
      </c>
      <c r="F768" s="1399">
        <v>6504</v>
      </c>
      <c r="G768" s="1399"/>
      <c r="H768" s="1399"/>
      <c r="I768" s="1399"/>
      <c r="J768" s="1399">
        <v>6504</v>
      </c>
    </row>
    <row r="769" spans="2:12">
      <c r="B769" s="1297"/>
      <c r="C769" s="1297"/>
      <c r="D769" s="1297"/>
      <c r="E769" s="1297" t="s">
        <v>947</v>
      </c>
      <c r="F769" s="1399">
        <v>275066.57</v>
      </c>
      <c r="J769" s="1399">
        <v>275066.57</v>
      </c>
    </row>
    <row r="770" spans="2:12">
      <c r="B770" s="1297"/>
      <c r="C770" s="1297"/>
      <c r="D770" s="1297"/>
      <c r="E770" s="1297" t="s">
        <v>1115</v>
      </c>
      <c r="F770" s="1399">
        <v>285369</v>
      </c>
      <c r="J770" s="1399">
        <v>285369</v>
      </c>
    </row>
    <row r="771" spans="2:12">
      <c r="B771" s="1297"/>
      <c r="C771" s="1297"/>
      <c r="D771" s="1297"/>
      <c r="E771" s="1404" t="s">
        <v>948</v>
      </c>
      <c r="F771" s="1405"/>
      <c r="G771" s="1405"/>
      <c r="H771" s="1405">
        <v>479246.73000000004</v>
      </c>
      <c r="I771" s="1405"/>
      <c r="J771" s="1405">
        <v>479246.73000000004</v>
      </c>
    </row>
    <row r="772" spans="2:12">
      <c r="B772" s="1297"/>
      <c r="C772" s="1297"/>
      <c r="D772" s="1400" t="s">
        <v>1200</v>
      </c>
      <c r="E772" s="1400"/>
      <c r="F772" s="1401">
        <f>SUM(F731:F771)</f>
        <v>17591215.670000002</v>
      </c>
      <c r="G772" s="1401">
        <f>SUM(G731:G771)</f>
        <v>32124258.329999998</v>
      </c>
      <c r="H772" s="1401">
        <f>SUM(H731:H771)-H771</f>
        <v>3518962.6500000004</v>
      </c>
      <c r="I772" s="1401">
        <f>SUM(I731:I771)-I754</f>
        <v>41655257.589999996</v>
      </c>
      <c r="J772" s="1401">
        <f>SUM(J731:J771)</f>
        <v>96320612.48999998</v>
      </c>
      <c r="K772" s="1401">
        <f>SUM(F772:I772)</f>
        <v>94889694.239999995</v>
      </c>
      <c r="L772" s="1408">
        <f>K772/C731</f>
        <v>10428.584925816023</v>
      </c>
    </row>
    <row r="773" spans="2:12">
      <c r="B773" s="1297" t="s">
        <v>1201</v>
      </c>
      <c r="C773" s="1297">
        <v>1916</v>
      </c>
      <c r="D773" s="1297" t="s">
        <v>1202</v>
      </c>
      <c r="E773" s="1297" t="s">
        <v>906</v>
      </c>
      <c r="G773" s="1399">
        <v>2906761.75</v>
      </c>
      <c r="J773" s="1399">
        <v>2906761.75</v>
      </c>
    </row>
    <row r="774" spans="2:12">
      <c r="B774" s="1297"/>
      <c r="C774" s="1297"/>
      <c r="D774" s="1297"/>
      <c r="E774" s="1297" t="s">
        <v>952</v>
      </c>
      <c r="G774" s="1399">
        <v>23960.52</v>
      </c>
      <c r="J774" s="1399">
        <v>23960.52</v>
      </c>
    </row>
    <row r="775" spans="2:12">
      <c r="B775" s="1297"/>
      <c r="C775" s="1297"/>
      <c r="D775" s="1297"/>
      <c r="E775" s="1297" t="s">
        <v>907</v>
      </c>
      <c r="G775" s="1399">
        <v>1271486.57</v>
      </c>
      <c r="J775" s="1399">
        <v>1271486.57</v>
      </c>
    </row>
    <row r="776" spans="2:12">
      <c r="B776" s="1297"/>
      <c r="C776" s="1297"/>
      <c r="D776" s="1297"/>
      <c r="E776" s="1297" t="s">
        <v>908</v>
      </c>
      <c r="G776" s="1399">
        <v>3903.03</v>
      </c>
      <c r="J776" s="1399">
        <v>3903.03</v>
      </c>
    </row>
    <row r="777" spans="2:12">
      <c r="B777" s="1297"/>
      <c r="C777" s="1297"/>
      <c r="D777" s="1297"/>
      <c r="E777" s="1297" t="s">
        <v>1122</v>
      </c>
      <c r="H777" s="1399">
        <v>-1495</v>
      </c>
      <c r="J777" s="1399">
        <v>-1495</v>
      </c>
    </row>
    <row r="778" spans="2:12">
      <c r="B778" s="1297"/>
      <c r="C778" s="1297"/>
      <c r="D778" s="1297"/>
      <c r="E778" s="1297" t="s">
        <v>909</v>
      </c>
      <c r="H778" s="1399">
        <v>44111.3</v>
      </c>
      <c r="J778" s="1399">
        <v>44111.3</v>
      </c>
    </row>
    <row r="779" spans="2:12">
      <c r="B779" s="1297"/>
      <c r="C779" s="1297"/>
      <c r="D779" s="1297"/>
      <c r="E779" s="1297" t="s">
        <v>910</v>
      </c>
      <c r="H779" s="1399">
        <v>50673.17</v>
      </c>
      <c r="J779" s="1399">
        <v>50673.17</v>
      </c>
    </row>
    <row r="780" spans="2:12">
      <c r="B780" s="1297"/>
      <c r="C780" s="1297"/>
      <c r="D780" s="1297"/>
      <c r="E780" s="1297" t="s">
        <v>1034</v>
      </c>
      <c r="H780" s="1399">
        <v>102796.63</v>
      </c>
      <c r="J780" s="1399">
        <v>102796.63</v>
      </c>
    </row>
    <row r="781" spans="2:12">
      <c r="B781" s="1297"/>
      <c r="C781" s="1297"/>
      <c r="D781" s="1297"/>
      <c r="E781" s="1297" t="s">
        <v>1035</v>
      </c>
      <c r="H781" s="1399">
        <v>251793.61</v>
      </c>
      <c r="J781" s="1399">
        <v>251793.61</v>
      </c>
    </row>
    <row r="782" spans="2:12">
      <c r="B782" s="1297"/>
      <c r="C782" s="1297"/>
      <c r="D782" s="1297"/>
      <c r="E782" s="1297" t="s">
        <v>1036</v>
      </c>
      <c r="H782" s="1399">
        <v>54754.42</v>
      </c>
      <c r="J782" s="1399">
        <v>54754.42</v>
      </c>
    </row>
    <row r="783" spans="2:12">
      <c r="B783" s="1297"/>
      <c r="C783" s="1297"/>
      <c r="D783" s="1297"/>
      <c r="E783" s="1297" t="s">
        <v>1003</v>
      </c>
      <c r="H783" s="1399">
        <v>21486.32</v>
      </c>
      <c r="J783" s="1399">
        <v>21486.32</v>
      </c>
    </row>
    <row r="784" spans="2:12">
      <c r="B784" s="1297"/>
      <c r="C784" s="1297"/>
      <c r="D784" s="1297"/>
      <c r="E784" s="1297" t="s">
        <v>1039</v>
      </c>
      <c r="H784" s="1399">
        <v>112490.55</v>
      </c>
      <c r="J784" s="1399">
        <v>112490.55</v>
      </c>
    </row>
    <row r="785" spans="5:10" s="1297" customFormat="1">
      <c r="E785" s="1297" t="s">
        <v>1040</v>
      </c>
      <c r="F785" s="1399"/>
      <c r="G785" s="1399"/>
      <c r="H785" s="1399">
        <v>112565.33000000002</v>
      </c>
      <c r="I785" s="1399"/>
      <c r="J785" s="1399">
        <v>112565.33000000002</v>
      </c>
    </row>
    <row r="786" spans="5:10" s="1297" customFormat="1">
      <c r="E786" s="1297" t="s">
        <v>1041</v>
      </c>
      <c r="F786" s="1399"/>
      <c r="G786" s="1399"/>
      <c r="H786" s="1399">
        <v>24092.25</v>
      </c>
      <c r="I786" s="1399"/>
      <c r="J786" s="1399">
        <v>24092.25</v>
      </c>
    </row>
    <row r="787" spans="5:10" s="1297" customFormat="1">
      <c r="E787" s="1297" t="s">
        <v>1042</v>
      </c>
      <c r="F787" s="1399"/>
      <c r="G787" s="1399"/>
      <c r="H787" s="1399">
        <v>19507.849999999999</v>
      </c>
      <c r="I787" s="1399"/>
      <c r="J787" s="1399">
        <v>19507.849999999999</v>
      </c>
    </row>
    <row r="788" spans="5:10" s="1297" customFormat="1">
      <c r="E788" s="1297" t="s">
        <v>953</v>
      </c>
      <c r="F788" s="1399"/>
      <c r="G788" s="1399"/>
      <c r="H788" s="1399">
        <v>32164.51</v>
      </c>
      <c r="I788" s="1399"/>
      <c r="J788" s="1399">
        <v>32164.51</v>
      </c>
    </row>
    <row r="789" spans="5:10" s="1297" customFormat="1">
      <c r="E789" s="1297" t="s">
        <v>985</v>
      </c>
      <c r="F789" s="1399"/>
      <c r="G789" s="1399"/>
      <c r="H789" s="1399">
        <v>49649.37</v>
      </c>
      <c r="I789" s="1399"/>
      <c r="J789" s="1399">
        <v>49649.37</v>
      </c>
    </row>
    <row r="790" spans="5:10" s="1297" customFormat="1">
      <c r="E790" s="1297" t="s">
        <v>1043</v>
      </c>
      <c r="F790" s="1399"/>
      <c r="G790" s="1399"/>
      <c r="H790" s="1399">
        <v>2400</v>
      </c>
      <c r="I790" s="1399"/>
      <c r="J790" s="1399">
        <v>2400</v>
      </c>
    </row>
    <row r="791" spans="5:10" s="1297" customFormat="1">
      <c r="E791" s="1297" t="s">
        <v>1203</v>
      </c>
      <c r="F791" s="1399"/>
      <c r="G791" s="1399"/>
      <c r="H791" s="1399">
        <v>1200</v>
      </c>
      <c r="I791" s="1399"/>
      <c r="J791" s="1399">
        <v>1200</v>
      </c>
    </row>
    <row r="792" spans="5:10" s="1297" customFormat="1">
      <c r="E792" s="1297" t="s">
        <v>1044</v>
      </c>
      <c r="F792" s="1399">
        <v>43950.18</v>
      </c>
      <c r="G792" s="1399"/>
      <c r="H792" s="1399"/>
      <c r="I792" s="1399"/>
      <c r="J792" s="1399">
        <v>43950.18</v>
      </c>
    </row>
    <row r="793" spans="5:10" s="1297" customFormat="1">
      <c r="E793" s="1297" t="s">
        <v>1045</v>
      </c>
      <c r="F793" s="1399"/>
      <c r="G793" s="1399"/>
      <c r="H793" s="1399">
        <v>216384.45</v>
      </c>
      <c r="I793" s="1399"/>
      <c r="J793" s="1399">
        <v>216384.45</v>
      </c>
    </row>
    <row r="794" spans="5:10" s="1297" customFormat="1">
      <c r="E794" s="1297" t="s">
        <v>1046</v>
      </c>
      <c r="F794" s="1399"/>
      <c r="G794" s="1399"/>
      <c r="H794" s="1399"/>
      <c r="I794" s="1399">
        <v>11095194</v>
      </c>
      <c r="J794" s="1399">
        <v>11095194</v>
      </c>
    </row>
    <row r="795" spans="5:10" s="1297" customFormat="1">
      <c r="E795" s="1297" t="s">
        <v>1129</v>
      </c>
      <c r="F795" s="1399"/>
      <c r="G795" s="1399"/>
      <c r="H795" s="1399"/>
      <c r="I795" s="1399">
        <v>-1391455</v>
      </c>
      <c r="J795" s="1399">
        <v>-1391455</v>
      </c>
    </row>
    <row r="796" spans="5:10" s="1297" customFormat="1">
      <c r="E796" s="1297" t="s">
        <v>1047</v>
      </c>
      <c r="F796" s="1399"/>
      <c r="G796" s="1399"/>
      <c r="H796" s="1399"/>
      <c r="I796" s="1399">
        <v>328587</v>
      </c>
      <c r="J796" s="1399">
        <v>328587</v>
      </c>
    </row>
    <row r="797" spans="5:10" s="1297" customFormat="1">
      <c r="E797" s="1297" t="s">
        <v>1048</v>
      </c>
      <c r="F797" s="1399"/>
      <c r="G797" s="1399"/>
      <c r="H797" s="1399"/>
      <c r="I797" s="1399">
        <v>-962507</v>
      </c>
      <c r="J797" s="1399">
        <v>-962507</v>
      </c>
    </row>
    <row r="798" spans="5:10" s="1297" customFormat="1">
      <c r="E798" s="1297" t="s">
        <v>932</v>
      </c>
      <c r="F798" s="1399"/>
      <c r="G798" s="1399"/>
      <c r="H798" s="1399"/>
      <c r="I798" s="1399">
        <v>1133383</v>
      </c>
      <c r="J798" s="1399">
        <v>1133383</v>
      </c>
    </row>
    <row r="799" spans="5:10" s="1297" customFormat="1">
      <c r="E799" s="1404" t="s">
        <v>955</v>
      </c>
      <c r="F799" s="1405"/>
      <c r="G799" s="1405"/>
      <c r="H799" s="1405"/>
      <c r="I799" s="1405">
        <v>702822.34</v>
      </c>
      <c r="J799" s="1405">
        <v>702822.34</v>
      </c>
    </row>
    <row r="800" spans="5:10" s="1297" customFormat="1">
      <c r="E800" s="1297" t="s">
        <v>934</v>
      </c>
      <c r="F800" s="1399"/>
      <c r="G800" s="1399"/>
      <c r="H800" s="1399"/>
      <c r="I800" s="1399">
        <v>31316</v>
      </c>
      <c r="J800" s="1399">
        <v>31316</v>
      </c>
    </row>
    <row r="801" spans="5:10" s="1297" customFormat="1">
      <c r="E801" s="1297" t="s">
        <v>1130</v>
      </c>
      <c r="F801" s="1399"/>
      <c r="G801" s="1399"/>
      <c r="H801" s="1399"/>
      <c r="I801" s="1399">
        <v>2388</v>
      </c>
      <c r="J801" s="1399">
        <v>2388</v>
      </c>
    </row>
    <row r="802" spans="5:10" s="1297" customFormat="1">
      <c r="E802" s="1297" t="s">
        <v>935</v>
      </c>
      <c r="F802" s="1399"/>
      <c r="G802" s="1399"/>
      <c r="H802" s="1399"/>
      <c r="I802" s="1399">
        <v>320984.76</v>
      </c>
      <c r="J802" s="1399">
        <v>320984.76</v>
      </c>
    </row>
    <row r="803" spans="5:10" s="1297" customFormat="1">
      <c r="E803" s="1297" t="s">
        <v>936</v>
      </c>
      <c r="F803" s="1399"/>
      <c r="G803" s="1399"/>
      <c r="H803" s="1399"/>
      <c r="I803" s="1399">
        <v>33964.6</v>
      </c>
      <c r="J803" s="1399">
        <v>33964.6</v>
      </c>
    </row>
    <row r="804" spans="5:10" s="1297" customFormat="1">
      <c r="E804" s="1297" t="s">
        <v>937</v>
      </c>
      <c r="F804" s="1399"/>
      <c r="G804" s="1399"/>
      <c r="H804" s="1399"/>
      <c r="I804" s="1399">
        <v>14113.58</v>
      </c>
      <c r="J804" s="1399">
        <v>14113.58</v>
      </c>
    </row>
    <row r="805" spans="5:10" s="1297" customFormat="1">
      <c r="E805" s="1297" t="s">
        <v>938</v>
      </c>
      <c r="F805" s="1399"/>
      <c r="G805" s="1399"/>
      <c r="H805" s="1399"/>
      <c r="I805" s="1399">
        <v>10481</v>
      </c>
      <c r="J805" s="1399">
        <v>10481</v>
      </c>
    </row>
    <row r="806" spans="5:10" s="1297" customFormat="1">
      <c r="E806" s="1297" t="s">
        <v>939</v>
      </c>
      <c r="F806" s="1399"/>
      <c r="G806" s="1399"/>
      <c r="H806" s="1399"/>
      <c r="I806" s="1399">
        <v>-5250</v>
      </c>
      <c r="J806" s="1399">
        <v>-5250</v>
      </c>
    </row>
    <row r="807" spans="5:10" s="1297" customFormat="1">
      <c r="E807" s="1297" t="s">
        <v>940</v>
      </c>
      <c r="F807" s="1399">
        <v>601122.98</v>
      </c>
      <c r="G807" s="1399"/>
      <c r="H807" s="1399"/>
      <c r="I807" s="1399"/>
      <c r="J807" s="1399">
        <v>601122.98</v>
      </c>
    </row>
    <row r="808" spans="5:10" s="1297" customFormat="1">
      <c r="E808" s="1297" t="s">
        <v>941</v>
      </c>
      <c r="F808" s="1399">
        <v>244068.36</v>
      </c>
      <c r="G808" s="1399"/>
      <c r="H808" s="1399"/>
      <c r="I808" s="1399"/>
      <c r="J808" s="1399">
        <v>244068.36</v>
      </c>
    </row>
    <row r="809" spans="5:10" s="1297" customFormat="1">
      <c r="E809" s="1297" t="s">
        <v>942</v>
      </c>
      <c r="F809" s="1399">
        <v>11359.27</v>
      </c>
      <c r="G809" s="1399"/>
      <c r="H809" s="1399"/>
      <c r="I809" s="1399"/>
      <c r="J809" s="1399">
        <v>11359.27</v>
      </c>
    </row>
    <row r="810" spans="5:10" s="1297" customFormat="1">
      <c r="E810" s="1297" t="s">
        <v>943</v>
      </c>
      <c r="F810" s="1399">
        <v>9830.9</v>
      </c>
      <c r="G810" s="1399"/>
      <c r="H810" s="1399"/>
      <c r="I810" s="1399"/>
      <c r="J810" s="1399">
        <v>9830.9</v>
      </c>
    </row>
    <row r="811" spans="5:10" s="1297" customFormat="1">
      <c r="E811" s="1297" t="s">
        <v>944</v>
      </c>
      <c r="F811" s="1399">
        <v>2075826.4400000002</v>
      </c>
      <c r="G811" s="1399"/>
      <c r="H811" s="1399"/>
      <c r="I811" s="1399"/>
      <c r="J811" s="1399">
        <v>2075826.4400000002</v>
      </c>
    </row>
    <row r="812" spans="5:10" s="1297" customFormat="1">
      <c r="E812" s="1297" t="s">
        <v>945</v>
      </c>
      <c r="F812" s="1399">
        <v>856783.39999999991</v>
      </c>
      <c r="G812" s="1399"/>
      <c r="H812" s="1399"/>
      <c r="I812" s="1399"/>
      <c r="J812" s="1399">
        <v>856783.39999999991</v>
      </c>
    </row>
    <row r="813" spans="5:10" s="1297" customFormat="1">
      <c r="E813" s="1297" t="s">
        <v>946</v>
      </c>
      <c r="F813" s="1399">
        <v>22040.32</v>
      </c>
      <c r="G813" s="1399"/>
      <c r="H813" s="1399"/>
      <c r="I813" s="1399"/>
      <c r="J813" s="1399">
        <v>22040.32</v>
      </c>
    </row>
    <row r="814" spans="5:10" s="1297" customFormat="1">
      <c r="E814" s="1297" t="s">
        <v>947</v>
      </c>
      <c r="F814" s="1399">
        <v>61251.82</v>
      </c>
      <c r="G814" s="1399"/>
      <c r="H814" s="1399"/>
      <c r="I814" s="1399"/>
      <c r="J814" s="1399">
        <v>61251.82</v>
      </c>
    </row>
    <row r="815" spans="5:10" s="1297" customFormat="1">
      <c r="E815" s="1297" t="s">
        <v>1115</v>
      </c>
      <c r="F815" s="1399">
        <v>60030.22</v>
      </c>
      <c r="G815" s="1399"/>
      <c r="H815" s="1399"/>
      <c r="I815" s="1399"/>
      <c r="J815" s="1399">
        <v>60030.22</v>
      </c>
    </row>
    <row r="816" spans="5:10" s="1297" customFormat="1">
      <c r="E816" s="1404" t="s">
        <v>1116</v>
      </c>
      <c r="F816" s="1405"/>
      <c r="G816" s="1405"/>
      <c r="H816" s="1405">
        <v>17625000</v>
      </c>
      <c r="I816" s="1405"/>
      <c r="J816" s="1405">
        <v>17625000</v>
      </c>
    </row>
    <row r="817" spans="2:12">
      <c r="B817" s="1297"/>
      <c r="C817" s="1297"/>
      <c r="D817" s="1297"/>
      <c r="E817" s="1404" t="s">
        <v>948</v>
      </c>
      <c r="F817" s="1405"/>
      <c r="G817" s="1405"/>
      <c r="H817" s="1405">
        <v>1519631.56</v>
      </c>
      <c r="I817" s="1405"/>
      <c r="J817" s="1405">
        <v>1519631.56</v>
      </c>
    </row>
    <row r="818" spans="2:12">
      <c r="B818" s="1297"/>
      <c r="C818" s="1297"/>
      <c r="D818" s="1400" t="s">
        <v>1204</v>
      </c>
      <c r="E818" s="1400"/>
      <c r="F818" s="1401">
        <f>SUM(F773:F817)</f>
        <v>3986263.89</v>
      </c>
      <c r="G818" s="1401">
        <f>SUM(G773:G817)</f>
        <v>4206111.87</v>
      </c>
      <c r="H818" s="1401">
        <f>SUM(H773:H817)-(H816+H817)</f>
        <v>1094574.7600000016</v>
      </c>
      <c r="I818" s="1401">
        <f>SUM(I773:I817)-I799</f>
        <v>10611199.939999999</v>
      </c>
      <c r="J818" s="1401">
        <f>SUM(J773:J817)</f>
        <v>39745604.359999999</v>
      </c>
      <c r="K818" s="1401">
        <f>SUM(F818:I818)</f>
        <v>19898150.460000001</v>
      </c>
      <c r="L818" s="1408">
        <f>K818/C773</f>
        <v>10385.255981210856</v>
      </c>
    </row>
    <row r="819" spans="2:12">
      <c r="B819" s="1297" t="s">
        <v>1205</v>
      </c>
      <c r="C819" s="1297">
        <v>13922</v>
      </c>
      <c r="D819" s="1297" t="s">
        <v>1206</v>
      </c>
      <c r="E819" s="1297" t="s">
        <v>906</v>
      </c>
      <c r="G819" s="1399">
        <v>32845079.120000001</v>
      </c>
      <c r="J819" s="1399">
        <v>32845079.120000001</v>
      </c>
    </row>
    <row r="820" spans="2:12">
      <c r="B820" s="1297"/>
      <c r="C820" s="1297"/>
      <c r="D820" s="1297"/>
      <c r="E820" s="1297" t="s">
        <v>952</v>
      </c>
      <c r="G820" s="1399">
        <v>523860.52</v>
      </c>
      <c r="J820" s="1399">
        <v>523860.52</v>
      </c>
    </row>
    <row r="821" spans="2:12">
      <c r="B821" s="1297"/>
      <c r="C821" s="1297"/>
      <c r="D821" s="1297"/>
      <c r="E821" s="1297" t="s">
        <v>907</v>
      </c>
      <c r="G821" s="1399">
        <v>11171892.220000001</v>
      </c>
      <c r="J821" s="1399">
        <v>11171892.220000001</v>
      </c>
    </row>
    <row r="822" spans="2:12">
      <c r="B822" s="1297"/>
      <c r="C822" s="1297"/>
      <c r="D822" s="1297"/>
      <c r="E822" s="1297" t="s">
        <v>908</v>
      </c>
      <c r="G822" s="1399">
        <v>31670.799999999999</v>
      </c>
      <c r="J822" s="1399">
        <v>31670.799999999999</v>
      </c>
    </row>
    <row r="823" spans="2:12">
      <c r="B823" s="1297"/>
      <c r="C823" s="1297"/>
      <c r="D823" s="1297"/>
      <c r="E823" s="1297" t="s">
        <v>909</v>
      </c>
      <c r="H823" s="1399">
        <v>301083.02</v>
      </c>
      <c r="J823" s="1399">
        <v>301083.02</v>
      </c>
    </row>
    <row r="824" spans="2:12">
      <c r="B824" s="1297"/>
      <c r="C824" s="1297"/>
      <c r="D824" s="1297"/>
      <c r="E824" s="1297" t="s">
        <v>910</v>
      </c>
      <c r="H824" s="1399">
        <v>285554.32000000007</v>
      </c>
      <c r="J824" s="1399">
        <v>285554.32000000007</v>
      </c>
    </row>
    <row r="825" spans="2:12">
      <c r="B825" s="1297"/>
      <c r="C825" s="1297"/>
      <c r="D825" s="1297"/>
      <c r="E825" s="1297" t="s">
        <v>1034</v>
      </c>
      <c r="H825" s="1399">
        <v>301813.47000000003</v>
      </c>
      <c r="J825" s="1399">
        <v>301813.47000000003</v>
      </c>
    </row>
    <row r="826" spans="2:12">
      <c r="B826" s="1297"/>
      <c r="C826" s="1297"/>
      <c r="D826" s="1297"/>
      <c r="E826" s="1297" t="s">
        <v>1035</v>
      </c>
      <c r="H826" s="1399">
        <v>1671953.53</v>
      </c>
      <c r="J826" s="1399">
        <v>1671953.53</v>
      </c>
    </row>
    <row r="827" spans="2:12">
      <c r="B827" s="1297"/>
      <c r="C827" s="1297"/>
      <c r="D827" s="1297"/>
      <c r="E827" s="1297" t="s">
        <v>1036</v>
      </c>
      <c r="H827" s="1399">
        <v>372660.37</v>
      </c>
      <c r="J827" s="1399">
        <v>372660.37</v>
      </c>
    </row>
    <row r="828" spans="2:12">
      <c r="B828" s="1297"/>
      <c r="C828" s="1297"/>
      <c r="D828" s="1297"/>
      <c r="E828" s="1297" t="s">
        <v>1037</v>
      </c>
      <c r="H828" s="1399">
        <v>9380</v>
      </c>
      <c r="J828" s="1399">
        <v>9380</v>
      </c>
    </row>
    <row r="829" spans="2:12">
      <c r="B829" s="1297"/>
      <c r="C829" s="1297"/>
      <c r="D829" s="1297"/>
      <c r="E829" s="1297" t="s">
        <v>1038</v>
      </c>
      <c r="H829" s="1399">
        <v>14115</v>
      </c>
      <c r="J829" s="1399">
        <v>14115</v>
      </c>
    </row>
    <row r="830" spans="2:12">
      <c r="B830" s="1297"/>
      <c r="C830" s="1297"/>
      <c r="D830" s="1297"/>
      <c r="E830" s="1297" t="s">
        <v>1039</v>
      </c>
      <c r="H830" s="1399">
        <v>74501.22</v>
      </c>
      <c r="J830" s="1399">
        <v>74501.22</v>
      </c>
    </row>
    <row r="831" spans="2:12">
      <c r="B831" s="1297"/>
      <c r="C831" s="1297"/>
      <c r="D831" s="1297"/>
      <c r="E831" s="1297" t="s">
        <v>1040</v>
      </c>
      <c r="H831" s="1399">
        <v>1363462.1199999996</v>
      </c>
      <c r="J831" s="1399">
        <v>1363462.1199999996</v>
      </c>
    </row>
    <row r="832" spans="2:12">
      <c r="B832" s="1297"/>
      <c r="C832" s="1297"/>
      <c r="D832" s="1297"/>
      <c r="E832" s="1297" t="s">
        <v>1207</v>
      </c>
      <c r="H832" s="1399">
        <v>2263</v>
      </c>
      <c r="J832" s="1399">
        <v>2263</v>
      </c>
    </row>
    <row r="833" spans="5:10" s="1297" customFormat="1">
      <c r="E833" s="1297" t="s">
        <v>1041</v>
      </c>
      <c r="F833" s="1399"/>
      <c r="G833" s="1399"/>
      <c r="H833" s="1399">
        <v>67396.73000000001</v>
      </c>
      <c r="I833" s="1399"/>
      <c r="J833" s="1399">
        <v>67396.73000000001</v>
      </c>
    </row>
    <row r="834" spans="5:10" s="1297" customFormat="1">
      <c r="E834" s="1297" t="s">
        <v>1042</v>
      </c>
      <c r="F834" s="1399"/>
      <c r="G834" s="1399"/>
      <c r="H834" s="1399">
        <v>189474.06</v>
      </c>
      <c r="I834" s="1399"/>
      <c r="J834" s="1399">
        <v>189474.06</v>
      </c>
    </row>
    <row r="835" spans="5:10" s="1297" customFormat="1">
      <c r="E835" s="1297" t="s">
        <v>1043</v>
      </c>
      <c r="F835" s="1399"/>
      <c r="G835" s="1399"/>
      <c r="H835" s="1399">
        <v>105</v>
      </c>
      <c r="I835" s="1399"/>
      <c r="J835" s="1399">
        <v>105</v>
      </c>
    </row>
    <row r="836" spans="5:10" s="1297" customFormat="1">
      <c r="E836" s="1297" t="s">
        <v>986</v>
      </c>
      <c r="F836" s="1399"/>
      <c r="G836" s="1399"/>
      <c r="H836" s="1399">
        <v>412002.6</v>
      </c>
      <c r="I836" s="1399"/>
      <c r="J836" s="1399">
        <v>412002.6</v>
      </c>
    </row>
    <row r="837" spans="5:10" s="1297" customFormat="1">
      <c r="E837" s="1297" t="s">
        <v>1203</v>
      </c>
      <c r="F837" s="1399"/>
      <c r="G837" s="1399"/>
      <c r="H837" s="1399">
        <v>-122330</v>
      </c>
      <c r="I837" s="1399"/>
      <c r="J837" s="1399">
        <v>-122330</v>
      </c>
    </row>
    <row r="838" spans="5:10" s="1297" customFormat="1">
      <c r="E838" s="1297" t="s">
        <v>1045</v>
      </c>
      <c r="F838" s="1399"/>
      <c r="G838" s="1399"/>
      <c r="H838" s="1399">
        <v>1184836.2100000002</v>
      </c>
      <c r="I838" s="1399"/>
      <c r="J838" s="1399">
        <v>1184836.2100000002</v>
      </c>
    </row>
    <row r="839" spans="5:10" s="1297" customFormat="1">
      <c r="E839" s="1297" t="s">
        <v>1046</v>
      </c>
      <c r="F839" s="1399"/>
      <c r="G839" s="1399"/>
      <c r="H839" s="1399"/>
      <c r="I839" s="1399">
        <v>71791858</v>
      </c>
      <c r="J839" s="1399">
        <v>71791858</v>
      </c>
    </row>
    <row r="840" spans="5:10" s="1297" customFormat="1">
      <c r="E840" s="1297" t="s">
        <v>1128</v>
      </c>
      <c r="F840" s="1399"/>
      <c r="G840" s="1399"/>
      <c r="H840" s="1399"/>
      <c r="I840" s="1399">
        <v>6080322</v>
      </c>
      <c r="J840" s="1399">
        <v>6080322</v>
      </c>
    </row>
    <row r="841" spans="5:10" s="1297" customFormat="1">
      <c r="E841" s="1297" t="s">
        <v>1129</v>
      </c>
      <c r="F841" s="1399"/>
      <c r="G841" s="1399"/>
      <c r="H841" s="1399"/>
      <c r="I841" s="1399">
        <v>-10177310</v>
      </c>
      <c r="J841" s="1399">
        <v>-10177310</v>
      </c>
    </row>
    <row r="842" spans="5:10" s="1297" customFormat="1">
      <c r="E842" s="1297" t="s">
        <v>1047</v>
      </c>
      <c r="F842" s="1399"/>
      <c r="G842" s="1399"/>
      <c r="H842" s="1399"/>
      <c r="I842" s="1399">
        <v>1801221</v>
      </c>
      <c r="J842" s="1399">
        <v>1801221</v>
      </c>
    </row>
    <row r="843" spans="5:10" s="1297" customFormat="1">
      <c r="E843" s="1297" t="s">
        <v>1048</v>
      </c>
      <c r="F843" s="1399"/>
      <c r="G843" s="1399"/>
      <c r="H843" s="1399"/>
      <c r="I843" s="1399">
        <v>-9306628</v>
      </c>
      <c r="J843" s="1399">
        <v>-9306628</v>
      </c>
    </row>
    <row r="844" spans="5:10" s="1297" customFormat="1">
      <c r="E844" s="1297" t="s">
        <v>932</v>
      </c>
      <c r="F844" s="1399"/>
      <c r="G844" s="1399"/>
      <c r="H844" s="1399"/>
      <c r="I844" s="1399">
        <v>10779283</v>
      </c>
      <c r="J844" s="1399">
        <v>10779283</v>
      </c>
    </row>
    <row r="845" spans="5:10" s="1297" customFormat="1">
      <c r="E845" s="1404" t="s">
        <v>955</v>
      </c>
      <c r="F845" s="1405"/>
      <c r="G845" s="1405"/>
      <c r="H845" s="1405"/>
      <c r="I845" s="1405">
        <v>2224807.73</v>
      </c>
      <c r="J845" s="1405">
        <v>2224807.73</v>
      </c>
    </row>
    <row r="846" spans="5:10" s="1297" customFormat="1">
      <c r="E846" s="1297" t="s">
        <v>934</v>
      </c>
      <c r="F846" s="1399"/>
      <c r="G846" s="1399"/>
      <c r="H846" s="1399"/>
      <c r="I846" s="1399">
        <v>236078</v>
      </c>
      <c r="J846" s="1399">
        <v>236078</v>
      </c>
    </row>
    <row r="847" spans="5:10" s="1297" customFormat="1">
      <c r="E847" s="1297" t="s">
        <v>1130</v>
      </c>
      <c r="F847" s="1399"/>
      <c r="G847" s="1399"/>
      <c r="H847" s="1399"/>
      <c r="I847" s="1399">
        <v>7283893.0899999999</v>
      </c>
      <c r="J847" s="1399">
        <v>7283893.0899999999</v>
      </c>
    </row>
    <row r="848" spans="5:10" s="1297" customFormat="1">
      <c r="E848" s="1297" t="s">
        <v>935</v>
      </c>
      <c r="F848" s="1399"/>
      <c r="G848" s="1399"/>
      <c r="H848" s="1399"/>
      <c r="I848" s="1399">
        <v>1497451.76</v>
      </c>
      <c r="J848" s="1399">
        <v>1497451.76</v>
      </c>
    </row>
    <row r="849" spans="5:10" s="1297" customFormat="1">
      <c r="E849" s="1297" t="s">
        <v>936</v>
      </c>
      <c r="F849" s="1399"/>
      <c r="G849" s="1399"/>
      <c r="H849" s="1399"/>
      <c r="I849" s="1399">
        <v>234250.71</v>
      </c>
      <c r="J849" s="1399">
        <v>234250.71</v>
      </c>
    </row>
    <row r="850" spans="5:10" s="1297" customFormat="1">
      <c r="E850" s="1297" t="s">
        <v>937</v>
      </c>
      <c r="F850" s="1399"/>
      <c r="G850" s="1399"/>
      <c r="H850" s="1399"/>
      <c r="I850" s="1399">
        <v>40267.410000000003</v>
      </c>
      <c r="J850" s="1399">
        <v>40267.410000000003</v>
      </c>
    </row>
    <row r="851" spans="5:10" s="1297" customFormat="1">
      <c r="E851" s="1297" t="s">
        <v>938</v>
      </c>
      <c r="F851" s="1399"/>
      <c r="G851" s="1399"/>
      <c r="H851" s="1399"/>
      <c r="I851" s="1399">
        <v>84970</v>
      </c>
      <c r="J851" s="1399">
        <v>84970</v>
      </c>
    </row>
    <row r="852" spans="5:10" s="1297" customFormat="1">
      <c r="E852" s="1297" t="s">
        <v>939</v>
      </c>
      <c r="F852" s="1399"/>
      <c r="G852" s="1399"/>
      <c r="H852" s="1399"/>
      <c r="I852" s="1399">
        <v>42250</v>
      </c>
      <c r="J852" s="1399">
        <v>42250</v>
      </c>
    </row>
    <row r="853" spans="5:10" s="1297" customFormat="1">
      <c r="E853" s="1297" t="s">
        <v>940</v>
      </c>
      <c r="F853" s="1399">
        <v>3804283.2399999998</v>
      </c>
      <c r="G853" s="1399"/>
      <c r="H853" s="1399"/>
      <c r="I853" s="1399"/>
      <c r="J853" s="1399">
        <v>3804283.2399999998</v>
      </c>
    </row>
    <row r="854" spans="5:10" s="1297" customFormat="1">
      <c r="E854" s="1297" t="s">
        <v>941</v>
      </c>
      <c r="F854" s="1399">
        <v>1322251.9800000002</v>
      </c>
      <c r="G854" s="1399"/>
      <c r="H854" s="1399"/>
      <c r="I854" s="1399"/>
      <c r="J854" s="1399">
        <v>1322251.9800000002</v>
      </c>
    </row>
    <row r="855" spans="5:10" s="1297" customFormat="1">
      <c r="E855" s="1297" t="s">
        <v>943</v>
      </c>
      <c r="F855" s="1399">
        <v>65202.090000000011</v>
      </c>
      <c r="G855" s="1399"/>
      <c r="H855" s="1399"/>
      <c r="I855" s="1399"/>
      <c r="J855" s="1399">
        <v>65202.090000000011</v>
      </c>
    </row>
    <row r="856" spans="5:10" s="1297" customFormat="1">
      <c r="E856" s="1297" t="s">
        <v>944</v>
      </c>
      <c r="F856" s="1399">
        <v>6628780.3599999994</v>
      </c>
      <c r="G856" s="1399"/>
      <c r="H856" s="1399"/>
      <c r="I856" s="1399"/>
      <c r="J856" s="1399">
        <v>6628780.3599999994</v>
      </c>
    </row>
    <row r="857" spans="5:10" s="1297" customFormat="1">
      <c r="E857" s="1297" t="s">
        <v>945</v>
      </c>
      <c r="F857" s="1399">
        <v>6398019.1799999997</v>
      </c>
      <c r="G857" s="1399"/>
      <c r="H857" s="1399"/>
      <c r="I857" s="1399"/>
      <c r="J857" s="1399">
        <v>6398019.1799999997</v>
      </c>
    </row>
    <row r="858" spans="5:10" s="1297" customFormat="1">
      <c r="E858" s="1297" t="s">
        <v>946</v>
      </c>
      <c r="F858" s="1399">
        <v>18814.349999999999</v>
      </c>
      <c r="G858" s="1399"/>
      <c r="H858" s="1399"/>
      <c r="I858" s="1399"/>
      <c r="J858" s="1399">
        <v>18814.349999999999</v>
      </c>
    </row>
    <row r="859" spans="5:10" s="1297" customFormat="1">
      <c r="E859" s="1297" t="s">
        <v>947</v>
      </c>
      <c r="F859" s="1399">
        <v>529910.45999999985</v>
      </c>
      <c r="G859" s="1399"/>
      <c r="H859" s="1399"/>
      <c r="I859" s="1399"/>
      <c r="J859" s="1399">
        <v>529910.45999999985</v>
      </c>
    </row>
    <row r="860" spans="5:10" s="1297" customFormat="1">
      <c r="E860" s="1297" t="s">
        <v>1115</v>
      </c>
      <c r="F860" s="1399">
        <v>66830.929999999993</v>
      </c>
      <c r="G860" s="1399"/>
      <c r="H860" s="1399"/>
      <c r="I860" s="1399"/>
      <c r="J860" s="1399">
        <v>66830.929999999993</v>
      </c>
    </row>
    <row r="861" spans="5:10" s="1297" customFormat="1">
      <c r="E861" s="1404" t="s">
        <v>1116</v>
      </c>
      <c r="F861" s="1405"/>
      <c r="G861" s="1405"/>
      <c r="H861" s="1405">
        <v>71245000</v>
      </c>
      <c r="I861" s="1405"/>
      <c r="J861" s="1405">
        <v>71245000</v>
      </c>
    </row>
    <row r="862" spans="5:10" s="1297" customFormat="1">
      <c r="E862" s="1404" t="s">
        <v>1117</v>
      </c>
      <c r="F862" s="1405"/>
      <c r="G862" s="1405"/>
      <c r="H862" s="1405">
        <v>10301203.550000001</v>
      </c>
      <c r="I862" s="1405"/>
      <c r="J862" s="1405">
        <v>10301203.550000001</v>
      </c>
    </row>
    <row r="863" spans="5:10" s="1297" customFormat="1">
      <c r="E863" s="1404" t="s">
        <v>948</v>
      </c>
      <c r="F863" s="1405"/>
      <c r="G863" s="1405"/>
      <c r="H863" s="1405">
        <v>10948332.08</v>
      </c>
      <c r="I863" s="1405"/>
      <c r="J863" s="1405">
        <v>10948332.08</v>
      </c>
    </row>
    <row r="864" spans="5:10" s="1297" customFormat="1">
      <c r="E864" s="1297" t="s">
        <v>956</v>
      </c>
      <c r="F864" s="1399"/>
      <c r="G864" s="1399"/>
      <c r="H864" s="1399">
        <v>1</v>
      </c>
      <c r="I864" s="1399"/>
      <c r="J864" s="1399">
        <v>1</v>
      </c>
    </row>
    <row r="865" spans="2:12">
      <c r="B865" s="1297"/>
      <c r="C865" s="1297"/>
      <c r="D865" s="1297"/>
      <c r="E865" s="1297" t="s">
        <v>1118</v>
      </c>
      <c r="H865" s="1399">
        <v>-448506.5</v>
      </c>
      <c r="J865" s="1399">
        <v>-448506.5</v>
      </c>
    </row>
    <row r="866" spans="2:12">
      <c r="B866" s="1297"/>
      <c r="C866" s="1297"/>
      <c r="D866" s="1400" t="s">
        <v>1208</v>
      </c>
      <c r="E866" s="1400"/>
      <c r="F866" s="1401">
        <f>SUM(F819:F865)</f>
        <v>18834092.59</v>
      </c>
      <c r="G866" s="1401">
        <f>SUM(G819:G865)</f>
        <v>44572502.659999996</v>
      </c>
      <c r="H866" s="1401">
        <f>SUM(H819:H865)-(H861+H862+H863)</f>
        <v>5679765.150000006</v>
      </c>
      <c r="I866" s="1401">
        <f>SUM(I819:I865)-I845</f>
        <v>80387906.969999999</v>
      </c>
      <c r="J866" s="1401">
        <f>SUM(J819:J865)</f>
        <v>244193610.73000005</v>
      </c>
      <c r="K866" s="1401">
        <f>SUM(F866:I866)</f>
        <v>149474267.37</v>
      </c>
      <c r="L866" s="1408">
        <f>K866/C819</f>
        <v>10736.551312311451</v>
      </c>
    </row>
    <row r="867" spans="2:12">
      <c r="B867" s="1297" t="s">
        <v>1209</v>
      </c>
      <c r="C867" s="1297">
        <v>10672</v>
      </c>
      <c r="D867" s="1297" t="s">
        <v>1210</v>
      </c>
      <c r="E867" s="1297" t="s">
        <v>906</v>
      </c>
      <c r="G867" s="1399">
        <v>25594595.850000001</v>
      </c>
      <c r="J867" s="1399">
        <v>25594595.850000001</v>
      </c>
    </row>
    <row r="868" spans="2:12">
      <c r="B868" s="1297"/>
      <c r="C868" s="1297"/>
      <c r="D868" s="1297"/>
      <c r="E868" s="1297" t="s">
        <v>952</v>
      </c>
      <c r="G868" s="1399">
        <v>472637.93</v>
      </c>
      <c r="J868" s="1399">
        <v>472637.93</v>
      </c>
    </row>
    <row r="869" spans="2:12">
      <c r="B869" s="1297"/>
      <c r="C869" s="1297"/>
      <c r="D869" s="1297"/>
      <c r="E869" s="1297" t="s">
        <v>907</v>
      </c>
      <c r="G869" s="1399">
        <v>8274321.4199999999</v>
      </c>
      <c r="J869" s="1399">
        <v>8274321.4199999999</v>
      </c>
    </row>
    <row r="870" spans="2:12">
      <c r="B870" s="1297"/>
      <c r="C870" s="1297"/>
      <c r="D870" s="1297"/>
      <c r="E870" s="1297" t="s">
        <v>908</v>
      </c>
      <c r="G870" s="1399">
        <v>1026925.47</v>
      </c>
      <c r="J870" s="1399">
        <v>1026925.47</v>
      </c>
    </row>
    <row r="871" spans="2:12">
      <c r="B871" s="1297"/>
      <c r="C871" s="1297"/>
      <c r="D871" s="1297"/>
      <c r="E871" s="1297" t="s">
        <v>909</v>
      </c>
      <c r="H871" s="1399">
        <v>23070.42</v>
      </c>
      <c r="J871" s="1399">
        <v>23070.42</v>
      </c>
    </row>
    <row r="872" spans="2:12">
      <c r="B872" s="1297"/>
      <c r="C872" s="1297"/>
      <c r="D872" s="1297"/>
      <c r="E872" s="1297" t="s">
        <v>910</v>
      </c>
      <c r="H872" s="1399">
        <v>518579.38</v>
      </c>
      <c r="J872" s="1399">
        <v>518579.38</v>
      </c>
    </row>
    <row r="873" spans="2:12">
      <c r="B873" s="1297"/>
      <c r="C873" s="1297"/>
      <c r="D873" s="1297"/>
      <c r="E873" s="1297" t="s">
        <v>1034</v>
      </c>
      <c r="H873" s="1399">
        <v>344190.12</v>
      </c>
      <c r="J873" s="1399">
        <v>344190.12</v>
      </c>
    </row>
    <row r="874" spans="2:12">
      <c r="B874" s="1297"/>
      <c r="C874" s="1297"/>
      <c r="D874" s="1297"/>
      <c r="E874" s="1297" t="s">
        <v>1035</v>
      </c>
      <c r="H874" s="1399">
        <v>1179508.77</v>
      </c>
      <c r="J874" s="1399">
        <v>1179508.77</v>
      </c>
    </row>
    <row r="875" spans="2:12">
      <c r="B875" s="1297"/>
      <c r="C875" s="1297"/>
      <c r="D875" s="1297"/>
      <c r="E875" s="1297" t="s">
        <v>1036</v>
      </c>
      <c r="H875" s="1399">
        <v>331137.13</v>
      </c>
      <c r="J875" s="1399">
        <v>331137.13</v>
      </c>
    </row>
    <row r="876" spans="2:12">
      <c r="B876" s="1297"/>
      <c r="C876" s="1297"/>
      <c r="D876" s="1297"/>
      <c r="E876" s="1297" t="s">
        <v>1037</v>
      </c>
      <c r="H876" s="1399">
        <v>43623.519999999997</v>
      </c>
      <c r="J876" s="1399">
        <v>43623.519999999997</v>
      </c>
    </row>
    <row r="877" spans="2:12">
      <c r="B877" s="1297"/>
      <c r="C877" s="1297"/>
      <c r="D877" s="1297"/>
      <c r="E877" s="1297" t="s">
        <v>1039</v>
      </c>
      <c r="H877" s="1399">
        <v>653213.11</v>
      </c>
      <c r="J877" s="1399">
        <v>653213.11</v>
      </c>
    </row>
    <row r="878" spans="2:12">
      <c r="B878" s="1297"/>
      <c r="C878" s="1297"/>
      <c r="D878" s="1297"/>
      <c r="E878" s="1297" t="s">
        <v>1040</v>
      </c>
      <c r="H878" s="1399">
        <v>549691.6</v>
      </c>
      <c r="J878" s="1399">
        <v>549691.6</v>
      </c>
    </row>
    <row r="879" spans="2:12">
      <c r="B879" s="1297"/>
      <c r="C879" s="1297"/>
      <c r="D879" s="1297"/>
      <c r="E879" s="1297" t="s">
        <v>1127</v>
      </c>
      <c r="H879" s="1399">
        <v>632408</v>
      </c>
      <c r="J879" s="1399">
        <v>632408</v>
      </c>
    </row>
    <row r="880" spans="2:12">
      <c r="B880" s="1297"/>
      <c r="C880" s="1297"/>
      <c r="D880" s="1297"/>
      <c r="E880" s="1297" t="s">
        <v>1041</v>
      </c>
      <c r="H880" s="1399">
        <v>374529.11</v>
      </c>
      <c r="J880" s="1399">
        <v>374529.11</v>
      </c>
    </row>
    <row r="881" spans="5:10" s="1297" customFormat="1">
      <c r="E881" s="1297" t="s">
        <v>1042</v>
      </c>
      <c r="F881" s="1399"/>
      <c r="G881" s="1399"/>
      <c r="H881" s="1399">
        <v>135756.03</v>
      </c>
      <c r="I881" s="1399"/>
      <c r="J881" s="1399">
        <v>135756.03</v>
      </c>
    </row>
    <row r="882" spans="5:10" s="1297" customFormat="1">
      <c r="E882" s="1297" t="s">
        <v>953</v>
      </c>
      <c r="F882" s="1399"/>
      <c r="G882" s="1399"/>
      <c r="H882" s="1399">
        <v>66121.22</v>
      </c>
      <c r="I882" s="1399"/>
      <c r="J882" s="1399">
        <v>66121.22</v>
      </c>
    </row>
    <row r="883" spans="5:10" s="1297" customFormat="1">
      <c r="E883" s="1297" t="s">
        <v>985</v>
      </c>
      <c r="F883" s="1399"/>
      <c r="G883" s="1399"/>
      <c r="H883" s="1399">
        <v>451936.33</v>
      </c>
      <c r="I883" s="1399"/>
      <c r="J883" s="1399">
        <v>451936.33</v>
      </c>
    </row>
    <row r="884" spans="5:10" s="1297" customFormat="1">
      <c r="E884" s="1297" t="s">
        <v>1043</v>
      </c>
      <c r="F884" s="1399"/>
      <c r="G884" s="1399"/>
      <c r="H884" s="1399">
        <v>1670</v>
      </c>
      <c r="I884" s="1399"/>
      <c r="J884" s="1399">
        <v>1670</v>
      </c>
    </row>
    <row r="885" spans="5:10" s="1297" customFormat="1">
      <c r="E885" s="1297" t="s">
        <v>986</v>
      </c>
      <c r="F885" s="1399"/>
      <c r="G885" s="1399"/>
      <c r="H885" s="1399">
        <v>135808.5</v>
      </c>
      <c r="I885" s="1399"/>
      <c r="J885" s="1399">
        <v>135808.5</v>
      </c>
    </row>
    <row r="886" spans="5:10" s="1297" customFormat="1">
      <c r="E886" s="1297" t="s">
        <v>990</v>
      </c>
      <c r="F886" s="1399"/>
      <c r="G886" s="1399"/>
      <c r="H886" s="1399">
        <v>234</v>
      </c>
      <c r="I886" s="1399"/>
      <c r="J886" s="1399">
        <v>234</v>
      </c>
    </row>
    <row r="887" spans="5:10" s="1297" customFormat="1">
      <c r="E887" s="1297" t="s">
        <v>991</v>
      </c>
      <c r="F887" s="1399"/>
      <c r="G887" s="1399"/>
      <c r="H887" s="1399">
        <v>170497.56</v>
      </c>
      <c r="I887" s="1399"/>
      <c r="J887" s="1399">
        <v>170497.56</v>
      </c>
    </row>
    <row r="888" spans="5:10" s="1297" customFormat="1">
      <c r="E888" s="1297" t="s">
        <v>1045</v>
      </c>
      <c r="F888" s="1399"/>
      <c r="G888" s="1399"/>
      <c r="H888" s="1399">
        <v>1810485.73</v>
      </c>
      <c r="I888" s="1399"/>
      <c r="J888" s="1399">
        <v>1810485.73</v>
      </c>
    </row>
    <row r="889" spans="5:10" s="1297" customFormat="1">
      <c r="E889" s="1297" t="s">
        <v>1046</v>
      </c>
      <c r="F889" s="1399"/>
      <c r="G889" s="1399"/>
      <c r="H889" s="1399"/>
      <c r="I889" s="1399">
        <v>47781179</v>
      </c>
      <c r="J889" s="1399">
        <v>47781179</v>
      </c>
    </row>
    <row r="890" spans="5:10" s="1297" customFormat="1">
      <c r="E890" s="1297" t="s">
        <v>1047</v>
      </c>
      <c r="F890" s="1399"/>
      <c r="G890" s="1399"/>
      <c r="H890" s="1399"/>
      <c r="I890" s="1399">
        <v>1021081</v>
      </c>
      <c r="J890" s="1399">
        <v>1021081</v>
      </c>
    </row>
    <row r="891" spans="5:10" s="1297" customFormat="1">
      <c r="E891" s="1297" t="s">
        <v>932</v>
      </c>
      <c r="F891" s="1399"/>
      <c r="G891" s="1399"/>
      <c r="H891" s="1399"/>
      <c r="I891" s="1399">
        <v>5909522</v>
      </c>
      <c r="J891" s="1399">
        <v>5909522</v>
      </c>
    </row>
    <row r="892" spans="5:10" s="1297" customFormat="1">
      <c r="E892" s="1404" t="s">
        <v>955</v>
      </c>
      <c r="F892" s="1405"/>
      <c r="G892" s="1405"/>
      <c r="H892" s="1405"/>
      <c r="I892" s="1405">
        <v>958899.64</v>
      </c>
      <c r="J892" s="1405">
        <v>958899.64</v>
      </c>
    </row>
    <row r="893" spans="5:10" s="1297" customFormat="1">
      <c r="E893" s="1297" t="s">
        <v>934</v>
      </c>
      <c r="F893" s="1399"/>
      <c r="G893" s="1399"/>
      <c r="H893" s="1399"/>
      <c r="I893" s="1399">
        <v>158750</v>
      </c>
      <c r="J893" s="1399">
        <v>158750</v>
      </c>
    </row>
    <row r="894" spans="5:10" s="1297" customFormat="1">
      <c r="E894" s="1297" t="s">
        <v>935</v>
      </c>
      <c r="F894" s="1399"/>
      <c r="G894" s="1399"/>
      <c r="H894" s="1399"/>
      <c r="I894" s="1399">
        <v>787342.77</v>
      </c>
      <c r="J894" s="1399">
        <v>787342.77</v>
      </c>
    </row>
    <row r="895" spans="5:10" s="1297" customFormat="1">
      <c r="E895" s="1297" t="s">
        <v>936</v>
      </c>
      <c r="F895" s="1399"/>
      <c r="G895" s="1399"/>
      <c r="H895" s="1399"/>
      <c r="I895" s="1399">
        <v>196434.45</v>
      </c>
      <c r="J895" s="1399">
        <v>196434.45</v>
      </c>
    </row>
    <row r="896" spans="5:10" s="1297" customFormat="1">
      <c r="E896" s="1297" t="s">
        <v>937</v>
      </c>
      <c r="F896" s="1399"/>
      <c r="G896" s="1399"/>
      <c r="H896" s="1399"/>
      <c r="I896" s="1399">
        <v>10083.73</v>
      </c>
      <c r="J896" s="1399">
        <v>10083.73</v>
      </c>
    </row>
    <row r="897" spans="2:12">
      <c r="B897" s="1297"/>
      <c r="C897" s="1297"/>
      <c r="D897" s="1297"/>
      <c r="E897" s="1297" t="s">
        <v>938</v>
      </c>
      <c r="I897" s="1399">
        <v>55960</v>
      </c>
      <c r="J897" s="1399">
        <v>55960</v>
      </c>
    </row>
    <row r="898" spans="2:12">
      <c r="B898" s="1297"/>
      <c r="C898" s="1297"/>
      <c r="D898" s="1297"/>
      <c r="E898" s="1297" t="s">
        <v>1131</v>
      </c>
      <c r="F898" s="1399">
        <v>127752.36</v>
      </c>
      <c r="J898" s="1399">
        <v>127752.36</v>
      </c>
    </row>
    <row r="899" spans="2:12">
      <c r="B899" s="1297"/>
      <c r="C899" s="1297"/>
      <c r="D899" s="1297"/>
      <c r="E899" s="1297" t="s">
        <v>940</v>
      </c>
      <c r="F899" s="1399">
        <v>2087388.42</v>
      </c>
      <c r="J899" s="1399">
        <v>2087388.42</v>
      </c>
    </row>
    <row r="900" spans="2:12">
      <c r="B900" s="1297"/>
      <c r="C900" s="1297"/>
      <c r="D900" s="1297"/>
      <c r="E900" s="1297" t="s">
        <v>941</v>
      </c>
      <c r="F900" s="1399">
        <v>732607.74</v>
      </c>
      <c r="J900" s="1399">
        <v>732607.74</v>
      </c>
    </row>
    <row r="901" spans="2:12">
      <c r="B901" s="1297"/>
      <c r="C901" s="1297"/>
      <c r="D901" s="1297"/>
      <c r="E901" s="1297" t="s">
        <v>943</v>
      </c>
      <c r="F901" s="1399">
        <v>34046.660000000003</v>
      </c>
      <c r="J901" s="1399">
        <v>34046.660000000003</v>
      </c>
    </row>
    <row r="902" spans="2:12">
      <c r="B902" s="1297"/>
      <c r="C902" s="1297"/>
      <c r="D902" s="1297"/>
      <c r="E902" s="1297" t="s">
        <v>944</v>
      </c>
      <c r="F902" s="1399">
        <v>4695851.5</v>
      </c>
      <c r="J902" s="1399">
        <v>4695851.5</v>
      </c>
    </row>
    <row r="903" spans="2:12">
      <c r="B903" s="1297"/>
      <c r="C903" s="1297"/>
      <c r="D903" s="1297"/>
      <c r="E903" s="1297" t="s">
        <v>945</v>
      </c>
      <c r="F903" s="1399">
        <v>3769253.56</v>
      </c>
      <c r="J903" s="1399">
        <v>3769253.56</v>
      </c>
    </row>
    <row r="904" spans="2:12">
      <c r="B904" s="1297"/>
      <c r="C904" s="1297"/>
      <c r="D904" s="1297"/>
      <c r="E904" s="1297" t="s">
        <v>978</v>
      </c>
      <c r="F904" s="1399">
        <v>2396.54</v>
      </c>
      <c r="J904" s="1399">
        <v>2396.54</v>
      </c>
    </row>
    <row r="905" spans="2:12">
      <c r="B905" s="1297"/>
      <c r="C905" s="1297"/>
      <c r="D905" s="1297"/>
      <c r="E905" s="1297" t="s">
        <v>947</v>
      </c>
      <c r="F905" s="1399">
        <v>286005.48</v>
      </c>
      <c r="J905" s="1399">
        <v>286005.48</v>
      </c>
    </row>
    <row r="906" spans="2:12">
      <c r="B906" s="1297"/>
      <c r="C906" s="1297"/>
      <c r="D906" s="1297"/>
      <c r="E906" s="1404" t="s">
        <v>948</v>
      </c>
      <c r="F906" s="1405"/>
      <c r="G906" s="1405"/>
      <c r="H906" s="1405">
        <v>10890726.499999998</v>
      </c>
      <c r="I906" s="1405"/>
      <c r="J906" s="1405">
        <v>10890726.499999998</v>
      </c>
    </row>
    <row r="907" spans="2:12">
      <c r="B907" s="1297"/>
      <c r="C907" s="1297"/>
      <c r="D907" s="1297"/>
      <c r="E907" s="1297" t="s">
        <v>956</v>
      </c>
      <c r="H907" s="1399">
        <v>8328523.1200000001</v>
      </c>
      <c r="J907" s="1399">
        <v>8328523.1200000001</v>
      </c>
    </row>
    <row r="908" spans="2:12">
      <c r="B908" s="1297"/>
      <c r="C908" s="1297"/>
      <c r="D908" s="1297"/>
      <c r="E908" s="1297" t="s">
        <v>1118</v>
      </c>
      <c r="H908" s="1399">
        <v>501536.86</v>
      </c>
      <c r="J908" s="1399">
        <v>501536.86</v>
      </c>
    </row>
    <row r="909" spans="2:12">
      <c r="B909" s="1297"/>
      <c r="C909" s="1297"/>
      <c r="D909" s="1400" t="s">
        <v>1211</v>
      </c>
      <c r="E909" s="1400"/>
      <c r="F909" s="1401">
        <f>SUM(F867:F908)</f>
        <v>11735302.26</v>
      </c>
      <c r="G909" s="1401">
        <f>SUM(G867:G908)</f>
        <v>35368480.670000002</v>
      </c>
      <c r="H909" s="1401">
        <f>SUM(H867:H908)-H906</f>
        <v>16252520.51</v>
      </c>
      <c r="I909" s="1401">
        <f>SUM(I867:I908)-I892</f>
        <v>55920352.950000003</v>
      </c>
      <c r="J909" s="1401">
        <f>SUM(J867:J908)</f>
        <v>131126282.53000003</v>
      </c>
      <c r="K909" s="1401">
        <f>SUM(F909:I909)</f>
        <v>119276656.39</v>
      </c>
      <c r="L909" s="1408">
        <f>K909/C867</f>
        <v>11176.598237443779</v>
      </c>
    </row>
    <row r="910" spans="2:12">
      <c r="B910" s="1297" t="s">
        <v>1212</v>
      </c>
      <c r="C910" s="1297">
        <v>1635</v>
      </c>
      <c r="D910" s="1297" t="s">
        <v>1213</v>
      </c>
      <c r="E910" s="1297" t="s">
        <v>906</v>
      </c>
      <c r="G910" s="1399">
        <v>5068037.29</v>
      </c>
      <c r="J910" s="1399">
        <v>5068037.29</v>
      </c>
    </row>
    <row r="911" spans="2:12">
      <c r="B911" s="1297"/>
      <c r="C911" s="1297"/>
      <c r="D911" s="1297"/>
      <c r="E911" s="1297" t="s">
        <v>952</v>
      </c>
      <c r="G911" s="1399">
        <v>20551.73</v>
      </c>
      <c r="J911" s="1399">
        <v>20551.73</v>
      </c>
    </row>
    <row r="912" spans="2:12">
      <c r="B912" s="1297"/>
      <c r="C912" s="1297"/>
      <c r="D912" s="1297"/>
      <c r="E912" s="1297" t="s">
        <v>907</v>
      </c>
      <c r="G912" s="1399">
        <v>1108958.99</v>
      </c>
      <c r="J912" s="1399">
        <v>1108958.99</v>
      </c>
    </row>
    <row r="913" spans="5:10" s="1297" customFormat="1">
      <c r="E913" s="1297" t="s">
        <v>908</v>
      </c>
      <c r="F913" s="1399"/>
      <c r="G913" s="1399"/>
      <c r="H913" s="1399">
        <v>30777.91</v>
      </c>
      <c r="I913" s="1399"/>
      <c r="J913" s="1399">
        <v>30777.91</v>
      </c>
    </row>
    <row r="914" spans="5:10" s="1297" customFormat="1">
      <c r="E914" s="1297" t="s">
        <v>909</v>
      </c>
      <c r="F914" s="1399"/>
      <c r="G914" s="1399"/>
      <c r="H914" s="1399">
        <v>29167.01</v>
      </c>
      <c r="I914" s="1399"/>
      <c r="J914" s="1399">
        <v>29167.01</v>
      </c>
    </row>
    <row r="915" spans="5:10" s="1297" customFormat="1">
      <c r="E915" s="1297" t="s">
        <v>910</v>
      </c>
      <c r="F915" s="1399"/>
      <c r="G915" s="1399"/>
      <c r="H915" s="1399">
        <v>2689.25</v>
      </c>
      <c r="I915" s="1399"/>
      <c r="J915" s="1399">
        <v>2689.25</v>
      </c>
    </row>
    <row r="916" spans="5:10" s="1297" customFormat="1">
      <c r="E916" s="1297" t="s">
        <v>1034</v>
      </c>
      <c r="F916" s="1399"/>
      <c r="G916" s="1399"/>
      <c r="H916" s="1399">
        <v>16107.42</v>
      </c>
      <c r="I916" s="1399"/>
      <c r="J916" s="1399">
        <v>16107.42</v>
      </c>
    </row>
    <row r="917" spans="5:10" s="1297" customFormat="1">
      <c r="E917" s="1297" t="s">
        <v>1035</v>
      </c>
      <c r="F917" s="1399"/>
      <c r="G917" s="1399"/>
      <c r="H917" s="1399">
        <v>197974.66999999998</v>
      </c>
      <c r="I917" s="1399"/>
      <c r="J917" s="1399">
        <v>197974.66999999998</v>
      </c>
    </row>
    <row r="918" spans="5:10" s="1297" customFormat="1">
      <c r="E918" s="1297" t="s">
        <v>1036</v>
      </c>
      <c r="F918" s="1399"/>
      <c r="G918" s="1399"/>
      <c r="H918" s="1399">
        <v>109994.17</v>
      </c>
      <c r="I918" s="1399"/>
      <c r="J918" s="1399">
        <v>109994.17</v>
      </c>
    </row>
    <row r="919" spans="5:10" s="1297" customFormat="1">
      <c r="E919" s="1297" t="s">
        <v>1039</v>
      </c>
      <c r="F919" s="1399"/>
      <c r="G919" s="1399"/>
      <c r="H919" s="1399">
        <v>35089.079999999994</v>
      </c>
      <c r="I919" s="1399"/>
      <c r="J919" s="1399">
        <v>35089.079999999994</v>
      </c>
    </row>
    <row r="920" spans="5:10" s="1297" customFormat="1">
      <c r="E920" s="1297" t="s">
        <v>1040</v>
      </c>
      <c r="F920" s="1399"/>
      <c r="G920" s="1399"/>
      <c r="H920" s="1399">
        <v>75566.2</v>
      </c>
      <c r="I920" s="1399"/>
      <c r="J920" s="1399">
        <v>75566.2</v>
      </c>
    </row>
    <row r="921" spans="5:10" s="1297" customFormat="1">
      <c r="E921" s="1297" t="s">
        <v>1127</v>
      </c>
      <c r="F921" s="1399"/>
      <c r="G921" s="1399"/>
      <c r="H921" s="1399">
        <v>29158.15</v>
      </c>
      <c r="I921" s="1399"/>
      <c r="J921" s="1399">
        <v>29158.15</v>
      </c>
    </row>
    <row r="922" spans="5:10" s="1297" customFormat="1">
      <c r="E922" s="1297" t="s">
        <v>1041</v>
      </c>
      <c r="F922" s="1399"/>
      <c r="G922" s="1399"/>
      <c r="H922" s="1399">
        <v>43696.630000000005</v>
      </c>
      <c r="I922" s="1399"/>
      <c r="J922" s="1399">
        <v>43696.630000000005</v>
      </c>
    </row>
    <row r="923" spans="5:10" s="1297" customFormat="1">
      <c r="E923" s="1297" t="s">
        <v>1042</v>
      </c>
      <c r="F923" s="1399"/>
      <c r="G923" s="1399"/>
      <c r="H923" s="1399">
        <v>10791.57</v>
      </c>
      <c r="I923" s="1399"/>
      <c r="J923" s="1399">
        <v>10791.57</v>
      </c>
    </row>
    <row r="924" spans="5:10" s="1297" customFormat="1">
      <c r="E924" s="1297" t="s">
        <v>953</v>
      </c>
      <c r="F924" s="1399"/>
      <c r="G924" s="1399"/>
      <c r="H924" s="1399">
        <v>26004.3</v>
      </c>
      <c r="I924" s="1399"/>
      <c r="J924" s="1399">
        <v>26004.3</v>
      </c>
    </row>
    <row r="925" spans="5:10" s="1297" customFormat="1">
      <c r="E925" s="1297" t="s">
        <v>954</v>
      </c>
      <c r="F925" s="1399"/>
      <c r="G925" s="1399"/>
      <c r="H925" s="1399">
        <v>3244.05</v>
      </c>
      <c r="I925" s="1399"/>
      <c r="J925" s="1399">
        <v>3244.05</v>
      </c>
    </row>
    <row r="926" spans="5:10" s="1297" customFormat="1">
      <c r="E926" s="1297" t="s">
        <v>1044</v>
      </c>
      <c r="F926" s="1399">
        <v>3215.64</v>
      </c>
      <c r="G926" s="1399"/>
      <c r="H926" s="1399"/>
      <c r="I926" s="1399"/>
      <c r="J926" s="1399">
        <v>3215.64</v>
      </c>
    </row>
    <row r="927" spans="5:10" s="1297" customFormat="1">
      <c r="E927" s="1297" t="s">
        <v>1045</v>
      </c>
      <c r="F927" s="1399"/>
      <c r="G927" s="1399"/>
      <c r="H927" s="1399">
        <v>288927.80999999994</v>
      </c>
      <c r="I927" s="1399"/>
      <c r="J927" s="1399">
        <v>288927.80999999994</v>
      </c>
    </row>
    <row r="928" spans="5:10" s="1297" customFormat="1">
      <c r="E928" s="1297" t="s">
        <v>1046</v>
      </c>
      <c r="F928" s="1399"/>
      <c r="G928" s="1399"/>
      <c r="H928" s="1399"/>
      <c r="I928" s="1399">
        <v>8416877</v>
      </c>
      <c r="J928" s="1399">
        <v>8416877</v>
      </c>
    </row>
    <row r="929" spans="5:10" s="1297" customFormat="1">
      <c r="E929" s="1297" t="s">
        <v>1047</v>
      </c>
      <c r="F929" s="1399"/>
      <c r="G929" s="1399"/>
      <c r="H929" s="1399"/>
      <c r="I929" s="1399">
        <v>450483</v>
      </c>
      <c r="J929" s="1399">
        <v>450483</v>
      </c>
    </row>
    <row r="930" spans="5:10" s="1297" customFormat="1">
      <c r="E930" s="1297" t="s">
        <v>1048</v>
      </c>
      <c r="F930" s="1399"/>
      <c r="G930" s="1399"/>
      <c r="H930" s="1399"/>
      <c r="I930" s="1399">
        <v>-1628065</v>
      </c>
      <c r="J930" s="1399">
        <v>-1628065</v>
      </c>
    </row>
    <row r="931" spans="5:10" s="1297" customFormat="1">
      <c r="E931" s="1297" t="s">
        <v>932</v>
      </c>
      <c r="F931" s="1399"/>
      <c r="G931" s="1399"/>
      <c r="H931" s="1399"/>
      <c r="I931" s="1399">
        <v>27419</v>
      </c>
      <c r="J931" s="1399">
        <v>27419</v>
      </c>
    </row>
    <row r="932" spans="5:10" s="1297" customFormat="1">
      <c r="E932" s="1404" t="s">
        <v>955</v>
      </c>
      <c r="F932" s="1405"/>
      <c r="G932" s="1405"/>
      <c r="H932" s="1405"/>
      <c r="I932" s="1405">
        <v>477022.43</v>
      </c>
      <c r="J932" s="1405">
        <v>477022.43</v>
      </c>
    </row>
    <row r="933" spans="5:10" s="1297" customFormat="1">
      <c r="E933" s="1297" t="s">
        <v>934</v>
      </c>
      <c r="F933" s="1399"/>
      <c r="G933" s="1399"/>
      <c r="H933" s="1399"/>
      <c r="I933" s="1399">
        <v>28052</v>
      </c>
      <c r="J933" s="1399">
        <v>28052</v>
      </c>
    </row>
    <row r="934" spans="5:10" s="1297" customFormat="1">
      <c r="E934" s="1297" t="s">
        <v>1130</v>
      </c>
      <c r="F934" s="1399"/>
      <c r="G934" s="1399"/>
      <c r="H934" s="1399"/>
      <c r="I934" s="1399">
        <v>546731</v>
      </c>
      <c r="J934" s="1399">
        <v>546731</v>
      </c>
    </row>
    <row r="935" spans="5:10" s="1297" customFormat="1">
      <c r="E935" s="1297" t="s">
        <v>935</v>
      </c>
      <c r="F935" s="1399"/>
      <c r="G935" s="1399"/>
      <c r="H935" s="1399"/>
      <c r="I935" s="1399">
        <v>206594.61</v>
      </c>
      <c r="J935" s="1399">
        <v>206594.61</v>
      </c>
    </row>
    <row r="936" spans="5:10" s="1297" customFormat="1">
      <c r="E936" s="1297" t="s">
        <v>936</v>
      </c>
      <c r="F936" s="1399"/>
      <c r="G936" s="1399"/>
      <c r="H936" s="1399"/>
      <c r="I936" s="1399">
        <v>24160.39</v>
      </c>
      <c r="J936" s="1399">
        <v>24160.39</v>
      </c>
    </row>
    <row r="937" spans="5:10" s="1297" customFormat="1">
      <c r="E937" s="1297" t="s">
        <v>937</v>
      </c>
      <c r="F937" s="1399"/>
      <c r="G937" s="1399"/>
      <c r="H937" s="1399"/>
      <c r="I937" s="1399">
        <v>12292.95</v>
      </c>
      <c r="J937" s="1399">
        <v>12292.95</v>
      </c>
    </row>
    <row r="938" spans="5:10" s="1297" customFormat="1">
      <c r="E938" s="1297" t="s">
        <v>938</v>
      </c>
      <c r="F938" s="1399"/>
      <c r="G938" s="1399"/>
      <c r="H938" s="1399"/>
      <c r="I938" s="1399">
        <v>9545</v>
      </c>
      <c r="J938" s="1399">
        <v>9545</v>
      </c>
    </row>
    <row r="939" spans="5:10" s="1297" customFormat="1">
      <c r="E939" s="1297" t="s">
        <v>939</v>
      </c>
      <c r="F939" s="1399"/>
      <c r="G939" s="1399"/>
      <c r="H939" s="1399"/>
      <c r="I939" s="1399">
        <v>46250</v>
      </c>
      <c r="J939" s="1399">
        <v>46250</v>
      </c>
    </row>
    <row r="940" spans="5:10" s="1297" customFormat="1">
      <c r="E940" s="1297" t="s">
        <v>940</v>
      </c>
      <c r="F940" s="1399">
        <v>486191.42</v>
      </c>
      <c r="G940" s="1399"/>
      <c r="H940" s="1399"/>
      <c r="I940" s="1399"/>
      <c r="J940" s="1399">
        <v>486191.42</v>
      </c>
    </row>
    <row r="941" spans="5:10" s="1297" customFormat="1">
      <c r="E941" s="1297" t="s">
        <v>941</v>
      </c>
      <c r="F941" s="1399">
        <v>162693.60000000003</v>
      </c>
      <c r="G941" s="1399"/>
      <c r="H941" s="1399"/>
      <c r="I941" s="1399"/>
      <c r="J941" s="1399">
        <v>162693.60000000003</v>
      </c>
    </row>
    <row r="942" spans="5:10" s="1297" customFormat="1">
      <c r="E942" s="1297" t="s">
        <v>944</v>
      </c>
      <c r="F942" s="1399">
        <v>1103714.5899999999</v>
      </c>
      <c r="G942" s="1399"/>
      <c r="H942" s="1399"/>
      <c r="I942" s="1399"/>
      <c r="J942" s="1399">
        <v>1103714.5899999999</v>
      </c>
    </row>
    <row r="943" spans="5:10" s="1297" customFormat="1">
      <c r="E943" s="1297" t="s">
        <v>945</v>
      </c>
      <c r="F943" s="1399">
        <v>764274.09000000008</v>
      </c>
      <c r="G943" s="1399"/>
      <c r="H943" s="1399"/>
      <c r="I943" s="1399"/>
      <c r="J943" s="1399">
        <v>764274.09000000008</v>
      </c>
    </row>
    <row r="944" spans="5:10" s="1297" customFormat="1">
      <c r="E944" s="1297" t="s">
        <v>946</v>
      </c>
      <c r="F944" s="1399">
        <v>1152</v>
      </c>
      <c r="G944" s="1399"/>
      <c r="H944" s="1399"/>
      <c r="I944" s="1399"/>
      <c r="J944" s="1399">
        <v>1152</v>
      </c>
    </row>
    <row r="945" spans="2:12">
      <c r="B945" s="1297"/>
      <c r="C945" s="1297"/>
      <c r="D945" s="1297"/>
      <c r="E945" s="1297" t="s">
        <v>1214</v>
      </c>
      <c r="F945" s="1399">
        <v>221003</v>
      </c>
      <c r="J945" s="1399">
        <v>221003</v>
      </c>
    </row>
    <row r="946" spans="2:12">
      <c r="B946" s="1297"/>
      <c r="C946" s="1297"/>
      <c r="D946" s="1297"/>
      <c r="E946" s="1297" t="s">
        <v>947</v>
      </c>
      <c r="F946" s="1399">
        <v>28159.81</v>
      </c>
      <c r="J946" s="1399">
        <v>28159.81</v>
      </c>
    </row>
    <row r="947" spans="2:12">
      <c r="B947" s="1297"/>
      <c r="C947" s="1297"/>
      <c r="D947" s="1297"/>
      <c r="E947" s="1404" t="s">
        <v>948</v>
      </c>
      <c r="F947" s="1405"/>
      <c r="G947" s="1405"/>
      <c r="H947" s="1405">
        <v>12104487.939999999</v>
      </c>
      <c r="I947" s="1405"/>
      <c r="J947" s="1405">
        <v>12104487.939999999</v>
      </c>
    </row>
    <row r="948" spans="2:12">
      <c r="B948" s="1297"/>
      <c r="C948" s="1297"/>
      <c r="D948" s="1400" t="s">
        <v>1215</v>
      </c>
      <c r="E948" s="1400"/>
      <c r="F948" s="1401">
        <f>SUM(F910:F947)</f>
        <v>2770404.15</v>
      </c>
      <c r="G948" s="1401">
        <f>SUM(G910:G947)</f>
        <v>6197548.0100000007</v>
      </c>
      <c r="H948" s="1401">
        <f>SUM(H910:H947)-H947</f>
        <v>899188.22000000067</v>
      </c>
      <c r="I948" s="1401">
        <f>SUM(I910:I947)-I932</f>
        <v>8140339.9499999993</v>
      </c>
      <c r="J948" s="1401">
        <f>SUM(J910:J947)</f>
        <v>30588990.699999996</v>
      </c>
      <c r="K948" s="1401">
        <f>SUM(F948:I948)</f>
        <v>18007480.329999998</v>
      </c>
      <c r="L948" s="1408">
        <f>K948/C910</f>
        <v>11013.749437308867</v>
      </c>
    </row>
    <row r="949" spans="2:12">
      <c r="B949" s="1297" t="s">
        <v>1216</v>
      </c>
      <c r="C949" s="1297">
        <v>33543</v>
      </c>
      <c r="D949" s="1297" t="s">
        <v>1217</v>
      </c>
      <c r="E949" s="1297" t="s">
        <v>906</v>
      </c>
      <c r="G949" s="1399">
        <v>164412782.51000002</v>
      </c>
      <c r="J949" s="1399">
        <v>164412782.51000002</v>
      </c>
    </row>
    <row r="950" spans="2:12">
      <c r="B950" s="1297"/>
      <c r="C950" s="1297"/>
      <c r="D950" s="1297"/>
      <c r="E950" s="1297" t="s">
        <v>952</v>
      </c>
      <c r="G950" s="1399">
        <v>1704217.65</v>
      </c>
      <c r="J950" s="1399">
        <v>1704217.65</v>
      </c>
    </row>
    <row r="951" spans="2:12">
      <c r="B951" s="1297"/>
      <c r="C951" s="1297"/>
      <c r="D951" s="1297"/>
      <c r="E951" s="1297" t="s">
        <v>907</v>
      </c>
      <c r="G951" s="1399">
        <v>52006946.969999999</v>
      </c>
      <c r="J951" s="1399">
        <v>52006946.969999999</v>
      </c>
    </row>
    <row r="952" spans="2:12">
      <c r="B952" s="1297"/>
      <c r="C952" s="1297"/>
      <c r="D952" s="1297"/>
      <c r="E952" s="1297" t="s">
        <v>908</v>
      </c>
      <c r="G952" s="1399">
        <v>202895.86</v>
      </c>
      <c r="J952" s="1399">
        <v>202895.86</v>
      </c>
    </row>
    <row r="953" spans="2:12">
      <c r="B953" s="1297"/>
      <c r="C953" s="1297"/>
      <c r="D953" s="1297"/>
      <c r="E953" s="1297" t="s">
        <v>1037</v>
      </c>
      <c r="H953" s="1399">
        <v>53407.020000000004</v>
      </c>
      <c r="J953" s="1399">
        <v>53407.020000000004</v>
      </c>
    </row>
    <row r="954" spans="2:12">
      <c r="B954" s="1297"/>
      <c r="C954" s="1297"/>
      <c r="D954" s="1297"/>
      <c r="E954" s="1297" t="s">
        <v>1039</v>
      </c>
      <c r="H954" s="1399">
        <v>221756.31000000003</v>
      </c>
      <c r="J954" s="1399">
        <v>221756.31000000003</v>
      </c>
    </row>
    <row r="955" spans="2:12">
      <c r="B955" s="1297"/>
      <c r="C955" s="1297"/>
      <c r="D955" s="1297"/>
      <c r="E955" s="1297" t="s">
        <v>1040</v>
      </c>
      <c r="H955" s="1399">
        <v>1719225.9500000002</v>
      </c>
      <c r="J955" s="1399">
        <v>1719225.9500000002</v>
      </c>
    </row>
    <row r="956" spans="2:12">
      <c r="B956" s="1297"/>
      <c r="C956" s="1297"/>
      <c r="D956" s="1297"/>
      <c r="E956" s="1297" t="s">
        <v>1041</v>
      </c>
      <c r="H956" s="1399">
        <v>368960.06999999995</v>
      </c>
      <c r="J956" s="1399">
        <v>368960.06999999995</v>
      </c>
    </row>
    <row r="957" spans="2:12">
      <c r="B957" s="1297"/>
      <c r="C957" s="1297"/>
      <c r="D957" s="1297"/>
      <c r="E957" s="1297" t="s">
        <v>1042</v>
      </c>
      <c r="H957" s="1399">
        <v>116797.62</v>
      </c>
      <c r="J957" s="1399">
        <v>116797.62</v>
      </c>
    </row>
    <row r="958" spans="2:12">
      <c r="B958" s="1297"/>
      <c r="C958" s="1297"/>
      <c r="D958" s="1297"/>
      <c r="E958" s="1297" t="s">
        <v>954</v>
      </c>
      <c r="H958" s="1399">
        <v>331530.02999999997</v>
      </c>
      <c r="J958" s="1399">
        <v>331530.02999999997</v>
      </c>
    </row>
    <row r="959" spans="2:12">
      <c r="B959" s="1297"/>
      <c r="C959" s="1297"/>
      <c r="D959" s="1297"/>
      <c r="E959" s="1297" t="s">
        <v>1043</v>
      </c>
      <c r="H959" s="1399">
        <v>14873.26</v>
      </c>
      <c r="J959" s="1399">
        <v>14873.26</v>
      </c>
    </row>
    <row r="960" spans="2:12">
      <c r="B960" s="1297"/>
      <c r="C960" s="1297"/>
      <c r="D960" s="1297"/>
      <c r="E960" s="1297" t="s">
        <v>986</v>
      </c>
      <c r="H960" s="1399">
        <v>865557.58000000007</v>
      </c>
      <c r="J960" s="1399">
        <v>865557.58000000007</v>
      </c>
    </row>
    <row r="961" spans="5:10" s="1297" customFormat="1">
      <c r="E961" s="1297" t="s">
        <v>1044</v>
      </c>
      <c r="F961" s="1399">
        <v>733132.66</v>
      </c>
      <c r="G961" s="1399"/>
      <c r="H961" s="1399"/>
      <c r="I961" s="1399"/>
      <c r="J961" s="1399">
        <v>733132.66</v>
      </c>
    </row>
    <row r="962" spans="5:10" s="1297" customFormat="1">
      <c r="E962" s="1297" t="s">
        <v>1045</v>
      </c>
      <c r="F962" s="1399"/>
      <c r="G962" s="1399"/>
      <c r="H962" s="1399">
        <v>6046079.5799999991</v>
      </c>
      <c r="I962" s="1399"/>
      <c r="J962" s="1399">
        <v>6046079.5799999991</v>
      </c>
    </row>
    <row r="963" spans="5:10" s="1297" customFormat="1">
      <c r="E963" s="1297" t="s">
        <v>1046</v>
      </c>
      <c r="F963" s="1399"/>
      <c r="G963" s="1399"/>
      <c r="H963" s="1399"/>
      <c r="I963" s="1399">
        <v>175566197</v>
      </c>
      <c r="J963" s="1399">
        <v>175566197</v>
      </c>
    </row>
    <row r="964" spans="5:10" s="1297" customFormat="1">
      <c r="E964" s="1297" t="s">
        <v>1128</v>
      </c>
      <c r="F964" s="1399"/>
      <c r="G964" s="1399"/>
      <c r="H964" s="1399"/>
      <c r="I964" s="1399">
        <v>14458966</v>
      </c>
      <c r="J964" s="1399">
        <v>14458966</v>
      </c>
    </row>
    <row r="965" spans="5:10" s="1297" customFormat="1">
      <c r="E965" s="1297" t="s">
        <v>1129</v>
      </c>
      <c r="F965" s="1399"/>
      <c r="G965" s="1399"/>
      <c r="H965" s="1399"/>
      <c r="I965" s="1399">
        <v>-17039600</v>
      </c>
      <c r="J965" s="1399">
        <v>-17039600</v>
      </c>
    </row>
    <row r="966" spans="5:10" s="1297" customFormat="1">
      <c r="E966" s="1297" t="s">
        <v>1047</v>
      </c>
      <c r="F966" s="1399"/>
      <c r="G966" s="1399"/>
      <c r="H966" s="1399"/>
      <c r="I966" s="1399">
        <v>2847498</v>
      </c>
      <c r="J966" s="1399">
        <v>2847498</v>
      </c>
    </row>
    <row r="967" spans="5:10" s="1297" customFormat="1">
      <c r="E967" s="1297" t="s">
        <v>1048</v>
      </c>
      <c r="F967" s="1399"/>
      <c r="G967" s="1399"/>
      <c r="H967" s="1399"/>
      <c r="I967" s="1399">
        <v>-61256290</v>
      </c>
      <c r="J967" s="1399">
        <v>-61256290</v>
      </c>
    </row>
    <row r="968" spans="5:10" s="1297" customFormat="1">
      <c r="E968" s="1404" t="s">
        <v>955</v>
      </c>
      <c r="F968" s="1405"/>
      <c r="G968" s="1405"/>
      <c r="H968" s="1405"/>
      <c r="I968" s="1405">
        <v>5314257.95</v>
      </c>
      <c r="J968" s="1405">
        <v>5314257.95</v>
      </c>
    </row>
    <row r="969" spans="5:10" s="1297" customFormat="1">
      <c r="E969" s="1297" t="s">
        <v>934</v>
      </c>
      <c r="F969" s="1399"/>
      <c r="G969" s="1399"/>
      <c r="H969" s="1399"/>
      <c r="I969" s="1399">
        <v>437230</v>
      </c>
      <c r="J969" s="1399">
        <v>437230</v>
      </c>
    </row>
    <row r="970" spans="5:10" s="1297" customFormat="1">
      <c r="E970" s="1297" t="s">
        <v>1130</v>
      </c>
      <c r="F970" s="1399"/>
      <c r="G970" s="1399"/>
      <c r="H970" s="1399"/>
      <c r="I970" s="1399">
        <v>7292700</v>
      </c>
      <c r="J970" s="1399">
        <v>7292700</v>
      </c>
    </row>
    <row r="971" spans="5:10" s="1297" customFormat="1">
      <c r="E971" s="1297" t="s">
        <v>935</v>
      </c>
      <c r="F971" s="1399"/>
      <c r="G971" s="1399"/>
      <c r="H971" s="1399"/>
      <c r="I971" s="1399">
        <v>5192937.2300000004</v>
      </c>
      <c r="J971" s="1399">
        <v>5192937.2300000004</v>
      </c>
    </row>
    <row r="972" spans="5:10" s="1297" customFormat="1">
      <c r="E972" s="1297" t="s">
        <v>939</v>
      </c>
      <c r="F972" s="1399"/>
      <c r="G972" s="1399"/>
      <c r="H972" s="1399"/>
      <c r="I972" s="1399">
        <v>181361.15000000002</v>
      </c>
      <c r="J972" s="1399">
        <v>181361.15000000002</v>
      </c>
    </row>
    <row r="973" spans="5:10" s="1297" customFormat="1">
      <c r="E973" s="1297" t="s">
        <v>1131</v>
      </c>
      <c r="F973" s="1399">
        <v>478923.01999999996</v>
      </c>
      <c r="G973" s="1399"/>
      <c r="H973" s="1399"/>
      <c r="I973" s="1399"/>
      <c r="J973" s="1399">
        <v>478923.01999999996</v>
      </c>
    </row>
    <row r="974" spans="5:10" s="1297" customFormat="1">
      <c r="E974" s="1297" t="s">
        <v>940</v>
      </c>
      <c r="F974" s="1399">
        <v>8951832.8200000022</v>
      </c>
      <c r="G974" s="1399"/>
      <c r="H974" s="1399"/>
      <c r="I974" s="1399"/>
      <c r="J974" s="1399">
        <v>8951832.8200000022</v>
      </c>
    </row>
    <row r="975" spans="5:10" s="1297" customFormat="1">
      <c r="E975" s="1297" t="s">
        <v>941</v>
      </c>
      <c r="F975" s="1399">
        <v>2734289.2799999993</v>
      </c>
      <c r="G975" s="1399"/>
      <c r="H975" s="1399"/>
      <c r="I975" s="1399"/>
      <c r="J975" s="1399">
        <v>2734289.2799999993</v>
      </c>
    </row>
    <row r="976" spans="5:10" s="1297" customFormat="1">
      <c r="E976" s="1297" t="s">
        <v>944</v>
      </c>
      <c r="F976" s="1399">
        <v>30595292.75</v>
      </c>
      <c r="G976" s="1399"/>
      <c r="H976" s="1399"/>
      <c r="I976" s="1399"/>
      <c r="J976" s="1399">
        <v>30595292.75</v>
      </c>
    </row>
    <row r="977" spans="2:14">
      <c r="B977" s="1297"/>
      <c r="C977" s="1297"/>
      <c r="D977" s="1297"/>
      <c r="E977" s="1297" t="s">
        <v>945</v>
      </c>
      <c r="F977" s="1399">
        <v>6126585.1799999997</v>
      </c>
      <c r="J977" s="1399">
        <v>6126585.1799999997</v>
      </c>
    </row>
    <row r="978" spans="2:14">
      <c r="B978" s="1297"/>
      <c r="C978" s="1297"/>
      <c r="D978" s="1297"/>
      <c r="E978" s="1297" t="s">
        <v>946</v>
      </c>
      <c r="F978" s="1399">
        <v>1266959.8700000001</v>
      </c>
      <c r="J978" s="1399">
        <v>1266959.8700000001</v>
      </c>
    </row>
    <row r="979" spans="2:14">
      <c r="B979" s="1297"/>
      <c r="C979" s="1297"/>
      <c r="D979" s="1297"/>
      <c r="E979" s="1297" t="s">
        <v>978</v>
      </c>
      <c r="F979" s="1399">
        <v>106666.72</v>
      </c>
      <c r="J979" s="1399">
        <v>106666.72</v>
      </c>
    </row>
    <row r="980" spans="2:14">
      <c r="B980" s="1297"/>
      <c r="C980" s="1297"/>
      <c r="D980" s="1297"/>
      <c r="E980" s="1297" t="s">
        <v>1006</v>
      </c>
      <c r="F980" s="1399">
        <v>519630.07</v>
      </c>
      <c r="J980" s="1399">
        <v>519630.07</v>
      </c>
    </row>
    <row r="981" spans="2:14">
      <c r="B981" s="1297"/>
      <c r="C981" s="1297"/>
      <c r="D981" s="1297"/>
      <c r="E981" s="1297" t="s">
        <v>1214</v>
      </c>
      <c r="F981" s="1399">
        <v>606298.57999999996</v>
      </c>
      <c r="J981" s="1399">
        <v>606298.57999999996</v>
      </c>
    </row>
    <row r="982" spans="2:14">
      <c r="B982" s="1297"/>
      <c r="C982" s="1297"/>
      <c r="D982" s="1297"/>
      <c r="E982" s="1297" t="s">
        <v>947</v>
      </c>
      <c r="F982" s="1399">
        <v>469179.85999999993</v>
      </c>
      <c r="J982" s="1399">
        <v>469179.85999999993</v>
      </c>
    </row>
    <row r="983" spans="2:14">
      <c r="B983" s="1297"/>
      <c r="C983" s="1297"/>
      <c r="D983" s="1297"/>
      <c r="E983" s="1404" t="s">
        <v>948</v>
      </c>
      <c r="F983" s="1405"/>
      <c r="G983" s="1405"/>
      <c r="H983" s="1405">
        <v>22580108.5</v>
      </c>
      <c r="I983" s="1405"/>
      <c r="J983" s="1405">
        <v>22580108.5</v>
      </c>
    </row>
    <row r="984" spans="2:14">
      <c r="B984" s="1297"/>
      <c r="C984" s="1297"/>
      <c r="D984" s="1297"/>
      <c r="E984" s="1297" t="s">
        <v>956</v>
      </c>
      <c r="H984" s="1399">
        <v>905673.2</v>
      </c>
      <c r="J984" s="1399">
        <v>905673.2</v>
      </c>
    </row>
    <row r="985" spans="2:14">
      <c r="B985" s="1297"/>
      <c r="C985" s="1297"/>
      <c r="D985" s="1297"/>
      <c r="E985" s="1297" t="s">
        <v>1218</v>
      </c>
      <c r="H985" s="1399">
        <v>6332427.2999999998</v>
      </c>
      <c r="J985" s="1399">
        <v>6332427.2999999998</v>
      </c>
    </row>
    <row r="986" spans="2:14">
      <c r="B986" s="1297"/>
      <c r="C986" s="1297"/>
      <c r="D986" s="1400" t="s">
        <v>1219</v>
      </c>
      <c r="E986" s="1400"/>
      <c r="F986" s="1401">
        <f>SUM(F949:F985)</f>
        <v>52588790.809999995</v>
      </c>
      <c r="G986" s="1401">
        <f>SUM(G949:G985)</f>
        <v>218326842.99000004</v>
      </c>
      <c r="H986" s="1401">
        <f>SUM(H949:H985)-H983</f>
        <v>16976287.919999994</v>
      </c>
      <c r="I986" s="1401">
        <f>SUM(I949:I985)-I968</f>
        <v>127680999.38000001</v>
      </c>
      <c r="J986" s="1401">
        <f>SUM(J949:J985)</f>
        <v>443467287.55000001</v>
      </c>
      <c r="K986" s="1401">
        <f>SUM(F986:I986)</f>
        <v>415572921.10000002</v>
      </c>
      <c r="L986" s="1407">
        <f>K986/C949</f>
        <v>12389.259192678055</v>
      </c>
      <c r="M986" s="1407">
        <f>F986/C949</f>
        <v>1567.8022481590792</v>
      </c>
      <c r="N986" s="1400">
        <f>F986/K986</f>
        <v>0.12654527795218271</v>
      </c>
    </row>
    <row r="987" spans="2:14">
      <c r="B987" s="1297" t="s">
        <v>1220</v>
      </c>
      <c r="C987" s="1297">
        <v>884</v>
      </c>
      <c r="D987" s="1297" t="s">
        <v>1221</v>
      </c>
      <c r="E987" s="1297" t="s">
        <v>906</v>
      </c>
      <c r="G987" s="1399">
        <v>1014972.62</v>
      </c>
      <c r="J987" s="1399">
        <v>1014972.62</v>
      </c>
    </row>
    <row r="988" spans="2:14">
      <c r="B988" s="1297"/>
      <c r="C988" s="1297"/>
      <c r="D988" s="1297"/>
      <c r="E988" s="1297" t="s">
        <v>952</v>
      </c>
      <c r="G988" s="1399">
        <v>29539.4</v>
      </c>
      <c r="J988" s="1399">
        <v>29539.4</v>
      </c>
    </row>
    <row r="989" spans="2:14">
      <c r="B989" s="1297"/>
      <c r="C989" s="1297"/>
      <c r="D989" s="1297"/>
      <c r="E989" s="1297" t="s">
        <v>907</v>
      </c>
      <c r="G989" s="1399">
        <v>1300744.71</v>
      </c>
      <c r="J989" s="1399">
        <v>1300744.71</v>
      </c>
    </row>
    <row r="990" spans="2:14">
      <c r="B990" s="1297"/>
      <c r="C990" s="1297"/>
      <c r="D990" s="1297"/>
      <c r="E990" s="1297" t="s">
        <v>1035</v>
      </c>
      <c r="H990" s="1399">
        <v>178242.26</v>
      </c>
      <c r="J990" s="1399">
        <v>178242.26</v>
      </c>
    </row>
    <row r="991" spans="2:14">
      <c r="B991" s="1297"/>
      <c r="C991" s="1297"/>
      <c r="D991" s="1297"/>
      <c r="E991" s="1297" t="s">
        <v>1037</v>
      </c>
      <c r="H991" s="1399">
        <v>39190</v>
      </c>
      <c r="J991" s="1399">
        <v>39190</v>
      </c>
    </row>
    <row r="992" spans="2:14">
      <c r="B992" s="1297"/>
      <c r="C992" s="1297"/>
      <c r="D992" s="1297"/>
      <c r="E992" s="1297" t="s">
        <v>1039</v>
      </c>
      <c r="H992" s="1399">
        <v>1849.6299999999999</v>
      </c>
      <c r="J992" s="1399">
        <v>1849.6299999999999</v>
      </c>
    </row>
    <row r="993" spans="5:10" s="1297" customFormat="1">
      <c r="E993" s="1297" t="s">
        <v>1040</v>
      </c>
      <c r="F993" s="1399"/>
      <c r="G993" s="1399"/>
      <c r="H993" s="1399">
        <v>56621.85</v>
      </c>
      <c r="I993" s="1399"/>
      <c r="J993" s="1399">
        <v>56621.85</v>
      </c>
    </row>
    <row r="994" spans="5:10" s="1297" customFormat="1">
      <c r="E994" s="1297" t="s">
        <v>1042</v>
      </c>
      <c r="F994" s="1399"/>
      <c r="G994" s="1399"/>
      <c r="H994" s="1399">
        <v>25787.26</v>
      </c>
      <c r="I994" s="1399"/>
      <c r="J994" s="1399">
        <v>25787.26</v>
      </c>
    </row>
    <row r="995" spans="5:10" s="1297" customFormat="1">
      <c r="E995" s="1297" t="s">
        <v>985</v>
      </c>
      <c r="F995" s="1399"/>
      <c r="G995" s="1399"/>
      <c r="H995" s="1399">
        <v>117930.5</v>
      </c>
      <c r="I995" s="1399"/>
      <c r="J995" s="1399">
        <v>117930.5</v>
      </c>
    </row>
    <row r="996" spans="5:10" s="1297" customFormat="1">
      <c r="E996" s="1297" t="s">
        <v>1044</v>
      </c>
      <c r="F996" s="1399">
        <v>8655</v>
      </c>
      <c r="G996" s="1399"/>
      <c r="H996" s="1399"/>
      <c r="I996" s="1399"/>
      <c r="J996" s="1399">
        <v>8655</v>
      </c>
    </row>
    <row r="997" spans="5:10" s="1297" customFormat="1">
      <c r="E997" s="1297" t="s">
        <v>1045</v>
      </c>
      <c r="F997" s="1399"/>
      <c r="G997" s="1399"/>
      <c r="H997" s="1399">
        <v>136631.21</v>
      </c>
      <c r="I997" s="1399"/>
      <c r="J997" s="1399">
        <v>136631.21</v>
      </c>
    </row>
    <row r="998" spans="5:10" s="1297" customFormat="1">
      <c r="E998" s="1297" t="s">
        <v>1046</v>
      </c>
      <c r="F998" s="1399"/>
      <c r="G998" s="1399"/>
      <c r="H998" s="1399"/>
      <c r="I998" s="1399">
        <v>4814717</v>
      </c>
      <c r="J998" s="1399">
        <v>4814717</v>
      </c>
    </row>
    <row r="999" spans="5:10" s="1297" customFormat="1">
      <c r="E999" s="1297" t="s">
        <v>1047</v>
      </c>
      <c r="F999" s="1399"/>
      <c r="G999" s="1399"/>
      <c r="H999" s="1399"/>
      <c r="I999" s="1399">
        <v>249352</v>
      </c>
      <c r="J999" s="1399">
        <v>249352</v>
      </c>
    </row>
    <row r="1000" spans="5:10" s="1297" customFormat="1">
      <c r="E1000" s="1297" t="s">
        <v>1048</v>
      </c>
      <c r="F1000" s="1399"/>
      <c r="G1000" s="1399"/>
      <c r="H1000" s="1399"/>
      <c r="I1000" s="1399">
        <v>-269642</v>
      </c>
      <c r="J1000" s="1399">
        <v>-269642</v>
      </c>
    </row>
    <row r="1001" spans="5:10" s="1297" customFormat="1">
      <c r="E1001" s="1297" t="s">
        <v>932</v>
      </c>
      <c r="F1001" s="1399"/>
      <c r="G1001" s="1399"/>
      <c r="H1001" s="1399"/>
      <c r="I1001" s="1399">
        <v>1350552</v>
      </c>
      <c r="J1001" s="1399">
        <v>1350552</v>
      </c>
    </row>
    <row r="1002" spans="5:10" s="1297" customFormat="1">
      <c r="E1002" s="1404" t="s">
        <v>955</v>
      </c>
      <c r="F1002" s="1405"/>
      <c r="G1002" s="1405"/>
      <c r="H1002" s="1405"/>
      <c r="I1002" s="1405">
        <v>178620.58</v>
      </c>
      <c r="J1002" s="1405">
        <v>178620.58</v>
      </c>
    </row>
    <row r="1003" spans="5:10" s="1297" customFormat="1">
      <c r="E1003" s="1297" t="s">
        <v>934</v>
      </c>
      <c r="F1003" s="1399"/>
      <c r="G1003" s="1399"/>
      <c r="H1003" s="1399"/>
      <c r="I1003" s="1399">
        <v>15872</v>
      </c>
      <c r="J1003" s="1399">
        <v>15872</v>
      </c>
    </row>
    <row r="1004" spans="5:10" s="1297" customFormat="1">
      <c r="E1004" s="1297" t="s">
        <v>1130</v>
      </c>
      <c r="F1004" s="1399"/>
      <c r="G1004" s="1399"/>
      <c r="H1004" s="1399"/>
      <c r="I1004" s="1399">
        <v>117801</v>
      </c>
      <c r="J1004" s="1399">
        <v>117801</v>
      </c>
    </row>
    <row r="1005" spans="5:10" s="1297" customFormat="1">
      <c r="E1005" s="1297" t="s">
        <v>935</v>
      </c>
      <c r="F1005" s="1399"/>
      <c r="G1005" s="1399"/>
      <c r="H1005" s="1399"/>
      <c r="I1005" s="1399">
        <v>26921.34</v>
      </c>
      <c r="J1005" s="1399">
        <v>26921.34</v>
      </c>
    </row>
    <row r="1006" spans="5:10" s="1297" customFormat="1">
      <c r="E1006" s="1297" t="s">
        <v>936</v>
      </c>
      <c r="F1006" s="1399"/>
      <c r="G1006" s="1399"/>
      <c r="H1006" s="1399"/>
      <c r="I1006" s="1399">
        <v>16807.23</v>
      </c>
      <c r="J1006" s="1399">
        <v>16807.23</v>
      </c>
    </row>
    <row r="1007" spans="5:10" s="1297" customFormat="1">
      <c r="E1007" s="1297" t="s">
        <v>937</v>
      </c>
      <c r="F1007" s="1399"/>
      <c r="G1007" s="1399"/>
      <c r="H1007" s="1399"/>
      <c r="I1007" s="1399">
        <v>5902.42</v>
      </c>
      <c r="J1007" s="1399">
        <v>5902.42</v>
      </c>
    </row>
    <row r="1008" spans="5:10" s="1297" customFormat="1">
      <c r="E1008" s="1297" t="s">
        <v>938</v>
      </c>
      <c r="F1008" s="1399"/>
      <c r="G1008" s="1399"/>
      <c r="H1008" s="1399"/>
      <c r="I1008" s="1399">
        <v>2620</v>
      </c>
      <c r="J1008" s="1399">
        <v>2620</v>
      </c>
    </row>
    <row r="1009" spans="2:12">
      <c r="B1009" s="1297"/>
      <c r="C1009" s="1297"/>
      <c r="D1009" s="1297"/>
      <c r="E1009" s="1297" t="s">
        <v>940</v>
      </c>
      <c r="F1009" s="1399">
        <v>280787.56</v>
      </c>
      <c r="J1009" s="1399">
        <v>280787.56</v>
      </c>
    </row>
    <row r="1010" spans="2:12">
      <c r="B1010" s="1297"/>
      <c r="C1010" s="1297"/>
      <c r="D1010" s="1297"/>
      <c r="E1010" s="1297" t="s">
        <v>941</v>
      </c>
      <c r="F1010" s="1399">
        <v>127059.38</v>
      </c>
      <c r="J1010" s="1399">
        <v>127059.38</v>
      </c>
    </row>
    <row r="1011" spans="2:12">
      <c r="B1011" s="1297"/>
      <c r="C1011" s="1297"/>
      <c r="D1011" s="1297"/>
      <c r="E1011" s="1297" t="s">
        <v>943</v>
      </c>
      <c r="F1011" s="1399">
        <v>10143.18</v>
      </c>
      <c r="J1011" s="1399">
        <v>10143.18</v>
      </c>
    </row>
    <row r="1012" spans="2:12">
      <c r="B1012" s="1297"/>
      <c r="C1012" s="1297"/>
      <c r="D1012" s="1297"/>
      <c r="E1012" s="1297" t="s">
        <v>944</v>
      </c>
      <c r="F1012" s="1399">
        <v>739657.99999999988</v>
      </c>
      <c r="J1012" s="1399">
        <v>739657.99999999988</v>
      </c>
    </row>
    <row r="1013" spans="2:12">
      <c r="B1013" s="1297"/>
      <c r="C1013" s="1297"/>
      <c r="D1013" s="1297"/>
      <c r="E1013" s="1297" t="s">
        <v>945</v>
      </c>
      <c r="F1013" s="1399">
        <v>311572.25999999995</v>
      </c>
      <c r="J1013" s="1399">
        <v>311572.25999999995</v>
      </c>
    </row>
    <row r="1014" spans="2:12">
      <c r="B1014" s="1297"/>
      <c r="C1014" s="1297"/>
      <c r="D1014" s="1297"/>
      <c r="E1014" s="1297" t="s">
        <v>1006</v>
      </c>
      <c r="F1014" s="1399">
        <v>635893.52</v>
      </c>
      <c r="J1014" s="1399">
        <v>635893.52</v>
      </c>
    </row>
    <row r="1015" spans="2:12">
      <c r="B1015" s="1297"/>
      <c r="C1015" s="1297"/>
      <c r="D1015" s="1297"/>
      <c r="E1015" s="1297" t="s">
        <v>947</v>
      </c>
      <c r="F1015" s="1399">
        <v>14269.3</v>
      </c>
      <c r="J1015" s="1399">
        <v>14269.3</v>
      </c>
    </row>
    <row r="1016" spans="2:12">
      <c r="B1016" s="1297"/>
      <c r="C1016" s="1297"/>
      <c r="D1016" s="1297"/>
      <c r="E1016" s="1404" t="s">
        <v>948</v>
      </c>
      <c r="F1016" s="1405"/>
      <c r="G1016" s="1405"/>
      <c r="H1016" s="1405">
        <v>1041468.94</v>
      </c>
      <c r="I1016" s="1405"/>
      <c r="J1016" s="1405">
        <v>1041468.94</v>
      </c>
    </row>
    <row r="1017" spans="2:12">
      <c r="B1017" s="1297"/>
      <c r="C1017" s="1297"/>
      <c r="D1017" s="1297"/>
      <c r="E1017" s="1297" t="s">
        <v>956</v>
      </c>
      <c r="H1017" s="1399">
        <v>2647.09</v>
      </c>
      <c r="J1017" s="1399">
        <v>2647.09</v>
      </c>
    </row>
    <row r="1018" spans="2:12">
      <c r="B1018" s="1297"/>
      <c r="C1018" s="1297"/>
      <c r="D1018" s="1400" t="s">
        <v>1222</v>
      </c>
      <c r="E1018" s="1400"/>
      <c r="F1018" s="1401">
        <f>SUM(F987:F1017)</f>
        <v>2128038.1999999997</v>
      </c>
      <c r="G1018" s="1401">
        <f>SUM(G987:G1017)</f>
        <v>2345256.73</v>
      </c>
      <c r="H1018" s="1401">
        <f>SUM(H987:H1017)-H1016</f>
        <v>558899.80000000005</v>
      </c>
      <c r="I1018" s="1401">
        <f>SUM(I987:I1017)-I1002</f>
        <v>6330902.9900000002</v>
      </c>
      <c r="J1018" s="1401">
        <f>SUM(J987:J1017)</f>
        <v>12583187.24</v>
      </c>
      <c r="K1018" s="1401">
        <f>SUM(F1018:I1018)</f>
        <v>11363097.719999999</v>
      </c>
      <c r="L1018" s="1408">
        <f>K1018/C987</f>
        <v>12854.182941176468</v>
      </c>
    </row>
    <row r="1019" spans="2:12">
      <c r="B1019" s="1297" t="s">
        <v>1049</v>
      </c>
      <c r="C1019" s="1297">
        <v>2606</v>
      </c>
      <c r="D1019" s="1297" t="s">
        <v>1050</v>
      </c>
      <c r="E1019" s="1297" t="s">
        <v>906</v>
      </c>
      <c r="G1019" s="1399">
        <v>4967755.6399999997</v>
      </c>
      <c r="J1019" s="1399">
        <v>4967755.6399999997</v>
      </c>
    </row>
    <row r="1020" spans="2:12">
      <c r="B1020" s="1297"/>
      <c r="C1020" s="1297"/>
      <c r="D1020" s="1297"/>
      <c r="E1020" s="1297" t="s">
        <v>1126</v>
      </c>
      <c r="G1020" s="1399">
        <v>1657890.01</v>
      </c>
      <c r="J1020" s="1399">
        <v>1657890.01</v>
      </c>
    </row>
    <row r="1021" spans="2:12">
      <c r="B1021" s="1297"/>
      <c r="C1021" s="1297"/>
      <c r="D1021" s="1297"/>
      <c r="E1021" s="1297" t="s">
        <v>952</v>
      </c>
      <c r="G1021" s="1399">
        <v>61944.69</v>
      </c>
      <c r="J1021" s="1399">
        <v>61944.69</v>
      </c>
    </row>
    <row r="1022" spans="2:12">
      <c r="B1022" s="1297"/>
      <c r="C1022" s="1297"/>
      <c r="D1022" s="1297"/>
      <c r="E1022" s="1297" t="s">
        <v>907</v>
      </c>
      <c r="G1022" s="1399">
        <v>1721616.97</v>
      </c>
      <c r="J1022" s="1399">
        <v>1721616.97</v>
      </c>
    </row>
    <row r="1023" spans="2:12">
      <c r="B1023" s="1297"/>
      <c r="C1023" s="1297"/>
      <c r="D1023" s="1297"/>
      <c r="E1023" s="1297" t="s">
        <v>908</v>
      </c>
      <c r="G1023" s="1399">
        <v>35337.49</v>
      </c>
      <c r="J1023" s="1399">
        <v>35337.49</v>
      </c>
    </row>
    <row r="1024" spans="2:12">
      <c r="B1024" s="1297"/>
      <c r="C1024" s="1297"/>
      <c r="D1024" s="1297"/>
      <c r="E1024" s="1297" t="s">
        <v>1039</v>
      </c>
      <c r="H1024" s="1399">
        <v>177764.96</v>
      </c>
      <c r="J1024" s="1399">
        <v>177764.96</v>
      </c>
    </row>
    <row r="1025" spans="5:10" s="1297" customFormat="1">
      <c r="E1025" s="1297" t="s">
        <v>1040</v>
      </c>
      <c r="F1025" s="1399"/>
      <c r="G1025" s="1399"/>
      <c r="H1025" s="1399">
        <v>111079.63999999998</v>
      </c>
      <c r="I1025" s="1399"/>
      <c r="J1025" s="1399">
        <v>111079.63999999998</v>
      </c>
    </row>
    <row r="1026" spans="5:10" s="1297" customFormat="1">
      <c r="E1026" s="1297" t="s">
        <v>1041</v>
      </c>
      <c r="F1026" s="1399"/>
      <c r="G1026" s="1399"/>
      <c r="H1026" s="1399">
        <v>71261</v>
      </c>
      <c r="I1026" s="1399"/>
      <c r="J1026" s="1399">
        <v>71261</v>
      </c>
    </row>
    <row r="1027" spans="5:10" s="1297" customFormat="1">
      <c r="E1027" s="1297" t="s">
        <v>1042</v>
      </c>
      <c r="F1027" s="1399"/>
      <c r="G1027" s="1399"/>
      <c r="H1027" s="1399">
        <v>26230.11</v>
      </c>
      <c r="I1027" s="1399"/>
      <c r="J1027" s="1399">
        <v>26230.11</v>
      </c>
    </row>
    <row r="1028" spans="5:10" s="1297" customFormat="1">
      <c r="E1028" s="1297" t="s">
        <v>953</v>
      </c>
      <c r="F1028" s="1399"/>
      <c r="G1028" s="1399"/>
      <c r="H1028" s="1399">
        <v>28852.2</v>
      </c>
      <c r="I1028" s="1399"/>
      <c r="J1028" s="1399">
        <v>28852.2</v>
      </c>
    </row>
    <row r="1029" spans="5:10" s="1297" customFormat="1">
      <c r="E1029" s="1297" t="s">
        <v>986</v>
      </c>
      <c r="F1029" s="1399"/>
      <c r="G1029" s="1399"/>
      <c r="H1029" s="1399">
        <v>590508.13</v>
      </c>
      <c r="I1029" s="1399"/>
      <c r="J1029" s="1399">
        <v>590508.13</v>
      </c>
    </row>
    <row r="1030" spans="5:10" s="1297" customFormat="1">
      <c r="E1030" s="1297" t="s">
        <v>996</v>
      </c>
      <c r="F1030" s="1399"/>
      <c r="G1030" s="1399"/>
      <c r="H1030" s="1399">
        <v>23684</v>
      </c>
      <c r="I1030" s="1399"/>
      <c r="J1030" s="1399">
        <v>23684</v>
      </c>
    </row>
    <row r="1031" spans="5:10" s="1297" customFormat="1">
      <c r="E1031" s="1297" t="s">
        <v>1045</v>
      </c>
      <c r="F1031" s="1399"/>
      <c r="G1031" s="1399"/>
      <c r="H1031" s="1399">
        <v>223311.16</v>
      </c>
      <c r="I1031" s="1399"/>
      <c r="J1031" s="1399">
        <v>223311.16</v>
      </c>
    </row>
    <row r="1032" spans="5:10" s="1297" customFormat="1">
      <c r="E1032" s="1297" t="s">
        <v>1046</v>
      </c>
      <c r="F1032" s="1399"/>
      <c r="G1032" s="1399"/>
      <c r="H1032" s="1399"/>
      <c r="I1032" s="1399">
        <v>14614563</v>
      </c>
      <c r="J1032" s="1399">
        <v>14614563</v>
      </c>
    </row>
    <row r="1033" spans="5:10" s="1297" customFormat="1">
      <c r="E1033" s="1297" t="s">
        <v>1128</v>
      </c>
      <c r="F1033" s="1399"/>
      <c r="G1033" s="1399"/>
      <c r="H1033" s="1399"/>
      <c r="I1033" s="1399">
        <v>1142774</v>
      </c>
      <c r="J1033" s="1399">
        <v>1142774</v>
      </c>
    </row>
    <row r="1034" spans="5:10" s="1297" customFormat="1">
      <c r="E1034" s="1297" t="s">
        <v>1129</v>
      </c>
      <c r="F1034" s="1399"/>
      <c r="G1034" s="1399"/>
      <c r="H1034" s="1399"/>
      <c r="I1034" s="1399">
        <v>-2110535</v>
      </c>
      <c r="J1034" s="1399">
        <v>-2110535</v>
      </c>
    </row>
    <row r="1035" spans="5:10" s="1297" customFormat="1">
      <c r="E1035" s="1297" t="s">
        <v>1047</v>
      </c>
      <c r="F1035" s="1399"/>
      <c r="G1035" s="1399"/>
      <c r="H1035" s="1399"/>
      <c r="I1035" s="1399">
        <v>440055</v>
      </c>
      <c r="J1035" s="1399">
        <v>440055</v>
      </c>
    </row>
    <row r="1036" spans="5:10" s="1297" customFormat="1">
      <c r="E1036" s="1297" t="s">
        <v>1048</v>
      </c>
      <c r="F1036" s="1399"/>
      <c r="G1036" s="1399"/>
      <c r="H1036" s="1399"/>
      <c r="I1036" s="1399">
        <v>-2236461</v>
      </c>
      <c r="J1036" s="1399">
        <v>-2236461</v>
      </c>
    </row>
    <row r="1037" spans="5:10" s="1297" customFormat="1">
      <c r="E1037" s="1297" t="s">
        <v>932</v>
      </c>
      <c r="F1037" s="1399"/>
      <c r="G1037" s="1399"/>
      <c r="H1037" s="1399"/>
      <c r="I1037" s="1399">
        <v>813293</v>
      </c>
      <c r="J1037" s="1399">
        <v>813293</v>
      </c>
    </row>
    <row r="1038" spans="5:10" s="1297" customFormat="1">
      <c r="E1038" s="1404" t="s">
        <v>955</v>
      </c>
      <c r="F1038" s="1405"/>
      <c r="G1038" s="1405"/>
      <c r="H1038" s="1405"/>
      <c r="I1038" s="1405">
        <v>360013.71</v>
      </c>
      <c r="J1038" s="1405">
        <v>360013.71</v>
      </c>
    </row>
    <row r="1039" spans="5:10" s="1297" customFormat="1">
      <c r="E1039" s="1297" t="s">
        <v>934</v>
      </c>
      <c r="F1039" s="1399"/>
      <c r="G1039" s="1399"/>
      <c r="H1039" s="1399"/>
      <c r="I1039" s="1399">
        <v>53956</v>
      </c>
      <c r="J1039" s="1399">
        <v>53956</v>
      </c>
    </row>
    <row r="1040" spans="5:10" s="1297" customFormat="1">
      <c r="E1040" s="1297" t="s">
        <v>935</v>
      </c>
      <c r="F1040" s="1399"/>
      <c r="G1040" s="1399"/>
      <c r="H1040" s="1399"/>
      <c r="I1040" s="1399">
        <v>400099.21</v>
      </c>
      <c r="J1040" s="1399">
        <v>400099.21</v>
      </c>
    </row>
    <row r="1041" spans="2:12">
      <c r="B1041" s="1297"/>
      <c r="C1041" s="1297"/>
      <c r="D1041" s="1297"/>
      <c r="E1041" s="1297" t="s">
        <v>936</v>
      </c>
      <c r="I1041" s="1399">
        <v>47970.62</v>
      </c>
      <c r="J1041" s="1399">
        <v>47970.62</v>
      </c>
    </row>
    <row r="1042" spans="2:12">
      <c r="B1042" s="1297"/>
      <c r="C1042" s="1297"/>
      <c r="D1042" s="1297"/>
      <c r="E1042" s="1297" t="s">
        <v>937</v>
      </c>
      <c r="I1042" s="1399">
        <v>7017.75</v>
      </c>
      <c r="J1042" s="1399">
        <v>7017.75</v>
      </c>
    </row>
    <row r="1043" spans="2:12">
      <c r="B1043" s="1297"/>
      <c r="C1043" s="1297"/>
      <c r="D1043" s="1297"/>
      <c r="E1043" s="1297" t="s">
        <v>938</v>
      </c>
      <c r="I1043" s="1399">
        <v>14786</v>
      </c>
      <c r="J1043" s="1399">
        <v>14786</v>
      </c>
    </row>
    <row r="1044" spans="2:12">
      <c r="B1044" s="1297"/>
      <c r="C1044" s="1297"/>
      <c r="D1044" s="1297"/>
      <c r="E1044" s="1297" t="s">
        <v>939</v>
      </c>
      <c r="I1044" s="1399">
        <v>49765.41</v>
      </c>
      <c r="J1044" s="1399">
        <v>49765.41</v>
      </c>
    </row>
    <row r="1045" spans="2:12">
      <c r="B1045" s="1297"/>
      <c r="C1045" s="1297"/>
      <c r="D1045" s="1297"/>
      <c r="E1045" s="1297" t="s">
        <v>940</v>
      </c>
      <c r="F1045" s="1399">
        <v>776208.12</v>
      </c>
      <c r="J1045" s="1399">
        <v>776208.12</v>
      </c>
    </row>
    <row r="1046" spans="2:12">
      <c r="B1046" s="1297"/>
      <c r="C1046" s="1297"/>
      <c r="D1046" s="1297"/>
      <c r="E1046" s="1297" t="s">
        <v>941</v>
      </c>
      <c r="F1046" s="1399">
        <v>277785.96000000002</v>
      </c>
      <c r="J1046" s="1399">
        <v>277785.96000000002</v>
      </c>
    </row>
    <row r="1047" spans="2:12">
      <c r="B1047" s="1297"/>
      <c r="C1047" s="1297"/>
      <c r="D1047" s="1297"/>
      <c r="E1047" s="1297" t="s">
        <v>943</v>
      </c>
      <c r="F1047" s="1399">
        <v>4752.28</v>
      </c>
      <c r="J1047" s="1399">
        <v>4752.28</v>
      </c>
    </row>
    <row r="1048" spans="2:12">
      <c r="B1048" s="1297"/>
      <c r="C1048" s="1297"/>
      <c r="D1048" s="1297"/>
      <c r="E1048" s="1297" t="s">
        <v>944</v>
      </c>
      <c r="F1048" s="1399">
        <v>2270693.5</v>
      </c>
      <c r="J1048" s="1399">
        <v>2270693.5</v>
      </c>
    </row>
    <row r="1049" spans="2:12">
      <c r="B1049" s="1297"/>
      <c r="C1049" s="1297"/>
      <c r="D1049" s="1297"/>
      <c r="E1049" s="1297" t="s">
        <v>945</v>
      </c>
      <c r="F1049" s="1399">
        <v>1638095.81</v>
      </c>
      <c r="J1049" s="1399">
        <v>1638095.81</v>
      </c>
    </row>
    <row r="1050" spans="2:12">
      <c r="B1050" s="1297"/>
      <c r="C1050" s="1297"/>
      <c r="D1050" s="1297"/>
      <c r="E1050" s="1297" t="s">
        <v>946</v>
      </c>
      <c r="F1050" s="1399">
        <v>28373.269999999997</v>
      </c>
      <c r="J1050" s="1399">
        <v>28373.269999999997</v>
      </c>
    </row>
    <row r="1051" spans="2:12">
      <c r="B1051" s="1297"/>
      <c r="C1051" s="1297"/>
      <c r="D1051" s="1297"/>
      <c r="E1051" s="1297" t="s">
        <v>978</v>
      </c>
      <c r="F1051" s="1399">
        <v>1200</v>
      </c>
      <c r="J1051" s="1399">
        <v>1200</v>
      </c>
    </row>
    <row r="1052" spans="2:12">
      <c r="B1052" s="1297"/>
      <c r="C1052" s="1297"/>
      <c r="D1052" s="1297"/>
      <c r="E1052" s="1297" t="s">
        <v>947</v>
      </c>
      <c r="F1052" s="1399">
        <v>36058.39</v>
      </c>
      <c r="J1052" s="1399">
        <v>36058.39</v>
      </c>
    </row>
    <row r="1053" spans="2:12">
      <c r="B1053" s="1297"/>
      <c r="C1053" s="1297"/>
      <c r="D1053" s="1297"/>
      <c r="E1053" s="1404" t="s">
        <v>948</v>
      </c>
      <c r="F1053" s="1405"/>
      <c r="G1053" s="1405"/>
      <c r="H1053" s="1405">
        <v>1705047.32</v>
      </c>
      <c r="I1053" s="1405"/>
      <c r="J1053" s="1405">
        <v>1705047.32</v>
      </c>
    </row>
    <row r="1054" spans="2:12">
      <c r="B1054" s="1297"/>
      <c r="C1054" s="1297"/>
      <c r="D1054" s="1297"/>
      <c r="E1054" s="1297" t="s">
        <v>1051</v>
      </c>
      <c r="H1054" s="1399">
        <v>158260.09</v>
      </c>
      <c r="J1054" s="1399">
        <v>158260.09</v>
      </c>
    </row>
    <row r="1055" spans="2:12">
      <c r="B1055" s="1297"/>
      <c r="C1055" s="1297"/>
      <c r="D1055" s="1400" t="s">
        <v>1052</v>
      </c>
      <c r="E1055" s="1400"/>
      <c r="F1055" s="1401">
        <f>SUM(F1019:F1054)</f>
        <v>5033167.3299999991</v>
      </c>
      <c r="G1055" s="1401">
        <f>SUM(G1019:G1054)</f>
        <v>8444544.8000000007</v>
      </c>
      <c r="H1055" s="1401">
        <f>SUM(H1019:H1054)-H1053</f>
        <v>1410951.2899999998</v>
      </c>
      <c r="I1055" s="1401">
        <f>SUM(I1019:I1054)-I1038</f>
        <v>13237283.99</v>
      </c>
      <c r="J1055" s="1401">
        <f>SUM(J1019:J1054)</f>
        <v>30191008.440000005</v>
      </c>
      <c r="K1055" s="1401">
        <f>SUM(F1055:I1055)</f>
        <v>28125947.409999996</v>
      </c>
      <c r="L1055" s="1408">
        <f>K1055/C1019</f>
        <v>10792.765698388333</v>
      </c>
    </row>
    <row r="1056" spans="2:12">
      <c r="B1056" s="1297" t="s">
        <v>1053</v>
      </c>
      <c r="C1056" s="1297">
        <v>38014</v>
      </c>
      <c r="D1056" s="1297" t="s">
        <v>1054</v>
      </c>
      <c r="E1056" s="1297" t="s">
        <v>906</v>
      </c>
      <c r="G1056" s="1399">
        <v>135151475.52000001</v>
      </c>
      <c r="J1056" s="1399">
        <v>135151475.52000001</v>
      </c>
    </row>
    <row r="1057" spans="5:10" s="1297" customFormat="1">
      <c r="E1057" s="1297" t="s">
        <v>907</v>
      </c>
      <c r="F1057" s="1399"/>
      <c r="G1057" s="1399">
        <v>28033590.719999999</v>
      </c>
      <c r="H1057" s="1399"/>
      <c r="I1057" s="1399"/>
      <c r="J1057" s="1399">
        <v>28033590.719999999</v>
      </c>
    </row>
    <row r="1058" spans="5:10" s="1297" customFormat="1">
      <c r="E1058" s="1297" t="s">
        <v>908</v>
      </c>
      <c r="F1058" s="1399"/>
      <c r="G1058" s="1399">
        <v>22955.88</v>
      </c>
      <c r="H1058" s="1399"/>
      <c r="I1058" s="1399"/>
      <c r="J1058" s="1399">
        <v>22955.88</v>
      </c>
    </row>
    <row r="1059" spans="5:10" s="1297" customFormat="1">
      <c r="E1059" s="1297" t="s">
        <v>909</v>
      </c>
      <c r="F1059" s="1399"/>
      <c r="G1059" s="1399">
        <v>1151199.05</v>
      </c>
      <c r="H1059" s="1399"/>
      <c r="I1059" s="1399"/>
      <c r="J1059" s="1399">
        <v>1151199.05</v>
      </c>
    </row>
    <row r="1060" spans="5:10" s="1297" customFormat="1">
      <c r="E1060" s="1297" t="s">
        <v>910</v>
      </c>
      <c r="F1060" s="1399"/>
      <c r="G1060" s="1399">
        <v>332397.99</v>
      </c>
      <c r="H1060" s="1399"/>
      <c r="I1060" s="1399"/>
      <c r="J1060" s="1399">
        <v>332397.99</v>
      </c>
    </row>
    <row r="1061" spans="5:10" s="1297" customFormat="1">
      <c r="E1061" s="1297" t="s">
        <v>1034</v>
      </c>
      <c r="F1061" s="1399"/>
      <c r="G1061" s="1399"/>
      <c r="H1061" s="1399">
        <v>457258.14</v>
      </c>
      <c r="I1061" s="1399"/>
      <c r="J1061" s="1399">
        <v>457258.14</v>
      </c>
    </row>
    <row r="1062" spans="5:10" s="1297" customFormat="1">
      <c r="E1062" s="1297" t="s">
        <v>1035</v>
      </c>
      <c r="F1062" s="1399"/>
      <c r="G1062" s="1399"/>
      <c r="H1062" s="1399">
        <v>7692954.4400000004</v>
      </c>
      <c r="I1062" s="1399"/>
      <c r="J1062" s="1399">
        <v>7692954.4400000004</v>
      </c>
    </row>
    <row r="1063" spans="5:10" s="1297" customFormat="1">
      <c r="E1063" s="1297" t="s">
        <v>1036</v>
      </c>
      <c r="F1063" s="1399"/>
      <c r="G1063" s="1399"/>
      <c r="H1063" s="1399">
        <v>1299410.51</v>
      </c>
      <c r="I1063" s="1399"/>
      <c r="J1063" s="1399">
        <v>1299410.51</v>
      </c>
    </row>
    <row r="1064" spans="5:10" s="1297" customFormat="1">
      <c r="E1064" s="1297" t="s">
        <v>1037</v>
      </c>
      <c r="F1064" s="1399"/>
      <c r="G1064" s="1399"/>
      <c r="H1064" s="1399">
        <v>17883</v>
      </c>
      <c r="I1064" s="1399"/>
      <c r="J1064" s="1399">
        <v>17883</v>
      </c>
    </row>
    <row r="1065" spans="5:10" s="1297" customFormat="1">
      <c r="E1065" s="1297" t="s">
        <v>1038</v>
      </c>
      <c r="F1065" s="1399"/>
      <c r="G1065" s="1399"/>
      <c r="H1065" s="1399">
        <v>379323</v>
      </c>
      <c r="I1065" s="1399"/>
      <c r="J1065" s="1399">
        <v>379323</v>
      </c>
    </row>
    <row r="1066" spans="5:10" s="1297" customFormat="1">
      <c r="E1066" s="1297" t="s">
        <v>1039</v>
      </c>
      <c r="F1066" s="1399"/>
      <c r="G1066" s="1399"/>
      <c r="H1066" s="1399">
        <v>170012.75000000003</v>
      </c>
      <c r="I1066" s="1399"/>
      <c r="J1066" s="1399">
        <v>170012.75000000003</v>
      </c>
    </row>
    <row r="1067" spans="5:10" s="1297" customFormat="1">
      <c r="E1067" s="1297" t="s">
        <v>1040</v>
      </c>
      <c r="F1067" s="1399"/>
      <c r="G1067" s="1399"/>
      <c r="H1067" s="1399">
        <v>4755894.6399999997</v>
      </c>
      <c r="I1067" s="1399"/>
      <c r="J1067" s="1399">
        <v>4755894.6399999997</v>
      </c>
    </row>
    <row r="1068" spans="5:10" s="1297" customFormat="1">
      <c r="E1068" s="1297" t="s">
        <v>1127</v>
      </c>
      <c r="F1068" s="1399"/>
      <c r="G1068" s="1399"/>
      <c r="H1068" s="1399">
        <v>348802.45</v>
      </c>
      <c r="I1068" s="1399"/>
      <c r="J1068" s="1399">
        <v>348802.45</v>
      </c>
    </row>
    <row r="1069" spans="5:10" s="1297" customFormat="1">
      <c r="E1069" s="1297" t="s">
        <v>1041</v>
      </c>
      <c r="F1069" s="1399"/>
      <c r="G1069" s="1399"/>
      <c r="H1069" s="1399">
        <v>1234255.94</v>
      </c>
      <c r="I1069" s="1399"/>
      <c r="J1069" s="1399">
        <v>1234255.94</v>
      </c>
    </row>
    <row r="1070" spans="5:10" s="1297" customFormat="1">
      <c r="E1070" s="1297" t="s">
        <v>1042</v>
      </c>
      <c r="F1070" s="1399"/>
      <c r="G1070" s="1399"/>
      <c r="H1070" s="1399">
        <v>302672.21999999997</v>
      </c>
      <c r="I1070" s="1399"/>
      <c r="J1070" s="1399">
        <v>302672.21999999997</v>
      </c>
    </row>
    <row r="1071" spans="5:10" s="1297" customFormat="1">
      <c r="E1071" s="1297" t="s">
        <v>953</v>
      </c>
      <c r="F1071" s="1399"/>
      <c r="G1071" s="1399"/>
      <c r="H1071" s="1399">
        <v>165.9</v>
      </c>
      <c r="I1071" s="1399"/>
      <c r="J1071" s="1399">
        <v>165.9</v>
      </c>
    </row>
    <row r="1072" spans="5:10" s="1297" customFormat="1">
      <c r="E1072" s="1297" t="s">
        <v>1043</v>
      </c>
      <c r="F1072" s="1399"/>
      <c r="G1072" s="1399"/>
      <c r="H1072" s="1399">
        <v>520487.23</v>
      </c>
      <c r="I1072" s="1399"/>
      <c r="J1072" s="1399">
        <v>520487.23</v>
      </c>
    </row>
    <row r="1073" spans="5:10" s="1297" customFormat="1">
      <c r="E1073" s="1297" t="s">
        <v>986</v>
      </c>
      <c r="F1073" s="1399"/>
      <c r="G1073" s="1399"/>
      <c r="H1073" s="1399">
        <v>35950</v>
      </c>
      <c r="I1073" s="1399"/>
      <c r="J1073" s="1399">
        <v>35950</v>
      </c>
    </row>
    <row r="1074" spans="5:10" s="1297" customFormat="1">
      <c r="E1074" s="1297" t="s">
        <v>1044</v>
      </c>
      <c r="F1074" s="1399">
        <v>85923.57</v>
      </c>
      <c r="G1074" s="1399"/>
      <c r="H1074" s="1399"/>
      <c r="I1074" s="1399"/>
      <c r="J1074" s="1399">
        <v>85923.57</v>
      </c>
    </row>
    <row r="1075" spans="5:10" s="1297" customFormat="1">
      <c r="E1075" s="1297" t="s">
        <v>1045</v>
      </c>
      <c r="F1075" s="1399"/>
      <c r="G1075" s="1399"/>
      <c r="H1075" s="1399">
        <v>7901826.6599999992</v>
      </c>
      <c r="I1075" s="1399"/>
      <c r="J1075" s="1399">
        <v>7901826.6599999992</v>
      </c>
    </row>
    <row r="1076" spans="5:10" s="1297" customFormat="1">
      <c r="E1076" s="1297" t="s">
        <v>1046</v>
      </c>
      <c r="F1076" s="1399"/>
      <c r="G1076" s="1399"/>
      <c r="H1076" s="1399"/>
      <c r="I1076" s="1399">
        <v>129911808</v>
      </c>
      <c r="J1076" s="1399">
        <v>129911808</v>
      </c>
    </row>
    <row r="1077" spans="5:10" s="1297" customFormat="1">
      <c r="E1077" s="1297" t="s">
        <v>1128</v>
      </c>
      <c r="F1077" s="1399"/>
      <c r="G1077" s="1399"/>
      <c r="H1077" s="1399"/>
      <c r="I1077" s="1399">
        <v>16308357</v>
      </c>
      <c r="J1077" s="1399">
        <v>16308357</v>
      </c>
    </row>
    <row r="1078" spans="5:10" s="1297" customFormat="1">
      <c r="E1078" s="1297" t="s">
        <v>932</v>
      </c>
      <c r="F1078" s="1399"/>
      <c r="G1078" s="1399"/>
      <c r="H1078" s="1399"/>
      <c r="I1078" s="1399">
        <v>132230</v>
      </c>
      <c r="J1078" s="1399">
        <v>132230</v>
      </c>
    </row>
    <row r="1079" spans="5:10" s="1297" customFormat="1">
      <c r="E1079" s="1297" t="s">
        <v>933</v>
      </c>
      <c r="F1079" s="1399"/>
      <c r="G1079" s="1399"/>
      <c r="H1079" s="1399"/>
      <c r="I1079" s="1399">
        <v>589217.35</v>
      </c>
      <c r="J1079" s="1399">
        <v>589217.35</v>
      </c>
    </row>
    <row r="1080" spans="5:10" s="1297" customFormat="1">
      <c r="E1080" s="1297" t="s">
        <v>934</v>
      </c>
      <c r="F1080" s="1399"/>
      <c r="G1080" s="1399"/>
      <c r="H1080" s="1399"/>
      <c r="I1080" s="1399">
        <v>487370</v>
      </c>
      <c r="J1080" s="1399">
        <v>487370</v>
      </c>
    </row>
    <row r="1081" spans="5:10" s="1297" customFormat="1">
      <c r="E1081" s="1297" t="s">
        <v>1130</v>
      </c>
      <c r="F1081" s="1399"/>
      <c r="G1081" s="1399"/>
      <c r="H1081" s="1399"/>
      <c r="I1081" s="1399">
        <v>5661822.8300000001</v>
      </c>
      <c r="J1081" s="1399">
        <v>5661822.8300000001</v>
      </c>
    </row>
    <row r="1082" spans="5:10" s="1297" customFormat="1">
      <c r="E1082" s="1297" t="s">
        <v>935</v>
      </c>
      <c r="F1082" s="1399"/>
      <c r="G1082" s="1399"/>
      <c r="H1082" s="1399"/>
      <c r="I1082" s="1399">
        <v>27076389.489999998</v>
      </c>
      <c r="J1082" s="1399">
        <v>27076389.489999998</v>
      </c>
    </row>
    <row r="1083" spans="5:10" s="1297" customFormat="1">
      <c r="E1083" s="1297" t="s">
        <v>936</v>
      </c>
      <c r="F1083" s="1399"/>
      <c r="G1083" s="1399"/>
      <c r="H1083" s="1399"/>
      <c r="I1083" s="1399">
        <v>502466.02</v>
      </c>
      <c r="J1083" s="1399">
        <v>502466.02</v>
      </c>
    </row>
    <row r="1084" spans="5:10" s="1297" customFormat="1">
      <c r="E1084" s="1297" t="s">
        <v>937</v>
      </c>
      <c r="F1084" s="1399"/>
      <c r="G1084" s="1399"/>
      <c r="H1084" s="1399"/>
      <c r="I1084" s="1399">
        <v>287023.51</v>
      </c>
      <c r="J1084" s="1399">
        <v>287023.51</v>
      </c>
    </row>
    <row r="1085" spans="5:10" s="1297" customFormat="1">
      <c r="E1085" s="1297" t="s">
        <v>939</v>
      </c>
      <c r="F1085" s="1399"/>
      <c r="G1085" s="1399"/>
      <c r="H1085" s="1399"/>
      <c r="I1085" s="1399">
        <v>1553143.33</v>
      </c>
      <c r="J1085" s="1399">
        <v>1553143.33</v>
      </c>
    </row>
    <row r="1086" spans="5:10" s="1297" customFormat="1">
      <c r="E1086" s="1297" t="s">
        <v>940</v>
      </c>
      <c r="F1086" s="1399">
        <v>5276056.74</v>
      </c>
      <c r="G1086" s="1399"/>
      <c r="H1086" s="1399"/>
      <c r="I1086" s="1399"/>
      <c r="J1086" s="1399">
        <v>5276056.74</v>
      </c>
    </row>
    <row r="1087" spans="5:10" s="1297" customFormat="1">
      <c r="E1087" s="1297" t="s">
        <v>941</v>
      </c>
      <c r="F1087" s="1399">
        <v>1216271.72</v>
      </c>
      <c r="G1087" s="1399"/>
      <c r="H1087" s="1399"/>
      <c r="I1087" s="1399"/>
      <c r="J1087" s="1399">
        <v>1216271.72</v>
      </c>
    </row>
    <row r="1088" spans="5:10" s="1297" customFormat="1">
      <c r="E1088" s="1297" t="s">
        <v>944</v>
      </c>
      <c r="F1088" s="1399">
        <v>10752469.630000001</v>
      </c>
      <c r="G1088" s="1399"/>
      <c r="H1088" s="1399"/>
      <c r="I1088" s="1399"/>
      <c r="J1088" s="1399">
        <v>10752469.630000001</v>
      </c>
    </row>
    <row r="1089" spans="2:12">
      <c r="B1089" s="1297"/>
      <c r="C1089" s="1297"/>
      <c r="D1089" s="1297"/>
      <c r="E1089" s="1297" t="s">
        <v>945</v>
      </c>
      <c r="F1089" s="1399">
        <v>16107308.73</v>
      </c>
      <c r="J1089" s="1399">
        <v>16107308.73</v>
      </c>
    </row>
    <row r="1090" spans="2:12">
      <c r="B1090" s="1297"/>
      <c r="C1090" s="1297"/>
      <c r="D1090" s="1297"/>
      <c r="E1090" s="1297" t="s">
        <v>946</v>
      </c>
      <c r="F1090" s="1399">
        <v>817245.67</v>
      </c>
      <c r="J1090" s="1399">
        <v>817245.67</v>
      </c>
    </row>
    <row r="1091" spans="2:12">
      <c r="B1091" s="1297"/>
      <c r="C1091" s="1297"/>
      <c r="D1091" s="1297"/>
      <c r="E1091" s="1297" t="s">
        <v>1214</v>
      </c>
      <c r="F1091" s="1399">
        <v>172653.83</v>
      </c>
      <c r="J1091" s="1399">
        <v>172653.83</v>
      </c>
    </row>
    <row r="1092" spans="2:12">
      <c r="B1092" s="1297"/>
      <c r="C1092" s="1297"/>
      <c r="D1092" s="1297"/>
      <c r="E1092" s="1297" t="s">
        <v>947</v>
      </c>
      <c r="F1092" s="1399">
        <v>963178.36</v>
      </c>
      <c r="J1092" s="1399">
        <v>963178.36</v>
      </c>
    </row>
    <row r="1093" spans="2:12">
      <c r="B1093" s="1297"/>
      <c r="C1093" s="1297"/>
      <c r="D1093" s="1297"/>
      <c r="E1093" s="1404" t="s">
        <v>1116</v>
      </c>
      <c r="F1093" s="1405"/>
      <c r="G1093" s="1405"/>
      <c r="H1093" s="1405">
        <v>39854332.030000001</v>
      </c>
      <c r="I1093" s="1405"/>
      <c r="J1093" s="1405">
        <v>39854332.030000001</v>
      </c>
    </row>
    <row r="1094" spans="2:12">
      <c r="B1094" s="1297"/>
      <c r="C1094" s="1297"/>
      <c r="D1094" s="1297"/>
      <c r="E1094" s="1404" t="s">
        <v>948</v>
      </c>
      <c r="F1094" s="1405"/>
      <c r="G1094" s="1405"/>
      <c r="H1094" s="1405">
        <v>46529339.949999988</v>
      </c>
      <c r="I1094" s="1405"/>
      <c r="J1094" s="1405">
        <v>46529339.949999988</v>
      </c>
    </row>
    <row r="1095" spans="2:12">
      <c r="B1095" s="1297"/>
      <c r="C1095" s="1297"/>
      <c r="D1095" s="1297"/>
      <c r="E1095" s="1297" t="s">
        <v>956</v>
      </c>
      <c r="H1095" s="1399">
        <v>201092.54</v>
      </c>
      <c r="J1095" s="1399">
        <v>201092.54</v>
      </c>
    </row>
    <row r="1096" spans="2:12">
      <c r="B1096" s="1297"/>
      <c r="C1096" s="1297"/>
      <c r="D1096" s="1297"/>
      <c r="E1096" s="1297" t="s">
        <v>1118</v>
      </c>
      <c r="H1096" s="1399">
        <v>15001500</v>
      </c>
      <c r="J1096" s="1399">
        <v>15001500</v>
      </c>
    </row>
    <row r="1097" spans="2:12">
      <c r="B1097" s="1297"/>
      <c r="C1097" s="1297"/>
      <c r="D1097" s="1400" t="s">
        <v>1055</v>
      </c>
      <c r="E1097" s="1400"/>
      <c r="F1097" s="1401">
        <f>SUM(F1056:F1096)</f>
        <v>35391108.25</v>
      </c>
      <c r="G1097" s="1401">
        <f>SUM(G1056:G1096)</f>
        <v>164691619.16000003</v>
      </c>
      <c r="H1097" s="1401">
        <f>SUM(H1056:H1096)-(H1093+H1094)</f>
        <v>40319489.420000002</v>
      </c>
      <c r="I1097" s="1401">
        <f>SUM(I1056:I1096)</f>
        <v>182509827.53000003</v>
      </c>
      <c r="J1097" s="1401">
        <f>SUM(J1056:J1096)</f>
        <v>509295716.34000003</v>
      </c>
      <c r="K1097" s="1401">
        <f>SUM(F1097:I1097)</f>
        <v>422912044.36000007</v>
      </c>
      <c r="L1097" s="1408">
        <f>K1097/C1056</f>
        <v>11125.165580049457</v>
      </c>
    </row>
    <row r="1098" spans="2:12">
      <c r="B1098" s="1297" t="s">
        <v>1056</v>
      </c>
      <c r="C1098" s="1297">
        <v>11574</v>
      </c>
      <c r="D1098" s="1297" t="s">
        <v>1057</v>
      </c>
      <c r="E1098" s="1297" t="s">
        <v>906</v>
      </c>
      <c r="G1098" s="1399">
        <v>68490107.579999998</v>
      </c>
      <c r="J1098" s="1399">
        <v>68490107.579999998</v>
      </c>
    </row>
    <row r="1099" spans="2:12">
      <c r="B1099" s="1297"/>
      <c r="C1099" s="1297"/>
      <c r="D1099" s="1297"/>
      <c r="E1099" s="1297" t="s">
        <v>952</v>
      </c>
      <c r="G1099" s="1399">
        <v>609106.79</v>
      </c>
      <c r="J1099" s="1399">
        <v>609106.79</v>
      </c>
    </row>
    <row r="1100" spans="2:12">
      <c r="B1100" s="1297"/>
      <c r="C1100" s="1297"/>
      <c r="D1100" s="1297"/>
      <c r="E1100" s="1297" t="s">
        <v>907</v>
      </c>
      <c r="G1100" s="1399">
        <v>19429331.850000001</v>
      </c>
      <c r="J1100" s="1399">
        <v>19429331.850000001</v>
      </c>
    </row>
    <row r="1101" spans="2:12">
      <c r="B1101" s="1297"/>
      <c r="C1101" s="1297"/>
      <c r="D1101" s="1297"/>
      <c r="E1101" s="1297" t="s">
        <v>908</v>
      </c>
      <c r="G1101" s="1399">
        <v>45133.78</v>
      </c>
      <c r="J1101" s="1399">
        <v>45133.78</v>
      </c>
    </row>
    <row r="1102" spans="2:12">
      <c r="B1102" s="1297"/>
      <c r="C1102" s="1297"/>
      <c r="D1102" s="1297"/>
      <c r="E1102" s="1297" t="s">
        <v>909</v>
      </c>
      <c r="G1102" s="1399">
        <v>12678.49</v>
      </c>
      <c r="J1102" s="1399">
        <v>12678.49</v>
      </c>
    </row>
    <row r="1103" spans="2:12">
      <c r="B1103" s="1297"/>
      <c r="C1103" s="1297"/>
      <c r="D1103" s="1297"/>
      <c r="E1103" s="1297" t="s">
        <v>910</v>
      </c>
      <c r="G1103" s="1399">
        <v>91970.71</v>
      </c>
      <c r="J1103" s="1399">
        <v>91970.71</v>
      </c>
    </row>
    <row r="1104" spans="2:12">
      <c r="B1104" s="1297"/>
      <c r="C1104" s="1297"/>
      <c r="D1104" s="1297"/>
      <c r="E1104" s="1297" t="s">
        <v>1034</v>
      </c>
      <c r="H1104" s="1399">
        <v>168791.66</v>
      </c>
      <c r="J1104" s="1399">
        <v>168791.66</v>
      </c>
    </row>
    <row r="1105" spans="5:10" s="1297" customFormat="1">
      <c r="E1105" s="1297" t="s">
        <v>1035</v>
      </c>
      <c r="F1105" s="1399"/>
      <c r="G1105" s="1399"/>
      <c r="H1105" s="1399">
        <v>649047.68999999994</v>
      </c>
      <c r="I1105" s="1399"/>
      <c r="J1105" s="1399">
        <v>649047.68999999994</v>
      </c>
    </row>
    <row r="1106" spans="5:10" s="1297" customFormat="1">
      <c r="E1106" s="1297" t="s">
        <v>1036</v>
      </c>
      <c r="F1106" s="1399"/>
      <c r="G1106" s="1399"/>
      <c r="H1106" s="1399">
        <v>242723.01</v>
      </c>
      <c r="I1106" s="1399"/>
      <c r="J1106" s="1399">
        <v>242723.01</v>
      </c>
    </row>
    <row r="1107" spans="5:10" s="1297" customFormat="1">
      <c r="E1107" s="1297" t="s">
        <v>1037</v>
      </c>
      <c r="F1107" s="1399"/>
      <c r="G1107" s="1399"/>
      <c r="H1107" s="1399">
        <v>-175</v>
      </c>
      <c r="I1107" s="1399"/>
      <c r="J1107" s="1399">
        <v>-175</v>
      </c>
    </row>
    <row r="1108" spans="5:10" s="1297" customFormat="1">
      <c r="E1108" s="1297" t="s">
        <v>1038</v>
      </c>
      <c r="F1108" s="1399"/>
      <c r="G1108" s="1399"/>
      <c r="H1108" s="1399">
        <v>7375</v>
      </c>
      <c r="I1108" s="1399"/>
      <c r="J1108" s="1399">
        <v>7375</v>
      </c>
    </row>
    <row r="1109" spans="5:10" s="1297" customFormat="1">
      <c r="E1109" s="1297" t="s">
        <v>1003</v>
      </c>
      <c r="F1109" s="1399"/>
      <c r="G1109" s="1399"/>
      <c r="H1109" s="1399">
        <v>588763.02</v>
      </c>
      <c r="I1109" s="1399"/>
      <c r="J1109" s="1399">
        <v>588763.02</v>
      </c>
    </row>
    <row r="1110" spans="5:10" s="1297" customFormat="1">
      <c r="E1110" s="1297" t="s">
        <v>1039</v>
      </c>
      <c r="F1110" s="1399"/>
      <c r="G1110" s="1399"/>
      <c r="H1110" s="1399">
        <v>673062.39999999991</v>
      </c>
      <c r="I1110" s="1399"/>
      <c r="J1110" s="1399">
        <v>673062.39999999991</v>
      </c>
    </row>
    <row r="1111" spans="5:10" s="1297" customFormat="1">
      <c r="E1111" s="1297" t="s">
        <v>1040</v>
      </c>
      <c r="F1111" s="1399"/>
      <c r="G1111" s="1399"/>
      <c r="H1111" s="1399">
        <v>512392.74</v>
      </c>
      <c r="I1111" s="1399"/>
      <c r="J1111" s="1399">
        <v>512392.74</v>
      </c>
    </row>
    <row r="1112" spans="5:10" s="1297" customFormat="1">
      <c r="E1112" s="1297" t="s">
        <v>1041</v>
      </c>
      <c r="F1112" s="1399"/>
      <c r="G1112" s="1399"/>
      <c r="H1112" s="1399">
        <v>70720.08</v>
      </c>
      <c r="I1112" s="1399"/>
      <c r="J1112" s="1399">
        <v>70720.08</v>
      </c>
    </row>
    <row r="1113" spans="5:10" s="1297" customFormat="1">
      <c r="E1113" s="1297" t="s">
        <v>1042</v>
      </c>
      <c r="F1113" s="1399"/>
      <c r="G1113" s="1399"/>
      <c r="H1113" s="1399">
        <v>174894.91</v>
      </c>
      <c r="I1113" s="1399"/>
      <c r="J1113" s="1399">
        <v>174894.91</v>
      </c>
    </row>
    <row r="1114" spans="5:10" s="1297" customFormat="1">
      <c r="E1114" s="1297" t="s">
        <v>985</v>
      </c>
      <c r="F1114" s="1399"/>
      <c r="G1114" s="1399"/>
      <c r="H1114" s="1399">
        <v>629455.13</v>
      </c>
      <c r="I1114" s="1399"/>
      <c r="J1114" s="1399">
        <v>629455.13</v>
      </c>
    </row>
    <row r="1115" spans="5:10" s="1297" customFormat="1">
      <c r="E1115" s="1297" t="s">
        <v>1043</v>
      </c>
      <c r="F1115" s="1399"/>
      <c r="G1115" s="1399"/>
      <c r="H1115" s="1399">
        <v>70131.16</v>
      </c>
      <c r="I1115" s="1399"/>
      <c r="J1115" s="1399">
        <v>70131.16</v>
      </c>
    </row>
    <row r="1116" spans="5:10" s="1297" customFormat="1">
      <c r="E1116" s="1297" t="s">
        <v>986</v>
      </c>
      <c r="F1116" s="1399"/>
      <c r="G1116" s="1399"/>
      <c r="H1116" s="1399">
        <v>2380</v>
      </c>
      <c r="I1116" s="1399"/>
      <c r="J1116" s="1399">
        <v>2380</v>
      </c>
    </row>
    <row r="1117" spans="5:10" s="1297" customFormat="1">
      <c r="E1117" s="1297" t="s">
        <v>990</v>
      </c>
      <c r="F1117" s="1399"/>
      <c r="G1117" s="1399"/>
      <c r="H1117" s="1399">
        <v>522.28</v>
      </c>
      <c r="I1117" s="1399"/>
      <c r="J1117" s="1399">
        <v>522.28</v>
      </c>
    </row>
    <row r="1118" spans="5:10" s="1297" customFormat="1">
      <c r="E1118" s="1297" t="s">
        <v>1044</v>
      </c>
      <c r="F1118" s="1399">
        <v>48612.29</v>
      </c>
      <c r="G1118" s="1399"/>
      <c r="H1118" s="1399"/>
      <c r="I1118" s="1399"/>
      <c r="J1118" s="1399">
        <v>48612.29</v>
      </c>
    </row>
    <row r="1119" spans="5:10" s="1297" customFormat="1">
      <c r="E1119" s="1297" t="s">
        <v>1045</v>
      </c>
      <c r="F1119" s="1399"/>
      <c r="G1119" s="1399"/>
      <c r="H1119" s="1399">
        <v>6001995.7200000007</v>
      </c>
      <c r="I1119" s="1399"/>
      <c r="J1119" s="1399">
        <v>6001995.7200000007</v>
      </c>
    </row>
    <row r="1120" spans="5:10" s="1297" customFormat="1">
      <c r="E1120" s="1297" t="s">
        <v>1046</v>
      </c>
      <c r="F1120" s="1399"/>
      <c r="G1120" s="1399"/>
      <c r="H1120" s="1399"/>
      <c r="I1120" s="1399">
        <v>67479183</v>
      </c>
      <c r="J1120" s="1399">
        <v>67479183</v>
      </c>
    </row>
    <row r="1121" spans="5:10" s="1297" customFormat="1">
      <c r="E1121" s="1297" t="s">
        <v>1128</v>
      </c>
      <c r="F1121" s="1399"/>
      <c r="G1121" s="1399"/>
      <c r="H1121" s="1399"/>
      <c r="I1121" s="1399">
        <v>5068866</v>
      </c>
      <c r="J1121" s="1399">
        <v>5068866</v>
      </c>
    </row>
    <row r="1122" spans="5:10" s="1297" customFormat="1">
      <c r="E1122" s="1297" t="s">
        <v>1129</v>
      </c>
      <c r="F1122" s="1399"/>
      <c r="G1122" s="1399"/>
      <c r="H1122" s="1399"/>
      <c r="I1122" s="1399">
        <v>-8255182</v>
      </c>
      <c r="J1122" s="1399">
        <v>-8255182</v>
      </c>
    </row>
    <row r="1123" spans="5:10" s="1297" customFormat="1">
      <c r="E1123" s="1297" t="s">
        <v>1047</v>
      </c>
      <c r="F1123" s="1399"/>
      <c r="G1123" s="1399"/>
      <c r="H1123" s="1399"/>
      <c r="I1123" s="1399">
        <v>1243214</v>
      </c>
      <c r="J1123" s="1399">
        <v>1243214</v>
      </c>
    </row>
    <row r="1124" spans="5:10" s="1297" customFormat="1">
      <c r="E1124" s="1297" t="s">
        <v>1048</v>
      </c>
      <c r="F1124" s="1399"/>
      <c r="G1124" s="1399"/>
      <c r="H1124" s="1399"/>
      <c r="I1124" s="1399">
        <v>-16403230</v>
      </c>
      <c r="J1124" s="1399">
        <v>-16403230</v>
      </c>
    </row>
    <row r="1125" spans="5:10" s="1297" customFormat="1">
      <c r="E1125" s="1404" t="s">
        <v>955</v>
      </c>
      <c r="F1125" s="1405"/>
      <c r="G1125" s="1405"/>
      <c r="H1125" s="1405"/>
      <c r="I1125" s="1405">
        <v>3292959.58</v>
      </c>
      <c r="J1125" s="1405">
        <v>3292959.58</v>
      </c>
    </row>
    <row r="1126" spans="5:10" s="1297" customFormat="1">
      <c r="E1126" s="1297" t="s">
        <v>934</v>
      </c>
      <c r="F1126" s="1399"/>
      <c r="G1126" s="1399"/>
      <c r="H1126" s="1399"/>
      <c r="I1126" s="1399">
        <v>206956</v>
      </c>
      <c r="J1126" s="1399">
        <v>206956</v>
      </c>
    </row>
    <row r="1127" spans="5:10" s="1297" customFormat="1">
      <c r="E1127" s="1297" t="s">
        <v>1130</v>
      </c>
      <c r="F1127" s="1399"/>
      <c r="G1127" s="1399"/>
      <c r="H1127" s="1399"/>
      <c r="I1127" s="1399">
        <v>252464.64000000001</v>
      </c>
      <c r="J1127" s="1399">
        <v>252464.64000000001</v>
      </c>
    </row>
    <row r="1128" spans="5:10" s="1297" customFormat="1">
      <c r="E1128" s="1297" t="s">
        <v>935</v>
      </c>
      <c r="F1128" s="1399"/>
      <c r="G1128" s="1399"/>
      <c r="H1128" s="1399"/>
      <c r="I1128" s="1399">
        <v>1096291.1800000002</v>
      </c>
      <c r="J1128" s="1399">
        <v>1096291.1800000002</v>
      </c>
    </row>
    <row r="1129" spans="5:10" s="1297" customFormat="1">
      <c r="E1129" s="1297" t="s">
        <v>936</v>
      </c>
      <c r="F1129" s="1399"/>
      <c r="G1129" s="1399"/>
      <c r="H1129" s="1399"/>
      <c r="I1129" s="1399">
        <v>297978.11</v>
      </c>
      <c r="J1129" s="1399">
        <v>297978.11</v>
      </c>
    </row>
    <row r="1130" spans="5:10" s="1297" customFormat="1">
      <c r="E1130" s="1297" t="s">
        <v>937</v>
      </c>
      <c r="F1130" s="1399"/>
      <c r="G1130" s="1399"/>
      <c r="H1130" s="1399"/>
      <c r="I1130" s="1399">
        <v>160592.24</v>
      </c>
      <c r="J1130" s="1399">
        <v>160592.24</v>
      </c>
    </row>
    <row r="1131" spans="5:10" s="1297" customFormat="1">
      <c r="E1131" s="1297" t="s">
        <v>938</v>
      </c>
      <c r="F1131" s="1399"/>
      <c r="G1131" s="1399"/>
      <c r="H1131" s="1399"/>
      <c r="I1131" s="1399">
        <v>81227</v>
      </c>
      <c r="J1131" s="1399">
        <v>81227</v>
      </c>
    </row>
    <row r="1132" spans="5:10" s="1297" customFormat="1">
      <c r="E1132" s="1297" t="s">
        <v>939</v>
      </c>
      <c r="F1132" s="1399"/>
      <c r="G1132" s="1399"/>
      <c r="H1132" s="1399"/>
      <c r="I1132" s="1399">
        <v>139194.88999999998</v>
      </c>
      <c r="J1132" s="1399">
        <v>139194.88999999998</v>
      </c>
    </row>
    <row r="1133" spans="5:10" s="1297" customFormat="1">
      <c r="E1133" s="1297" t="s">
        <v>1131</v>
      </c>
      <c r="F1133" s="1399">
        <v>6390676.7800000012</v>
      </c>
      <c r="G1133" s="1399"/>
      <c r="H1133" s="1399"/>
      <c r="I1133" s="1399"/>
      <c r="J1133" s="1399">
        <v>6390676.7800000012</v>
      </c>
    </row>
    <row r="1134" spans="5:10" s="1297" customFormat="1">
      <c r="E1134" s="1297" t="s">
        <v>940</v>
      </c>
      <c r="F1134" s="1399">
        <v>4098727.38</v>
      </c>
      <c r="G1134" s="1399"/>
      <c r="H1134" s="1399"/>
      <c r="I1134" s="1399"/>
      <c r="J1134" s="1399">
        <v>4098727.38</v>
      </c>
    </row>
    <row r="1135" spans="5:10" s="1297" customFormat="1">
      <c r="E1135" s="1297" t="s">
        <v>941</v>
      </c>
      <c r="F1135" s="1399">
        <v>1717697.29</v>
      </c>
      <c r="G1135" s="1399"/>
      <c r="H1135" s="1399"/>
      <c r="I1135" s="1399"/>
      <c r="J1135" s="1399">
        <v>1717697.29</v>
      </c>
    </row>
    <row r="1136" spans="5:10" s="1297" customFormat="1">
      <c r="E1136" s="1297" t="s">
        <v>943</v>
      </c>
      <c r="F1136" s="1399">
        <v>156080.81</v>
      </c>
      <c r="G1136" s="1399"/>
      <c r="H1136" s="1399"/>
      <c r="I1136" s="1399"/>
      <c r="J1136" s="1399">
        <v>156080.81</v>
      </c>
    </row>
    <row r="1137" spans="2:12">
      <c r="B1137" s="1297"/>
      <c r="C1137" s="1297"/>
      <c r="D1137" s="1297"/>
      <c r="E1137" s="1297" t="s">
        <v>944</v>
      </c>
      <c r="F1137" s="1399">
        <v>11448542.740000002</v>
      </c>
      <c r="J1137" s="1399">
        <v>11448542.740000002</v>
      </c>
    </row>
    <row r="1138" spans="2:12">
      <c r="B1138" s="1297"/>
      <c r="C1138" s="1297"/>
      <c r="D1138" s="1297"/>
      <c r="E1138" s="1297" t="s">
        <v>945</v>
      </c>
      <c r="F1138" s="1399">
        <v>5072659.3499999996</v>
      </c>
      <c r="J1138" s="1399">
        <v>5072659.3499999996</v>
      </c>
    </row>
    <row r="1139" spans="2:12">
      <c r="B1139" s="1297"/>
      <c r="C1139" s="1297"/>
      <c r="D1139" s="1297"/>
      <c r="E1139" s="1297" t="s">
        <v>978</v>
      </c>
      <c r="F1139" s="1399">
        <v>1200</v>
      </c>
      <c r="J1139" s="1399">
        <v>1200</v>
      </c>
    </row>
    <row r="1140" spans="2:12">
      <c r="B1140" s="1297"/>
      <c r="C1140" s="1297"/>
      <c r="D1140" s="1297"/>
      <c r="E1140" s="1297" t="s">
        <v>1006</v>
      </c>
      <c r="F1140" s="1399">
        <v>48928.26</v>
      </c>
      <c r="J1140" s="1399">
        <v>48928.26</v>
      </c>
    </row>
    <row r="1141" spans="2:12">
      <c r="B1141" s="1297"/>
      <c r="C1141" s="1297"/>
      <c r="D1141" s="1297"/>
      <c r="E1141" s="1297" t="s">
        <v>947</v>
      </c>
      <c r="F1141" s="1399">
        <v>367189.77</v>
      </c>
      <c r="J1141" s="1399">
        <v>367189.77</v>
      </c>
    </row>
    <row r="1142" spans="2:12">
      <c r="B1142" s="1297"/>
      <c r="C1142" s="1297"/>
      <c r="D1142" s="1297"/>
      <c r="E1142" s="1404" t="s">
        <v>948</v>
      </c>
      <c r="F1142" s="1405"/>
      <c r="G1142" s="1405"/>
      <c r="H1142" s="1405">
        <v>11689602.279999999</v>
      </c>
      <c r="I1142" s="1405"/>
      <c r="J1142" s="1405">
        <v>11689602.279999999</v>
      </c>
    </row>
    <row r="1143" spans="2:12">
      <c r="B1143" s="1297"/>
      <c r="C1143" s="1297"/>
      <c r="D1143" s="1400" t="s">
        <v>1058</v>
      </c>
      <c r="E1143" s="1400"/>
      <c r="F1143" s="1401">
        <f>SUM(F1098:F1142)</f>
        <v>29350314.670000009</v>
      </c>
      <c r="G1143" s="1401">
        <f>SUM(G1098:G1142)</f>
        <v>88678329.199999988</v>
      </c>
      <c r="H1143" s="1401">
        <f>SUM(H1098:H1142)-H1142</f>
        <v>9792079.7999999989</v>
      </c>
      <c r="I1143" s="1401">
        <f>SUM(I1098:I1142)-I1125</f>
        <v>51367555.060000002</v>
      </c>
      <c r="J1143" s="1401">
        <f>SUM(J1098:J1142)</f>
        <v>194170840.58999997</v>
      </c>
      <c r="K1143" s="1401">
        <f>SUM(F1143:I1143)</f>
        <v>179188278.73000002</v>
      </c>
      <c r="L1143" s="1408">
        <f>K1143/C1098</f>
        <v>15481.96636685675</v>
      </c>
    </row>
    <row r="1144" spans="2:12">
      <c r="B1144" s="1297" t="s">
        <v>1059</v>
      </c>
      <c r="C1144" s="1297">
        <v>270</v>
      </c>
      <c r="D1144" s="1297" t="s">
        <v>1060</v>
      </c>
      <c r="E1144" s="1297" t="s">
        <v>906</v>
      </c>
      <c r="G1144" s="1399">
        <v>1315800.8999999999</v>
      </c>
      <c r="J1144" s="1399">
        <v>1315800.8999999999</v>
      </c>
    </row>
    <row r="1145" spans="2:12">
      <c r="B1145" s="1297"/>
      <c r="C1145" s="1297"/>
      <c r="D1145" s="1297"/>
      <c r="E1145" s="1297" t="s">
        <v>952</v>
      </c>
      <c r="G1145" s="1399">
        <v>9512.19</v>
      </c>
      <c r="J1145" s="1399">
        <v>9512.19</v>
      </c>
    </row>
    <row r="1146" spans="2:12">
      <c r="B1146" s="1297"/>
      <c r="C1146" s="1297"/>
      <c r="D1146" s="1297"/>
      <c r="E1146" s="1297" t="s">
        <v>907</v>
      </c>
      <c r="G1146" s="1399">
        <v>264525.75</v>
      </c>
      <c r="J1146" s="1399">
        <v>264525.75</v>
      </c>
    </row>
    <row r="1147" spans="2:12">
      <c r="B1147" s="1297"/>
      <c r="C1147" s="1297"/>
      <c r="D1147" s="1297"/>
      <c r="E1147" s="1297" t="s">
        <v>1122</v>
      </c>
      <c r="H1147" s="1399">
        <v>-56312</v>
      </c>
      <c r="J1147" s="1399">
        <v>-56312</v>
      </c>
    </row>
    <row r="1148" spans="2:12">
      <c r="B1148" s="1297"/>
      <c r="C1148" s="1297"/>
      <c r="D1148" s="1297"/>
      <c r="E1148" s="1297" t="s">
        <v>909</v>
      </c>
      <c r="H1148" s="1399">
        <v>1360.9</v>
      </c>
      <c r="J1148" s="1399">
        <v>1360.9</v>
      </c>
    </row>
    <row r="1149" spans="2:12">
      <c r="B1149" s="1297"/>
      <c r="C1149" s="1297"/>
      <c r="D1149" s="1297"/>
      <c r="E1149" s="1297" t="s">
        <v>1035</v>
      </c>
      <c r="H1149" s="1399">
        <v>42039.78</v>
      </c>
      <c r="J1149" s="1399">
        <v>42039.78</v>
      </c>
    </row>
    <row r="1150" spans="2:12">
      <c r="B1150" s="1297"/>
      <c r="C1150" s="1297"/>
      <c r="D1150" s="1297"/>
      <c r="E1150" s="1297" t="s">
        <v>1036</v>
      </c>
      <c r="H1150" s="1399">
        <v>1768.25</v>
      </c>
      <c r="J1150" s="1399">
        <v>1768.25</v>
      </c>
    </row>
    <row r="1151" spans="2:12">
      <c r="B1151" s="1297"/>
      <c r="C1151" s="1297"/>
      <c r="D1151" s="1297"/>
      <c r="E1151" s="1297" t="s">
        <v>1039</v>
      </c>
      <c r="H1151" s="1399">
        <v>419.88</v>
      </c>
      <c r="J1151" s="1399">
        <v>419.88</v>
      </c>
    </row>
    <row r="1152" spans="2:12">
      <c r="B1152" s="1297"/>
      <c r="C1152" s="1297"/>
      <c r="D1152" s="1297"/>
      <c r="E1152" s="1297" t="s">
        <v>1042</v>
      </c>
      <c r="H1152" s="1399">
        <v>7969.85</v>
      </c>
      <c r="J1152" s="1399">
        <v>7969.85</v>
      </c>
    </row>
    <row r="1153" spans="5:10" s="1297" customFormat="1">
      <c r="E1153" s="1297" t="s">
        <v>1045</v>
      </c>
      <c r="F1153" s="1399"/>
      <c r="G1153" s="1399"/>
      <c r="H1153" s="1399">
        <v>24965.88</v>
      </c>
      <c r="I1153" s="1399"/>
      <c r="J1153" s="1399">
        <v>24965.88</v>
      </c>
    </row>
    <row r="1154" spans="5:10" s="1297" customFormat="1">
      <c r="E1154" s="1297" t="s">
        <v>1046</v>
      </c>
      <c r="F1154" s="1399"/>
      <c r="G1154" s="1399"/>
      <c r="H1154" s="1399"/>
      <c r="I1154" s="1399">
        <v>1850400</v>
      </c>
      <c r="J1154" s="1399">
        <v>1850400</v>
      </c>
    </row>
    <row r="1155" spans="5:10" s="1297" customFormat="1">
      <c r="E1155" s="1297" t="s">
        <v>1047</v>
      </c>
      <c r="F1155" s="1399"/>
      <c r="G1155" s="1399"/>
      <c r="H1155" s="1399"/>
      <c r="I1155" s="1399">
        <v>299921</v>
      </c>
      <c r="J1155" s="1399">
        <v>299921</v>
      </c>
    </row>
    <row r="1156" spans="5:10" s="1297" customFormat="1">
      <c r="E1156" s="1297" t="s">
        <v>1048</v>
      </c>
      <c r="F1156" s="1399"/>
      <c r="G1156" s="1399"/>
      <c r="H1156" s="1399"/>
      <c r="I1156" s="1399">
        <v>-476950</v>
      </c>
      <c r="J1156" s="1399">
        <v>-476950</v>
      </c>
    </row>
    <row r="1157" spans="5:10" s="1297" customFormat="1">
      <c r="E1157" s="1404" t="s">
        <v>955</v>
      </c>
      <c r="F1157" s="1405"/>
      <c r="G1157" s="1405"/>
      <c r="H1157" s="1405"/>
      <c r="I1157" s="1405">
        <v>260053.14</v>
      </c>
      <c r="J1157" s="1405">
        <v>260053.14</v>
      </c>
    </row>
    <row r="1158" spans="5:10" s="1297" customFormat="1">
      <c r="E1158" s="1297" t="s">
        <v>934</v>
      </c>
      <c r="F1158" s="1399"/>
      <c r="G1158" s="1399"/>
      <c r="H1158" s="1399"/>
      <c r="I1158" s="1399">
        <v>7190</v>
      </c>
      <c r="J1158" s="1399">
        <v>7190</v>
      </c>
    </row>
    <row r="1159" spans="5:10" s="1297" customFormat="1">
      <c r="E1159" s="1297" t="s">
        <v>935</v>
      </c>
      <c r="F1159" s="1399"/>
      <c r="G1159" s="1399"/>
      <c r="H1159" s="1399"/>
      <c r="I1159" s="1399">
        <v>12692.05</v>
      </c>
      <c r="J1159" s="1399">
        <v>12692.05</v>
      </c>
    </row>
    <row r="1160" spans="5:10" s="1297" customFormat="1">
      <c r="E1160" s="1297" t="s">
        <v>936</v>
      </c>
      <c r="F1160" s="1399"/>
      <c r="G1160" s="1399"/>
      <c r="H1160" s="1399"/>
      <c r="I1160" s="1399">
        <v>9804.2099999999991</v>
      </c>
      <c r="J1160" s="1399">
        <v>9804.2099999999991</v>
      </c>
    </row>
    <row r="1161" spans="5:10" s="1297" customFormat="1">
      <c r="E1161" s="1297" t="s">
        <v>937</v>
      </c>
      <c r="F1161" s="1399"/>
      <c r="G1161" s="1399"/>
      <c r="H1161" s="1399"/>
      <c r="I1161" s="1399">
        <v>4954.9799999999996</v>
      </c>
      <c r="J1161" s="1399">
        <v>4954.9799999999996</v>
      </c>
    </row>
    <row r="1162" spans="5:10" s="1297" customFormat="1">
      <c r="E1162" s="1297" t="s">
        <v>938</v>
      </c>
      <c r="F1162" s="1399"/>
      <c r="G1162" s="1399"/>
      <c r="H1162" s="1399"/>
      <c r="I1162" s="1399">
        <v>2246</v>
      </c>
      <c r="J1162" s="1399">
        <v>2246</v>
      </c>
    </row>
    <row r="1163" spans="5:10" s="1297" customFormat="1">
      <c r="E1163" s="1297" t="s">
        <v>939</v>
      </c>
      <c r="F1163" s="1399"/>
      <c r="G1163" s="1399"/>
      <c r="H1163" s="1399"/>
      <c r="I1163" s="1399">
        <v>6292.34</v>
      </c>
      <c r="J1163" s="1399">
        <v>6292.34</v>
      </c>
    </row>
    <row r="1164" spans="5:10" s="1297" customFormat="1">
      <c r="E1164" s="1297" t="s">
        <v>940</v>
      </c>
      <c r="F1164" s="1399">
        <v>134371.42000000001</v>
      </c>
      <c r="G1164" s="1399"/>
      <c r="H1164" s="1399"/>
      <c r="I1164" s="1399"/>
      <c r="J1164" s="1399">
        <v>134371.42000000001</v>
      </c>
    </row>
    <row r="1165" spans="5:10" s="1297" customFormat="1">
      <c r="E1165" s="1297" t="s">
        <v>941</v>
      </c>
      <c r="F1165" s="1399">
        <v>76014.960000000006</v>
      </c>
      <c r="G1165" s="1399"/>
      <c r="H1165" s="1399"/>
      <c r="I1165" s="1399"/>
      <c r="J1165" s="1399">
        <v>76014.960000000006</v>
      </c>
    </row>
    <row r="1166" spans="5:10" s="1297" customFormat="1">
      <c r="E1166" s="1297" t="s">
        <v>943</v>
      </c>
      <c r="F1166" s="1399">
        <v>2408.6999999999998</v>
      </c>
      <c r="G1166" s="1399"/>
      <c r="H1166" s="1399"/>
      <c r="I1166" s="1399"/>
      <c r="J1166" s="1399">
        <v>2408.6999999999998</v>
      </c>
    </row>
    <row r="1167" spans="5:10" s="1297" customFormat="1">
      <c r="E1167" s="1297" t="s">
        <v>944</v>
      </c>
      <c r="F1167" s="1399">
        <v>624122.82000000007</v>
      </c>
      <c r="G1167" s="1399"/>
      <c r="H1167" s="1399"/>
      <c r="I1167" s="1399"/>
      <c r="J1167" s="1399">
        <v>624122.82000000007</v>
      </c>
    </row>
    <row r="1168" spans="5:10" s="1297" customFormat="1">
      <c r="E1168" s="1297" t="s">
        <v>945</v>
      </c>
      <c r="F1168" s="1399">
        <v>375110.44</v>
      </c>
      <c r="G1168" s="1399"/>
      <c r="H1168" s="1399"/>
      <c r="I1168" s="1399"/>
      <c r="J1168" s="1399">
        <v>375110.44</v>
      </c>
    </row>
    <row r="1169" spans="2:12">
      <c r="B1169" s="1297"/>
      <c r="C1169" s="1297"/>
      <c r="D1169" s="1297"/>
      <c r="E1169" s="1297" t="s">
        <v>946</v>
      </c>
      <c r="F1169" s="1399">
        <v>41175</v>
      </c>
      <c r="J1169" s="1399">
        <v>41175</v>
      </c>
    </row>
    <row r="1170" spans="2:12">
      <c r="B1170" s="1297"/>
      <c r="C1170" s="1297"/>
      <c r="D1170" s="1297"/>
      <c r="E1170" s="1297" t="s">
        <v>1006</v>
      </c>
      <c r="F1170" s="1399">
        <v>110018.99</v>
      </c>
      <c r="J1170" s="1399">
        <v>110018.99</v>
      </c>
    </row>
    <row r="1171" spans="2:12">
      <c r="B1171" s="1297"/>
      <c r="C1171" s="1297"/>
      <c r="D1171" s="1297"/>
      <c r="E1171" s="1297" t="s">
        <v>947</v>
      </c>
      <c r="F1171" s="1399">
        <v>9891.4</v>
      </c>
      <c r="J1171" s="1399">
        <v>9891.4</v>
      </c>
    </row>
    <row r="1172" spans="2:12">
      <c r="B1172" s="1297"/>
      <c r="C1172" s="1297"/>
      <c r="D1172" s="1297"/>
      <c r="E1172" s="1404" t="s">
        <v>948</v>
      </c>
      <c r="F1172" s="1405"/>
      <c r="G1172" s="1405"/>
      <c r="H1172" s="1405">
        <v>21378.68</v>
      </c>
      <c r="I1172" s="1405"/>
      <c r="J1172" s="1405">
        <v>21378.68</v>
      </c>
    </row>
    <row r="1173" spans="2:12">
      <c r="B1173" s="1297"/>
      <c r="C1173" s="1297"/>
      <c r="D1173" s="1400" t="s">
        <v>1061</v>
      </c>
      <c r="E1173" s="1400"/>
      <c r="F1173" s="1401">
        <f>SUM(F1144:F1172)</f>
        <v>1373113.73</v>
      </c>
      <c r="G1173" s="1401">
        <f>SUM(G1144:G1172)</f>
        <v>1589838.8399999999</v>
      </c>
      <c r="H1173" s="1401">
        <f>SUM(H1144:H1172)-H1172</f>
        <v>22212.54</v>
      </c>
      <c r="I1173" s="1401">
        <f>SUM(I1144:I1172)-I1157</f>
        <v>1716550.58</v>
      </c>
      <c r="J1173" s="1401">
        <f>SUM(J1144:J1172)</f>
        <v>4983147.5100000007</v>
      </c>
      <c r="K1173" s="1401">
        <f>SUM(F1173:I1173)</f>
        <v>4701715.6899999995</v>
      </c>
      <c r="L1173" s="1408">
        <f>K1173/C1144</f>
        <v>17413.761814814814</v>
      </c>
    </row>
    <row r="1174" spans="2:12">
      <c r="B1174" s="1297" t="s">
        <v>1062</v>
      </c>
      <c r="C1174" s="1297">
        <v>49505</v>
      </c>
      <c r="D1174" s="1297" t="s">
        <v>1063</v>
      </c>
      <c r="E1174" s="1297" t="s">
        <v>906</v>
      </c>
      <c r="G1174" s="1399">
        <v>131952999.45999999</v>
      </c>
      <c r="J1174" s="1399">
        <v>131952999.45999999</v>
      </c>
    </row>
    <row r="1175" spans="2:12">
      <c r="B1175" s="1297"/>
      <c r="C1175" s="1297"/>
      <c r="D1175" s="1297"/>
      <c r="E1175" s="1297" t="s">
        <v>952</v>
      </c>
      <c r="G1175" s="1399">
        <v>821708.85</v>
      </c>
      <c r="J1175" s="1399">
        <v>821708.85</v>
      </c>
    </row>
    <row r="1176" spans="2:12">
      <c r="B1176" s="1297"/>
      <c r="C1176" s="1297"/>
      <c r="D1176" s="1297"/>
      <c r="E1176" s="1297" t="s">
        <v>907</v>
      </c>
      <c r="G1176" s="1399">
        <v>48115084.350000001</v>
      </c>
      <c r="J1176" s="1399">
        <v>48115084.350000001</v>
      </c>
    </row>
    <row r="1177" spans="2:12">
      <c r="B1177" s="1297"/>
      <c r="C1177" s="1297"/>
      <c r="D1177" s="1297"/>
      <c r="E1177" s="1297" t="s">
        <v>908</v>
      </c>
      <c r="G1177" s="1399">
        <v>5988.02</v>
      </c>
      <c r="J1177" s="1399">
        <v>5988.02</v>
      </c>
    </row>
    <row r="1178" spans="2:12">
      <c r="B1178" s="1297"/>
      <c r="C1178" s="1297"/>
      <c r="D1178" s="1297"/>
      <c r="E1178" s="1297" t="s">
        <v>909</v>
      </c>
      <c r="H1178" s="1399">
        <v>658670.5199999999</v>
      </c>
      <c r="J1178" s="1399">
        <v>658670.5199999999</v>
      </c>
    </row>
    <row r="1179" spans="2:12">
      <c r="B1179" s="1297"/>
      <c r="C1179" s="1297"/>
      <c r="D1179" s="1297"/>
      <c r="E1179" s="1297" t="s">
        <v>910</v>
      </c>
      <c r="H1179" s="1399">
        <v>1511979.05</v>
      </c>
      <c r="J1179" s="1399">
        <v>1511979.05</v>
      </c>
    </row>
    <row r="1180" spans="2:12">
      <c r="B1180" s="1297"/>
      <c r="C1180" s="1297"/>
      <c r="D1180" s="1297"/>
      <c r="E1180" s="1297" t="s">
        <v>1034</v>
      </c>
      <c r="H1180" s="1399">
        <v>103005.92000000001</v>
      </c>
      <c r="J1180" s="1399">
        <v>103005.92000000001</v>
      </c>
    </row>
    <row r="1181" spans="2:12">
      <c r="B1181" s="1297"/>
      <c r="C1181" s="1297"/>
      <c r="D1181" s="1297"/>
      <c r="E1181" s="1297" t="s">
        <v>1035</v>
      </c>
      <c r="H1181" s="1399">
        <v>1024007.9999999999</v>
      </c>
      <c r="J1181" s="1399">
        <v>1024007.9999999999</v>
      </c>
    </row>
    <row r="1182" spans="2:12">
      <c r="B1182" s="1297"/>
      <c r="C1182" s="1297"/>
      <c r="D1182" s="1297"/>
      <c r="E1182" s="1297" t="s">
        <v>1036</v>
      </c>
      <c r="H1182" s="1399">
        <v>150979.90999999997</v>
      </c>
      <c r="J1182" s="1399">
        <v>150979.90999999997</v>
      </c>
    </row>
    <row r="1183" spans="2:12">
      <c r="B1183" s="1297"/>
      <c r="C1183" s="1297"/>
      <c r="D1183" s="1297"/>
      <c r="E1183" s="1297" t="s">
        <v>1037</v>
      </c>
      <c r="H1183" s="1399">
        <v>2599948.66</v>
      </c>
      <c r="J1183" s="1399">
        <v>2599948.66</v>
      </c>
    </row>
    <row r="1184" spans="2:12">
      <c r="B1184" s="1297"/>
      <c r="C1184" s="1297"/>
      <c r="D1184" s="1297"/>
      <c r="E1184" s="1297" t="s">
        <v>1064</v>
      </c>
      <c r="H1184" s="1399">
        <v>115847.8</v>
      </c>
      <c r="J1184" s="1399">
        <v>115847.8</v>
      </c>
    </row>
    <row r="1185" spans="5:10" s="1297" customFormat="1">
      <c r="E1185" s="1297" t="s">
        <v>1038</v>
      </c>
      <c r="F1185" s="1399"/>
      <c r="G1185" s="1399"/>
      <c r="H1185" s="1399">
        <v>19316</v>
      </c>
      <c r="I1185" s="1399"/>
      <c r="J1185" s="1399">
        <v>19316</v>
      </c>
    </row>
    <row r="1186" spans="5:10" s="1297" customFormat="1">
      <c r="E1186" s="1297" t="s">
        <v>1039</v>
      </c>
      <c r="F1186" s="1399"/>
      <c r="G1186" s="1399"/>
      <c r="H1186" s="1399">
        <v>426430.38000000012</v>
      </c>
      <c r="I1186" s="1399"/>
      <c r="J1186" s="1399">
        <v>426430.38000000012</v>
      </c>
    </row>
    <row r="1187" spans="5:10" s="1297" customFormat="1">
      <c r="E1187" s="1297" t="s">
        <v>1040</v>
      </c>
      <c r="F1187" s="1399"/>
      <c r="G1187" s="1399"/>
      <c r="H1187" s="1399">
        <v>1328257.0400000003</v>
      </c>
      <c r="I1187" s="1399"/>
      <c r="J1187" s="1399">
        <v>1328257.0400000003</v>
      </c>
    </row>
    <row r="1188" spans="5:10" s="1297" customFormat="1">
      <c r="E1188" s="1297" t="s">
        <v>1127</v>
      </c>
      <c r="F1188" s="1399"/>
      <c r="G1188" s="1399"/>
      <c r="H1188" s="1399">
        <v>216939.29999999987</v>
      </c>
      <c r="I1188" s="1399"/>
      <c r="J1188" s="1399">
        <v>216939.29999999987</v>
      </c>
    </row>
    <row r="1189" spans="5:10" s="1297" customFormat="1">
      <c r="E1189" s="1297" t="s">
        <v>1041</v>
      </c>
      <c r="F1189" s="1399"/>
      <c r="G1189" s="1399"/>
      <c r="H1189" s="1399">
        <v>106948.84999999998</v>
      </c>
      <c r="I1189" s="1399"/>
      <c r="J1189" s="1399">
        <v>106948.84999999998</v>
      </c>
    </row>
    <row r="1190" spans="5:10" s="1297" customFormat="1">
      <c r="E1190" s="1297" t="s">
        <v>1042</v>
      </c>
      <c r="F1190" s="1399"/>
      <c r="G1190" s="1399"/>
      <c r="H1190" s="1399">
        <v>383676.25</v>
      </c>
      <c r="I1190" s="1399"/>
      <c r="J1190" s="1399">
        <v>383676.25</v>
      </c>
    </row>
    <row r="1191" spans="5:10" s="1297" customFormat="1">
      <c r="E1191" s="1297" t="s">
        <v>985</v>
      </c>
      <c r="F1191" s="1399"/>
      <c r="G1191" s="1399"/>
      <c r="H1191" s="1399">
        <v>1450253.65</v>
      </c>
      <c r="I1191" s="1399"/>
      <c r="J1191" s="1399">
        <v>1450253.65</v>
      </c>
    </row>
    <row r="1192" spans="5:10" s="1297" customFormat="1">
      <c r="E1192" s="1297" t="s">
        <v>986</v>
      </c>
      <c r="F1192" s="1399"/>
      <c r="G1192" s="1399"/>
      <c r="H1192" s="1399">
        <v>40547.299999999988</v>
      </c>
      <c r="I1192" s="1399"/>
      <c r="J1192" s="1399">
        <v>40547.299999999988</v>
      </c>
    </row>
    <row r="1193" spans="5:10" s="1297" customFormat="1">
      <c r="E1193" s="1297" t="s">
        <v>1044</v>
      </c>
      <c r="F1193" s="1399">
        <v>2447497.4</v>
      </c>
      <c r="G1193" s="1399"/>
      <c r="H1193" s="1399"/>
      <c r="I1193" s="1399"/>
      <c r="J1193" s="1399">
        <v>2447497.4</v>
      </c>
    </row>
    <row r="1194" spans="5:10" s="1297" customFormat="1">
      <c r="E1194" s="1297" t="s">
        <v>1045</v>
      </c>
      <c r="F1194" s="1399"/>
      <c r="G1194" s="1399"/>
      <c r="H1194" s="1399">
        <v>17288235.569999993</v>
      </c>
      <c r="I1194" s="1399"/>
      <c r="J1194" s="1399">
        <v>17288235.569999993</v>
      </c>
    </row>
    <row r="1195" spans="5:10" s="1297" customFormat="1">
      <c r="E1195" s="1297" t="s">
        <v>1046</v>
      </c>
      <c r="F1195" s="1399"/>
      <c r="G1195" s="1399"/>
      <c r="H1195" s="1399"/>
      <c r="I1195" s="1399">
        <v>242041236</v>
      </c>
      <c r="J1195" s="1399">
        <v>242041236</v>
      </c>
    </row>
    <row r="1196" spans="5:10" s="1297" customFormat="1">
      <c r="E1196" s="1297" t="s">
        <v>1128</v>
      </c>
      <c r="F1196" s="1399"/>
      <c r="G1196" s="1399"/>
      <c r="H1196" s="1399"/>
      <c r="I1196" s="1399">
        <v>21203085</v>
      </c>
      <c r="J1196" s="1399">
        <v>21203085</v>
      </c>
    </row>
    <row r="1197" spans="5:10" s="1297" customFormat="1">
      <c r="E1197" s="1297" t="s">
        <v>1129</v>
      </c>
      <c r="F1197" s="1399"/>
      <c r="G1197" s="1399"/>
      <c r="H1197" s="1399"/>
      <c r="I1197" s="1399">
        <v>-32768254</v>
      </c>
      <c r="J1197" s="1399">
        <v>-32768254</v>
      </c>
    </row>
    <row r="1198" spans="5:10" s="1297" customFormat="1">
      <c r="E1198" s="1297" t="s">
        <v>1047</v>
      </c>
      <c r="F1198" s="1399"/>
      <c r="G1198" s="1399"/>
      <c r="H1198" s="1399"/>
      <c r="I1198" s="1399">
        <v>3059583</v>
      </c>
      <c r="J1198" s="1399">
        <v>3059583</v>
      </c>
    </row>
    <row r="1199" spans="5:10" s="1297" customFormat="1">
      <c r="E1199" s="1297" t="s">
        <v>1048</v>
      </c>
      <c r="F1199" s="1399"/>
      <c r="G1199" s="1399"/>
      <c r="H1199" s="1399"/>
      <c r="I1199" s="1399">
        <v>-41379980</v>
      </c>
      <c r="J1199" s="1399">
        <v>-41379980</v>
      </c>
    </row>
    <row r="1200" spans="5:10" s="1297" customFormat="1">
      <c r="E1200" s="1297" t="s">
        <v>932</v>
      </c>
      <c r="F1200" s="1399"/>
      <c r="G1200" s="1399"/>
      <c r="H1200" s="1399"/>
      <c r="I1200" s="1399">
        <v>17960563</v>
      </c>
      <c r="J1200" s="1399">
        <v>17960563</v>
      </c>
    </row>
    <row r="1201" spans="2:12">
      <c r="B1201" s="1297"/>
      <c r="C1201" s="1297"/>
      <c r="D1201" s="1297"/>
      <c r="E1201" s="1404" t="s">
        <v>955</v>
      </c>
      <c r="F1201" s="1405"/>
      <c r="G1201" s="1405"/>
      <c r="H1201" s="1405"/>
      <c r="I1201" s="1405">
        <v>2841879.7199999997</v>
      </c>
      <c r="J1201" s="1405">
        <v>2841879.7199999997</v>
      </c>
    </row>
    <row r="1202" spans="2:12">
      <c r="B1202" s="1297"/>
      <c r="C1202" s="1297"/>
      <c r="D1202" s="1297"/>
      <c r="E1202" s="1297" t="s">
        <v>934</v>
      </c>
      <c r="I1202" s="1399">
        <v>812392</v>
      </c>
      <c r="J1202" s="1399">
        <v>812392</v>
      </c>
    </row>
    <row r="1203" spans="2:12">
      <c r="B1203" s="1297"/>
      <c r="C1203" s="1297"/>
      <c r="D1203" s="1297"/>
      <c r="E1203" s="1297" t="s">
        <v>935</v>
      </c>
      <c r="I1203" s="1399">
        <v>5649180.4400000004</v>
      </c>
      <c r="J1203" s="1399">
        <v>5649180.4400000004</v>
      </c>
    </row>
    <row r="1204" spans="2:12">
      <c r="B1204" s="1297"/>
      <c r="C1204" s="1297"/>
      <c r="D1204" s="1297"/>
      <c r="E1204" s="1297" t="s">
        <v>939</v>
      </c>
      <c r="I1204" s="1399">
        <v>6644581.2999999998</v>
      </c>
      <c r="J1204" s="1399">
        <v>6644581.2999999998</v>
      </c>
    </row>
    <row r="1205" spans="2:12">
      <c r="B1205" s="1297"/>
      <c r="C1205" s="1297"/>
      <c r="D1205" s="1297"/>
      <c r="E1205" s="1297" t="s">
        <v>1131</v>
      </c>
      <c r="F1205" s="1399">
        <v>638681.69000000006</v>
      </c>
      <c r="J1205" s="1399">
        <v>638681.69000000006</v>
      </c>
    </row>
    <row r="1206" spans="2:12">
      <c r="B1206" s="1297"/>
      <c r="C1206" s="1297"/>
      <c r="D1206" s="1297"/>
      <c r="E1206" s="1297" t="s">
        <v>940</v>
      </c>
      <c r="F1206" s="1399">
        <v>17164089.259999998</v>
      </c>
      <c r="J1206" s="1399">
        <v>17164089.259999998</v>
      </c>
    </row>
    <row r="1207" spans="2:12">
      <c r="B1207" s="1297"/>
      <c r="C1207" s="1297"/>
      <c r="D1207" s="1297"/>
      <c r="E1207" s="1297" t="s">
        <v>941</v>
      </c>
      <c r="F1207" s="1399">
        <v>5396067.5000000019</v>
      </c>
      <c r="J1207" s="1399">
        <v>5396067.5000000019</v>
      </c>
    </row>
    <row r="1208" spans="2:12">
      <c r="B1208" s="1297"/>
      <c r="C1208" s="1297"/>
      <c r="D1208" s="1297"/>
      <c r="E1208" s="1297" t="s">
        <v>943</v>
      </c>
      <c r="F1208" s="1399">
        <v>258992.43000000002</v>
      </c>
      <c r="J1208" s="1399">
        <v>258992.43000000002</v>
      </c>
    </row>
    <row r="1209" spans="2:12">
      <c r="B1209" s="1297"/>
      <c r="C1209" s="1297"/>
      <c r="D1209" s="1297"/>
      <c r="E1209" s="1297" t="s">
        <v>944</v>
      </c>
      <c r="F1209" s="1399">
        <v>20279266.250000004</v>
      </c>
      <c r="J1209" s="1399">
        <v>20279266.250000004</v>
      </c>
    </row>
    <row r="1210" spans="2:12">
      <c r="B1210" s="1297"/>
      <c r="C1210" s="1297"/>
      <c r="D1210" s="1297"/>
      <c r="E1210" s="1297" t="s">
        <v>945</v>
      </c>
      <c r="F1210" s="1399">
        <v>19913858.969999999</v>
      </c>
      <c r="J1210" s="1399">
        <v>19913858.969999999</v>
      </c>
    </row>
    <row r="1211" spans="2:12">
      <c r="B1211" s="1297"/>
      <c r="C1211" s="1297"/>
      <c r="D1211" s="1297"/>
      <c r="E1211" s="1297" t="s">
        <v>946</v>
      </c>
      <c r="F1211" s="1399">
        <v>659841.61</v>
      </c>
      <c r="J1211" s="1399">
        <v>659841.61</v>
      </c>
    </row>
    <row r="1212" spans="2:12">
      <c r="B1212" s="1297"/>
      <c r="C1212" s="1297"/>
      <c r="D1212" s="1297"/>
      <c r="E1212" s="1297" t="s">
        <v>947</v>
      </c>
      <c r="F1212" s="1399">
        <v>1454301.3800000001</v>
      </c>
      <c r="J1212" s="1399">
        <v>1454301.3800000001</v>
      </c>
    </row>
    <row r="1213" spans="2:12">
      <c r="B1213" s="1297"/>
      <c r="C1213" s="1297"/>
      <c r="D1213" s="1297"/>
      <c r="E1213" s="1404" t="s">
        <v>948</v>
      </c>
      <c r="F1213" s="1405"/>
      <c r="G1213" s="1405"/>
      <c r="H1213" s="1405">
        <v>2092591.8999999997</v>
      </c>
      <c r="I1213" s="1405"/>
      <c r="J1213" s="1405">
        <v>2092591.8999999997</v>
      </c>
    </row>
    <row r="1214" spans="2:12">
      <c r="B1214" s="1297"/>
      <c r="C1214" s="1297"/>
      <c r="D1214" s="1400" t="s">
        <v>1065</v>
      </c>
      <c r="E1214" s="1400"/>
      <c r="F1214" s="1401">
        <f>SUM(F1174:F1213)</f>
        <v>68212596.489999995</v>
      </c>
      <c r="G1214" s="1401">
        <f>SUM(G1174:G1213)</f>
        <v>180895780.68000001</v>
      </c>
      <c r="H1214" s="1401">
        <f>SUM(H1174:H1213)-H1213</f>
        <v>27425044.199999996</v>
      </c>
      <c r="I1214" s="1401">
        <f>SUM(I1174:I1213)-I1201</f>
        <v>223222386.74000001</v>
      </c>
      <c r="J1214" s="1401">
        <f>SUM(J1174:J1213)</f>
        <v>504690279.73000002</v>
      </c>
      <c r="K1214" s="1401">
        <f>SUM(F1214:I1214)</f>
        <v>499755808.11000001</v>
      </c>
      <c r="L1214" s="1408">
        <f>K1214/C1174</f>
        <v>10095.057228764772</v>
      </c>
    </row>
    <row r="1215" spans="2:12">
      <c r="B1215" s="1297" t="s">
        <v>1066</v>
      </c>
      <c r="C1215" s="1297">
        <v>1301</v>
      </c>
      <c r="D1215" s="1297" t="s">
        <v>1067</v>
      </c>
      <c r="E1215" s="1297" t="s">
        <v>906</v>
      </c>
      <c r="G1215" s="1399">
        <v>3763426.17</v>
      </c>
      <c r="J1215" s="1399">
        <v>3763426.17</v>
      </c>
    </row>
    <row r="1216" spans="2:12">
      <c r="B1216" s="1297"/>
      <c r="C1216" s="1297"/>
      <c r="D1216" s="1297"/>
      <c r="E1216" s="1297" t="s">
        <v>952</v>
      </c>
      <c r="G1216" s="1399">
        <v>14921.34</v>
      </c>
      <c r="J1216" s="1399">
        <v>14921.34</v>
      </c>
    </row>
    <row r="1217" spans="5:10" s="1297" customFormat="1">
      <c r="E1217" s="1297" t="s">
        <v>907</v>
      </c>
      <c r="F1217" s="1399"/>
      <c r="G1217" s="1399">
        <v>756126.68</v>
      </c>
      <c r="H1217" s="1399"/>
      <c r="I1217" s="1399"/>
      <c r="J1217" s="1399">
        <v>756126.68</v>
      </c>
    </row>
    <row r="1218" spans="5:10" s="1297" customFormat="1">
      <c r="E1218" s="1297" t="s">
        <v>995</v>
      </c>
      <c r="F1218" s="1399"/>
      <c r="G1218" s="1399">
        <v>66031.570000000007</v>
      </c>
      <c r="H1218" s="1399"/>
      <c r="I1218" s="1399"/>
      <c r="J1218" s="1399">
        <v>66031.570000000007</v>
      </c>
    </row>
    <row r="1219" spans="5:10" s="1297" customFormat="1">
      <c r="E1219" s="1297" t="s">
        <v>908</v>
      </c>
      <c r="F1219" s="1399"/>
      <c r="G1219" s="1399">
        <v>-75.55</v>
      </c>
      <c r="H1219" s="1399"/>
      <c r="I1219" s="1399"/>
      <c r="J1219" s="1399">
        <v>-75.55</v>
      </c>
    </row>
    <row r="1220" spans="5:10" s="1297" customFormat="1">
      <c r="E1220" s="1297" t="s">
        <v>1034</v>
      </c>
      <c r="F1220" s="1399"/>
      <c r="G1220" s="1399"/>
      <c r="H1220" s="1399">
        <v>4000</v>
      </c>
      <c r="I1220" s="1399"/>
      <c r="J1220" s="1399">
        <v>4000</v>
      </c>
    </row>
    <row r="1221" spans="5:10" s="1297" customFormat="1">
      <c r="E1221" s="1297" t="s">
        <v>1039</v>
      </c>
      <c r="F1221" s="1399"/>
      <c r="G1221" s="1399"/>
      <c r="H1221" s="1399">
        <v>79047.680000000008</v>
      </c>
      <c r="I1221" s="1399"/>
      <c r="J1221" s="1399">
        <v>79047.680000000008</v>
      </c>
    </row>
    <row r="1222" spans="5:10" s="1297" customFormat="1">
      <c r="E1222" s="1297" t="s">
        <v>1040</v>
      </c>
      <c r="F1222" s="1399"/>
      <c r="G1222" s="1399"/>
      <c r="H1222" s="1399">
        <v>62342.78</v>
      </c>
      <c r="I1222" s="1399"/>
      <c r="J1222" s="1399">
        <v>62342.78</v>
      </c>
    </row>
    <row r="1223" spans="5:10" s="1297" customFormat="1">
      <c r="E1223" s="1297" t="s">
        <v>1127</v>
      </c>
      <c r="F1223" s="1399"/>
      <c r="G1223" s="1399"/>
      <c r="H1223" s="1399">
        <v>20809.009999999998</v>
      </c>
      <c r="I1223" s="1399"/>
      <c r="J1223" s="1399">
        <v>20809.009999999998</v>
      </c>
    </row>
    <row r="1224" spans="5:10" s="1297" customFormat="1">
      <c r="E1224" s="1297" t="s">
        <v>1041</v>
      </c>
      <c r="F1224" s="1399"/>
      <c r="G1224" s="1399"/>
      <c r="H1224" s="1399">
        <v>3749.9</v>
      </c>
      <c r="I1224" s="1399"/>
      <c r="J1224" s="1399">
        <v>3749.9</v>
      </c>
    </row>
    <row r="1225" spans="5:10" s="1297" customFormat="1">
      <c r="E1225" s="1297" t="s">
        <v>1042</v>
      </c>
      <c r="F1225" s="1399"/>
      <c r="G1225" s="1399"/>
      <c r="H1225" s="1399">
        <v>15510.46</v>
      </c>
      <c r="I1225" s="1399"/>
      <c r="J1225" s="1399">
        <v>15510.46</v>
      </c>
    </row>
    <row r="1226" spans="5:10" s="1297" customFormat="1">
      <c r="E1226" s="1297" t="s">
        <v>953</v>
      </c>
      <c r="F1226" s="1399"/>
      <c r="G1226" s="1399"/>
      <c r="H1226" s="1399">
        <v>22314.799999999999</v>
      </c>
      <c r="I1226" s="1399"/>
      <c r="J1226" s="1399">
        <v>22314.799999999999</v>
      </c>
    </row>
    <row r="1227" spans="5:10" s="1297" customFormat="1">
      <c r="E1227" s="1297" t="s">
        <v>986</v>
      </c>
      <c r="F1227" s="1399"/>
      <c r="G1227" s="1399"/>
      <c r="H1227" s="1399">
        <v>343392.24</v>
      </c>
      <c r="I1227" s="1399"/>
      <c r="J1227" s="1399">
        <v>343392.24</v>
      </c>
    </row>
    <row r="1228" spans="5:10" s="1297" customFormat="1">
      <c r="E1228" s="1297" t="s">
        <v>1044</v>
      </c>
      <c r="F1228" s="1399">
        <v>7060.35</v>
      </c>
      <c r="G1228" s="1399"/>
      <c r="H1228" s="1399"/>
      <c r="I1228" s="1399"/>
      <c r="J1228" s="1399">
        <v>7060.35</v>
      </c>
    </row>
    <row r="1229" spans="5:10" s="1297" customFormat="1">
      <c r="E1229" s="1297" t="s">
        <v>1045</v>
      </c>
      <c r="F1229" s="1399"/>
      <c r="G1229" s="1399"/>
      <c r="H1229" s="1399">
        <v>34284.629999999997</v>
      </c>
      <c r="I1229" s="1399"/>
      <c r="J1229" s="1399">
        <v>34284.629999999997</v>
      </c>
    </row>
    <row r="1230" spans="5:10" s="1297" customFormat="1">
      <c r="E1230" s="1297" t="s">
        <v>1046</v>
      </c>
      <c r="F1230" s="1399"/>
      <c r="G1230" s="1399"/>
      <c r="H1230" s="1399"/>
      <c r="I1230" s="1399">
        <v>6988616</v>
      </c>
      <c r="J1230" s="1399">
        <v>6988616</v>
      </c>
    </row>
    <row r="1231" spans="5:10" s="1297" customFormat="1">
      <c r="E1231" s="1297" t="s">
        <v>1128</v>
      </c>
      <c r="F1231" s="1399"/>
      <c r="G1231" s="1399"/>
      <c r="H1231" s="1399"/>
      <c r="I1231" s="1399">
        <v>565547</v>
      </c>
      <c r="J1231" s="1399">
        <v>565547</v>
      </c>
    </row>
    <row r="1232" spans="5:10" s="1297" customFormat="1">
      <c r="E1232" s="1297" t="s">
        <v>1129</v>
      </c>
      <c r="F1232" s="1399"/>
      <c r="G1232" s="1399"/>
      <c r="H1232" s="1399"/>
      <c r="I1232" s="1399">
        <v>-899887</v>
      </c>
      <c r="J1232" s="1399">
        <v>-899887</v>
      </c>
    </row>
    <row r="1233" spans="5:10" s="1297" customFormat="1">
      <c r="E1233" s="1297" t="s">
        <v>1047</v>
      </c>
      <c r="F1233" s="1399"/>
      <c r="G1233" s="1399"/>
      <c r="H1233" s="1399"/>
      <c r="I1233" s="1399">
        <v>345342</v>
      </c>
      <c r="J1233" s="1399">
        <v>345342</v>
      </c>
    </row>
    <row r="1234" spans="5:10" s="1297" customFormat="1">
      <c r="E1234" s="1297" t="s">
        <v>1048</v>
      </c>
      <c r="F1234" s="1399"/>
      <c r="G1234" s="1399"/>
      <c r="H1234" s="1399"/>
      <c r="I1234" s="1399">
        <v>-1127423</v>
      </c>
      <c r="J1234" s="1399">
        <v>-1127423</v>
      </c>
    </row>
    <row r="1235" spans="5:10" s="1297" customFormat="1">
      <c r="E1235" s="1297" t="s">
        <v>932</v>
      </c>
      <c r="F1235" s="1399"/>
      <c r="G1235" s="1399"/>
      <c r="H1235" s="1399"/>
      <c r="I1235" s="1399">
        <v>436570</v>
      </c>
      <c r="J1235" s="1399">
        <v>436570</v>
      </c>
    </row>
    <row r="1236" spans="5:10" s="1297" customFormat="1">
      <c r="E1236" s="1404" t="s">
        <v>955</v>
      </c>
      <c r="F1236" s="1405"/>
      <c r="G1236" s="1405"/>
      <c r="H1236" s="1405"/>
      <c r="I1236" s="1405">
        <v>460028.57</v>
      </c>
      <c r="J1236" s="1405">
        <v>460028.57</v>
      </c>
    </row>
    <row r="1237" spans="5:10" s="1297" customFormat="1">
      <c r="E1237" s="1297" t="s">
        <v>934</v>
      </c>
      <c r="F1237" s="1399"/>
      <c r="G1237" s="1399"/>
      <c r="H1237" s="1399"/>
      <c r="I1237" s="1399">
        <v>20970</v>
      </c>
      <c r="J1237" s="1399">
        <v>20970</v>
      </c>
    </row>
    <row r="1238" spans="5:10" s="1297" customFormat="1">
      <c r="E1238" s="1297" t="s">
        <v>1130</v>
      </c>
      <c r="F1238" s="1399"/>
      <c r="G1238" s="1399"/>
      <c r="H1238" s="1399"/>
      <c r="I1238" s="1399">
        <v>-43143.53</v>
      </c>
      <c r="J1238" s="1399">
        <v>-43143.53</v>
      </c>
    </row>
    <row r="1239" spans="5:10" s="1297" customFormat="1">
      <c r="E1239" s="1297" t="s">
        <v>935</v>
      </c>
      <c r="F1239" s="1399"/>
      <c r="G1239" s="1399"/>
      <c r="H1239" s="1399"/>
      <c r="I1239" s="1399">
        <v>76166.17</v>
      </c>
      <c r="J1239" s="1399">
        <v>76166.17</v>
      </c>
    </row>
    <row r="1240" spans="5:10" s="1297" customFormat="1">
      <c r="E1240" s="1297" t="s">
        <v>936</v>
      </c>
      <c r="F1240" s="1399"/>
      <c r="G1240" s="1399"/>
      <c r="H1240" s="1399"/>
      <c r="I1240" s="1399">
        <v>20308.73</v>
      </c>
      <c r="J1240" s="1399">
        <v>20308.73</v>
      </c>
    </row>
    <row r="1241" spans="5:10" s="1297" customFormat="1">
      <c r="E1241" s="1297" t="s">
        <v>938</v>
      </c>
      <c r="F1241" s="1399"/>
      <c r="G1241" s="1399"/>
      <c r="H1241" s="1399"/>
      <c r="I1241" s="1399">
        <v>6176</v>
      </c>
      <c r="J1241" s="1399">
        <v>6176</v>
      </c>
    </row>
    <row r="1242" spans="5:10" s="1297" customFormat="1">
      <c r="E1242" s="1297" t="s">
        <v>939</v>
      </c>
      <c r="F1242" s="1399"/>
      <c r="G1242" s="1399"/>
      <c r="H1242" s="1399"/>
      <c r="I1242" s="1399">
        <v>57456.03</v>
      </c>
      <c r="J1242" s="1399">
        <v>57456.03</v>
      </c>
    </row>
    <row r="1243" spans="5:10" s="1297" customFormat="1">
      <c r="E1243" s="1297" t="s">
        <v>940</v>
      </c>
      <c r="F1243" s="1399">
        <v>373822.96</v>
      </c>
      <c r="G1243" s="1399"/>
      <c r="H1243" s="1399"/>
      <c r="I1243" s="1399"/>
      <c r="J1243" s="1399">
        <v>373822.96</v>
      </c>
    </row>
    <row r="1244" spans="5:10" s="1297" customFormat="1">
      <c r="E1244" s="1297" t="s">
        <v>941</v>
      </c>
      <c r="F1244" s="1399">
        <v>133611.06</v>
      </c>
      <c r="G1244" s="1399"/>
      <c r="H1244" s="1399"/>
      <c r="I1244" s="1399"/>
      <c r="J1244" s="1399">
        <v>133611.06</v>
      </c>
    </row>
    <row r="1245" spans="5:10" s="1297" customFormat="1">
      <c r="E1245" s="1297" t="s">
        <v>944</v>
      </c>
      <c r="F1245" s="1399">
        <v>1076732.3100000003</v>
      </c>
      <c r="G1245" s="1399"/>
      <c r="H1245" s="1399"/>
      <c r="I1245" s="1399"/>
      <c r="J1245" s="1399">
        <v>1076732.3100000003</v>
      </c>
    </row>
    <row r="1246" spans="5:10" s="1297" customFormat="1">
      <c r="E1246" s="1297" t="s">
        <v>945</v>
      </c>
      <c r="F1246" s="1399">
        <v>535836.81999999995</v>
      </c>
      <c r="G1246" s="1399"/>
      <c r="H1246" s="1399"/>
      <c r="I1246" s="1399"/>
      <c r="J1246" s="1399">
        <v>535836.81999999995</v>
      </c>
    </row>
    <row r="1247" spans="5:10" s="1297" customFormat="1">
      <c r="E1247" s="1297" t="s">
        <v>946</v>
      </c>
      <c r="F1247" s="1399">
        <v>159585.44</v>
      </c>
      <c r="G1247" s="1399"/>
      <c r="H1247" s="1399"/>
      <c r="I1247" s="1399"/>
      <c r="J1247" s="1399">
        <v>159585.44</v>
      </c>
    </row>
    <row r="1248" spans="5:10" s="1297" customFormat="1">
      <c r="E1248" s="1297" t="s">
        <v>947</v>
      </c>
      <c r="F1248" s="1399">
        <v>39370.79</v>
      </c>
      <c r="G1248" s="1399"/>
      <c r="H1248" s="1399"/>
      <c r="I1248" s="1399"/>
      <c r="J1248" s="1399">
        <v>39370.79</v>
      </c>
    </row>
    <row r="1249" spans="2:12">
      <c r="B1249" s="1297"/>
      <c r="C1249" s="1297"/>
      <c r="D1249" s="1297"/>
      <c r="E1249" s="1404" t="s">
        <v>948</v>
      </c>
      <c r="F1249" s="1405"/>
      <c r="G1249" s="1405"/>
      <c r="H1249" s="1405">
        <v>770371.99</v>
      </c>
      <c r="I1249" s="1405"/>
      <c r="J1249" s="1405">
        <v>770371.99</v>
      </c>
    </row>
    <row r="1250" spans="2:12">
      <c r="B1250" s="1297"/>
      <c r="C1250" s="1297"/>
      <c r="D1250" s="1400" t="s">
        <v>1068</v>
      </c>
      <c r="E1250" s="1400"/>
      <c r="F1250" s="1401">
        <f>SUM(F1215:F1249)</f>
        <v>2326019.73</v>
      </c>
      <c r="G1250" s="1401">
        <f>SUM(G1215:G1249)</f>
        <v>4600430.21</v>
      </c>
      <c r="H1250" s="1401">
        <f>SUM(H1215:H1249)-H1249</f>
        <v>585451.5</v>
      </c>
      <c r="I1250" s="1401">
        <f>SUM(I1215:I1249)-I1236</f>
        <v>6446698.4000000004</v>
      </c>
      <c r="J1250" s="1401">
        <f>SUM(J1215:J1249)</f>
        <v>15189000.4</v>
      </c>
      <c r="K1250" s="1401">
        <f>SUM(F1250:I1250)</f>
        <v>13958599.84</v>
      </c>
      <c r="L1250" s="1408">
        <f>K1250/C1215</f>
        <v>10729.131314373559</v>
      </c>
    </row>
    <row r="1251" spans="2:12">
      <c r="B1251" s="1297" t="s">
        <v>1069</v>
      </c>
      <c r="C1251" s="1297">
        <v>105780</v>
      </c>
      <c r="D1251" s="1297" t="s">
        <v>1070</v>
      </c>
      <c r="E1251" s="1297" t="s">
        <v>906</v>
      </c>
      <c r="G1251" s="1399">
        <v>416532033.91000003</v>
      </c>
      <c r="J1251" s="1399">
        <v>416532033.91000003</v>
      </c>
    </row>
    <row r="1252" spans="2:12">
      <c r="B1252" s="1297"/>
      <c r="C1252" s="1297"/>
      <c r="D1252" s="1297"/>
      <c r="E1252" s="1297" t="s">
        <v>952</v>
      </c>
      <c r="G1252" s="1399">
        <v>9193497.8900000006</v>
      </c>
      <c r="J1252" s="1399">
        <v>9193497.8900000006</v>
      </c>
    </row>
    <row r="1253" spans="2:12">
      <c r="B1253" s="1297"/>
      <c r="C1253" s="1297"/>
      <c r="D1253" s="1297"/>
      <c r="E1253" s="1297" t="s">
        <v>907</v>
      </c>
      <c r="G1253" s="1399">
        <v>115300111.86</v>
      </c>
      <c r="J1253" s="1399">
        <v>115300111.86</v>
      </c>
    </row>
    <row r="1254" spans="2:12">
      <c r="B1254" s="1297"/>
      <c r="C1254" s="1297"/>
      <c r="D1254" s="1297"/>
      <c r="E1254" s="1297" t="s">
        <v>908</v>
      </c>
      <c r="G1254" s="1399">
        <v>1473183.08</v>
      </c>
      <c r="J1254" s="1399">
        <v>1473183.08</v>
      </c>
    </row>
    <row r="1255" spans="2:12">
      <c r="B1255" s="1297"/>
      <c r="C1255" s="1297"/>
      <c r="D1255" s="1297"/>
      <c r="E1255" s="1297" t="s">
        <v>909</v>
      </c>
      <c r="H1255" s="1399">
        <v>95363.15</v>
      </c>
      <c r="J1255" s="1399">
        <v>95363.15</v>
      </c>
    </row>
    <row r="1256" spans="2:12">
      <c r="B1256" s="1297"/>
      <c r="C1256" s="1297"/>
      <c r="D1256" s="1297"/>
      <c r="E1256" s="1297" t="s">
        <v>1034</v>
      </c>
      <c r="H1256" s="1399">
        <v>2460486.7799999998</v>
      </c>
      <c r="J1256" s="1399">
        <v>2460486.7799999998</v>
      </c>
    </row>
    <row r="1257" spans="2:12">
      <c r="B1257" s="1297"/>
      <c r="C1257" s="1297"/>
      <c r="D1257" s="1297"/>
      <c r="E1257" s="1297" t="s">
        <v>1035</v>
      </c>
      <c r="H1257" s="1399">
        <v>5546340.3300000001</v>
      </c>
      <c r="J1257" s="1399">
        <v>5546340.3300000001</v>
      </c>
    </row>
    <row r="1258" spans="2:12">
      <c r="B1258" s="1297"/>
      <c r="C1258" s="1297"/>
      <c r="D1258" s="1297"/>
      <c r="E1258" s="1297" t="s">
        <v>1036</v>
      </c>
      <c r="H1258" s="1399">
        <v>3821683.2</v>
      </c>
      <c r="J1258" s="1399">
        <v>3821683.2</v>
      </c>
    </row>
    <row r="1259" spans="2:12">
      <c r="B1259" s="1297"/>
      <c r="C1259" s="1297"/>
      <c r="D1259" s="1297"/>
      <c r="E1259" s="1297" t="s">
        <v>1037</v>
      </c>
      <c r="H1259" s="1399">
        <v>16201295.029999999</v>
      </c>
      <c r="J1259" s="1399">
        <v>16201295.029999999</v>
      </c>
    </row>
    <row r="1260" spans="2:12">
      <c r="B1260" s="1297"/>
      <c r="C1260" s="1297"/>
      <c r="D1260" s="1297"/>
      <c r="E1260" s="1297" t="s">
        <v>1038</v>
      </c>
      <c r="H1260" s="1399">
        <v>393399</v>
      </c>
      <c r="J1260" s="1399">
        <v>393399</v>
      </c>
    </row>
    <row r="1261" spans="2:12">
      <c r="B1261" s="1297"/>
      <c r="C1261" s="1297"/>
      <c r="D1261" s="1297"/>
      <c r="E1261" s="1297" t="s">
        <v>1039</v>
      </c>
      <c r="H1261" s="1399">
        <v>3070160.2600000002</v>
      </c>
      <c r="J1261" s="1399">
        <v>3070160.2600000002</v>
      </c>
    </row>
    <row r="1262" spans="2:12">
      <c r="B1262" s="1297"/>
      <c r="C1262" s="1297"/>
      <c r="D1262" s="1297"/>
      <c r="E1262" s="1297" t="s">
        <v>1040</v>
      </c>
      <c r="H1262" s="1399">
        <v>9975159.2799999993</v>
      </c>
      <c r="J1262" s="1399">
        <v>9975159.2799999993</v>
      </c>
    </row>
    <row r="1263" spans="2:12">
      <c r="B1263" s="1297"/>
      <c r="C1263" s="1297"/>
      <c r="D1263" s="1297"/>
      <c r="E1263" s="1297" t="s">
        <v>1041</v>
      </c>
      <c r="H1263" s="1399">
        <v>8530350.4399999995</v>
      </c>
      <c r="J1263" s="1399">
        <v>8530350.4399999995</v>
      </c>
    </row>
    <row r="1264" spans="2:12">
      <c r="B1264" s="1297"/>
      <c r="C1264" s="1297"/>
      <c r="D1264" s="1297"/>
      <c r="E1264" s="1297" t="s">
        <v>1042</v>
      </c>
      <c r="H1264" s="1399">
        <v>955230</v>
      </c>
      <c r="J1264" s="1399">
        <v>955230</v>
      </c>
    </row>
    <row r="1265" spans="5:10" s="1297" customFormat="1">
      <c r="E1265" s="1297" t="s">
        <v>954</v>
      </c>
      <c r="F1265" s="1399"/>
      <c r="G1265" s="1399"/>
      <c r="H1265" s="1399">
        <v>378861.71</v>
      </c>
      <c r="I1265" s="1399"/>
      <c r="J1265" s="1399">
        <v>378861.71</v>
      </c>
    </row>
    <row r="1266" spans="5:10" s="1297" customFormat="1">
      <c r="E1266" s="1297" t="s">
        <v>985</v>
      </c>
      <c r="F1266" s="1399"/>
      <c r="G1266" s="1399"/>
      <c r="H1266" s="1399">
        <v>105359</v>
      </c>
      <c r="I1266" s="1399"/>
      <c r="J1266" s="1399">
        <v>105359</v>
      </c>
    </row>
    <row r="1267" spans="5:10" s="1297" customFormat="1">
      <c r="E1267" s="1297" t="s">
        <v>1043</v>
      </c>
      <c r="F1267" s="1399"/>
      <c r="G1267" s="1399"/>
      <c r="H1267" s="1399">
        <v>43000</v>
      </c>
      <c r="I1267" s="1399"/>
      <c r="J1267" s="1399">
        <v>43000</v>
      </c>
    </row>
    <row r="1268" spans="5:10" s="1297" customFormat="1">
      <c r="E1268" s="1297" t="s">
        <v>986</v>
      </c>
      <c r="F1268" s="1399"/>
      <c r="G1268" s="1399"/>
      <c r="H1268" s="1399">
        <v>17450.8</v>
      </c>
      <c r="I1268" s="1399"/>
      <c r="J1268" s="1399">
        <v>17450.8</v>
      </c>
    </row>
    <row r="1269" spans="5:10" s="1297" customFormat="1">
      <c r="E1269" s="1297" t="s">
        <v>1005</v>
      </c>
      <c r="F1269" s="1399"/>
      <c r="G1269" s="1399"/>
      <c r="H1269" s="1399">
        <v>14739510.939999999</v>
      </c>
      <c r="I1269" s="1399"/>
      <c r="J1269" s="1399">
        <v>14739510.939999999</v>
      </c>
    </row>
    <row r="1270" spans="5:10" s="1297" customFormat="1">
      <c r="E1270" s="1297" t="s">
        <v>991</v>
      </c>
      <c r="F1270" s="1399"/>
      <c r="G1270" s="1399"/>
      <c r="H1270" s="1399">
        <v>7169021.4800000004</v>
      </c>
      <c r="I1270" s="1399"/>
      <c r="J1270" s="1399">
        <v>7169021.4800000004</v>
      </c>
    </row>
    <row r="1271" spans="5:10" s="1297" customFormat="1">
      <c r="E1271" s="1297" t="s">
        <v>1045</v>
      </c>
      <c r="F1271" s="1399"/>
      <c r="G1271" s="1399"/>
      <c r="H1271" s="1399">
        <v>3655389.97</v>
      </c>
      <c r="I1271" s="1399"/>
      <c r="J1271" s="1399">
        <v>3655389.97</v>
      </c>
    </row>
    <row r="1272" spans="5:10" s="1297" customFormat="1">
      <c r="E1272" s="1297" t="s">
        <v>1046</v>
      </c>
      <c r="F1272" s="1399"/>
      <c r="G1272" s="1399"/>
      <c r="H1272" s="1399"/>
      <c r="I1272" s="1399">
        <v>544366502</v>
      </c>
      <c r="J1272" s="1399">
        <v>544366502</v>
      </c>
    </row>
    <row r="1273" spans="5:10" s="1297" customFormat="1">
      <c r="E1273" s="1297" t="s">
        <v>1128</v>
      </c>
      <c r="F1273" s="1399"/>
      <c r="G1273" s="1399"/>
      <c r="H1273" s="1399"/>
      <c r="I1273" s="1399">
        <v>48867976</v>
      </c>
      <c r="J1273" s="1399">
        <v>48867976</v>
      </c>
    </row>
    <row r="1274" spans="5:10" s="1297" customFormat="1">
      <c r="E1274" s="1297" t="s">
        <v>1129</v>
      </c>
      <c r="F1274" s="1399"/>
      <c r="G1274" s="1399"/>
      <c r="H1274" s="1399"/>
      <c r="I1274" s="1399">
        <v>-69394711</v>
      </c>
      <c r="J1274" s="1399">
        <v>-69394711</v>
      </c>
    </row>
    <row r="1275" spans="5:10" s="1297" customFormat="1">
      <c r="E1275" s="1297" t="s">
        <v>1047</v>
      </c>
      <c r="F1275" s="1399"/>
      <c r="G1275" s="1399"/>
      <c r="H1275" s="1399"/>
      <c r="I1275" s="1399">
        <v>6800504</v>
      </c>
      <c r="J1275" s="1399">
        <v>6800504</v>
      </c>
    </row>
    <row r="1276" spans="5:10" s="1297" customFormat="1">
      <c r="E1276" s="1297" t="s">
        <v>1048</v>
      </c>
      <c r="F1276" s="1399"/>
      <c r="G1276" s="1399"/>
      <c r="H1276" s="1399"/>
      <c r="I1276" s="1399">
        <v>-133566148</v>
      </c>
      <c r="J1276" s="1399">
        <v>-133566148</v>
      </c>
    </row>
    <row r="1277" spans="5:10" s="1297" customFormat="1">
      <c r="E1277" s="1297" t="s">
        <v>934</v>
      </c>
      <c r="F1277" s="1399"/>
      <c r="G1277" s="1399"/>
      <c r="H1277" s="1399"/>
      <c r="I1277" s="1399">
        <v>1368132</v>
      </c>
      <c r="J1277" s="1399">
        <v>1368132</v>
      </c>
    </row>
    <row r="1278" spans="5:10" s="1297" customFormat="1">
      <c r="E1278" s="1297" t="s">
        <v>935</v>
      </c>
      <c r="F1278" s="1399"/>
      <c r="G1278" s="1399"/>
      <c r="H1278" s="1399"/>
      <c r="I1278" s="1399">
        <v>9009547.6300000008</v>
      </c>
      <c r="J1278" s="1399">
        <v>9009547.6300000008</v>
      </c>
    </row>
    <row r="1279" spans="5:10" s="1297" customFormat="1">
      <c r="E1279" s="1297" t="s">
        <v>939</v>
      </c>
      <c r="F1279" s="1399"/>
      <c r="G1279" s="1399"/>
      <c r="H1279" s="1399"/>
      <c r="I1279" s="1399">
        <v>405183.81</v>
      </c>
      <c r="J1279" s="1399">
        <v>405183.81</v>
      </c>
    </row>
    <row r="1280" spans="5:10" s="1297" customFormat="1">
      <c r="E1280" s="1297" t="s">
        <v>1131</v>
      </c>
      <c r="F1280" s="1399">
        <v>6972246.2400000002</v>
      </c>
      <c r="G1280" s="1399"/>
      <c r="H1280" s="1399"/>
      <c r="I1280" s="1399"/>
      <c r="J1280" s="1399">
        <v>6972246.2400000002</v>
      </c>
    </row>
    <row r="1281" spans="2:14">
      <c r="B1281" s="1297"/>
      <c r="C1281" s="1297"/>
      <c r="D1281" s="1297"/>
      <c r="E1281" s="1297" t="s">
        <v>940</v>
      </c>
      <c r="F1281" s="1399">
        <v>18669627.960000001</v>
      </c>
      <c r="J1281" s="1399">
        <v>18669627.960000001</v>
      </c>
    </row>
    <row r="1282" spans="2:14">
      <c r="B1282" s="1297"/>
      <c r="C1282" s="1297"/>
      <c r="D1282" s="1297"/>
      <c r="E1282" s="1297" t="s">
        <v>941</v>
      </c>
      <c r="F1282" s="1399">
        <v>4668005.9400000004</v>
      </c>
      <c r="J1282" s="1399">
        <v>4668005.9400000004</v>
      </c>
    </row>
    <row r="1283" spans="2:14">
      <c r="B1283" s="1297"/>
      <c r="C1283" s="1297"/>
      <c r="D1283" s="1297"/>
      <c r="E1283" s="1297" t="s">
        <v>943</v>
      </c>
      <c r="F1283" s="1399">
        <v>303400</v>
      </c>
      <c r="J1283" s="1399">
        <v>303400</v>
      </c>
    </row>
    <row r="1284" spans="2:14">
      <c r="B1284" s="1297"/>
      <c r="C1284" s="1297"/>
      <c r="D1284" s="1297"/>
      <c r="E1284" s="1297" t="s">
        <v>944</v>
      </c>
      <c r="F1284" s="1399">
        <v>35980637.050000004</v>
      </c>
      <c r="J1284" s="1399">
        <v>35980637.050000004</v>
      </c>
    </row>
    <row r="1285" spans="2:14">
      <c r="B1285" s="1297"/>
      <c r="C1285" s="1297"/>
      <c r="D1285" s="1297"/>
      <c r="E1285" s="1297" t="s">
        <v>945</v>
      </c>
      <c r="F1285" s="1399">
        <v>38200553.420000002</v>
      </c>
      <c r="J1285" s="1399">
        <v>38200553.420000002</v>
      </c>
    </row>
    <row r="1286" spans="2:14">
      <c r="B1286" s="1297"/>
      <c r="C1286" s="1297"/>
      <c r="D1286" s="1297"/>
      <c r="E1286" s="1297" t="s">
        <v>946</v>
      </c>
      <c r="F1286" s="1399">
        <v>2749959.1399999997</v>
      </c>
      <c r="J1286" s="1399">
        <v>2749959.1399999997</v>
      </c>
    </row>
    <row r="1287" spans="2:14">
      <c r="B1287" s="1297"/>
      <c r="C1287" s="1297"/>
      <c r="D1287" s="1297"/>
      <c r="E1287" s="1297" t="s">
        <v>978</v>
      </c>
      <c r="F1287" s="1399">
        <v>419526</v>
      </c>
      <c r="J1287" s="1399">
        <v>419526</v>
      </c>
    </row>
    <row r="1288" spans="2:14">
      <c r="B1288" s="1297"/>
      <c r="C1288" s="1297"/>
      <c r="D1288" s="1297"/>
      <c r="E1288" s="1297" t="s">
        <v>947</v>
      </c>
      <c r="F1288" s="1399">
        <v>2454837.3199999998</v>
      </c>
      <c r="J1288" s="1399">
        <v>2454837.3199999998</v>
      </c>
    </row>
    <row r="1289" spans="2:14">
      <c r="B1289" s="1297"/>
      <c r="C1289" s="1297"/>
      <c r="D1289" s="1297"/>
      <c r="E1289" s="1404" t="s">
        <v>948</v>
      </c>
      <c r="F1289" s="1405"/>
      <c r="G1289" s="1405"/>
      <c r="H1289" s="1405">
        <v>29450650.75</v>
      </c>
      <c r="I1289" s="1405"/>
      <c r="J1289" s="1405">
        <v>29450650.75</v>
      </c>
    </row>
    <row r="1290" spans="2:14">
      <c r="B1290" s="1297"/>
      <c r="C1290" s="1297"/>
      <c r="D1290" s="1297"/>
      <c r="E1290" s="1297" t="s">
        <v>956</v>
      </c>
      <c r="H1290" s="1399">
        <v>267672.26</v>
      </c>
      <c r="J1290" s="1399">
        <v>267672.26</v>
      </c>
    </row>
    <row r="1291" spans="2:14">
      <c r="B1291" s="1297"/>
      <c r="C1291" s="1297"/>
      <c r="D1291" s="1297"/>
      <c r="E1291" s="1297" t="s">
        <v>1118</v>
      </c>
      <c r="H1291" s="1399">
        <v>278482.54000000004</v>
      </c>
      <c r="J1291" s="1399">
        <v>278482.54000000004</v>
      </c>
    </row>
    <row r="1292" spans="2:14">
      <c r="B1292" s="1297"/>
      <c r="C1292" s="1297"/>
      <c r="D1292" s="1297"/>
      <c r="E1292" s="1297" t="s">
        <v>1051</v>
      </c>
      <c r="H1292" s="1399">
        <v>1527307</v>
      </c>
      <c r="J1292" s="1399">
        <v>1527307</v>
      </c>
    </row>
    <row r="1293" spans="2:14">
      <c r="B1293" s="1297"/>
      <c r="C1293" s="1297"/>
      <c r="D1293" s="1400" t="s">
        <v>1071</v>
      </c>
      <c r="E1293" s="1400"/>
      <c r="F1293" s="1401">
        <f>SUM(F1251:F1292)</f>
        <v>110418793.07000001</v>
      </c>
      <c r="G1293" s="1401">
        <f>SUM(G1251:G1292)</f>
        <v>542498826.74000001</v>
      </c>
      <c r="H1293" s="1401">
        <f>SUM(H1251:H1292)-H1289</f>
        <v>79231523.170000002</v>
      </c>
      <c r="I1293" s="1401">
        <f>SUM(I1251:I1292)</f>
        <v>407856986.44</v>
      </c>
      <c r="J1293" s="1401">
        <f>SUM(J1251:J1292)</f>
        <v>1169456780.1700003</v>
      </c>
      <c r="K1293" s="1401">
        <f>SUM(F1293:I1293)</f>
        <v>1140006129.4200001</v>
      </c>
      <c r="L1293" s="1407">
        <f>K1293/C1251</f>
        <v>10777.142460011344</v>
      </c>
      <c r="M1293" s="1407">
        <f>F1293/C1251</f>
        <v>1043.8532148799395</v>
      </c>
      <c r="N1293" s="1400">
        <f>F1293/K1293</f>
        <v>9.6858069637027019E-2</v>
      </c>
    </row>
    <row r="1294" spans="2:14">
      <c r="B1294" s="1297" t="s">
        <v>1072</v>
      </c>
      <c r="C1294" s="1297">
        <v>7332</v>
      </c>
      <c r="D1294" s="1297" t="s">
        <v>1073</v>
      </c>
      <c r="E1294" s="1297" t="s">
        <v>906</v>
      </c>
      <c r="G1294" s="1399">
        <v>12203501.08</v>
      </c>
      <c r="J1294" s="1399">
        <v>12203501.08</v>
      </c>
    </row>
    <row r="1295" spans="2:14">
      <c r="B1295" s="1297"/>
      <c r="C1295" s="1297"/>
      <c r="D1295" s="1297"/>
      <c r="E1295" s="1297" t="s">
        <v>952</v>
      </c>
      <c r="G1295" s="1399">
        <v>100592.94</v>
      </c>
      <c r="J1295" s="1399">
        <v>100592.94</v>
      </c>
    </row>
    <row r="1296" spans="2:14">
      <c r="B1296" s="1297"/>
      <c r="C1296" s="1297"/>
      <c r="D1296" s="1297"/>
      <c r="E1296" s="1297" t="s">
        <v>907</v>
      </c>
      <c r="G1296" s="1399">
        <v>5264338.4000000004</v>
      </c>
      <c r="J1296" s="1399">
        <v>5264338.4000000004</v>
      </c>
    </row>
    <row r="1297" spans="5:10" s="1297" customFormat="1">
      <c r="E1297" s="1297" t="s">
        <v>908</v>
      </c>
      <c r="F1297" s="1399"/>
      <c r="G1297" s="1399">
        <v>20650.72</v>
      </c>
      <c r="H1297" s="1399"/>
      <c r="I1297" s="1399"/>
      <c r="J1297" s="1399">
        <v>20650.72</v>
      </c>
    </row>
    <row r="1298" spans="5:10" s="1297" customFormat="1">
      <c r="E1298" s="1297" t="s">
        <v>1035</v>
      </c>
      <c r="F1298" s="1399"/>
      <c r="G1298" s="1399"/>
      <c r="H1298" s="1399">
        <v>1058858.73</v>
      </c>
      <c r="I1298" s="1399"/>
      <c r="J1298" s="1399">
        <v>1058858.73</v>
      </c>
    </row>
    <row r="1299" spans="5:10" s="1297" customFormat="1">
      <c r="E1299" s="1297" t="s">
        <v>1036</v>
      </c>
      <c r="F1299" s="1399"/>
      <c r="G1299" s="1399"/>
      <c r="H1299" s="1399">
        <v>449465.7</v>
      </c>
      <c r="I1299" s="1399"/>
      <c r="J1299" s="1399">
        <v>449465.7</v>
      </c>
    </row>
    <row r="1300" spans="5:10" s="1297" customFormat="1">
      <c r="E1300" s="1297" t="s">
        <v>1037</v>
      </c>
      <c r="F1300" s="1399"/>
      <c r="G1300" s="1399"/>
      <c r="H1300" s="1399">
        <v>4600</v>
      </c>
      <c r="I1300" s="1399"/>
      <c r="J1300" s="1399">
        <v>4600</v>
      </c>
    </row>
    <row r="1301" spans="5:10" s="1297" customFormat="1">
      <c r="E1301" s="1297" t="s">
        <v>1039</v>
      </c>
      <c r="F1301" s="1399"/>
      <c r="G1301" s="1399"/>
      <c r="H1301" s="1399">
        <v>35594.25</v>
      </c>
      <c r="I1301" s="1399"/>
      <c r="J1301" s="1399">
        <v>35594.25</v>
      </c>
    </row>
    <row r="1302" spans="5:10" s="1297" customFormat="1">
      <c r="E1302" s="1297" t="s">
        <v>1040</v>
      </c>
      <c r="F1302" s="1399"/>
      <c r="G1302" s="1399"/>
      <c r="H1302" s="1399">
        <v>266581.55</v>
      </c>
      <c r="I1302" s="1399"/>
      <c r="J1302" s="1399">
        <v>266581.55</v>
      </c>
    </row>
    <row r="1303" spans="5:10" s="1297" customFormat="1">
      <c r="E1303" s="1297" t="s">
        <v>1127</v>
      </c>
      <c r="F1303" s="1399"/>
      <c r="G1303" s="1399"/>
      <c r="H1303" s="1399">
        <v>44579.15</v>
      </c>
      <c r="I1303" s="1399"/>
      <c r="J1303" s="1399">
        <v>44579.15</v>
      </c>
    </row>
    <row r="1304" spans="5:10" s="1297" customFormat="1">
      <c r="E1304" s="1297" t="s">
        <v>1041</v>
      </c>
      <c r="F1304" s="1399"/>
      <c r="G1304" s="1399"/>
      <c r="H1304" s="1399">
        <v>168388.16</v>
      </c>
      <c r="I1304" s="1399"/>
      <c r="J1304" s="1399">
        <v>168388.16</v>
      </c>
    </row>
    <row r="1305" spans="5:10" s="1297" customFormat="1">
      <c r="E1305" s="1297" t="s">
        <v>1042</v>
      </c>
      <c r="F1305" s="1399"/>
      <c r="G1305" s="1399"/>
      <c r="H1305" s="1399">
        <v>109732.77</v>
      </c>
      <c r="I1305" s="1399"/>
      <c r="J1305" s="1399">
        <v>109732.77</v>
      </c>
    </row>
    <row r="1306" spans="5:10" s="1297" customFormat="1">
      <c r="E1306" s="1297" t="s">
        <v>953</v>
      </c>
      <c r="F1306" s="1399"/>
      <c r="G1306" s="1399"/>
      <c r="H1306" s="1399">
        <v>142852.4</v>
      </c>
      <c r="I1306" s="1399"/>
      <c r="J1306" s="1399">
        <v>142852.4</v>
      </c>
    </row>
    <row r="1307" spans="5:10" s="1297" customFormat="1">
      <c r="E1307" s="1297" t="s">
        <v>996</v>
      </c>
      <c r="F1307" s="1399"/>
      <c r="G1307" s="1399"/>
      <c r="H1307" s="1399">
        <v>18375</v>
      </c>
      <c r="I1307" s="1399"/>
      <c r="J1307" s="1399">
        <v>18375</v>
      </c>
    </row>
    <row r="1308" spans="5:10" s="1297" customFormat="1">
      <c r="E1308" s="1297" t="s">
        <v>1005</v>
      </c>
      <c r="F1308" s="1399"/>
      <c r="G1308" s="1399"/>
      <c r="H1308" s="1399">
        <v>263330.65999999997</v>
      </c>
      <c r="I1308" s="1399"/>
      <c r="J1308" s="1399">
        <v>263330.65999999997</v>
      </c>
    </row>
    <row r="1309" spans="5:10" s="1297" customFormat="1">
      <c r="E1309" s="1297" t="s">
        <v>1044</v>
      </c>
      <c r="F1309" s="1399">
        <v>49543</v>
      </c>
      <c r="G1309" s="1399"/>
      <c r="H1309" s="1399"/>
      <c r="I1309" s="1399"/>
      <c r="J1309" s="1399">
        <v>49543</v>
      </c>
    </row>
    <row r="1310" spans="5:10" s="1297" customFormat="1">
      <c r="E1310" s="1297" t="s">
        <v>1045</v>
      </c>
      <c r="F1310" s="1399"/>
      <c r="G1310" s="1399"/>
      <c r="H1310" s="1399">
        <v>983090.72000000009</v>
      </c>
      <c r="I1310" s="1399"/>
      <c r="J1310" s="1399">
        <v>983090.72000000009</v>
      </c>
    </row>
    <row r="1311" spans="5:10" s="1297" customFormat="1">
      <c r="E1311" s="1297" t="s">
        <v>1046</v>
      </c>
      <c r="F1311" s="1399"/>
      <c r="G1311" s="1399"/>
      <c r="H1311" s="1399"/>
      <c r="I1311" s="1399">
        <v>42336321</v>
      </c>
      <c r="J1311" s="1399">
        <v>42336321</v>
      </c>
    </row>
    <row r="1312" spans="5:10" s="1297" customFormat="1">
      <c r="E1312" s="1297" t="s">
        <v>1129</v>
      </c>
      <c r="F1312" s="1399"/>
      <c r="G1312" s="1399"/>
      <c r="H1312" s="1399"/>
      <c r="I1312" s="1399">
        <v>-5856554</v>
      </c>
      <c r="J1312" s="1399">
        <v>-5856554</v>
      </c>
    </row>
    <row r="1313" spans="5:10" s="1297" customFormat="1">
      <c r="E1313" s="1297" t="s">
        <v>1047</v>
      </c>
      <c r="F1313" s="1399"/>
      <c r="G1313" s="1399"/>
      <c r="H1313" s="1399"/>
      <c r="I1313" s="1399">
        <v>1106843</v>
      </c>
      <c r="J1313" s="1399">
        <v>1106843</v>
      </c>
    </row>
    <row r="1314" spans="5:10" s="1297" customFormat="1">
      <c r="E1314" s="1297" t="s">
        <v>1048</v>
      </c>
      <c r="F1314" s="1399"/>
      <c r="G1314" s="1399"/>
      <c r="H1314" s="1399"/>
      <c r="I1314" s="1399">
        <v>-3782251</v>
      </c>
      <c r="J1314" s="1399">
        <v>-3782251</v>
      </c>
    </row>
    <row r="1315" spans="5:10" s="1297" customFormat="1">
      <c r="E1315" s="359" t="s">
        <v>932</v>
      </c>
      <c r="F1315" s="1411"/>
      <c r="G1315" s="1411"/>
      <c r="H1315" s="1411"/>
      <c r="I1315" s="1411">
        <v>5855517</v>
      </c>
      <c r="J1315" s="1411">
        <v>5855517</v>
      </c>
    </row>
    <row r="1316" spans="5:10" s="1297" customFormat="1">
      <c r="E1316" s="1404" t="s">
        <v>955</v>
      </c>
      <c r="F1316" s="1405"/>
      <c r="G1316" s="1405"/>
      <c r="H1316" s="1405"/>
      <c r="I1316" s="1405">
        <v>1973923.83</v>
      </c>
      <c r="J1316" s="1405">
        <v>1973923.83</v>
      </c>
    </row>
    <row r="1317" spans="5:10" s="1297" customFormat="1">
      <c r="E1317" s="1297" t="s">
        <v>934</v>
      </c>
      <c r="F1317" s="1399"/>
      <c r="G1317" s="1399"/>
      <c r="H1317" s="1399"/>
      <c r="I1317" s="1399">
        <v>127450</v>
      </c>
      <c r="J1317" s="1399">
        <v>127450</v>
      </c>
    </row>
    <row r="1318" spans="5:10" s="1297" customFormat="1">
      <c r="E1318" s="1297" t="s">
        <v>935</v>
      </c>
      <c r="F1318" s="1399"/>
      <c r="G1318" s="1399"/>
      <c r="H1318" s="1399"/>
      <c r="I1318" s="1399">
        <v>396821.48</v>
      </c>
      <c r="J1318" s="1399">
        <v>396821.48</v>
      </c>
    </row>
    <row r="1319" spans="5:10" s="1297" customFormat="1">
      <c r="E1319" s="1297" t="s">
        <v>936</v>
      </c>
      <c r="F1319" s="1399"/>
      <c r="G1319" s="1399"/>
      <c r="H1319" s="1399"/>
      <c r="I1319" s="1399">
        <v>133057.20000000001</v>
      </c>
      <c r="J1319" s="1399">
        <v>133057.20000000001</v>
      </c>
    </row>
    <row r="1320" spans="5:10" s="1297" customFormat="1">
      <c r="E1320" s="1297" t="s">
        <v>937</v>
      </c>
      <c r="F1320" s="1399"/>
      <c r="G1320" s="1399"/>
      <c r="H1320" s="1399"/>
      <c r="I1320" s="1399">
        <v>53144.68</v>
      </c>
      <c r="J1320" s="1399">
        <v>53144.68</v>
      </c>
    </row>
    <row r="1321" spans="5:10" s="1297" customFormat="1">
      <c r="E1321" s="1297" t="s">
        <v>938</v>
      </c>
      <c r="F1321" s="1399"/>
      <c r="G1321" s="1399"/>
      <c r="H1321" s="1399"/>
      <c r="I1321" s="1399">
        <v>34999</v>
      </c>
      <c r="J1321" s="1399">
        <v>34999</v>
      </c>
    </row>
    <row r="1322" spans="5:10" s="1297" customFormat="1">
      <c r="E1322" s="1297" t="s">
        <v>940</v>
      </c>
      <c r="F1322" s="1399">
        <v>2443366.2400000002</v>
      </c>
      <c r="G1322" s="1399"/>
      <c r="H1322" s="1399"/>
      <c r="I1322" s="1399"/>
      <c r="J1322" s="1399">
        <v>2443366.2400000002</v>
      </c>
    </row>
    <row r="1323" spans="5:10" s="1297" customFormat="1">
      <c r="E1323" s="1297" t="s">
        <v>941</v>
      </c>
      <c r="F1323" s="1399">
        <v>1005568.06</v>
      </c>
      <c r="G1323" s="1399"/>
      <c r="H1323" s="1399"/>
      <c r="I1323" s="1399"/>
      <c r="J1323" s="1399">
        <v>1005568.06</v>
      </c>
    </row>
    <row r="1324" spans="5:10" s="1297" customFormat="1">
      <c r="E1324" s="1297" t="s">
        <v>944</v>
      </c>
      <c r="F1324" s="1399">
        <v>5718824.9799999986</v>
      </c>
      <c r="G1324" s="1399"/>
      <c r="H1324" s="1399"/>
      <c r="I1324" s="1399"/>
      <c r="J1324" s="1399">
        <v>5718824.9799999986</v>
      </c>
    </row>
    <row r="1325" spans="5:10" s="1297" customFormat="1">
      <c r="E1325" s="1297" t="s">
        <v>945</v>
      </c>
      <c r="F1325" s="1399">
        <v>3462626.9699999997</v>
      </c>
      <c r="G1325" s="1399"/>
      <c r="H1325" s="1399"/>
      <c r="I1325" s="1399"/>
      <c r="J1325" s="1399">
        <v>3462626.9699999997</v>
      </c>
    </row>
    <row r="1326" spans="5:10" s="1297" customFormat="1">
      <c r="E1326" s="1297" t="s">
        <v>978</v>
      </c>
      <c r="F1326" s="1399">
        <v>3600</v>
      </c>
      <c r="G1326" s="1399"/>
      <c r="H1326" s="1399"/>
      <c r="I1326" s="1399"/>
      <c r="J1326" s="1399">
        <v>3600</v>
      </c>
    </row>
    <row r="1327" spans="5:10" s="1297" customFormat="1">
      <c r="E1327" s="1297" t="s">
        <v>947</v>
      </c>
      <c r="F1327" s="1399">
        <v>241990.47</v>
      </c>
      <c r="G1327" s="1399"/>
      <c r="H1327" s="1399"/>
      <c r="I1327" s="1399"/>
      <c r="J1327" s="1399">
        <v>241990.47</v>
      </c>
    </row>
    <row r="1328" spans="5:10" s="1297" customFormat="1">
      <c r="E1328" s="1297" t="s">
        <v>1115</v>
      </c>
      <c r="F1328" s="1399">
        <v>30850.69</v>
      </c>
      <c r="G1328" s="1399"/>
      <c r="H1328" s="1399"/>
      <c r="I1328" s="1399"/>
      <c r="J1328" s="1399">
        <v>30850.69</v>
      </c>
    </row>
    <row r="1329" spans="2:12">
      <c r="B1329" s="1297"/>
      <c r="C1329" s="1297"/>
      <c r="D1329" s="1297"/>
      <c r="E1329" s="1404" t="s">
        <v>948</v>
      </c>
      <c r="F1329" s="1405"/>
      <c r="G1329" s="1405"/>
      <c r="H1329" s="1405">
        <v>13382705.850000001</v>
      </c>
      <c r="I1329" s="1405"/>
      <c r="J1329" s="1405">
        <v>13382705.850000001</v>
      </c>
    </row>
    <row r="1330" spans="2:12">
      <c r="B1330" s="1297"/>
      <c r="C1330" s="1297"/>
      <c r="D1330" s="1297"/>
      <c r="E1330" s="1297" t="s">
        <v>956</v>
      </c>
      <c r="H1330" s="1399">
        <v>151415.70000000001</v>
      </c>
      <c r="J1330" s="1399">
        <v>151415.70000000001</v>
      </c>
    </row>
    <row r="1331" spans="2:12">
      <c r="B1331" s="1297"/>
      <c r="C1331" s="1297"/>
      <c r="D1331" s="1297"/>
      <c r="E1331" s="1297" t="s">
        <v>1118</v>
      </c>
      <c r="H1331" s="1399">
        <v>4000</v>
      </c>
      <c r="J1331" s="1399">
        <v>4000</v>
      </c>
    </row>
    <row r="1332" spans="2:12">
      <c r="B1332" s="1297"/>
      <c r="C1332" s="1297"/>
      <c r="D1332" s="1400" t="s">
        <v>1074</v>
      </c>
      <c r="E1332" s="1400"/>
      <c r="F1332" s="1401">
        <f>SUM(F1294:F1331)</f>
        <v>12956370.41</v>
      </c>
      <c r="G1332" s="1401">
        <f>SUM(G1294:G1331)</f>
        <v>17589083.140000001</v>
      </c>
      <c r="H1332" s="1401">
        <f>SUM(H1294:H1331)-H1329</f>
        <v>3700864.7899999991</v>
      </c>
      <c r="I1332" s="1401">
        <f>SUM(I1294:I1331)-I1316</f>
        <v>40405348.359999999</v>
      </c>
      <c r="J1332" s="1401">
        <f>SUM(J1294:J1331)</f>
        <v>90008296.38000001</v>
      </c>
      <c r="K1332" s="1401">
        <f>SUM(F1332:I1332)</f>
        <v>74651666.700000003</v>
      </c>
      <c r="L1332" s="1408">
        <f>K1332/C1294</f>
        <v>10181.623936170214</v>
      </c>
    </row>
    <row r="1333" spans="2:12">
      <c r="B1333" s="1297" t="s">
        <v>1075</v>
      </c>
      <c r="C1333" s="1297">
        <v>8595</v>
      </c>
      <c r="D1333" s="1297" t="s">
        <v>1076</v>
      </c>
      <c r="E1333" s="1297" t="s">
        <v>906</v>
      </c>
      <c r="G1333" s="1399">
        <v>7128429.7699999996</v>
      </c>
      <c r="J1333" s="1399">
        <v>7128429.7699999996</v>
      </c>
    </row>
    <row r="1334" spans="2:12">
      <c r="B1334" s="1297"/>
      <c r="C1334" s="1297"/>
      <c r="D1334" s="1297"/>
      <c r="E1334" s="1297" t="s">
        <v>1126</v>
      </c>
      <c r="G1334" s="1399">
        <v>5477091.0099999998</v>
      </c>
      <c r="J1334" s="1399">
        <v>5477091.0099999998</v>
      </c>
    </row>
    <row r="1335" spans="2:12">
      <c r="B1335" s="1297"/>
      <c r="C1335" s="1297"/>
      <c r="D1335" s="1297"/>
      <c r="E1335" s="1297" t="s">
        <v>952</v>
      </c>
      <c r="G1335" s="1399">
        <v>112217.73</v>
      </c>
      <c r="J1335" s="1399">
        <v>112217.73</v>
      </c>
    </row>
    <row r="1336" spans="2:12">
      <c r="B1336" s="1297"/>
      <c r="C1336" s="1297"/>
      <c r="D1336" s="1297"/>
      <c r="E1336" s="1297" t="s">
        <v>907</v>
      </c>
      <c r="G1336" s="1399">
        <v>5474293.3499999996</v>
      </c>
      <c r="J1336" s="1399">
        <v>5474293.3499999996</v>
      </c>
    </row>
    <row r="1337" spans="2:12">
      <c r="B1337" s="1297"/>
      <c r="C1337" s="1297"/>
      <c r="D1337" s="1297"/>
      <c r="E1337" s="1297" t="s">
        <v>908</v>
      </c>
      <c r="G1337" s="1399">
        <v>13479.87</v>
      </c>
      <c r="J1337" s="1399">
        <v>13479.87</v>
      </c>
    </row>
    <row r="1338" spans="2:12">
      <c r="B1338" s="1297"/>
      <c r="C1338" s="1297"/>
      <c r="D1338" s="1297"/>
      <c r="E1338" s="1297" t="s">
        <v>909</v>
      </c>
      <c r="H1338" s="1399">
        <v>11872</v>
      </c>
      <c r="J1338" s="1399">
        <v>11872</v>
      </c>
    </row>
    <row r="1339" spans="2:12">
      <c r="B1339" s="1297"/>
      <c r="C1339" s="1297"/>
      <c r="D1339" s="1297"/>
      <c r="E1339" s="1297" t="s">
        <v>1034</v>
      </c>
      <c r="H1339" s="1399">
        <v>320635.87</v>
      </c>
      <c r="J1339" s="1399">
        <v>320635.87</v>
      </c>
    </row>
    <row r="1340" spans="2:12">
      <c r="B1340" s="1297"/>
      <c r="C1340" s="1297"/>
      <c r="D1340" s="1297"/>
      <c r="E1340" s="1297" t="s">
        <v>1035</v>
      </c>
      <c r="H1340" s="1399">
        <v>604316.06999999995</v>
      </c>
      <c r="J1340" s="1399">
        <v>604316.06999999995</v>
      </c>
    </row>
    <row r="1341" spans="2:12">
      <c r="B1341" s="1297"/>
      <c r="C1341" s="1297"/>
      <c r="D1341" s="1297"/>
      <c r="E1341" s="1297" t="s">
        <v>1036</v>
      </c>
      <c r="H1341" s="1399">
        <v>441707.99</v>
      </c>
      <c r="J1341" s="1399">
        <v>441707.99</v>
      </c>
    </row>
    <row r="1342" spans="2:12">
      <c r="B1342" s="1297"/>
      <c r="C1342" s="1297"/>
      <c r="D1342" s="1297"/>
      <c r="E1342" s="1297" t="s">
        <v>1039</v>
      </c>
      <c r="H1342" s="1399">
        <v>224375.08</v>
      </c>
      <c r="J1342" s="1399">
        <v>224375.08</v>
      </c>
    </row>
    <row r="1343" spans="2:12">
      <c r="B1343" s="1297"/>
      <c r="C1343" s="1297"/>
      <c r="D1343" s="1297"/>
      <c r="E1343" s="1297" t="s">
        <v>1040</v>
      </c>
      <c r="H1343" s="1399">
        <v>455037.37</v>
      </c>
      <c r="J1343" s="1399">
        <v>455037.37</v>
      </c>
    </row>
    <row r="1344" spans="2:12">
      <c r="B1344" s="1297"/>
      <c r="C1344" s="1297"/>
      <c r="D1344" s="1297"/>
      <c r="E1344" s="1297" t="s">
        <v>1127</v>
      </c>
      <c r="H1344" s="1399">
        <v>80473.570000000007</v>
      </c>
      <c r="J1344" s="1399">
        <v>80473.570000000007</v>
      </c>
    </row>
    <row r="1345" spans="5:10" s="1297" customFormat="1">
      <c r="E1345" s="1297" t="s">
        <v>1207</v>
      </c>
      <c r="F1345" s="1399"/>
      <c r="G1345" s="1399"/>
      <c r="H1345" s="1399">
        <v>3811.9</v>
      </c>
      <c r="I1345" s="1399"/>
      <c r="J1345" s="1399">
        <v>3811.9</v>
      </c>
    </row>
    <row r="1346" spans="5:10" s="1297" customFormat="1">
      <c r="E1346" s="1297" t="s">
        <v>1041</v>
      </c>
      <c r="F1346" s="1399"/>
      <c r="G1346" s="1399"/>
      <c r="H1346" s="1399">
        <v>76166.789999999994</v>
      </c>
      <c r="I1346" s="1399"/>
      <c r="J1346" s="1399">
        <v>76166.789999999994</v>
      </c>
    </row>
    <row r="1347" spans="5:10" s="1297" customFormat="1">
      <c r="E1347" s="1297" t="s">
        <v>1042</v>
      </c>
      <c r="F1347" s="1399"/>
      <c r="G1347" s="1399"/>
      <c r="H1347" s="1399">
        <v>173136.51</v>
      </c>
      <c r="I1347" s="1399"/>
      <c r="J1347" s="1399">
        <v>173136.51</v>
      </c>
    </row>
    <row r="1348" spans="5:10" s="1297" customFormat="1">
      <c r="E1348" s="1297" t="s">
        <v>1043</v>
      </c>
      <c r="F1348" s="1399"/>
      <c r="G1348" s="1399"/>
      <c r="H1348" s="1399">
        <v>4462.5</v>
      </c>
      <c r="I1348" s="1399"/>
      <c r="J1348" s="1399">
        <v>4462.5</v>
      </c>
    </row>
    <row r="1349" spans="5:10" s="1297" customFormat="1">
      <c r="E1349" s="1297" t="s">
        <v>986</v>
      </c>
      <c r="F1349" s="1399"/>
      <c r="G1349" s="1399"/>
      <c r="H1349" s="1399">
        <v>715</v>
      </c>
      <c r="I1349" s="1399"/>
      <c r="J1349" s="1399">
        <v>715</v>
      </c>
    </row>
    <row r="1350" spans="5:10" s="1297" customFormat="1">
      <c r="E1350" s="1297" t="s">
        <v>1005</v>
      </c>
      <c r="F1350" s="1399"/>
      <c r="G1350" s="1399"/>
      <c r="H1350" s="1399">
        <v>96881.680000000008</v>
      </c>
      <c r="I1350" s="1399"/>
      <c r="J1350" s="1399">
        <v>96881.680000000008</v>
      </c>
    </row>
    <row r="1351" spans="5:10" s="1297" customFormat="1">
      <c r="E1351" s="1297" t="s">
        <v>1044</v>
      </c>
      <c r="F1351" s="1399">
        <v>114621.19</v>
      </c>
      <c r="G1351" s="1399"/>
      <c r="H1351" s="1399"/>
      <c r="I1351" s="1399"/>
      <c r="J1351" s="1399">
        <v>114621.19</v>
      </c>
    </row>
    <row r="1352" spans="5:10" s="1297" customFormat="1">
      <c r="E1352" s="1297" t="s">
        <v>1045</v>
      </c>
      <c r="F1352" s="1399"/>
      <c r="G1352" s="1399"/>
      <c r="H1352" s="1399">
        <v>941491.68</v>
      </c>
      <c r="I1352" s="1399"/>
      <c r="J1352" s="1399">
        <v>941491.68</v>
      </c>
    </row>
    <row r="1353" spans="5:10" s="1297" customFormat="1">
      <c r="E1353" s="1297" t="s">
        <v>1046</v>
      </c>
      <c r="F1353" s="1399"/>
      <c r="G1353" s="1399"/>
      <c r="H1353" s="1399"/>
      <c r="I1353" s="1399">
        <v>46116974</v>
      </c>
      <c r="J1353" s="1399">
        <v>46116974</v>
      </c>
    </row>
    <row r="1354" spans="5:10" s="1297" customFormat="1">
      <c r="E1354" s="1297" t="s">
        <v>1128</v>
      </c>
      <c r="F1354" s="1399"/>
      <c r="G1354" s="1399"/>
      <c r="H1354" s="1399"/>
      <c r="I1354" s="1399">
        <v>3746196</v>
      </c>
      <c r="J1354" s="1399">
        <v>3746196</v>
      </c>
    </row>
    <row r="1355" spans="5:10" s="1297" customFormat="1">
      <c r="E1355" s="1297" t="s">
        <v>1129</v>
      </c>
      <c r="F1355" s="1399"/>
      <c r="G1355" s="1399"/>
      <c r="H1355" s="1399"/>
      <c r="I1355" s="1399">
        <v>-6728742</v>
      </c>
      <c r="J1355" s="1399">
        <v>-6728742</v>
      </c>
    </row>
    <row r="1356" spans="5:10" s="1297" customFormat="1">
      <c r="E1356" s="1297" t="s">
        <v>1047</v>
      </c>
      <c r="F1356" s="1399"/>
      <c r="G1356" s="1399"/>
      <c r="H1356" s="1399"/>
      <c r="I1356" s="1399">
        <v>1123467</v>
      </c>
      <c r="J1356" s="1399">
        <v>1123467</v>
      </c>
    </row>
    <row r="1357" spans="5:10" s="1297" customFormat="1">
      <c r="E1357" s="1297" t="s">
        <v>1048</v>
      </c>
      <c r="F1357" s="1399"/>
      <c r="G1357" s="1399"/>
      <c r="H1357" s="1399"/>
      <c r="I1357" s="1399">
        <v>-3722306</v>
      </c>
      <c r="J1357" s="1399">
        <v>-3722306</v>
      </c>
    </row>
    <row r="1358" spans="5:10" s="1297" customFormat="1">
      <c r="E1358" s="1297" t="s">
        <v>932</v>
      </c>
      <c r="F1358" s="1399"/>
      <c r="G1358" s="1399"/>
      <c r="H1358" s="1399"/>
      <c r="I1358" s="1399">
        <v>8172784</v>
      </c>
      <c r="J1358" s="1399">
        <v>8172784</v>
      </c>
    </row>
    <row r="1359" spans="5:10" s="1297" customFormat="1">
      <c r="E1359" s="1404" t="s">
        <v>955</v>
      </c>
      <c r="F1359" s="1405"/>
      <c r="G1359" s="1405"/>
      <c r="H1359" s="1405"/>
      <c r="I1359" s="1405">
        <v>2745815.45</v>
      </c>
      <c r="J1359" s="1405">
        <v>2745815.45</v>
      </c>
    </row>
    <row r="1360" spans="5:10" s="1297" customFormat="1">
      <c r="E1360" s="1297" t="s">
        <v>934</v>
      </c>
      <c r="F1360" s="1399"/>
      <c r="G1360" s="1399"/>
      <c r="H1360" s="1399"/>
      <c r="I1360" s="1399">
        <v>151330</v>
      </c>
      <c r="J1360" s="1399">
        <v>151330</v>
      </c>
    </row>
    <row r="1361" spans="5:10" s="1297" customFormat="1">
      <c r="E1361" s="1297" t="s">
        <v>935</v>
      </c>
      <c r="F1361" s="1399"/>
      <c r="G1361" s="1399"/>
      <c r="H1361" s="1399"/>
      <c r="I1361" s="1399">
        <v>1304263.19</v>
      </c>
      <c r="J1361" s="1399">
        <v>1304263.19</v>
      </c>
    </row>
    <row r="1362" spans="5:10" s="1297" customFormat="1">
      <c r="E1362" s="1297" t="s">
        <v>936</v>
      </c>
      <c r="F1362" s="1399"/>
      <c r="G1362" s="1399"/>
      <c r="H1362" s="1399"/>
      <c r="I1362" s="1399">
        <v>170523.31</v>
      </c>
      <c r="J1362" s="1399">
        <v>170523.31</v>
      </c>
    </row>
    <row r="1363" spans="5:10" s="1297" customFormat="1">
      <c r="E1363" s="1297" t="s">
        <v>937</v>
      </c>
      <c r="F1363" s="1399"/>
      <c r="G1363" s="1399"/>
      <c r="H1363" s="1399"/>
      <c r="I1363" s="1399">
        <v>31821.84</v>
      </c>
      <c r="J1363" s="1399">
        <v>31821.84</v>
      </c>
    </row>
    <row r="1364" spans="5:10" s="1297" customFormat="1">
      <c r="E1364" s="1297" t="s">
        <v>938</v>
      </c>
      <c r="F1364" s="1399"/>
      <c r="G1364" s="1399"/>
      <c r="H1364" s="1399"/>
      <c r="I1364" s="1399">
        <v>47351</v>
      </c>
      <c r="J1364" s="1399">
        <v>47351</v>
      </c>
    </row>
    <row r="1365" spans="5:10" s="1297" customFormat="1">
      <c r="E1365" s="1297" t="s">
        <v>939</v>
      </c>
      <c r="F1365" s="1399"/>
      <c r="G1365" s="1399"/>
      <c r="H1365" s="1399"/>
      <c r="I1365" s="1399">
        <v>6175.35</v>
      </c>
      <c r="J1365" s="1399">
        <v>6175.35</v>
      </c>
    </row>
    <row r="1366" spans="5:10" s="1297" customFormat="1">
      <c r="E1366" s="1297" t="s">
        <v>1131</v>
      </c>
      <c r="F1366" s="1399">
        <v>63171</v>
      </c>
      <c r="G1366" s="1399"/>
      <c r="H1366" s="1399"/>
      <c r="I1366" s="1399"/>
      <c r="J1366" s="1399">
        <v>63171</v>
      </c>
    </row>
    <row r="1367" spans="5:10" s="1297" customFormat="1">
      <c r="E1367" s="1297" t="s">
        <v>940</v>
      </c>
      <c r="F1367" s="1399">
        <v>2952246.78</v>
      </c>
      <c r="G1367" s="1399"/>
      <c r="H1367" s="1399"/>
      <c r="I1367" s="1399"/>
      <c r="J1367" s="1399">
        <v>2952246.78</v>
      </c>
    </row>
    <row r="1368" spans="5:10" s="1297" customFormat="1">
      <c r="E1368" s="1297" t="s">
        <v>941</v>
      </c>
      <c r="F1368" s="1399">
        <v>1102092.44</v>
      </c>
      <c r="G1368" s="1399"/>
      <c r="H1368" s="1399"/>
      <c r="I1368" s="1399"/>
      <c r="J1368" s="1399">
        <v>1102092.44</v>
      </c>
    </row>
    <row r="1369" spans="5:10" s="1297" customFormat="1">
      <c r="E1369" s="1297" t="s">
        <v>943</v>
      </c>
      <c r="F1369" s="1399">
        <v>71612.08</v>
      </c>
      <c r="G1369" s="1399"/>
      <c r="H1369" s="1399"/>
      <c r="I1369" s="1399"/>
      <c r="J1369" s="1399">
        <v>71612.08</v>
      </c>
    </row>
    <row r="1370" spans="5:10" s="1297" customFormat="1">
      <c r="E1370" s="1297" t="s">
        <v>944</v>
      </c>
      <c r="F1370" s="1399">
        <v>6549458.8999999994</v>
      </c>
      <c r="G1370" s="1399"/>
      <c r="H1370" s="1399"/>
      <c r="I1370" s="1399"/>
      <c r="J1370" s="1399">
        <v>6549458.8999999994</v>
      </c>
    </row>
    <row r="1371" spans="5:10" s="1297" customFormat="1">
      <c r="E1371" s="1297" t="s">
        <v>945</v>
      </c>
      <c r="F1371" s="1399">
        <v>3692246.93</v>
      </c>
      <c r="G1371" s="1399"/>
      <c r="H1371" s="1399"/>
      <c r="I1371" s="1399"/>
      <c r="J1371" s="1399">
        <v>3692246.93</v>
      </c>
    </row>
    <row r="1372" spans="5:10" s="1297" customFormat="1">
      <c r="E1372" s="1297" t="s">
        <v>978</v>
      </c>
      <c r="F1372" s="1399">
        <v>1200</v>
      </c>
      <c r="G1372" s="1399"/>
      <c r="H1372" s="1399"/>
      <c r="I1372" s="1399"/>
      <c r="J1372" s="1399">
        <v>1200</v>
      </c>
    </row>
    <row r="1373" spans="5:10" s="1297" customFormat="1">
      <c r="E1373" s="1297" t="s">
        <v>947</v>
      </c>
      <c r="F1373" s="1399">
        <v>199936.18</v>
      </c>
      <c r="G1373" s="1399"/>
      <c r="H1373" s="1399"/>
      <c r="I1373" s="1399"/>
      <c r="J1373" s="1399">
        <v>199936.18</v>
      </c>
    </row>
    <row r="1374" spans="5:10" s="1297" customFormat="1">
      <c r="E1374" s="1404" t="s">
        <v>948</v>
      </c>
      <c r="F1374" s="1405"/>
      <c r="G1374" s="1405"/>
      <c r="H1374" s="1405">
        <v>7271305.2800000003</v>
      </c>
      <c r="I1374" s="1405"/>
      <c r="J1374" s="1405">
        <v>7271305.2800000003</v>
      </c>
    </row>
    <row r="1375" spans="5:10" s="1297" customFormat="1">
      <c r="E1375" s="1297" t="s">
        <v>956</v>
      </c>
      <c r="F1375" s="1399"/>
      <c r="G1375" s="1399"/>
      <c r="H1375" s="1399">
        <v>41596.44</v>
      </c>
      <c r="I1375" s="1399"/>
      <c r="J1375" s="1399">
        <v>41596.44</v>
      </c>
    </row>
    <row r="1376" spans="5:10" s="1297" customFormat="1">
      <c r="E1376" s="1297" t="s">
        <v>1118</v>
      </c>
      <c r="F1376" s="1399"/>
      <c r="G1376" s="1399"/>
      <c r="H1376" s="1399">
        <v>531970.51</v>
      </c>
      <c r="I1376" s="1399"/>
      <c r="J1376" s="1399">
        <v>531970.51</v>
      </c>
    </row>
    <row r="1377" spans="2:12">
      <c r="B1377" s="1297"/>
      <c r="C1377" s="1297"/>
      <c r="D1377" s="1400" t="s">
        <v>1077</v>
      </c>
      <c r="E1377" s="1400"/>
      <c r="F1377" s="1401">
        <f>SUM(F1333:F1376)</f>
        <v>14746585.5</v>
      </c>
      <c r="G1377" s="1401">
        <f>SUM(G1333:G1376)</f>
        <v>18205511.73</v>
      </c>
      <c r="H1377" s="1401">
        <f>SUM(H1333:H1376)-H1374</f>
        <v>4008650.9599999981</v>
      </c>
      <c r="I1377" s="1401">
        <f>SUM(I1333:I1376)-I1359</f>
        <v>50419837.690000005</v>
      </c>
      <c r="J1377" s="1401">
        <f>SUM(J1333:J1376)</f>
        <v>97397706.610000029</v>
      </c>
      <c r="K1377" s="1401">
        <f>SUM(F1377:I1377)</f>
        <v>87380585.879999995</v>
      </c>
      <c r="L1377" s="1408">
        <f>K1377/C1333</f>
        <v>10166.443965095985</v>
      </c>
    </row>
    <row r="1378" spans="2:12">
      <c r="B1378" s="1297" t="s">
        <v>1078</v>
      </c>
      <c r="C1378" s="1297">
        <v>23094</v>
      </c>
      <c r="D1378" s="1297" t="s">
        <v>1079</v>
      </c>
      <c r="E1378" s="1297" t="s">
        <v>906</v>
      </c>
      <c r="G1378" s="1399">
        <v>66880145.719999999</v>
      </c>
      <c r="J1378" s="1399">
        <v>66880145.719999999</v>
      </c>
    </row>
    <row r="1379" spans="2:12">
      <c r="B1379" s="1297"/>
      <c r="C1379" s="1297"/>
      <c r="D1379" s="1297"/>
      <c r="E1379" s="1297" t="s">
        <v>952</v>
      </c>
      <c r="G1379" s="1399">
        <v>1953174.72</v>
      </c>
      <c r="J1379" s="1399">
        <v>1953174.72</v>
      </c>
    </row>
    <row r="1380" spans="2:12">
      <c r="B1380" s="1297"/>
      <c r="C1380" s="1297"/>
      <c r="D1380" s="1297"/>
      <c r="E1380" s="1297" t="s">
        <v>907</v>
      </c>
      <c r="G1380" s="1399">
        <v>18162813.420000002</v>
      </c>
      <c r="J1380" s="1399">
        <v>18162813.420000002</v>
      </c>
    </row>
    <row r="1381" spans="2:12">
      <c r="B1381" s="1297"/>
      <c r="C1381" s="1297"/>
      <c r="D1381" s="1297"/>
      <c r="E1381" s="1297" t="s">
        <v>908</v>
      </c>
      <c r="G1381" s="1399">
        <v>16860.02</v>
      </c>
      <c r="J1381" s="1399">
        <v>16860.02</v>
      </c>
    </row>
    <row r="1382" spans="2:12">
      <c r="B1382" s="1297"/>
      <c r="C1382" s="1297"/>
      <c r="D1382" s="1297"/>
      <c r="E1382" s="1297" t="s">
        <v>909</v>
      </c>
      <c r="H1382" s="1399">
        <v>109684.5</v>
      </c>
      <c r="J1382" s="1399">
        <v>109684.5</v>
      </c>
    </row>
    <row r="1383" spans="2:12">
      <c r="B1383" s="1297"/>
      <c r="C1383" s="1297"/>
      <c r="D1383" s="1297"/>
      <c r="E1383" s="1297" t="s">
        <v>910</v>
      </c>
      <c r="H1383" s="1399">
        <v>1885320.2099999997</v>
      </c>
      <c r="J1383" s="1399">
        <v>1885320.2099999997</v>
      </c>
    </row>
    <row r="1384" spans="2:12">
      <c r="B1384" s="1297"/>
      <c r="C1384" s="1297"/>
      <c r="D1384" s="1297"/>
      <c r="E1384" s="1297" t="s">
        <v>1034</v>
      </c>
      <c r="H1384" s="1399">
        <v>376180.76999999996</v>
      </c>
      <c r="J1384" s="1399">
        <v>376180.76999999996</v>
      </c>
    </row>
    <row r="1385" spans="2:12">
      <c r="B1385" s="1297"/>
      <c r="C1385" s="1297"/>
      <c r="D1385" s="1297"/>
      <c r="E1385" s="1297" t="s">
        <v>1035</v>
      </c>
      <c r="H1385" s="1399">
        <v>5714566.0800000019</v>
      </c>
      <c r="J1385" s="1399">
        <v>5714566.0800000019</v>
      </c>
    </row>
    <row r="1386" spans="2:12">
      <c r="B1386" s="1297"/>
      <c r="C1386" s="1297"/>
      <c r="D1386" s="1297"/>
      <c r="E1386" s="1297" t="s">
        <v>1036</v>
      </c>
      <c r="H1386" s="1399">
        <v>510659.94999999995</v>
      </c>
      <c r="J1386" s="1399">
        <v>510659.94999999995</v>
      </c>
    </row>
    <row r="1387" spans="2:12">
      <c r="B1387" s="1297"/>
      <c r="C1387" s="1297"/>
      <c r="D1387" s="1297"/>
      <c r="E1387" s="1297" t="s">
        <v>1038</v>
      </c>
      <c r="H1387" s="1399">
        <v>174903.64</v>
      </c>
      <c r="J1387" s="1399">
        <v>174903.64</v>
      </c>
    </row>
    <row r="1388" spans="2:12">
      <c r="B1388" s="1297"/>
      <c r="C1388" s="1297"/>
      <c r="D1388" s="1297"/>
      <c r="E1388" s="1297" t="s">
        <v>1039</v>
      </c>
      <c r="H1388" s="1399">
        <v>194415.01000000013</v>
      </c>
      <c r="J1388" s="1399">
        <v>194415.01000000013</v>
      </c>
    </row>
    <row r="1389" spans="2:12">
      <c r="B1389" s="1297"/>
      <c r="C1389" s="1297"/>
      <c r="D1389" s="1297"/>
      <c r="E1389" s="1297" t="s">
        <v>1040</v>
      </c>
      <c r="H1389" s="1399">
        <v>3069163.2199999993</v>
      </c>
      <c r="J1389" s="1399">
        <v>3069163.2199999993</v>
      </c>
    </row>
    <row r="1390" spans="2:12">
      <c r="B1390" s="1297"/>
      <c r="C1390" s="1297"/>
      <c r="D1390" s="1297"/>
      <c r="E1390" s="1297" t="s">
        <v>1127</v>
      </c>
      <c r="H1390" s="1399">
        <v>205829.2</v>
      </c>
      <c r="J1390" s="1399">
        <v>205829.2</v>
      </c>
    </row>
    <row r="1391" spans="2:12">
      <c r="B1391" s="1297"/>
      <c r="C1391" s="1297"/>
      <c r="D1391" s="1297"/>
      <c r="E1391" s="1297" t="s">
        <v>1041</v>
      </c>
      <c r="H1391" s="1399">
        <v>885262.56</v>
      </c>
      <c r="J1391" s="1399">
        <v>885262.56</v>
      </c>
    </row>
    <row r="1392" spans="2:12">
      <c r="B1392" s="1297"/>
      <c r="C1392" s="1297"/>
      <c r="D1392" s="1297"/>
      <c r="E1392" s="1297" t="s">
        <v>1042</v>
      </c>
      <c r="H1392" s="1399">
        <v>152930.45000000001</v>
      </c>
      <c r="J1392" s="1399">
        <v>152930.45000000001</v>
      </c>
    </row>
    <row r="1393" spans="5:10" s="1297" customFormat="1">
      <c r="E1393" s="1297" t="s">
        <v>954</v>
      </c>
      <c r="F1393" s="1399"/>
      <c r="G1393" s="1399"/>
      <c r="H1393" s="1399">
        <v>1081745.1299999999</v>
      </c>
      <c r="I1393" s="1399"/>
      <c r="J1393" s="1399">
        <v>1081745.1299999999</v>
      </c>
    </row>
    <row r="1394" spans="5:10" s="1297" customFormat="1">
      <c r="E1394" s="1297" t="s">
        <v>1044</v>
      </c>
      <c r="F1394" s="1399">
        <v>222081.5</v>
      </c>
      <c r="G1394" s="1399"/>
      <c r="H1394" s="1399"/>
      <c r="I1394" s="1399"/>
      <c r="J1394" s="1399">
        <v>222081.5</v>
      </c>
    </row>
    <row r="1395" spans="5:10" s="1297" customFormat="1">
      <c r="E1395" s="1297" t="s">
        <v>1045</v>
      </c>
      <c r="F1395" s="1399"/>
      <c r="G1395" s="1399"/>
      <c r="H1395" s="1399">
        <v>952227.42999999993</v>
      </c>
      <c r="I1395" s="1399"/>
      <c r="J1395" s="1399">
        <v>952227.42999999993</v>
      </c>
    </row>
    <row r="1396" spans="5:10" s="1297" customFormat="1">
      <c r="E1396" s="1297" t="s">
        <v>1046</v>
      </c>
      <c r="F1396" s="1399"/>
      <c r="G1396" s="1399"/>
      <c r="H1396" s="1399"/>
      <c r="I1396" s="1399">
        <v>112596567</v>
      </c>
      <c r="J1396" s="1399">
        <v>112596567</v>
      </c>
    </row>
    <row r="1397" spans="5:10" s="1297" customFormat="1">
      <c r="E1397" s="1297" t="s">
        <v>1128</v>
      </c>
      <c r="F1397" s="1399"/>
      <c r="G1397" s="1399"/>
      <c r="H1397" s="1399"/>
      <c r="I1397" s="1399">
        <v>9834089</v>
      </c>
      <c r="J1397" s="1399">
        <v>9834089</v>
      </c>
    </row>
    <row r="1398" spans="5:10" s="1297" customFormat="1">
      <c r="E1398" s="1297" t="s">
        <v>1129</v>
      </c>
      <c r="F1398" s="1399"/>
      <c r="G1398" s="1399"/>
      <c r="H1398" s="1399"/>
      <c r="I1398" s="1399">
        <v>-14901370</v>
      </c>
      <c r="J1398" s="1399">
        <v>-14901370</v>
      </c>
    </row>
    <row r="1399" spans="5:10" s="1297" customFormat="1">
      <c r="E1399" s="1297" t="s">
        <v>1047</v>
      </c>
      <c r="F1399" s="1399"/>
      <c r="G1399" s="1399"/>
      <c r="H1399" s="1399"/>
      <c r="I1399" s="1399">
        <v>2013836</v>
      </c>
      <c r="J1399" s="1399">
        <v>2013836</v>
      </c>
    </row>
    <row r="1400" spans="5:10" s="1297" customFormat="1">
      <c r="E1400" s="1297" t="s">
        <v>1048</v>
      </c>
      <c r="F1400" s="1399"/>
      <c r="G1400" s="1399"/>
      <c r="H1400" s="1399"/>
      <c r="I1400" s="1399">
        <v>-18319740</v>
      </c>
      <c r="J1400" s="1399">
        <v>-18319740</v>
      </c>
    </row>
    <row r="1401" spans="5:10" s="1297" customFormat="1">
      <c r="E1401" s="1297" t="s">
        <v>932</v>
      </c>
      <c r="F1401" s="1399"/>
      <c r="G1401" s="1399"/>
      <c r="H1401" s="1399"/>
      <c r="I1401" s="1399">
        <v>6638611</v>
      </c>
      <c r="J1401" s="1399">
        <v>6638611</v>
      </c>
    </row>
    <row r="1402" spans="5:10" s="1297" customFormat="1">
      <c r="E1402" s="1404" t="s">
        <v>955</v>
      </c>
      <c r="F1402" s="1405"/>
      <c r="G1402" s="1405"/>
      <c r="H1402" s="1405"/>
      <c r="I1402" s="1405">
        <v>1862893.29</v>
      </c>
      <c r="J1402" s="1405">
        <v>1862893.29</v>
      </c>
    </row>
    <row r="1403" spans="5:10" s="1297" customFormat="1">
      <c r="E1403" s="1297" t="s">
        <v>934</v>
      </c>
      <c r="F1403" s="1399"/>
      <c r="G1403" s="1399"/>
      <c r="H1403" s="1399"/>
      <c r="I1403" s="1399">
        <v>282938</v>
      </c>
      <c r="J1403" s="1399">
        <v>282938</v>
      </c>
    </row>
    <row r="1404" spans="5:10" s="1297" customFormat="1">
      <c r="E1404" s="1297" t="s">
        <v>1130</v>
      </c>
      <c r="F1404" s="1399"/>
      <c r="G1404" s="1399"/>
      <c r="H1404" s="1399"/>
      <c r="I1404" s="1399">
        <v>3532521.6</v>
      </c>
      <c r="J1404" s="1399">
        <v>3532521.6</v>
      </c>
    </row>
    <row r="1405" spans="5:10" s="1297" customFormat="1">
      <c r="E1405" s="1297" t="s">
        <v>935</v>
      </c>
      <c r="F1405" s="1399"/>
      <c r="G1405" s="1399"/>
      <c r="H1405" s="1399"/>
      <c r="I1405" s="1399">
        <v>1134889.01</v>
      </c>
      <c r="J1405" s="1399">
        <v>1134889.01</v>
      </c>
    </row>
    <row r="1406" spans="5:10" s="1297" customFormat="1">
      <c r="E1406" s="1297" t="s">
        <v>936</v>
      </c>
      <c r="F1406" s="1399"/>
      <c r="G1406" s="1399"/>
      <c r="H1406" s="1399"/>
      <c r="I1406" s="1399">
        <v>310933.68</v>
      </c>
      <c r="J1406" s="1399">
        <v>310933.68</v>
      </c>
    </row>
    <row r="1407" spans="5:10" s="1297" customFormat="1">
      <c r="E1407" s="1297" t="s">
        <v>937</v>
      </c>
      <c r="F1407" s="1399"/>
      <c r="G1407" s="1399"/>
      <c r="H1407" s="1399"/>
      <c r="I1407" s="1399">
        <v>22491.23</v>
      </c>
      <c r="J1407" s="1399">
        <v>22491.23</v>
      </c>
    </row>
    <row r="1408" spans="5:10" s="1297" customFormat="1">
      <c r="E1408" s="1297" t="s">
        <v>938</v>
      </c>
      <c r="F1408" s="1399"/>
      <c r="G1408" s="1399"/>
      <c r="H1408" s="1399"/>
      <c r="I1408" s="1399">
        <v>112482</v>
      </c>
      <c r="J1408" s="1399">
        <v>112482</v>
      </c>
    </row>
    <row r="1409" spans="2:12">
      <c r="B1409" s="1297"/>
      <c r="C1409" s="1297"/>
      <c r="D1409" s="1297"/>
      <c r="E1409" s="1297" t="s">
        <v>939</v>
      </c>
      <c r="I1409" s="1399">
        <v>20427.669999999998</v>
      </c>
      <c r="J1409" s="1399">
        <v>20427.669999999998</v>
      </c>
    </row>
    <row r="1410" spans="2:12">
      <c r="B1410" s="1297"/>
      <c r="C1410" s="1297"/>
      <c r="D1410" s="1297"/>
      <c r="E1410" s="1297" t="s">
        <v>1131</v>
      </c>
      <c r="F1410" s="1399">
        <v>284947.5</v>
      </c>
      <c r="J1410" s="1399">
        <v>284947.5</v>
      </c>
    </row>
    <row r="1411" spans="2:12">
      <c r="B1411" s="1297"/>
      <c r="C1411" s="1297"/>
      <c r="D1411" s="1297"/>
      <c r="E1411" s="1297" t="s">
        <v>940</v>
      </c>
      <c r="F1411" s="1399">
        <v>3167548.4399999995</v>
      </c>
      <c r="J1411" s="1399">
        <v>3167548.4399999995</v>
      </c>
    </row>
    <row r="1412" spans="2:12">
      <c r="B1412" s="1297"/>
      <c r="C1412" s="1297"/>
      <c r="D1412" s="1297"/>
      <c r="E1412" s="1297" t="s">
        <v>941</v>
      </c>
      <c r="F1412" s="1399">
        <v>678320.90000000014</v>
      </c>
      <c r="J1412" s="1399">
        <v>678320.90000000014</v>
      </c>
    </row>
    <row r="1413" spans="2:12">
      <c r="B1413" s="1297"/>
      <c r="C1413" s="1297"/>
      <c r="D1413" s="1297"/>
      <c r="E1413" s="1297" t="s">
        <v>943</v>
      </c>
      <c r="F1413" s="1399">
        <v>19632.740000000002</v>
      </c>
      <c r="J1413" s="1399">
        <v>19632.740000000002</v>
      </c>
    </row>
    <row r="1414" spans="2:12">
      <c r="B1414" s="1297"/>
      <c r="C1414" s="1297"/>
      <c r="D1414" s="1297"/>
      <c r="E1414" s="1297" t="s">
        <v>944</v>
      </c>
      <c r="F1414" s="1399">
        <v>6222285.870000001</v>
      </c>
      <c r="J1414" s="1399">
        <v>6222285.870000001</v>
      </c>
    </row>
    <row r="1415" spans="2:12">
      <c r="B1415" s="1297"/>
      <c r="C1415" s="1297"/>
      <c r="D1415" s="1297"/>
      <c r="E1415" s="1297" t="s">
        <v>945</v>
      </c>
      <c r="F1415" s="1399">
        <v>7287681.04</v>
      </c>
      <c r="J1415" s="1399">
        <v>7287681.04</v>
      </c>
    </row>
    <row r="1416" spans="2:12">
      <c r="B1416" s="1297"/>
      <c r="C1416" s="1297"/>
      <c r="D1416" s="1297"/>
      <c r="E1416" s="1297" t="s">
        <v>1006</v>
      </c>
      <c r="F1416" s="1399">
        <v>480306.63</v>
      </c>
      <c r="J1416" s="1399">
        <v>480306.63</v>
      </c>
    </row>
    <row r="1417" spans="2:12">
      <c r="B1417" s="1297"/>
      <c r="C1417" s="1297"/>
      <c r="D1417" s="1297"/>
      <c r="E1417" s="1297" t="s">
        <v>947</v>
      </c>
      <c r="F1417" s="1399">
        <v>538644.05999999994</v>
      </c>
      <c r="J1417" s="1399">
        <v>538644.05999999994</v>
      </c>
    </row>
    <row r="1418" spans="2:12">
      <c r="B1418" s="1297"/>
      <c r="C1418" s="1297"/>
      <c r="D1418" s="1297"/>
      <c r="E1418" s="1404" t="s">
        <v>1116</v>
      </c>
      <c r="F1418" s="1405"/>
      <c r="G1418" s="1405"/>
      <c r="H1418" s="1405">
        <v>35000000</v>
      </c>
      <c r="I1418" s="1405"/>
      <c r="J1418" s="1405">
        <v>35000000</v>
      </c>
    </row>
    <row r="1419" spans="2:12">
      <c r="B1419" s="1297"/>
      <c r="C1419" s="1297"/>
      <c r="D1419" s="1297"/>
      <c r="E1419" s="1404" t="s">
        <v>1117</v>
      </c>
      <c r="F1419" s="1405"/>
      <c r="G1419" s="1405"/>
      <c r="H1419" s="1405">
        <v>3685575.45</v>
      </c>
      <c r="I1419" s="1405"/>
      <c r="J1419" s="1405">
        <v>3685575.45</v>
      </c>
    </row>
    <row r="1420" spans="2:12">
      <c r="B1420" s="1297"/>
      <c r="C1420" s="1297"/>
      <c r="D1420" s="1297"/>
      <c r="E1420" s="1404" t="s">
        <v>948</v>
      </c>
      <c r="F1420" s="1405"/>
      <c r="G1420" s="1405"/>
      <c r="H1420" s="1405">
        <v>25412030.180000011</v>
      </c>
      <c r="I1420" s="1405"/>
      <c r="J1420" s="1405">
        <v>25412030.180000011</v>
      </c>
    </row>
    <row r="1421" spans="2:12">
      <c r="B1421" s="1297"/>
      <c r="C1421" s="1297"/>
      <c r="D1421" s="1297"/>
      <c r="E1421" s="359" t="s">
        <v>1080</v>
      </c>
      <c r="F1421" s="1411"/>
      <c r="G1421" s="1411"/>
      <c r="H1421" s="1411">
        <v>78483.63</v>
      </c>
      <c r="I1421" s="1411"/>
      <c r="J1421" s="1411">
        <v>78483.63</v>
      </c>
    </row>
    <row r="1422" spans="2:12">
      <c r="B1422" s="1297"/>
      <c r="C1422" s="1297"/>
      <c r="D1422" s="1400" t="s">
        <v>1081</v>
      </c>
      <c r="E1422" s="1400"/>
      <c r="F1422" s="1401">
        <f>SUM(F1378:F1421)</f>
        <v>18901448.68</v>
      </c>
      <c r="G1422" s="1401">
        <f>SUM(G1378:G1421)</f>
        <v>87012993.879999995</v>
      </c>
      <c r="H1422" s="1401">
        <f>SUM(H1378:H1421)-(H1418+H1419+H1420)</f>
        <v>15391371.780000001</v>
      </c>
      <c r="I1422" s="1401">
        <f>SUM(I1378:I1421)-I1402</f>
        <v>103278676.19000001</v>
      </c>
      <c r="J1422" s="1401">
        <f>SUM(J1378:J1421)</f>
        <v>290544989.44999999</v>
      </c>
      <c r="K1422" s="1401">
        <f>SUM(F1422:I1422)</f>
        <v>224584490.53000003</v>
      </c>
      <c r="L1422" s="1408">
        <f>K1422/C1378</f>
        <v>9724.7982389365225</v>
      </c>
    </row>
    <row r="1423" spans="2:12">
      <c r="B1423" s="1297" t="s">
        <v>1082</v>
      </c>
      <c r="C1423" s="1297">
        <v>3077</v>
      </c>
      <c r="D1423" s="1297" t="s">
        <v>1083</v>
      </c>
      <c r="E1423" s="1297" t="s">
        <v>906</v>
      </c>
      <c r="G1423" s="1399">
        <v>5584989.5700000003</v>
      </c>
      <c r="J1423" s="1399">
        <v>5584989.5700000003</v>
      </c>
    </row>
    <row r="1424" spans="2:12">
      <c r="B1424" s="1297"/>
      <c r="C1424" s="1297"/>
      <c r="D1424" s="1297"/>
      <c r="E1424" s="1297" t="s">
        <v>952</v>
      </c>
      <c r="G1424" s="1399">
        <v>56567.06</v>
      </c>
      <c r="J1424" s="1399">
        <v>56567.06</v>
      </c>
    </row>
    <row r="1425" spans="5:10" s="1297" customFormat="1">
      <c r="E1425" s="1297" t="s">
        <v>907</v>
      </c>
      <c r="F1425" s="1399"/>
      <c r="G1425" s="1399">
        <v>1655269.22</v>
      </c>
      <c r="H1425" s="1399"/>
      <c r="I1425" s="1399"/>
      <c r="J1425" s="1399">
        <v>1655269.22</v>
      </c>
    </row>
    <row r="1426" spans="5:10" s="1297" customFormat="1">
      <c r="E1426" s="1297" t="s">
        <v>908</v>
      </c>
      <c r="F1426" s="1399"/>
      <c r="G1426" s="1399">
        <v>23924.13</v>
      </c>
      <c r="H1426" s="1399"/>
      <c r="I1426" s="1399"/>
      <c r="J1426" s="1399">
        <v>23924.13</v>
      </c>
    </row>
    <row r="1427" spans="5:10" s="1297" customFormat="1">
      <c r="E1427" s="1297" t="s">
        <v>909</v>
      </c>
      <c r="F1427" s="1399"/>
      <c r="G1427" s="1399"/>
      <c r="H1427" s="1399">
        <v>34866.99</v>
      </c>
      <c r="I1427" s="1399"/>
      <c r="J1427" s="1399">
        <v>34866.99</v>
      </c>
    </row>
    <row r="1428" spans="5:10" s="1297" customFormat="1">
      <c r="E1428" s="1297" t="s">
        <v>910</v>
      </c>
      <c r="F1428" s="1399"/>
      <c r="G1428" s="1399"/>
      <c r="H1428" s="1399">
        <v>68852.009999999995</v>
      </c>
      <c r="I1428" s="1399"/>
      <c r="J1428" s="1399">
        <v>68852.009999999995</v>
      </c>
    </row>
    <row r="1429" spans="5:10" s="1297" customFormat="1">
      <c r="E1429" s="1297" t="s">
        <v>1034</v>
      </c>
      <c r="F1429" s="1399"/>
      <c r="G1429" s="1399"/>
      <c r="H1429" s="1399">
        <v>32839.89</v>
      </c>
      <c r="I1429" s="1399"/>
      <c r="J1429" s="1399">
        <v>32839.89</v>
      </c>
    </row>
    <row r="1430" spans="5:10" s="1297" customFormat="1">
      <c r="E1430" s="1297" t="s">
        <v>1035</v>
      </c>
      <c r="F1430" s="1399"/>
      <c r="G1430" s="1399"/>
      <c r="H1430" s="1399">
        <v>47076.41</v>
      </c>
      <c r="I1430" s="1399"/>
      <c r="J1430" s="1399">
        <v>47076.41</v>
      </c>
    </row>
    <row r="1431" spans="5:10" s="1297" customFormat="1">
      <c r="E1431" s="1297" t="s">
        <v>1036</v>
      </c>
      <c r="F1431" s="1399"/>
      <c r="G1431" s="1399"/>
      <c r="H1431" s="1399">
        <v>9570.59</v>
      </c>
      <c r="I1431" s="1399"/>
      <c r="J1431" s="1399">
        <v>9570.59</v>
      </c>
    </row>
    <row r="1432" spans="5:10" s="1297" customFormat="1">
      <c r="E1432" s="1297" t="s">
        <v>1037</v>
      </c>
      <c r="F1432" s="1399"/>
      <c r="G1432" s="1399"/>
      <c r="H1432" s="1399">
        <v>4230</v>
      </c>
      <c r="I1432" s="1399"/>
      <c r="J1432" s="1399">
        <v>4230</v>
      </c>
    </row>
    <row r="1433" spans="5:10" s="1297" customFormat="1">
      <c r="E1433" s="1297" t="s">
        <v>1038</v>
      </c>
      <c r="F1433" s="1399"/>
      <c r="G1433" s="1399"/>
      <c r="H1433" s="1399">
        <v>650</v>
      </c>
      <c r="I1433" s="1399"/>
      <c r="J1433" s="1399">
        <v>650</v>
      </c>
    </row>
    <row r="1434" spans="5:10" s="1297" customFormat="1">
      <c r="E1434" s="1297" t="s">
        <v>1039</v>
      </c>
      <c r="F1434" s="1399"/>
      <c r="G1434" s="1399"/>
      <c r="H1434" s="1399">
        <v>13777.46</v>
      </c>
      <c r="I1434" s="1399"/>
      <c r="J1434" s="1399">
        <v>13777.46</v>
      </c>
    </row>
    <row r="1435" spans="5:10" s="1297" customFormat="1">
      <c r="E1435" s="1297" t="s">
        <v>1040</v>
      </c>
      <c r="F1435" s="1399"/>
      <c r="G1435" s="1399"/>
      <c r="H1435" s="1399">
        <v>153606.32</v>
      </c>
      <c r="I1435" s="1399"/>
      <c r="J1435" s="1399">
        <v>153606.32</v>
      </c>
    </row>
    <row r="1436" spans="5:10" s="1297" customFormat="1">
      <c r="E1436" s="1297" t="s">
        <v>1041</v>
      </c>
      <c r="F1436" s="1399"/>
      <c r="G1436" s="1399"/>
      <c r="H1436" s="1399">
        <v>58566.89</v>
      </c>
      <c r="I1436" s="1399"/>
      <c r="J1436" s="1399">
        <v>58566.89</v>
      </c>
    </row>
    <row r="1437" spans="5:10" s="1297" customFormat="1">
      <c r="E1437" s="1297" t="s">
        <v>1042</v>
      </c>
      <c r="F1437" s="1399"/>
      <c r="G1437" s="1399"/>
      <c r="H1437" s="1399">
        <v>56648.9</v>
      </c>
      <c r="I1437" s="1399"/>
      <c r="J1437" s="1399">
        <v>56648.9</v>
      </c>
    </row>
    <row r="1438" spans="5:10" s="1297" customFormat="1">
      <c r="E1438" s="1297" t="s">
        <v>986</v>
      </c>
      <c r="F1438" s="1399"/>
      <c r="G1438" s="1399"/>
      <c r="H1438" s="1399">
        <v>16788.52</v>
      </c>
      <c r="I1438" s="1399"/>
      <c r="J1438" s="1399">
        <v>16788.52</v>
      </c>
    </row>
    <row r="1439" spans="5:10" s="1297" customFormat="1">
      <c r="E1439" s="1297" t="s">
        <v>1045</v>
      </c>
      <c r="F1439" s="1399"/>
      <c r="G1439" s="1399"/>
      <c r="H1439" s="1399">
        <v>347168.75000000006</v>
      </c>
      <c r="I1439" s="1399"/>
      <c r="J1439" s="1399">
        <v>347168.75000000006</v>
      </c>
    </row>
    <row r="1440" spans="5:10" s="1297" customFormat="1">
      <c r="E1440" s="1297" t="s">
        <v>1046</v>
      </c>
      <c r="F1440" s="1399"/>
      <c r="G1440" s="1399"/>
      <c r="H1440" s="1399"/>
      <c r="I1440" s="1399">
        <v>14857163</v>
      </c>
      <c r="J1440" s="1399">
        <v>14857163</v>
      </c>
    </row>
    <row r="1441" spans="5:10" s="1297" customFormat="1">
      <c r="E1441" s="1297" t="s">
        <v>1047</v>
      </c>
      <c r="F1441" s="1399"/>
      <c r="G1441" s="1399"/>
      <c r="H1441" s="1399"/>
      <c r="I1441" s="1399">
        <v>414854</v>
      </c>
      <c r="J1441" s="1399">
        <v>414854</v>
      </c>
    </row>
    <row r="1442" spans="5:10" s="1297" customFormat="1">
      <c r="E1442" s="1297" t="s">
        <v>1048</v>
      </c>
      <c r="F1442" s="1399"/>
      <c r="G1442" s="1399"/>
      <c r="H1442" s="1399"/>
      <c r="I1442" s="1399">
        <v>-1664567</v>
      </c>
      <c r="J1442" s="1399">
        <v>-1664567</v>
      </c>
    </row>
    <row r="1443" spans="5:10" s="1297" customFormat="1">
      <c r="E1443" s="1297" t="s">
        <v>932</v>
      </c>
      <c r="F1443" s="1399"/>
      <c r="G1443" s="1399"/>
      <c r="H1443" s="1399"/>
      <c r="I1443" s="1399">
        <v>2243375</v>
      </c>
      <c r="J1443" s="1399">
        <v>2243375</v>
      </c>
    </row>
    <row r="1444" spans="5:10" s="1297" customFormat="1">
      <c r="E1444" s="1297" t="s">
        <v>933</v>
      </c>
      <c r="F1444" s="1399"/>
      <c r="G1444" s="1399"/>
      <c r="H1444" s="1399"/>
      <c r="I1444" s="1399">
        <v>1166686.92</v>
      </c>
      <c r="J1444" s="1399">
        <v>1166686.92</v>
      </c>
    </row>
    <row r="1445" spans="5:10" s="1297" customFormat="1">
      <c r="E1445" s="1297" t="s">
        <v>934</v>
      </c>
      <c r="F1445" s="1399"/>
      <c r="G1445" s="1399"/>
      <c r="H1445" s="1399"/>
      <c r="I1445" s="1399">
        <v>53328</v>
      </c>
      <c r="J1445" s="1399">
        <v>53328</v>
      </c>
    </row>
    <row r="1446" spans="5:10" s="1297" customFormat="1">
      <c r="E1446" s="1297" t="s">
        <v>935</v>
      </c>
      <c r="F1446" s="1399"/>
      <c r="G1446" s="1399"/>
      <c r="H1446" s="1399"/>
      <c r="I1446" s="1399">
        <v>379378.22000000003</v>
      </c>
      <c r="J1446" s="1399">
        <v>379378.22000000003</v>
      </c>
    </row>
    <row r="1447" spans="5:10" s="1297" customFormat="1">
      <c r="E1447" s="1297" t="s">
        <v>936</v>
      </c>
      <c r="F1447" s="1399"/>
      <c r="G1447" s="1399"/>
      <c r="H1447" s="1399"/>
      <c r="I1447" s="1399">
        <v>58124.99</v>
      </c>
      <c r="J1447" s="1399">
        <v>58124.99</v>
      </c>
    </row>
    <row r="1448" spans="5:10" s="1297" customFormat="1">
      <c r="E1448" s="1297" t="s">
        <v>937</v>
      </c>
      <c r="F1448" s="1399"/>
      <c r="G1448" s="1399"/>
      <c r="H1448" s="1399"/>
      <c r="I1448" s="1399">
        <v>11735.59</v>
      </c>
      <c r="J1448" s="1399">
        <v>11735.59</v>
      </c>
    </row>
    <row r="1449" spans="5:10" s="1297" customFormat="1">
      <c r="E1449" s="1297" t="s">
        <v>938</v>
      </c>
      <c r="F1449" s="1399"/>
      <c r="G1449" s="1399"/>
      <c r="H1449" s="1399"/>
      <c r="I1449" s="1399">
        <v>17967</v>
      </c>
      <c r="J1449" s="1399">
        <v>17967</v>
      </c>
    </row>
    <row r="1450" spans="5:10" s="1297" customFormat="1">
      <c r="E1450" s="1297" t="s">
        <v>939</v>
      </c>
      <c r="F1450" s="1399"/>
      <c r="G1450" s="1399"/>
      <c r="H1450" s="1399"/>
      <c r="I1450" s="1399">
        <v>225809.6</v>
      </c>
      <c r="J1450" s="1399">
        <v>225809.6</v>
      </c>
    </row>
    <row r="1451" spans="5:10" s="1297" customFormat="1">
      <c r="E1451" s="1297" t="s">
        <v>940</v>
      </c>
      <c r="F1451" s="1399">
        <v>872821.64</v>
      </c>
      <c r="G1451" s="1399"/>
      <c r="H1451" s="1399"/>
      <c r="I1451" s="1399"/>
      <c r="J1451" s="1399">
        <v>872821.64</v>
      </c>
    </row>
    <row r="1452" spans="5:10" s="1297" customFormat="1">
      <c r="E1452" s="1297" t="s">
        <v>941</v>
      </c>
      <c r="F1452" s="1399">
        <v>339005.44</v>
      </c>
      <c r="G1452" s="1399"/>
      <c r="H1452" s="1399"/>
      <c r="I1452" s="1399"/>
      <c r="J1452" s="1399">
        <v>339005.44</v>
      </c>
    </row>
    <row r="1453" spans="5:10" s="1297" customFormat="1">
      <c r="E1453" s="1297" t="s">
        <v>943</v>
      </c>
      <c r="F1453" s="1399">
        <v>8315.3799999999992</v>
      </c>
      <c r="G1453" s="1399"/>
      <c r="H1453" s="1399"/>
      <c r="I1453" s="1399"/>
      <c r="J1453" s="1399">
        <v>8315.3799999999992</v>
      </c>
    </row>
    <row r="1454" spans="5:10" s="1297" customFormat="1">
      <c r="E1454" s="1297" t="s">
        <v>944</v>
      </c>
      <c r="F1454" s="1399">
        <v>2349819.4499999997</v>
      </c>
      <c r="G1454" s="1399"/>
      <c r="H1454" s="1399"/>
      <c r="I1454" s="1399"/>
      <c r="J1454" s="1399">
        <v>2349819.4499999997</v>
      </c>
    </row>
    <row r="1455" spans="5:10" s="1297" customFormat="1">
      <c r="E1455" s="1297" t="s">
        <v>945</v>
      </c>
      <c r="F1455" s="1399">
        <v>1564061.5</v>
      </c>
      <c r="G1455" s="1399"/>
      <c r="H1455" s="1399"/>
      <c r="I1455" s="1399"/>
      <c r="J1455" s="1399">
        <v>1564061.5</v>
      </c>
    </row>
    <row r="1456" spans="5:10" s="1297" customFormat="1">
      <c r="E1456" s="1297" t="s">
        <v>946</v>
      </c>
      <c r="F1456" s="1399">
        <v>126215.28</v>
      </c>
      <c r="G1456" s="1399"/>
      <c r="H1456" s="1399"/>
      <c r="I1456" s="1399"/>
      <c r="J1456" s="1399">
        <v>126215.28</v>
      </c>
    </row>
    <row r="1457" spans="2:12">
      <c r="B1457" s="1297"/>
      <c r="C1457" s="1297"/>
      <c r="D1457" s="1297"/>
      <c r="E1457" s="1297" t="s">
        <v>947</v>
      </c>
      <c r="F1457" s="1399">
        <v>94631.41</v>
      </c>
      <c r="J1457" s="1399">
        <v>94631.41</v>
      </c>
    </row>
    <row r="1458" spans="2:12">
      <c r="B1458" s="1297"/>
      <c r="C1458" s="1297"/>
      <c r="D1458" s="1297"/>
      <c r="E1458" s="1404" t="s">
        <v>948</v>
      </c>
      <c r="F1458" s="1405"/>
      <c r="G1458" s="1405"/>
      <c r="H1458" s="1405">
        <v>2497391.3700000006</v>
      </c>
      <c r="I1458" s="1405"/>
      <c r="J1458" s="1405">
        <v>2497391.3700000006</v>
      </c>
    </row>
    <row r="1459" spans="2:12">
      <c r="B1459" s="1297"/>
      <c r="C1459" s="1297"/>
      <c r="D1459" s="1297"/>
      <c r="E1459" s="1297" t="s">
        <v>1118</v>
      </c>
      <c r="H1459" s="1399">
        <v>388070.04000000004</v>
      </c>
      <c r="J1459" s="1399">
        <v>388070.04000000004</v>
      </c>
    </row>
    <row r="1460" spans="2:12">
      <c r="B1460" s="1297"/>
      <c r="C1460" s="1297"/>
      <c r="D1460" s="1400" t="s">
        <v>1084</v>
      </c>
      <c r="E1460" s="1400"/>
      <c r="F1460" s="1401">
        <f>SUM(F1423:F1459)</f>
        <v>5354870.1000000006</v>
      </c>
      <c r="G1460" s="1401">
        <f>SUM(G1423:G1459)</f>
        <v>7320749.9799999995</v>
      </c>
      <c r="H1460" s="1401">
        <f>SUM(H1423:H1459)-H1458</f>
        <v>1232712.77</v>
      </c>
      <c r="I1460" s="1401">
        <f>SUM(I1423:I1459)</f>
        <v>17763855.32</v>
      </c>
      <c r="J1460" s="1401">
        <f>SUM(J1423:J1459)</f>
        <v>34169579.539999999</v>
      </c>
      <c r="K1460" s="1401">
        <f>SUM(F1460:I1460)</f>
        <v>31672188.170000002</v>
      </c>
      <c r="L1460" s="1408">
        <f>K1460/C1423</f>
        <v>10293.203825154371</v>
      </c>
    </row>
    <row r="1461" spans="2:12">
      <c r="B1461" s="1297" t="s">
        <v>1085</v>
      </c>
      <c r="C1461" s="1297">
        <v>21783</v>
      </c>
      <c r="D1461" s="1297" t="s">
        <v>1086</v>
      </c>
      <c r="E1461" s="1297" t="s">
        <v>906</v>
      </c>
      <c r="G1461" s="1399">
        <v>73521907.789999992</v>
      </c>
      <c r="J1461" s="1399">
        <v>73521907.789999992</v>
      </c>
    </row>
    <row r="1462" spans="2:12">
      <c r="B1462" s="1297"/>
      <c r="C1462" s="1297"/>
      <c r="D1462" s="1297"/>
      <c r="E1462" s="1297" t="s">
        <v>952</v>
      </c>
      <c r="G1462" s="1399">
        <v>1083489.92</v>
      </c>
      <c r="J1462" s="1399">
        <v>1083489.92</v>
      </c>
    </row>
    <row r="1463" spans="2:12">
      <c r="B1463" s="1297"/>
      <c r="C1463" s="1297"/>
      <c r="D1463" s="1297"/>
      <c r="E1463" s="1297" t="s">
        <v>907</v>
      </c>
      <c r="G1463" s="1399">
        <v>19188526.219999999</v>
      </c>
      <c r="J1463" s="1399">
        <v>19188526.219999999</v>
      </c>
    </row>
    <row r="1464" spans="2:12">
      <c r="B1464" s="1297"/>
      <c r="C1464" s="1297"/>
      <c r="D1464" s="1297"/>
      <c r="E1464" s="1297" t="s">
        <v>908</v>
      </c>
      <c r="G1464" s="1399">
        <v>56682.93</v>
      </c>
      <c r="J1464" s="1399">
        <v>56682.93</v>
      </c>
    </row>
    <row r="1465" spans="2:12">
      <c r="B1465" s="1297"/>
      <c r="C1465" s="1297"/>
      <c r="D1465" s="1297"/>
      <c r="E1465" s="1297" t="s">
        <v>909</v>
      </c>
      <c r="H1465" s="1399">
        <v>73219.899999999994</v>
      </c>
      <c r="J1465" s="1399">
        <v>73219.899999999994</v>
      </c>
    </row>
    <row r="1466" spans="2:12">
      <c r="B1466" s="1297"/>
      <c r="C1466" s="1297"/>
      <c r="D1466" s="1297"/>
      <c r="E1466" s="1297" t="s">
        <v>1034</v>
      </c>
      <c r="H1466" s="1399">
        <v>512233.88</v>
      </c>
      <c r="J1466" s="1399">
        <v>512233.88</v>
      </c>
    </row>
    <row r="1467" spans="2:12">
      <c r="B1467" s="1297"/>
      <c r="C1467" s="1297"/>
      <c r="D1467" s="1297"/>
      <c r="E1467" s="1297" t="s">
        <v>1035</v>
      </c>
      <c r="H1467" s="1399">
        <v>2300484.7000000002</v>
      </c>
      <c r="J1467" s="1399">
        <v>2300484.7000000002</v>
      </c>
    </row>
    <row r="1468" spans="2:12">
      <c r="B1468" s="1297"/>
      <c r="C1468" s="1297"/>
      <c r="D1468" s="1297"/>
      <c r="E1468" s="1297" t="s">
        <v>1036</v>
      </c>
      <c r="H1468" s="1399">
        <v>586180.12</v>
      </c>
      <c r="J1468" s="1399">
        <v>586180.12</v>
      </c>
    </row>
    <row r="1469" spans="2:12">
      <c r="B1469" s="1297"/>
      <c r="C1469" s="1297"/>
      <c r="D1469" s="1297"/>
      <c r="E1469" s="1297" t="s">
        <v>1037</v>
      </c>
      <c r="H1469" s="1399">
        <v>48400</v>
      </c>
      <c r="J1469" s="1399">
        <v>48400</v>
      </c>
    </row>
    <row r="1470" spans="2:12">
      <c r="B1470" s="1297"/>
      <c r="C1470" s="1297"/>
      <c r="D1470" s="1297"/>
      <c r="E1470" s="1297" t="s">
        <v>1039</v>
      </c>
      <c r="H1470" s="1399">
        <v>177703.58</v>
      </c>
      <c r="J1470" s="1399">
        <v>177703.58</v>
      </c>
    </row>
    <row r="1471" spans="2:12">
      <c r="B1471" s="1297"/>
      <c r="C1471" s="1297"/>
      <c r="D1471" s="1297"/>
      <c r="E1471" s="1297" t="s">
        <v>1040</v>
      </c>
      <c r="H1471" s="1399">
        <v>2781167.6400000011</v>
      </c>
      <c r="J1471" s="1399">
        <v>2781167.6400000011</v>
      </c>
    </row>
    <row r="1472" spans="2:12">
      <c r="B1472" s="1297"/>
      <c r="C1472" s="1297"/>
      <c r="D1472" s="1297"/>
      <c r="E1472" s="1297" t="s">
        <v>1041</v>
      </c>
      <c r="H1472" s="1399">
        <v>109897.68</v>
      </c>
      <c r="J1472" s="1399">
        <v>109897.68</v>
      </c>
    </row>
    <row r="1473" spans="5:10" s="1297" customFormat="1">
      <c r="E1473" s="1297" t="s">
        <v>1042</v>
      </c>
      <c r="F1473" s="1399"/>
      <c r="G1473" s="1399"/>
      <c r="H1473" s="1399">
        <v>214087.50000000003</v>
      </c>
      <c r="I1473" s="1399"/>
      <c r="J1473" s="1399">
        <v>214087.50000000003</v>
      </c>
    </row>
    <row r="1474" spans="5:10" s="1297" customFormat="1">
      <c r="E1474" s="1297" t="s">
        <v>985</v>
      </c>
      <c r="F1474" s="1399"/>
      <c r="G1474" s="1399"/>
      <c r="H1474" s="1399">
        <v>994443</v>
      </c>
      <c r="I1474" s="1399"/>
      <c r="J1474" s="1399">
        <v>994443</v>
      </c>
    </row>
    <row r="1475" spans="5:10" s="1297" customFormat="1">
      <c r="E1475" s="1297" t="s">
        <v>1044</v>
      </c>
      <c r="F1475" s="1399">
        <v>244307.92</v>
      </c>
      <c r="G1475" s="1399"/>
      <c r="H1475" s="1399"/>
      <c r="I1475" s="1399"/>
      <c r="J1475" s="1399">
        <v>244307.92</v>
      </c>
    </row>
    <row r="1476" spans="5:10" s="1297" customFormat="1">
      <c r="E1476" s="1297" t="s">
        <v>1045</v>
      </c>
      <c r="F1476" s="1399"/>
      <c r="G1476" s="1399"/>
      <c r="H1476" s="1399">
        <v>1031304.4099999999</v>
      </c>
      <c r="I1476" s="1399"/>
      <c r="J1476" s="1399">
        <v>1031304.4099999999</v>
      </c>
    </row>
    <row r="1477" spans="5:10" s="1297" customFormat="1">
      <c r="E1477" s="1297" t="s">
        <v>1046</v>
      </c>
      <c r="F1477" s="1399"/>
      <c r="G1477" s="1399"/>
      <c r="H1477" s="1399"/>
      <c r="I1477" s="1399">
        <v>118804604</v>
      </c>
      <c r="J1477" s="1399">
        <v>118804604</v>
      </c>
    </row>
    <row r="1478" spans="5:10" s="1297" customFormat="1">
      <c r="E1478" s="1297" t="s">
        <v>1129</v>
      </c>
      <c r="F1478" s="1399"/>
      <c r="G1478" s="1399"/>
      <c r="H1478" s="1399"/>
      <c r="I1478" s="1399">
        <v>-14832476</v>
      </c>
      <c r="J1478" s="1399">
        <v>-14832476</v>
      </c>
    </row>
    <row r="1479" spans="5:10" s="1297" customFormat="1">
      <c r="E1479" s="1297" t="s">
        <v>1047</v>
      </c>
      <c r="F1479" s="1399"/>
      <c r="G1479" s="1399"/>
      <c r="H1479" s="1399"/>
      <c r="I1479" s="1399">
        <v>2082429</v>
      </c>
      <c r="J1479" s="1399">
        <v>2082429</v>
      </c>
    </row>
    <row r="1480" spans="5:10" s="1297" customFormat="1">
      <c r="E1480" s="1297" t="s">
        <v>1048</v>
      </c>
      <c r="F1480" s="1399"/>
      <c r="G1480" s="1399"/>
      <c r="H1480" s="1399"/>
      <c r="I1480" s="1399">
        <v>-20594102</v>
      </c>
      <c r="J1480" s="1399">
        <v>-20594102</v>
      </c>
    </row>
    <row r="1481" spans="5:10" s="1297" customFormat="1">
      <c r="E1481" s="1297" t="s">
        <v>932</v>
      </c>
      <c r="F1481" s="1399"/>
      <c r="G1481" s="1399"/>
      <c r="H1481" s="1399"/>
      <c r="I1481" s="1399">
        <v>3510445</v>
      </c>
      <c r="J1481" s="1399">
        <v>3510445</v>
      </c>
    </row>
    <row r="1482" spans="5:10" s="1297" customFormat="1">
      <c r="E1482" s="1404" t="s">
        <v>955</v>
      </c>
      <c r="F1482" s="1405"/>
      <c r="G1482" s="1405"/>
      <c r="H1482" s="1405"/>
      <c r="I1482" s="1405">
        <v>2520060.96</v>
      </c>
      <c r="J1482" s="1405">
        <v>2520060.96</v>
      </c>
    </row>
    <row r="1483" spans="5:10" s="1297" customFormat="1">
      <c r="E1483" s="1297" t="s">
        <v>934</v>
      </c>
      <c r="F1483" s="1399"/>
      <c r="G1483" s="1399"/>
      <c r="H1483" s="1399"/>
      <c r="I1483" s="1399">
        <v>295742</v>
      </c>
      <c r="J1483" s="1399">
        <v>295742</v>
      </c>
    </row>
    <row r="1484" spans="5:10" s="1297" customFormat="1">
      <c r="E1484" s="1297" t="s">
        <v>1130</v>
      </c>
      <c r="F1484" s="1399"/>
      <c r="G1484" s="1399"/>
      <c r="H1484" s="1399"/>
      <c r="I1484" s="1399">
        <v>2970251.88</v>
      </c>
      <c r="J1484" s="1399">
        <v>2970251.88</v>
      </c>
    </row>
    <row r="1485" spans="5:10" s="1297" customFormat="1">
      <c r="E1485" s="1297" t="s">
        <v>935</v>
      </c>
      <c r="F1485" s="1399"/>
      <c r="G1485" s="1399"/>
      <c r="H1485" s="1399"/>
      <c r="I1485" s="1399">
        <v>1260595.4400000002</v>
      </c>
      <c r="J1485" s="1399">
        <v>1260595.4400000002</v>
      </c>
    </row>
    <row r="1486" spans="5:10" s="1297" customFormat="1">
      <c r="E1486" s="1297" t="s">
        <v>936</v>
      </c>
      <c r="F1486" s="1399"/>
      <c r="G1486" s="1399"/>
      <c r="H1486" s="1399"/>
      <c r="I1486" s="1399">
        <v>335444.21000000002</v>
      </c>
      <c r="J1486" s="1399">
        <v>335444.21000000002</v>
      </c>
    </row>
    <row r="1487" spans="5:10" s="1297" customFormat="1">
      <c r="E1487" s="1297" t="s">
        <v>938</v>
      </c>
      <c r="F1487" s="1399"/>
      <c r="G1487" s="1399"/>
      <c r="H1487" s="1399"/>
      <c r="I1487" s="1399">
        <v>125022</v>
      </c>
      <c r="J1487" s="1399">
        <v>125022</v>
      </c>
    </row>
    <row r="1488" spans="5:10" s="1297" customFormat="1">
      <c r="E1488" s="1297" t="s">
        <v>939</v>
      </c>
      <c r="F1488" s="1399"/>
      <c r="G1488" s="1399"/>
      <c r="H1488" s="1399"/>
      <c r="I1488" s="1399">
        <v>40755.89</v>
      </c>
      <c r="J1488" s="1399">
        <v>40755.89</v>
      </c>
    </row>
    <row r="1489" spans="2:12">
      <c r="B1489" s="1297"/>
      <c r="C1489" s="1297"/>
      <c r="D1489" s="1297"/>
      <c r="E1489" s="1297" t="s">
        <v>1131</v>
      </c>
      <c r="F1489" s="1399">
        <v>190339.52</v>
      </c>
      <c r="J1489" s="1399">
        <v>190339.52</v>
      </c>
    </row>
    <row r="1490" spans="2:12">
      <c r="B1490" s="1297"/>
      <c r="C1490" s="1297"/>
      <c r="D1490" s="1297"/>
      <c r="E1490" s="1297" t="s">
        <v>940</v>
      </c>
      <c r="F1490" s="1399">
        <v>3968224.3999999994</v>
      </c>
      <c r="J1490" s="1399">
        <v>3968224.3999999994</v>
      </c>
    </row>
    <row r="1491" spans="2:12">
      <c r="B1491" s="1297"/>
      <c r="C1491" s="1297"/>
      <c r="D1491" s="1297"/>
      <c r="E1491" s="1297" t="s">
        <v>941</v>
      </c>
      <c r="F1491" s="1399">
        <v>1042471.2600000002</v>
      </c>
      <c r="J1491" s="1399">
        <v>1042471.2600000002</v>
      </c>
    </row>
    <row r="1492" spans="2:12">
      <c r="B1492" s="1297"/>
      <c r="C1492" s="1297"/>
      <c r="D1492" s="1297"/>
      <c r="E1492" s="1297" t="s">
        <v>944</v>
      </c>
      <c r="F1492" s="1399">
        <v>8268146.9299999997</v>
      </c>
      <c r="J1492" s="1399">
        <v>8268146.9299999997</v>
      </c>
    </row>
    <row r="1493" spans="2:12">
      <c r="B1493" s="1297"/>
      <c r="C1493" s="1297"/>
      <c r="D1493" s="1297"/>
      <c r="E1493" s="1297" t="s">
        <v>945</v>
      </c>
      <c r="F1493" s="1399">
        <v>6995934.7299999995</v>
      </c>
      <c r="J1493" s="1399">
        <v>6995934.7299999995</v>
      </c>
    </row>
    <row r="1494" spans="2:12">
      <c r="B1494" s="1297"/>
      <c r="C1494" s="1297"/>
      <c r="D1494" s="1297"/>
      <c r="E1494" s="1297" t="s">
        <v>946</v>
      </c>
      <c r="F1494" s="1399">
        <v>823248.13</v>
      </c>
      <c r="J1494" s="1399">
        <v>823248.13</v>
      </c>
    </row>
    <row r="1495" spans="2:12">
      <c r="B1495" s="1297"/>
      <c r="C1495" s="1297"/>
      <c r="D1495" s="1297"/>
      <c r="E1495" s="1297" t="s">
        <v>947</v>
      </c>
      <c r="F1495" s="1399">
        <v>276717.33</v>
      </c>
      <c r="J1495" s="1399">
        <v>276717.33</v>
      </c>
    </row>
    <row r="1496" spans="2:12">
      <c r="B1496" s="1297"/>
      <c r="C1496" s="1297"/>
      <c r="D1496" s="1297"/>
      <c r="E1496" s="1404" t="s">
        <v>948</v>
      </c>
      <c r="F1496" s="1405"/>
      <c r="G1496" s="1405"/>
      <c r="H1496" s="1405">
        <v>15766588.520000001</v>
      </c>
      <c r="I1496" s="1405"/>
      <c r="J1496" s="1405">
        <v>15766588.520000001</v>
      </c>
    </row>
    <row r="1497" spans="2:12">
      <c r="B1497" s="1297"/>
      <c r="C1497" s="1297"/>
      <c r="D1497" s="1297"/>
      <c r="E1497" s="1297" t="s">
        <v>956</v>
      </c>
      <c r="H1497" s="1399">
        <v>119568.12000000001</v>
      </c>
      <c r="J1497" s="1399">
        <v>119568.12000000001</v>
      </c>
    </row>
    <row r="1498" spans="2:12">
      <c r="B1498" s="1297"/>
      <c r="C1498" s="1297"/>
      <c r="D1498" s="1400" t="s">
        <v>1087</v>
      </c>
      <c r="E1498" s="1400"/>
      <c r="F1498" s="1401">
        <f>SUM(F1461:F1497)</f>
        <v>21809390.219999995</v>
      </c>
      <c r="G1498" s="1401">
        <f>SUM(G1461:G1497)</f>
        <v>93850606.859999999</v>
      </c>
      <c r="H1498" s="1401">
        <f>SUM(H1461:H1497)-H1496</f>
        <v>8948690.5300000031</v>
      </c>
      <c r="I1498" s="1401">
        <f>SUM(I1461:I1497)-I1482</f>
        <v>93998711.419999987</v>
      </c>
      <c r="J1498" s="1401">
        <f>SUM(J1461:J1497)</f>
        <v>236894048.51000002</v>
      </c>
      <c r="K1498" s="1401">
        <f>SUM(F1498:I1498)</f>
        <v>218607399.02999997</v>
      </c>
      <c r="L1498" s="1408">
        <f>K1498/C1461</f>
        <v>10035.688336317311</v>
      </c>
    </row>
    <row r="1499" spans="2:12">
      <c r="B1499" s="1297" t="s">
        <v>1088</v>
      </c>
      <c r="C1499" s="1297">
        <v>1805</v>
      </c>
      <c r="D1499" s="1297" t="s">
        <v>1089</v>
      </c>
      <c r="E1499" s="1297" t="s">
        <v>906</v>
      </c>
      <c r="G1499" s="1399">
        <v>3978390.69</v>
      </c>
      <c r="J1499" s="1399">
        <v>3978390.69</v>
      </c>
    </row>
    <row r="1500" spans="2:12">
      <c r="B1500" s="1297"/>
      <c r="C1500" s="1297"/>
      <c r="D1500" s="1297"/>
      <c r="E1500" s="1297" t="s">
        <v>952</v>
      </c>
      <c r="G1500" s="1399">
        <v>35506.14</v>
      </c>
      <c r="J1500" s="1399">
        <v>35506.14</v>
      </c>
    </row>
    <row r="1501" spans="2:12">
      <c r="B1501" s="1297"/>
      <c r="C1501" s="1297"/>
      <c r="D1501" s="1297"/>
      <c r="E1501" s="1297" t="s">
        <v>907</v>
      </c>
      <c r="G1501" s="1399">
        <v>593403.49</v>
      </c>
      <c r="J1501" s="1399">
        <v>593403.49</v>
      </c>
    </row>
    <row r="1502" spans="2:12">
      <c r="B1502" s="1297"/>
      <c r="C1502" s="1297"/>
      <c r="D1502" s="1297"/>
      <c r="E1502" s="1297" t="s">
        <v>908</v>
      </c>
      <c r="G1502" s="1399">
        <v>4262</v>
      </c>
      <c r="J1502" s="1399">
        <v>4262</v>
      </c>
    </row>
    <row r="1503" spans="2:12">
      <c r="B1503" s="1297"/>
      <c r="C1503" s="1297"/>
      <c r="D1503" s="1297"/>
      <c r="E1503" s="1297" t="s">
        <v>909</v>
      </c>
      <c r="H1503" s="1399">
        <v>8243.0600000000013</v>
      </c>
      <c r="J1503" s="1399">
        <v>8243.0600000000013</v>
      </c>
    </row>
    <row r="1504" spans="2:12">
      <c r="B1504" s="1297"/>
      <c r="C1504" s="1297"/>
      <c r="D1504" s="1297"/>
      <c r="E1504" s="1297" t="s">
        <v>910</v>
      </c>
      <c r="H1504" s="1399">
        <v>137635.85999999999</v>
      </c>
      <c r="J1504" s="1399">
        <v>137635.85999999999</v>
      </c>
    </row>
    <row r="1505" spans="5:10" s="1297" customFormat="1">
      <c r="E1505" s="1297" t="s">
        <v>1034</v>
      </c>
      <c r="F1505" s="1399"/>
      <c r="G1505" s="1399"/>
      <c r="H1505" s="1399">
        <v>16188.259999999998</v>
      </c>
      <c r="I1505" s="1399"/>
      <c r="J1505" s="1399">
        <v>16188.259999999998</v>
      </c>
    </row>
    <row r="1506" spans="5:10" s="1297" customFormat="1">
      <c r="E1506" s="1297" t="s">
        <v>1035</v>
      </c>
      <c r="F1506" s="1399"/>
      <c r="G1506" s="1399"/>
      <c r="H1506" s="1399">
        <v>144240.60999999999</v>
      </c>
      <c r="I1506" s="1399"/>
      <c r="J1506" s="1399">
        <v>144240.60999999999</v>
      </c>
    </row>
    <row r="1507" spans="5:10" s="1297" customFormat="1">
      <c r="E1507" s="1297" t="s">
        <v>1036</v>
      </c>
      <c r="F1507" s="1399"/>
      <c r="G1507" s="1399"/>
      <c r="H1507" s="1399">
        <v>55080.25</v>
      </c>
      <c r="I1507" s="1399"/>
      <c r="J1507" s="1399">
        <v>55080.25</v>
      </c>
    </row>
    <row r="1508" spans="5:10" s="1297" customFormat="1">
      <c r="E1508" s="1297" t="s">
        <v>1039</v>
      </c>
      <c r="F1508" s="1399"/>
      <c r="G1508" s="1399"/>
      <c r="H1508" s="1399">
        <v>5240.45</v>
      </c>
      <c r="I1508" s="1399"/>
      <c r="J1508" s="1399">
        <v>5240.45</v>
      </c>
    </row>
    <row r="1509" spans="5:10" s="1297" customFormat="1">
      <c r="E1509" s="1297" t="s">
        <v>1040</v>
      </c>
      <c r="F1509" s="1399"/>
      <c r="G1509" s="1399"/>
      <c r="H1509" s="1399">
        <v>115796.65</v>
      </c>
      <c r="I1509" s="1399"/>
      <c r="J1509" s="1399">
        <v>115796.65</v>
      </c>
    </row>
    <row r="1510" spans="5:10" s="1297" customFormat="1">
      <c r="E1510" s="1297" t="s">
        <v>1041</v>
      </c>
      <c r="F1510" s="1399"/>
      <c r="G1510" s="1399"/>
      <c r="H1510" s="1399">
        <v>30519.200000000001</v>
      </c>
      <c r="I1510" s="1399"/>
      <c r="J1510" s="1399">
        <v>30519.200000000001</v>
      </c>
    </row>
    <row r="1511" spans="5:10" s="1297" customFormat="1">
      <c r="E1511" s="1297" t="s">
        <v>1042</v>
      </c>
      <c r="F1511" s="1399"/>
      <c r="G1511" s="1399"/>
      <c r="H1511" s="1399">
        <v>39260.980000000003</v>
      </c>
      <c r="I1511" s="1399"/>
      <c r="J1511" s="1399">
        <v>39260.980000000003</v>
      </c>
    </row>
    <row r="1512" spans="5:10" s="1297" customFormat="1">
      <c r="E1512" s="1297" t="s">
        <v>1045</v>
      </c>
      <c r="F1512" s="1399"/>
      <c r="G1512" s="1399"/>
      <c r="H1512" s="1399">
        <v>130524.79</v>
      </c>
      <c r="I1512" s="1399"/>
      <c r="J1512" s="1399">
        <v>130524.79</v>
      </c>
    </row>
    <row r="1513" spans="5:10" s="1297" customFormat="1">
      <c r="E1513" s="1297" t="s">
        <v>1046</v>
      </c>
      <c r="F1513" s="1399"/>
      <c r="G1513" s="1399"/>
      <c r="H1513" s="1399"/>
      <c r="I1513" s="1399">
        <v>10356672</v>
      </c>
      <c r="J1513" s="1399">
        <v>10356672</v>
      </c>
    </row>
    <row r="1514" spans="5:10" s="1297" customFormat="1">
      <c r="E1514" s="1297" t="s">
        <v>1129</v>
      </c>
      <c r="F1514" s="1399"/>
      <c r="G1514" s="1399"/>
      <c r="H1514" s="1399"/>
      <c r="I1514" s="1399">
        <v>-1254798</v>
      </c>
      <c r="J1514" s="1399">
        <v>-1254798</v>
      </c>
    </row>
    <row r="1515" spans="5:10" s="1297" customFormat="1">
      <c r="E1515" s="1297" t="s">
        <v>1047</v>
      </c>
      <c r="F1515" s="1399"/>
      <c r="G1515" s="1399"/>
      <c r="H1515" s="1399"/>
      <c r="I1515" s="1399">
        <v>369566</v>
      </c>
      <c r="J1515" s="1399">
        <v>369566</v>
      </c>
    </row>
    <row r="1516" spans="5:10" s="1297" customFormat="1">
      <c r="E1516" s="1297" t="s">
        <v>1048</v>
      </c>
      <c r="F1516" s="1399"/>
      <c r="G1516" s="1399"/>
      <c r="H1516" s="1399"/>
      <c r="I1516" s="1399">
        <v>-1336712</v>
      </c>
      <c r="J1516" s="1399">
        <v>-1336712</v>
      </c>
    </row>
    <row r="1517" spans="5:10" s="1297" customFormat="1">
      <c r="E1517" s="1297" t="s">
        <v>932</v>
      </c>
      <c r="F1517" s="1399"/>
      <c r="G1517" s="1399"/>
      <c r="H1517" s="1399"/>
      <c r="I1517" s="1399">
        <v>613294</v>
      </c>
      <c r="J1517" s="1399">
        <v>613294</v>
      </c>
    </row>
    <row r="1518" spans="5:10" s="1297" customFormat="1">
      <c r="E1518" s="1297" t="s">
        <v>933</v>
      </c>
      <c r="F1518" s="1399"/>
      <c r="G1518" s="1399"/>
      <c r="H1518" s="1399"/>
      <c r="I1518" s="1399">
        <v>445286.96</v>
      </c>
      <c r="J1518" s="1399">
        <v>445286.96</v>
      </c>
    </row>
    <row r="1519" spans="5:10" s="1297" customFormat="1">
      <c r="E1519" s="1297" t="s">
        <v>934</v>
      </c>
      <c r="F1519" s="1399"/>
      <c r="G1519" s="1399"/>
      <c r="H1519" s="1399"/>
      <c r="I1519" s="1399">
        <v>33538</v>
      </c>
      <c r="J1519" s="1399">
        <v>33538</v>
      </c>
    </row>
    <row r="1520" spans="5:10" s="1297" customFormat="1">
      <c r="E1520" s="1297" t="s">
        <v>1130</v>
      </c>
      <c r="F1520" s="1399"/>
      <c r="G1520" s="1399"/>
      <c r="H1520" s="1399"/>
      <c r="I1520" s="1399">
        <v>496498</v>
      </c>
      <c r="J1520" s="1399">
        <v>496498</v>
      </c>
    </row>
    <row r="1521" spans="2:12">
      <c r="B1521" s="1297"/>
      <c r="C1521" s="1297"/>
      <c r="D1521" s="1297"/>
      <c r="E1521" s="1297" t="s">
        <v>935</v>
      </c>
      <c r="I1521" s="1399">
        <v>-347136.67000000004</v>
      </c>
      <c r="J1521" s="1399">
        <v>-347136.67000000004</v>
      </c>
    </row>
    <row r="1522" spans="2:12">
      <c r="B1522" s="1297"/>
      <c r="C1522" s="1297"/>
      <c r="D1522" s="1297"/>
      <c r="E1522" s="1297" t="s">
        <v>936</v>
      </c>
      <c r="I1522" s="1399">
        <v>27661.89</v>
      </c>
      <c r="J1522" s="1399">
        <v>27661.89</v>
      </c>
    </row>
    <row r="1523" spans="2:12">
      <c r="B1523" s="1297"/>
      <c r="C1523" s="1297"/>
      <c r="D1523" s="1297"/>
      <c r="E1523" s="1297" t="s">
        <v>937</v>
      </c>
      <c r="I1523" s="1399">
        <v>14234.79</v>
      </c>
      <c r="J1523" s="1399">
        <v>14234.79</v>
      </c>
    </row>
    <row r="1524" spans="2:12">
      <c r="B1524" s="1297"/>
      <c r="C1524" s="1297"/>
      <c r="D1524" s="1297"/>
      <c r="E1524" s="1297" t="s">
        <v>938</v>
      </c>
      <c r="I1524" s="1399">
        <v>10855</v>
      </c>
      <c r="J1524" s="1399">
        <v>10855</v>
      </c>
    </row>
    <row r="1525" spans="2:12">
      <c r="B1525" s="1297"/>
      <c r="C1525" s="1297"/>
      <c r="D1525" s="1297"/>
      <c r="E1525" s="1297" t="s">
        <v>939</v>
      </c>
      <c r="I1525" s="1399">
        <v>6880.13</v>
      </c>
      <c r="J1525" s="1399">
        <v>6880.13</v>
      </c>
    </row>
    <row r="1526" spans="2:12">
      <c r="B1526" s="1297"/>
      <c r="C1526" s="1297"/>
      <c r="D1526" s="1297"/>
      <c r="E1526" s="1297" t="s">
        <v>1131</v>
      </c>
      <c r="F1526" s="1399">
        <v>60353.61</v>
      </c>
      <c r="J1526" s="1399">
        <v>60353.61</v>
      </c>
    </row>
    <row r="1527" spans="2:12">
      <c r="B1527" s="1297"/>
      <c r="C1527" s="1297"/>
      <c r="D1527" s="1297"/>
      <c r="E1527" s="1297" t="s">
        <v>940</v>
      </c>
      <c r="F1527" s="1399">
        <v>609572.48</v>
      </c>
      <c r="J1527" s="1399">
        <v>609572.48</v>
      </c>
    </row>
    <row r="1528" spans="2:12">
      <c r="B1528" s="1297"/>
      <c r="C1528" s="1297"/>
      <c r="D1528" s="1297"/>
      <c r="E1528" s="1297" t="s">
        <v>941</v>
      </c>
      <c r="F1528" s="1399">
        <v>268246.68</v>
      </c>
      <c r="J1528" s="1399">
        <v>268246.68</v>
      </c>
    </row>
    <row r="1529" spans="2:12">
      <c r="B1529" s="1297"/>
      <c r="C1529" s="1297"/>
      <c r="D1529" s="1297"/>
      <c r="E1529" s="1297" t="s">
        <v>944</v>
      </c>
      <c r="F1529" s="1399">
        <v>1400865.83</v>
      </c>
      <c r="J1529" s="1399">
        <v>1400865.83</v>
      </c>
    </row>
    <row r="1530" spans="2:12">
      <c r="B1530" s="1297"/>
      <c r="C1530" s="1297"/>
      <c r="D1530" s="1297"/>
      <c r="E1530" s="1297" t="s">
        <v>945</v>
      </c>
      <c r="F1530" s="1399">
        <v>740220.23</v>
      </c>
      <c r="J1530" s="1399">
        <v>740220.23</v>
      </c>
    </row>
    <row r="1531" spans="2:12">
      <c r="B1531" s="1297"/>
      <c r="C1531" s="1297"/>
      <c r="D1531" s="1297"/>
      <c r="E1531" s="1297" t="s">
        <v>947</v>
      </c>
      <c r="F1531" s="1399">
        <v>72328.66</v>
      </c>
      <c r="J1531" s="1399">
        <v>72328.66</v>
      </c>
    </row>
    <row r="1532" spans="2:12">
      <c r="B1532" s="1297"/>
      <c r="C1532" s="1297"/>
      <c r="D1532" s="1297"/>
      <c r="E1532" s="1404" t="s">
        <v>948</v>
      </c>
      <c r="F1532" s="1405"/>
      <c r="G1532" s="1405"/>
      <c r="H1532" s="1405">
        <v>78693.34</v>
      </c>
      <c r="I1532" s="1405"/>
      <c r="J1532" s="1405">
        <v>78693.34</v>
      </c>
    </row>
    <row r="1533" spans="2:12">
      <c r="B1533" s="1297"/>
      <c r="C1533" s="1297"/>
      <c r="D1533" s="1297"/>
      <c r="E1533" s="1297" t="s">
        <v>1051</v>
      </c>
      <c r="H1533" s="1399">
        <v>209478.44</v>
      </c>
      <c r="J1533" s="1399">
        <v>209478.44</v>
      </c>
    </row>
    <row r="1534" spans="2:12">
      <c r="B1534" s="1297"/>
      <c r="C1534" s="1297"/>
      <c r="D1534" s="1400" t="s">
        <v>1090</v>
      </c>
      <c r="E1534" s="1400"/>
      <c r="F1534" s="1401">
        <f>SUM(F1499:F1533)</f>
        <v>3151587.49</v>
      </c>
      <c r="G1534" s="1401">
        <f>SUM(G1499:G1533)</f>
        <v>4611562.32</v>
      </c>
      <c r="H1534" s="1401">
        <f>SUM(H1499:H1533)-H1532</f>
        <v>892208.55000000016</v>
      </c>
      <c r="I1534" s="1401">
        <f>SUM(I1499:I1533)</f>
        <v>9435840.1000000015</v>
      </c>
      <c r="J1534" s="1401">
        <f>SUM(J1499:J1533)</f>
        <v>18169891.800000004</v>
      </c>
      <c r="K1534" s="1401">
        <f>SUM(F1534:I1534)</f>
        <v>18091198.460000001</v>
      </c>
      <c r="L1534" s="1408">
        <f>K1534/C1499</f>
        <v>10022.824631578947</v>
      </c>
    </row>
    <row r="1535" spans="2:12">
      <c r="B1535" s="1297" t="s">
        <v>1091</v>
      </c>
      <c r="C1535" s="1297">
        <v>3921</v>
      </c>
      <c r="D1535" s="1297" t="s">
        <v>1092</v>
      </c>
      <c r="E1535" s="1297" t="s">
        <v>906</v>
      </c>
      <c r="G1535" s="1399">
        <v>8374983.4000000004</v>
      </c>
      <c r="J1535" s="1399">
        <v>8374983.4000000004</v>
      </c>
    </row>
    <row r="1536" spans="2:12">
      <c r="B1536" s="1297"/>
      <c r="C1536" s="1297"/>
      <c r="D1536" s="1297"/>
      <c r="E1536" s="1297" t="s">
        <v>952</v>
      </c>
      <c r="G1536" s="1399">
        <v>86798.51</v>
      </c>
      <c r="J1536" s="1399">
        <v>86798.51</v>
      </c>
    </row>
    <row r="1537" spans="5:10" s="1297" customFormat="1">
      <c r="E1537" s="1297" t="s">
        <v>907</v>
      </c>
      <c r="F1537" s="1399"/>
      <c r="G1537" s="1399">
        <v>3826976.84</v>
      </c>
      <c r="H1537" s="1399"/>
      <c r="I1537" s="1399"/>
      <c r="J1537" s="1399">
        <v>3826976.84</v>
      </c>
    </row>
    <row r="1538" spans="5:10" s="1297" customFormat="1">
      <c r="E1538" s="1297" t="s">
        <v>908</v>
      </c>
      <c r="F1538" s="1399"/>
      <c r="G1538" s="1399">
        <v>41362.92</v>
      </c>
      <c r="H1538" s="1399"/>
      <c r="I1538" s="1399"/>
      <c r="J1538" s="1399">
        <v>41362.92</v>
      </c>
    </row>
    <row r="1539" spans="5:10" s="1297" customFormat="1">
      <c r="E1539" s="1297" t="s">
        <v>909</v>
      </c>
      <c r="F1539" s="1399"/>
      <c r="G1539" s="1399"/>
      <c r="H1539" s="1399">
        <v>35388.46</v>
      </c>
      <c r="I1539" s="1399"/>
      <c r="J1539" s="1399">
        <v>35388.46</v>
      </c>
    </row>
    <row r="1540" spans="5:10" s="1297" customFormat="1">
      <c r="E1540" s="1297" t="s">
        <v>910</v>
      </c>
      <c r="F1540" s="1399"/>
      <c r="G1540" s="1399"/>
      <c r="H1540" s="1399">
        <v>140296.37</v>
      </c>
      <c r="I1540" s="1399"/>
      <c r="J1540" s="1399">
        <v>140296.37</v>
      </c>
    </row>
    <row r="1541" spans="5:10" s="1297" customFormat="1">
      <c r="E1541" s="1297" t="s">
        <v>1034</v>
      </c>
      <c r="F1541" s="1399"/>
      <c r="G1541" s="1399"/>
      <c r="H1541" s="1399">
        <v>31092.16</v>
      </c>
      <c r="I1541" s="1399"/>
      <c r="J1541" s="1399">
        <v>31092.16</v>
      </c>
    </row>
    <row r="1542" spans="5:10" s="1297" customFormat="1">
      <c r="E1542" s="1297" t="s">
        <v>1035</v>
      </c>
      <c r="F1542" s="1399"/>
      <c r="G1542" s="1399"/>
      <c r="H1542" s="1399">
        <v>193301.45</v>
      </c>
      <c r="I1542" s="1399"/>
      <c r="J1542" s="1399">
        <v>193301.45</v>
      </c>
    </row>
    <row r="1543" spans="5:10" s="1297" customFormat="1">
      <c r="E1543" s="1297" t="s">
        <v>1036</v>
      </c>
      <c r="F1543" s="1399"/>
      <c r="G1543" s="1399"/>
      <c r="H1543" s="1399">
        <v>120506.32999999999</v>
      </c>
      <c r="I1543" s="1399"/>
      <c r="J1543" s="1399">
        <v>120506.32999999999</v>
      </c>
    </row>
    <row r="1544" spans="5:10" s="1297" customFormat="1">
      <c r="E1544" s="1297" t="s">
        <v>1037</v>
      </c>
      <c r="F1544" s="1399"/>
      <c r="G1544" s="1399"/>
      <c r="H1544" s="1399">
        <v>58000.62</v>
      </c>
      <c r="I1544" s="1399"/>
      <c r="J1544" s="1399">
        <v>58000.62</v>
      </c>
    </row>
    <row r="1545" spans="5:10" s="1297" customFormat="1">
      <c r="E1545" s="1297" t="s">
        <v>1039</v>
      </c>
      <c r="F1545" s="1399"/>
      <c r="G1545" s="1399"/>
      <c r="H1545" s="1399">
        <v>37616.229999999996</v>
      </c>
      <c r="I1545" s="1399"/>
      <c r="J1545" s="1399">
        <v>37616.229999999996</v>
      </c>
    </row>
    <row r="1546" spans="5:10" s="1297" customFormat="1">
      <c r="E1546" s="1297" t="s">
        <v>1040</v>
      </c>
      <c r="F1546" s="1399"/>
      <c r="G1546" s="1399"/>
      <c r="H1546" s="1399">
        <v>143183.9</v>
      </c>
      <c r="I1546" s="1399"/>
      <c r="J1546" s="1399">
        <v>143183.9</v>
      </c>
    </row>
    <row r="1547" spans="5:10" s="1297" customFormat="1">
      <c r="E1547" s="1297" t="s">
        <v>1041</v>
      </c>
      <c r="F1547" s="1399"/>
      <c r="G1547" s="1399"/>
      <c r="H1547" s="1399">
        <v>81327.520000000004</v>
      </c>
      <c r="I1547" s="1399"/>
      <c r="J1547" s="1399">
        <v>81327.520000000004</v>
      </c>
    </row>
    <row r="1548" spans="5:10" s="1297" customFormat="1">
      <c r="E1548" s="1297" t="s">
        <v>1042</v>
      </c>
      <c r="F1548" s="1399"/>
      <c r="G1548" s="1399"/>
      <c r="H1548" s="1399">
        <v>56594.34</v>
      </c>
      <c r="I1548" s="1399"/>
      <c r="J1548" s="1399">
        <v>56594.34</v>
      </c>
    </row>
    <row r="1549" spans="5:10" s="1297" customFormat="1">
      <c r="E1549" s="1297" t="s">
        <v>953</v>
      </c>
      <c r="F1549" s="1399"/>
      <c r="G1549" s="1399"/>
      <c r="H1549" s="1399">
        <v>49171.81</v>
      </c>
      <c r="I1549" s="1399"/>
      <c r="J1549" s="1399">
        <v>49171.81</v>
      </c>
    </row>
    <row r="1550" spans="5:10" s="1297" customFormat="1">
      <c r="E1550" s="1297" t="s">
        <v>1043</v>
      </c>
      <c r="F1550" s="1399"/>
      <c r="G1550" s="1399"/>
      <c r="H1550" s="1399">
        <v>16095</v>
      </c>
      <c r="I1550" s="1399"/>
      <c r="J1550" s="1399">
        <v>16095</v>
      </c>
    </row>
    <row r="1551" spans="5:10" s="1297" customFormat="1">
      <c r="E1551" s="1297" t="s">
        <v>1044</v>
      </c>
      <c r="F1551" s="1399">
        <v>33776.269999999997</v>
      </c>
      <c r="G1551" s="1399"/>
      <c r="H1551" s="1399"/>
      <c r="I1551" s="1399"/>
      <c r="J1551" s="1399">
        <v>33776.269999999997</v>
      </c>
    </row>
    <row r="1552" spans="5:10" s="1297" customFormat="1">
      <c r="E1552" s="1297" t="s">
        <v>1045</v>
      </c>
      <c r="F1552" s="1399"/>
      <c r="G1552" s="1399"/>
      <c r="H1552" s="1399">
        <v>228534.43000000002</v>
      </c>
      <c r="I1552" s="1399"/>
      <c r="J1552" s="1399">
        <v>228534.43000000002</v>
      </c>
    </row>
    <row r="1553" spans="5:10" s="1297" customFormat="1">
      <c r="E1553" s="1297" t="s">
        <v>1046</v>
      </c>
      <c r="F1553" s="1399"/>
      <c r="G1553" s="1399"/>
      <c r="H1553" s="1399"/>
      <c r="I1553" s="1399">
        <v>21767236</v>
      </c>
      <c r="J1553" s="1399">
        <v>21767236</v>
      </c>
    </row>
    <row r="1554" spans="5:10" s="1297" customFormat="1">
      <c r="E1554" s="1297" t="s">
        <v>1128</v>
      </c>
      <c r="F1554" s="1399"/>
      <c r="G1554" s="1399"/>
      <c r="H1554" s="1399"/>
      <c r="I1554" s="1399">
        <v>1715498</v>
      </c>
      <c r="J1554" s="1399">
        <v>1715498</v>
      </c>
    </row>
    <row r="1555" spans="5:10" s="1297" customFormat="1">
      <c r="E1555" s="1297" t="s">
        <v>1129</v>
      </c>
      <c r="F1555" s="1399"/>
      <c r="G1555" s="1399"/>
      <c r="H1555" s="1399"/>
      <c r="I1555" s="1399">
        <v>-3090113</v>
      </c>
      <c r="J1555" s="1399">
        <v>-3090113</v>
      </c>
    </row>
    <row r="1556" spans="5:10" s="1297" customFormat="1">
      <c r="E1556" s="1297" t="s">
        <v>1047</v>
      </c>
      <c r="F1556" s="1399"/>
      <c r="G1556" s="1399"/>
      <c r="H1556" s="1399"/>
      <c r="I1556" s="1399">
        <v>597922</v>
      </c>
      <c r="J1556" s="1399">
        <v>597922</v>
      </c>
    </row>
    <row r="1557" spans="5:10" s="1297" customFormat="1">
      <c r="E1557" s="1297" t="s">
        <v>1048</v>
      </c>
      <c r="F1557" s="1399"/>
      <c r="G1557" s="1399"/>
      <c r="H1557" s="1399"/>
      <c r="I1557" s="1399">
        <v>-2841899</v>
      </c>
      <c r="J1557" s="1399">
        <v>-2841899</v>
      </c>
    </row>
    <row r="1558" spans="5:10" s="1297" customFormat="1">
      <c r="E1558" s="1297" t="s">
        <v>932</v>
      </c>
      <c r="F1558" s="1399"/>
      <c r="G1558" s="1399"/>
      <c r="H1558" s="1399"/>
      <c r="I1558" s="1399">
        <v>1922707</v>
      </c>
      <c r="J1558" s="1399">
        <v>1922707</v>
      </c>
    </row>
    <row r="1559" spans="5:10" s="1297" customFormat="1">
      <c r="E1559" s="1404" t="s">
        <v>955</v>
      </c>
      <c r="F1559" s="1405"/>
      <c r="G1559" s="1405"/>
      <c r="H1559" s="1405"/>
      <c r="I1559" s="1405">
        <v>1353278.95</v>
      </c>
      <c r="J1559" s="1405">
        <v>1353278.95</v>
      </c>
    </row>
    <row r="1560" spans="5:10" s="1297" customFormat="1">
      <c r="E1560" s="1297" t="s">
        <v>934</v>
      </c>
      <c r="F1560" s="1399"/>
      <c r="G1560" s="1399"/>
      <c r="H1560" s="1399"/>
      <c r="I1560" s="1399">
        <v>74790</v>
      </c>
      <c r="J1560" s="1399">
        <v>74790</v>
      </c>
    </row>
    <row r="1561" spans="5:10" s="1297" customFormat="1">
      <c r="E1561" s="1297" t="s">
        <v>935</v>
      </c>
      <c r="F1561" s="1399"/>
      <c r="G1561" s="1399"/>
      <c r="H1561" s="1399"/>
      <c r="I1561" s="1399">
        <v>1586035.33</v>
      </c>
      <c r="J1561" s="1399">
        <v>1586035.33</v>
      </c>
    </row>
    <row r="1562" spans="5:10" s="1297" customFormat="1">
      <c r="E1562" s="1297" t="s">
        <v>936</v>
      </c>
      <c r="F1562" s="1399"/>
      <c r="G1562" s="1399"/>
      <c r="H1562" s="1399"/>
      <c r="I1562" s="1399">
        <v>81234.92</v>
      </c>
      <c r="J1562" s="1399">
        <v>81234.92</v>
      </c>
    </row>
    <row r="1563" spans="5:10" s="1297" customFormat="1">
      <c r="E1563" s="1297" t="s">
        <v>937</v>
      </c>
      <c r="F1563" s="1399"/>
      <c r="G1563" s="1399"/>
      <c r="H1563" s="1399"/>
      <c r="I1563" s="1399">
        <v>24356.65</v>
      </c>
      <c r="J1563" s="1399">
        <v>24356.65</v>
      </c>
    </row>
    <row r="1564" spans="5:10" s="1297" customFormat="1">
      <c r="E1564" s="1297" t="s">
        <v>938</v>
      </c>
      <c r="F1564" s="1399"/>
      <c r="G1564" s="1399"/>
      <c r="H1564" s="1399"/>
      <c r="I1564" s="1399">
        <v>26202</v>
      </c>
      <c r="J1564" s="1399">
        <v>26202</v>
      </c>
    </row>
    <row r="1565" spans="5:10" s="1297" customFormat="1">
      <c r="E1565" s="1297" t="s">
        <v>940</v>
      </c>
      <c r="F1565" s="1399">
        <v>1450475.14</v>
      </c>
      <c r="G1565" s="1399"/>
      <c r="H1565" s="1399"/>
      <c r="I1565" s="1399"/>
      <c r="J1565" s="1399">
        <v>1450475.14</v>
      </c>
    </row>
    <row r="1566" spans="5:10" s="1297" customFormat="1">
      <c r="E1566" s="1297" t="s">
        <v>941</v>
      </c>
      <c r="F1566" s="1399">
        <v>508601</v>
      </c>
      <c r="G1566" s="1399"/>
      <c r="H1566" s="1399"/>
      <c r="I1566" s="1399"/>
      <c r="J1566" s="1399">
        <v>508601</v>
      </c>
    </row>
    <row r="1567" spans="5:10" s="1297" customFormat="1">
      <c r="E1567" s="1297" t="s">
        <v>943</v>
      </c>
      <c r="F1567" s="1399">
        <v>11052.64</v>
      </c>
      <c r="G1567" s="1399"/>
      <c r="H1567" s="1399"/>
      <c r="I1567" s="1399"/>
      <c r="J1567" s="1399">
        <v>11052.64</v>
      </c>
    </row>
    <row r="1568" spans="5:10" s="1297" customFormat="1">
      <c r="E1568" s="1297" t="s">
        <v>944</v>
      </c>
      <c r="F1568" s="1399">
        <v>4450978.92</v>
      </c>
      <c r="G1568" s="1399"/>
      <c r="H1568" s="1399"/>
      <c r="I1568" s="1399"/>
      <c r="J1568" s="1399">
        <v>4450978.92</v>
      </c>
    </row>
    <row r="1569" spans="2:12">
      <c r="B1569" s="1297"/>
      <c r="C1569" s="1297"/>
      <c r="D1569" s="1297"/>
      <c r="E1569" s="1297" t="s">
        <v>945</v>
      </c>
      <c r="F1569" s="1399">
        <v>2188464.83</v>
      </c>
      <c r="J1569" s="1399">
        <v>2188464.83</v>
      </c>
    </row>
    <row r="1570" spans="2:12">
      <c r="B1570" s="1297"/>
      <c r="C1570" s="1297"/>
      <c r="D1570" s="1297"/>
      <c r="E1570" s="1297" t="s">
        <v>946</v>
      </c>
      <c r="F1570" s="1399">
        <v>69819.570000000007</v>
      </c>
      <c r="J1570" s="1399">
        <v>69819.570000000007</v>
      </c>
    </row>
    <row r="1571" spans="2:12">
      <c r="B1571" s="1297"/>
      <c r="C1571" s="1297"/>
      <c r="D1571" s="1297"/>
      <c r="E1571" s="1297" t="s">
        <v>978</v>
      </c>
      <c r="F1571" s="1399">
        <v>29990.47</v>
      </c>
      <c r="J1571" s="1399">
        <v>29990.47</v>
      </c>
    </row>
    <row r="1572" spans="2:12">
      <c r="B1572" s="1297"/>
      <c r="C1572" s="1297"/>
      <c r="D1572" s="1297"/>
      <c r="E1572" s="1297" t="s">
        <v>1006</v>
      </c>
      <c r="F1572" s="1399">
        <v>13370.04</v>
      </c>
      <c r="J1572" s="1399">
        <v>13370.04</v>
      </c>
    </row>
    <row r="1573" spans="2:12">
      <c r="B1573" s="1297"/>
      <c r="C1573" s="1297"/>
      <c r="D1573" s="1297"/>
      <c r="E1573" s="1297" t="s">
        <v>947</v>
      </c>
      <c r="F1573" s="1399">
        <v>90323.15</v>
      </c>
      <c r="J1573" s="1399">
        <v>90323.15</v>
      </c>
    </row>
    <row r="1574" spans="2:12">
      <c r="B1574" s="1297"/>
      <c r="C1574" s="1297"/>
      <c r="D1574" s="1297"/>
      <c r="E1574" s="1404" t="s">
        <v>948</v>
      </c>
      <c r="F1574" s="1405"/>
      <c r="G1574" s="1405"/>
      <c r="H1574" s="1405">
        <v>523402.30999999994</v>
      </c>
      <c r="I1574" s="1405"/>
      <c r="J1574" s="1405">
        <v>523402.30999999994</v>
      </c>
    </row>
    <row r="1575" spans="2:12">
      <c r="B1575" s="1297"/>
      <c r="C1575" s="1297"/>
      <c r="D1575" s="1400" t="s">
        <v>1093</v>
      </c>
      <c r="E1575" s="1400"/>
      <c r="F1575" s="1401">
        <f>SUM(F1535:F1574)</f>
        <v>8846852.0300000012</v>
      </c>
      <c r="G1575" s="1401">
        <f>SUM(G1535:G1574)</f>
        <v>12330121.67</v>
      </c>
      <c r="H1575" s="1401">
        <f>SUM(H1535:H1574)-H1574</f>
        <v>1191108.6199999996</v>
      </c>
      <c r="I1575" s="1401">
        <f>SUM(I1535:I1574)-I1559</f>
        <v>21863969.900000002</v>
      </c>
      <c r="J1575" s="1401">
        <f>SUM(J1535:J1574)</f>
        <v>46108733.480000004</v>
      </c>
      <c r="K1575" s="1401">
        <f>SUM(F1575:I1575)</f>
        <v>44232052.220000006</v>
      </c>
      <c r="L1575" s="1408">
        <f>K1575/C1535</f>
        <v>11280.809033409845</v>
      </c>
    </row>
    <row r="1576" spans="2:12">
      <c r="B1576" s="1297" t="s">
        <v>1094</v>
      </c>
      <c r="C1576" s="1297">
        <v>2264</v>
      </c>
      <c r="D1576" s="1297" t="s">
        <v>1095</v>
      </c>
      <c r="E1576" s="1297" t="s">
        <v>906</v>
      </c>
      <c r="G1576" s="1399">
        <v>5174587.59</v>
      </c>
      <c r="J1576" s="1399">
        <v>5174587.59</v>
      </c>
    </row>
    <row r="1577" spans="2:12">
      <c r="B1577" s="1297"/>
      <c r="C1577" s="1297"/>
      <c r="D1577" s="1297"/>
      <c r="E1577" s="1297" t="s">
        <v>952</v>
      </c>
      <c r="G1577" s="1399">
        <v>83520.44</v>
      </c>
      <c r="J1577" s="1399">
        <v>83520.44</v>
      </c>
    </row>
    <row r="1578" spans="2:12">
      <c r="B1578" s="1297"/>
      <c r="C1578" s="1297"/>
      <c r="D1578" s="1297"/>
      <c r="E1578" s="1297" t="s">
        <v>907</v>
      </c>
      <c r="G1578" s="1399">
        <v>1943255.73</v>
      </c>
      <c r="J1578" s="1399">
        <v>1943255.73</v>
      </c>
    </row>
    <row r="1579" spans="2:12">
      <c r="B1579" s="1297"/>
      <c r="C1579" s="1297"/>
      <c r="D1579" s="1297"/>
      <c r="E1579" s="1297" t="s">
        <v>908</v>
      </c>
      <c r="G1579" s="1399">
        <v>206797.84</v>
      </c>
      <c r="J1579" s="1399">
        <v>206797.84</v>
      </c>
    </row>
    <row r="1580" spans="2:12">
      <c r="B1580" s="1297"/>
      <c r="C1580" s="1297"/>
      <c r="D1580" s="1297"/>
      <c r="E1580" s="1297" t="s">
        <v>1036</v>
      </c>
      <c r="H1580" s="1399">
        <v>115508.6</v>
      </c>
      <c r="J1580" s="1399">
        <v>115508.6</v>
      </c>
    </row>
    <row r="1581" spans="2:12">
      <c r="B1581" s="1297"/>
      <c r="C1581" s="1297"/>
      <c r="D1581" s="1297"/>
      <c r="E1581" s="1297" t="s">
        <v>1037</v>
      </c>
      <c r="H1581" s="1399">
        <v>2238</v>
      </c>
      <c r="J1581" s="1399">
        <v>2238</v>
      </c>
    </row>
    <row r="1582" spans="2:12">
      <c r="B1582" s="1297"/>
      <c r="C1582" s="1297"/>
      <c r="D1582" s="1297"/>
      <c r="E1582" s="1297" t="s">
        <v>1039</v>
      </c>
      <c r="H1582" s="1399">
        <v>238547.27</v>
      </c>
      <c r="J1582" s="1399">
        <v>238547.27</v>
      </c>
    </row>
    <row r="1583" spans="2:12">
      <c r="B1583" s="1297"/>
      <c r="C1583" s="1297"/>
      <c r="D1583" s="1297"/>
      <c r="E1583" s="1297" t="s">
        <v>1040</v>
      </c>
      <c r="H1583" s="1399">
        <v>354822.32</v>
      </c>
      <c r="J1583" s="1399">
        <v>354822.32</v>
      </c>
    </row>
    <row r="1584" spans="2:12">
      <c r="B1584" s="1297"/>
      <c r="C1584" s="1297"/>
      <c r="D1584" s="1297"/>
      <c r="E1584" s="1297" t="s">
        <v>1041</v>
      </c>
      <c r="H1584" s="1399">
        <v>22859.93</v>
      </c>
      <c r="J1584" s="1399">
        <v>22859.93</v>
      </c>
    </row>
    <row r="1585" spans="5:10" s="1297" customFormat="1">
      <c r="E1585" s="1297" t="s">
        <v>1042</v>
      </c>
      <c r="F1585" s="1399"/>
      <c r="G1585" s="1399"/>
      <c r="H1585" s="1399">
        <v>37950.1</v>
      </c>
      <c r="I1585" s="1399"/>
      <c r="J1585" s="1399">
        <v>37950.1</v>
      </c>
    </row>
    <row r="1586" spans="5:10" s="1297" customFormat="1">
      <c r="E1586" s="1297" t="s">
        <v>953</v>
      </c>
      <c r="F1586" s="1399"/>
      <c r="G1586" s="1399"/>
      <c r="H1586" s="1399">
        <v>44597.05</v>
      </c>
      <c r="I1586" s="1399"/>
      <c r="J1586" s="1399">
        <v>44597.05</v>
      </c>
    </row>
    <row r="1587" spans="5:10" s="1297" customFormat="1">
      <c r="E1587" s="1297" t="s">
        <v>986</v>
      </c>
      <c r="F1587" s="1399"/>
      <c r="G1587" s="1399"/>
      <c r="H1587" s="1399">
        <v>25173.01</v>
      </c>
      <c r="I1587" s="1399"/>
      <c r="J1587" s="1399">
        <v>25173.01</v>
      </c>
    </row>
    <row r="1588" spans="5:10" s="1297" customFormat="1">
      <c r="E1588" s="1297" t="s">
        <v>1044</v>
      </c>
      <c r="F1588" s="1399">
        <v>4234.45</v>
      </c>
      <c r="G1588" s="1399"/>
      <c r="H1588" s="1399"/>
      <c r="I1588" s="1399"/>
      <c r="J1588" s="1399">
        <v>4234.45</v>
      </c>
    </row>
    <row r="1589" spans="5:10" s="1297" customFormat="1">
      <c r="E1589" s="1297" t="s">
        <v>1045</v>
      </c>
      <c r="F1589" s="1399"/>
      <c r="G1589" s="1399"/>
      <c r="H1589" s="1399">
        <v>614214.55999999994</v>
      </c>
      <c r="I1589" s="1399"/>
      <c r="J1589" s="1399">
        <v>614214.55999999994</v>
      </c>
    </row>
    <row r="1590" spans="5:10" s="1297" customFormat="1">
      <c r="E1590" s="1297" t="s">
        <v>1046</v>
      </c>
      <c r="F1590" s="1399"/>
      <c r="G1590" s="1399"/>
      <c r="H1590" s="1399"/>
      <c r="I1590" s="1399">
        <v>12123461</v>
      </c>
      <c r="J1590" s="1399">
        <v>12123461</v>
      </c>
    </row>
    <row r="1591" spans="5:10" s="1297" customFormat="1">
      <c r="E1591" s="1297" t="s">
        <v>1047</v>
      </c>
      <c r="F1591" s="1399"/>
      <c r="G1591" s="1399"/>
      <c r="H1591" s="1399"/>
      <c r="I1591" s="1399">
        <v>338015</v>
      </c>
      <c r="J1591" s="1399">
        <v>338015</v>
      </c>
    </row>
    <row r="1592" spans="5:10" s="1297" customFormat="1">
      <c r="E1592" s="1297" t="s">
        <v>1048</v>
      </c>
      <c r="F1592" s="1399"/>
      <c r="G1592" s="1399"/>
      <c r="H1592" s="1399"/>
      <c r="I1592" s="1399">
        <v>-1961377</v>
      </c>
      <c r="J1592" s="1399">
        <v>-1961377</v>
      </c>
    </row>
    <row r="1593" spans="5:10" s="1297" customFormat="1">
      <c r="E1593" s="1297" t="s">
        <v>932</v>
      </c>
      <c r="F1593" s="1399"/>
      <c r="G1593" s="1399"/>
      <c r="H1593" s="1399"/>
      <c r="I1593" s="1399">
        <v>552582</v>
      </c>
      <c r="J1593" s="1399">
        <v>552582</v>
      </c>
    </row>
    <row r="1594" spans="5:10" s="1297" customFormat="1">
      <c r="E1594" s="1297" t="s">
        <v>933</v>
      </c>
      <c r="F1594" s="1399"/>
      <c r="G1594" s="1399"/>
      <c r="H1594" s="1399"/>
      <c r="I1594" s="1399">
        <v>716028.38</v>
      </c>
      <c r="J1594" s="1399">
        <v>716028.38</v>
      </c>
    </row>
    <row r="1595" spans="5:10" s="1297" customFormat="1">
      <c r="E1595" s="1297" t="s">
        <v>934</v>
      </c>
      <c r="F1595" s="1399"/>
      <c r="G1595" s="1399"/>
      <c r="H1595" s="1399"/>
      <c r="I1595" s="1399">
        <v>39988</v>
      </c>
      <c r="J1595" s="1399">
        <v>39988</v>
      </c>
    </row>
    <row r="1596" spans="5:10" s="1297" customFormat="1">
      <c r="E1596" s="1297" t="s">
        <v>935</v>
      </c>
      <c r="F1596" s="1399"/>
      <c r="G1596" s="1399"/>
      <c r="H1596" s="1399"/>
      <c r="I1596" s="1399">
        <v>288427.90999999997</v>
      </c>
      <c r="J1596" s="1399">
        <v>288427.90999999997</v>
      </c>
    </row>
    <row r="1597" spans="5:10" s="1297" customFormat="1">
      <c r="E1597" s="1297" t="s">
        <v>936</v>
      </c>
      <c r="F1597" s="1399"/>
      <c r="G1597" s="1399"/>
      <c r="H1597" s="1399"/>
      <c r="I1597" s="1399">
        <v>37816.26</v>
      </c>
      <c r="J1597" s="1399">
        <v>37816.26</v>
      </c>
    </row>
    <row r="1598" spans="5:10" s="1297" customFormat="1">
      <c r="E1598" s="1297" t="s">
        <v>938</v>
      </c>
      <c r="F1598" s="1399"/>
      <c r="G1598" s="1399"/>
      <c r="H1598" s="1399"/>
      <c r="I1598" s="1399">
        <v>11604</v>
      </c>
      <c r="J1598" s="1399">
        <v>11604</v>
      </c>
    </row>
    <row r="1599" spans="5:10" s="1297" customFormat="1">
      <c r="E1599" s="1297" t="s">
        <v>939</v>
      </c>
      <c r="F1599" s="1399"/>
      <c r="G1599" s="1399"/>
      <c r="H1599" s="1399"/>
      <c r="I1599" s="1399">
        <v>104674.66</v>
      </c>
      <c r="J1599" s="1399">
        <v>104674.66</v>
      </c>
    </row>
    <row r="1600" spans="5:10" s="1297" customFormat="1">
      <c r="E1600" s="1297" t="s">
        <v>940</v>
      </c>
      <c r="F1600" s="1399">
        <v>548854.98</v>
      </c>
      <c r="G1600" s="1399"/>
      <c r="H1600" s="1399"/>
      <c r="I1600" s="1399"/>
      <c r="J1600" s="1399">
        <v>548854.98</v>
      </c>
    </row>
    <row r="1601" spans="2:12">
      <c r="B1601" s="1297"/>
      <c r="C1601" s="1297"/>
      <c r="D1601" s="1297"/>
      <c r="E1601" s="1297" t="s">
        <v>941</v>
      </c>
      <c r="F1601" s="1399">
        <v>181186.4</v>
      </c>
      <c r="J1601" s="1399">
        <v>181186.4</v>
      </c>
    </row>
    <row r="1602" spans="2:12">
      <c r="B1602" s="1297"/>
      <c r="C1602" s="1297"/>
      <c r="D1602" s="1297"/>
      <c r="E1602" s="1297" t="s">
        <v>943</v>
      </c>
      <c r="F1602" s="1399">
        <v>2148.2199999999998</v>
      </c>
      <c r="J1602" s="1399">
        <v>2148.2199999999998</v>
      </c>
    </row>
    <row r="1603" spans="2:12">
      <c r="B1603" s="1297"/>
      <c r="C1603" s="1297"/>
      <c r="D1603" s="1297"/>
      <c r="E1603" s="1297" t="s">
        <v>944</v>
      </c>
      <c r="F1603" s="1399">
        <v>1177639.6399999999</v>
      </c>
      <c r="J1603" s="1399">
        <v>1177639.6399999999</v>
      </c>
    </row>
    <row r="1604" spans="2:12">
      <c r="B1604" s="1297"/>
      <c r="C1604" s="1297"/>
      <c r="D1604" s="1297"/>
      <c r="E1604" s="1297" t="s">
        <v>945</v>
      </c>
      <c r="F1604" s="1399">
        <v>1668072.8199999998</v>
      </c>
      <c r="J1604" s="1399">
        <v>1668072.8199999998</v>
      </c>
    </row>
    <row r="1605" spans="2:12">
      <c r="B1605" s="1297"/>
      <c r="C1605" s="1297"/>
      <c r="D1605" s="1297"/>
      <c r="E1605" s="1297" t="s">
        <v>947</v>
      </c>
      <c r="F1605" s="1399">
        <v>90943.86</v>
      </c>
      <c r="J1605" s="1399">
        <v>90943.86</v>
      </c>
    </row>
    <row r="1606" spans="2:12">
      <c r="B1606" s="1297"/>
      <c r="C1606" s="1297"/>
      <c r="D1606" s="1297"/>
      <c r="E1606" s="1404" t="s">
        <v>948</v>
      </c>
      <c r="F1606" s="1405"/>
      <c r="G1606" s="1405"/>
      <c r="H1606" s="1405">
        <v>2375412.98</v>
      </c>
      <c r="I1606" s="1405"/>
      <c r="J1606" s="1405">
        <v>2375412.98</v>
      </c>
    </row>
    <row r="1607" spans="2:12">
      <c r="B1607" s="1297"/>
      <c r="C1607" s="1297"/>
      <c r="D1607" s="1297"/>
      <c r="E1607" s="1297" t="s">
        <v>1051</v>
      </c>
      <c r="H1607" s="1399">
        <v>200000</v>
      </c>
      <c r="J1607" s="1399">
        <v>200000</v>
      </c>
    </row>
    <row r="1608" spans="2:12">
      <c r="B1608" s="1297"/>
      <c r="C1608" s="1297"/>
      <c r="D1608" s="1400" t="s">
        <v>1096</v>
      </c>
      <c r="E1608" s="1400"/>
      <c r="F1608" s="1401">
        <f>SUM(F1576:F1607)</f>
        <v>3673080.3699999996</v>
      </c>
      <c r="G1608" s="1401">
        <f>SUM(G1576:G1607)</f>
        <v>7408161.5999999996</v>
      </c>
      <c r="H1608" s="1401">
        <f>SUM(H1576:H1607)-H1606</f>
        <v>1655910.8399999999</v>
      </c>
      <c r="I1608" s="1401">
        <f>SUM(I1576:I1607)</f>
        <v>12251220.210000001</v>
      </c>
      <c r="J1608" s="1401">
        <f>SUM(J1576:J1607)</f>
        <v>27363786</v>
      </c>
      <c r="K1608" s="1401">
        <f>SUM(F1608:I1608)</f>
        <v>24988373.02</v>
      </c>
      <c r="L1608" s="1408">
        <f>K1608/C1576</f>
        <v>11037.267234982332</v>
      </c>
    </row>
    <row r="1609" spans="2:12">
      <c r="B1609" s="1297" t="s">
        <v>1097</v>
      </c>
      <c r="C1609" s="1297">
        <v>3431</v>
      </c>
      <c r="D1609" s="1297" t="s">
        <v>1098</v>
      </c>
      <c r="E1609" s="1297" t="s">
        <v>906</v>
      </c>
      <c r="G1609" s="1399">
        <v>19634715.949999999</v>
      </c>
      <c r="J1609" s="1399">
        <v>19634715.949999999</v>
      </c>
    </row>
    <row r="1610" spans="2:12">
      <c r="B1610" s="1297"/>
      <c r="C1610" s="1297"/>
      <c r="D1610" s="1297"/>
      <c r="E1610" s="1297" t="s">
        <v>952</v>
      </c>
      <c r="G1610" s="1399">
        <v>263834.98</v>
      </c>
      <c r="J1610" s="1399">
        <v>263834.98</v>
      </c>
    </row>
    <row r="1611" spans="2:12">
      <c r="B1611" s="1297"/>
      <c r="C1611" s="1297"/>
      <c r="D1611" s="1297"/>
      <c r="E1611" s="1297" t="s">
        <v>907</v>
      </c>
      <c r="G1611" s="1399">
        <v>4904355.63</v>
      </c>
      <c r="J1611" s="1399">
        <v>4904355.63</v>
      </c>
    </row>
    <row r="1612" spans="2:12">
      <c r="B1612" s="1297"/>
      <c r="C1612" s="1297"/>
      <c r="D1612" s="1297"/>
      <c r="E1612" s="1297" t="s">
        <v>909</v>
      </c>
      <c r="H1612" s="1399">
        <v>26431.16</v>
      </c>
      <c r="J1612" s="1399">
        <v>26431.16</v>
      </c>
    </row>
    <row r="1613" spans="2:12">
      <c r="B1613" s="1297"/>
      <c r="C1613" s="1297"/>
      <c r="D1613" s="1297"/>
      <c r="E1613" s="1297" t="s">
        <v>910</v>
      </c>
      <c r="H1613" s="1399">
        <v>27794</v>
      </c>
      <c r="J1613" s="1399">
        <v>27794</v>
      </c>
    </row>
    <row r="1614" spans="2:12">
      <c r="B1614" s="1297"/>
      <c r="C1614" s="1297"/>
      <c r="D1614" s="1297"/>
      <c r="E1614" s="1297" t="s">
        <v>1034</v>
      </c>
      <c r="H1614" s="1399">
        <v>18773.25</v>
      </c>
      <c r="J1614" s="1399">
        <v>18773.25</v>
      </c>
    </row>
    <row r="1615" spans="2:12">
      <c r="B1615" s="1297"/>
      <c r="C1615" s="1297"/>
      <c r="D1615" s="1297"/>
      <c r="E1615" s="1297" t="s">
        <v>1035</v>
      </c>
      <c r="H1615" s="1399">
        <v>69128.600000000006</v>
      </c>
      <c r="J1615" s="1399">
        <v>69128.600000000006</v>
      </c>
    </row>
    <row r="1616" spans="2:12">
      <c r="B1616" s="1297"/>
      <c r="C1616" s="1297"/>
      <c r="D1616" s="1297"/>
      <c r="E1616" s="1297" t="s">
        <v>1036</v>
      </c>
      <c r="H1616" s="1399">
        <v>117729.45</v>
      </c>
      <c r="J1616" s="1399">
        <v>117729.45</v>
      </c>
    </row>
    <row r="1617" spans="5:10" s="1297" customFormat="1">
      <c r="E1617" s="1297" t="s">
        <v>1039</v>
      </c>
      <c r="F1617" s="1399"/>
      <c r="G1617" s="1399"/>
      <c r="H1617" s="1399">
        <v>51910.09</v>
      </c>
      <c r="I1617" s="1399"/>
      <c r="J1617" s="1399">
        <v>51910.09</v>
      </c>
    </row>
    <row r="1618" spans="5:10" s="1297" customFormat="1">
      <c r="E1618" s="1297" t="s">
        <v>1040</v>
      </c>
      <c r="F1618" s="1399"/>
      <c r="G1618" s="1399"/>
      <c r="H1618" s="1399">
        <v>594927.59</v>
      </c>
      <c r="I1618" s="1399"/>
      <c r="J1618" s="1399">
        <v>594927.59</v>
      </c>
    </row>
    <row r="1619" spans="5:10" s="1297" customFormat="1">
      <c r="E1619" s="1297" t="s">
        <v>1041</v>
      </c>
      <c r="F1619" s="1399"/>
      <c r="G1619" s="1399"/>
      <c r="H1619" s="1399">
        <v>183351</v>
      </c>
      <c r="I1619" s="1399"/>
      <c r="J1619" s="1399">
        <v>183351</v>
      </c>
    </row>
    <row r="1620" spans="5:10" s="1297" customFormat="1">
      <c r="E1620" s="1297" t="s">
        <v>1042</v>
      </c>
      <c r="F1620" s="1399"/>
      <c r="G1620" s="1399"/>
      <c r="H1620" s="1399">
        <v>90740.4</v>
      </c>
      <c r="I1620" s="1399"/>
      <c r="J1620" s="1399">
        <v>90740.4</v>
      </c>
    </row>
    <row r="1621" spans="5:10" s="1297" customFormat="1">
      <c r="E1621" s="1297" t="s">
        <v>986</v>
      </c>
      <c r="F1621" s="1399"/>
      <c r="G1621" s="1399"/>
      <c r="H1621" s="1399">
        <v>66128.95</v>
      </c>
      <c r="I1621" s="1399"/>
      <c r="J1621" s="1399">
        <v>66128.95</v>
      </c>
    </row>
    <row r="1622" spans="5:10" s="1297" customFormat="1">
      <c r="E1622" s="1297" t="s">
        <v>1044</v>
      </c>
      <c r="F1622" s="1399">
        <v>17056</v>
      </c>
      <c r="G1622" s="1399"/>
      <c r="H1622" s="1399"/>
      <c r="I1622" s="1399"/>
      <c r="J1622" s="1399">
        <v>17056</v>
      </c>
    </row>
    <row r="1623" spans="5:10" s="1297" customFormat="1">
      <c r="E1623" s="1297" t="s">
        <v>1045</v>
      </c>
      <c r="F1623" s="1399"/>
      <c r="G1623" s="1399"/>
      <c r="H1623" s="1399">
        <v>835313.12999999989</v>
      </c>
      <c r="I1623" s="1399"/>
      <c r="J1623" s="1399">
        <v>835313.12999999989</v>
      </c>
    </row>
    <row r="1624" spans="5:10" s="1297" customFormat="1">
      <c r="E1624" s="1297" t="s">
        <v>1046</v>
      </c>
      <c r="F1624" s="1399"/>
      <c r="G1624" s="1399"/>
      <c r="H1624" s="1399"/>
      <c r="I1624" s="1399">
        <v>18302384</v>
      </c>
      <c r="J1624" s="1399">
        <v>18302384</v>
      </c>
    </row>
    <row r="1625" spans="5:10" s="1297" customFormat="1">
      <c r="E1625" s="1297" t="s">
        <v>1047</v>
      </c>
      <c r="F1625" s="1399"/>
      <c r="G1625" s="1399"/>
      <c r="H1625" s="1399"/>
      <c r="I1625" s="1399">
        <v>440152</v>
      </c>
      <c r="J1625" s="1399">
        <v>440152</v>
      </c>
    </row>
    <row r="1626" spans="5:10" s="1297" customFormat="1">
      <c r="E1626" s="1297" t="s">
        <v>1048</v>
      </c>
      <c r="F1626" s="1399"/>
      <c r="G1626" s="1399"/>
      <c r="H1626" s="1399"/>
      <c r="I1626" s="1399">
        <v>-6538429</v>
      </c>
      <c r="J1626" s="1399">
        <v>-6538429</v>
      </c>
    </row>
    <row r="1627" spans="5:10" s="1297" customFormat="1">
      <c r="E1627" s="1404" t="s">
        <v>955</v>
      </c>
      <c r="F1627" s="1405"/>
      <c r="G1627" s="1405"/>
      <c r="H1627" s="1405"/>
      <c r="I1627" s="1405">
        <v>251991.79</v>
      </c>
      <c r="J1627" s="1405">
        <v>251991.79</v>
      </c>
    </row>
    <row r="1628" spans="5:10" s="1297" customFormat="1">
      <c r="E1628" s="1297" t="s">
        <v>934</v>
      </c>
      <c r="F1628" s="1399"/>
      <c r="G1628" s="1399"/>
      <c r="H1628" s="1399"/>
      <c r="I1628" s="1399">
        <v>55028</v>
      </c>
      <c r="J1628" s="1399">
        <v>55028</v>
      </c>
    </row>
    <row r="1629" spans="5:10" s="1297" customFormat="1">
      <c r="E1629" s="1297" t="s">
        <v>935</v>
      </c>
      <c r="F1629" s="1399"/>
      <c r="G1629" s="1399"/>
      <c r="H1629" s="1399"/>
      <c r="I1629" s="1399">
        <v>378428.88</v>
      </c>
      <c r="J1629" s="1399">
        <v>378428.88</v>
      </c>
    </row>
    <row r="1630" spans="5:10" s="1297" customFormat="1">
      <c r="E1630" s="1297" t="s">
        <v>936</v>
      </c>
      <c r="F1630" s="1399"/>
      <c r="G1630" s="1399"/>
      <c r="H1630" s="1399"/>
      <c r="I1630" s="1399">
        <v>70030.11</v>
      </c>
      <c r="J1630" s="1399">
        <v>70030.11</v>
      </c>
    </row>
    <row r="1631" spans="5:10" s="1297" customFormat="1">
      <c r="E1631" s="1297" t="s">
        <v>937</v>
      </c>
      <c r="F1631" s="1399"/>
      <c r="G1631" s="1399"/>
      <c r="H1631" s="1399"/>
      <c r="I1631" s="1399">
        <v>51310.9</v>
      </c>
      <c r="J1631" s="1399">
        <v>51310.9</v>
      </c>
    </row>
    <row r="1632" spans="5:10" s="1297" customFormat="1">
      <c r="E1632" s="1297" t="s">
        <v>938</v>
      </c>
      <c r="F1632" s="1399"/>
      <c r="G1632" s="1399"/>
      <c r="H1632" s="1399"/>
      <c r="I1632" s="1399">
        <v>18529</v>
      </c>
      <c r="J1632" s="1399">
        <v>18529</v>
      </c>
    </row>
    <row r="1633" spans="2:12">
      <c r="B1633" s="1297"/>
      <c r="C1633" s="1297"/>
      <c r="D1633" s="1297"/>
      <c r="E1633" s="1297" t="s">
        <v>940</v>
      </c>
      <c r="F1633" s="1399">
        <v>692909.96</v>
      </c>
      <c r="J1633" s="1399">
        <v>692909.96</v>
      </c>
    </row>
    <row r="1634" spans="2:12">
      <c r="B1634" s="1297"/>
      <c r="C1634" s="1297"/>
      <c r="D1634" s="1297"/>
      <c r="E1634" s="1297" t="s">
        <v>941</v>
      </c>
      <c r="F1634" s="1399">
        <v>200974.2</v>
      </c>
      <c r="J1634" s="1399">
        <v>200974.2</v>
      </c>
    </row>
    <row r="1635" spans="2:12">
      <c r="B1635" s="1297"/>
      <c r="C1635" s="1297"/>
      <c r="D1635" s="1297"/>
      <c r="E1635" s="1297" t="s">
        <v>943</v>
      </c>
      <c r="F1635" s="1399">
        <v>2405.7399999999998</v>
      </c>
      <c r="J1635" s="1399">
        <v>2405.7399999999998</v>
      </c>
    </row>
    <row r="1636" spans="2:12">
      <c r="B1636" s="1297"/>
      <c r="C1636" s="1297"/>
      <c r="D1636" s="1297"/>
      <c r="E1636" s="1297" t="s">
        <v>944</v>
      </c>
      <c r="F1636" s="1399">
        <v>1488468.2299999997</v>
      </c>
      <c r="J1636" s="1399">
        <v>1488468.2299999997</v>
      </c>
    </row>
    <row r="1637" spans="2:12">
      <c r="B1637" s="1297"/>
      <c r="C1637" s="1297"/>
      <c r="D1637" s="1297"/>
      <c r="E1637" s="1297" t="s">
        <v>945</v>
      </c>
      <c r="F1637" s="1399">
        <v>1470183.86</v>
      </c>
      <c r="J1637" s="1399">
        <v>1470183.86</v>
      </c>
    </row>
    <row r="1638" spans="2:12">
      <c r="B1638" s="1297"/>
      <c r="C1638" s="1297"/>
      <c r="D1638" s="1297"/>
      <c r="E1638" s="1297" t="s">
        <v>1214</v>
      </c>
      <c r="F1638" s="1399">
        <v>18063.02</v>
      </c>
      <c r="J1638" s="1399">
        <v>18063.02</v>
      </c>
    </row>
    <row r="1639" spans="2:12">
      <c r="B1639" s="1297"/>
      <c r="C1639" s="1297"/>
      <c r="D1639" s="1297"/>
      <c r="E1639" s="1297" t="s">
        <v>947</v>
      </c>
      <c r="F1639" s="1399">
        <v>99656.610000000015</v>
      </c>
      <c r="J1639" s="1399">
        <v>99656.610000000015</v>
      </c>
    </row>
    <row r="1640" spans="2:12">
      <c r="B1640" s="1297"/>
      <c r="C1640" s="1297"/>
      <c r="D1640" s="1297"/>
      <c r="E1640" s="1297" t="s">
        <v>1115</v>
      </c>
      <c r="F1640" s="1399">
        <v>1688.8500000000001</v>
      </c>
      <c r="J1640" s="1399">
        <v>1688.8500000000001</v>
      </c>
    </row>
    <row r="1641" spans="2:12">
      <c r="B1641" s="1297"/>
      <c r="C1641" s="1297"/>
      <c r="D1641" s="1297"/>
      <c r="E1641" s="1404" t="s">
        <v>948</v>
      </c>
      <c r="F1641" s="1405"/>
      <c r="G1641" s="1405"/>
      <c r="H1641" s="1405">
        <v>14398458.300000001</v>
      </c>
      <c r="I1641" s="1405"/>
      <c r="J1641" s="1405">
        <v>14398458.300000001</v>
      </c>
    </row>
    <row r="1642" spans="2:12">
      <c r="B1642" s="1297"/>
      <c r="C1642" s="1297"/>
      <c r="D1642" s="1400" t="s">
        <v>1099</v>
      </c>
      <c r="E1642" s="1400"/>
      <c r="F1642" s="1401">
        <f>SUM(F1609:F1641)</f>
        <v>3991406.47</v>
      </c>
      <c r="G1642" s="1401">
        <f>SUM(G1609:G1641)</f>
        <v>24802906.559999999</v>
      </c>
      <c r="H1642" s="1401">
        <f>SUM(H1609:H1641)-H1641</f>
        <v>2082227.6199999992</v>
      </c>
      <c r="I1642" s="1401">
        <f>SUM(I1609:I1641)-I1627</f>
        <v>12777433.890000001</v>
      </c>
      <c r="J1642" s="1401">
        <f>SUM(J1609:J1641)</f>
        <v>58304424.629999995</v>
      </c>
      <c r="K1642" s="1401">
        <f>SUM(F1642:I1642)</f>
        <v>43653974.539999999</v>
      </c>
      <c r="L1642" s="1408">
        <f>K1642/C1609</f>
        <v>12723.396834742058</v>
      </c>
    </row>
    <row r="1643" spans="2:12">
      <c r="B1643" s="1297" t="s">
        <v>1100</v>
      </c>
      <c r="C1643" s="1297">
        <v>5248</v>
      </c>
      <c r="D1643" s="1297" t="s">
        <v>1101</v>
      </c>
      <c r="E1643" s="1297" t="s">
        <v>906</v>
      </c>
      <c r="G1643" s="1399">
        <v>10745033.85</v>
      </c>
      <c r="J1643" s="1399">
        <v>10745033.85</v>
      </c>
    </row>
    <row r="1644" spans="2:12">
      <c r="B1644" s="1297"/>
      <c r="C1644" s="1297"/>
      <c r="D1644" s="1297"/>
      <c r="E1644" s="1297" t="s">
        <v>952</v>
      </c>
      <c r="G1644" s="1399">
        <v>79053.259999999995</v>
      </c>
      <c r="J1644" s="1399">
        <v>79053.259999999995</v>
      </c>
    </row>
    <row r="1645" spans="2:12">
      <c r="B1645" s="1297"/>
      <c r="C1645" s="1297"/>
      <c r="D1645" s="1297"/>
      <c r="E1645" s="1297" t="s">
        <v>907</v>
      </c>
      <c r="G1645" s="1399">
        <v>4712515.55</v>
      </c>
      <c r="J1645" s="1399">
        <v>4712515.55</v>
      </c>
    </row>
    <row r="1646" spans="2:12">
      <c r="B1646" s="1297"/>
      <c r="C1646" s="1297"/>
      <c r="D1646" s="1297"/>
      <c r="E1646" s="1297" t="s">
        <v>908</v>
      </c>
      <c r="G1646" s="1399">
        <v>29879.78</v>
      </c>
      <c r="J1646" s="1399">
        <v>29879.78</v>
      </c>
    </row>
    <row r="1647" spans="2:12">
      <c r="B1647" s="1297"/>
      <c r="C1647" s="1297"/>
      <c r="D1647" s="1297"/>
      <c r="E1647" s="1297" t="s">
        <v>1037</v>
      </c>
      <c r="H1647" s="1399">
        <v>1400</v>
      </c>
      <c r="J1647" s="1399">
        <v>1400</v>
      </c>
    </row>
    <row r="1648" spans="2:12">
      <c r="B1648" s="1297"/>
      <c r="C1648" s="1297"/>
      <c r="D1648" s="1297"/>
      <c r="E1648" s="1297" t="s">
        <v>1039</v>
      </c>
      <c r="H1648" s="1399">
        <v>27300.67</v>
      </c>
      <c r="J1648" s="1399">
        <v>27300.67</v>
      </c>
    </row>
    <row r="1649" spans="5:10" s="1297" customFormat="1">
      <c r="E1649" s="1297" t="s">
        <v>1040</v>
      </c>
      <c r="F1649" s="1399"/>
      <c r="G1649" s="1399"/>
      <c r="H1649" s="1399">
        <v>328799.48</v>
      </c>
      <c r="I1649" s="1399"/>
      <c r="J1649" s="1399">
        <v>328799.48</v>
      </c>
    </row>
    <row r="1650" spans="5:10" s="1297" customFormat="1">
      <c r="E1650" s="1297" t="s">
        <v>1041</v>
      </c>
      <c r="F1650" s="1399"/>
      <c r="G1650" s="1399"/>
      <c r="H1650" s="1399">
        <v>37240.79</v>
      </c>
      <c r="I1650" s="1399"/>
      <c r="J1650" s="1399">
        <v>37240.79</v>
      </c>
    </row>
    <row r="1651" spans="5:10" s="1297" customFormat="1">
      <c r="E1651" s="1297" t="s">
        <v>1042</v>
      </c>
      <c r="F1651" s="1399"/>
      <c r="G1651" s="1399"/>
      <c r="H1651" s="1399">
        <v>45970.87</v>
      </c>
      <c r="I1651" s="1399"/>
      <c r="J1651" s="1399">
        <v>45970.87</v>
      </c>
    </row>
    <row r="1652" spans="5:10" s="1297" customFormat="1">
      <c r="E1652" s="1297" t="s">
        <v>954</v>
      </c>
      <c r="F1652" s="1399"/>
      <c r="G1652" s="1399"/>
      <c r="H1652" s="1399">
        <v>1275149.8</v>
      </c>
      <c r="I1652" s="1399"/>
      <c r="J1652" s="1399">
        <v>1275149.8</v>
      </c>
    </row>
    <row r="1653" spans="5:10" s="1297" customFormat="1">
      <c r="E1653" s="1297" t="s">
        <v>1043</v>
      </c>
      <c r="F1653" s="1399"/>
      <c r="G1653" s="1399"/>
      <c r="H1653" s="1399">
        <v>6000</v>
      </c>
      <c r="I1653" s="1399"/>
      <c r="J1653" s="1399">
        <v>6000</v>
      </c>
    </row>
    <row r="1654" spans="5:10" s="1297" customFormat="1">
      <c r="E1654" s="1297" t="s">
        <v>986</v>
      </c>
      <c r="F1654" s="1399"/>
      <c r="G1654" s="1399"/>
      <c r="H1654" s="1399">
        <v>26557.919999999998</v>
      </c>
      <c r="I1654" s="1399"/>
      <c r="J1654" s="1399">
        <v>26557.919999999998</v>
      </c>
    </row>
    <row r="1655" spans="5:10" s="1297" customFormat="1">
      <c r="E1655" s="1297" t="s">
        <v>1044</v>
      </c>
      <c r="F1655" s="1399">
        <v>39053.519999999997</v>
      </c>
      <c r="G1655" s="1399"/>
      <c r="H1655" s="1399"/>
      <c r="I1655" s="1399"/>
      <c r="J1655" s="1399">
        <v>39053.519999999997</v>
      </c>
    </row>
    <row r="1656" spans="5:10" s="1297" customFormat="1">
      <c r="E1656" s="1297" t="s">
        <v>1045</v>
      </c>
      <c r="F1656" s="1399"/>
      <c r="G1656" s="1399"/>
      <c r="H1656" s="1399">
        <v>362561.84</v>
      </c>
      <c r="I1656" s="1399"/>
      <c r="J1656" s="1399">
        <v>362561.84</v>
      </c>
    </row>
    <row r="1657" spans="5:10" s="1297" customFormat="1">
      <c r="E1657" s="1297" t="s">
        <v>1046</v>
      </c>
      <c r="F1657" s="1399"/>
      <c r="G1657" s="1399"/>
      <c r="H1657" s="1399"/>
      <c r="I1657" s="1399">
        <v>28062223</v>
      </c>
      <c r="J1657" s="1399">
        <v>28062223</v>
      </c>
    </row>
    <row r="1658" spans="5:10" s="1297" customFormat="1">
      <c r="E1658" s="1297" t="s">
        <v>1128</v>
      </c>
      <c r="F1658" s="1399"/>
      <c r="G1658" s="1399"/>
      <c r="H1658" s="1399"/>
      <c r="I1658" s="1399">
        <v>2287908</v>
      </c>
      <c r="J1658" s="1399">
        <v>2287908</v>
      </c>
    </row>
    <row r="1659" spans="5:10" s="1297" customFormat="1">
      <c r="E1659" s="1297" t="s">
        <v>1129</v>
      </c>
      <c r="F1659" s="1399"/>
      <c r="G1659" s="1399"/>
      <c r="H1659" s="1399"/>
      <c r="I1659" s="1399">
        <v>-3867672</v>
      </c>
      <c r="J1659" s="1399">
        <v>-3867672</v>
      </c>
    </row>
    <row r="1660" spans="5:10" s="1297" customFormat="1">
      <c r="E1660" s="1297" t="s">
        <v>1047</v>
      </c>
      <c r="F1660" s="1399"/>
      <c r="G1660" s="1399"/>
      <c r="H1660" s="1399"/>
      <c r="I1660" s="1399">
        <v>914587</v>
      </c>
      <c r="J1660" s="1399">
        <v>914587</v>
      </c>
    </row>
    <row r="1661" spans="5:10" s="1297" customFormat="1">
      <c r="E1661" s="1297" t="s">
        <v>1048</v>
      </c>
      <c r="F1661" s="1399"/>
      <c r="G1661" s="1399"/>
      <c r="H1661" s="1399"/>
      <c r="I1661" s="1399">
        <v>-4133722</v>
      </c>
      <c r="J1661" s="1399">
        <v>-4133722</v>
      </c>
    </row>
    <row r="1662" spans="5:10" s="1297" customFormat="1">
      <c r="E1662" s="1297" t="s">
        <v>932</v>
      </c>
      <c r="F1662" s="1399"/>
      <c r="G1662" s="1399"/>
      <c r="H1662" s="1399"/>
      <c r="I1662" s="1399">
        <v>1702187</v>
      </c>
      <c r="J1662" s="1399">
        <v>1702187</v>
      </c>
    </row>
    <row r="1663" spans="5:10" s="1297" customFormat="1">
      <c r="E1663" s="1297" t="s">
        <v>933</v>
      </c>
      <c r="F1663" s="1399"/>
      <c r="G1663" s="1399"/>
      <c r="H1663" s="1399"/>
      <c r="I1663" s="1399">
        <v>1496664.74</v>
      </c>
      <c r="J1663" s="1399">
        <v>1496664.74</v>
      </c>
    </row>
    <row r="1664" spans="5:10" s="1297" customFormat="1">
      <c r="E1664" s="1297" t="s">
        <v>934</v>
      </c>
      <c r="F1664" s="1399"/>
      <c r="G1664" s="1399"/>
      <c r="H1664" s="1399"/>
      <c r="I1664" s="1399">
        <v>92128</v>
      </c>
      <c r="J1664" s="1399">
        <v>92128</v>
      </c>
    </row>
    <row r="1665" spans="2:12">
      <c r="B1665" s="1297"/>
      <c r="C1665" s="1297"/>
      <c r="D1665" s="1297"/>
      <c r="E1665" s="1297" t="s">
        <v>935</v>
      </c>
      <c r="I1665" s="1399">
        <v>682121.08000000007</v>
      </c>
      <c r="J1665" s="1399">
        <v>682121.08000000007</v>
      </c>
    </row>
    <row r="1666" spans="2:12">
      <c r="B1666" s="1297"/>
      <c r="C1666" s="1297"/>
      <c r="D1666" s="1297"/>
      <c r="E1666" s="1297" t="s">
        <v>936</v>
      </c>
      <c r="I1666" s="1399">
        <v>107496.21</v>
      </c>
      <c r="J1666" s="1399">
        <v>107496.21</v>
      </c>
    </row>
    <row r="1667" spans="2:12">
      <c r="B1667" s="1297"/>
      <c r="C1667" s="1297"/>
      <c r="D1667" s="1297"/>
      <c r="E1667" s="1297" t="s">
        <v>937</v>
      </c>
      <c r="I1667" s="1399">
        <v>17991.16</v>
      </c>
      <c r="J1667" s="1399">
        <v>17991.16</v>
      </c>
    </row>
    <row r="1668" spans="2:12">
      <c r="B1668" s="1297"/>
      <c r="C1668" s="1297"/>
      <c r="D1668" s="1297"/>
      <c r="E1668" s="1297" t="s">
        <v>938</v>
      </c>
      <c r="I1668" s="1399">
        <v>31068</v>
      </c>
      <c r="J1668" s="1399">
        <v>31068</v>
      </c>
    </row>
    <row r="1669" spans="2:12">
      <c r="B1669" s="1297"/>
      <c r="C1669" s="1297"/>
      <c r="D1669" s="1297"/>
      <c r="E1669" s="1297" t="s">
        <v>939</v>
      </c>
      <c r="I1669" s="1399">
        <v>201834.02</v>
      </c>
      <c r="J1669" s="1399">
        <v>201834.02</v>
      </c>
    </row>
    <row r="1670" spans="2:12">
      <c r="B1670" s="1297"/>
      <c r="C1670" s="1297"/>
      <c r="D1670" s="1297"/>
      <c r="E1670" s="1297" t="s">
        <v>940</v>
      </c>
      <c r="F1670" s="1399">
        <v>1720068.58</v>
      </c>
      <c r="J1670" s="1399">
        <v>1720068.58</v>
      </c>
    </row>
    <row r="1671" spans="2:12">
      <c r="B1671" s="1297"/>
      <c r="C1671" s="1297"/>
      <c r="D1671" s="1297"/>
      <c r="E1671" s="1297" t="s">
        <v>941</v>
      </c>
      <c r="F1671" s="1399">
        <v>877641.04</v>
      </c>
      <c r="J1671" s="1399">
        <v>877641.04</v>
      </c>
    </row>
    <row r="1672" spans="2:12">
      <c r="B1672" s="1297"/>
      <c r="C1672" s="1297"/>
      <c r="D1672" s="1297"/>
      <c r="E1672" s="1297" t="s">
        <v>943</v>
      </c>
      <c r="F1672" s="1399">
        <v>31184.34</v>
      </c>
      <c r="J1672" s="1399">
        <v>31184.34</v>
      </c>
    </row>
    <row r="1673" spans="2:12">
      <c r="B1673" s="1297"/>
      <c r="C1673" s="1297"/>
      <c r="D1673" s="1297"/>
      <c r="E1673" s="1297" t="s">
        <v>944</v>
      </c>
      <c r="F1673" s="1399">
        <v>5447897.1099999994</v>
      </c>
      <c r="J1673" s="1399">
        <v>5447897.1099999994</v>
      </c>
    </row>
    <row r="1674" spans="2:12">
      <c r="B1674" s="1297"/>
      <c r="C1674" s="1297"/>
      <c r="D1674" s="1297"/>
      <c r="E1674" s="1297" t="s">
        <v>945</v>
      </c>
      <c r="F1674" s="1399">
        <v>2840240.1700000004</v>
      </c>
      <c r="J1674" s="1399">
        <v>2840240.1700000004</v>
      </c>
    </row>
    <row r="1675" spans="2:12">
      <c r="B1675" s="1297"/>
      <c r="C1675" s="1297"/>
      <c r="D1675" s="1297"/>
      <c r="E1675" s="1297" t="s">
        <v>946</v>
      </c>
      <c r="F1675" s="1399">
        <v>196215.28</v>
      </c>
      <c r="J1675" s="1399">
        <v>196215.28</v>
      </c>
    </row>
    <row r="1676" spans="2:12">
      <c r="B1676" s="1297"/>
      <c r="C1676" s="1297"/>
      <c r="D1676" s="1297"/>
      <c r="E1676" s="1297" t="s">
        <v>947</v>
      </c>
      <c r="F1676" s="1399">
        <v>155535.59</v>
      </c>
      <c r="J1676" s="1399">
        <v>155535.59</v>
      </c>
    </row>
    <row r="1677" spans="2:12">
      <c r="B1677" s="1297"/>
      <c r="C1677" s="1297"/>
      <c r="D1677" s="1297"/>
      <c r="E1677" s="1404" t="s">
        <v>948</v>
      </c>
      <c r="F1677" s="1405"/>
      <c r="G1677" s="1405"/>
      <c r="H1677" s="1405">
        <v>5743059.2299999995</v>
      </c>
      <c r="I1677" s="1405"/>
      <c r="J1677" s="1405">
        <v>5743059.2299999995</v>
      </c>
    </row>
    <row r="1678" spans="2:12">
      <c r="B1678" s="1297"/>
      <c r="C1678" s="1297"/>
      <c r="D1678" s="1297"/>
      <c r="E1678" s="1297" t="s">
        <v>956</v>
      </c>
      <c r="H1678" s="1399">
        <v>181634</v>
      </c>
      <c r="J1678" s="1399">
        <v>181634</v>
      </c>
    </row>
    <row r="1679" spans="2:12">
      <c r="B1679" s="1297"/>
      <c r="C1679" s="1297"/>
      <c r="D1679" s="1400" t="s">
        <v>1102</v>
      </c>
      <c r="E1679" s="1400"/>
      <c r="F1679" s="1401">
        <f>SUM(F1643:F1678)</f>
        <v>11307835.629999999</v>
      </c>
      <c r="G1679" s="1401">
        <f>SUM(G1643:G1678)</f>
        <v>15566482.439999999</v>
      </c>
      <c r="H1679" s="1401">
        <f>SUM(H1643:H1678)-H1677</f>
        <v>2292615.37</v>
      </c>
      <c r="I1679" s="1401">
        <f>SUM(I1643:I1678)</f>
        <v>27594814.210000001</v>
      </c>
      <c r="J1679" s="1401">
        <f>SUM(J1643:J1678)</f>
        <v>62504806.880000003</v>
      </c>
      <c r="K1679" s="1401">
        <f>SUM(F1679:I1679)</f>
        <v>56761747.650000006</v>
      </c>
      <c r="L1679" s="1408">
        <f>K1679/C1643</f>
        <v>10815.881793064025</v>
      </c>
    </row>
    <row r="1680" spans="2:12">
      <c r="B1680" s="1297" t="s">
        <v>1103</v>
      </c>
      <c r="C1680" s="1297">
        <v>94946</v>
      </c>
      <c r="D1680" s="1297" t="s">
        <v>1104</v>
      </c>
      <c r="E1680" s="1297" t="s">
        <v>906</v>
      </c>
      <c r="G1680" s="1399">
        <v>446762804.91000003</v>
      </c>
      <c r="J1680" s="1399">
        <v>446762804.91000003</v>
      </c>
    </row>
    <row r="1681" spans="5:10" s="1297" customFormat="1">
      <c r="E1681" s="1297" t="s">
        <v>952</v>
      </c>
      <c r="F1681" s="1399"/>
      <c r="G1681" s="1399">
        <v>5245556.91</v>
      </c>
      <c r="H1681" s="1399"/>
      <c r="I1681" s="1399"/>
      <c r="J1681" s="1399">
        <v>5245556.91</v>
      </c>
    </row>
    <row r="1682" spans="5:10" s="1297" customFormat="1">
      <c r="E1682" s="1297" t="s">
        <v>907</v>
      </c>
      <c r="F1682" s="1399"/>
      <c r="G1682" s="1399">
        <v>104440242.56</v>
      </c>
      <c r="H1682" s="1399"/>
      <c r="I1682" s="1399"/>
      <c r="J1682" s="1399">
        <v>104440242.56</v>
      </c>
    </row>
    <row r="1683" spans="5:10" s="1297" customFormat="1">
      <c r="E1683" s="1297" t="s">
        <v>908</v>
      </c>
      <c r="F1683" s="1399"/>
      <c r="G1683" s="1399">
        <v>5358375.92</v>
      </c>
      <c r="H1683" s="1399"/>
      <c r="I1683" s="1399"/>
      <c r="J1683" s="1399">
        <v>5358375.92</v>
      </c>
    </row>
    <row r="1684" spans="5:10" s="1297" customFormat="1">
      <c r="E1684" s="1297" t="s">
        <v>1035</v>
      </c>
      <c r="F1684" s="1399"/>
      <c r="G1684" s="1399"/>
      <c r="H1684" s="1399">
        <v>8165594.4000000004</v>
      </c>
      <c r="I1684" s="1399"/>
      <c r="J1684" s="1399">
        <v>8165594.4000000004</v>
      </c>
    </row>
    <row r="1685" spans="5:10" s="1297" customFormat="1">
      <c r="E1685" s="1297" t="s">
        <v>1036</v>
      </c>
      <c r="F1685" s="1399"/>
      <c r="G1685" s="1399"/>
      <c r="H1685" s="1399">
        <v>10562284.57</v>
      </c>
      <c r="I1685" s="1399"/>
      <c r="J1685" s="1399">
        <v>10562284.57</v>
      </c>
    </row>
    <row r="1686" spans="5:10" s="1297" customFormat="1">
      <c r="E1686" s="1297" t="s">
        <v>1105</v>
      </c>
      <c r="F1686" s="1399"/>
      <c r="G1686" s="1399"/>
      <c r="H1686" s="1399">
        <v>17994.8</v>
      </c>
      <c r="I1686" s="1399"/>
      <c r="J1686" s="1399">
        <v>17994.8</v>
      </c>
    </row>
    <row r="1687" spans="5:10" s="1297" customFormat="1">
      <c r="E1687" s="1297" t="s">
        <v>1038</v>
      </c>
      <c r="F1687" s="1399"/>
      <c r="G1687" s="1399"/>
      <c r="H1687" s="1399">
        <v>50050</v>
      </c>
      <c r="I1687" s="1399"/>
      <c r="J1687" s="1399">
        <v>50050</v>
      </c>
    </row>
    <row r="1688" spans="5:10" s="1297" customFormat="1">
      <c r="E1688" s="1297" t="s">
        <v>1003</v>
      </c>
      <c r="F1688" s="1399"/>
      <c r="G1688" s="1399"/>
      <c r="H1688" s="1399">
        <v>709973.81</v>
      </c>
      <c r="I1688" s="1399"/>
      <c r="J1688" s="1399">
        <v>709973.81</v>
      </c>
    </row>
    <row r="1689" spans="5:10" s="1297" customFormat="1">
      <c r="E1689" s="1297" t="s">
        <v>1039</v>
      </c>
      <c r="F1689" s="1399"/>
      <c r="G1689" s="1399"/>
      <c r="H1689" s="1399">
        <v>2298416.7000000002</v>
      </c>
      <c r="I1689" s="1399"/>
      <c r="J1689" s="1399">
        <v>2298416.7000000002</v>
      </c>
    </row>
    <row r="1690" spans="5:10" s="1297" customFormat="1">
      <c r="E1690" s="1297" t="s">
        <v>1040</v>
      </c>
      <c r="F1690" s="1399"/>
      <c r="G1690" s="1399"/>
      <c r="H1690" s="1399">
        <v>3060997.3300000005</v>
      </c>
      <c r="I1690" s="1399"/>
      <c r="J1690" s="1399">
        <v>3060997.3300000005</v>
      </c>
    </row>
    <row r="1691" spans="5:10" s="1297" customFormat="1">
      <c r="E1691" s="1297" t="s">
        <v>1127</v>
      </c>
      <c r="F1691" s="1399"/>
      <c r="G1691" s="1399"/>
      <c r="H1691" s="1399">
        <v>47827.549999999988</v>
      </c>
      <c r="I1691" s="1399"/>
      <c r="J1691" s="1399">
        <v>47827.549999999988</v>
      </c>
    </row>
    <row r="1692" spans="5:10" s="1297" customFormat="1">
      <c r="E1692" s="1297" t="s">
        <v>1041</v>
      </c>
      <c r="F1692" s="1399"/>
      <c r="G1692" s="1399"/>
      <c r="H1692" s="1399">
        <v>735265.99</v>
      </c>
      <c r="I1692" s="1399"/>
      <c r="J1692" s="1399">
        <v>735265.99</v>
      </c>
    </row>
    <row r="1693" spans="5:10" s="1297" customFormat="1">
      <c r="E1693" s="1297" t="s">
        <v>1042</v>
      </c>
      <c r="F1693" s="1399"/>
      <c r="G1693" s="1399"/>
      <c r="H1693" s="1399">
        <v>635087.79</v>
      </c>
      <c r="I1693" s="1399"/>
      <c r="J1693" s="1399">
        <v>635087.79</v>
      </c>
    </row>
    <row r="1694" spans="5:10" s="1297" customFormat="1">
      <c r="E1694" s="1297" t="s">
        <v>1043</v>
      </c>
      <c r="F1694" s="1399"/>
      <c r="G1694" s="1399"/>
      <c r="H1694" s="1399">
        <v>-680</v>
      </c>
      <c r="I1694" s="1399"/>
      <c r="J1694" s="1399">
        <v>-680</v>
      </c>
    </row>
    <row r="1695" spans="5:10" s="1297" customFormat="1">
      <c r="E1695" s="1297" t="s">
        <v>1045</v>
      </c>
      <c r="F1695" s="1399"/>
      <c r="G1695" s="1399"/>
      <c r="H1695" s="1399">
        <v>31644188.000000004</v>
      </c>
      <c r="I1695" s="1399"/>
      <c r="J1695" s="1399">
        <v>31644188.000000004</v>
      </c>
    </row>
    <row r="1696" spans="5:10" s="1297" customFormat="1">
      <c r="E1696" s="1297" t="s">
        <v>1046</v>
      </c>
      <c r="F1696" s="1399"/>
      <c r="G1696" s="1399"/>
      <c r="H1696" s="1399"/>
      <c r="I1696" s="1399">
        <v>480203456.99999994</v>
      </c>
      <c r="J1696" s="1399">
        <v>480203456.99999994</v>
      </c>
    </row>
    <row r="1697" spans="5:10" s="1297" customFormat="1">
      <c r="E1697" s="1297" t="s">
        <v>1128</v>
      </c>
      <c r="F1697" s="1399"/>
      <c r="G1697" s="1399"/>
      <c r="H1697" s="1399"/>
      <c r="I1697" s="1399">
        <v>41113467</v>
      </c>
      <c r="J1697" s="1399">
        <v>41113467</v>
      </c>
    </row>
    <row r="1698" spans="5:10" s="1297" customFormat="1">
      <c r="E1698" s="1297" t="s">
        <v>1129</v>
      </c>
      <c r="F1698" s="1399"/>
      <c r="G1698" s="1399"/>
      <c r="H1698" s="1399"/>
      <c r="I1698" s="1399">
        <v>-61457248</v>
      </c>
      <c r="J1698" s="1399">
        <v>-61457248</v>
      </c>
    </row>
    <row r="1699" spans="5:10" s="1297" customFormat="1">
      <c r="E1699" s="1297" t="s">
        <v>1047</v>
      </c>
      <c r="F1699" s="1399"/>
      <c r="G1699" s="1399"/>
      <c r="H1699" s="1399"/>
      <c r="I1699" s="1399">
        <v>9812982</v>
      </c>
      <c r="J1699" s="1399">
        <v>9812982</v>
      </c>
    </row>
    <row r="1700" spans="5:10" s="1297" customFormat="1">
      <c r="E1700" s="1297" t="s">
        <v>1048</v>
      </c>
      <c r="F1700" s="1399"/>
      <c r="G1700" s="1399"/>
      <c r="H1700" s="1399"/>
      <c r="I1700" s="1399">
        <v>-113919515</v>
      </c>
      <c r="J1700" s="1399">
        <v>-113919515</v>
      </c>
    </row>
    <row r="1701" spans="5:10" s="1297" customFormat="1">
      <c r="E1701" s="1404" t="s">
        <v>955</v>
      </c>
      <c r="F1701" s="1405"/>
      <c r="G1701" s="1405"/>
      <c r="H1701" s="1405"/>
      <c r="I1701" s="1405">
        <v>8934160.0099999998</v>
      </c>
      <c r="J1701" s="1405">
        <v>8934160.0099999998</v>
      </c>
    </row>
    <row r="1702" spans="5:10" s="1297" customFormat="1">
      <c r="E1702" s="1297" t="s">
        <v>934</v>
      </c>
      <c r="F1702" s="1399"/>
      <c r="G1702" s="1399"/>
      <c r="H1702" s="1399"/>
      <c r="I1702" s="1399">
        <v>1407904.5800000003</v>
      </c>
      <c r="J1702" s="1399">
        <v>1407904.5800000003</v>
      </c>
    </row>
    <row r="1703" spans="5:10" s="1297" customFormat="1">
      <c r="E1703" s="1297" t="s">
        <v>1130</v>
      </c>
      <c r="F1703" s="1399"/>
      <c r="G1703" s="1399"/>
      <c r="H1703" s="1399"/>
      <c r="I1703" s="1399">
        <v>448403.8</v>
      </c>
      <c r="J1703" s="1399">
        <v>448403.8</v>
      </c>
    </row>
    <row r="1704" spans="5:10" s="1297" customFormat="1">
      <c r="E1704" s="1297" t="s">
        <v>935</v>
      </c>
      <c r="F1704" s="1399"/>
      <c r="G1704" s="1399"/>
      <c r="H1704" s="1399"/>
      <c r="I1704" s="1399">
        <v>6504188.4900000002</v>
      </c>
      <c r="J1704" s="1399">
        <v>6504188.4900000002</v>
      </c>
    </row>
    <row r="1705" spans="5:10" s="1297" customFormat="1">
      <c r="E1705" s="1297" t="s">
        <v>936</v>
      </c>
      <c r="F1705" s="1399"/>
      <c r="G1705" s="1399"/>
      <c r="H1705" s="1399"/>
      <c r="I1705" s="1399">
        <v>1546264.76</v>
      </c>
      <c r="J1705" s="1399">
        <v>1546264.76</v>
      </c>
    </row>
    <row r="1706" spans="5:10" s="1297" customFormat="1">
      <c r="E1706" s="1297" t="s">
        <v>937</v>
      </c>
      <c r="F1706" s="1399"/>
      <c r="G1706" s="1399"/>
      <c r="H1706" s="1399"/>
      <c r="I1706" s="1399">
        <v>632924.77</v>
      </c>
      <c r="J1706" s="1399">
        <v>632924.77</v>
      </c>
    </row>
    <row r="1707" spans="5:10" s="1297" customFormat="1">
      <c r="E1707" s="1297" t="s">
        <v>938</v>
      </c>
      <c r="F1707" s="1399"/>
      <c r="G1707" s="1399"/>
      <c r="H1707" s="1399"/>
      <c r="I1707" s="1399">
        <v>434021</v>
      </c>
      <c r="J1707" s="1399">
        <v>434021</v>
      </c>
    </row>
    <row r="1708" spans="5:10" s="1297" customFormat="1">
      <c r="E1708" s="1297" t="s">
        <v>939</v>
      </c>
      <c r="F1708" s="1399"/>
      <c r="G1708" s="1399"/>
      <c r="H1708" s="1399"/>
      <c r="I1708" s="1399">
        <v>27709.83</v>
      </c>
      <c r="J1708" s="1399">
        <v>27709.83</v>
      </c>
    </row>
    <row r="1709" spans="5:10" s="1297" customFormat="1">
      <c r="E1709" s="1297" t="s">
        <v>1131</v>
      </c>
      <c r="F1709" s="1399">
        <v>1938128.12</v>
      </c>
      <c r="G1709" s="1399"/>
      <c r="H1709" s="1399"/>
      <c r="I1709" s="1399"/>
      <c r="J1709" s="1399">
        <v>1938128.12</v>
      </c>
    </row>
    <row r="1710" spans="5:10" s="1297" customFormat="1">
      <c r="E1710" s="1297" t="s">
        <v>940</v>
      </c>
      <c r="F1710" s="1399">
        <v>27576216.460000008</v>
      </c>
      <c r="G1710" s="1399"/>
      <c r="H1710" s="1399"/>
      <c r="I1710" s="1399"/>
      <c r="J1710" s="1399">
        <v>27576216.460000008</v>
      </c>
    </row>
    <row r="1711" spans="5:10" s="1297" customFormat="1">
      <c r="E1711" s="1297" t="s">
        <v>941</v>
      </c>
      <c r="F1711" s="1399">
        <v>7864429.299999997</v>
      </c>
      <c r="G1711" s="1399"/>
      <c r="H1711" s="1399"/>
      <c r="I1711" s="1399"/>
      <c r="J1711" s="1399">
        <v>7864429.299999997</v>
      </c>
    </row>
    <row r="1712" spans="5:10" s="1297" customFormat="1">
      <c r="E1712" s="1297" t="s">
        <v>943</v>
      </c>
      <c r="F1712" s="1399">
        <v>260462.46000000014</v>
      </c>
      <c r="G1712" s="1399"/>
      <c r="H1712" s="1399"/>
      <c r="I1712" s="1399"/>
      <c r="J1712" s="1399">
        <v>260462.46000000014</v>
      </c>
    </row>
    <row r="1713" spans="2:14">
      <c r="B1713" s="1297"/>
      <c r="C1713" s="1297"/>
      <c r="D1713" s="1297"/>
      <c r="E1713" s="1297" t="s">
        <v>944</v>
      </c>
      <c r="F1713" s="1399">
        <v>54536423.250000022</v>
      </c>
      <c r="J1713" s="1399">
        <v>54536423.250000022</v>
      </c>
    </row>
    <row r="1714" spans="2:14">
      <c r="B1714" s="1297"/>
      <c r="C1714" s="1297"/>
      <c r="D1714" s="1297"/>
      <c r="E1714" s="1297" t="s">
        <v>945</v>
      </c>
      <c r="F1714" s="1399">
        <v>42735961.240000002</v>
      </c>
      <c r="J1714" s="1399">
        <v>42735961.240000002</v>
      </c>
    </row>
    <row r="1715" spans="2:14">
      <c r="B1715" s="1297"/>
      <c r="C1715" s="1297"/>
      <c r="D1715" s="1297"/>
      <c r="E1715" s="1297" t="s">
        <v>946</v>
      </c>
      <c r="F1715" s="1399">
        <v>1658420.3</v>
      </c>
      <c r="J1715" s="1399">
        <v>1658420.3</v>
      </c>
    </row>
    <row r="1716" spans="2:14">
      <c r="B1716" s="1297"/>
      <c r="C1716" s="1297"/>
      <c r="D1716" s="1297"/>
      <c r="E1716" s="1297" t="s">
        <v>978</v>
      </c>
      <c r="F1716" s="1399">
        <v>3600</v>
      </c>
      <c r="J1716" s="1399">
        <v>3600</v>
      </c>
    </row>
    <row r="1717" spans="2:14">
      <c r="B1717" s="1297"/>
      <c r="C1717" s="1297"/>
      <c r="D1717" s="1297"/>
      <c r="E1717" s="1297" t="s">
        <v>947</v>
      </c>
      <c r="F1717" s="1399">
        <v>6135464.3800000045</v>
      </c>
      <c r="J1717" s="1399">
        <v>6135464.3800000045</v>
      </c>
    </row>
    <row r="1718" spans="2:14">
      <c r="B1718" s="1297"/>
      <c r="C1718" s="1297"/>
      <c r="D1718" s="1297"/>
      <c r="E1718" s="1404" t="s">
        <v>948</v>
      </c>
      <c r="F1718" s="1405"/>
      <c r="G1718" s="1405"/>
      <c r="H1718" s="1405">
        <v>98424434.530000001</v>
      </c>
      <c r="I1718" s="1405"/>
      <c r="J1718" s="1405">
        <v>98424434.530000001</v>
      </c>
    </row>
    <row r="1719" spans="2:14">
      <c r="B1719" s="1297"/>
      <c r="C1719" s="1297"/>
      <c r="D1719" s="1297"/>
      <c r="E1719" s="1297" t="s">
        <v>956</v>
      </c>
      <c r="H1719" s="1399">
        <v>2933.05</v>
      </c>
      <c r="J1719" s="1399">
        <v>2933.05</v>
      </c>
    </row>
    <row r="1720" spans="2:14">
      <c r="B1720" s="1297"/>
      <c r="C1720" s="1297"/>
      <c r="D1720" s="1297"/>
      <c r="E1720" s="1297" t="s">
        <v>1118</v>
      </c>
      <c r="H1720" s="1399">
        <v>2062299.81</v>
      </c>
      <c r="J1720" s="1399">
        <v>2062299.81</v>
      </c>
    </row>
    <row r="1721" spans="2:14">
      <c r="B1721" s="1297"/>
      <c r="C1721" s="1297"/>
      <c r="D1721" s="1297"/>
      <c r="E1721" s="1297" t="s">
        <v>1051</v>
      </c>
      <c r="H1721" s="1399">
        <v>300000</v>
      </c>
      <c r="J1721" s="1399">
        <v>300000</v>
      </c>
    </row>
    <row r="1722" spans="2:14">
      <c r="B1722" s="1297"/>
      <c r="C1722" s="1297"/>
      <c r="D1722" s="1400" t="s">
        <v>1106</v>
      </c>
      <c r="E1722" s="1400"/>
      <c r="F1722" s="1401">
        <f>SUM(F1680:F1721)</f>
        <v>142709105.51000005</v>
      </c>
      <c r="G1722" s="1401">
        <f>SUM(G1680:G1721)</f>
        <v>561806980.30000007</v>
      </c>
      <c r="H1722" s="1401">
        <f>SUM(H1680:H1721)-H1718</f>
        <v>60292233.800000012</v>
      </c>
      <c r="I1722" s="1401">
        <f>SUM(I1680:I1721)-I1701</f>
        <v>366754560.2299999</v>
      </c>
      <c r="J1722" s="1401">
        <f>SUM(J1680:J1721)</f>
        <v>1238921474.3800001</v>
      </c>
      <c r="K1722" s="1401">
        <f>SUM(F1722:I1722)</f>
        <v>1131562879.8400002</v>
      </c>
      <c r="L1722" s="1408">
        <f>K1722/C1680</f>
        <v>11917.962629705307</v>
      </c>
      <c r="M1722" s="1408">
        <f>F1722/C1680</f>
        <v>1503.0554790091214</v>
      </c>
      <c r="N1722" s="1297">
        <f>F1722/K1722</f>
        <v>0.12611681423322998</v>
      </c>
    </row>
    <row r="1723" spans="2:14">
      <c r="B1723" s="1297" t="s">
        <v>1107</v>
      </c>
      <c r="C1723" s="1297">
        <v>3178</v>
      </c>
      <c r="D1723" s="1297" t="s">
        <v>1108</v>
      </c>
      <c r="E1723" s="1297" t="s">
        <v>906</v>
      </c>
      <c r="G1723" s="1399">
        <v>4426909.45</v>
      </c>
      <c r="J1723" s="1399">
        <v>4426909.45</v>
      </c>
    </row>
    <row r="1724" spans="2:14">
      <c r="B1724" s="1297"/>
      <c r="C1724" s="1297"/>
      <c r="D1724" s="1297"/>
      <c r="E1724" s="1297" t="s">
        <v>952</v>
      </c>
      <c r="G1724" s="1399">
        <v>35884.449999999997</v>
      </c>
      <c r="J1724" s="1399">
        <v>35884.449999999997</v>
      </c>
    </row>
    <row r="1725" spans="2:14">
      <c r="B1725" s="1297"/>
      <c r="C1725" s="1297"/>
      <c r="D1725" s="1297"/>
      <c r="E1725" s="1297" t="s">
        <v>907</v>
      </c>
      <c r="G1725" s="1399">
        <v>1945875.75</v>
      </c>
      <c r="J1725" s="1399">
        <v>1945875.75</v>
      </c>
    </row>
    <row r="1726" spans="2:14">
      <c r="B1726" s="1297"/>
      <c r="C1726" s="1297"/>
      <c r="D1726" s="1297"/>
      <c r="E1726" s="1297" t="s">
        <v>908</v>
      </c>
      <c r="G1726" s="1399">
        <v>21452.19</v>
      </c>
      <c r="J1726" s="1399">
        <v>21452.19</v>
      </c>
    </row>
    <row r="1727" spans="2:14">
      <c r="B1727" s="1297"/>
      <c r="C1727" s="1297"/>
      <c r="D1727" s="1297"/>
      <c r="E1727" s="1297" t="s">
        <v>1035</v>
      </c>
      <c r="H1727" s="1399">
        <v>234095.84</v>
      </c>
      <c r="J1727" s="1399">
        <v>234095.84</v>
      </c>
    </row>
    <row r="1728" spans="2:14">
      <c r="B1728" s="1297"/>
      <c r="C1728" s="1297"/>
      <c r="D1728" s="1297"/>
      <c r="E1728" s="1297" t="s">
        <v>1038</v>
      </c>
      <c r="H1728" s="1399">
        <v>15064</v>
      </c>
      <c r="J1728" s="1399">
        <v>15064</v>
      </c>
    </row>
    <row r="1729" spans="5:10" s="1297" customFormat="1">
      <c r="E1729" s="1297" t="s">
        <v>1039</v>
      </c>
      <c r="F1729" s="1399"/>
      <c r="G1729" s="1399"/>
      <c r="H1729" s="1399">
        <v>8312.15</v>
      </c>
      <c r="I1729" s="1399"/>
      <c r="J1729" s="1399">
        <v>8312.15</v>
      </c>
    </row>
    <row r="1730" spans="5:10" s="1297" customFormat="1">
      <c r="E1730" s="1297" t="s">
        <v>1040</v>
      </c>
      <c r="F1730" s="1399"/>
      <c r="G1730" s="1399"/>
      <c r="H1730" s="1399">
        <v>228540.33</v>
      </c>
      <c r="I1730" s="1399"/>
      <c r="J1730" s="1399">
        <v>228540.33</v>
      </c>
    </row>
    <row r="1731" spans="5:10" s="1297" customFormat="1">
      <c r="E1731" s="1297" t="s">
        <v>1041</v>
      </c>
      <c r="F1731" s="1399"/>
      <c r="G1731" s="1399"/>
      <c r="H1731" s="1399">
        <v>31130.53</v>
      </c>
      <c r="I1731" s="1399"/>
      <c r="J1731" s="1399">
        <v>31130.53</v>
      </c>
    </row>
    <row r="1732" spans="5:10" s="1297" customFormat="1">
      <c r="E1732" s="1297" t="s">
        <v>1042</v>
      </c>
      <c r="F1732" s="1399"/>
      <c r="G1732" s="1399"/>
      <c r="H1732" s="1399">
        <v>67736.83</v>
      </c>
      <c r="I1732" s="1399"/>
      <c r="J1732" s="1399">
        <v>67736.83</v>
      </c>
    </row>
    <row r="1733" spans="5:10" s="1297" customFormat="1">
      <c r="E1733" s="1297" t="s">
        <v>1045</v>
      </c>
      <c r="F1733" s="1399"/>
      <c r="G1733" s="1399"/>
      <c r="H1733" s="1399">
        <v>1340661.8599999999</v>
      </c>
      <c r="I1733" s="1399"/>
      <c r="J1733" s="1399">
        <v>1340661.8599999999</v>
      </c>
    </row>
    <row r="1734" spans="5:10" s="1297" customFormat="1">
      <c r="E1734" s="1297" t="s">
        <v>1046</v>
      </c>
      <c r="F1734" s="1399"/>
      <c r="G1734" s="1399"/>
      <c r="H1734" s="1399"/>
      <c r="I1734" s="1399">
        <v>16155369</v>
      </c>
      <c r="J1734" s="1399">
        <v>16155369</v>
      </c>
    </row>
    <row r="1735" spans="5:10" s="1297" customFormat="1">
      <c r="E1735" s="1297" t="s">
        <v>1047</v>
      </c>
      <c r="F1735" s="1399"/>
      <c r="G1735" s="1399"/>
      <c r="H1735" s="1399"/>
      <c r="I1735" s="1399">
        <v>671659</v>
      </c>
      <c r="J1735" s="1399">
        <v>671659</v>
      </c>
    </row>
    <row r="1736" spans="5:10" s="1297" customFormat="1">
      <c r="E1736" s="1297" t="s">
        <v>1048</v>
      </c>
      <c r="F1736" s="1399"/>
      <c r="G1736" s="1399"/>
      <c r="H1736" s="1399"/>
      <c r="I1736" s="1399">
        <v>-1613376</v>
      </c>
      <c r="J1736" s="1399">
        <v>-1613376</v>
      </c>
    </row>
    <row r="1737" spans="5:10" s="1297" customFormat="1">
      <c r="E1737" s="1297" t="s">
        <v>932</v>
      </c>
      <c r="F1737" s="1399"/>
      <c r="G1737" s="1399"/>
      <c r="H1737" s="1399"/>
      <c r="I1737" s="1399">
        <v>2106401</v>
      </c>
      <c r="J1737" s="1399">
        <v>2106401</v>
      </c>
    </row>
    <row r="1738" spans="5:10" s="1297" customFormat="1">
      <c r="E1738" s="1297" t="s">
        <v>933</v>
      </c>
      <c r="F1738" s="1399"/>
      <c r="G1738" s="1399"/>
      <c r="H1738" s="1399"/>
      <c r="I1738" s="1399">
        <v>748047</v>
      </c>
      <c r="J1738" s="1399">
        <v>748047</v>
      </c>
    </row>
    <row r="1739" spans="5:10" s="1297" customFormat="1">
      <c r="E1739" s="1297" t="s">
        <v>934</v>
      </c>
      <c r="F1739" s="1399"/>
      <c r="G1739" s="1399"/>
      <c r="H1739" s="1399"/>
      <c r="I1739" s="1399">
        <v>61870</v>
      </c>
      <c r="J1739" s="1399">
        <v>61870</v>
      </c>
    </row>
    <row r="1740" spans="5:10" s="1297" customFormat="1">
      <c r="E1740" s="1297" t="s">
        <v>935</v>
      </c>
      <c r="F1740" s="1399"/>
      <c r="G1740" s="1399"/>
      <c r="H1740" s="1399"/>
      <c r="I1740" s="1399">
        <v>428102.92000000004</v>
      </c>
      <c r="J1740" s="1399">
        <v>428102.92000000004</v>
      </c>
    </row>
    <row r="1741" spans="5:10" s="1297" customFormat="1">
      <c r="E1741" s="1297" t="s">
        <v>936</v>
      </c>
      <c r="F1741" s="1399"/>
      <c r="G1741" s="1399"/>
      <c r="H1741" s="1399"/>
      <c r="I1741" s="1399">
        <v>60225.89</v>
      </c>
      <c r="J1741" s="1399">
        <v>60225.89</v>
      </c>
    </row>
    <row r="1742" spans="5:10" s="1297" customFormat="1">
      <c r="E1742" s="1297" t="s">
        <v>937</v>
      </c>
      <c r="F1742" s="1399"/>
      <c r="G1742" s="1399"/>
      <c r="H1742" s="1399"/>
      <c r="I1742" s="1399">
        <v>17212.23</v>
      </c>
      <c r="J1742" s="1399">
        <v>17212.23</v>
      </c>
    </row>
    <row r="1743" spans="5:10" s="1297" customFormat="1">
      <c r="E1743" s="1297" t="s">
        <v>938</v>
      </c>
      <c r="F1743" s="1399"/>
      <c r="G1743" s="1399"/>
      <c r="H1743" s="1399"/>
      <c r="I1743" s="1399">
        <v>18903</v>
      </c>
      <c r="J1743" s="1399">
        <v>18903</v>
      </c>
    </row>
    <row r="1744" spans="5:10" s="1297" customFormat="1">
      <c r="E1744" s="1297" t="s">
        <v>1131</v>
      </c>
      <c r="F1744" s="1399">
        <v>498579.16</v>
      </c>
      <c r="G1744" s="1399"/>
      <c r="H1744" s="1399"/>
      <c r="I1744" s="1399"/>
      <c r="J1744" s="1399">
        <v>498579.16</v>
      </c>
    </row>
    <row r="1745" spans="2:12">
      <c r="B1745" s="1297"/>
      <c r="C1745" s="1297"/>
      <c r="D1745" s="1297"/>
      <c r="E1745" s="1297" t="s">
        <v>940</v>
      </c>
      <c r="F1745" s="1399">
        <v>1207174.22</v>
      </c>
      <c r="J1745" s="1399">
        <v>1207174.22</v>
      </c>
    </row>
    <row r="1746" spans="2:12">
      <c r="B1746" s="1297"/>
      <c r="C1746" s="1297"/>
      <c r="D1746" s="1297"/>
      <c r="E1746" s="1297" t="s">
        <v>941</v>
      </c>
      <c r="F1746" s="1399">
        <v>393653.2</v>
      </c>
      <c r="J1746" s="1399">
        <v>393653.2</v>
      </c>
    </row>
    <row r="1747" spans="2:12">
      <c r="B1747" s="1297"/>
      <c r="C1747" s="1297"/>
      <c r="D1747" s="1297"/>
      <c r="E1747" s="1297" t="s">
        <v>943</v>
      </c>
      <c r="F1747" s="1399">
        <v>21135.88</v>
      </c>
      <c r="J1747" s="1399">
        <v>21135.88</v>
      </c>
    </row>
    <row r="1748" spans="2:12">
      <c r="B1748" s="1297"/>
      <c r="C1748" s="1297"/>
      <c r="D1748" s="1297"/>
      <c r="E1748" s="1297" t="s">
        <v>944</v>
      </c>
      <c r="F1748" s="1399">
        <v>2733443.59</v>
      </c>
      <c r="J1748" s="1399">
        <v>2733443.59</v>
      </c>
    </row>
    <row r="1749" spans="2:12">
      <c r="B1749" s="1297"/>
      <c r="C1749" s="1297"/>
      <c r="D1749" s="1297"/>
      <c r="E1749" s="1297" t="s">
        <v>945</v>
      </c>
      <c r="F1749" s="1399">
        <v>1485848.25</v>
      </c>
      <c r="J1749" s="1399">
        <v>1485848.25</v>
      </c>
    </row>
    <row r="1750" spans="2:12">
      <c r="B1750" s="1297"/>
      <c r="C1750" s="1297"/>
      <c r="D1750" s="1297"/>
      <c r="E1750" s="1297" t="s">
        <v>946</v>
      </c>
      <c r="F1750" s="1399">
        <v>386485.92</v>
      </c>
      <c r="J1750" s="1399">
        <v>386485.92</v>
      </c>
    </row>
    <row r="1751" spans="2:12">
      <c r="B1751" s="1297"/>
      <c r="C1751" s="1297"/>
      <c r="D1751" s="1297"/>
      <c r="E1751" s="1297" t="s">
        <v>947</v>
      </c>
      <c r="F1751" s="1399">
        <v>107349.41</v>
      </c>
      <c r="J1751" s="1399">
        <v>107349.41</v>
      </c>
    </row>
    <row r="1752" spans="2:12">
      <c r="B1752" s="1297"/>
      <c r="C1752" s="1297"/>
      <c r="D1752" s="1297"/>
      <c r="E1752" s="1297" t="s">
        <v>1115</v>
      </c>
      <c r="F1752" s="1399">
        <v>0</v>
      </c>
      <c r="J1752" s="1399">
        <v>0</v>
      </c>
    </row>
    <row r="1753" spans="2:12">
      <c r="B1753" s="1297"/>
      <c r="C1753" s="1297"/>
      <c r="D1753" s="1297"/>
      <c r="E1753" s="1404" t="s">
        <v>948</v>
      </c>
      <c r="F1753" s="1405"/>
      <c r="G1753" s="1405"/>
      <c r="H1753" s="1405">
        <v>2134103.84</v>
      </c>
      <c r="I1753" s="1405"/>
      <c r="J1753" s="1405">
        <v>2134103.84</v>
      </c>
    </row>
    <row r="1754" spans="2:12">
      <c r="B1754" s="1297"/>
      <c r="C1754" s="1297"/>
      <c r="D1754" s="1297"/>
      <c r="E1754" s="1297" t="s">
        <v>956</v>
      </c>
      <c r="H1754" s="1399">
        <v>6185</v>
      </c>
      <c r="J1754" s="1399">
        <v>6185</v>
      </c>
    </row>
    <row r="1755" spans="2:12">
      <c r="B1755" s="1297"/>
      <c r="C1755" s="1297"/>
      <c r="D1755" s="1400" t="s">
        <v>1109</v>
      </c>
      <c r="E1755" s="1400"/>
      <c r="F1755" s="1401">
        <f>SUM(F1723:F1754)</f>
        <v>6833669.6299999999</v>
      </c>
      <c r="G1755" s="1401">
        <f>SUM(G1723:G1754)</f>
        <v>6430121.8400000008</v>
      </c>
      <c r="H1755" s="1401">
        <f>SUM(H1723:H1754)-H1753</f>
        <v>1931726.54</v>
      </c>
      <c r="I1755" s="1401">
        <f>SUM(I1723:I1754)</f>
        <v>18654414.040000003</v>
      </c>
      <c r="J1755" s="1401">
        <f>SUM(J1723:J1754)</f>
        <v>35984035.890000001</v>
      </c>
      <c r="K1755" s="1401">
        <f>SUM(F1755:I1755)</f>
        <v>33849932.050000004</v>
      </c>
      <c r="L1755" s="1408">
        <f>K1755/C1723</f>
        <v>10651.331670862179</v>
      </c>
    </row>
    <row r="1756" spans="2:12">
      <c r="B1756" s="1297" t="s">
        <v>1110</v>
      </c>
      <c r="C1756" s="1297">
        <v>1331</v>
      </c>
      <c r="D1756" s="1297" t="s">
        <v>1111</v>
      </c>
      <c r="E1756" s="1297" t="s">
        <v>906</v>
      </c>
      <c r="G1756" s="1399">
        <v>4230476.6900000004</v>
      </c>
      <c r="J1756" s="1399">
        <v>4230476.6900000004</v>
      </c>
    </row>
    <row r="1757" spans="2:12">
      <c r="B1757" s="1297"/>
      <c r="C1757" s="1297"/>
      <c r="D1757" s="1297"/>
      <c r="E1757" s="1297" t="s">
        <v>952</v>
      </c>
      <c r="G1757" s="1399">
        <v>29906.720000000001</v>
      </c>
      <c r="J1757" s="1399">
        <v>29906.720000000001</v>
      </c>
    </row>
    <row r="1758" spans="2:12">
      <c r="B1758" s="1297"/>
      <c r="C1758" s="1297"/>
      <c r="D1758" s="1297"/>
      <c r="E1758" s="1297" t="s">
        <v>907</v>
      </c>
      <c r="G1758" s="1399">
        <v>1583064.18</v>
      </c>
      <c r="J1758" s="1399">
        <v>1583064.18</v>
      </c>
    </row>
    <row r="1759" spans="2:12">
      <c r="B1759" s="1297"/>
      <c r="C1759" s="1297"/>
      <c r="D1759" s="1297"/>
      <c r="E1759" s="1297" t="s">
        <v>908</v>
      </c>
      <c r="G1759" s="1399">
        <v>22843.89</v>
      </c>
      <c r="J1759" s="1399">
        <v>22843.89</v>
      </c>
    </row>
    <row r="1760" spans="2:12">
      <c r="B1760" s="1297"/>
      <c r="C1760" s="1297"/>
      <c r="D1760" s="1297"/>
      <c r="E1760" s="1297" t="s">
        <v>1035</v>
      </c>
      <c r="H1760" s="1399">
        <v>289761.01</v>
      </c>
      <c r="J1760" s="1399">
        <v>289761.01</v>
      </c>
    </row>
    <row r="1761" spans="5:10" s="1297" customFormat="1">
      <c r="E1761" s="1297" t="s">
        <v>1039</v>
      </c>
      <c r="F1761" s="1399"/>
      <c r="G1761" s="1399"/>
      <c r="H1761" s="1399">
        <v>18676.829999999998</v>
      </c>
      <c r="I1761" s="1399"/>
      <c r="J1761" s="1399">
        <v>18676.829999999998</v>
      </c>
    </row>
    <row r="1762" spans="5:10" s="1297" customFormat="1">
      <c r="E1762" s="1297" t="s">
        <v>1041</v>
      </c>
      <c r="F1762" s="1399"/>
      <c r="G1762" s="1399"/>
      <c r="H1762" s="1399">
        <v>3058.21</v>
      </c>
      <c r="I1762" s="1399"/>
      <c r="J1762" s="1399">
        <v>3058.21</v>
      </c>
    </row>
    <row r="1763" spans="5:10" s="1297" customFormat="1">
      <c r="E1763" s="1297" t="s">
        <v>1042</v>
      </c>
      <c r="F1763" s="1399"/>
      <c r="G1763" s="1399"/>
      <c r="H1763" s="1399">
        <v>19619.21</v>
      </c>
      <c r="I1763" s="1399"/>
      <c r="J1763" s="1399">
        <v>19619.21</v>
      </c>
    </row>
    <row r="1764" spans="5:10" s="1297" customFormat="1">
      <c r="E1764" s="1297" t="s">
        <v>953</v>
      </c>
      <c r="F1764" s="1399"/>
      <c r="G1764" s="1399"/>
      <c r="H1764" s="1399">
        <v>2867.99</v>
      </c>
      <c r="I1764" s="1399"/>
      <c r="J1764" s="1399">
        <v>2867.99</v>
      </c>
    </row>
    <row r="1765" spans="5:10" s="1297" customFormat="1">
      <c r="E1765" s="1297" t="s">
        <v>986</v>
      </c>
      <c r="F1765" s="1399"/>
      <c r="G1765" s="1399"/>
      <c r="H1765" s="1399">
        <v>19570</v>
      </c>
      <c r="I1765" s="1399"/>
      <c r="J1765" s="1399">
        <v>19570</v>
      </c>
    </row>
    <row r="1766" spans="5:10" s="1297" customFormat="1">
      <c r="E1766" s="1297" t="s">
        <v>1045</v>
      </c>
      <c r="F1766" s="1399"/>
      <c r="G1766" s="1399"/>
      <c r="H1766" s="1399">
        <v>56030.42</v>
      </c>
      <c r="I1766" s="1399"/>
      <c r="J1766" s="1399">
        <v>56030.42</v>
      </c>
    </row>
    <row r="1767" spans="5:10" s="1297" customFormat="1">
      <c r="E1767" s="1297" t="s">
        <v>1046</v>
      </c>
      <c r="F1767" s="1399"/>
      <c r="G1767" s="1399"/>
      <c r="H1767" s="1399"/>
      <c r="I1767" s="1399">
        <v>7080828</v>
      </c>
      <c r="J1767" s="1399">
        <v>7080828</v>
      </c>
    </row>
    <row r="1768" spans="5:10" s="1297" customFormat="1">
      <c r="E1768" s="1297" t="s">
        <v>1047</v>
      </c>
      <c r="F1768" s="1399"/>
      <c r="G1768" s="1399"/>
      <c r="H1768" s="1399"/>
      <c r="I1768" s="1399">
        <v>364884</v>
      </c>
      <c r="J1768" s="1399">
        <v>364884</v>
      </c>
    </row>
    <row r="1769" spans="5:10" s="1297" customFormat="1">
      <c r="E1769" s="1297" t="s">
        <v>1048</v>
      </c>
      <c r="F1769" s="1399"/>
      <c r="G1769" s="1399"/>
      <c r="H1769" s="1399"/>
      <c r="I1769" s="1399">
        <v>-1292918</v>
      </c>
      <c r="J1769" s="1399">
        <v>-1292918</v>
      </c>
    </row>
    <row r="1770" spans="5:10" s="1297" customFormat="1">
      <c r="E1770" s="1297" t="s">
        <v>932</v>
      </c>
      <c r="F1770" s="1399"/>
      <c r="G1770" s="1399"/>
      <c r="H1770" s="1399"/>
      <c r="I1770" s="1399">
        <v>168536</v>
      </c>
      <c r="J1770" s="1399">
        <v>168536</v>
      </c>
    </row>
    <row r="1771" spans="5:10" s="1297" customFormat="1">
      <c r="E1771" s="1404" t="s">
        <v>955</v>
      </c>
      <c r="F1771" s="1405"/>
      <c r="G1771" s="1405"/>
      <c r="H1771" s="1405"/>
      <c r="I1771" s="1405">
        <v>511333.71</v>
      </c>
      <c r="J1771" s="1405">
        <v>511333.71</v>
      </c>
    </row>
    <row r="1772" spans="5:10" s="1297" customFormat="1">
      <c r="E1772" s="1297" t="s">
        <v>934</v>
      </c>
      <c r="F1772" s="1399"/>
      <c r="G1772" s="1399"/>
      <c r="H1772" s="1399"/>
      <c r="I1772" s="1399">
        <v>27452</v>
      </c>
      <c r="J1772" s="1399">
        <v>27452</v>
      </c>
    </row>
    <row r="1773" spans="5:10" s="1297" customFormat="1">
      <c r="E1773" s="1297" t="s">
        <v>935</v>
      </c>
      <c r="F1773" s="1399"/>
      <c r="G1773" s="1399"/>
      <c r="H1773" s="1399"/>
      <c r="I1773" s="1399">
        <v>243722.04</v>
      </c>
      <c r="J1773" s="1399">
        <v>243722.04</v>
      </c>
    </row>
    <row r="1774" spans="5:10" s="1297" customFormat="1">
      <c r="E1774" s="1297" t="s">
        <v>936</v>
      </c>
      <c r="F1774" s="1399"/>
      <c r="G1774" s="1399"/>
      <c r="H1774" s="1399"/>
      <c r="I1774" s="1399">
        <v>31513.55</v>
      </c>
      <c r="J1774" s="1399">
        <v>31513.55</v>
      </c>
    </row>
    <row r="1775" spans="5:10" s="1297" customFormat="1">
      <c r="E1775" s="1297" t="s">
        <v>937</v>
      </c>
      <c r="F1775" s="1399"/>
      <c r="G1775" s="1399"/>
      <c r="H1775" s="1399"/>
      <c r="I1775" s="1399">
        <v>5795.51</v>
      </c>
      <c r="J1775" s="1399">
        <v>5795.51</v>
      </c>
    </row>
    <row r="1776" spans="5:10" s="1297" customFormat="1">
      <c r="E1776" s="1297" t="s">
        <v>938</v>
      </c>
      <c r="F1776" s="1399"/>
      <c r="G1776" s="1399"/>
      <c r="H1776" s="1399"/>
      <c r="I1776" s="1399">
        <v>11604</v>
      </c>
      <c r="J1776" s="1399">
        <v>11604</v>
      </c>
    </row>
    <row r="1777" spans="2:12">
      <c r="B1777" s="1297"/>
      <c r="C1777" s="1297"/>
      <c r="D1777" s="1297"/>
      <c r="E1777" s="1297" t="s">
        <v>939</v>
      </c>
      <c r="I1777" s="1399">
        <v>77460.84</v>
      </c>
      <c r="J1777" s="1399">
        <v>77460.84</v>
      </c>
    </row>
    <row r="1778" spans="2:12">
      <c r="B1778" s="1297"/>
      <c r="C1778" s="1297"/>
      <c r="D1778" s="1297"/>
      <c r="E1778" s="1297" t="s">
        <v>1131</v>
      </c>
      <c r="F1778" s="1399">
        <v>140595.85999999999</v>
      </c>
      <c r="J1778" s="1399">
        <v>140595.85999999999</v>
      </c>
    </row>
    <row r="1779" spans="2:12">
      <c r="B1779" s="1297"/>
      <c r="C1779" s="1297"/>
      <c r="D1779" s="1297"/>
      <c r="E1779" s="1297" t="s">
        <v>940</v>
      </c>
      <c r="F1779" s="1399">
        <v>553221.81999999995</v>
      </c>
      <c r="J1779" s="1399">
        <v>553221.81999999995</v>
      </c>
    </row>
    <row r="1780" spans="2:12">
      <c r="B1780" s="1297"/>
      <c r="C1780" s="1297"/>
      <c r="D1780" s="1297"/>
      <c r="E1780" s="1297" t="s">
        <v>941</v>
      </c>
      <c r="F1780" s="1399">
        <v>258789.16</v>
      </c>
      <c r="J1780" s="1399">
        <v>258789.16</v>
      </c>
    </row>
    <row r="1781" spans="2:12">
      <c r="B1781" s="1297"/>
      <c r="C1781" s="1297"/>
      <c r="D1781" s="1297"/>
      <c r="E1781" s="1297" t="s">
        <v>943</v>
      </c>
      <c r="F1781" s="1399">
        <v>2456.06</v>
      </c>
      <c r="J1781" s="1399">
        <v>2456.06</v>
      </c>
    </row>
    <row r="1782" spans="2:12">
      <c r="B1782" s="1297"/>
      <c r="C1782" s="1297"/>
      <c r="D1782" s="1297"/>
      <c r="E1782" s="1297" t="s">
        <v>944</v>
      </c>
      <c r="F1782" s="1399">
        <v>1645859.5499999998</v>
      </c>
      <c r="J1782" s="1399">
        <v>1645859.5499999998</v>
      </c>
    </row>
    <row r="1783" spans="2:12">
      <c r="B1783" s="1297"/>
      <c r="C1783" s="1297"/>
      <c r="D1783" s="1297"/>
      <c r="E1783" s="1297" t="s">
        <v>945</v>
      </c>
      <c r="F1783" s="1399">
        <v>2032851.32</v>
      </c>
      <c r="J1783" s="1399">
        <v>2032851.32</v>
      </c>
    </row>
    <row r="1784" spans="2:12">
      <c r="B1784" s="1297"/>
      <c r="C1784" s="1297"/>
      <c r="D1784" s="1297"/>
      <c r="E1784" s="1297" t="s">
        <v>946</v>
      </c>
      <c r="F1784" s="1399">
        <v>35526.61</v>
      </c>
      <c r="J1784" s="1399">
        <v>35526.61</v>
      </c>
    </row>
    <row r="1785" spans="2:12">
      <c r="B1785" s="1297"/>
      <c r="C1785" s="1297"/>
      <c r="D1785" s="1297"/>
      <c r="E1785" s="1297" t="s">
        <v>978</v>
      </c>
      <c r="F1785" s="1399">
        <v>18285.599999999999</v>
      </c>
      <c r="J1785" s="1399">
        <v>18285.599999999999</v>
      </c>
    </row>
    <row r="1786" spans="2:12">
      <c r="B1786" s="1297"/>
      <c r="C1786" s="1297"/>
      <c r="D1786" s="1297"/>
      <c r="E1786" s="1297" t="s">
        <v>1006</v>
      </c>
      <c r="F1786" s="1399">
        <v>7487.01</v>
      </c>
      <c r="J1786" s="1399">
        <v>7487.01</v>
      </c>
    </row>
    <row r="1787" spans="2:12">
      <c r="B1787" s="1297"/>
      <c r="C1787" s="1297"/>
      <c r="D1787" s="1297"/>
      <c r="E1787" s="1297" t="s">
        <v>947</v>
      </c>
      <c r="F1787" s="1399">
        <v>52396.08</v>
      </c>
      <c r="J1787" s="1399">
        <v>52396.08</v>
      </c>
    </row>
    <row r="1788" spans="2:12">
      <c r="B1788" s="1297"/>
      <c r="C1788" s="1297"/>
      <c r="D1788" s="1297"/>
      <c r="E1788" s="1297" t="s">
        <v>1115</v>
      </c>
      <c r="F1788" s="1399">
        <v>348.87</v>
      </c>
      <c r="J1788" s="1399">
        <v>348.87</v>
      </c>
    </row>
    <row r="1789" spans="2:12">
      <c r="B1789" s="1297"/>
      <c r="C1789" s="1297"/>
      <c r="D1789" s="1297"/>
      <c r="E1789" s="1404" t="s">
        <v>948</v>
      </c>
      <c r="F1789" s="1405"/>
      <c r="G1789" s="1405"/>
      <c r="H1789" s="1405">
        <v>1229977.7100000002</v>
      </c>
      <c r="I1789" s="1405"/>
      <c r="J1789" s="1405">
        <v>1229977.7100000002</v>
      </c>
    </row>
    <row r="1790" spans="2:12">
      <c r="B1790" s="1297"/>
      <c r="C1790" s="1297"/>
      <c r="D1790" s="1297"/>
      <c r="E1790" s="1297" t="s">
        <v>1118</v>
      </c>
      <c r="H1790" s="1399">
        <v>71.69</v>
      </c>
      <c r="J1790" s="1399">
        <v>71.69</v>
      </c>
    </row>
    <row r="1791" spans="2:12">
      <c r="B1791" s="1297"/>
      <c r="C1791" s="1297"/>
      <c r="D1791" s="1400" t="s">
        <v>1112</v>
      </c>
      <c r="E1791" s="1400"/>
      <c r="F1791" s="1401">
        <f>SUM(F1756:F1790)</f>
        <v>4747817.9399999995</v>
      </c>
      <c r="G1791" s="1401">
        <f>SUM(G1756:G1790)</f>
        <v>5866291.4799999995</v>
      </c>
      <c r="H1791" s="1401">
        <f>SUM(H1756:H1790)</f>
        <v>1639633.0700000003</v>
      </c>
      <c r="I1791" s="1401">
        <f>SUM(I1756:I1790)</f>
        <v>7230211.6499999994</v>
      </c>
      <c r="J1791" s="1401">
        <f>SUM(J1756:J1790)</f>
        <v>19483954.140000004</v>
      </c>
      <c r="K1791" s="1401">
        <f>SUM(F1791:I1791)</f>
        <v>19483954.139999997</v>
      </c>
      <c r="L1791" s="1408">
        <f>K1791/C1756</f>
        <v>14638.583125469569</v>
      </c>
    </row>
    <row r="1792" spans="2:12">
      <c r="B1792" s="1297" t="s">
        <v>1113</v>
      </c>
      <c r="C1792" s="1297">
        <v>15474</v>
      </c>
      <c r="D1792" s="1297" t="s">
        <v>1114</v>
      </c>
      <c r="E1792" s="1297" t="s">
        <v>906</v>
      </c>
      <c r="G1792" s="1399">
        <v>39170979.039999999</v>
      </c>
      <c r="J1792" s="1399">
        <v>39170979.039999999</v>
      </c>
    </row>
    <row r="1793" spans="5:10" s="1297" customFormat="1">
      <c r="E1793" s="1297" t="s">
        <v>952</v>
      </c>
      <c r="F1793" s="1399"/>
      <c r="G1793" s="1399">
        <v>221370.14</v>
      </c>
      <c r="H1793" s="1399"/>
      <c r="I1793" s="1399"/>
      <c r="J1793" s="1399">
        <v>221370.14</v>
      </c>
    </row>
    <row r="1794" spans="5:10" s="1297" customFormat="1">
      <c r="E1794" s="1297" t="s">
        <v>907</v>
      </c>
      <c r="F1794" s="1399"/>
      <c r="G1794" s="1399">
        <v>18160512.710000001</v>
      </c>
      <c r="H1794" s="1399"/>
      <c r="I1794" s="1399"/>
      <c r="J1794" s="1399">
        <v>18160512.710000001</v>
      </c>
    </row>
    <row r="1795" spans="5:10" s="1297" customFormat="1">
      <c r="E1795" s="1297" t="s">
        <v>908</v>
      </c>
      <c r="F1795" s="1399"/>
      <c r="G1795" s="1399">
        <v>45379.73</v>
      </c>
      <c r="H1795" s="1399"/>
      <c r="I1795" s="1399"/>
      <c r="J1795" s="1399">
        <v>45379.73</v>
      </c>
    </row>
    <row r="1796" spans="5:10" s="1297" customFormat="1">
      <c r="E1796" s="1297" t="s">
        <v>909</v>
      </c>
      <c r="F1796" s="1399"/>
      <c r="G1796" s="1399"/>
      <c r="H1796" s="1399">
        <v>85406.63</v>
      </c>
      <c r="I1796" s="1399"/>
      <c r="J1796" s="1399">
        <v>85406.63</v>
      </c>
    </row>
    <row r="1797" spans="5:10" s="1297" customFormat="1">
      <c r="E1797" s="1297" t="s">
        <v>1034</v>
      </c>
      <c r="F1797" s="1399"/>
      <c r="G1797" s="1399"/>
      <c r="H1797" s="1399">
        <v>91302.77</v>
      </c>
      <c r="I1797" s="1399"/>
      <c r="J1797" s="1399">
        <v>91302.77</v>
      </c>
    </row>
    <row r="1798" spans="5:10" s="1297" customFormat="1">
      <c r="E1798" s="1297" t="s">
        <v>1035</v>
      </c>
      <c r="F1798" s="1399"/>
      <c r="G1798" s="1399"/>
      <c r="H1798" s="1399">
        <v>376846.62000000011</v>
      </c>
      <c r="I1798" s="1399"/>
      <c r="J1798" s="1399">
        <v>376846.62000000011</v>
      </c>
    </row>
    <row r="1799" spans="5:10" s="1297" customFormat="1">
      <c r="E1799" s="1297" t="s">
        <v>1036</v>
      </c>
      <c r="F1799" s="1399"/>
      <c r="G1799" s="1399"/>
      <c r="H1799" s="1399">
        <v>698</v>
      </c>
      <c r="I1799" s="1399"/>
      <c r="J1799" s="1399">
        <v>698</v>
      </c>
    </row>
    <row r="1800" spans="5:10" s="1297" customFormat="1">
      <c r="E1800" s="1297" t="s">
        <v>1037</v>
      </c>
      <c r="F1800" s="1399"/>
      <c r="G1800" s="1399"/>
      <c r="H1800" s="1399">
        <v>475435.45</v>
      </c>
      <c r="I1800" s="1399"/>
      <c r="J1800" s="1399">
        <v>475435.45</v>
      </c>
    </row>
    <row r="1801" spans="5:10" s="1297" customFormat="1">
      <c r="E1801" s="1297" t="s">
        <v>1105</v>
      </c>
      <c r="F1801" s="1399"/>
      <c r="G1801" s="1399"/>
      <c r="H1801" s="1399">
        <v>46210</v>
      </c>
      <c r="I1801" s="1399"/>
      <c r="J1801" s="1399">
        <v>46210</v>
      </c>
    </row>
    <row r="1802" spans="5:10" s="1297" customFormat="1">
      <c r="E1802" s="1297" t="s">
        <v>1003</v>
      </c>
      <c r="F1802" s="1399"/>
      <c r="G1802" s="1399"/>
      <c r="H1802" s="1399">
        <v>175269.7</v>
      </c>
      <c r="I1802" s="1399"/>
      <c r="J1802" s="1399">
        <v>175269.7</v>
      </c>
    </row>
    <row r="1803" spans="5:10" s="1297" customFormat="1">
      <c r="E1803" s="1297" t="s">
        <v>1039</v>
      </c>
      <c r="F1803" s="1399"/>
      <c r="G1803" s="1399"/>
      <c r="H1803" s="1399">
        <v>61299.28</v>
      </c>
      <c r="I1803" s="1399"/>
      <c r="J1803" s="1399">
        <v>61299.28</v>
      </c>
    </row>
    <row r="1804" spans="5:10" s="1297" customFormat="1">
      <c r="E1804" s="1297" t="s">
        <v>1040</v>
      </c>
      <c r="F1804" s="1399"/>
      <c r="G1804" s="1399"/>
      <c r="H1804" s="1399">
        <v>481721.81000000006</v>
      </c>
      <c r="I1804" s="1399"/>
      <c r="J1804" s="1399">
        <v>481721.81000000006</v>
      </c>
    </row>
    <row r="1805" spans="5:10" s="1297" customFormat="1">
      <c r="E1805" s="1297" t="s">
        <v>1041</v>
      </c>
      <c r="F1805" s="1399"/>
      <c r="G1805" s="1399"/>
      <c r="H1805" s="1399">
        <v>63338.36</v>
      </c>
      <c r="I1805" s="1399"/>
      <c r="J1805" s="1399">
        <v>63338.36</v>
      </c>
    </row>
    <row r="1806" spans="5:10" s="1297" customFormat="1">
      <c r="E1806" s="1297" t="s">
        <v>1042</v>
      </c>
      <c r="F1806" s="1399"/>
      <c r="G1806" s="1399"/>
      <c r="H1806" s="1399">
        <v>98988.71</v>
      </c>
      <c r="I1806" s="1399"/>
      <c r="J1806" s="1399">
        <v>98988.71</v>
      </c>
    </row>
    <row r="1807" spans="5:10" s="1297" customFormat="1">
      <c r="E1807" s="1297" t="s">
        <v>953</v>
      </c>
      <c r="F1807" s="1399"/>
      <c r="G1807" s="1399"/>
      <c r="H1807" s="1399">
        <v>50696.25</v>
      </c>
      <c r="I1807" s="1399"/>
      <c r="J1807" s="1399">
        <v>50696.25</v>
      </c>
    </row>
    <row r="1808" spans="5:10" s="1297" customFormat="1">
      <c r="E1808" s="1297" t="s">
        <v>954</v>
      </c>
      <c r="F1808" s="1399"/>
      <c r="G1808" s="1399"/>
      <c r="H1808" s="1399">
        <v>577867.44999999995</v>
      </c>
      <c r="I1808" s="1399"/>
      <c r="J1808" s="1399">
        <v>577867.44999999995</v>
      </c>
    </row>
    <row r="1809" spans="5:10" s="1297" customFormat="1">
      <c r="E1809" s="1297" t="s">
        <v>1043</v>
      </c>
      <c r="F1809" s="1399"/>
      <c r="G1809" s="1399"/>
      <c r="H1809" s="1399">
        <v>65299.089999999989</v>
      </c>
      <c r="I1809" s="1399"/>
      <c r="J1809" s="1399">
        <v>65299.089999999989</v>
      </c>
    </row>
    <row r="1810" spans="5:10" s="1297" customFormat="1">
      <c r="E1810" s="1297" t="s">
        <v>986</v>
      </c>
      <c r="F1810" s="1399"/>
      <c r="G1810" s="1399"/>
      <c r="H1810" s="1399">
        <v>179674.63</v>
      </c>
      <c r="I1810" s="1399"/>
      <c r="J1810" s="1399">
        <v>179674.63</v>
      </c>
    </row>
    <row r="1811" spans="5:10" s="1297" customFormat="1">
      <c r="E1811" s="1297" t="s">
        <v>996</v>
      </c>
      <c r="F1811" s="1399"/>
      <c r="G1811" s="1399"/>
      <c r="H1811" s="1399">
        <v>191413.51</v>
      </c>
      <c r="I1811" s="1399"/>
      <c r="J1811" s="1399">
        <v>191413.51</v>
      </c>
    </row>
    <row r="1812" spans="5:10" s="1297" customFormat="1">
      <c r="E1812" s="1297" t="s">
        <v>1044</v>
      </c>
      <c r="F1812" s="1399">
        <v>655092.65</v>
      </c>
      <c r="G1812" s="1399"/>
      <c r="H1812" s="1399"/>
      <c r="I1812" s="1399"/>
      <c r="J1812" s="1399">
        <v>655092.65</v>
      </c>
    </row>
    <row r="1813" spans="5:10" s="1297" customFormat="1">
      <c r="E1813" s="1297" t="s">
        <v>1045</v>
      </c>
      <c r="F1813" s="1399"/>
      <c r="G1813" s="1399"/>
      <c r="H1813" s="1399">
        <v>1689331.3699999996</v>
      </c>
      <c r="I1813" s="1399"/>
      <c r="J1813" s="1399">
        <v>1689331.3699999996</v>
      </c>
    </row>
    <row r="1814" spans="5:10" s="1297" customFormat="1">
      <c r="E1814" s="1297" t="s">
        <v>1046</v>
      </c>
      <c r="F1814" s="1399"/>
      <c r="G1814" s="1399"/>
      <c r="H1814" s="1399"/>
      <c r="I1814" s="1399">
        <v>77529421</v>
      </c>
      <c r="J1814" s="1399">
        <v>77529421</v>
      </c>
    </row>
    <row r="1815" spans="5:10" s="1297" customFormat="1">
      <c r="E1815" s="1297" t="s">
        <v>1128</v>
      </c>
      <c r="F1815" s="1399"/>
      <c r="G1815" s="1399"/>
      <c r="H1815" s="1399"/>
      <c r="I1815" s="1399">
        <v>6585115</v>
      </c>
      <c r="J1815" s="1399">
        <v>6585115</v>
      </c>
    </row>
    <row r="1816" spans="5:10" s="1297" customFormat="1">
      <c r="E1816" s="1297" t="s">
        <v>1129</v>
      </c>
      <c r="F1816" s="1399"/>
      <c r="G1816" s="1399"/>
      <c r="H1816" s="1399"/>
      <c r="I1816" s="1399">
        <v>-11051841</v>
      </c>
      <c r="J1816" s="1399">
        <v>-11051841</v>
      </c>
    </row>
    <row r="1817" spans="5:10" s="1297" customFormat="1">
      <c r="E1817" s="1297" t="s">
        <v>1047</v>
      </c>
      <c r="F1817" s="1399"/>
      <c r="G1817" s="1399"/>
      <c r="H1817" s="1399"/>
      <c r="I1817" s="1399">
        <v>1910014</v>
      </c>
      <c r="J1817" s="1399">
        <v>1910014</v>
      </c>
    </row>
    <row r="1818" spans="5:10" s="1297" customFormat="1">
      <c r="E1818" s="1297" t="s">
        <v>1048</v>
      </c>
      <c r="F1818" s="1399"/>
      <c r="G1818" s="1399"/>
      <c r="H1818" s="1399"/>
      <c r="I1818" s="1399">
        <v>-10524484</v>
      </c>
      <c r="J1818" s="1399">
        <v>-10524484</v>
      </c>
    </row>
    <row r="1819" spans="5:10" s="1297" customFormat="1">
      <c r="E1819" s="1297" t="s">
        <v>932</v>
      </c>
      <c r="F1819" s="1399"/>
      <c r="G1819" s="1399"/>
      <c r="H1819" s="1399"/>
      <c r="I1819" s="1399">
        <v>9558626</v>
      </c>
      <c r="J1819" s="1399">
        <v>9558626</v>
      </c>
    </row>
    <row r="1820" spans="5:10" s="1297" customFormat="1">
      <c r="E1820" s="1404" t="s">
        <v>955</v>
      </c>
      <c r="F1820" s="1405"/>
      <c r="G1820" s="1405"/>
      <c r="H1820" s="1405"/>
      <c r="I1820" s="1405">
        <v>1113568.6000000001</v>
      </c>
      <c r="J1820" s="1405">
        <v>1113568.6000000001</v>
      </c>
    </row>
    <row r="1821" spans="5:10" s="1297" customFormat="1">
      <c r="E1821" s="1297" t="s">
        <v>934</v>
      </c>
      <c r="F1821" s="1399"/>
      <c r="G1821" s="1399"/>
      <c r="H1821" s="1399"/>
      <c r="I1821" s="1399">
        <v>266983.64</v>
      </c>
      <c r="J1821" s="1399">
        <v>266983.64</v>
      </c>
    </row>
    <row r="1822" spans="5:10" s="1297" customFormat="1">
      <c r="E1822" s="1297" t="s">
        <v>935</v>
      </c>
      <c r="F1822" s="1399"/>
      <c r="G1822" s="1399"/>
      <c r="H1822" s="1399"/>
      <c r="I1822" s="1399">
        <v>3066730.74</v>
      </c>
      <c r="J1822" s="1399">
        <v>3066730.74</v>
      </c>
    </row>
    <row r="1823" spans="5:10" s="1297" customFormat="1">
      <c r="E1823" s="1297" t="s">
        <v>936</v>
      </c>
      <c r="F1823" s="1399"/>
      <c r="G1823" s="1399"/>
      <c r="H1823" s="1399"/>
      <c r="I1823" s="1399">
        <v>283972.08</v>
      </c>
      <c r="J1823" s="1399">
        <v>283972.08</v>
      </c>
    </row>
    <row r="1824" spans="5:10" s="1297" customFormat="1">
      <c r="E1824" s="1297" t="s">
        <v>937</v>
      </c>
      <c r="F1824" s="1399"/>
      <c r="G1824" s="1399"/>
      <c r="H1824" s="1399"/>
      <c r="I1824" s="1399">
        <v>51483.82</v>
      </c>
      <c r="J1824" s="1399">
        <v>51483.82</v>
      </c>
    </row>
    <row r="1825" spans="2:12">
      <c r="B1825" s="1297"/>
      <c r="C1825" s="1297"/>
      <c r="D1825" s="1297"/>
      <c r="E1825" s="1297" t="s">
        <v>938</v>
      </c>
      <c r="I1825" s="1399">
        <v>94702</v>
      </c>
      <c r="J1825" s="1399">
        <v>94702</v>
      </c>
    </row>
    <row r="1826" spans="2:12">
      <c r="B1826" s="1297"/>
      <c r="C1826" s="1297"/>
      <c r="D1826" s="1297"/>
      <c r="E1826" s="1297" t="s">
        <v>1131</v>
      </c>
      <c r="F1826" s="1399">
        <v>248892.93</v>
      </c>
      <c r="J1826" s="1399">
        <v>248892.93</v>
      </c>
    </row>
    <row r="1827" spans="2:12">
      <c r="B1827" s="1297"/>
      <c r="C1827" s="1297"/>
      <c r="D1827" s="1297"/>
      <c r="E1827" s="1297" t="s">
        <v>940</v>
      </c>
      <c r="F1827" s="1399">
        <v>5569711.3200000003</v>
      </c>
      <c r="J1827" s="1399">
        <v>5569711.3200000003</v>
      </c>
    </row>
    <row r="1828" spans="2:12">
      <c r="B1828" s="1297"/>
      <c r="C1828" s="1297"/>
      <c r="D1828" s="1297"/>
      <c r="E1828" s="1297" t="s">
        <v>941</v>
      </c>
      <c r="F1828" s="1399">
        <v>2507484.48</v>
      </c>
      <c r="J1828" s="1399">
        <v>2507484.48</v>
      </c>
    </row>
    <row r="1829" spans="2:12">
      <c r="B1829" s="1297"/>
      <c r="C1829" s="1297"/>
      <c r="D1829" s="1297"/>
      <c r="E1829" s="1297" t="s">
        <v>943</v>
      </c>
      <c r="F1829" s="1399">
        <v>106166.85999999999</v>
      </c>
      <c r="J1829" s="1399">
        <v>106166.85999999999</v>
      </c>
    </row>
    <row r="1830" spans="2:12">
      <c r="B1830" s="1297"/>
      <c r="C1830" s="1297"/>
      <c r="D1830" s="1297"/>
      <c r="E1830" s="1297" t="s">
        <v>944</v>
      </c>
      <c r="F1830" s="1399">
        <v>14046194.749999996</v>
      </c>
      <c r="J1830" s="1399">
        <v>14046194.749999996</v>
      </c>
    </row>
    <row r="1831" spans="2:12">
      <c r="B1831" s="1297"/>
      <c r="C1831" s="1297"/>
      <c r="D1831" s="1297"/>
      <c r="E1831" s="1297" t="s">
        <v>945</v>
      </c>
      <c r="F1831" s="1399">
        <v>8325692.9399999995</v>
      </c>
      <c r="J1831" s="1399">
        <v>8325692.9399999995</v>
      </c>
    </row>
    <row r="1832" spans="2:12">
      <c r="B1832" s="1297"/>
      <c r="C1832" s="1297"/>
      <c r="D1832" s="1297"/>
      <c r="E1832" s="1297" t="s">
        <v>946</v>
      </c>
      <c r="F1832" s="1399">
        <v>85801.84</v>
      </c>
      <c r="J1832" s="1399">
        <v>85801.84</v>
      </c>
    </row>
    <row r="1833" spans="2:12">
      <c r="B1833" s="1297"/>
      <c r="C1833" s="1297"/>
      <c r="D1833" s="1297"/>
      <c r="E1833" s="1297" t="s">
        <v>1006</v>
      </c>
      <c r="F1833" s="1399">
        <v>59270.78</v>
      </c>
      <c r="J1833" s="1399">
        <v>59270.78</v>
      </c>
    </row>
    <row r="1834" spans="2:12">
      <c r="B1834" s="1297"/>
      <c r="C1834" s="1297"/>
      <c r="D1834" s="1297"/>
      <c r="E1834" s="1297" t="s">
        <v>947</v>
      </c>
      <c r="F1834" s="1399">
        <v>527097.31000000006</v>
      </c>
      <c r="J1834" s="1399">
        <v>527097.31000000006</v>
      </c>
    </row>
    <row r="1835" spans="2:12">
      <c r="B1835" s="1297"/>
      <c r="C1835" s="1297"/>
      <c r="D1835" s="1297"/>
      <c r="E1835" s="1404" t="s">
        <v>948</v>
      </c>
      <c r="F1835" s="1405"/>
      <c r="G1835" s="1405"/>
      <c r="H1835" s="1405">
        <v>20774224.930000003</v>
      </c>
      <c r="I1835" s="1405"/>
      <c r="J1835" s="1405">
        <v>20774224.930000003</v>
      </c>
    </row>
    <row r="1836" spans="2:12">
      <c r="B1836" s="1297"/>
      <c r="C1836" s="1297"/>
      <c r="D1836" s="1297"/>
      <c r="E1836" s="1297" t="s">
        <v>956</v>
      </c>
      <c r="H1836" s="1399">
        <v>18649.96</v>
      </c>
      <c r="J1836" s="1399">
        <v>18649.96</v>
      </c>
    </row>
    <row r="1837" spans="2:12">
      <c r="B1837" s="1297"/>
      <c r="C1837" s="1297"/>
      <c r="D1837" s="1297"/>
      <c r="E1837" s="1297" t="s">
        <v>1118</v>
      </c>
      <c r="H1837" s="1399">
        <v>2485787.83</v>
      </c>
      <c r="J1837" s="1399">
        <v>2485787.83</v>
      </c>
    </row>
    <row r="1838" spans="2:12">
      <c r="B1838" s="1297"/>
      <c r="C1838" s="1297"/>
      <c r="D1838" s="1400" t="s">
        <v>1291</v>
      </c>
      <c r="E1838" s="1400"/>
      <c r="F1838" s="1401">
        <f>SUM(F1792:F1837)</f>
        <v>32131405.859999992</v>
      </c>
      <c r="G1838" s="1401">
        <f>SUM(G1792:G1837)</f>
        <v>57598241.619999997</v>
      </c>
      <c r="H1838" s="1401">
        <f>SUM(H1792:H1837)-H1835</f>
        <v>7215237.4199999981</v>
      </c>
      <c r="I1838" s="1401">
        <f>SUM(I1792:I1837)-I1820</f>
        <v>77770723.279999986</v>
      </c>
      <c r="J1838" s="1401">
        <f>SUM(J1792:J1837)</f>
        <v>196603401.71000004</v>
      </c>
      <c r="K1838" s="1401">
        <f>SUM(F1838:I1838)</f>
        <v>174715608.17999998</v>
      </c>
      <c r="L1838" s="1408">
        <f>K1838/C1792</f>
        <v>11290.914319503681</v>
      </c>
    </row>
    <row r="1839" spans="2:12">
      <c r="B1839" s="1297" t="s">
        <v>1292</v>
      </c>
      <c r="C1839" s="1297">
        <v>24361</v>
      </c>
      <c r="D1839" s="1297" t="s">
        <v>1293</v>
      </c>
      <c r="E1839" s="1297" t="s">
        <v>906</v>
      </c>
      <c r="G1839" s="1399">
        <v>81626660.859999999</v>
      </c>
      <c r="J1839" s="1399">
        <v>81626660.859999999</v>
      </c>
    </row>
    <row r="1840" spans="2:12">
      <c r="B1840" s="1297"/>
      <c r="C1840" s="1297"/>
      <c r="D1840" s="1297"/>
      <c r="E1840" s="1297" t="s">
        <v>952</v>
      </c>
      <c r="G1840" s="1399">
        <v>912209.14999999991</v>
      </c>
      <c r="J1840" s="1399">
        <v>912209.14999999991</v>
      </c>
    </row>
    <row r="1841" spans="5:10" s="1297" customFormat="1">
      <c r="E1841" s="1297" t="s">
        <v>907</v>
      </c>
      <c r="F1841" s="1399"/>
      <c r="G1841" s="1399">
        <v>20567360.07</v>
      </c>
      <c r="H1841" s="1399"/>
      <c r="I1841" s="1399"/>
      <c r="J1841" s="1399">
        <v>20567360.07</v>
      </c>
    </row>
    <row r="1842" spans="5:10" s="1297" customFormat="1">
      <c r="E1842" s="1297" t="s">
        <v>910</v>
      </c>
      <c r="F1842" s="1399"/>
      <c r="G1842" s="1399"/>
      <c r="H1842" s="1399">
        <v>174740.87</v>
      </c>
      <c r="I1842" s="1399"/>
      <c r="J1842" s="1399">
        <v>174740.87</v>
      </c>
    </row>
    <row r="1843" spans="5:10" s="1297" customFormat="1">
      <c r="E1843" s="1297" t="s">
        <v>1034</v>
      </c>
      <c r="F1843" s="1399"/>
      <c r="G1843" s="1399"/>
      <c r="H1843" s="1399">
        <v>326839.15000000002</v>
      </c>
      <c r="I1843" s="1399"/>
      <c r="J1843" s="1399">
        <v>326839.15000000002</v>
      </c>
    </row>
    <row r="1844" spans="5:10" s="1297" customFormat="1">
      <c r="E1844" s="1297" t="s">
        <v>1035</v>
      </c>
      <c r="F1844" s="1399"/>
      <c r="G1844" s="1399"/>
      <c r="H1844" s="1399">
        <v>3552342.0100000002</v>
      </c>
      <c r="I1844" s="1399"/>
      <c r="J1844" s="1399">
        <v>3552342.0100000002</v>
      </c>
    </row>
    <row r="1845" spans="5:10" s="1297" customFormat="1">
      <c r="E1845" s="1297" t="s">
        <v>1036</v>
      </c>
      <c r="F1845" s="1399"/>
      <c r="G1845" s="1399"/>
      <c r="H1845" s="1399">
        <v>877101.11</v>
      </c>
      <c r="I1845" s="1399"/>
      <c r="J1845" s="1399">
        <v>877101.11</v>
      </c>
    </row>
    <row r="1846" spans="5:10" s="1297" customFormat="1">
      <c r="E1846" s="1297" t="s">
        <v>1039</v>
      </c>
      <c r="F1846" s="1399"/>
      <c r="G1846" s="1399"/>
      <c r="H1846" s="1399">
        <v>389392.77</v>
      </c>
      <c r="I1846" s="1399"/>
      <c r="J1846" s="1399">
        <v>389392.77</v>
      </c>
    </row>
    <row r="1847" spans="5:10" s="1297" customFormat="1">
      <c r="E1847" s="1297" t="s">
        <v>1040</v>
      </c>
      <c r="F1847" s="1399"/>
      <c r="G1847" s="1399"/>
      <c r="H1847" s="1399">
        <v>1906214.38</v>
      </c>
      <c r="I1847" s="1399"/>
      <c r="J1847" s="1399">
        <v>1906214.38</v>
      </c>
    </row>
    <row r="1848" spans="5:10" s="1297" customFormat="1">
      <c r="E1848" s="1297" t="s">
        <v>1127</v>
      </c>
      <c r="F1848" s="1399"/>
      <c r="G1848" s="1399"/>
      <c r="H1848" s="1399">
        <v>492428.13</v>
      </c>
      <c r="I1848" s="1399"/>
      <c r="J1848" s="1399">
        <v>492428.13</v>
      </c>
    </row>
    <row r="1849" spans="5:10" s="1297" customFormat="1">
      <c r="E1849" s="1297" t="s">
        <v>1207</v>
      </c>
      <c r="F1849" s="1399"/>
      <c r="G1849" s="1399"/>
      <c r="H1849" s="1399">
        <v>30845.1</v>
      </c>
      <c r="I1849" s="1399"/>
      <c r="J1849" s="1399">
        <v>30845.1</v>
      </c>
    </row>
    <row r="1850" spans="5:10" s="1297" customFormat="1">
      <c r="E1850" s="1297" t="s">
        <v>1041</v>
      </c>
      <c r="F1850" s="1399"/>
      <c r="G1850" s="1399"/>
      <c r="H1850" s="1399">
        <v>333362.36</v>
      </c>
      <c r="I1850" s="1399"/>
      <c r="J1850" s="1399">
        <v>333362.36</v>
      </c>
    </row>
    <row r="1851" spans="5:10" s="1297" customFormat="1">
      <c r="E1851" s="1297" t="s">
        <v>1042</v>
      </c>
      <c r="F1851" s="1399"/>
      <c r="G1851" s="1399"/>
      <c r="H1851" s="1399">
        <v>268036.45</v>
      </c>
      <c r="I1851" s="1399"/>
      <c r="J1851" s="1399">
        <v>268036.45</v>
      </c>
    </row>
    <row r="1852" spans="5:10" s="1297" customFormat="1">
      <c r="E1852" s="1297" t="s">
        <v>1005</v>
      </c>
      <c r="F1852" s="1399"/>
      <c r="G1852" s="1399"/>
      <c r="H1852" s="1399">
        <v>107131.1</v>
      </c>
      <c r="I1852" s="1399"/>
      <c r="J1852" s="1399">
        <v>107131.1</v>
      </c>
    </row>
    <row r="1853" spans="5:10" s="1297" customFormat="1">
      <c r="E1853" s="1297" t="s">
        <v>1044</v>
      </c>
      <c r="F1853" s="1399">
        <v>183354.13</v>
      </c>
      <c r="G1853" s="1399"/>
      <c r="H1853" s="1399"/>
      <c r="I1853" s="1399"/>
      <c r="J1853" s="1399">
        <v>183354.13</v>
      </c>
    </row>
    <row r="1854" spans="5:10" s="1297" customFormat="1">
      <c r="E1854" s="1297" t="s">
        <v>1045</v>
      </c>
      <c r="F1854" s="1399"/>
      <c r="G1854" s="1399"/>
      <c r="H1854" s="1399">
        <v>1730845.37</v>
      </c>
      <c r="I1854" s="1399"/>
      <c r="J1854" s="1399">
        <v>1730845.37</v>
      </c>
    </row>
    <row r="1855" spans="5:10" s="1297" customFormat="1">
      <c r="E1855" s="1297" t="s">
        <v>1046</v>
      </c>
      <c r="F1855" s="1399"/>
      <c r="G1855" s="1399"/>
      <c r="H1855" s="1399"/>
      <c r="I1855" s="1399">
        <v>121270963</v>
      </c>
      <c r="J1855" s="1399">
        <v>121270963</v>
      </c>
    </row>
    <row r="1856" spans="5:10" s="1297" customFormat="1">
      <c r="E1856" s="1297" t="s">
        <v>1128</v>
      </c>
      <c r="F1856" s="1399"/>
      <c r="G1856" s="1399"/>
      <c r="H1856" s="1399"/>
      <c r="I1856" s="1399">
        <v>10553117</v>
      </c>
      <c r="J1856" s="1399">
        <v>10553117</v>
      </c>
    </row>
    <row r="1857" spans="5:10" s="1297" customFormat="1">
      <c r="E1857" s="1297" t="s">
        <v>1129</v>
      </c>
      <c r="F1857" s="1399"/>
      <c r="G1857" s="1399"/>
      <c r="H1857" s="1399"/>
      <c r="I1857" s="1399">
        <v>-16334460</v>
      </c>
      <c r="J1857" s="1399">
        <v>-16334460</v>
      </c>
    </row>
    <row r="1858" spans="5:10" s="1297" customFormat="1">
      <c r="E1858" s="1297" t="s">
        <v>1047</v>
      </c>
      <c r="F1858" s="1399"/>
      <c r="G1858" s="1399"/>
      <c r="H1858" s="1399"/>
      <c r="I1858" s="1399">
        <v>2007078</v>
      </c>
      <c r="J1858" s="1399">
        <v>2007078</v>
      </c>
    </row>
    <row r="1859" spans="5:10" s="1297" customFormat="1">
      <c r="E1859" s="1297" t="s">
        <v>1048</v>
      </c>
      <c r="F1859" s="1399"/>
      <c r="G1859" s="1399"/>
      <c r="H1859" s="1399"/>
      <c r="I1859" s="1399">
        <v>-21106454</v>
      </c>
      <c r="J1859" s="1399">
        <v>-21106454</v>
      </c>
    </row>
    <row r="1860" spans="5:10" s="1297" customFormat="1">
      <c r="E1860" s="1297" t="s">
        <v>932</v>
      </c>
      <c r="F1860" s="1399"/>
      <c r="G1860" s="1399"/>
      <c r="H1860" s="1399"/>
      <c r="I1860" s="1399">
        <v>7500778</v>
      </c>
      <c r="J1860" s="1399">
        <v>7500778</v>
      </c>
    </row>
    <row r="1861" spans="5:10" s="1297" customFormat="1">
      <c r="E1861" s="1297" t="s">
        <v>934</v>
      </c>
      <c r="F1861" s="1399"/>
      <c r="G1861" s="1399"/>
      <c r="H1861" s="1399"/>
      <c r="I1861" s="1399">
        <v>379910</v>
      </c>
      <c r="J1861" s="1399">
        <v>379910</v>
      </c>
    </row>
    <row r="1862" spans="5:10" s="1297" customFormat="1">
      <c r="E1862" s="1297" t="s">
        <v>1130</v>
      </c>
      <c r="F1862" s="1399"/>
      <c r="G1862" s="1399"/>
      <c r="H1862" s="1399"/>
      <c r="I1862" s="1399">
        <v>18963475.859999999</v>
      </c>
      <c r="J1862" s="1399">
        <v>18963475.859999999</v>
      </c>
    </row>
    <row r="1863" spans="5:10" s="1297" customFormat="1">
      <c r="E1863" s="1297" t="s">
        <v>935</v>
      </c>
      <c r="F1863" s="1399"/>
      <c r="G1863" s="1399"/>
      <c r="H1863" s="1399"/>
      <c r="I1863" s="1399">
        <v>2033476.5</v>
      </c>
      <c r="J1863" s="1399">
        <v>2033476.5</v>
      </c>
    </row>
    <row r="1864" spans="5:10" s="1297" customFormat="1">
      <c r="E1864" s="1297" t="s">
        <v>936</v>
      </c>
      <c r="F1864" s="1399"/>
      <c r="G1864" s="1399"/>
      <c r="H1864" s="1399"/>
      <c r="I1864" s="1399">
        <v>336844.82</v>
      </c>
      <c r="J1864" s="1399">
        <v>336844.82</v>
      </c>
    </row>
    <row r="1865" spans="5:10" s="1297" customFormat="1">
      <c r="E1865" s="1297" t="s">
        <v>937</v>
      </c>
      <c r="F1865" s="1399"/>
      <c r="G1865" s="1399"/>
      <c r="H1865" s="1399"/>
      <c r="I1865" s="1399">
        <v>49377</v>
      </c>
      <c r="J1865" s="1399">
        <v>49377</v>
      </c>
    </row>
    <row r="1866" spans="5:10" s="1297" customFormat="1">
      <c r="E1866" s="1297" t="s">
        <v>938</v>
      </c>
      <c r="F1866" s="1399"/>
      <c r="G1866" s="1399"/>
      <c r="H1866" s="1399"/>
      <c r="I1866" s="1399">
        <v>125584</v>
      </c>
      <c r="J1866" s="1399">
        <v>125584</v>
      </c>
    </row>
    <row r="1867" spans="5:10" s="1297" customFormat="1">
      <c r="E1867" s="1297" t="s">
        <v>939</v>
      </c>
      <c r="F1867" s="1399"/>
      <c r="G1867" s="1399"/>
      <c r="H1867" s="1399"/>
      <c r="I1867" s="1399">
        <v>1068382.43</v>
      </c>
      <c r="J1867" s="1399">
        <v>1068382.43</v>
      </c>
    </row>
    <row r="1868" spans="5:10" s="1297" customFormat="1">
      <c r="E1868" s="1297" t="s">
        <v>1131</v>
      </c>
      <c r="F1868" s="1399">
        <v>1186085.05</v>
      </c>
      <c r="G1868" s="1399"/>
      <c r="H1868" s="1399"/>
      <c r="I1868" s="1399"/>
      <c r="J1868" s="1399">
        <v>1186085.05</v>
      </c>
    </row>
    <row r="1869" spans="5:10" s="1297" customFormat="1">
      <c r="E1869" s="1297" t="s">
        <v>940</v>
      </c>
      <c r="F1869" s="1399">
        <v>6123386.1799999997</v>
      </c>
      <c r="G1869" s="1399"/>
      <c r="H1869" s="1399"/>
      <c r="I1869" s="1399"/>
      <c r="J1869" s="1399">
        <v>6123386.1799999997</v>
      </c>
    </row>
    <row r="1870" spans="5:10" s="1297" customFormat="1">
      <c r="E1870" s="1297" t="s">
        <v>941</v>
      </c>
      <c r="F1870" s="1399">
        <v>2401556.1800000002</v>
      </c>
      <c r="G1870" s="1399"/>
      <c r="H1870" s="1399"/>
      <c r="I1870" s="1399"/>
      <c r="J1870" s="1399">
        <v>2401556.1800000002</v>
      </c>
    </row>
    <row r="1871" spans="5:10" s="1297" customFormat="1">
      <c r="E1871" s="1297" t="s">
        <v>943</v>
      </c>
      <c r="F1871" s="1399">
        <v>139708.81</v>
      </c>
      <c r="G1871" s="1399"/>
      <c r="H1871" s="1399"/>
      <c r="I1871" s="1399"/>
      <c r="J1871" s="1399">
        <v>139708.81</v>
      </c>
    </row>
    <row r="1872" spans="5:10" s="1297" customFormat="1">
      <c r="E1872" s="1297" t="s">
        <v>944</v>
      </c>
      <c r="F1872" s="1399">
        <v>12557394.670000002</v>
      </c>
      <c r="G1872" s="1399"/>
      <c r="H1872" s="1399"/>
      <c r="I1872" s="1399"/>
      <c r="J1872" s="1399">
        <v>12557394.670000002</v>
      </c>
    </row>
    <row r="1873" spans="2:12">
      <c r="B1873" s="1297"/>
      <c r="C1873" s="1297"/>
      <c r="D1873" s="1297"/>
      <c r="E1873" s="1297" t="s">
        <v>945</v>
      </c>
      <c r="F1873" s="1399">
        <v>10004042.119999999</v>
      </c>
      <c r="J1873" s="1399">
        <v>10004042.119999999</v>
      </c>
    </row>
    <row r="1874" spans="2:12">
      <c r="B1874" s="1297"/>
      <c r="C1874" s="1297"/>
      <c r="D1874" s="1297"/>
      <c r="E1874" s="1297" t="s">
        <v>946</v>
      </c>
      <c r="F1874" s="1399">
        <v>242570.12</v>
      </c>
      <c r="J1874" s="1399">
        <v>242570.12</v>
      </c>
    </row>
    <row r="1875" spans="2:12">
      <c r="B1875" s="1297"/>
      <c r="C1875" s="1297"/>
      <c r="D1875" s="1297"/>
      <c r="E1875" s="1297" t="s">
        <v>947</v>
      </c>
      <c r="F1875" s="1399">
        <v>790162.89</v>
      </c>
      <c r="J1875" s="1399">
        <v>790162.89</v>
      </c>
    </row>
    <row r="1876" spans="2:12">
      <c r="B1876" s="1297"/>
      <c r="C1876" s="1297"/>
      <c r="D1876" s="1297"/>
      <c r="E1876" s="1297" t="s">
        <v>1115</v>
      </c>
      <c r="F1876" s="1399">
        <v>-157.08000000000001</v>
      </c>
      <c r="J1876" s="1399">
        <v>-157.08000000000001</v>
      </c>
    </row>
    <row r="1877" spans="2:12">
      <c r="B1877" s="1297"/>
      <c r="C1877" s="1297"/>
      <c r="D1877" s="1297"/>
      <c r="E1877" s="1404" t="s">
        <v>948</v>
      </c>
      <c r="F1877" s="1405"/>
      <c r="G1877" s="1405"/>
      <c r="H1877" s="1405">
        <v>33137807.039999999</v>
      </c>
      <c r="I1877" s="1405"/>
      <c r="J1877" s="1405">
        <v>33137807.039999999</v>
      </c>
    </row>
    <row r="1878" spans="2:12">
      <c r="B1878" s="1297"/>
      <c r="C1878" s="1297"/>
      <c r="D1878" s="1297"/>
      <c r="E1878" s="1297" t="s">
        <v>956</v>
      </c>
      <c r="H1878" s="1399">
        <v>46268.97</v>
      </c>
      <c r="J1878" s="1399">
        <v>46268.97</v>
      </c>
    </row>
    <row r="1879" spans="2:12">
      <c r="B1879" s="1297"/>
      <c r="C1879" s="1297"/>
      <c r="D1879" s="1297"/>
      <c r="E1879" s="1297" t="s">
        <v>1118</v>
      </c>
      <c r="H1879" s="1399">
        <v>3860.35</v>
      </c>
      <c r="J1879" s="1399">
        <v>3860.35</v>
      </c>
    </row>
    <row r="1880" spans="2:12">
      <c r="B1880" s="1297"/>
      <c r="C1880" s="1297"/>
      <c r="D1880" s="1400" t="s">
        <v>1294</v>
      </c>
      <c r="E1880" s="1400"/>
      <c r="F1880" s="1401">
        <f>SUM(F1839:F1879)</f>
        <v>33628103.07</v>
      </c>
      <c r="G1880" s="1401">
        <f>SUM(G1839:G1879)</f>
        <v>103106230.08000001</v>
      </c>
      <c r="H1880" s="1401">
        <f>SUM(H1839:H1879)-H1877</f>
        <v>10239408.120000005</v>
      </c>
      <c r="I1880" s="1401">
        <f>SUM(I1839:I1879)</f>
        <v>126848072.61</v>
      </c>
      <c r="J1880" s="1401">
        <f>SUM(J1839:J1879)</f>
        <v>306959620.92000014</v>
      </c>
      <c r="K1880" s="1401">
        <f>SUM(F1880:I1880)</f>
        <v>273821813.88</v>
      </c>
      <c r="L1880" s="1408">
        <f>K1880/C1839</f>
        <v>11240.171334510078</v>
      </c>
    </row>
    <row r="1881" spans="2:12">
      <c r="B1881" s="1297" t="s">
        <v>1295</v>
      </c>
      <c r="C1881" s="1297">
        <v>2151</v>
      </c>
      <c r="D1881" s="1297" t="s">
        <v>1296</v>
      </c>
      <c r="E1881" s="1297" t="s">
        <v>906</v>
      </c>
      <c r="G1881" s="1399">
        <v>5504121.4699999997</v>
      </c>
      <c r="J1881" s="1399">
        <v>5504121.4699999997</v>
      </c>
    </row>
    <row r="1882" spans="2:12">
      <c r="B1882" s="1297"/>
      <c r="C1882" s="1297"/>
      <c r="D1882" s="1297"/>
      <c r="E1882" s="1297" t="s">
        <v>907</v>
      </c>
      <c r="G1882" s="1399">
        <v>2016609.9100000001</v>
      </c>
      <c r="J1882" s="1399">
        <v>2016609.9100000001</v>
      </c>
    </row>
    <row r="1883" spans="2:12">
      <c r="B1883" s="1297"/>
      <c r="C1883" s="1297"/>
      <c r="D1883" s="1297"/>
      <c r="E1883" s="1297" t="s">
        <v>908</v>
      </c>
      <c r="G1883" s="1399">
        <v>379040.88</v>
      </c>
      <c r="J1883" s="1399">
        <v>379040.88</v>
      </c>
    </row>
    <row r="1884" spans="2:12">
      <c r="B1884" s="1297"/>
      <c r="C1884" s="1297"/>
      <c r="D1884" s="1297"/>
      <c r="E1884" s="1297" t="s">
        <v>1122</v>
      </c>
      <c r="H1884" s="1399">
        <v>-49410</v>
      </c>
      <c r="J1884" s="1399">
        <v>-49410</v>
      </c>
    </row>
    <row r="1885" spans="2:12">
      <c r="B1885" s="1297"/>
      <c r="C1885" s="1297"/>
      <c r="D1885" s="1297"/>
      <c r="E1885" s="1297" t="s">
        <v>909</v>
      </c>
      <c r="H1885" s="1399">
        <v>62334.03</v>
      </c>
      <c r="J1885" s="1399">
        <v>62334.03</v>
      </c>
    </row>
    <row r="1886" spans="2:12">
      <c r="B1886" s="1297"/>
      <c r="C1886" s="1297"/>
      <c r="D1886" s="1297"/>
      <c r="E1886" s="1297" t="s">
        <v>1034</v>
      </c>
      <c r="H1886" s="1399">
        <v>2327</v>
      </c>
      <c r="J1886" s="1399">
        <v>2327</v>
      </c>
    </row>
    <row r="1887" spans="2:12">
      <c r="B1887" s="1297"/>
      <c r="C1887" s="1297"/>
      <c r="D1887" s="1297"/>
      <c r="E1887" s="1297" t="s">
        <v>1035</v>
      </c>
      <c r="H1887" s="1399">
        <v>383692.87999999995</v>
      </c>
      <c r="J1887" s="1399">
        <v>383692.87999999995</v>
      </c>
    </row>
    <row r="1888" spans="2:12">
      <c r="B1888" s="1297"/>
      <c r="C1888" s="1297"/>
      <c r="D1888" s="1297"/>
      <c r="E1888" s="1297" t="s">
        <v>1036</v>
      </c>
      <c r="H1888" s="1399">
        <v>105276.28</v>
      </c>
      <c r="J1888" s="1399">
        <v>105276.28</v>
      </c>
    </row>
    <row r="1889" spans="5:10" s="1297" customFormat="1">
      <c r="E1889" s="1297" t="s">
        <v>1037</v>
      </c>
      <c r="F1889" s="1399"/>
      <c r="G1889" s="1399"/>
      <c r="H1889" s="1399">
        <v>53488.29</v>
      </c>
      <c r="I1889" s="1399"/>
      <c r="J1889" s="1399">
        <v>53488.29</v>
      </c>
    </row>
    <row r="1890" spans="5:10" s="1297" customFormat="1">
      <c r="E1890" s="1297" t="s">
        <v>1039</v>
      </c>
      <c r="F1890" s="1399"/>
      <c r="G1890" s="1399"/>
      <c r="H1890" s="1399">
        <v>120294.54000000002</v>
      </c>
      <c r="I1890" s="1399"/>
      <c r="J1890" s="1399">
        <v>120294.54000000002</v>
      </c>
    </row>
    <row r="1891" spans="5:10" s="1297" customFormat="1">
      <c r="E1891" s="1297" t="s">
        <v>1040</v>
      </c>
      <c r="F1891" s="1399"/>
      <c r="G1891" s="1399"/>
      <c r="H1891" s="1399">
        <v>98637.38</v>
      </c>
      <c r="I1891" s="1399"/>
      <c r="J1891" s="1399">
        <v>98637.38</v>
      </c>
    </row>
    <row r="1892" spans="5:10" s="1297" customFormat="1">
      <c r="E1892" s="1297" t="s">
        <v>1041</v>
      </c>
      <c r="F1892" s="1399"/>
      <c r="G1892" s="1399"/>
      <c r="H1892" s="1399">
        <v>33673.56</v>
      </c>
      <c r="I1892" s="1399"/>
      <c r="J1892" s="1399">
        <v>33673.56</v>
      </c>
    </row>
    <row r="1893" spans="5:10" s="1297" customFormat="1">
      <c r="E1893" s="1297" t="s">
        <v>1042</v>
      </c>
      <c r="F1893" s="1399"/>
      <c r="G1893" s="1399"/>
      <c r="H1893" s="1399">
        <v>14230.15</v>
      </c>
      <c r="I1893" s="1399"/>
      <c r="J1893" s="1399">
        <v>14230.15</v>
      </c>
    </row>
    <row r="1894" spans="5:10" s="1297" customFormat="1">
      <c r="E1894" s="1297" t="s">
        <v>953</v>
      </c>
      <c r="F1894" s="1399"/>
      <c r="G1894" s="1399"/>
      <c r="H1894" s="1399">
        <v>19040</v>
      </c>
      <c r="I1894" s="1399"/>
      <c r="J1894" s="1399">
        <v>19040</v>
      </c>
    </row>
    <row r="1895" spans="5:10" s="1297" customFormat="1">
      <c r="E1895" s="1297" t="s">
        <v>991</v>
      </c>
      <c r="F1895" s="1399"/>
      <c r="G1895" s="1399"/>
      <c r="H1895" s="1399">
        <v>25498.489999999998</v>
      </c>
      <c r="I1895" s="1399"/>
      <c r="J1895" s="1399">
        <v>25498.489999999998</v>
      </c>
    </row>
    <row r="1896" spans="5:10" s="1297" customFormat="1">
      <c r="E1896" s="1297" t="s">
        <v>1044</v>
      </c>
      <c r="F1896" s="1399">
        <v>26359.13</v>
      </c>
      <c r="G1896" s="1399"/>
      <c r="H1896" s="1399"/>
      <c r="I1896" s="1399"/>
      <c r="J1896" s="1399">
        <v>26359.13</v>
      </c>
    </row>
    <row r="1897" spans="5:10" s="1297" customFormat="1">
      <c r="E1897" s="1297" t="s">
        <v>1045</v>
      </c>
      <c r="F1897" s="1399"/>
      <c r="G1897" s="1399"/>
      <c r="H1897" s="1399">
        <v>131893.48000000001</v>
      </c>
      <c r="I1897" s="1399"/>
      <c r="J1897" s="1399">
        <v>131893.48000000001</v>
      </c>
    </row>
    <row r="1898" spans="5:10" s="1297" customFormat="1">
      <c r="E1898" s="1297" t="s">
        <v>1046</v>
      </c>
      <c r="F1898" s="1399"/>
      <c r="G1898" s="1399"/>
      <c r="H1898" s="1399"/>
      <c r="I1898" s="1399">
        <v>11803727.5</v>
      </c>
      <c r="J1898" s="1399">
        <v>11803727.5</v>
      </c>
    </row>
    <row r="1899" spans="5:10" s="1297" customFormat="1">
      <c r="E1899" s="1297" t="s">
        <v>1047</v>
      </c>
      <c r="F1899" s="1399"/>
      <c r="G1899" s="1399"/>
      <c r="H1899" s="1399"/>
      <c r="I1899" s="1399">
        <v>391365</v>
      </c>
      <c r="J1899" s="1399">
        <v>391365</v>
      </c>
    </row>
    <row r="1900" spans="5:10" s="1297" customFormat="1">
      <c r="E1900" s="1297" t="s">
        <v>1048</v>
      </c>
      <c r="F1900" s="1399"/>
      <c r="G1900" s="1399"/>
      <c r="H1900" s="1399"/>
      <c r="I1900" s="1399">
        <v>-1786618.5</v>
      </c>
      <c r="J1900" s="1399">
        <v>-1786618.5</v>
      </c>
    </row>
    <row r="1901" spans="5:10" s="1297" customFormat="1">
      <c r="E1901" s="1297" t="s">
        <v>932</v>
      </c>
      <c r="F1901" s="1399"/>
      <c r="G1901" s="1399"/>
      <c r="H1901" s="1399"/>
      <c r="I1901" s="1399">
        <v>867793</v>
      </c>
      <c r="J1901" s="1399">
        <v>867793</v>
      </c>
    </row>
    <row r="1902" spans="5:10" s="1297" customFormat="1">
      <c r="E1902" s="1404" t="s">
        <v>955</v>
      </c>
      <c r="F1902" s="1405"/>
      <c r="G1902" s="1405"/>
      <c r="H1902" s="1405"/>
      <c r="I1902" s="1405">
        <v>569302.1</v>
      </c>
      <c r="J1902" s="1405">
        <v>569302.1</v>
      </c>
    </row>
    <row r="1903" spans="5:10" s="1297" customFormat="1">
      <c r="E1903" s="1297" t="s">
        <v>934</v>
      </c>
      <c r="F1903" s="1399"/>
      <c r="G1903" s="1399"/>
      <c r="H1903" s="1399"/>
      <c r="I1903" s="1399">
        <v>37572</v>
      </c>
      <c r="J1903" s="1399">
        <v>37572</v>
      </c>
    </row>
    <row r="1904" spans="5:10" s="1297" customFormat="1">
      <c r="E1904" s="1297" t="s">
        <v>1130</v>
      </c>
      <c r="F1904" s="1399"/>
      <c r="G1904" s="1399"/>
      <c r="H1904" s="1399"/>
      <c r="I1904" s="1399">
        <v>1348422.3</v>
      </c>
      <c r="J1904" s="1399">
        <v>1348422.3</v>
      </c>
    </row>
    <row r="1905" spans="2:12">
      <c r="B1905" s="1297"/>
      <c r="C1905" s="1297"/>
      <c r="D1905" s="1297"/>
      <c r="E1905" s="1297" t="s">
        <v>935</v>
      </c>
      <c r="I1905" s="1399">
        <v>321754.71999999997</v>
      </c>
      <c r="J1905" s="1399">
        <v>321754.71999999997</v>
      </c>
    </row>
    <row r="1906" spans="2:12">
      <c r="B1906" s="1297"/>
      <c r="C1906" s="1297"/>
      <c r="D1906" s="1297"/>
      <c r="E1906" s="1297" t="s">
        <v>936</v>
      </c>
      <c r="I1906" s="1399">
        <v>38166.410000000003</v>
      </c>
      <c r="J1906" s="1399">
        <v>38166.410000000003</v>
      </c>
    </row>
    <row r="1907" spans="2:12">
      <c r="B1907" s="1297"/>
      <c r="C1907" s="1297"/>
      <c r="D1907" s="1297"/>
      <c r="E1907" s="1297" t="s">
        <v>937</v>
      </c>
      <c r="I1907" s="1399">
        <v>11670.68</v>
      </c>
      <c r="J1907" s="1399">
        <v>11670.68</v>
      </c>
    </row>
    <row r="1908" spans="2:12">
      <c r="B1908" s="1297"/>
      <c r="C1908" s="1297"/>
      <c r="D1908" s="1297"/>
      <c r="E1908" s="1297" t="s">
        <v>938</v>
      </c>
      <c r="I1908" s="1399">
        <v>9732</v>
      </c>
      <c r="J1908" s="1399">
        <v>9732</v>
      </c>
    </row>
    <row r="1909" spans="2:12">
      <c r="B1909" s="1297"/>
      <c r="C1909" s="1297"/>
      <c r="D1909" s="1297"/>
      <c r="E1909" s="1297" t="s">
        <v>940</v>
      </c>
      <c r="F1909" s="1399">
        <v>714157.58</v>
      </c>
      <c r="J1909" s="1399">
        <v>714157.58</v>
      </c>
    </row>
    <row r="1910" spans="2:12">
      <c r="B1910" s="1297"/>
      <c r="C1910" s="1297"/>
      <c r="D1910" s="1297"/>
      <c r="E1910" s="1297" t="s">
        <v>941</v>
      </c>
      <c r="F1910" s="1399">
        <v>216266.01999999996</v>
      </c>
      <c r="J1910" s="1399">
        <v>216266.01999999996</v>
      </c>
    </row>
    <row r="1911" spans="2:12">
      <c r="B1911" s="1297"/>
      <c r="C1911" s="1297"/>
      <c r="D1911" s="1297"/>
      <c r="E1911" s="1297" t="s">
        <v>943</v>
      </c>
      <c r="F1911" s="1399">
        <v>3698.52</v>
      </c>
      <c r="J1911" s="1399">
        <v>3698.52</v>
      </c>
    </row>
    <row r="1912" spans="2:12">
      <c r="B1912" s="1297"/>
      <c r="C1912" s="1297"/>
      <c r="D1912" s="1297"/>
      <c r="E1912" s="1297" t="s">
        <v>944</v>
      </c>
      <c r="F1912" s="1399">
        <v>3416952.58</v>
      </c>
      <c r="J1912" s="1399">
        <v>3416952.58</v>
      </c>
    </row>
    <row r="1913" spans="2:12">
      <c r="B1913" s="1297"/>
      <c r="C1913" s="1297"/>
      <c r="D1913" s="1297"/>
      <c r="E1913" s="1297" t="s">
        <v>945</v>
      </c>
      <c r="F1913" s="1399">
        <v>1441803.71</v>
      </c>
      <c r="J1913" s="1399">
        <v>1441803.71</v>
      </c>
    </row>
    <row r="1914" spans="2:12">
      <c r="B1914" s="1297"/>
      <c r="C1914" s="1297"/>
      <c r="D1914" s="1297"/>
      <c r="E1914" s="1297" t="s">
        <v>946</v>
      </c>
      <c r="F1914" s="1399">
        <v>68380.83</v>
      </c>
      <c r="J1914" s="1399">
        <v>68380.83</v>
      </c>
    </row>
    <row r="1915" spans="2:12">
      <c r="B1915" s="1297"/>
      <c r="C1915" s="1297"/>
      <c r="D1915" s="1297"/>
      <c r="E1915" s="1297" t="s">
        <v>947</v>
      </c>
      <c r="F1915" s="1399">
        <v>33944.67</v>
      </c>
      <c r="J1915" s="1399">
        <v>33944.67</v>
      </c>
    </row>
    <row r="1916" spans="2:12">
      <c r="B1916" s="1297"/>
      <c r="C1916" s="1297"/>
      <c r="D1916" s="1297"/>
      <c r="E1916" s="1404" t="s">
        <v>948</v>
      </c>
      <c r="F1916" s="1405"/>
      <c r="G1916" s="1405"/>
      <c r="H1916" s="1405">
        <v>5386.34</v>
      </c>
      <c r="I1916" s="1405"/>
      <c r="J1916" s="1405">
        <v>5386.34</v>
      </c>
    </row>
    <row r="1917" spans="2:12">
      <c r="B1917" s="1297"/>
      <c r="C1917" s="1297"/>
      <c r="D1917" s="1297"/>
      <c r="E1917" s="1297" t="s">
        <v>1118</v>
      </c>
      <c r="H1917" s="1399">
        <v>35371.89</v>
      </c>
      <c r="J1917" s="1399">
        <v>35371.89</v>
      </c>
    </row>
    <row r="1918" spans="2:12">
      <c r="B1918" s="1297"/>
      <c r="C1918" s="1297"/>
      <c r="D1918" s="1400" t="s">
        <v>1297</v>
      </c>
      <c r="E1918" s="1400"/>
      <c r="F1918" s="1401">
        <f>SUM(F1881:F1917)</f>
        <v>5921563.04</v>
      </c>
      <c r="G1918" s="1401">
        <f>SUM(G1881:G1917)</f>
        <v>7899772.2599999998</v>
      </c>
      <c r="H1918" s="1401">
        <f>SUM(H1881:H1917)-H1916</f>
        <v>1036347.97</v>
      </c>
      <c r="I1918" s="1401">
        <f>SUM(I1881:I1917)-I1902</f>
        <v>13043585.110000001</v>
      </c>
      <c r="J1918" s="1401">
        <f>SUM(J1881:J1917)</f>
        <v>28475956.819999997</v>
      </c>
      <c r="K1918" s="1401">
        <f>SUM(F1918:I1918)</f>
        <v>27901268.380000003</v>
      </c>
      <c r="L1918" s="1408">
        <f>K1918/C1881</f>
        <v>12971.300966992098</v>
      </c>
    </row>
    <row r="1919" spans="2:12">
      <c r="B1919" s="1297" t="s">
        <v>1298</v>
      </c>
      <c r="C1919" s="1297">
        <v>747</v>
      </c>
      <c r="D1919" s="1297" t="s">
        <v>1299</v>
      </c>
      <c r="E1919" s="1297" t="s">
        <v>906</v>
      </c>
      <c r="G1919" s="1399">
        <v>2045996.7</v>
      </c>
      <c r="J1919" s="1399">
        <v>2045996.7</v>
      </c>
    </row>
    <row r="1920" spans="2:12">
      <c r="B1920" s="1297"/>
      <c r="C1920" s="1297"/>
      <c r="D1920" s="1297"/>
      <c r="E1920" s="1297" t="s">
        <v>952</v>
      </c>
      <c r="G1920" s="1399">
        <v>7552.46</v>
      </c>
      <c r="J1920" s="1399">
        <v>7552.46</v>
      </c>
    </row>
    <row r="1921" spans="5:10" s="1297" customFormat="1">
      <c r="E1921" s="1297" t="s">
        <v>907</v>
      </c>
      <c r="F1921" s="1399"/>
      <c r="G1921" s="1399">
        <v>164111.43</v>
      </c>
      <c r="H1921" s="1399"/>
      <c r="I1921" s="1399"/>
      <c r="J1921" s="1399">
        <v>164111.43</v>
      </c>
    </row>
    <row r="1922" spans="5:10" s="1297" customFormat="1">
      <c r="E1922" s="1297" t="s">
        <v>908</v>
      </c>
      <c r="F1922" s="1399"/>
      <c r="G1922" s="1399">
        <v>13831.9</v>
      </c>
      <c r="H1922" s="1399"/>
      <c r="I1922" s="1399"/>
      <c r="J1922" s="1399">
        <v>13831.9</v>
      </c>
    </row>
    <row r="1923" spans="5:10" s="1297" customFormat="1">
      <c r="E1923" s="1297" t="s">
        <v>1034</v>
      </c>
      <c r="F1923" s="1399"/>
      <c r="G1923" s="1399"/>
      <c r="H1923" s="1399">
        <v>250</v>
      </c>
      <c r="I1923" s="1399"/>
      <c r="J1923" s="1399">
        <v>250</v>
      </c>
    </row>
    <row r="1924" spans="5:10" s="1297" customFormat="1">
      <c r="E1924" s="1297" t="s">
        <v>1037</v>
      </c>
      <c r="F1924" s="1399"/>
      <c r="G1924" s="1399"/>
      <c r="H1924" s="1399">
        <v>7265.59</v>
      </c>
      <c r="I1924" s="1399"/>
      <c r="J1924" s="1399">
        <v>7265.59</v>
      </c>
    </row>
    <row r="1925" spans="5:10" s="1297" customFormat="1">
      <c r="E1925" s="1297" t="s">
        <v>1039</v>
      </c>
      <c r="F1925" s="1399"/>
      <c r="G1925" s="1399"/>
      <c r="H1925" s="1399">
        <v>32963.980000000003</v>
      </c>
      <c r="I1925" s="1399"/>
      <c r="J1925" s="1399">
        <v>32963.980000000003</v>
      </c>
    </row>
    <row r="1926" spans="5:10" s="1297" customFormat="1">
      <c r="E1926" s="1297" t="s">
        <v>1040</v>
      </c>
      <c r="F1926" s="1399"/>
      <c r="G1926" s="1399"/>
      <c r="H1926" s="1399">
        <v>42015.23</v>
      </c>
      <c r="I1926" s="1399"/>
      <c r="J1926" s="1399">
        <v>42015.23</v>
      </c>
    </row>
    <row r="1927" spans="5:10" s="1297" customFormat="1">
      <c r="E1927" s="1297" t="s">
        <v>1041</v>
      </c>
      <c r="F1927" s="1399"/>
      <c r="G1927" s="1399"/>
      <c r="H1927" s="1399">
        <v>1691.65</v>
      </c>
      <c r="I1927" s="1399"/>
      <c r="J1927" s="1399">
        <v>1691.65</v>
      </c>
    </row>
    <row r="1928" spans="5:10" s="1297" customFormat="1">
      <c r="E1928" s="1297" t="s">
        <v>1042</v>
      </c>
      <c r="F1928" s="1399"/>
      <c r="G1928" s="1399"/>
      <c r="H1928" s="1399">
        <v>18296.75</v>
      </c>
      <c r="I1928" s="1399"/>
      <c r="J1928" s="1399">
        <v>18296.75</v>
      </c>
    </row>
    <row r="1929" spans="5:10" s="1297" customFormat="1">
      <c r="E1929" s="1297" t="s">
        <v>1043</v>
      </c>
      <c r="F1929" s="1399"/>
      <c r="G1929" s="1399"/>
      <c r="H1929" s="1399">
        <v>2000</v>
      </c>
      <c r="I1929" s="1399"/>
      <c r="J1929" s="1399">
        <v>2000</v>
      </c>
    </row>
    <row r="1930" spans="5:10" s="1297" customFormat="1">
      <c r="E1930" s="1297" t="s">
        <v>986</v>
      </c>
      <c r="F1930" s="1399"/>
      <c r="G1930" s="1399"/>
      <c r="H1930" s="1399">
        <v>18017.07</v>
      </c>
      <c r="I1930" s="1399"/>
      <c r="J1930" s="1399">
        <v>18017.07</v>
      </c>
    </row>
    <row r="1931" spans="5:10" s="1297" customFormat="1">
      <c r="E1931" s="1297" t="s">
        <v>1045</v>
      </c>
      <c r="F1931" s="1399"/>
      <c r="G1931" s="1399"/>
      <c r="H1931" s="1399">
        <v>209238.96</v>
      </c>
      <c r="I1931" s="1399"/>
      <c r="J1931" s="1399">
        <v>209238.96</v>
      </c>
    </row>
    <row r="1932" spans="5:10" s="1297" customFormat="1">
      <c r="E1932" s="1297" t="s">
        <v>1046</v>
      </c>
      <c r="F1932" s="1399"/>
      <c r="G1932" s="1399"/>
      <c r="H1932" s="1399"/>
      <c r="I1932" s="1399">
        <v>3763021</v>
      </c>
      <c r="J1932" s="1399">
        <v>3763021</v>
      </c>
    </row>
    <row r="1933" spans="5:10" s="1297" customFormat="1">
      <c r="E1933" s="1297" t="s">
        <v>1047</v>
      </c>
      <c r="F1933" s="1399"/>
      <c r="G1933" s="1399"/>
      <c r="H1933" s="1399"/>
      <c r="I1933" s="1399">
        <v>425329</v>
      </c>
      <c r="J1933" s="1399">
        <v>425329</v>
      </c>
    </row>
    <row r="1934" spans="5:10" s="1297" customFormat="1">
      <c r="E1934" s="1297" t="s">
        <v>1048</v>
      </c>
      <c r="F1934" s="1399"/>
      <c r="G1934" s="1399"/>
      <c r="H1934" s="1399"/>
      <c r="I1934" s="1399">
        <v>-460678</v>
      </c>
      <c r="J1934" s="1399">
        <v>-460678</v>
      </c>
    </row>
    <row r="1935" spans="5:10" s="1297" customFormat="1">
      <c r="E1935" s="1297" t="s">
        <v>932</v>
      </c>
      <c r="F1935" s="1399"/>
      <c r="G1935" s="1399"/>
      <c r="H1935" s="1399"/>
      <c r="I1935" s="1399">
        <v>399674</v>
      </c>
      <c r="J1935" s="1399">
        <v>399674</v>
      </c>
    </row>
    <row r="1936" spans="5:10" s="1297" customFormat="1">
      <c r="E1936" s="1404" t="s">
        <v>955</v>
      </c>
      <c r="F1936" s="1405"/>
      <c r="G1936" s="1405"/>
      <c r="H1936" s="1405"/>
      <c r="I1936" s="1405">
        <v>252877.29</v>
      </c>
      <c r="J1936" s="1405">
        <v>252877.29</v>
      </c>
    </row>
    <row r="1937" spans="2:13">
      <c r="B1937" s="1297"/>
      <c r="C1937" s="1297"/>
      <c r="D1937" s="1297"/>
      <c r="E1937" s="1297" t="s">
        <v>934</v>
      </c>
      <c r="I1937" s="1399">
        <v>12138</v>
      </c>
      <c r="J1937" s="1399">
        <v>12138</v>
      </c>
    </row>
    <row r="1938" spans="2:13">
      <c r="B1938" s="1297"/>
      <c r="C1938" s="1297"/>
      <c r="D1938" s="1297"/>
      <c r="E1938" s="1297" t="s">
        <v>935</v>
      </c>
      <c r="I1938" s="1399">
        <v>123423.84</v>
      </c>
      <c r="J1938" s="1399">
        <v>123423.84</v>
      </c>
    </row>
    <row r="1939" spans="2:13">
      <c r="B1939" s="1297"/>
      <c r="C1939" s="1297"/>
      <c r="D1939" s="1297"/>
      <c r="E1939" s="1297" t="s">
        <v>936</v>
      </c>
      <c r="I1939" s="1399">
        <v>12605.42</v>
      </c>
      <c r="J1939" s="1399">
        <v>12605.42</v>
      </c>
    </row>
    <row r="1940" spans="2:13">
      <c r="B1940" s="1297"/>
      <c r="C1940" s="1297"/>
      <c r="D1940" s="1297"/>
      <c r="E1940" s="1297" t="s">
        <v>937</v>
      </c>
      <c r="I1940" s="1399">
        <v>11776.72</v>
      </c>
      <c r="J1940" s="1399">
        <v>11776.72</v>
      </c>
    </row>
    <row r="1941" spans="2:13">
      <c r="B1941" s="1297"/>
      <c r="C1941" s="1297"/>
      <c r="D1941" s="1297"/>
      <c r="E1941" s="1297" t="s">
        <v>938</v>
      </c>
      <c r="I1941" s="1399">
        <v>3556</v>
      </c>
      <c r="J1941" s="1399">
        <v>3556</v>
      </c>
    </row>
    <row r="1942" spans="2:13">
      <c r="B1942" s="1297"/>
      <c r="C1942" s="1297"/>
      <c r="D1942" s="1297"/>
      <c r="E1942" s="1297" t="s">
        <v>939</v>
      </c>
      <c r="I1942" s="1399">
        <v>34928.639999999999</v>
      </c>
      <c r="J1942" s="1399">
        <v>34928.639999999999</v>
      </c>
    </row>
    <row r="1943" spans="2:13">
      <c r="B1943" s="1297"/>
      <c r="C1943" s="1297"/>
      <c r="D1943" s="1297"/>
      <c r="E1943" s="1297" t="s">
        <v>940</v>
      </c>
      <c r="F1943" s="1399">
        <v>234686.8</v>
      </c>
      <c r="J1943" s="1399">
        <v>234686.8</v>
      </c>
    </row>
    <row r="1944" spans="2:13">
      <c r="B1944" s="1297"/>
      <c r="C1944" s="1297"/>
      <c r="D1944" s="1297"/>
      <c r="E1944" s="1297" t="s">
        <v>941</v>
      </c>
      <c r="F1944" s="1399">
        <v>81711.960000000006</v>
      </c>
      <c r="J1944" s="1399">
        <v>81711.960000000006</v>
      </c>
    </row>
    <row r="1945" spans="2:13">
      <c r="B1945" s="1297"/>
      <c r="C1945" s="1297"/>
      <c r="D1945" s="1297"/>
      <c r="E1945" s="1297" t="s">
        <v>944</v>
      </c>
      <c r="F1945" s="1399">
        <v>734708.55999999994</v>
      </c>
      <c r="J1945" s="1399">
        <v>734708.55999999994</v>
      </c>
    </row>
    <row r="1946" spans="2:13">
      <c r="B1946" s="1297"/>
      <c r="C1946" s="1297"/>
      <c r="D1946" s="1297"/>
      <c r="E1946" s="1297" t="s">
        <v>945</v>
      </c>
      <c r="F1946" s="1399">
        <v>288192.29000000004</v>
      </c>
      <c r="J1946" s="1399">
        <v>288192.29000000004</v>
      </c>
    </row>
    <row r="1947" spans="2:13">
      <c r="B1947" s="1297"/>
      <c r="C1947" s="1297"/>
      <c r="D1947" s="1297"/>
      <c r="E1947" s="1297" t="s">
        <v>947</v>
      </c>
      <c r="F1947" s="1399">
        <v>21873.38</v>
      </c>
      <c r="J1947" s="1399">
        <v>21873.38</v>
      </c>
    </row>
    <row r="1948" spans="2:13">
      <c r="B1948" s="1297"/>
      <c r="C1948" s="1297"/>
      <c r="D1948" s="1297"/>
      <c r="E1948" s="1404" t="s">
        <v>948</v>
      </c>
      <c r="F1948" s="1405"/>
      <c r="G1948" s="1405"/>
      <c r="H1948" s="1405">
        <v>256407.15</v>
      </c>
      <c r="I1948" s="1405"/>
      <c r="J1948" s="1405">
        <v>256407.15</v>
      </c>
    </row>
    <row r="1949" spans="2:13">
      <c r="B1949" s="1297"/>
      <c r="C1949" s="1297"/>
      <c r="D1949" s="1297"/>
      <c r="E1949" s="1297" t="s">
        <v>956</v>
      </c>
      <c r="H1949" s="1399">
        <v>3011.17</v>
      </c>
      <c r="J1949" s="1399">
        <v>3011.17</v>
      </c>
    </row>
    <row r="1950" spans="2:13">
      <c r="B1950" s="1297"/>
      <c r="C1950" s="1297"/>
      <c r="D1950" s="1297"/>
      <c r="E1950" s="1297" t="s">
        <v>1218</v>
      </c>
      <c r="H1950" s="1399">
        <v>368610.45</v>
      </c>
      <c r="J1950" s="1399">
        <v>368610.45</v>
      </c>
    </row>
    <row r="1951" spans="2:13">
      <c r="B1951" s="1297"/>
      <c r="C1951" s="1297"/>
      <c r="D1951" s="1400" t="s">
        <v>1300</v>
      </c>
      <c r="E1951" s="1400"/>
      <c r="F1951" s="1401">
        <f>SUM(F1919:F1950)</f>
        <v>1361172.9899999998</v>
      </c>
      <c r="G1951" s="1401">
        <f>SUM(G1919:G1950)</f>
        <v>2231492.4899999998</v>
      </c>
      <c r="H1951" s="1401">
        <f>SUM(H1919:H1950)-H1948</f>
        <v>703360.85</v>
      </c>
      <c r="I1951" s="1401">
        <f>SUM(I1919:I1950)-I1936</f>
        <v>4325774.6199999992</v>
      </c>
      <c r="J1951" s="1401">
        <f>SUM(J1919:J1950)</f>
        <v>9131085.3899999987</v>
      </c>
      <c r="K1951" s="1401">
        <f>SUM(F1951:I1951)</f>
        <v>8621800.9499999993</v>
      </c>
      <c r="L1951" s="1408">
        <f>K1951/C1919</f>
        <v>11541.902208835339</v>
      </c>
      <c r="M1951" s="1408">
        <f>F1951/C1919</f>
        <v>1822.1860642570277</v>
      </c>
    </row>
    <row r="1952" spans="2:13">
      <c r="B1952" s="1297" t="s">
        <v>1301</v>
      </c>
      <c r="C1952" s="1297">
        <v>10956</v>
      </c>
      <c r="D1952" s="1297" t="s">
        <v>1302</v>
      </c>
      <c r="E1952" s="1297" t="s">
        <v>906</v>
      </c>
      <c r="G1952" s="1399">
        <v>26394812.969999999</v>
      </c>
      <c r="J1952" s="1399">
        <v>26394812.969999999</v>
      </c>
    </row>
    <row r="1953" spans="5:10" s="1297" customFormat="1">
      <c r="E1953" s="1297" t="s">
        <v>907</v>
      </c>
      <c r="F1953" s="1399"/>
      <c r="G1953" s="1399">
        <v>8835412.1400000006</v>
      </c>
      <c r="H1953" s="1399"/>
      <c r="I1953" s="1399"/>
      <c r="J1953" s="1399">
        <v>8835412.1400000006</v>
      </c>
    </row>
    <row r="1954" spans="5:10" s="1297" customFormat="1">
      <c r="E1954" s="1297" t="s">
        <v>908</v>
      </c>
      <c r="F1954" s="1399"/>
      <c r="G1954" s="1399">
        <v>1578939.26</v>
      </c>
      <c r="H1954" s="1399"/>
      <c r="I1954" s="1399"/>
      <c r="J1954" s="1399">
        <v>1578939.26</v>
      </c>
    </row>
    <row r="1955" spans="5:10" s="1297" customFormat="1">
      <c r="E1955" s="1297" t="s">
        <v>909</v>
      </c>
      <c r="F1955" s="1399"/>
      <c r="G1955" s="1399"/>
      <c r="H1955" s="1399">
        <v>97578.03</v>
      </c>
      <c r="I1955" s="1399"/>
      <c r="J1955" s="1399">
        <v>97578.03</v>
      </c>
    </row>
    <row r="1956" spans="5:10" s="1297" customFormat="1">
      <c r="E1956" s="1297" t="s">
        <v>910</v>
      </c>
      <c r="F1956" s="1399"/>
      <c r="G1956" s="1399"/>
      <c r="H1956" s="1399">
        <v>270250.02</v>
      </c>
      <c r="I1956" s="1399"/>
      <c r="J1956" s="1399">
        <v>270250.02</v>
      </c>
    </row>
    <row r="1957" spans="5:10" s="1297" customFormat="1">
      <c r="E1957" s="1297" t="s">
        <v>1034</v>
      </c>
      <c r="F1957" s="1399"/>
      <c r="G1957" s="1399"/>
      <c r="H1957" s="1399">
        <v>102205.22</v>
      </c>
      <c r="I1957" s="1399"/>
      <c r="J1957" s="1399">
        <v>102205.22</v>
      </c>
    </row>
    <row r="1958" spans="5:10" s="1297" customFormat="1">
      <c r="E1958" s="1297" t="s">
        <v>1035</v>
      </c>
      <c r="F1958" s="1399"/>
      <c r="G1958" s="1399"/>
      <c r="H1958" s="1399">
        <v>1612110.8199999998</v>
      </c>
      <c r="I1958" s="1399"/>
      <c r="J1958" s="1399">
        <v>1612110.8199999998</v>
      </c>
    </row>
    <row r="1959" spans="5:10" s="1297" customFormat="1">
      <c r="E1959" s="1297" t="s">
        <v>1036</v>
      </c>
      <c r="F1959" s="1399"/>
      <c r="G1959" s="1399"/>
      <c r="H1959" s="1399">
        <v>272743.71000000002</v>
      </c>
      <c r="I1959" s="1399"/>
      <c r="J1959" s="1399">
        <v>272743.71000000002</v>
      </c>
    </row>
    <row r="1960" spans="5:10" s="1297" customFormat="1">
      <c r="E1960" s="1297" t="s">
        <v>1039</v>
      </c>
      <c r="F1960" s="1399"/>
      <c r="G1960" s="1399"/>
      <c r="H1960" s="1399">
        <v>260102.58</v>
      </c>
      <c r="I1960" s="1399"/>
      <c r="J1960" s="1399">
        <v>260102.58</v>
      </c>
    </row>
    <row r="1961" spans="5:10" s="1297" customFormat="1">
      <c r="E1961" s="1297" t="s">
        <v>1040</v>
      </c>
      <c r="F1961" s="1399"/>
      <c r="G1961" s="1399"/>
      <c r="H1961" s="1399">
        <v>1251779.3400000001</v>
      </c>
      <c r="I1961" s="1399"/>
      <c r="J1961" s="1399">
        <v>1251779.3400000001</v>
      </c>
    </row>
    <row r="1962" spans="5:10" s="1297" customFormat="1">
      <c r="E1962" s="1297" t="s">
        <v>1127</v>
      </c>
      <c r="F1962" s="1399"/>
      <c r="G1962" s="1399"/>
      <c r="H1962" s="1399">
        <v>186707.49</v>
      </c>
      <c r="I1962" s="1399"/>
      <c r="J1962" s="1399">
        <v>186707.49</v>
      </c>
    </row>
    <row r="1963" spans="5:10" s="1297" customFormat="1">
      <c r="E1963" s="1297" t="s">
        <v>1041</v>
      </c>
      <c r="F1963" s="1399"/>
      <c r="G1963" s="1399"/>
      <c r="H1963" s="1399">
        <v>238109.18</v>
      </c>
      <c r="I1963" s="1399"/>
      <c r="J1963" s="1399">
        <v>238109.18</v>
      </c>
    </row>
    <row r="1964" spans="5:10" s="1297" customFormat="1">
      <c r="E1964" s="1297" t="s">
        <v>1042</v>
      </c>
      <c r="F1964" s="1399"/>
      <c r="G1964" s="1399"/>
      <c r="H1964" s="1399">
        <v>132844.06</v>
      </c>
      <c r="I1964" s="1399"/>
      <c r="J1964" s="1399">
        <v>132844.06</v>
      </c>
    </row>
    <row r="1965" spans="5:10" s="1297" customFormat="1">
      <c r="E1965" s="1297" t="s">
        <v>953</v>
      </c>
      <c r="F1965" s="1399"/>
      <c r="G1965" s="1399"/>
      <c r="H1965" s="1399">
        <v>57671</v>
      </c>
      <c r="I1965" s="1399"/>
      <c r="J1965" s="1399">
        <v>57671</v>
      </c>
    </row>
    <row r="1966" spans="5:10" s="1297" customFormat="1">
      <c r="E1966" s="1297" t="s">
        <v>986</v>
      </c>
      <c r="F1966" s="1399"/>
      <c r="G1966" s="1399"/>
      <c r="H1966" s="1399">
        <v>6818.32</v>
      </c>
      <c r="I1966" s="1399"/>
      <c r="J1966" s="1399">
        <v>6818.32</v>
      </c>
    </row>
    <row r="1967" spans="5:10" s="1297" customFormat="1">
      <c r="E1967" s="1297" t="s">
        <v>1203</v>
      </c>
      <c r="F1967" s="1399"/>
      <c r="G1967" s="1399"/>
      <c r="H1967" s="1399">
        <v>16709</v>
      </c>
      <c r="I1967" s="1399"/>
      <c r="J1967" s="1399">
        <v>16709</v>
      </c>
    </row>
    <row r="1968" spans="5:10" s="1297" customFormat="1">
      <c r="E1968" s="1297" t="s">
        <v>996</v>
      </c>
      <c r="F1968" s="1399"/>
      <c r="G1968" s="1399"/>
      <c r="H1968" s="1399">
        <v>27400.21</v>
      </c>
      <c r="I1968" s="1399"/>
      <c r="J1968" s="1399">
        <v>27400.21</v>
      </c>
    </row>
    <row r="1969" spans="5:10" s="1297" customFormat="1">
      <c r="E1969" s="1297" t="s">
        <v>1045</v>
      </c>
      <c r="F1969" s="1399"/>
      <c r="G1969" s="1399"/>
      <c r="H1969" s="1399">
        <v>879696.38000000012</v>
      </c>
      <c r="I1969" s="1399"/>
      <c r="J1969" s="1399">
        <v>879696.38000000012</v>
      </c>
    </row>
    <row r="1970" spans="5:10" s="1297" customFormat="1">
      <c r="E1970" s="1297" t="s">
        <v>1046</v>
      </c>
      <c r="F1970" s="1399"/>
      <c r="G1970" s="1399"/>
      <c r="H1970" s="1399"/>
      <c r="I1970" s="1399">
        <v>56285902</v>
      </c>
      <c r="J1970" s="1399">
        <v>56285902</v>
      </c>
    </row>
    <row r="1971" spans="5:10" s="1297" customFormat="1">
      <c r="E1971" s="1297" t="s">
        <v>1128</v>
      </c>
      <c r="F1971" s="1399"/>
      <c r="G1971" s="1399"/>
      <c r="H1971" s="1399"/>
      <c r="I1971" s="1399">
        <v>4814613</v>
      </c>
      <c r="J1971" s="1399">
        <v>4814613</v>
      </c>
    </row>
    <row r="1972" spans="5:10" s="1297" customFormat="1">
      <c r="E1972" s="1297" t="s">
        <v>1129</v>
      </c>
      <c r="F1972" s="1399"/>
      <c r="G1972" s="1399"/>
      <c r="H1972" s="1399"/>
      <c r="I1972" s="1399">
        <v>-7883630</v>
      </c>
      <c r="J1972" s="1399">
        <v>-7883630</v>
      </c>
    </row>
    <row r="1973" spans="5:10" s="1297" customFormat="1">
      <c r="E1973" s="1297" t="s">
        <v>1047</v>
      </c>
      <c r="F1973" s="1399"/>
      <c r="G1973" s="1399"/>
      <c r="H1973" s="1399"/>
      <c r="I1973" s="1399">
        <v>1400958</v>
      </c>
      <c r="J1973" s="1399">
        <v>1400958</v>
      </c>
    </row>
    <row r="1974" spans="5:10" s="1297" customFormat="1">
      <c r="E1974" s="1297" t="s">
        <v>1048</v>
      </c>
      <c r="F1974" s="1399"/>
      <c r="G1974" s="1399"/>
      <c r="H1974" s="1399"/>
      <c r="I1974" s="1399">
        <v>-7472115</v>
      </c>
      <c r="J1974" s="1399">
        <v>-7472115</v>
      </c>
    </row>
    <row r="1975" spans="5:10" s="1297" customFormat="1">
      <c r="E1975" s="1297" t="s">
        <v>932</v>
      </c>
      <c r="F1975" s="1399"/>
      <c r="G1975" s="1399"/>
      <c r="H1975" s="1399"/>
      <c r="I1975" s="1399">
        <v>6119179</v>
      </c>
      <c r="J1975" s="1399">
        <v>6119179</v>
      </c>
    </row>
    <row r="1976" spans="5:10" s="1297" customFormat="1">
      <c r="E1976" s="1404" t="s">
        <v>955</v>
      </c>
      <c r="F1976" s="1405"/>
      <c r="G1976" s="1405"/>
      <c r="H1976" s="1405"/>
      <c r="I1976" s="1405">
        <v>2237488.9700000002</v>
      </c>
      <c r="J1976" s="1405">
        <v>2237488.9700000002</v>
      </c>
    </row>
    <row r="1977" spans="5:10" s="1297" customFormat="1">
      <c r="E1977" s="1297" t="s">
        <v>934</v>
      </c>
      <c r="F1977" s="1399"/>
      <c r="G1977" s="1399"/>
      <c r="H1977" s="1399"/>
      <c r="I1977" s="1399">
        <v>163865.74</v>
      </c>
      <c r="J1977" s="1399">
        <v>163865.74</v>
      </c>
    </row>
    <row r="1978" spans="5:10" s="1297" customFormat="1">
      <c r="E1978" s="1297" t="s">
        <v>935</v>
      </c>
      <c r="F1978" s="1399"/>
      <c r="G1978" s="1399"/>
      <c r="H1978" s="1399"/>
      <c r="I1978" s="1399">
        <v>970162.44</v>
      </c>
      <c r="J1978" s="1399">
        <v>970162.44</v>
      </c>
    </row>
    <row r="1979" spans="5:10" s="1297" customFormat="1">
      <c r="E1979" s="1297" t="s">
        <v>936</v>
      </c>
      <c r="F1979" s="1399"/>
      <c r="G1979" s="1399"/>
      <c r="H1979" s="1399"/>
      <c r="I1979" s="1399">
        <v>160368.95000000001</v>
      </c>
      <c r="J1979" s="1399">
        <v>160368.95000000001</v>
      </c>
    </row>
    <row r="1980" spans="5:10" s="1297" customFormat="1">
      <c r="E1980" s="1297" t="s">
        <v>937</v>
      </c>
      <c r="F1980" s="1399"/>
      <c r="G1980" s="1399"/>
      <c r="H1980" s="1399"/>
      <c r="I1980" s="1399">
        <v>48960.959999999999</v>
      </c>
      <c r="J1980" s="1399">
        <v>48960.959999999999</v>
      </c>
    </row>
    <row r="1981" spans="5:10" s="1297" customFormat="1">
      <c r="E1981" s="1297" t="s">
        <v>938</v>
      </c>
      <c r="F1981" s="1399"/>
      <c r="G1981" s="1399"/>
      <c r="H1981" s="1399"/>
      <c r="I1981" s="1399">
        <v>54089</v>
      </c>
      <c r="J1981" s="1399">
        <v>54089</v>
      </c>
    </row>
    <row r="1982" spans="5:10" s="1297" customFormat="1">
      <c r="E1982" s="1297" t="s">
        <v>1131</v>
      </c>
      <c r="F1982" s="1399">
        <v>20594.23</v>
      </c>
      <c r="G1982" s="1399"/>
      <c r="H1982" s="1399"/>
      <c r="I1982" s="1399"/>
      <c r="J1982" s="1399">
        <v>20594.23</v>
      </c>
    </row>
    <row r="1983" spans="5:10" s="1297" customFormat="1">
      <c r="E1983" s="1297" t="s">
        <v>940</v>
      </c>
      <c r="F1983" s="1399">
        <v>1965326.59</v>
      </c>
      <c r="G1983" s="1399"/>
      <c r="H1983" s="1399"/>
      <c r="I1983" s="1399"/>
      <c r="J1983" s="1399">
        <v>1965326.59</v>
      </c>
    </row>
    <row r="1984" spans="5:10" s="1297" customFormat="1">
      <c r="E1984" s="1297" t="s">
        <v>941</v>
      </c>
      <c r="F1984" s="1399">
        <v>609663.26</v>
      </c>
      <c r="G1984" s="1399"/>
      <c r="H1984" s="1399"/>
      <c r="I1984" s="1399"/>
      <c r="J1984" s="1399">
        <v>609663.26</v>
      </c>
    </row>
    <row r="1985" spans="2:12">
      <c r="B1985" s="1297"/>
      <c r="C1985" s="1297"/>
      <c r="D1985" s="1297"/>
      <c r="E1985" s="1297" t="s">
        <v>944</v>
      </c>
      <c r="F1985" s="1399">
        <v>4605907.6500000004</v>
      </c>
      <c r="J1985" s="1399">
        <v>4605907.6500000004</v>
      </c>
    </row>
    <row r="1986" spans="2:12">
      <c r="B1986" s="1297"/>
      <c r="C1986" s="1297"/>
      <c r="D1986" s="1297"/>
      <c r="E1986" s="1297" t="s">
        <v>945</v>
      </c>
      <c r="F1986" s="1399">
        <v>4508018.7700000005</v>
      </c>
      <c r="J1986" s="1399">
        <v>4508018.7700000005</v>
      </c>
    </row>
    <row r="1987" spans="2:12">
      <c r="B1987" s="1297"/>
      <c r="C1987" s="1297"/>
      <c r="D1987" s="1297"/>
      <c r="E1987" s="1297" t="s">
        <v>946</v>
      </c>
      <c r="F1987" s="1399">
        <v>124790.62</v>
      </c>
      <c r="J1987" s="1399">
        <v>124790.62</v>
      </c>
    </row>
    <row r="1988" spans="2:12">
      <c r="B1988" s="1297"/>
      <c r="C1988" s="1297"/>
      <c r="D1988" s="1297"/>
      <c r="E1988" s="359" t="s">
        <v>947</v>
      </c>
      <c r="F1988" s="1411">
        <v>367408.16</v>
      </c>
      <c r="G1988" s="1411"/>
      <c r="H1988" s="1411"/>
      <c r="I1988" s="1411"/>
      <c r="J1988" s="1411">
        <v>367408.16</v>
      </c>
    </row>
    <row r="1989" spans="2:12">
      <c r="B1989" s="1297"/>
      <c r="C1989" s="1297"/>
      <c r="D1989" s="1297"/>
      <c r="E1989" s="1404" t="s">
        <v>948</v>
      </c>
      <c r="F1989" s="1405"/>
      <c r="G1989" s="1405"/>
      <c r="H1989" s="1405">
        <v>5036077.63</v>
      </c>
      <c r="I1989" s="1405"/>
      <c r="J1989" s="1405">
        <v>5036077.63</v>
      </c>
    </row>
    <row r="1990" spans="2:12">
      <c r="B1990" s="1297"/>
      <c r="C1990" s="1297"/>
      <c r="D1990" s="1400" t="s">
        <v>1303</v>
      </c>
      <c r="E1990" s="1400"/>
      <c r="F1990" s="1401">
        <f>SUM(F1952:F1989)</f>
        <v>12201709.279999999</v>
      </c>
      <c r="G1990" s="1401">
        <f>SUM(G1952:G1989)</f>
        <v>36809164.369999997</v>
      </c>
      <c r="H1990" s="1401">
        <f>SUM(H1952:H1989)</f>
        <v>10448802.989999998</v>
      </c>
      <c r="I1990" s="1401">
        <f>SUM(I1952:I1989)</f>
        <v>56899843.060000002</v>
      </c>
      <c r="J1990" s="1401">
        <f>SUM(J1952:J1989)</f>
        <v>116359519.70000002</v>
      </c>
      <c r="K1990" s="1401">
        <f>SUM(F1990:I1990)</f>
        <v>116359519.7</v>
      </c>
      <c r="L1990" s="1408">
        <f>K1990/C1952</f>
        <v>10620.620637093831</v>
      </c>
    </row>
    <row r="1991" spans="2:12">
      <c r="B1991" s="1297" t="s">
        <v>1304</v>
      </c>
      <c r="C1991" s="1297">
        <v>3153</v>
      </c>
      <c r="D1991" s="1297" t="s">
        <v>1305</v>
      </c>
      <c r="E1991" s="1297" t="s">
        <v>906</v>
      </c>
      <c r="G1991" s="1399">
        <v>8814861.0800000001</v>
      </c>
      <c r="J1991" s="1399">
        <v>8814861.0800000001</v>
      </c>
    </row>
    <row r="1992" spans="2:12">
      <c r="B1992" s="1297"/>
      <c r="C1992" s="1297"/>
      <c r="D1992" s="1297"/>
      <c r="E1992" s="1297" t="s">
        <v>907</v>
      </c>
      <c r="G1992" s="1399">
        <v>2199893.39</v>
      </c>
      <c r="J1992" s="1399">
        <v>2199893.39</v>
      </c>
    </row>
    <row r="1993" spans="2:12">
      <c r="B1993" s="1297"/>
      <c r="C1993" s="1297"/>
      <c r="D1993" s="1297"/>
      <c r="E1993" s="1297" t="s">
        <v>1034</v>
      </c>
      <c r="H1993" s="1399">
        <v>2879</v>
      </c>
      <c r="J1993" s="1399">
        <v>2879</v>
      </c>
    </row>
    <row r="1994" spans="2:12">
      <c r="B1994" s="1297"/>
      <c r="C1994" s="1297"/>
      <c r="D1994" s="1297"/>
      <c r="E1994" s="1297" t="s">
        <v>1037</v>
      </c>
      <c r="H1994" s="1399">
        <v>2476.14</v>
      </c>
      <c r="J1994" s="1399">
        <v>2476.14</v>
      </c>
    </row>
    <row r="1995" spans="2:12">
      <c r="B1995" s="1297"/>
      <c r="C1995" s="1297"/>
      <c r="D1995" s="1297"/>
      <c r="E1995" s="1297" t="s">
        <v>1039</v>
      </c>
      <c r="H1995" s="1399">
        <v>9997.2199999999993</v>
      </c>
      <c r="J1995" s="1399">
        <v>9997.2199999999993</v>
      </c>
    </row>
    <row r="1996" spans="2:12">
      <c r="B1996" s="1297"/>
      <c r="C1996" s="1297"/>
      <c r="D1996" s="1297"/>
      <c r="E1996" s="1297" t="s">
        <v>1040</v>
      </c>
      <c r="H1996" s="1399">
        <v>339378.23000000004</v>
      </c>
      <c r="J1996" s="1399">
        <v>339378.23000000004</v>
      </c>
    </row>
    <row r="1997" spans="2:12">
      <c r="B1997" s="1297"/>
      <c r="C1997" s="1297"/>
      <c r="D1997" s="1297"/>
      <c r="E1997" s="1297" t="s">
        <v>1041</v>
      </c>
      <c r="H1997" s="1399">
        <v>42991.680000000008</v>
      </c>
      <c r="J1997" s="1399">
        <v>42991.680000000008</v>
      </c>
    </row>
    <row r="1998" spans="2:12">
      <c r="B1998" s="1297"/>
      <c r="C1998" s="1297"/>
      <c r="D1998" s="1297"/>
      <c r="E1998" s="1297" t="s">
        <v>1042</v>
      </c>
      <c r="H1998" s="1399">
        <v>64497.80000000001</v>
      </c>
      <c r="J1998" s="1399">
        <v>64497.80000000001</v>
      </c>
    </row>
    <row r="1999" spans="2:12">
      <c r="B1999" s="1297"/>
      <c r="C1999" s="1297"/>
      <c r="D1999" s="1297"/>
      <c r="E1999" s="1297" t="s">
        <v>953</v>
      </c>
      <c r="H1999" s="1399">
        <v>16544.349999999999</v>
      </c>
      <c r="J1999" s="1399">
        <v>16544.349999999999</v>
      </c>
    </row>
    <row r="2000" spans="2:12">
      <c r="B2000" s="1297"/>
      <c r="C2000" s="1297"/>
      <c r="D2000" s="1297"/>
      <c r="E2000" s="1297" t="s">
        <v>1005</v>
      </c>
      <c r="H2000" s="1399">
        <v>16634.64</v>
      </c>
      <c r="J2000" s="1399">
        <v>16634.64</v>
      </c>
    </row>
    <row r="2001" spans="5:10" s="1297" customFormat="1">
      <c r="E2001" s="1297" t="s">
        <v>1044</v>
      </c>
      <c r="F2001" s="1399">
        <v>162129.5</v>
      </c>
      <c r="G2001" s="1399"/>
      <c r="H2001" s="1399"/>
      <c r="I2001" s="1399"/>
      <c r="J2001" s="1399">
        <v>162129.5</v>
      </c>
    </row>
    <row r="2002" spans="5:10" s="1297" customFormat="1">
      <c r="E2002" s="1297" t="s">
        <v>1045</v>
      </c>
      <c r="F2002" s="1399"/>
      <c r="G2002" s="1399"/>
      <c r="H2002" s="1399">
        <v>170588.24</v>
      </c>
      <c r="I2002" s="1399"/>
      <c r="J2002" s="1399">
        <v>170588.24</v>
      </c>
    </row>
    <row r="2003" spans="5:10" s="1297" customFormat="1">
      <c r="E2003" s="1297" t="s">
        <v>1046</v>
      </c>
      <c r="F2003" s="1399"/>
      <c r="G2003" s="1399"/>
      <c r="H2003" s="1399"/>
      <c r="I2003" s="1399">
        <v>18866684</v>
      </c>
      <c r="J2003" s="1399">
        <v>18866684</v>
      </c>
    </row>
    <row r="2004" spans="5:10" s="1297" customFormat="1">
      <c r="E2004" s="1297" t="s">
        <v>1128</v>
      </c>
      <c r="F2004" s="1399"/>
      <c r="G2004" s="1399"/>
      <c r="H2004" s="1399"/>
      <c r="I2004" s="1399">
        <v>1401289</v>
      </c>
      <c r="J2004" s="1399">
        <v>1401289</v>
      </c>
    </row>
    <row r="2005" spans="5:10" s="1297" customFormat="1">
      <c r="E2005" s="1297" t="s">
        <v>1129</v>
      </c>
      <c r="F2005" s="1399"/>
      <c r="G2005" s="1399"/>
      <c r="H2005" s="1399"/>
      <c r="I2005" s="1399">
        <v>-2675939</v>
      </c>
      <c r="J2005" s="1399">
        <v>-2675939</v>
      </c>
    </row>
    <row r="2006" spans="5:10" s="1297" customFormat="1">
      <c r="E2006" s="1297" t="s">
        <v>1047</v>
      </c>
      <c r="F2006" s="1399"/>
      <c r="G2006" s="1399"/>
      <c r="H2006" s="1399"/>
      <c r="I2006" s="1399">
        <v>662546</v>
      </c>
      <c r="J2006" s="1399">
        <v>662546</v>
      </c>
    </row>
    <row r="2007" spans="5:10" s="1297" customFormat="1">
      <c r="E2007" s="1297" t="s">
        <v>1048</v>
      </c>
      <c r="F2007" s="1399"/>
      <c r="G2007" s="1399"/>
      <c r="H2007" s="1399"/>
      <c r="I2007" s="1399">
        <v>-2324933</v>
      </c>
      <c r="J2007" s="1399">
        <v>-2324933</v>
      </c>
    </row>
    <row r="2008" spans="5:10" s="1297" customFormat="1">
      <c r="E2008" s="1297" t="s">
        <v>932</v>
      </c>
      <c r="F2008" s="1399"/>
      <c r="G2008" s="1399"/>
      <c r="H2008" s="1399"/>
      <c r="I2008" s="1399">
        <v>1970263</v>
      </c>
      <c r="J2008" s="1399">
        <v>1970263</v>
      </c>
    </row>
    <row r="2009" spans="5:10" s="1297" customFormat="1">
      <c r="E2009" s="1404" t="s">
        <v>955</v>
      </c>
      <c r="F2009" s="1405"/>
      <c r="G2009" s="1405"/>
      <c r="H2009" s="1405"/>
      <c r="I2009" s="1405">
        <v>838868.31</v>
      </c>
      <c r="J2009" s="1405">
        <v>838868.31</v>
      </c>
    </row>
    <row r="2010" spans="5:10" s="1297" customFormat="1">
      <c r="E2010" s="1297" t="s">
        <v>934</v>
      </c>
      <c r="F2010" s="1399"/>
      <c r="G2010" s="1399"/>
      <c r="H2010" s="1399"/>
      <c r="I2010" s="1399">
        <v>61890</v>
      </c>
      <c r="J2010" s="1399">
        <v>61890</v>
      </c>
    </row>
    <row r="2011" spans="5:10" s="1297" customFormat="1">
      <c r="E2011" s="1297" t="s">
        <v>935</v>
      </c>
      <c r="F2011" s="1399"/>
      <c r="G2011" s="1399"/>
      <c r="H2011" s="1399"/>
      <c r="I2011" s="1399">
        <v>344996.28</v>
      </c>
      <c r="J2011" s="1399">
        <v>344996.28</v>
      </c>
    </row>
    <row r="2012" spans="5:10" s="1297" customFormat="1">
      <c r="E2012" s="1297" t="s">
        <v>936</v>
      </c>
      <c r="F2012" s="1399"/>
      <c r="G2012" s="1399"/>
      <c r="H2012" s="1399"/>
      <c r="I2012" s="1399">
        <v>75982.67</v>
      </c>
      <c r="J2012" s="1399">
        <v>75982.67</v>
      </c>
    </row>
    <row r="2013" spans="5:10" s="1297" customFormat="1">
      <c r="E2013" s="1297" t="s">
        <v>937</v>
      </c>
      <c r="F2013" s="1399"/>
      <c r="G2013" s="1399"/>
      <c r="H2013" s="1399"/>
      <c r="I2013" s="1399">
        <v>27602.400000000001</v>
      </c>
      <c r="J2013" s="1399">
        <v>27602.400000000001</v>
      </c>
    </row>
    <row r="2014" spans="5:10" s="1297" customFormat="1">
      <c r="E2014" s="1297" t="s">
        <v>938</v>
      </c>
      <c r="F2014" s="1399"/>
      <c r="G2014" s="1399"/>
      <c r="H2014" s="1399"/>
      <c r="I2014" s="1399">
        <v>19465</v>
      </c>
      <c r="J2014" s="1399">
        <v>19465</v>
      </c>
    </row>
    <row r="2015" spans="5:10" s="1297" customFormat="1">
      <c r="E2015" s="1297" t="s">
        <v>1131</v>
      </c>
      <c r="F2015" s="1399">
        <v>86626.53</v>
      </c>
      <c r="G2015" s="1399"/>
      <c r="H2015" s="1399"/>
      <c r="I2015" s="1399"/>
      <c r="J2015" s="1399">
        <v>86626.53</v>
      </c>
    </row>
    <row r="2016" spans="5:10" s="1297" customFormat="1">
      <c r="E2016" s="1297" t="s">
        <v>940</v>
      </c>
      <c r="F2016" s="1399">
        <v>1026704.54</v>
      </c>
      <c r="G2016" s="1399"/>
      <c r="H2016" s="1399"/>
      <c r="I2016" s="1399"/>
      <c r="J2016" s="1399">
        <v>1026704.54</v>
      </c>
    </row>
    <row r="2017" spans="2:12">
      <c r="B2017" s="1297"/>
      <c r="C2017" s="1297"/>
      <c r="D2017" s="1297"/>
      <c r="E2017" s="1297" t="s">
        <v>941</v>
      </c>
      <c r="F2017" s="1399">
        <v>415991.80000000005</v>
      </c>
      <c r="J2017" s="1399">
        <v>415991.80000000005</v>
      </c>
    </row>
    <row r="2018" spans="2:12">
      <c r="B2018" s="1297"/>
      <c r="C2018" s="1297"/>
      <c r="D2018" s="1297"/>
      <c r="E2018" s="1297" t="s">
        <v>943</v>
      </c>
      <c r="F2018" s="1399">
        <v>19749.120000000003</v>
      </c>
      <c r="J2018" s="1399">
        <v>19749.120000000003</v>
      </c>
    </row>
    <row r="2019" spans="2:12">
      <c r="B2019" s="1297"/>
      <c r="C2019" s="1297"/>
      <c r="D2019" s="1297"/>
      <c r="E2019" s="1297" t="s">
        <v>944</v>
      </c>
      <c r="F2019" s="1399">
        <v>3423236.9</v>
      </c>
      <c r="J2019" s="1399">
        <v>3423236.9</v>
      </c>
    </row>
    <row r="2020" spans="2:12">
      <c r="B2020" s="1297"/>
      <c r="C2020" s="1297"/>
      <c r="D2020" s="1297"/>
      <c r="E2020" s="1297" t="s">
        <v>945</v>
      </c>
      <c r="F2020" s="1399">
        <v>722403</v>
      </c>
      <c r="J2020" s="1399">
        <v>722403</v>
      </c>
    </row>
    <row r="2021" spans="2:12">
      <c r="B2021" s="1297"/>
      <c r="C2021" s="1297"/>
      <c r="D2021" s="1297"/>
      <c r="E2021" s="1297" t="s">
        <v>947</v>
      </c>
      <c r="F2021" s="1399">
        <v>119292.23</v>
      </c>
      <c r="J2021" s="1399">
        <v>119292.23</v>
      </c>
    </row>
    <row r="2022" spans="2:12">
      <c r="B2022" s="1297"/>
      <c r="C2022" s="1297"/>
      <c r="D2022" s="1400" t="s">
        <v>1306</v>
      </c>
      <c r="E2022" s="1400"/>
      <c r="F2022" s="1401">
        <f>SUM(F1991:F2021)</f>
        <v>5976133.620000001</v>
      </c>
      <c r="G2022" s="1401">
        <f>SUM(G1991:G2021)</f>
        <v>11014754.470000001</v>
      </c>
      <c r="H2022" s="1401">
        <f>SUM(H1991:H2021)</f>
        <v>665987.30000000005</v>
      </c>
      <c r="I2022" s="1401">
        <f>SUM(I1991:I2021)-I2009</f>
        <v>18429846.350000001</v>
      </c>
      <c r="J2022" s="1401">
        <f>SUM(J1991:J2021)</f>
        <v>36925590.050000004</v>
      </c>
      <c r="K2022" s="1401">
        <f>SUM(F2022:I2022)</f>
        <v>36086721.74000001</v>
      </c>
      <c r="L2022" s="1408">
        <f>K2022/C1991</f>
        <v>11445.201947351732</v>
      </c>
    </row>
    <row r="2023" spans="2:12">
      <c r="B2023" s="1297" t="s">
        <v>1307</v>
      </c>
      <c r="C2023" s="1297">
        <v>4100</v>
      </c>
      <c r="D2023" s="1297" t="s">
        <v>1308</v>
      </c>
      <c r="E2023" s="1297" t="s">
        <v>906</v>
      </c>
      <c r="G2023" s="1399">
        <v>5837684.5099999998</v>
      </c>
      <c r="J2023" s="1399">
        <v>5837684.5099999998</v>
      </c>
    </row>
    <row r="2024" spans="2:12">
      <c r="B2024" s="1297"/>
      <c r="C2024" s="1297"/>
      <c r="D2024" s="1297"/>
      <c r="E2024" s="1297" t="s">
        <v>952</v>
      </c>
      <c r="G2024" s="1399">
        <v>8024.22</v>
      </c>
      <c r="J2024" s="1399">
        <v>8024.22</v>
      </c>
    </row>
    <row r="2025" spans="2:12">
      <c r="B2025" s="1297"/>
      <c r="C2025" s="1297"/>
      <c r="D2025" s="1297"/>
      <c r="E2025" s="1297" t="s">
        <v>907</v>
      </c>
      <c r="G2025" s="1399">
        <v>2611381.5300000003</v>
      </c>
      <c r="J2025" s="1399">
        <v>2611381.5300000003</v>
      </c>
    </row>
    <row r="2026" spans="2:12">
      <c r="B2026" s="1297"/>
      <c r="C2026" s="1297"/>
      <c r="D2026" s="1297"/>
      <c r="E2026" s="1297" t="s">
        <v>909</v>
      </c>
      <c r="H2026" s="1399">
        <v>25479.550000000003</v>
      </c>
      <c r="J2026" s="1399">
        <v>25479.550000000003</v>
      </c>
    </row>
    <row r="2027" spans="2:12">
      <c r="B2027" s="1297"/>
      <c r="C2027" s="1297"/>
      <c r="D2027" s="1297"/>
      <c r="E2027" s="1297" t="s">
        <v>910</v>
      </c>
      <c r="H2027" s="1399">
        <v>17331.239999999998</v>
      </c>
      <c r="J2027" s="1399">
        <v>17331.239999999998</v>
      </c>
    </row>
    <row r="2028" spans="2:12">
      <c r="B2028" s="1297"/>
      <c r="C2028" s="1297"/>
      <c r="D2028" s="1297"/>
      <c r="E2028" s="1297" t="s">
        <v>1035</v>
      </c>
      <c r="H2028" s="1399">
        <v>266673.50999999995</v>
      </c>
      <c r="J2028" s="1399">
        <v>266673.50999999995</v>
      </c>
    </row>
    <row r="2029" spans="2:12">
      <c r="B2029" s="1297"/>
      <c r="C2029" s="1297"/>
      <c r="D2029" s="1297"/>
      <c r="E2029" s="1297" t="s">
        <v>1036</v>
      </c>
      <c r="H2029" s="1399">
        <v>234970.23999999999</v>
      </c>
      <c r="J2029" s="1399">
        <v>234970.23999999999</v>
      </c>
    </row>
    <row r="2030" spans="2:12">
      <c r="B2030" s="1297"/>
      <c r="C2030" s="1297"/>
      <c r="D2030" s="1297"/>
      <c r="E2030" s="1297" t="s">
        <v>1039</v>
      </c>
      <c r="H2030" s="1399">
        <v>23333.57</v>
      </c>
      <c r="J2030" s="1399">
        <v>23333.57</v>
      </c>
    </row>
    <row r="2031" spans="2:12">
      <c r="B2031" s="1297"/>
      <c r="C2031" s="1297"/>
      <c r="D2031" s="1297"/>
      <c r="E2031" s="1297" t="s">
        <v>1040</v>
      </c>
      <c r="H2031" s="1399">
        <v>220302.87</v>
      </c>
      <c r="J2031" s="1399">
        <v>220302.87</v>
      </c>
    </row>
    <row r="2032" spans="2:12">
      <c r="B2032" s="1297"/>
      <c r="C2032" s="1297"/>
      <c r="D2032" s="1297"/>
      <c r="E2032" s="1297" t="s">
        <v>1041</v>
      </c>
      <c r="H2032" s="1399">
        <v>67993.960000000006</v>
      </c>
      <c r="J2032" s="1399">
        <v>67993.960000000006</v>
      </c>
    </row>
    <row r="2033" spans="5:10" s="1297" customFormat="1">
      <c r="E2033" s="1297" t="s">
        <v>1042</v>
      </c>
      <c r="F2033" s="1399"/>
      <c r="G2033" s="1399"/>
      <c r="H2033" s="1399">
        <v>94826.25</v>
      </c>
      <c r="I2033" s="1399"/>
      <c r="J2033" s="1399">
        <v>94826.25</v>
      </c>
    </row>
    <row r="2034" spans="5:10" s="1297" customFormat="1">
      <c r="E2034" s="1297" t="s">
        <v>954</v>
      </c>
      <c r="F2034" s="1399"/>
      <c r="G2034" s="1399"/>
      <c r="H2034" s="1399">
        <v>349694.93</v>
      </c>
      <c r="I2034" s="1399"/>
      <c r="J2034" s="1399">
        <v>349694.93</v>
      </c>
    </row>
    <row r="2035" spans="5:10" s="1297" customFormat="1">
      <c r="E2035" s="1297" t="s">
        <v>1043</v>
      </c>
      <c r="F2035" s="1399"/>
      <c r="G2035" s="1399"/>
      <c r="H2035" s="1399">
        <v>200</v>
      </c>
      <c r="I2035" s="1399"/>
      <c r="J2035" s="1399">
        <v>200</v>
      </c>
    </row>
    <row r="2036" spans="5:10" s="1297" customFormat="1">
      <c r="E2036" s="1297" t="s">
        <v>986</v>
      </c>
      <c r="F2036" s="1399"/>
      <c r="G2036" s="1399"/>
      <c r="H2036" s="1399">
        <v>147757.53999999998</v>
      </c>
      <c r="I2036" s="1399"/>
      <c r="J2036" s="1399">
        <v>147757.53999999998</v>
      </c>
    </row>
    <row r="2037" spans="5:10" s="1297" customFormat="1">
      <c r="E2037" s="1297" t="s">
        <v>1044</v>
      </c>
      <c r="F2037" s="1399">
        <v>88453.01</v>
      </c>
      <c r="G2037" s="1399"/>
      <c r="H2037" s="1399"/>
      <c r="I2037" s="1399"/>
      <c r="J2037" s="1399">
        <v>88453.01</v>
      </c>
    </row>
    <row r="2038" spans="5:10" s="1297" customFormat="1">
      <c r="E2038" s="1297" t="s">
        <v>1045</v>
      </c>
      <c r="F2038" s="1399"/>
      <c r="G2038" s="1399"/>
      <c r="H2038" s="1399">
        <v>562402.6</v>
      </c>
      <c r="I2038" s="1399"/>
      <c r="J2038" s="1399">
        <v>562402.6</v>
      </c>
    </row>
    <row r="2039" spans="5:10" s="1297" customFormat="1">
      <c r="E2039" s="1297" t="s">
        <v>1046</v>
      </c>
      <c r="F2039" s="1399"/>
      <c r="G2039" s="1399"/>
      <c r="H2039" s="1399"/>
      <c r="I2039" s="1399">
        <v>21982815</v>
      </c>
      <c r="J2039" s="1399">
        <v>21982815</v>
      </c>
    </row>
    <row r="2040" spans="5:10" s="1297" customFormat="1">
      <c r="E2040" s="1297" t="s">
        <v>1128</v>
      </c>
      <c r="F2040" s="1399"/>
      <c r="G2040" s="1399"/>
      <c r="H2040" s="1399"/>
      <c r="I2040" s="1399">
        <v>2161090</v>
      </c>
      <c r="J2040" s="1399">
        <v>2161090</v>
      </c>
    </row>
    <row r="2041" spans="5:10" s="1297" customFormat="1">
      <c r="E2041" s="1297" t="s">
        <v>1129</v>
      </c>
      <c r="F2041" s="1399"/>
      <c r="G2041" s="1399"/>
      <c r="H2041" s="1399"/>
      <c r="I2041" s="1399">
        <v>-3182433</v>
      </c>
      <c r="J2041" s="1399">
        <v>-3182433</v>
      </c>
    </row>
    <row r="2042" spans="5:10" s="1297" customFormat="1">
      <c r="E2042" s="1297" t="s">
        <v>1047</v>
      </c>
      <c r="F2042" s="1399"/>
      <c r="G2042" s="1399"/>
      <c r="H2042" s="1399"/>
      <c r="I2042" s="1399">
        <v>739640</v>
      </c>
      <c r="J2042" s="1399">
        <v>739640</v>
      </c>
    </row>
    <row r="2043" spans="5:10" s="1297" customFormat="1">
      <c r="E2043" s="1297" t="s">
        <v>1048</v>
      </c>
      <c r="F2043" s="1399"/>
      <c r="G2043" s="1399"/>
      <c r="H2043" s="1399"/>
      <c r="I2043" s="1399">
        <v>-1903717</v>
      </c>
      <c r="J2043" s="1399">
        <v>-1903717</v>
      </c>
    </row>
    <row r="2044" spans="5:10" s="1297" customFormat="1">
      <c r="E2044" s="1297" t="s">
        <v>932</v>
      </c>
      <c r="F2044" s="1399"/>
      <c r="G2044" s="1399"/>
      <c r="H2044" s="1399"/>
      <c r="I2044" s="1399">
        <v>3138114</v>
      </c>
      <c r="J2044" s="1399">
        <v>3138114</v>
      </c>
    </row>
    <row r="2045" spans="5:10" s="1297" customFormat="1">
      <c r="E2045" s="1404" t="s">
        <v>955</v>
      </c>
      <c r="F2045" s="1405"/>
      <c r="G2045" s="1405"/>
      <c r="H2045" s="1405"/>
      <c r="I2045" s="1405">
        <v>1400357.93</v>
      </c>
      <c r="J2045" s="1405">
        <v>1400357.93</v>
      </c>
    </row>
    <row r="2046" spans="5:10" s="1297" customFormat="1">
      <c r="E2046" s="1297" t="s">
        <v>934</v>
      </c>
      <c r="F2046" s="1399"/>
      <c r="G2046" s="1399"/>
      <c r="H2046" s="1399"/>
      <c r="I2046" s="1399">
        <v>78526</v>
      </c>
      <c r="J2046" s="1399">
        <v>78526</v>
      </c>
    </row>
    <row r="2047" spans="5:10" s="1297" customFormat="1">
      <c r="E2047" s="1297" t="s">
        <v>935</v>
      </c>
      <c r="F2047" s="1399"/>
      <c r="G2047" s="1399"/>
      <c r="H2047" s="1399"/>
      <c r="I2047" s="1399">
        <v>916137.04</v>
      </c>
      <c r="J2047" s="1399">
        <v>916137.04</v>
      </c>
    </row>
    <row r="2048" spans="5:10" s="1297" customFormat="1">
      <c r="E2048" s="1297" t="s">
        <v>936</v>
      </c>
      <c r="F2048" s="1399"/>
      <c r="G2048" s="1399"/>
      <c r="H2048" s="1399"/>
      <c r="I2048" s="1399">
        <v>80534.62</v>
      </c>
      <c r="J2048" s="1399">
        <v>80534.62</v>
      </c>
    </row>
    <row r="2049" spans="2:12">
      <c r="B2049" s="1297"/>
      <c r="C2049" s="1297"/>
      <c r="D2049" s="1297"/>
      <c r="E2049" s="1297" t="s">
        <v>937</v>
      </c>
      <c r="I2049" s="1399">
        <v>28454.46</v>
      </c>
      <c r="J2049" s="1399">
        <v>28454.46</v>
      </c>
    </row>
    <row r="2050" spans="2:12">
      <c r="B2050" s="1297"/>
      <c r="C2050" s="1297"/>
      <c r="D2050" s="1297"/>
      <c r="E2050" s="1297" t="s">
        <v>938</v>
      </c>
      <c r="I2050" s="1399">
        <v>23956</v>
      </c>
      <c r="J2050" s="1399">
        <v>23956</v>
      </c>
    </row>
    <row r="2051" spans="2:12">
      <c r="B2051" s="1297"/>
      <c r="C2051" s="1297"/>
      <c r="D2051" s="1297"/>
      <c r="E2051" s="1297" t="s">
        <v>939</v>
      </c>
      <c r="I2051" s="1399">
        <v>199355.38</v>
      </c>
      <c r="J2051" s="1399">
        <v>199355.38</v>
      </c>
    </row>
    <row r="2052" spans="2:12">
      <c r="B2052" s="1297"/>
      <c r="C2052" s="1297"/>
      <c r="D2052" s="1297"/>
      <c r="E2052" s="1297" t="s">
        <v>940</v>
      </c>
      <c r="F2052" s="1399">
        <v>1457702.2</v>
      </c>
      <c r="J2052" s="1399">
        <v>1457702.2</v>
      </c>
    </row>
    <row r="2053" spans="2:12">
      <c r="B2053" s="1297"/>
      <c r="C2053" s="1297"/>
      <c r="D2053" s="1297"/>
      <c r="E2053" s="1297" t="s">
        <v>941</v>
      </c>
      <c r="F2053" s="1399">
        <v>513971.02</v>
      </c>
      <c r="J2053" s="1399">
        <v>513971.02</v>
      </c>
    </row>
    <row r="2054" spans="2:12">
      <c r="B2054" s="1297"/>
      <c r="C2054" s="1297"/>
      <c r="D2054" s="1297"/>
      <c r="E2054" s="1297" t="s">
        <v>943</v>
      </c>
      <c r="F2054" s="1399">
        <v>2351.7199999999998</v>
      </c>
      <c r="J2054" s="1399">
        <v>2351.7199999999998</v>
      </c>
    </row>
    <row r="2055" spans="2:12">
      <c r="B2055" s="1297"/>
      <c r="C2055" s="1297"/>
      <c r="D2055" s="1297"/>
      <c r="E2055" s="1297" t="s">
        <v>944</v>
      </c>
      <c r="F2055" s="1399">
        <v>3686233.38</v>
      </c>
      <c r="J2055" s="1399">
        <v>3686233.38</v>
      </c>
    </row>
    <row r="2056" spans="2:12">
      <c r="B2056" s="1297"/>
      <c r="C2056" s="1297"/>
      <c r="D2056" s="1297"/>
      <c r="E2056" s="1297" t="s">
        <v>945</v>
      </c>
      <c r="F2056" s="1399">
        <v>3500059.7099999995</v>
      </c>
      <c r="J2056" s="1399">
        <v>3500059.7099999995</v>
      </c>
    </row>
    <row r="2057" spans="2:12">
      <c r="B2057" s="1297"/>
      <c r="C2057" s="1297"/>
      <c r="D2057" s="1297"/>
      <c r="E2057" s="1297" t="s">
        <v>946</v>
      </c>
      <c r="F2057" s="1399">
        <v>715274.12</v>
      </c>
      <c r="J2057" s="1399">
        <v>715274.12</v>
      </c>
    </row>
    <row r="2058" spans="2:12">
      <c r="B2058" s="1297"/>
      <c r="C2058" s="1297"/>
      <c r="D2058" s="1297"/>
      <c r="E2058" s="1297" t="s">
        <v>947</v>
      </c>
      <c r="F2058" s="1399">
        <v>183093.15</v>
      </c>
      <c r="J2058" s="1399">
        <v>183093.15</v>
      </c>
    </row>
    <row r="2059" spans="2:12">
      <c r="B2059" s="1297"/>
      <c r="C2059" s="1297"/>
      <c r="D2059" s="1297"/>
      <c r="E2059" s="1297" t="s">
        <v>1115</v>
      </c>
      <c r="F2059" s="1399">
        <v>1171.8599999999999</v>
      </c>
      <c r="J2059" s="1399">
        <v>1171.8599999999999</v>
      </c>
    </row>
    <row r="2060" spans="2:12">
      <c r="B2060" s="1297"/>
      <c r="C2060" s="1297"/>
      <c r="D2060" s="1297"/>
      <c r="E2060" s="1404" t="s">
        <v>948</v>
      </c>
      <c r="F2060" s="1405"/>
      <c r="G2060" s="1405"/>
      <c r="H2060" s="1405">
        <v>145361.19999999998</v>
      </c>
      <c r="I2060" s="1405"/>
      <c r="J2060" s="1405">
        <v>145361.19999999998</v>
      </c>
    </row>
    <row r="2061" spans="2:12">
      <c r="B2061" s="1297"/>
      <c r="C2061" s="1297"/>
      <c r="D2061" s="1400" t="s">
        <v>1309</v>
      </c>
      <c r="E2061" s="1400"/>
      <c r="F2061" s="1401">
        <f>SUM(F2023:F2060)</f>
        <v>10148310.169999998</v>
      </c>
      <c r="G2061" s="1401">
        <f>SUM(G2023:G2060)</f>
        <v>8457090.2599999998</v>
      </c>
      <c r="H2061" s="1401">
        <f>SUM(H2023:H2060)</f>
        <v>2156327.46</v>
      </c>
      <c r="I2061" s="1401">
        <f>SUM(I2023:I2060)</f>
        <v>25662830.43</v>
      </c>
      <c r="J2061" s="1401">
        <f>SUM(J2023:J2060)</f>
        <v>46424558.320000008</v>
      </c>
      <c r="K2061" s="1401">
        <f>SUM(F2061:I2061)</f>
        <v>46424558.32</v>
      </c>
      <c r="L2061" s="1408">
        <f>K2061/C2023</f>
        <v>11323.063004878049</v>
      </c>
    </row>
    <row r="2062" spans="2:12">
      <c r="B2062" s="1297" t="s">
        <v>1310</v>
      </c>
      <c r="C2062" s="1297">
        <v>1661</v>
      </c>
      <c r="D2062" s="1297" t="s">
        <v>1311</v>
      </c>
      <c r="E2062" s="1297" t="s">
        <v>906</v>
      </c>
      <c r="G2062" s="1399">
        <v>2858742.11</v>
      </c>
      <c r="J2062" s="1399">
        <v>2858742.11</v>
      </c>
    </row>
    <row r="2063" spans="2:12">
      <c r="B2063" s="1297"/>
      <c r="C2063" s="1297"/>
      <c r="D2063" s="1297"/>
      <c r="E2063" s="1297" t="s">
        <v>952</v>
      </c>
      <c r="G2063" s="1399">
        <v>3453.24</v>
      </c>
      <c r="J2063" s="1399">
        <v>3453.24</v>
      </c>
    </row>
    <row r="2064" spans="2:12">
      <c r="B2064" s="1297"/>
      <c r="C2064" s="1297"/>
      <c r="D2064" s="1297"/>
      <c r="E2064" s="1297" t="s">
        <v>907</v>
      </c>
      <c r="G2064" s="1399">
        <v>1329883.48</v>
      </c>
      <c r="J2064" s="1399">
        <v>1329883.48</v>
      </c>
    </row>
    <row r="2065" spans="5:10" s="1297" customFormat="1">
      <c r="E2065" s="1297" t="s">
        <v>908</v>
      </c>
      <c r="F2065" s="1399"/>
      <c r="G2065" s="1399">
        <v>7288.74</v>
      </c>
      <c r="H2065" s="1399"/>
      <c r="I2065" s="1399"/>
      <c r="J2065" s="1399">
        <v>7288.74</v>
      </c>
    </row>
    <row r="2066" spans="5:10" s="1297" customFormat="1">
      <c r="E2066" s="1297" t="s">
        <v>909</v>
      </c>
      <c r="F2066" s="1399"/>
      <c r="G2066" s="1399"/>
      <c r="H2066" s="1399">
        <v>4608.63</v>
      </c>
      <c r="I2066" s="1399"/>
      <c r="J2066" s="1399">
        <v>4608.63</v>
      </c>
    </row>
    <row r="2067" spans="5:10" s="1297" customFormat="1">
      <c r="E2067" s="1297" t="s">
        <v>1035</v>
      </c>
      <c r="F2067" s="1399"/>
      <c r="G2067" s="1399"/>
      <c r="H2067" s="1399">
        <v>43128.31</v>
      </c>
      <c r="I2067" s="1399"/>
      <c r="J2067" s="1399">
        <v>43128.31</v>
      </c>
    </row>
    <row r="2068" spans="5:10" s="1297" customFormat="1">
      <c r="E2068" s="1297" t="s">
        <v>1036</v>
      </c>
      <c r="F2068" s="1399"/>
      <c r="G2068" s="1399"/>
      <c r="H2068" s="1399">
        <v>91547.35</v>
      </c>
      <c r="I2068" s="1399"/>
      <c r="J2068" s="1399">
        <v>91547.35</v>
      </c>
    </row>
    <row r="2069" spans="5:10" s="1297" customFormat="1">
      <c r="E2069" s="1297" t="s">
        <v>1039</v>
      </c>
      <c r="F2069" s="1399"/>
      <c r="G2069" s="1399"/>
      <c r="H2069" s="1399">
        <v>32918.32</v>
      </c>
      <c r="I2069" s="1399"/>
      <c r="J2069" s="1399">
        <v>32918.32</v>
      </c>
    </row>
    <row r="2070" spans="5:10" s="1297" customFormat="1">
      <c r="E2070" s="1297" t="s">
        <v>1040</v>
      </c>
      <c r="F2070" s="1399"/>
      <c r="G2070" s="1399"/>
      <c r="H2070" s="1399">
        <v>104804.38</v>
      </c>
      <c r="I2070" s="1399"/>
      <c r="J2070" s="1399">
        <v>104804.38</v>
      </c>
    </row>
    <row r="2071" spans="5:10" s="1297" customFormat="1">
      <c r="E2071" s="1297" t="s">
        <v>1041</v>
      </c>
      <c r="F2071" s="1399"/>
      <c r="G2071" s="1399"/>
      <c r="H2071" s="1399">
        <v>42423.82</v>
      </c>
      <c r="I2071" s="1399"/>
      <c r="J2071" s="1399">
        <v>42423.82</v>
      </c>
    </row>
    <row r="2072" spans="5:10" s="1297" customFormat="1">
      <c r="E2072" s="1297" t="s">
        <v>1042</v>
      </c>
      <c r="F2072" s="1399"/>
      <c r="G2072" s="1399"/>
      <c r="H2072" s="1399">
        <v>43511.01</v>
      </c>
      <c r="I2072" s="1399"/>
      <c r="J2072" s="1399">
        <v>43511.01</v>
      </c>
    </row>
    <row r="2073" spans="5:10" s="1297" customFormat="1">
      <c r="E2073" s="1297" t="s">
        <v>986</v>
      </c>
      <c r="F2073" s="1399"/>
      <c r="G2073" s="1399"/>
      <c r="H2073" s="1399">
        <v>171617.33</v>
      </c>
      <c r="I2073" s="1399"/>
      <c r="J2073" s="1399">
        <v>171617.33</v>
      </c>
    </row>
    <row r="2074" spans="5:10" s="1297" customFormat="1">
      <c r="E2074" s="1297" t="s">
        <v>1044</v>
      </c>
      <c r="F2074" s="1399">
        <v>101816.89</v>
      </c>
      <c r="G2074" s="1399"/>
      <c r="H2074" s="1399">
        <v>101816.89</v>
      </c>
      <c r="I2074" s="1399"/>
      <c r="J2074" s="1399">
        <v>101816.89</v>
      </c>
    </row>
    <row r="2075" spans="5:10" s="1297" customFormat="1">
      <c r="E2075" s="1297" t="s">
        <v>1045</v>
      </c>
      <c r="F2075" s="1399"/>
      <c r="G2075" s="1399"/>
      <c r="H2075" s="1399">
        <v>401149.99</v>
      </c>
      <c r="I2075" s="1399"/>
      <c r="J2075" s="1399">
        <v>401149.99</v>
      </c>
    </row>
    <row r="2076" spans="5:10" s="1297" customFormat="1">
      <c r="E2076" s="1297" t="s">
        <v>1046</v>
      </c>
      <c r="F2076" s="1399"/>
      <c r="G2076" s="1399"/>
      <c r="H2076" s="1399"/>
      <c r="I2076" s="1399">
        <v>10062172</v>
      </c>
      <c r="J2076" s="1399">
        <v>10062172</v>
      </c>
    </row>
    <row r="2077" spans="5:10" s="1297" customFormat="1">
      <c r="E2077" s="1297" t="s">
        <v>1129</v>
      </c>
      <c r="F2077" s="1399"/>
      <c r="G2077" s="1399"/>
      <c r="H2077" s="1399"/>
      <c r="I2077" s="1399">
        <v>-1274377</v>
      </c>
      <c r="J2077" s="1399">
        <v>-1274377</v>
      </c>
    </row>
    <row r="2078" spans="5:10" s="1297" customFormat="1">
      <c r="E2078" s="1297" t="s">
        <v>1047</v>
      </c>
      <c r="F2078" s="1399"/>
      <c r="G2078" s="1399"/>
      <c r="H2078" s="1399"/>
      <c r="I2078" s="1399">
        <v>303193</v>
      </c>
      <c r="J2078" s="1399">
        <v>303193</v>
      </c>
    </row>
    <row r="2079" spans="5:10" s="1297" customFormat="1">
      <c r="E2079" s="1297" t="s">
        <v>1048</v>
      </c>
      <c r="F2079" s="1399"/>
      <c r="G2079" s="1399"/>
      <c r="H2079" s="1399"/>
      <c r="I2079" s="1399">
        <v>-1003724</v>
      </c>
      <c r="J2079" s="1399">
        <v>-1003724</v>
      </c>
    </row>
    <row r="2080" spans="5:10" s="1297" customFormat="1">
      <c r="E2080" s="1297" t="s">
        <v>932</v>
      </c>
      <c r="F2080" s="1399"/>
      <c r="G2080" s="1399"/>
      <c r="H2080" s="1399"/>
      <c r="I2080" s="1399">
        <v>888317</v>
      </c>
      <c r="J2080" s="1399">
        <v>888317</v>
      </c>
    </row>
    <row r="2081" spans="2:12">
      <c r="B2081" s="1297"/>
      <c r="C2081" s="1297"/>
      <c r="D2081" s="1297"/>
      <c r="E2081" s="1297" t="s">
        <v>934</v>
      </c>
      <c r="I2081" s="1399">
        <v>34198</v>
      </c>
      <c r="J2081" s="1399">
        <v>34198</v>
      </c>
    </row>
    <row r="2082" spans="2:12">
      <c r="B2082" s="1297"/>
      <c r="C2082" s="1297"/>
      <c r="D2082" s="1297"/>
      <c r="E2082" s="1297" t="s">
        <v>935</v>
      </c>
      <c r="I2082" s="1399">
        <v>108154.66999999998</v>
      </c>
      <c r="J2082" s="1399">
        <v>108154.66999999998</v>
      </c>
    </row>
    <row r="2083" spans="2:12">
      <c r="B2083" s="1297"/>
      <c r="C2083" s="1297"/>
      <c r="D2083" s="1297"/>
      <c r="E2083" s="1297" t="s">
        <v>936</v>
      </c>
      <c r="I2083" s="1399">
        <v>28712.34</v>
      </c>
      <c r="J2083" s="1399">
        <v>28712.34</v>
      </c>
    </row>
    <row r="2084" spans="2:12">
      <c r="B2084" s="1297"/>
      <c r="C2084" s="1297"/>
      <c r="D2084" s="1297"/>
      <c r="E2084" s="1297" t="s">
        <v>937</v>
      </c>
      <c r="I2084" s="1399">
        <v>10095.58</v>
      </c>
      <c r="J2084" s="1399">
        <v>10095.58</v>
      </c>
    </row>
    <row r="2085" spans="2:12">
      <c r="B2085" s="1297"/>
      <c r="C2085" s="1297"/>
      <c r="D2085" s="1297"/>
      <c r="E2085" s="1297" t="s">
        <v>938</v>
      </c>
      <c r="I2085" s="1399">
        <v>9171</v>
      </c>
      <c r="J2085" s="1399">
        <v>9171</v>
      </c>
    </row>
    <row r="2086" spans="2:12">
      <c r="B2086" s="1297"/>
      <c r="C2086" s="1297"/>
      <c r="D2086" s="1297"/>
      <c r="E2086" s="1297" t="s">
        <v>939</v>
      </c>
      <c r="I2086" s="1399">
        <v>750668.3</v>
      </c>
      <c r="J2086" s="1399">
        <v>750668.3</v>
      </c>
    </row>
    <row r="2087" spans="2:12">
      <c r="B2087" s="1297"/>
      <c r="C2087" s="1297"/>
      <c r="D2087" s="1297"/>
      <c r="E2087" s="1297" t="s">
        <v>940</v>
      </c>
      <c r="F2087" s="1399">
        <v>701126.72</v>
      </c>
      <c r="J2087" s="1399">
        <v>701126.72</v>
      </c>
    </row>
    <row r="2088" spans="2:12">
      <c r="B2088" s="1297"/>
      <c r="C2088" s="1297"/>
      <c r="D2088" s="1297"/>
      <c r="E2088" s="1297" t="s">
        <v>941</v>
      </c>
      <c r="F2088" s="1399">
        <v>267825.14</v>
      </c>
      <c r="J2088" s="1399">
        <v>267825.14</v>
      </c>
    </row>
    <row r="2089" spans="2:12">
      <c r="B2089" s="1297"/>
      <c r="C2089" s="1297"/>
      <c r="D2089" s="1297"/>
      <c r="E2089" s="1297" t="s">
        <v>943</v>
      </c>
      <c r="F2089" s="1399">
        <v>2085.3200000000002</v>
      </c>
      <c r="J2089" s="1399">
        <v>2085.3200000000002</v>
      </c>
    </row>
    <row r="2090" spans="2:12">
      <c r="B2090" s="1297"/>
      <c r="C2090" s="1297"/>
      <c r="D2090" s="1297"/>
      <c r="E2090" s="1297" t="s">
        <v>944</v>
      </c>
      <c r="F2090" s="1399">
        <v>1802063.96</v>
      </c>
      <c r="J2090" s="1399">
        <v>1802063.96</v>
      </c>
    </row>
    <row r="2091" spans="2:12">
      <c r="B2091" s="1297"/>
      <c r="C2091" s="1297"/>
      <c r="D2091" s="1297"/>
      <c r="E2091" s="1297" t="s">
        <v>945</v>
      </c>
      <c r="F2091" s="1399">
        <v>969903.33</v>
      </c>
      <c r="J2091" s="1399">
        <v>969903.33</v>
      </c>
    </row>
    <row r="2092" spans="2:12">
      <c r="B2092" s="1297"/>
      <c r="C2092" s="1297"/>
      <c r="D2092" s="1297"/>
      <c r="E2092" s="1297" t="s">
        <v>947</v>
      </c>
      <c r="F2092" s="1399">
        <v>58428.02</v>
      </c>
      <c r="J2092" s="1399">
        <v>58428.02</v>
      </c>
    </row>
    <row r="2093" spans="2:12">
      <c r="B2093" s="1297"/>
      <c r="C2093" s="1297"/>
      <c r="D2093" s="1297"/>
      <c r="E2093" s="1404" t="s">
        <v>948</v>
      </c>
      <c r="F2093" s="1405"/>
      <c r="G2093" s="1405"/>
      <c r="H2093" s="1405">
        <v>23094.01</v>
      </c>
      <c r="I2093" s="1405"/>
      <c r="J2093" s="1405">
        <v>23094.01</v>
      </c>
    </row>
    <row r="2094" spans="2:12">
      <c r="B2094" s="1297"/>
      <c r="C2094" s="1297"/>
      <c r="D2094" s="1400" t="s">
        <v>1312</v>
      </c>
      <c r="E2094" s="1400"/>
      <c r="F2094" s="1401">
        <f>SUM(F2062:F2093)</f>
        <v>3903249.3800000004</v>
      </c>
      <c r="G2094" s="1401">
        <f>SUM(G2062:G2093)</f>
        <v>4199367.57</v>
      </c>
      <c r="H2094" s="1401">
        <f>SUM(H2062:H2093)-H2093</f>
        <v>1037526.03</v>
      </c>
      <c r="I2094" s="1401">
        <f>SUM(I2062:I2093)</f>
        <v>9916580.8900000006</v>
      </c>
      <c r="J2094" s="1401">
        <f>SUM(J2062:J2093)</f>
        <v>18978000.990000002</v>
      </c>
      <c r="K2094" s="1401">
        <f>SUM(F2094:I2094)</f>
        <v>19056723.870000001</v>
      </c>
      <c r="L2094" s="1408">
        <f>K2094/C2062</f>
        <v>11473.042667068032</v>
      </c>
    </row>
    <row r="2095" spans="2:12">
      <c r="B2095" s="1297" t="s">
        <v>1313</v>
      </c>
      <c r="C2095" s="1297">
        <v>3018</v>
      </c>
      <c r="D2095" s="1297" t="s">
        <v>1314</v>
      </c>
      <c r="E2095" s="1297" t="s">
        <v>906</v>
      </c>
      <c r="G2095" s="1399">
        <v>14413670.57</v>
      </c>
      <c r="J2095" s="1399">
        <v>14413670.57</v>
      </c>
    </row>
    <row r="2096" spans="2:12">
      <c r="B2096" s="1297"/>
      <c r="C2096" s="1297"/>
      <c r="D2096" s="1297"/>
      <c r="E2096" s="1297" t="s">
        <v>952</v>
      </c>
      <c r="G2096" s="1399">
        <v>356665.37</v>
      </c>
      <c r="J2096" s="1399">
        <v>356665.37</v>
      </c>
    </row>
    <row r="2097" spans="5:10" s="1297" customFormat="1">
      <c r="E2097" s="1297" t="s">
        <v>907</v>
      </c>
      <c r="F2097" s="1399"/>
      <c r="G2097" s="1399">
        <v>3430656.62</v>
      </c>
      <c r="H2097" s="1399"/>
      <c r="I2097" s="1399"/>
      <c r="J2097" s="1399">
        <v>3430656.62</v>
      </c>
    </row>
    <row r="2098" spans="5:10" s="1297" customFormat="1">
      <c r="E2098" s="1297" t="s">
        <v>908</v>
      </c>
      <c r="F2098" s="1399"/>
      <c r="G2098" s="1399">
        <v>1125525.05</v>
      </c>
      <c r="H2098" s="1399"/>
      <c r="I2098" s="1399"/>
      <c r="J2098" s="1399">
        <v>1125525.05</v>
      </c>
    </row>
    <row r="2099" spans="5:10" s="1297" customFormat="1">
      <c r="E2099" s="1297" t="s">
        <v>1034</v>
      </c>
      <c r="F2099" s="1399"/>
      <c r="G2099" s="1399"/>
      <c r="H2099" s="1399">
        <v>137722.04999999999</v>
      </c>
      <c r="I2099" s="1399"/>
      <c r="J2099" s="1399">
        <v>137722.04999999999</v>
      </c>
    </row>
    <row r="2100" spans="5:10" s="1297" customFormat="1">
      <c r="E2100" s="1297" t="s">
        <v>1035</v>
      </c>
      <c r="F2100" s="1399"/>
      <c r="G2100" s="1399"/>
      <c r="H2100" s="1399">
        <v>133306.45000000001</v>
      </c>
      <c r="I2100" s="1399"/>
      <c r="J2100" s="1399">
        <v>133306.45000000001</v>
      </c>
    </row>
    <row r="2101" spans="5:10" s="1297" customFormat="1">
      <c r="E2101" s="1297" t="s">
        <v>1036</v>
      </c>
      <c r="F2101" s="1399"/>
      <c r="G2101" s="1399"/>
      <c r="H2101" s="1399">
        <v>117444.25</v>
      </c>
      <c r="I2101" s="1399"/>
      <c r="J2101" s="1399">
        <v>117444.25</v>
      </c>
    </row>
    <row r="2102" spans="5:10" s="1297" customFormat="1">
      <c r="E2102" s="1297" t="s">
        <v>1039</v>
      </c>
      <c r="F2102" s="1399"/>
      <c r="G2102" s="1399"/>
      <c r="H2102" s="1399">
        <v>225263.34</v>
      </c>
      <c r="I2102" s="1399"/>
      <c r="J2102" s="1399">
        <v>225263.34</v>
      </c>
    </row>
    <row r="2103" spans="5:10" s="1297" customFormat="1">
      <c r="E2103" s="1297" t="s">
        <v>1040</v>
      </c>
      <c r="F2103" s="1399"/>
      <c r="G2103" s="1399"/>
      <c r="H2103" s="1399">
        <v>252490.13</v>
      </c>
      <c r="I2103" s="1399"/>
      <c r="J2103" s="1399">
        <v>252490.13</v>
      </c>
    </row>
    <row r="2104" spans="5:10" s="1297" customFormat="1">
      <c r="E2104" s="1297" t="s">
        <v>1041</v>
      </c>
      <c r="F2104" s="1399"/>
      <c r="G2104" s="1399"/>
      <c r="H2104" s="1399">
        <v>51662.67</v>
      </c>
      <c r="I2104" s="1399"/>
      <c r="J2104" s="1399">
        <v>51662.67</v>
      </c>
    </row>
    <row r="2105" spans="5:10" s="1297" customFormat="1">
      <c r="E2105" s="1297" t="s">
        <v>1042</v>
      </c>
      <c r="F2105" s="1399"/>
      <c r="G2105" s="1399"/>
      <c r="H2105" s="1399">
        <v>49988.99</v>
      </c>
      <c r="I2105" s="1399"/>
      <c r="J2105" s="1399">
        <v>49988.99</v>
      </c>
    </row>
    <row r="2106" spans="5:10" s="1297" customFormat="1">
      <c r="E2106" s="1297" t="s">
        <v>953</v>
      </c>
      <c r="F2106" s="1399"/>
      <c r="G2106" s="1399"/>
      <c r="H2106" s="1399">
        <v>21620.82</v>
      </c>
      <c r="I2106" s="1399"/>
      <c r="J2106" s="1399">
        <v>21620.82</v>
      </c>
    </row>
    <row r="2107" spans="5:10" s="1297" customFormat="1">
      <c r="E2107" s="1297" t="s">
        <v>954</v>
      </c>
      <c r="F2107" s="1399"/>
      <c r="G2107" s="1399"/>
      <c r="H2107" s="1399">
        <v>63628.89</v>
      </c>
      <c r="I2107" s="1399"/>
      <c r="J2107" s="1399">
        <v>63628.89</v>
      </c>
    </row>
    <row r="2108" spans="5:10" s="1297" customFormat="1">
      <c r="E2108" s="1297" t="s">
        <v>985</v>
      </c>
      <c r="F2108" s="1399"/>
      <c r="G2108" s="1399"/>
      <c r="H2108" s="1399">
        <v>11926</v>
      </c>
      <c r="I2108" s="1399"/>
      <c r="J2108" s="1399">
        <v>11926</v>
      </c>
    </row>
    <row r="2109" spans="5:10" s="1297" customFormat="1">
      <c r="E2109" s="1297" t="s">
        <v>986</v>
      </c>
      <c r="F2109" s="1399"/>
      <c r="G2109" s="1399"/>
      <c r="H2109" s="1399">
        <v>168986.65000000002</v>
      </c>
      <c r="I2109" s="1399"/>
      <c r="J2109" s="1399">
        <v>168986.65000000002</v>
      </c>
    </row>
    <row r="2110" spans="5:10" s="1297" customFormat="1">
      <c r="E2110" s="1297" t="s">
        <v>1045</v>
      </c>
      <c r="F2110" s="1399"/>
      <c r="G2110" s="1399"/>
      <c r="H2110" s="1399">
        <v>215810.65000000002</v>
      </c>
      <c r="I2110" s="1399"/>
      <c r="J2110" s="1399">
        <v>215810.65000000002</v>
      </c>
    </row>
    <row r="2111" spans="5:10" s="1297" customFormat="1">
      <c r="E2111" s="1297" t="s">
        <v>1046</v>
      </c>
      <c r="F2111" s="1399"/>
      <c r="G2111" s="1399"/>
      <c r="H2111" s="1399"/>
      <c r="I2111" s="1399">
        <v>18574588</v>
      </c>
      <c r="J2111" s="1399">
        <v>18574588</v>
      </c>
    </row>
    <row r="2112" spans="5:10" s="1297" customFormat="1">
      <c r="E2112" s="1297" t="s">
        <v>1129</v>
      </c>
      <c r="F2112" s="1399"/>
      <c r="G2112" s="1399"/>
      <c r="H2112" s="1399"/>
      <c r="I2112" s="1399">
        <v>-2070055</v>
      </c>
      <c r="J2112" s="1399">
        <v>-2070055</v>
      </c>
    </row>
    <row r="2113" spans="2:12">
      <c r="B2113" s="1297"/>
      <c r="C2113" s="1297"/>
      <c r="D2113" s="1297"/>
      <c r="E2113" s="1297" t="s">
        <v>1047</v>
      </c>
      <c r="I2113" s="1399">
        <v>561591</v>
      </c>
      <c r="J2113" s="1399">
        <v>561591</v>
      </c>
    </row>
    <row r="2114" spans="2:12">
      <c r="B2114" s="1297"/>
      <c r="C2114" s="1297"/>
      <c r="D2114" s="1297"/>
      <c r="E2114" s="1297" t="s">
        <v>1048</v>
      </c>
      <c r="I2114" s="1399">
        <v>-4789754</v>
      </c>
      <c r="J2114" s="1399">
        <v>-4789754</v>
      </c>
    </row>
    <row r="2115" spans="2:12">
      <c r="B2115" s="1297"/>
      <c r="C2115" s="1297"/>
      <c r="D2115" s="1297"/>
      <c r="E2115" s="1297" t="s">
        <v>934</v>
      </c>
      <c r="I2115" s="1399">
        <v>47258</v>
      </c>
      <c r="J2115" s="1399">
        <v>47258</v>
      </c>
    </row>
    <row r="2116" spans="2:12">
      <c r="B2116" s="1297"/>
      <c r="C2116" s="1297"/>
      <c r="D2116" s="1297"/>
      <c r="E2116" s="1297" t="s">
        <v>935</v>
      </c>
      <c r="I2116" s="1399">
        <v>400613.9</v>
      </c>
      <c r="J2116" s="1399">
        <v>400613.9</v>
      </c>
    </row>
    <row r="2117" spans="2:12">
      <c r="B2117" s="1297"/>
      <c r="C2117" s="1297"/>
      <c r="D2117" s="1297"/>
      <c r="E2117" s="1297" t="s">
        <v>936</v>
      </c>
      <c r="I2117" s="1399">
        <v>72831.31</v>
      </c>
      <c r="J2117" s="1399">
        <v>72831.31</v>
      </c>
    </row>
    <row r="2118" spans="2:12">
      <c r="B2118" s="1297"/>
      <c r="C2118" s="1297"/>
      <c r="D2118" s="1297"/>
      <c r="E2118" s="1297" t="s">
        <v>937</v>
      </c>
      <c r="I2118" s="1399">
        <v>35788.160000000003</v>
      </c>
      <c r="J2118" s="1399">
        <v>35788.160000000003</v>
      </c>
    </row>
    <row r="2119" spans="2:12">
      <c r="B2119" s="1297"/>
      <c r="C2119" s="1297"/>
      <c r="D2119" s="1297"/>
      <c r="E2119" s="1297" t="s">
        <v>938</v>
      </c>
      <c r="I2119" s="1399">
        <v>17967</v>
      </c>
      <c r="J2119" s="1399">
        <v>17967</v>
      </c>
    </row>
    <row r="2120" spans="2:12">
      <c r="B2120" s="1297"/>
      <c r="C2120" s="1297"/>
      <c r="D2120" s="1297"/>
      <c r="E2120" s="1297" t="s">
        <v>940</v>
      </c>
      <c r="F2120" s="1399">
        <v>769878.86</v>
      </c>
      <c r="J2120" s="1399">
        <v>769878.86</v>
      </c>
    </row>
    <row r="2121" spans="2:12">
      <c r="B2121" s="1297"/>
      <c r="C2121" s="1297"/>
      <c r="D2121" s="1297"/>
      <c r="E2121" s="1297" t="s">
        <v>941</v>
      </c>
      <c r="F2121" s="1399">
        <v>358299.32</v>
      </c>
      <c r="J2121" s="1399">
        <v>358299.32</v>
      </c>
    </row>
    <row r="2122" spans="2:12">
      <c r="B2122" s="1297"/>
      <c r="C2122" s="1297"/>
      <c r="D2122" s="1297"/>
      <c r="E2122" s="1297" t="s">
        <v>944</v>
      </c>
      <c r="F2122" s="1399">
        <v>2002827.7999999998</v>
      </c>
      <c r="J2122" s="1399">
        <v>2002827.7999999998</v>
      </c>
    </row>
    <row r="2123" spans="2:12">
      <c r="B2123" s="1297"/>
      <c r="C2123" s="1297"/>
      <c r="D2123" s="1297"/>
      <c r="E2123" s="1297" t="s">
        <v>945</v>
      </c>
      <c r="F2123" s="1399">
        <v>1269438.1000000001</v>
      </c>
      <c r="J2123" s="1399">
        <v>1269438.1000000001</v>
      </c>
    </row>
    <row r="2124" spans="2:12">
      <c r="B2124" s="1297"/>
      <c r="C2124" s="1297"/>
      <c r="D2124" s="1297"/>
      <c r="E2124" s="1297" t="s">
        <v>1214</v>
      </c>
      <c r="F2124" s="1399">
        <v>0</v>
      </c>
      <c r="J2124" s="1399">
        <v>0</v>
      </c>
    </row>
    <row r="2125" spans="2:12">
      <c r="B2125" s="1297"/>
      <c r="C2125" s="1297"/>
      <c r="D2125" s="1297"/>
      <c r="E2125" s="1297" t="s">
        <v>947</v>
      </c>
      <c r="F2125" s="1399">
        <v>86131.64</v>
      </c>
      <c r="J2125" s="1399">
        <v>86131.64</v>
      </c>
    </row>
    <row r="2126" spans="2:12">
      <c r="B2126" s="1297"/>
      <c r="C2126" s="1297"/>
      <c r="D2126" s="1297"/>
      <c r="E2126" s="1404" t="s">
        <v>948</v>
      </c>
      <c r="F2126" s="1405"/>
      <c r="G2126" s="1405"/>
      <c r="H2126" s="1405">
        <v>5171646.76</v>
      </c>
      <c r="I2126" s="1405"/>
      <c r="J2126" s="1405">
        <v>5171646.76</v>
      </c>
    </row>
    <row r="2127" spans="2:12">
      <c r="B2127" s="1297"/>
      <c r="C2127" s="1297"/>
      <c r="D2127" s="1400" t="s">
        <v>1315</v>
      </c>
      <c r="E2127" s="1400"/>
      <c r="F2127" s="1401">
        <f>SUM(F2095:F2126)</f>
        <v>4486575.72</v>
      </c>
      <c r="G2127" s="1401">
        <f>SUM(G2095:G2126)</f>
        <v>19326517.609999999</v>
      </c>
      <c r="H2127" s="1401">
        <f>SUM(H2095:H2126)-H2126</f>
        <v>1449850.8899999997</v>
      </c>
      <c r="I2127" s="1401">
        <f>SUM(I2095:I2126)</f>
        <v>12850828.370000001</v>
      </c>
      <c r="J2127" s="1401">
        <f>SUM(J2095:J2126)</f>
        <v>43285419.349999994</v>
      </c>
      <c r="K2127" s="1401">
        <f>SUM(F2127:I2127)</f>
        <v>38113772.590000004</v>
      </c>
      <c r="L2127" s="1408">
        <f>K2127/C2095</f>
        <v>12628.817955599736</v>
      </c>
    </row>
    <row r="2128" spans="2:12">
      <c r="B2128" s="1297" t="s">
        <v>1316</v>
      </c>
      <c r="C2128" s="1297">
        <v>20903</v>
      </c>
      <c r="D2128" s="1297" t="s">
        <v>1317</v>
      </c>
      <c r="E2128" s="1297" t="s">
        <v>906</v>
      </c>
      <c r="G2128" s="1399">
        <v>102059055.41</v>
      </c>
      <c r="J2128" s="1399">
        <v>102059055.41</v>
      </c>
    </row>
    <row r="2129" spans="5:10" s="1297" customFormat="1">
      <c r="E2129" s="1297" t="s">
        <v>907</v>
      </c>
      <c r="F2129" s="1399"/>
      <c r="G2129" s="1399">
        <v>18620275.280000001</v>
      </c>
      <c r="H2129" s="1399"/>
      <c r="I2129" s="1399"/>
      <c r="J2129" s="1399">
        <v>18620275.280000001</v>
      </c>
    </row>
    <row r="2130" spans="5:10" s="1297" customFormat="1">
      <c r="E2130" s="1297" t="s">
        <v>1039</v>
      </c>
      <c r="F2130" s="1399"/>
      <c r="G2130" s="1399"/>
      <c r="H2130" s="1399">
        <v>108536.70999999999</v>
      </c>
      <c r="I2130" s="1399"/>
      <c r="J2130" s="1399">
        <v>108536.70999999999</v>
      </c>
    </row>
    <row r="2131" spans="5:10" s="1297" customFormat="1">
      <c r="E2131" s="1297" t="s">
        <v>1040</v>
      </c>
      <c r="F2131" s="1399"/>
      <c r="G2131" s="1399"/>
      <c r="H2131" s="1399">
        <v>3070322.27</v>
      </c>
      <c r="I2131" s="1399"/>
      <c r="J2131" s="1399">
        <v>3070322.27</v>
      </c>
    </row>
    <row r="2132" spans="5:10" s="1297" customFormat="1">
      <c r="E2132" s="1297" t="s">
        <v>1127</v>
      </c>
      <c r="F2132" s="1399"/>
      <c r="G2132" s="1399"/>
      <c r="H2132" s="1399">
        <v>171.35</v>
      </c>
      <c r="I2132" s="1399"/>
      <c r="J2132" s="1399">
        <v>171.35</v>
      </c>
    </row>
    <row r="2133" spans="5:10" s="1297" customFormat="1">
      <c r="E2133" s="1297" t="s">
        <v>1041</v>
      </c>
      <c r="F2133" s="1399"/>
      <c r="G2133" s="1399"/>
      <c r="H2133" s="1399">
        <v>630105.88</v>
      </c>
      <c r="I2133" s="1399"/>
      <c r="J2133" s="1399">
        <v>630105.88</v>
      </c>
    </row>
    <row r="2134" spans="5:10" s="1297" customFormat="1">
      <c r="E2134" s="1297" t="s">
        <v>1042</v>
      </c>
      <c r="F2134" s="1399"/>
      <c r="G2134" s="1399"/>
      <c r="H2134" s="1399">
        <v>221677.51</v>
      </c>
      <c r="I2134" s="1399"/>
      <c r="J2134" s="1399">
        <v>221677.51</v>
      </c>
    </row>
    <row r="2135" spans="5:10" s="1297" customFormat="1">
      <c r="E2135" s="1297" t="s">
        <v>1045</v>
      </c>
      <c r="F2135" s="1399"/>
      <c r="G2135" s="1399"/>
      <c r="H2135" s="1399">
        <v>11214468.359999999</v>
      </c>
      <c r="I2135" s="1399"/>
      <c r="J2135" s="1399">
        <v>11214468.359999999</v>
      </c>
    </row>
    <row r="2136" spans="5:10" s="1297" customFormat="1">
      <c r="E2136" s="1297" t="s">
        <v>1046</v>
      </c>
      <c r="F2136" s="1399"/>
      <c r="G2136" s="1399"/>
      <c r="H2136" s="1399"/>
      <c r="I2136" s="1399">
        <v>120920996</v>
      </c>
      <c r="J2136" s="1399">
        <v>120920996</v>
      </c>
    </row>
    <row r="2137" spans="5:10" s="1297" customFormat="1">
      <c r="E2137" s="1297" t="s">
        <v>1129</v>
      </c>
      <c r="F2137" s="1399"/>
      <c r="G2137" s="1399"/>
      <c r="H2137" s="1399"/>
      <c r="I2137" s="1399">
        <v>-14432172</v>
      </c>
      <c r="J2137" s="1399">
        <v>-14432172</v>
      </c>
    </row>
    <row r="2138" spans="5:10" s="1297" customFormat="1">
      <c r="E2138" s="1297" t="s">
        <v>1047</v>
      </c>
      <c r="F2138" s="1399"/>
      <c r="G2138" s="1399"/>
      <c r="H2138" s="1399"/>
      <c r="I2138" s="1399">
        <v>1728212</v>
      </c>
      <c r="J2138" s="1399">
        <v>1728212</v>
      </c>
    </row>
    <row r="2139" spans="5:10" s="1297" customFormat="1">
      <c r="E2139" s="1297" t="s">
        <v>1048</v>
      </c>
      <c r="F2139" s="1399"/>
      <c r="G2139" s="1399"/>
      <c r="H2139" s="1399"/>
      <c r="I2139" s="1399">
        <v>-24913965</v>
      </c>
      <c r="J2139" s="1399">
        <v>-24913965</v>
      </c>
    </row>
    <row r="2140" spans="5:10" s="1297" customFormat="1">
      <c r="E2140" s="1297" t="s">
        <v>933</v>
      </c>
      <c r="F2140" s="1399"/>
      <c r="G2140" s="1399"/>
      <c r="H2140" s="1399"/>
      <c r="I2140" s="1399">
        <v>790036.84</v>
      </c>
      <c r="J2140" s="1399">
        <v>790036.84</v>
      </c>
    </row>
    <row r="2141" spans="5:10" s="1297" customFormat="1">
      <c r="E2141" s="1297" t="s">
        <v>934</v>
      </c>
      <c r="F2141" s="1399"/>
      <c r="G2141" s="1399"/>
      <c r="H2141" s="1399"/>
      <c r="I2141" s="1399">
        <v>206462</v>
      </c>
      <c r="J2141" s="1399">
        <v>206462</v>
      </c>
    </row>
    <row r="2142" spans="5:10" s="1297" customFormat="1">
      <c r="E2142" s="1297" t="s">
        <v>935</v>
      </c>
      <c r="F2142" s="1399"/>
      <c r="G2142" s="1399"/>
      <c r="H2142" s="1399"/>
      <c r="I2142" s="1399">
        <v>953058.46</v>
      </c>
      <c r="J2142" s="1399">
        <v>953058.46</v>
      </c>
    </row>
    <row r="2143" spans="5:10" s="1297" customFormat="1">
      <c r="E2143" s="1297" t="s">
        <v>936</v>
      </c>
      <c r="F2143" s="1399"/>
      <c r="G2143" s="1399"/>
      <c r="H2143" s="1399"/>
      <c r="I2143" s="1399">
        <v>335444.21000000002</v>
      </c>
      <c r="J2143" s="1399">
        <v>335444.21000000002</v>
      </c>
    </row>
    <row r="2144" spans="5:10" s="1297" customFormat="1">
      <c r="E2144" s="1297" t="s">
        <v>937</v>
      </c>
      <c r="F2144" s="1399"/>
      <c r="G2144" s="1399"/>
      <c r="H2144" s="1399"/>
      <c r="I2144" s="1399">
        <v>169171</v>
      </c>
      <c r="J2144" s="1399">
        <v>169171</v>
      </c>
    </row>
    <row r="2145" spans="2:12">
      <c r="B2145" s="1297"/>
      <c r="C2145" s="1297"/>
      <c r="D2145" s="1297"/>
      <c r="E2145" s="1297" t="s">
        <v>938</v>
      </c>
      <c r="I2145" s="1399">
        <v>81227</v>
      </c>
      <c r="J2145" s="1399">
        <v>81227</v>
      </c>
    </row>
    <row r="2146" spans="2:12">
      <c r="B2146" s="1297"/>
      <c r="C2146" s="1297"/>
      <c r="D2146" s="1297"/>
      <c r="E2146" s="1297" t="s">
        <v>939</v>
      </c>
      <c r="I2146" s="1399">
        <v>797869.57</v>
      </c>
      <c r="J2146" s="1399">
        <v>797869.57</v>
      </c>
    </row>
    <row r="2147" spans="2:12">
      <c r="B2147" s="1297"/>
      <c r="C2147" s="1297"/>
      <c r="D2147" s="1297"/>
      <c r="E2147" s="1297" t="s">
        <v>940</v>
      </c>
      <c r="F2147" s="1399">
        <v>1971402.88</v>
      </c>
      <c r="J2147" s="1399">
        <v>1971402.88</v>
      </c>
    </row>
    <row r="2148" spans="2:12">
      <c r="B2148" s="1297"/>
      <c r="C2148" s="1297"/>
      <c r="D2148" s="1297"/>
      <c r="E2148" s="1297" t="s">
        <v>941</v>
      </c>
      <c r="F2148" s="1399">
        <v>218184.28</v>
      </c>
      <c r="J2148" s="1399">
        <v>218184.28</v>
      </c>
    </row>
    <row r="2149" spans="2:12">
      <c r="B2149" s="1297"/>
      <c r="C2149" s="1297"/>
      <c r="D2149" s="1297"/>
      <c r="E2149" s="1297" t="s">
        <v>943</v>
      </c>
      <c r="F2149" s="1399">
        <v>28033.73</v>
      </c>
      <c r="J2149" s="1399">
        <v>28033.73</v>
      </c>
    </row>
    <row r="2150" spans="2:12">
      <c r="B2150" s="1297"/>
      <c r="C2150" s="1297"/>
      <c r="D2150" s="1297"/>
      <c r="E2150" s="1297" t="s">
        <v>944</v>
      </c>
      <c r="F2150" s="1399">
        <v>5439025.330000001</v>
      </c>
      <c r="J2150" s="1399">
        <v>5439025.330000001</v>
      </c>
    </row>
    <row r="2151" spans="2:12">
      <c r="B2151" s="1297"/>
      <c r="C2151" s="1297"/>
      <c r="D2151" s="1297"/>
      <c r="E2151" s="1297" t="s">
        <v>945</v>
      </c>
      <c r="F2151" s="1399">
        <v>6039085.1200000001</v>
      </c>
      <c r="J2151" s="1399">
        <v>6039085.1200000001</v>
      </c>
    </row>
    <row r="2152" spans="2:12">
      <c r="B2152" s="1297"/>
      <c r="C2152" s="1297"/>
      <c r="D2152" s="1297"/>
      <c r="E2152" s="1297" t="s">
        <v>946</v>
      </c>
      <c r="F2152" s="1399">
        <v>858477.74</v>
      </c>
      <c r="J2152" s="1399">
        <v>858477.74</v>
      </c>
    </row>
    <row r="2153" spans="2:12">
      <c r="B2153" s="1297"/>
      <c r="C2153" s="1297"/>
      <c r="D2153" s="1297"/>
      <c r="E2153" s="1297" t="s">
        <v>947</v>
      </c>
      <c r="F2153" s="1399">
        <v>418757.1</v>
      </c>
      <c r="J2153" s="1399">
        <v>418757.1</v>
      </c>
    </row>
    <row r="2154" spans="2:12">
      <c r="B2154" s="1297"/>
      <c r="C2154" s="1297"/>
      <c r="D2154" s="1297"/>
      <c r="E2154" s="1404" t="s">
        <v>948</v>
      </c>
      <c r="F2154" s="1405"/>
      <c r="G2154" s="1405"/>
      <c r="H2154" s="1405">
        <v>10940930.309999999</v>
      </c>
      <c r="I2154" s="1405"/>
      <c r="J2154" s="1405">
        <v>10940930.309999999</v>
      </c>
    </row>
    <row r="2155" spans="2:12">
      <c r="B2155" s="1297"/>
      <c r="C2155" s="1297"/>
      <c r="D2155" s="1400" t="s">
        <v>1318</v>
      </c>
      <c r="E2155" s="1400"/>
      <c r="F2155" s="1401">
        <f>SUM(F2128:F2154)</f>
        <v>14972966.18</v>
      </c>
      <c r="G2155" s="1401">
        <f>SUM(G2128:G2154)</f>
        <v>120679330.69</v>
      </c>
      <c r="H2155" s="1401">
        <f>SUM(H2128:H2154)-H2154</f>
        <v>15245282.079999998</v>
      </c>
      <c r="I2155" s="1401">
        <f>SUM(I2128:I2154)</f>
        <v>86636340.079999983</v>
      </c>
      <c r="J2155" s="1401">
        <f>SUM(J2128:J2154)</f>
        <v>248474849.34</v>
      </c>
      <c r="K2155" s="1401">
        <f>SUM(F2155:I2155)</f>
        <v>237533919.02999997</v>
      </c>
      <c r="L2155" s="1408">
        <f>K2155/C2128</f>
        <v>11363.628140936706</v>
      </c>
    </row>
    <row r="2156" spans="2:12">
      <c r="B2156" s="1297" t="s">
        <v>1319</v>
      </c>
      <c r="C2156" s="1297">
        <v>9981</v>
      </c>
      <c r="D2156" s="1297" t="s">
        <v>1320</v>
      </c>
      <c r="E2156" s="1297" t="s">
        <v>906</v>
      </c>
      <c r="G2156" s="1399">
        <v>31556951.27</v>
      </c>
      <c r="J2156" s="1399">
        <v>31556951.27</v>
      </c>
    </row>
    <row r="2157" spans="2:12">
      <c r="B2157" s="1297"/>
      <c r="C2157" s="1297"/>
      <c r="D2157" s="1297"/>
      <c r="E2157" s="1297" t="s">
        <v>952</v>
      </c>
      <c r="G2157" s="1399">
        <v>363285.72</v>
      </c>
      <c r="J2157" s="1399">
        <v>363285.72</v>
      </c>
    </row>
    <row r="2158" spans="2:12">
      <c r="B2158" s="1297"/>
      <c r="C2158" s="1297"/>
      <c r="D2158" s="1297"/>
      <c r="E2158" s="1297" t="s">
        <v>907</v>
      </c>
      <c r="G2158" s="1399">
        <v>9554879.9699999988</v>
      </c>
      <c r="J2158" s="1399">
        <v>9554879.9699999988</v>
      </c>
    </row>
    <row r="2159" spans="2:12">
      <c r="B2159" s="1297"/>
      <c r="C2159" s="1297"/>
      <c r="D2159" s="1297"/>
      <c r="E2159" s="1297" t="s">
        <v>908</v>
      </c>
      <c r="G2159" s="1399">
        <v>40904.29</v>
      </c>
      <c r="J2159" s="1399">
        <v>40904.29</v>
      </c>
    </row>
    <row r="2160" spans="2:12">
      <c r="B2160" s="1297"/>
      <c r="C2160" s="1297"/>
      <c r="D2160" s="1297"/>
      <c r="E2160" s="1297" t="s">
        <v>909</v>
      </c>
      <c r="H2160" s="1399">
        <v>156870.99</v>
      </c>
      <c r="J2160" s="1399">
        <v>156870.99</v>
      </c>
    </row>
    <row r="2161" spans="5:10" s="1297" customFormat="1">
      <c r="E2161" s="1297" t="s">
        <v>910</v>
      </c>
      <c r="F2161" s="1399"/>
      <c r="G2161" s="1399"/>
      <c r="H2161" s="1399">
        <v>515959.05999999988</v>
      </c>
      <c r="I2161" s="1399"/>
      <c r="J2161" s="1399">
        <v>515959.05999999988</v>
      </c>
    </row>
    <row r="2162" spans="5:10" s="1297" customFormat="1">
      <c r="E2162" s="1297" t="s">
        <v>1034</v>
      </c>
      <c r="F2162" s="1399"/>
      <c r="G2162" s="1399"/>
      <c r="H2162" s="1399">
        <v>499574.70999999996</v>
      </c>
      <c r="I2162" s="1399"/>
      <c r="J2162" s="1399">
        <v>499574.70999999996</v>
      </c>
    </row>
    <row r="2163" spans="5:10" s="1297" customFormat="1">
      <c r="E2163" s="1297" t="s">
        <v>1035</v>
      </c>
      <c r="F2163" s="1399"/>
      <c r="G2163" s="1399"/>
      <c r="H2163" s="1399">
        <v>1483520.1699999997</v>
      </c>
      <c r="I2163" s="1399"/>
      <c r="J2163" s="1399">
        <v>1483520.1699999997</v>
      </c>
    </row>
    <row r="2164" spans="5:10" s="1297" customFormat="1">
      <c r="E2164" s="1297" t="s">
        <v>1036</v>
      </c>
      <c r="F2164" s="1399"/>
      <c r="G2164" s="1399"/>
      <c r="H2164" s="1399">
        <v>372051.87</v>
      </c>
      <c r="I2164" s="1399"/>
      <c r="J2164" s="1399">
        <v>372051.87</v>
      </c>
    </row>
    <row r="2165" spans="5:10" s="1297" customFormat="1">
      <c r="E2165" s="1297" t="s">
        <v>1037</v>
      </c>
      <c r="F2165" s="1399"/>
      <c r="G2165" s="1399"/>
      <c r="H2165" s="1399">
        <v>222991.55000000002</v>
      </c>
      <c r="I2165" s="1399"/>
      <c r="J2165" s="1399">
        <v>222991.55000000002</v>
      </c>
    </row>
    <row r="2166" spans="5:10" s="1297" customFormat="1">
      <c r="E2166" s="1297" t="s">
        <v>1038</v>
      </c>
      <c r="F2166" s="1399"/>
      <c r="G2166" s="1399"/>
      <c r="H2166" s="1399">
        <v>86534.66</v>
      </c>
      <c r="I2166" s="1399"/>
      <c r="J2166" s="1399">
        <v>86534.66</v>
      </c>
    </row>
    <row r="2167" spans="5:10" s="1297" customFormat="1">
      <c r="E2167" s="1297" t="s">
        <v>1003</v>
      </c>
      <c r="F2167" s="1399"/>
      <c r="G2167" s="1399"/>
      <c r="H2167" s="1399">
        <v>33369.01</v>
      </c>
      <c r="I2167" s="1399"/>
      <c r="J2167" s="1399">
        <v>33369.01</v>
      </c>
    </row>
    <row r="2168" spans="5:10" s="1297" customFormat="1">
      <c r="E2168" s="1297" t="s">
        <v>1039</v>
      </c>
      <c r="F2168" s="1399"/>
      <c r="G2168" s="1399"/>
      <c r="H2168" s="1399">
        <v>106393.53000000003</v>
      </c>
      <c r="I2168" s="1399"/>
      <c r="J2168" s="1399">
        <v>106393.53000000003</v>
      </c>
    </row>
    <row r="2169" spans="5:10" s="1297" customFormat="1">
      <c r="E2169" s="1297" t="s">
        <v>1040</v>
      </c>
      <c r="F2169" s="1399"/>
      <c r="G2169" s="1399"/>
      <c r="H2169" s="1399">
        <v>965727.77</v>
      </c>
      <c r="I2169" s="1399"/>
      <c r="J2169" s="1399">
        <v>965727.77</v>
      </c>
    </row>
    <row r="2170" spans="5:10" s="1297" customFormat="1">
      <c r="E2170" s="1297" t="s">
        <v>1041</v>
      </c>
      <c r="F2170" s="1399"/>
      <c r="G2170" s="1399"/>
      <c r="H2170" s="1399">
        <v>443899.65</v>
      </c>
      <c r="I2170" s="1399"/>
      <c r="J2170" s="1399">
        <v>443899.65</v>
      </c>
    </row>
    <row r="2171" spans="5:10" s="1297" customFormat="1">
      <c r="E2171" s="1297" t="s">
        <v>1042</v>
      </c>
      <c r="F2171" s="1399"/>
      <c r="G2171" s="1399"/>
      <c r="H2171" s="1399">
        <v>152522.54999999996</v>
      </c>
      <c r="I2171" s="1399"/>
      <c r="J2171" s="1399">
        <v>152522.54999999996</v>
      </c>
    </row>
    <row r="2172" spans="5:10" s="1297" customFormat="1">
      <c r="E2172" s="1297" t="s">
        <v>986</v>
      </c>
      <c r="F2172" s="1399"/>
      <c r="G2172" s="1399"/>
      <c r="H2172" s="1399">
        <v>21399.37</v>
      </c>
      <c r="I2172" s="1399"/>
      <c r="J2172" s="1399">
        <v>21399.37</v>
      </c>
    </row>
    <row r="2173" spans="5:10" s="1297" customFormat="1">
      <c r="E2173" s="1297" t="s">
        <v>996</v>
      </c>
      <c r="F2173" s="1399"/>
      <c r="G2173" s="1399"/>
      <c r="H2173" s="1399">
        <v>120805.8</v>
      </c>
      <c r="I2173" s="1399"/>
      <c r="J2173" s="1399">
        <v>120805.8</v>
      </c>
    </row>
    <row r="2174" spans="5:10" s="1297" customFormat="1">
      <c r="E2174" s="1297" t="s">
        <v>1044</v>
      </c>
      <c r="F2174" s="1399">
        <v>104366.29</v>
      </c>
      <c r="G2174" s="1399"/>
      <c r="H2174" s="1399"/>
      <c r="I2174" s="1399"/>
      <c r="J2174" s="1399">
        <v>104366.29</v>
      </c>
    </row>
    <row r="2175" spans="5:10" s="1297" customFormat="1">
      <c r="E2175" s="1297" t="s">
        <v>1045</v>
      </c>
      <c r="F2175" s="1399"/>
      <c r="G2175" s="1399"/>
      <c r="H2175" s="1399">
        <v>1030689.0900000001</v>
      </c>
      <c r="I2175" s="1399"/>
      <c r="J2175" s="1399">
        <v>1030689.0900000001</v>
      </c>
    </row>
    <row r="2176" spans="5:10" s="1297" customFormat="1">
      <c r="E2176" s="1297" t="s">
        <v>1046</v>
      </c>
      <c r="F2176" s="1399"/>
      <c r="G2176" s="1399"/>
      <c r="H2176" s="1399"/>
      <c r="I2176" s="1399">
        <v>63084283</v>
      </c>
      <c r="J2176" s="1399">
        <v>63084283</v>
      </c>
    </row>
    <row r="2177" spans="5:10" s="1297" customFormat="1">
      <c r="E2177" s="1297" t="s">
        <v>1128</v>
      </c>
      <c r="F2177" s="1399"/>
      <c r="G2177" s="1399"/>
      <c r="H2177" s="1399"/>
      <c r="I2177" s="1399">
        <v>4423047</v>
      </c>
      <c r="J2177" s="1399">
        <v>4423047</v>
      </c>
    </row>
    <row r="2178" spans="5:10" s="1297" customFormat="1">
      <c r="E2178" s="1297" t="s">
        <v>1129</v>
      </c>
      <c r="F2178" s="1399"/>
      <c r="G2178" s="1399"/>
      <c r="H2178" s="1399"/>
      <c r="I2178" s="1399">
        <v>-8522354</v>
      </c>
      <c r="J2178" s="1399">
        <v>-8522354</v>
      </c>
    </row>
    <row r="2179" spans="5:10" s="1297" customFormat="1">
      <c r="E2179" s="1297" t="s">
        <v>1047</v>
      </c>
      <c r="F2179" s="1399"/>
      <c r="G2179" s="1399"/>
      <c r="H2179" s="1399"/>
      <c r="I2179" s="1399">
        <v>1445244</v>
      </c>
      <c r="J2179" s="1399">
        <v>1445244</v>
      </c>
    </row>
    <row r="2180" spans="5:10" s="1297" customFormat="1">
      <c r="E2180" s="1297" t="s">
        <v>1048</v>
      </c>
      <c r="F2180" s="1399"/>
      <c r="G2180" s="1399"/>
      <c r="H2180" s="1399"/>
      <c r="I2180" s="1399">
        <v>-7762129</v>
      </c>
      <c r="J2180" s="1399">
        <v>-7762129</v>
      </c>
    </row>
    <row r="2181" spans="5:10" s="1297" customFormat="1">
      <c r="E2181" s="1297" t="s">
        <v>932</v>
      </c>
      <c r="F2181" s="1399"/>
      <c r="G2181" s="1399"/>
      <c r="H2181" s="1399"/>
      <c r="I2181" s="1399">
        <v>6607324</v>
      </c>
      <c r="J2181" s="1399">
        <v>6607324</v>
      </c>
    </row>
    <row r="2182" spans="5:10" s="1297" customFormat="1">
      <c r="E2182" s="1404" t="s">
        <v>955</v>
      </c>
      <c r="F2182" s="1405"/>
      <c r="G2182" s="1405"/>
      <c r="H2182" s="1405"/>
      <c r="I2182" s="1405">
        <v>1802635.58</v>
      </c>
      <c r="J2182" s="1405">
        <v>1802635.58</v>
      </c>
    </row>
    <row r="2183" spans="5:10" s="1297" customFormat="1">
      <c r="E2183" s="1297" t="s">
        <v>934</v>
      </c>
      <c r="F2183" s="1399"/>
      <c r="G2183" s="1399"/>
      <c r="H2183" s="1399"/>
      <c r="I2183" s="1399">
        <v>167020</v>
      </c>
      <c r="J2183" s="1399">
        <v>167020</v>
      </c>
    </row>
    <row r="2184" spans="5:10" s="1297" customFormat="1">
      <c r="E2184" s="1297" t="s">
        <v>1130</v>
      </c>
      <c r="F2184" s="1399"/>
      <c r="G2184" s="1399"/>
      <c r="H2184" s="1399"/>
      <c r="I2184" s="1399">
        <v>805546</v>
      </c>
      <c r="J2184" s="1399">
        <v>805546</v>
      </c>
    </row>
    <row r="2185" spans="5:10" s="1297" customFormat="1">
      <c r="E2185" s="1297" t="s">
        <v>935</v>
      </c>
      <c r="F2185" s="1399"/>
      <c r="G2185" s="1399"/>
      <c r="H2185" s="1399"/>
      <c r="I2185" s="1399">
        <v>1159050.83</v>
      </c>
      <c r="J2185" s="1399">
        <v>1159050.83</v>
      </c>
    </row>
    <row r="2186" spans="5:10" s="1297" customFormat="1">
      <c r="E2186" s="1297" t="s">
        <v>936</v>
      </c>
      <c r="F2186" s="1399"/>
      <c r="G2186" s="1399"/>
      <c r="H2186" s="1399"/>
      <c r="I2186" s="1399">
        <v>181728.13</v>
      </c>
      <c r="J2186" s="1399">
        <v>181728.13</v>
      </c>
    </row>
    <row r="2187" spans="5:10" s="1297" customFormat="1">
      <c r="E2187" s="1297" t="s">
        <v>937</v>
      </c>
      <c r="F2187" s="1399"/>
      <c r="G2187" s="1399"/>
      <c r="H2187" s="1399"/>
      <c r="I2187" s="1399">
        <v>30782.52</v>
      </c>
      <c r="J2187" s="1399">
        <v>30782.52</v>
      </c>
    </row>
    <row r="2188" spans="5:10" s="1297" customFormat="1">
      <c r="E2188" s="1297" t="s">
        <v>938</v>
      </c>
      <c r="F2188" s="1399"/>
      <c r="G2188" s="1399"/>
      <c r="H2188" s="1399"/>
      <c r="I2188" s="1399">
        <v>43982</v>
      </c>
      <c r="J2188" s="1399">
        <v>43982</v>
      </c>
    </row>
    <row r="2189" spans="5:10" s="1297" customFormat="1">
      <c r="E2189" s="1297" t="s">
        <v>939</v>
      </c>
      <c r="F2189" s="1399"/>
      <c r="G2189" s="1399"/>
      <c r="H2189" s="1399"/>
      <c r="I2189" s="1399">
        <v>25658</v>
      </c>
      <c r="J2189" s="1399">
        <v>25658</v>
      </c>
    </row>
    <row r="2190" spans="5:10" s="1297" customFormat="1">
      <c r="E2190" s="1297" t="s">
        <v>940</v>
      </c>
      <c r="F2190" s="1399">
        <v>2370089.7399999998</v>
      </c>
      <c r="G2190" s="1399"/>
      <c r="H2190" s="1399"/>
      <c r="I2190" s="1399"/>
      <c r="J2190" s="1399">
        <v>2370089.7399999998</v>
      </c>
    </row>
    <row r="2191" spans="5:10" s="1297" customFormat="1">
      <c r="E2191" s="1297" t="s">
        <v>941</v>
      </c>
      <c r="F2191" s="1399">
        <v>770609.40000000014</v>
      </c>
      <c r="G2191" s="1399"/>
      <c r="H2191" s="1399"/>
      <c r="I2191" s="1399"/>
      <c r="J2191" s="1399">
        <v>770609.40000000014</v>
      </c>
    </row>
    <row r="2192" spans="5:10" s="1297" customFormat="1">
      <c r="E2192" s="1297" t="s">
        <v>943</v>
      </c>
      <c r="F2192" s="1399">
        <v>44459.94</v>
      </c>
      <c r="G2192" s="1399"/>
      <c r="H2192" s="1399"/>
      <c r="I2192" s="1399"/>
      <c r="J2192" s="1399">
        <v>44459.94</v>
      </c>
    </row>
    <row r="2193" spans="2:12">
      <c r="B2193" s="1297"/>
      <c r="C2193" s="1297"/>
      <c r="D2193" s="1297"/>
      <c r="E2193" s="1297" t="s">
        <v>944</v>
      </c>
      <c r="F2193" s="1399">
        <v>5383241.3500000006</v>
      </c>
      <c r="J2193" s="1399">
        <v>5383241.3500000006</v>
      </c>
    </row>
    <row r="2194" spans="2:12">
      <c r="B2194" s="1297"/>
      <c r="C2194" s="1297"/>
      <c r="D2194" s="1297"/>
      <c r="E2194" s="1297" t="s">
        <v>945</v>
      </c>
      <c r="F2194" s="1399">
        <v>4177780.05</v>
      </c>
      <c r="J2194" s="1399">
        <v>4177780.05</v>
      </c>
    </row>
    <row r="2195" spans="2:12">
      <c r="B2195" s="1297"/>
      <c r="C2195" s="1297"/>
      <c r="D2195" s="1297"/>
      <c r="E2195" s="1297" t="s">
        <v>946</v>
      </c>
      <c r="F2195" s="1399">
        <v>4776.6899999999996</v>
      </c>
      <c r="J2195" s="1399">
        <v>4776.6899999999996</v>
      </c>
    </row>
    <row r="2196" spans="2:12">
      <c r="B2196" s="1297"/>
      <c r="C2196" s="1297"/>
      <c r="D2196" s="1297"/>
      <c r="E2196" s="1297" t="s">
        <v>947</v>
      </c>
      <c r="F2196" s="1399">
        <v>496006.40999999992</v>
      </c>
      <c r="J2196" s="1399">
        <v>496006.40999999992</v>
      </c>
    </row>
    <row r="2197" spans="2:12">
      <c r="B2197" s="1297"/>
      <c r="C2197" s="1297"/>
      <c r="D2197" s="1297"/>
      <c r="E2197" s="1297" t="s">
        <v>1115</v>
      </c>
      <c r="F2197" s="1399">
        <v>646929.5</v>
      </c>
      <c r="J2197" s="1399">
        <v>646929.5</v>
      </c>
    </row>
    <row r="2198" spans="2:12">
      <c r="B2198" s="1297"/>
      <c r="C2198" s="1297"/>
      <c r="D2198" s="1297"/>
      <c r="E2198" s="1404" t="s">
        <v>948</v>
      </c>
      <c r="F2198" s="1405"/>
      <c r="G2198" s="1405"/>
      <c r="H2198" s="1405">
        <v>11896077.01</v>
      </c>
      <c r="I2198" s="1405"/>
      <c r="J2198" s="1405">
        <v>11896077.01</v>
      </c>
    </row>
    <row r="2199" spans="2:12">
      <c r="B2199" s="1297"/>
      <c r="C2199" s="1297"/>
      <c r="D2199" s="1297"/>
      <c r="E2199" s="1297" t="s">
        <v>956</v>
      </c>
      <c r="H2199" s="1399">
        <v>272390.81000000006</v>
      </c>
      <c r="J2199" s="1399">
        <v>272390.81000000006</v>
      </c>
    </row>
    <row r="2200" spans="2:12">
      <c r="B2200" s="1297"/>
      <c r="C2200" s="1297"/>
      <c r="D2200" s="1400" t="s">
        <v>1321</v>
      </c>
      <c r="E2200" s="1400"/>
      <c r="F2200" s="1401">
        <f>SUM(F2156:F2199)</f>
        <v>13998259.369999999</v>
      </c>
      <c r="G2200" s="1401">
        <f>SUM(G2156:G2199)</f>
        <v>41516021.249999993</v>
      </c>
      <c r="H2200" s="1401">
        <f>SUM(H2156:H2199)-H2198</f>
        <v>6484700.589999998</v>
      </c>
      <c r="I2200" s="1401">
        <f>SUM(I2156:I2199)-I2182</f>
        <v>61689182.480000004</v>
      </c>
      <c r="J2200" s="1401">
        <f>SUM(J2156:J2199)</f>
        <v>137386876.27999997</v>
      </c>
      <c r="K2200" s="1401">
        <f>SUM(F2200:I2200)</f>
        <v>123688163.69</v>
      </c>
      <c r="L2200" s="1408">
        <f>K2200/C2156</f>
        <v>12392.361856527401</v>
      </c>
    </row>
    <row r="2201" spans="2:12">
      <c r="B2201" s="1297" t="s">
        <v>1322</v>
      </c>
      <c r="C2201" s="1297">
        <v>35585</v>
      </c>
      <c r="D2201" s="1297" t="s">
        <v>1323</v>
      </c>
      <c r="E2201" s="1297" t="s">
        <v>906</v>
      </c>
      <c r="G2201" s="1399">
        <v>141862011.48000002</v>
      </c>
      <c r="J2201" s="1399">
        <v>141862011.48000002</v>
      </c>
    </row>
    <row r="2202" spans="2:12">
      <c r="B2202" s="1297"/>
      <c r="C2202" s="1297"/>
      <c r="D2202" s="1297"/>
      <c r="E2202" s="1297" t="s">
        <v>907</v>
      </c>
      <c r="G2202" s="1399">
        <v>27759501.399999999</v>
      </c>
      <c r="J2202" s="1399">
        <v>27759501.399999999</v>
      </c>
    </row>
    <row r="2203" spans="2:12">
      <c r="B2203" s="1297"/>
      <c r="C2203" s="1297"/>
      <c r="D2203" s="1297"/>
      <c r="E2203" s="1297" t="s">
        <v>908</v>
      </c>
      <c r="G2203" s="1399">
        <v>3673486.78</v>
      </c>
      <c r="J2203" s="1399">
        <v>3673486.78</v>
      </c>
    </row>
    <row r="2204" spans="2:12">
      <c r="B2204" s="1297"/>
      <c r="C2204" s="1297"/>
      <c r="D2204" s="1297"/>
      <c r="E2204" s="1297" t="s">
        <v>909</v>
      </c>
      <c r="H2204" s="1399">
        <v>65308.78</v>
      </c>
      <c r="J2204" s="1399">
        <v>65308.78</v>
      </c>
    </row>
    <row r="2205" spans="2:12">
      <c r="B2205" s="1297"/>
      <c r="C2205" s="1297"/>
      <c r="D2205" s="1297"/>
      <c r="E2205" s="1297" t="s">
        <v>1035</v>
      </c>
      <c r="H2205" s="1399">
        <v>1701136.86</v>
      </c>
      <c r="J2205" s="1399">
        <v>1701136.86</v>
      </c>
    </row>
    <row r="2206" spans="2:12">
      <c r="B2206" s="1297"/>
      <c r="C2206" s="1297"/>
      <c r="D2206" s="1297"/>
      <c r="E2206" s="1297" t="s">
        <v>1036</v>
      </c>
      <c r="H2206" s="1399">
        <v>1097744.22</v>
      </c>
      <c r="J2206" s="1399">
        <v>1097744.22</v>
      </c>
    </row>
    <row r="2207" spans="2:12">
      <c r="B2207" s="1297"/>
      <c r="C2207" s="1297"/>
      <c r="D2207" s="1297"/>
      <c r="E2207" s="1297" t="s">
        <v>1037</v>
      </c>
      <c r="H2207" s="1399">
        <v>199164.5</v>
      </c>
      <c r="J2207" s="1399">
        <v>199164.5</v>
      </c>
    </row>
    <row r="2208" spans="2:12">
      <c r="B2208" s="1297"/>
      <c r="C2208" s="1297"/>
      <c r="D2208" s="1297"/>
      <c r="E2208" s="1297" t="s">
        <v>1039</v>
      </c>
      <c r="H2208" s="1399">
        <v>230374.48</v>
      </c>
      <c r="J2208" s="1399">
        <v>230374.48</v>
      </c>
    </row>
    <row r="2209" spans="5:10" s="1297" customFormat="1">
      <c r="E2209" s="1297" t="s">
        <v>1040</v>
      </c>
      <c r="F2209" s="1399"/>
      <c r="G2209" s="1399"/>
      <c r="H2209" s="1399">
        <v>6342247.2800000003</v>
      </c>
      <c r="I2209" s="1399"/>
      <c r="J2209" s="1399">
        <v>6342247.2800000003</v>
      </c>
    </row>
    <row r="2210" spans="5:10" s="1297" customFormat="1">
      <c r="E2210" s="1297" t="s">
        <v>1041</v>
      </c>
      <c r="F2210" s="1399"/>
      <c r="G2210" s="1399"/>
      <c r="H2210" s="1399">
        <v>1832545.63</v>
      </c>
      <c r="I2210" s="1399"/>
      <c r="J2210" s="1399">
        <v>1832545.63</v>
      </c>
    </row>
    <row r="2211" spans="5:10" s="1297" customFormat="1">
      <c r="E2211" s="1297" t="s">
        <v>1042</v>
      </c>
      <c r="F2211" s="1399"/>
      <c r="G2211" s="1399"/>
      <c r="H2211" s="1399">
        <v>390877.1</v>
      </c>
      <c r="I2211" s="1399"/>
      <c r="J2211" s="1399">
        <v>390877.1</v>
      </c>
    </row>
    <row r="2212" spans="5:10" s="1297" customFormat="1">
      <c r="E2212" s="1297" t="s">
        <v>986</v>
      </c>
      <c r="F2212" s="1399"/>
      <c r="G2212" s="1399"/>
      <c r="H2212" s="1399">
        <v>170967.67</v>
      </c>
      <c r="I2212" s="1399"/>
      <c r="J2212" s="1399">
        <v>170967.67</v>
      </c>
    </row>
    <row r="2213" spans="5:10" s="1297" customFormat="1">
      <c r="E2213" s="1297" t="s">
        <v>1044</v>
      </c>
      <c r="F2213" s="1399">
        <v>50444.35</v>
      </c>
      <c r="G2213" s="1399"/>
      <c r="H2213" s="1399"/>
      <c r="I2213" s="1399"/>
      <c r="J2213" s="1399">
        <v>50444.35</v>
      </c>
    </row>
    <row r="2214" spans="5:10" s="1297" customFormat="1">
      <c r="E2214" s="1297" t="s">
        <v>1045</v>
      </c>
      <c r="F2214" s="1399"/>
      <c r="G2214" s="1399"/>
      <c r="H2214" s="1399">
        <v>9540827.2999999989</v>
      </c>
      <c r="I2214" s="1399"/>
      <c r="J2214" s="1399">
        <v>9540827.2999999989</v>
      </c>
    </row>
    <row r="2215" spans="5:10" s="1297" customFormat="1">
      <c r="E2215" s="1297" t="s">
        <v>1046</v>
      </c>
      <c r="F2215" s="1399"/>
      <c r="G2215" s="1399"/>
      <c r="H2215" s="1399"/>
      <c r="I2215" s="1399">
        <v>175029617</v>
      </c>
      <c r="J2215" s="1399">
        <v>175029617</v>
      </c>
    </row>
    <row r="2216" spans="5:10" s="1297" customFormat="1">
      <c r="E2216" s="1297" t="s">
        <v>1128</v>
      </c>
      <c r="F2216" s="1399"/>
      <c r="G2216" s="1399"/>
      <c r="H2216" s="1399"/>
      <c r="I2216" s="1399">
        <v>15265763</v>
      </c>
      <c r="J2216" s="1399">
        <v>15265763</v>
      </c>
    </row>
    <row r="2217" spans="5:10" s="1297" customFormat="1">
      <c r="E2217" s="1297" t="s">
        <v>1129</v>
      </c>
      <c r="F2217" s="1399"/>
      <c r="G2217" s="1399"/>
      <c r="H2217" s="1399"/>
      <c r="I2217" s="1399">
        <v>-20057476</v>
      </c>
      <c r="J2217" s="1399">
        <v>-20057476</v>
      </c>
    </row>
    <row r="2218" spans="5:10" s="1297" customFormat="1">
      <c r="E2218" s="1297" t="s">
        <v>1047</v>
      </c>
      <c r="F2218" s="1399"/>
      <c r="G2218" s="1399"/>
      <c r="H2218" s="1399"/>
      <c r="I2218" s="1399">
        <v>1991415</v>
      </c>
      <c r="J2218" s="1399">
        <v>1991415</v>
      </c>
    </row>
    <row r="2219" spans="5:10" s="1297" customFormat="1">
      <c r="E2219" s="1297" t="s">
        <v>1048</v>
      </c>
      <c r="F2219" s="1399"/>
      <c r="G2219" s="1399"/>
      <c r="H2219" s="1399"/>
      <c r="I2219" s="1399">
        <v>-44539944</v>
      </c>
      <c r="J2219" s="1399">
        <v>-44539944</v>
      </c>
    </row>
    <row r="2220" spans="5:10" s="1297" customFormat="1">
      <c r="E2220" s="1297" t="s">
        <v>934</v>
      </c>
      <c r="F2220" s="1399"/>
      <c r="G2220" s="1399"/>
      <c r="H2220" s="1399"/>
      <c r="I2220" s="1399">
        <v>410642</v>
      </c>
      <c r="J2220" s="1399">
        <v>410642</v>
      </c>
    </row>
    <row r="2221" spans="5:10" s="1297" customFormat="1">
      <c r="E2221" s="1297" t="s">
        <v>1130</v>
      </c>
      <c r="F2221" s="1399"/>
      <c r="G2221" s="1399"/>
      <c r="H2221" s="1399"/>
      <c r="I2221" s="1399">
        <v>430982.2</v>
      </c>
      <c r="J2221" s="1399">
        <v>430982.2</v>
      </c>
    </row>
    <row r="2222" spans="5:10" s="1297" customFormat="1">
      <c r="E2222" s="1297" t="s">
        <v>935</v>
      </c>
      <c r="F2222" s="1399"/>
      <c r="G2222" s="1399"/>
      <c r="H2222" s="1399"/>
      <c r="I2222" s="1399">
        <v>1911178.42</v>
      </c>
      <c r="J2222" s="1399">
        <v>1911178.42</v>
      </c>
    </row>
    <row r="2223" spans="5:10" s="1297" customFormat="1">
      <c r="E2223" s="1297" t="s">
        <v>940</v>
      </c>
      <c r="F2223" s="1399">
        <v>3457713.92</v>
      </c>
      <c r="G2223" s="1399"/>
      <c r="H2223" s="1399"/>
      <c r="I2223" s="1399"/>
      <c r="J2223" s="1399">
        <v>3457713.92</v>
      </c>
    </row>
    <row r="2224" spans="5:10" s="1297" customFormat="1">
      <c r="E2224" s="1297" t="s">
        <v>941</v>
      </c>
      <c r="F2224" s="1399">
        <v>988905.08</v>
      </c>
      <c r="G2224" s="1399"/>
      <c r="H2224" s="1399"/>
      <c r="I2224" s="1399"/>
      <c r="J2224" s="1399">
        <v>988905.08</v>
      </c>
    </row>
    <row r="2225" spans="2:12">
      <c r="B2225" s="1297"/>
      <c r="C2225" s="1297"/>
      <c r="D2225" s="1297"/>
      <c r="E2225" s="1297" t="s">
        <v>944</v>
      </c>
      <c r="F2225" s="1399">
        <v>6279789.5399999991</v>
      </c>
      <c r="J2225" s="1399">
        <v>6279789.5399999991</v>
      </c>
    </row>
    <row r="2226" spans="2:12">
      <c r="B2226" s="1297"/>
      <c r="C2226" s="1297"/>
      <c r="D2226" s="1297"/>
      <c r="E2226" s="1297" t="s">
        <v>945</v>
      </c>
      <c r="F2226" s="1399">
        <v>10974447.359999999</v>
      </c>
      <c r="J2226" s="1399">
        <v>10974447.359999999</v>
      </c>
    </row>
    <row r="2227" spans="2:12">
      <c r="B2227" s="1297"/>
      <c r="C2227" s="1297"/>
      <c r="D2227" s="1297"/>
      <c r="E2227" s="1297" t="s">
        <v>946</v>
      </c>
      <c r="F2227" s="1399">
        <v>66328.12</v>
      </c>
      <c r="J2227" s="1399">
        <v>66328.12</v>
      </c>
    </row>
    <row r="2228" spans="2:12">
      <c r="B2228" s="1297"/>
      <c r="C2228" s="1297"/>
      <c r="D2228" s="1297"/>
      <c r="E2228" s="1297" t="s">
        <v>1214</v>
      </c>
      <c r="F2228" s="1399">
        <v>175984.9</v>
      </c>
      <c r="J2228" s="1399">
        <v>175984.9</v>
      </c>
    </row>
    <row r="2229" spans="2:12">
      <c r="B2229" s="1297"/>
      <c r="C2229" s="1297"/>
      <c r="D2229" s="1297"/>
      <c r="E2229" s="1297" t="s">
        <v>947</v>
      </c>
      <c r="F2229" s="1399">
        <v>795724.67</v>
      </c>
      <c r="J2229" s="1399">
        <v>795724.67</v>
      </c>
    </row>
    <row r="2230" spans="2:12">
      <c r="B2230" s="1297"/>
      <c r="C2230" s="1297"/>
      <c r="D2230" s="1297"/>
      <c r="E2230" s="1404" t="s">
        <v>1116</v>
      </c>
      <c r="F2230" s="1405"/>
      <c r="G2230" s="1405"/>
      <c r="H2230" s="1405">
        <v>25865650</v>
      </c>
      <c r="I2230" s="1405"/>
      <c r="J2230" s="1405">
        <v>25865650</v>
      </c>
    </row>
    <row r="2231" spans="2:12">
      <c r="B2231" s="1297"/>
      <c r="C2231" s="1297"/>
      <c r="D2231" s="1297"/>
      <c r="E2231" s="1404" t="s">
        <v>948</v>
      </c>
      <c r="F2231" s="1405"/>
      <c r="G2231" s="1405"/>
      <c r="H2231" s="1405">
        <v>30958425</v>
      </c>
      <c r="I2231" s="1405"/>
      <c r="J2231" s="1405">
        <v>30958425</v>
      </c>
    </row>
    <row r="2232" spans="2:12">
      <c r="B2232" s="1297"/>
      <c r="C2232" s="1297"/>
      <c r="D2232" s="1297"/>
      <c r="E2232" s="1297" t="s">
        <v>956</v>
      </c>
      <c r="H2232" s="1399">
        <v>216601.5</v>
      </c>
      <c r="J2232" s="1399">
        <v>216601.5</v>
      </c>
    </row>
    <row r="2233" spans="2:12">
      <c r="B2233" s="1297"/>
      <c r="C2233" s="1297"/>
      <c r="D2233" s="1400" t="s">
        <v>1132</v>
      </c>
      <c r="E2233" s="1400"/>
      <c r="F2233" s="1401">
        <f>SUM(F2201:F2232)</f>
        <v>22789337.940000001</v>
      </c>
      <c r="G2233" s="1401">
        <f>SUM(G2201:G2232)</f>
        <v>173294999.66000003</v>
      </c>
      <c r="H2233" s="1401">
        <f>SUM(H2201:H2232)-(H2230+H2231)</f>
        <v>21787795.319999993</v>
      </c>
      <c r="I2233" s="1401">
        <f>SUM(I2201:I2232)</f>
        <v>130442177.62</v>
      </c>
      <c r="J2233" s="1401">
        <f>SUM(J2201:J2232)</f>
        <v>405138385.54000008</v>
      </c>
      <c r="K2233" s="1401">
        <f>SUM(F2233:I2233)</f>
        <v>348314310.54000002</v>
      </c>
      <c r="L2233" s="1408">
        <f>K2233/C2201</f>
        <v>9788.2341025713085</v>
      </c>
    </row>
    <row r="2234" spans="2:12">
      <c r="B2234" s="1297" t="s">
        <v>1133</v>
      </c>
      <c r="C2234" s="1297">
        <v>3623</v>
      </c>
      <c r="D2234" s="1297" t="s">
        <v>1134</v>
      </c>
      <c r="E2234" s="1297" t="s">
        <v>906</v>
      </c>
      <c r="G2234" s="1399">
        <v>9528335.75</v>
      </c>
      <c r="J2234" s="1399">
        <v>9528335.75</v>
      </c>
    </row>
    <row r="2235" spans="2:12">
      <c r="B2235" s="1297"/>
      <c r="C2235" s="1297"/>
      <c r="D2235" s="1297"/>
      <c r="E2235" s="1297" t="s">
        <v>907</v>
      </c>
      <c r="G2235" s="1399">
        <v>2921555.48</v>
      </c>
      <c r="J2235" s="1399">
        <v>2921555.48</v>
      </c>
    </row>
    <row r="2236" spans="2:12">
      <c r="B2236" s="1297"/>
      <c r="C2236" s="1297"/>
      <c r="D2236" s="1297"/>
      <c r="E2236" s="1297" t="s">
        <v>908</v>
      </c>
      <c r="G2236" s="1399">
        <v>139833.29</v>
      </c>
      <c r="J2236" s="1399">
        <v>139833.29</v>
      </c>
    </row>
    <row r="2237" spans="2:12">
      <c r="B2237" s="1297"/>
      <c r="C2237" s="1297"/>
      <c r="D2237" s="1297"/>
      <c r="E2237" s="1297" t="s">
        <v>909</v>
      </c>
      <c r="H2237" s="1399">
        <v>49838.14</v>
      </c>
      <c r="J2237" s="1399">
        <v>49838.14</v>
      </c>
    </row>
    <row r="2238" spans="2:12">
      <c r="B2238" s="1297"/>
      <c r="C2238" s="1297"/>
      <c r="D2238" s="1297"/>
      <c r="E2238" s="1297" t="s">
        <v>910</v>
      </c>
      <c r="H2238" s="1399">
        <v>122300.26</v>
      </c>
      <c r="J2238" s="1399">
        <v>122300.26</v>
      </c>
    </row>
    <row r="2239" spans="2:12">
      <c r="B2239" s="1297"/>
      <c r="C2239" s="1297"/>
      <c r="D2239" s="1297"/>
      <c r="E2239" s="1297" t="s">
        <v>1034</v>
      </c>
      <c r="H2239" s="1399">
        <v>303333.40999999997</v>
      </c>
      <c r="J2239" s="1399">
        <v>303333.40999999997</v>
      </c>
    </row>
    <row r="2240" spans="2:12">
      <c r="B2240" s="1297"/>
      <c r="C2240" s="1297"/>
      <c r="D2240" s="1297"/>
      <c r="E2240" s="1297" t="s">
        <v>1035</v>
      </c>
      <c r="H2240" s="1399">
        <v>496905.64</v>
      </c>
      <c r="J2240" s="1399">
        <v>496905.64</v>
      </c>
    </row>
    <row r="2241" spans="5:10" s="1297" customFormat="1">
      <c r="E2241" s="1297" t="s">
        <v>1036</v>
      </c>
      <c r="F2241" s="1399"/>
      <c r="G2241" s="1399"/>
      <c r="H2241" s="1399">
        <v>130953.20999999999</v>
      </c>
      <c r="I2241" s="1399"/>
      <c r="J2241" s="1399">
        <v>130953.20999999999</v>
      </c>
    </row>
    <row r="2242" spans="5:10" s="1297" customFormat="1">
      <c r="E2242" s="1297" t="s">
        <v>1037</v>
      </c>
      <c r="F2242" s="1399"/>
      <c r="G2242" s="1399"/>
      <c r="H2242" s="1399">
        <v>14800</v>
      </c>
      <c r="I2242" s="1399"/>
      <c r="J2242" s="1399">
        <v>14800</v>
      </c>
    </row>
    <row r="2243" spans="5:10" s="1297" customFormat="1">
      <c r="E2243" s="1297" t="s">
        <v>1003</v>
      </c>
      <c r="F2243" s="1399"/>
      <c r="G2243" s="1399"/>
      <c r="H2243" s="1399">
        <v>66629.649999999994</v>
      </c>
      <c r="I2243" s="1399"/>
      <c r="J2243" s="1399">
        <v>66629.649999999994</v>
      </c>
    </row>
    <row r="2244" spans="5:10" s="1297" customFormat="1">
      <c r="E2244" s="1297" t="s">
        <v>1039</v>
      </c>
      <c r="F2244" s="1399"/>
      <c r="G2244" s="1399"/>
      <c r="H2244" s="1399">
        <v>52190.85</v>
      </c>
      <c r="I2244" s="1399"/>
      <c r="J2244" s="1399">
        <v>52190.85</v>
      </c>
    </row>
    <row r="2245" spans="5:10" s="1297" customFormat="1">
      <c r="E2245" s="1297" t="s">
        <v>1040</v>
      </c>
      <c r="F2245" s="1399"/>
      <c r="G2245" s="1399"/>
      <c r="H2245" s="1399">
        <v>325342.08999999997</v>
      </c>
      <c r="I2245" s="1399"/>
      <c r="J2245" s="1399">
        <v>325342.08999999997</v>
      </c>
    </row>
    <row r="2246" spans="5:10" s="1297" customFormat="1">
      <c r="E2246" s="1297" t="s">
        <v>1041</v>
      </c>
      <c r="F2246" s="1399"/>
      <c r="G2246" s="1399"/>
      <c r="H2246" s="1399">
        <v>26682.92</v>
      </c>
      <c r="I2246" s="1399"/>
      <c r="J2246" s="1399">
        <v>26682.92</v>
      </c>
    </row>
    <row r="2247" spans="5:10" s="1297" customFormat="1">
      <c r="E2247" s="1297" t="s">
        <v>1042</v>
      </c>
      <c r="F2247" s="1399"/>
      <c r="G2247" s="1399"/>
      <c r="H2247" s="1399">
        <v>54014.18</v>
      </c>
      <c r="I2247" s="1399"/>
      <c r="J2247" s="1399">
        <v>54014.18</v>
      </c>
    </row>
    <row r="2248" spans="5:10" s="1297" customFormat="1">
      <c r="E2248" s="1297" t="s">
        <v>985</v>
      </c>
      <c r="F2248" s="1399"/>
      <c r="G2248" s="1399"/>
      <c r="H2248" s="1399">
        <v>2239.65</v>
      </c>
      <c r="I2248" s="1399"/>
      <c r="J2248" s="1399">
        <v>2239.65</v>
      </c>
    </row>
    <row r="2249" spans="5:10" s="1297" customFormat="1">
      <c r="E2249" s="1297" t="s">
        <v>1043</v>
      </c>
      <c r="F2249" s="1399"/>
      <c r="G2249" s="1399"/>
      <c r="H2249" s="1399">
        <v>53025</v>
      </c>
      <c r="I2249" s="1399"/>
      <c r="J2249" s="1399">
        <v>53025</v>
      </c>
    </row>
    <row r="2250" spans="5:10" s="1297" customFormat="1">
      <c r="E2250" s="1297" t="s">
        <v>986</v>
      </c>
      <c r="F2250" s="1399"/>
      <c r="G2250" s="1399"/>
      <c r="H2250" s="1399">
        <v>20042.12</v>
      </c>
      <c r="I2250" s="1399"/>
      <c r="J2250" s="1399">
        <v>20042.12</v>
      </c>
    </row>
    <row r="2251" spans="5:10" s="1297" customFormat="1">
      <c r="E2251" s="1297" t="s">
        <v>1045</v>
      </c>
      <c r="F2251" s="1399"/>
      <c r="G2251" s="1399"/>
      <c r="H2251" s="1399">
        <v>45742.48</v>
      </c>
      <c r="I2251" s="1399"/>
      <c r="J2251" s="1399">
        <v>45742.48</v>
      </c>
    </row>
    <row r="2252" spans="5:10" s="1297" customFormat="1">
      <c r="E2252" s="1297" t="s">
        <v>1046</v>
      </c>
      <c r="F2252" s="1399"/>
      <c r="G2252" s="1399"/>
      <c r="H2252" s="1399"/>
      <c r="I2252" s="1399">
        <v>20131702</v>
      </c>
      <c r="J2252" s="1399">
        <v>20131702</v>
      </c>
    </row>
    <row r="2253" spans="5:10" s="1297" customFormat="1">
      <c r="E2253" s="1297" t="s">
        <v>1128</v>
      </c>
      <c r="F2253" s="1399"/>
      <c r="G2253" s="1399"/>
      <c r="H2253" s="1399"/>
      <c r="I2253" s="1399">
        <v>1579408</v>
      </c>
      <c r="J2253" s="1399">
        <v>1579408</v>
      </c>
    </row>
    <row r="2254" spans="5:10" s="1297" customFormat="1">
      <c r="E2254" s="1297" t="s">
        <v>1129</v>
      </c>
      <c r="F2254" s="1399"/>
      <c r="G2254" s="1399"/>
      <c r="H2254" s="1399"/>
      <c r="I2254" s="1399">
        <v>-2740308</v>
      </c>
      <c r="J2254" s="1399">
        <v>-2740308</v>
      </c>
    </row>
    <row r="2255" spans="5:10" s="1297" customFormat="1">
      <c r="E2255" s="1297" t="s">
        <v>1047</v>
      </c>
      <c r="F2255" s="1399"/>
      <c r="G2255" s="1399"/>
      <c r="H2255" s="1399"/>
      <c r="I2255" s="1399">
        <v>666697</v>
      </c>
      <c r="J2255" s="1399">
        <v>666697</v>
      </c>
    </row>
    <row r="2256" spans="5:10" s="1297" customFormat="1">
      <c r="E2256" s="1297" t="s">
        <v>1048</v>
      </c>
      <c r="F2256" s="1399"/>
      <c r="G2256" s="1399"/>
      <c r="H2256" s="1399"/>
      <c r="I2256" s="1399">
        <v>-3039270</v>
      </c>
      <c r="J2256" s="1399">
        <v>-3039270</v>
      </c>
    </row>
    <row r="2257" spans="2:12">
      <c r="B2257" s="1297"/>
      <c r="C2257" s="1297"/>
      <c r="D2257" s="1297"/>
      <c r="E2257" s="1297" t="s">
        <v>932</v>
      </c>
      <c r="I2257" s="1399">
        <v>920599</v>
      </c>
      <c r="J2257" s="1399">
        <v>920599</v>
      </c>
    </row>
    <row r="2258" spans="2:12">
      <c r="B2258" s="1297"/>
      <c r="C2258" s="1297"/>
      <c r="D2258" s="1297"/>
      <c r="E2258" s="1297" t="s">
        <v>934</v>
      </c>
      <c r="I2258" s="1399">
        <v>56616</v>
      </c>
      <c r="J2258" s="1399">
        <v>56616</v>
      </c>
    </row>
    <row r="2259" spans="2:12">
      <c r="B2259" s="1297"/>
      <c r="C2259" s="1297"/>
      <c r="D2259" s="1297"/>
      <c r="E2259" s="1297" t="s">
        <v>935</v>
      </c>
      <c r="I2259" s="1399">
        <v>550731.48</v>
      </c>
      <c r="J2259" s="1399">
        <v>550731.48</v>
      </c>
    </row>
    <row r="2260" spans="2:12">
      <c r="B2260" s="1297"/>
      <c r="C2260" s="1297"/>
      <c r="D2260" s="1297"/>
      <c r="E2260" s="1297" t="s">
        <v>936</v>
      </c>
      <c r="I2260" s="1399">
        <v>67929.2</v>
      </c>
      <c r="J2260" s="1399">
        <v>67929.2</v>
      </c>
    </row>
    <row r="2261" spans="2:12">
      <c r="B2261" s="1297"/>
      <c r="C2261" s="1297"/>
      <c r="D2261" s="1297"/>
      <c r="E2261" s="1297" t="s">
        <v>937</v>
      </c>
      <c r="I2261" s="1399">
        <v>16970.72</v>
      </c>
      <c r="J2261" s="1399">
        <v>16970.72</v>
      </c>
    </row>
    <row r="2262" spans="2:12">
      <c r="B2262" s="1297"/>
      <c r="C2262" s="1297"/>
      <c r="D2262" s="1297"/>
      <c r="E2262" s="1297" t="s">
        <v>938</v>
      </c>
      <c r="I2262" s="1399">
        <v>25266</v>
      </c>
      <c r="J2262" s="1399">
        <v>25266</v>
      </c>
    </row>
    <row r="2263" spans="2:12">
      <c r="B2263" s="1297"/>
      <c r="C2263" s="1297"/>
      <c r="D2263" s="1297"/>
      <c r="E2263" s="1297" t="s">
        <v>939</v>
      </c>
      <c r="I2263" s="1399">
        <v>40944.15</v>
      </c>
      <c r="J2263" s="1399">
        <v>40944.15</v>
      </c>
    </row>
    <row r="2264" spans="2:12">
      <c r="B2264" s="1297"/>
      <c r="C2264" s="1297"/>
      <c r="D2264" s="1297"/>
      <c r="E2264" s="1297" t="s">
        <v>940</v>
      </c>
      <c r="F2264" s="1399">
        <v>809301.1</v>
      </c>
      <c r="J2264" s="1399">
        <v>809301.1</v>
      </c>
    </row>
    <row r="2265" spans="2:12">
      <c r="B2265" s="1297"/>
      <c r="C2265" s="1297"/>
      <c r="D2265" s="1297"/>
      <c r="E2265" s="1297" t="s">
        <v>941</v>
      </c>
      <c r="F2265" s="1399">
        <v>248308.48000000001</v>
      </c>
      <c r="J2265" s="1399">
        <v>248308.48000000001</v>
      </c>
    </row>
    <row r="2266" spans="2:12">
      <c r="B2266" s="1297"/>
      <c r="C2266" s="1297"/>
      <c r="D2266" s="1297"/>
      <c r="E2266" s="1297" t="s">
        <v>943</v>
      </c>
      <c r="F2266" s="1399">
        <v>2863.8</v>
      </c>
      <c r="J2266" s="1399">
        <v>2863.8</v>
      </c>
    </row>
    <row r="2267" spans="2:12">
      <c r="B2267" s="1297"/>
      <c r="C2267" s="1297"/>
      <c r="D2267" s="1297"/>
      <c r="E2267" s="1297" t="s">
        <v>944</v>
      </c>
      <c r="F2267" s="1399">
        <v>2673703.3100000005</v>
      </c>
      <c r="J2267" s="1399">
        <v>2673703.3100000005</v>
      </c>
    </row>
    <row r="2268" spans="2:12">
      <c r="B2268" s="1297"/>
      <c r="C2268" s="1297"/>
      <c r="D2268" s="1297"/>
      <c r="E2268" s="1297" t="s">
        <v>945</v>
      </c>
      <c r="F2268" s="1399">
        <v>1059197.5899999999</v>
      </c>
      <c r="J2268" s="1399">
        <v>1059197.5899999999</v>
      </c>
    </row>
    <row r="2269" spans="2:12">
      <c r="B2269" s="1297"/>
      <c r="C2269" s="1297"/>
      <c r="D2269" s="1297"/>
      <c r="E2269" s="1297" t="s">
        <v>947</v>
      </c>
      <c r="F2269" s="1399">
        <v>38879.089999999997</v>
      </c>
      <c r="J2269" s="1399">
        <v>38879.089999999997</v>
      </c>
    </row>
    <row r="2270" spans="2:12">
      <c r="B2270" s="1297"/>
      <c r="C2270" s="1297"/>
      <c r="D2270" s="1297"/>
      <c r="E2270" s="1404" t="s">
        <v>948</v>
      </c>
      <c r="F2270" s="1405"/>
      <c r="G2270" s="1405"/>
      <c r="H2270" s="1405">
        <v>383636.37999999995</v>
      </c>
      <c r="I2270" s="1405"/>
      <c r="J2270" s="1405">
        <v>383636.37999999995</v>
      </c>
    </row>
    <row r="2271" spans="2:12">
      <c r="B2271" s="1297"/>
      <c r="C2271" s="1297"/>
      <c r="D2271" s="1297"/>
      <c r="E2271" s="1297" t="s">
        <v>1118</v>
      </c>
      <c r="H2271" s="1399">
        <v>46329.36</v>
      </c>
      <c r="J2271" s="1399">
        <v>46329.36</v>
      </c>
    </row>
    <row r="2272" spans="2:12">
      <c r="B2272" s="1297"/>
      <c r="C2272" s="1297"/>
      <c r="D2272" s="1400" t="s">
        <v>1135</v>
      </c>
      <c r="E2272" s="1400"/>
      <c r="F2272" s="1401">
        <f>SUM(F2234:F2271)</f>
        <v>4832253.37</v>
      </c>
      <c r="G2272" s="1401">
        <f>SUM(G2234:G2271)</f>
        <v>12589724.52</v>
      </c>
      <c r="H2272" s="1401">
        <f>SUM(H2234:H2271)-H2270</f>
        <v>1810368.96</v>
      </c>
      <c r="I2272" s="1401">
        <f>SUM(I2234:I2271)</f>
        <v>18277285.549999997</v>
      </c>
      <c r="J2272" s="1401">
        <f>SUM(J2234:J2271)</f>
        <v>37893268.780000009</v>
      </c>
      <c r="K2272" s="1401">
        <f>SUM(F2272:I2272)</f>
        <v>37509632.399999999</v>
      </c>
      <c r="L2272" s="1408">
        <f>K2272/C2234</f>
        <v>10353.196908639249</v>
      </c>
    </row>
    <row r="2273" spans="2:10" s="1297" customFormat="1">
      <c r="B2273" s="1297" t="s">
        <v>1136</v>
      </c>
      <c r="C2273" s="1297">
        <v>89104</v>
      </c>
      <c r="D2273" s="1297" t="s">
        <v>1137</v>
      </c>
      <c r="E2273" s="1297" t="s">
        <v>906</v>
      </c>
      <c r="F2273" s="1399"/>
      <c r="G2273" s="1399">
        <v>534160031.81</v>
      </c>
      <c r="H2273" s="1399"/>
      <c r="I2273" s="1399"/>
      <c r="J2273" s="1399">
        <v>534160031.81</v>
      </c>
    </row>
    <row r="2274" spans="2:10" s="1297" customFormat="1">
      <c r="E2274" s="1297" t="s">
        <v>907</v>
      </c>
      <c r="F2274" s="1399"/>
      <c r="G2274" s="1399">
        <v>130265771.02</v>
      </c>
      <c r="H2274" s="1399"/>
      <c r="I2274" s="1399"/>
      <c r="J2274" s="1399">
        <v>130265771.02</v>
      </c>
    </row>
    <row r="2275" spans="2:10" s="1297" customFormat="1">
      <c r="E2275" s="1297" t="s">
        <v>908</v>
      </c>
      <c r="F2275" s="1399"/>
      <c r="G2275" s="1399">
        <v>1387621.51</v>
      </c>
      <c r="H2275" s="1399"/>
      <c r="I2275" s="1399"/>
      <c r="J2275" s="1399">
        <v>1387621.51</v>
      </c>
    </row>
    <row r="2276" spans="2:10" s="1297" customFormat="1">
      <c r="E2276" s="1297" t="s">
        <v>1122</v>
      </c>
      <c r="F2276" s="1399"/>
      <c r="G2276" s="1399">
        <v>-476313</v>
      </c>
      <c r="H2276" s="1399"/>
      <c r="I2276" s="1399"/>
      <c r="J2276" s="1399">
        <v>-476313</v>
      </c>
    </row>
    <row r="2277" spans="2:10" s="1297" customFormat="1">
      <c r="E2277" s="1297" t="s">
        <v>1034</v>
      </c>
      <c r="F2277" s="1399"/>
      <c r="G2277" s="1399"/>
      <c r="H2277" s="1399">
        <v>76965.06</v>
      </c>
      <c r="I2277" s="1399"/>
      <c r="J2277" s="1399">
        <v>76965.06</v>
      </c>
    </row>
    <row r="2278" spans="2:10" s="1297" customFormat="1">
      <c r="E2278" s="1297" t="s">
        <v>1035</v>
      </c>
      <c r="F2278" s="1399"/>
      <c r="G2278" s="1399"/>
      <c r="H2278" s="1399">
        <v>9311</v>
      </c>
      <c r="I2278" s="1399"/>
      <c r="J2278" s="1399">
        <v>9311</v>
      </c>
    </row>
    <row r="2279" spans="2:10" s="1297" customFormat="1">
      <c r="E2279" s="1297" t="s">
        <v>1037</v>
      </c>
      <c r="F2279" s="1399"/>
      <c r="G2279" s="1399"/>
      <c r="H2279" s="1399">
        <v>292811.46999999997</v>
      </c>
      <c r="I2279" s="1399"/>
      <c r="J2279" s="1399">
        <v>292811.46999999997</v>
      </c>
    </row>
    <row r="2280" spans="2:10" s="1297" customFormat="1">
      <c r="E2280" s="1297" t="s">
        <v>1038</v>
      </c>
      <c r="F2280" s="1399"/>
      <c r="G2280" s="1399"/>
      <c r="H2280" s="1399">
        <v>484751.59</v>
      </c>
      <c r="I2280" s="1399"/>
      <c r="J2280" s="1399">
        <v>484751.59</v>
      </c>
    </row>
    <row r="2281" spans="2:10" s="1297" customFormat="1">
      <c r="E2281" s="1297" t="s">
        <v>1039</v>
      </c>
      <c r="F2281" s="1399"/>
      <c r="G2281" s="1399"/>
      <c r="H2281" s="1399">
        <v>830474.47</v>
      </c>
      <c r="I2281" s="1399"/>
      <c r="J2281" s="1399">
        <v>830474.47</v>
      </c>
    </row>
    <row r="2282" spans="2:10" s="1297" customFormat="1">
      <c r="E2282" s="1297" t="s">
        <v>1040</v>
      </c>
      <c r="F2282" s="1399"/>
      <c r="G2282" s="1399"/>
      <c r="H2282" s="1399">
        <v>6206395.0999999987</v>
      </c>
      <c r="I2282" s="1399"/>
      <c r="J2282" s="1399">
        <v>6206395.0999999987</v>
      </c>
    </row>
    <row r="2283" spans="2:10" s="1297" customFormat="1">
      <c r="E2283" s="1297" t="s">
        <v>1041</v>
      </c>
      <c r="F2283" s="1399"/>
      <c r="G2283" s="1399"/>
      <c r="H2283" s="1399">
        <v>8382524.9400000004</v>
      </c>
      <c r="I2283" s="1399"/>
      <c r="J2283" s="1399">
        <v>8382524.9400000004</v>
      </c>
    </row>
    <row r="2284" spans="2:10" s="1297" customFormat="1">
      <c r="E2284" s="1297" t="s">
        <v>1042</v>
      </c>
      <c r="F2284" s="1399"/>
      <c r="G2284" s="1399"/>
      <c r="H2284" s="1399">
        <v>395325.37999999983</v>
      </c>
      <c r="I2284" s="1399"/>
      <c r="J2284" s="1399">
        <v>395325.37999999983</v>
      </c>
    </row>
    <row r="2285" spans="2:10" s="1297" customFormat="1">
      <c r="E2285" s="1297" t="s">
        <v>953</v>
      </c>
      <c r="F2285" s="1399"/>
      <c r="G2285" s="1399"/>
      <c r="H2285" s="1399">
        <v>365645.6999999999</v>
      </c>
      <c r="I2285" s="1399"/>
      <c r="J2285" s="1399">
        <v>365645.6999999999</v>
      </c>
    </row>
    <row r="2286" spans="2:10" s="1297" customFormat="1">
      <c r="E2286" s="1297" t="s">
        <v>954</v>
      </c>
      <c r="F2286" s="1399"/>
      <c r="G2286" s="1399"/>
      <c r="H2286" s="1399">
        <v>781787.8</v>
      </c>
      <c r="I2286" s="1399"/>
      <c r="J2286" s="1399">
        <v>781787.8</v>
      </c>
    </row>
    <row r="2287" spans="2:10" s="1297" customFormat="1">
      <c r="E2287" s="1297" t="s">
        <v>1043</v>
      </c>
      <c r="F2287" s="1399"/>
      <c r="G2287" s="1399"/>
      <c r="H2287" s="1399">
        <v>1226485.18</v>
      </c>
      <c r="I2287" s="1399"/>
      <c r="J2287" s="1399">
        <v>1226485.18</v>
      </c>
    </row>
    <row r="2288" spans="2:10" s="1297" customFormat="1">
      <c r="E2288" s="1297" t="s">
        <v>986</v>
      </c>
      <c r="F2288" s="1399"/>
      <c r="G2288" s="1399"/>
      <c r="H2288" s="1399">
        <v>412996.45</v>
      </c>
      <c r="I2288" s="1399"/>
      <c r="J2288" s="1399">
        <v>412996.45</v>
      </c>
    </row>
    <row r="2289" spans="5:10" s="1297" customFormat="1">
      <c r="E2289" s="1297" t="s">
        <v>1005</v>
      </c>
      <c r="F2289" s="1399"/>
      <c r="G2289" s="1399"/>
      <c r="H2289" s="1399">
        <v>586597.14</v>
      </c>
      <c r="I2289" s="1399"/>
      <c r="J2289" s="1399">
        <v>586597.14</v>
      </c>
    </row>
    <row r="2290" spans="5:10" s="1297" customFormat="1">
      <c r="E2290" s="1297" t="s">
        <v>1044</v>
      </c>
      <c r="F2290" s="1399">
        <v>2749759.76</v>
      </c>
      <c r="G2290" s="1399"/>
      <c r="H2290" s="1399"/>
      <c r="I2290" s="1399"/>
      <c r="J2290" s="1399">
        <v>2749759.76</v>
      </c>
    </row>
    <row r="2291" spans="5:10" s="1297" customFormat="1">
      <c r="E2291" s="1297" t="s">
        <v>1045</v>
      </c>
      <c r="F2291" s="1399"/>
      <c r="G2291" s="1399"/>
      <c r="H2291" s="1399">
        <v>42700171.349999994</v>
      </c>
      <c r="I2291" s="1399"/>
      <c r="J2291" s="1399">
        <v>42700171.349999994</v>
      </c>
    </row>
    <row r="2292" spans="5:10" s="1297" customFormat="1">
      <c r="E2292" s="1297" t="s">
        <v>1046</v>
      </c>
      <c r="F2292" s="1399"/>
      <c r="G2292" s="1399"/>
      <c r="H2292" s="1399"/>
      <c r="I2292" s="1399">
        <v>440772565</v>
      </c>
      <c r="J2292" s="1399">
        <v>440772565</v>
      </c>
    </row>
    <row r="2293" spans="5:10" s="1297" customFormat="1">
      <c r="E2293" s="1297" t="s">
        <v>1128</v>
      </c>
      <c r="F2293" s="1399"/>
      <c r="G2293" s="1399"/>
      <c r="H2293" s="1399"/>
      <c r="I2293" s="1399">
        <v>39949156</v>
      </c>
      <c r="J2293" s="1399">
        <v>39949156</v>
      </c>
    </row>
    <row r="2294" spans="5:10" s="1297" customFormat="1">
      <c r="E2294" s="1297" t="s">
        <v>1129</v>
      </c>
      <c r="F2294" s="1399"/>
      <c r="G2294" s="1399"/>
      <c r="H2294" s="1399"/>
      <c r="I2294" s="1399">
        <v>-50343585</v>
      </c>
      <c r="J2294" s="1399">
        <v>-50343585</v>
      </c>
    </row>
    <row r="2295" spans="5:10" s="1297" customFormat="1">
      <c r="E2295" s="1297" t="s">
        <v>1047</v>
      </c>
      <c r="F2295" s="1399"/>
      <c r="G2295" s="1399"/>
      <c r="H2295" s="1399"/>
      <c r="I2295" s="1399">
        <v>6240199</v>
      </c>
      <c r="J2295" s="1399">
        <v>6240199</v>
      </c>
    </row>
    <row r="2296" spans="5:10" s="1297" customFormat="1">
      <c r="E2296" s="1297" t="s">
        <v>1048</v>
      </c>
      <c r="F2296" s="1399"/>
      <c r="G2296" s="1399"/>
      <c r="H2296" s="1399"/>
      <c r="I2296" s="1399">
        <v>-151179186</v>
      </c>
      <c r="J2296" s="1399">
        <v>-151179186</v>
      </c>
    </row>
    <row r="2297" spans="5:10" s="1297" customFormat="1">
      <c r="E2297" s="1404" t="s">
        <v>955</v>
      </c>
      <c r="F2297" s="1405"/>
      <c r="G2297" s="1405"/>
      <c r="H2297" s="1405"/>
      <c r="I2297" s="1405">
        <v>5668445.4800000004</v>
      </c>
      <c r="J2297" s="1405">
        <v>5668445.4800000004</v>
      </c>
    </row>
    <row r="2298" spans="5:10" s="1297" customFormat="1">
      <c r="E2298" s="1297" t="s">
        <v>934</v>
      </c>
      <c r="F2298" s="1399"/>
      <c r="G2298" s="1399"/>
      <c r="H2298" s="1399"/>
      <c r="I2298" s="1399">
        <v>969998</v>
      </c>
      <c r="J2298" s="1399">
        <v>969998</v>
      </c>
    </row>
    <row r="2299" spans="5:10" s="1297" customFormat="1">
      <c r="E2299" s="1297" t="s">
        <v>1130</v>
      </c>
      <c r="F2299" s="1399"/>
      <c r="G2299" s="1399"/>
      <c r="H2299" s="1399"/>
      <c r="I2299" s="1399">
        <v>13179901.5</v>
      </c>
      <c r="J2299" s="1399">
        <v>13179901.5</v>
      </c>
    </row>
    <row r="2300" spans="5:10" s="1297" customFormat="1">
      <c r="E2300" s="1297" t="s">
        <v>935</v>
      </c>
      <c r="F2300" s="1399"/>
      <c r="G2300" s="1399"/>
      <c r="H2300" s="1399"/>
      <c r="I2300" s="1399">
        <v>4521147.7299999995</v>
      </c>
      <c r="J2300" s="1399">
        <v>4521147.7299999995</v>
      </c>
    </row>
    <row r="2301" spans="5:10" s="1297" customFormat="1">
      <c r="E2301" s="1297" t="s">
        <v>936</v>
      </c>
      <c r="F2301" s="1399"/>
      <c r="G2301" s="1399"/>
      <c r="H2301" s="1399"/>
      <c r="I2301" s="1399">
        <v>1184209.1100000001</v>
      </c>
      <c r="J2301" s="1399">
        <v>1184209.1100000001</v>
      </c>
    </row>
    <row r="2302" spans="5:10" s="1297" customFormat="1">
      <c r="E2302" s="1297" t="s">
        <v>937</v>
      </c>
      <c r="F2302" s="1399"/>
      <c r="G2302" s="1399"/>
      <c r="H2302" s="1399"/>
      <c r="I2302" s="1399">
        <v>67627.17</v>
      </c>
      <c r="J2302" s="1399">
        <v>67627.17</v>
      </c>
    </row>
    <row r="2303" spans="5:10" s="1297" customFormat="1">
      <c r="E2303" s="1297" t="s">
        <v>1131</v>
      </c>
      <c r="F2303" s="1399">
        <v>2540034.7399999998</v>
      </c>
      <c r="G2303" s="1399"/>
      <c r="H2303" s="1399"/>
      <c r="I2303" s="1399"/>
      <c r="J2303" s="1399">
        <v>2540034.7399999998</v>
      </c>
    </row>
    <row r="2304" spans="5:10" s="1297" customFormat="1">
      <c r="E2304" s="1297" t="s">
        <v>940</v>
      </c>
      <c r="F2304" s="1399">
        <v>15151517.840000004</v>
      </c>
      <c r="G2304" s="1399"/>
      <c r="H2304" s="1399"/>
      <c r="I2304" s="1399"/>
      <c r="J2304" s="1399">
        <v>15151517.840000004</v>
      </c>
    </row>
    <row r="2305" spans="2:14">
      <c r="B2305" s="1297"/>
      <c r="C2305" s="1297"/>
      <c r="D2305" s="1297"/>
      <c r="E2305" s="1297" t="s">
        <v>941</v>
      </c>
      <c r="F2305" s="1399">
        <v>5196159.26</v>
      </c>
      <c r="J2305" s="1399">
        <v>5196159.26</v>
      </c>
    </row>
    <row r="2306" spans="2:14">
      <c r="B2306" s="1297"/>
      <c r="C2306" s="1297"/>
      <c r="D2306" s="1297"/>
      <c r="E2306" s="1297" t="s">
        <v>943</v>
      </c>
      <c r="F2306" s="1399">
        <v>97617.989999999947</v>
      </c>
      <c r="J2306" s="1399">
        <v>97617.989999999947</v>
      </c>
    </row>
    <row r="2307" spans="2:14">
      <c r="B2307" s="1297"/>
      <c r="C2307" s="1297"/>
      <c r="D2307" s="1297"/>
      <c r="E2307" s="1297" t="s">
        <v>944</v>
      </c>
      <c r="F2307" s="1399">
        <v>39766151.75</v>
      </c>
      <c r="J2307" s="1399">
        <v>39766151.75</v>
      </c>
    </row>
    <row r="2308" spans="2:14">
      <c r="B2308" s="1297"/>
      <c r="C2308" s="1297"/>
      <c r="D2308" s="1297"/>
      <c r="E2308" s="1297" t="s">
        <v>945</v>
      </c>
      <c r="F2308" s="1399">
        <v>29856814.489999998</v>
      </c>
      <c r="J2308" s="1399">
        <v>29856814.489999998</v>
      </c>
    </row>
    <row r="2309" spans="2:14">
      <c r="B2309" s="1297"/>
      <c r="C2309" s="1297"/>
      <c r="D2309" s="1297"/>
      <c r="E2309" s="1297" t="s">
        <v>946</v>
      </c>
      <c r="F2309" s="1399">
        <v>836373.04</v>
      </c>
      <c r="J2309" s="1399">
        <v>836373.04</v>
      </c>
    </row>
    <row r="2310" spans="2:14">
      <c r="B2310" s="1297"/>
      <c r="C2310" s="1297"/>
      <c r="D2310" s="1297"/>
      <c r="E2310" s="1297" t="s">
        <v>1138</v>
      </c>
      <c r="F2310" s="1399">
        <v>36792.25</v>
      </c>
      <c r="J2310" s="1399">
        <v>36792.25</v>
      </c>
    </row>
    <row r="2311" spans="2:14">
      <c r="B2311" s="1297"/>
      <c r="C2311" s="1297"/>
      <c r="D2311" s="1297"/>
      <c r="E2311" s="1297" t="s">
        <v>947</v>
      </c>
      <c r="F2311" s="1399">
        <v>1970704.95</v>
      </c>
      <c r="J2311" s="1399">
        <v>1970704.95</v>
      </c>
    </row>
    <row r="2312" spans="2:14">
      <c r="B2312" s="1297"/>
      <c r="C2312" s="1297"/>
      <c r="D2312" s="1297"/>
      <c r="E2312" s="1404" t="s">
        <v>948</v>
      </c>
      <c r="F2312" s="1405"/>
      <c r="G2312" s="1405"/>
      <c r="H2312" s="1405">
        <v>23942778.370000001</v>
      </c>
      <c r="I2312" s="1405"/>
      <c r="J2312" s="1405">
        <v>23942778.370000001</v>
      </c>
    </row>
    <row r="2313" spans="2:14">
      <c r="B2313" s="1297"/>
      <c r="C2313" s="1297"/>
      <c r="D2313" s="1297"/>
      <c r="E2313" s="1297" t="s">
        <v>956</v>
      </c>
      <c r="H2313" s="1399">
        <v>41261.229999999996</v>
      </c>
      <c r="J2313" s="1399">
        <v>41261.229999999996</v>
      </c>
    </row>
    <row r="2314" spans="2:14">
      <c r="B2314" s="1297"/>
      <c r="C2314" s="1297"/>
      <c r="D2314" s="1400" t="s">
        <v>1139</v>
      </c>
      <c r="E2314" s="1400"/>
      <c r="F2314" s="1401">
        <f>SUM(F2273:F2313)</f>
        <v>98201926.070000008</v>
      </c>
      <c r="G2314" s="1401">
        <f>SUM(G2273:G2313)</f>
        <v>665337111.34000003</v>
      </c>
      <c r="H2314" s="1401">
        <f>SUM(H2273:H2313)-H2312</f>
        <v>62793503.859999999</v>
      </c>
      <c r="I2314" s="1401">
        <f>SUM(I2273:I2313)-I2297</f>
        <v>305362032.51000005</v>
      </c>
      <c r="J2314" s="1401">
        <f>SUM(J2273:J2313)</f>
        <v>1161305797.6300001</v>
      </c>
      <c r="K2314" s="1401">
        <f>SUM(F2314:I2314)</f>
        <v>1131694573.7800002</v>
      </c>
      <c r="L2314" s="1408">
        <f>K2314/C2273</f>
        <v>12700.827951382656</v>
      </c>
      <c r="M2314" s="1408">
        <f>F2314/C2273</f>
        <v>1102.1045752154787</v>
      </c>
      <c r="N2314" s="1297">
        <f>F2314/K2314</f>
        <v>8.6774230737886635E-2</v>
      </c>
    </row>
    <row r="2315" spans="2:14">
      <c r="B2315" s="1297" t="s">
        <v>1140</v>
      </c>
      <c r="C2315" s="1297">
        <v>4217</v>
      </c>
      <c r="D2315" s="1297" t="s">
        <v>1141</v>
      </c>
      <c r="E2315" s="1297" t="s">
        <v>906</v>
      </c>
      <c r="G2315" s="1399">
        <v>19887613.16</v>
      </c>
      <c r="J2315" s="1399">
        <v>19887613.16</v>
      </c>
    </row>
    <row r="2316" spans="2:14">
      <c r="B2316" s="1297"/>
      <c r="C2316" s="1297"/>
      <c r="D2316" s="1297"/>
      <c r="E2316" s="1297" t="s">
        <v>952</v>
      </c>
      <c r="G2316" s="1399">
        <v>73029.850000000006</v>
      </c>
      <c r="J2316" s="1399">
        <v>73029.850000000006</v>
      </c>
    </row>
    <row r="2317" spans="2:14">
      <c r="B2317" s="1297"/>
      <c r="C2317" s="1297"/>
      <c r="D2317" s="1297"/>
      <c r="E2317" s="1297" t="s">
        <v>907</v>
      </c>
      <c r="G2317" s="1399">
        <v>3587502.36</v>
      </c>
      <c r="J2317" s="1399">
        <v>3587502.36</v>
      </c>
    </row>
    <row r="2318" spans="2:14">
      <c r="B2318" s="1297"/>
      <c r="C2318" s="1297"/>
      <c r="D2318" s="1297"/>
      <c r="E2318" s="1297" t="s">
        <v>908</v>
      </c>
      <c r="G2318" s="1399">
        <v>6413.76</v>
      </c>
      <c r="J2318" s="1399">
        <v>6413.76</v>
      </c>
    </row>
    <row r="2319" spans="2:14">
      <c r="B2319" s="1297"/>
      <c r="C2319" s="1297"/>
      <c r="D2319" s="1297"/>
      <c r="E2319" s="1297" t="s">
        <v>909</v>
      </c>
      <c r="H2319" s="1399">
        <v>1266.8</v>
      </c>
      <c r="J2319" s="1399">
        <v>1266.8</v>
      </c>
    </row>
    <row r="2320" spans="2:14">
      <c r="B2320" s="1297"/>
      <c r="C2320" s="1297"/>
      <c r="D2320" s="1297"/>
      <c r="E2320" s="1297" t="s">
        <v>1034</v>
      </c>
      <c r="H2320" s="1399">
        <v>41448.97</v>
      </c>
      <c r="J2320" s="1399">
        <v>41448.97</v>
      </c>
    </row>
    <row r="2321" spans="5:10" s="1297" customFormat="1">
      <c r="E2321" s="1297" t="s">
        <v>1035</v>
      </c>
      <c r="F2321" s="1399"/>
      <c r="G2321" s="1399"/>
      <c r="H2321" s="1399">
        <v>414414.5</v>
      </c>
      <c r="I2321" s="1399"/>
      <c r="J2321" s="1399">
        <v>414414.5</v>
      </c>
    </row>
    <row r="2322" spans="5:10" s="1297" customFormat="1">
      <c r="E2322" s="1297" t="s">
        <v>1036</v>
      </c>
      <c r="F2322" s="1399"/>
      <c r="G2322" s="1399"/>
      <c r="H2322" s="1399">
        <v>85914</v>
      </c>
      <c r="I2322" s="1399"/>
      <c r="J2322" s="1399">
        <v>85914</v>
      </c>
    </row>
    <row r="2323" spans="5:10" s="1297" customFormat="1">
      <c r="E2323" s="1297" t="s">
        <v>1039</v>
      </c>
      <c r="F2323" s="1399"/>
      <c r="G2323" s="1399"/>
      <c r="H2323" s="1399">
        <v>431868.42</v>
      </c>
      <c r="I2323" s="1399"/>
      <c r="J2323" s="1399">
        <v>431868.42</v>
      </c>
    </row>
    <row r="2324" spans="5:10" s="1297" customFormat="1">
      <c r="E2324" s="1297" t="s">
        <v>1040</v>
      </c>
      <c r="F2324" s="1399"/>
      <c r="G2324" s="1399"/>
      <c r="H2324" s="1399">
        <v>273830.83999999997</v>
      </c>
      <c r="I2324" s="1399"/>
      <c r="J2324" s="1399">
        <v>273830.83999999997</v>
      </c>
    </row>
    <row r="2325" spans="5:10" s="1297" customFormat="1">
      <c r="E2325" s="1297" t="s">
        <v>1127</v>
      </c>
      <c r="F2325" s="1399"/>
      <c r="G2325" s="1399"/>
      <c r="H2325" s="1399">
        <v>85044.140000000014</v>
      </c>
      <c r="I2325" s="1399"/>
      <c r="J2325" s="1399">
        <v>85044.140000000014</v>
      </c>
    </row>
    <row r="2326" spans="5:10" s="1297" customFormat="1">
      <c r="E2326" s="1297" t="s">
        <v>1041</v>
      </c>
      <c r="F2326" s="1399"/>
      <c r="G2326" s="1399"/>
      <c r="H2326" s="1399">
        <v>32005.890000000003</v>
      </c>
      <c r="I2326" s="1399"/>
      <c r="J2326" s="1399">
        <v>32005.890000000003</v>
      </c>
    </row>
    <row r="2327" spans="5:10" s="1297" customFormat="1">
      <c r="E2327" s="1297" t="s">
        <v>1042</v>
      </c>
      <c r="F2327" s="1399"/>
      <c r="G2327" s="1399"/>
      <c r="H2327" s="1399">
        <v>71015.650000000009</v>
      </c>
      <c r="I2327" s="1399"/>
      <c r="J2327" s="1399">
        <v>71015.650000000009</v>
      </c>
    </row>
    <row r="2328" spans="5:10" s="1297" customFormat="1">
      <c r="E2328" s="1297" t="s">
        <v>986</v>
      </c>
      <c r="F2328" s="1399"/>
      <c r="G2328" s="1399"/>
      <c r="H2328" s="1399">
        <v>185663.39</v>
      </c>
      <c r="I2328" s="1399"/>
      <c r="J2328" s="1399">
        <v>185663.39</v>
      </c>
    </row>
    <row r="2329" spans="5:10" s="1297" customFormat="1">
      <c r="E2329" s="1297" t="s">
        <v>1045</v>
      </c>
      <c r="F2329" s="1399"/>
      <c r="G2329" s="1399"/>
      <c r="H2329" s="1399">
        <v>792378.71</v>
      </c>
      <c r="I2329" s="1399"/>
      <c r="J2329" s="1399">
        <v>792378.71</v>
      </c>
    </row>
    <row r="2330" spans="5:10" s="1297" customFormat="1">
      <c r="E2330" s="1297" t="s">
        <v>1046</v>
      </c>
      <c r="F2330" s="1399"/>
      <c r="G2330" s="1399"/>
      <c r="H2330" s="1399"/>
      <c r="I2330" s="1399">
        <v>22694304</v>
      </c>
      <c r="J2330" s="1399">
        <v>22694304</v>
      </c>
    </row>
    <row r="2331" spans="5:10" s="1297" customFormat="1">
      <c r="E2331" s="1297" t="s">
        <v>1047</v>
      </c>
      <c r="F2331" s="1399"/>
      <c r="G2331" s="1399"/>
      <c r="H2331" s="1399"/>
      <c r="I2331" s="1399">
        <v>564004</v>
      </c>
      <c r="J2331" s="1399">
        <v>564004</v>
      </c>
    </row>
    <row r="2332" spans="5:10" s="1297" customFormat="1">
      <c r="E2332" s="1297" t="s">
        <v>1048</v>
      </c>
      <c r="F2332" s="1399"/>
      <c r="G2332" s="1399"/>
      <c r="H2332" s="1399"/>
      <c r="I2332" s="1399">
        <v>-7229289</v>
      </c>
      <c r="J2332" s="1399">
        <v>-7229289</v>
      </c>
    </row>
    <row r="2333" spans="5:10" s="1297" customFormat="1">
      <c r="E2333" s="1404" t="s">
        <v>955</v>
      </c>
      <c r="F2333" s="1405"/>
      <c r="G2333" s="1405"/>
      <c r="H2333" s="1405"/>
      <c r="I2333" s="1405">
        <v>746730.5</v>
      </c>
      <c r="J2333" s="1405">
        <v>746730.5</v>
      </c>
    </row>
    <row r="2334" spans="5:10" s="1297" customFormat="1">
      <c r="E2334" s="1297" t="s">
        <v>934</v>
      </c>
      <c r="F2334" s="1399"/>
      <c r="G2334" s="1399"/>
      <c r="H2334" s="1399"/>
      <c r="I2334" s="1399">
        <v>73176</v>
      </c>
      <c r="J2334" s="1399">
        <v>73176</v>
      </c>
    </row>
    <row r="2335" spans="5:10" s="1297" customFormat="1">
      <c r="E2335" s="1297" t="s">
        <v>935</v>
      </c>
      <c r="F2335" s="1399"/>
      <c r="G2335" s="1399"/>
      <c r="H2335" s="1399"/>
      <c r="I2335" s="1399">
        <v>475523.77</v>
      </c>
      <c r="J2335" s="1399">
        <v>475523.77</v>
      </c>
    </row>
    <row r="2336" spans="5:10" s="1297" customFormat="1">
      <c r="E2336" s="1297" t="s">
        <v>936</v>
      </c>
      <c r="F2336" s="1399"/>
      <c r="G2336" s="1399"/>
      <c r="H2336" s="1399"/>
      <c r="I2336" s="1399">
        <v>94540.64</v>
      </c>
      <c r="J2336" s="1399">
        <v>94540.64</v>
      </c>
    </row>
    <row r="2337" spans="2:12">
      <c r="B2337" s="1297"/>
      <c r="C2337" s="1297"/>
      <c r="D2337" s="1297"/>
      <c r="E2337" s="1297" t="s">
        <v>937</v>
      </c>
      <c r="I2337" s="1399">
        <v>27820.9</v>
      </c>
      <c r="J2337" s="1399">
        <v>27820.9</v>
      </c>
    </row>
    <row r="2338" spans="2:12">
      <c r="B2338" s="1297"/>
      <c r="C2338" s="1297"/>
      <c r="D2338" s="1297"/>
      <c r="E2338" s="1297" t="s">
        <v>938</v>
      </c>
      <c r="I2338" s="1399">
        <v>24518</v>
      </c>
      <c r="J2338" s="1399">
        <v>24518</v>
      </c>
    </row>
    <row r="2339" spans="2:12">
      <c r="B2339" s="1297"/>
      <c r="C2339" s="1297"/>
      <c r="D2339" s="1297"/>
      <c r="E2339" s="1297" t="s">
        <v>939</v>
      </c>
      <c r="I2339" s="1399">
        <v>20568.79</v>
      </c>
      <c r="J2339" s="1399">
        <v>20568.79</v>
      </c>
    </row>
    <row r="2340" spans="2:12">
      <c r="B2340" s="1297"/>
      <c r="C2340" s="1297"/>
      <c r="D2340" s="1297"/>
      <c r="E2340" s="1297" t="s">
        <v>940</v>
      </c>
      <c r="F2340" s="1399">
        <v>1247018.08</v>
      </c>
      <c r="J2340" s="1399">
        <v>1247018.08</v>
      </c>
    </row>
    <row r="2341" spans="2:12">
      <c r="B2341" s="1297"/>
      <c r="C2341" s="1297"/>
      <c r="D2341" s="1297"/>
      <c r="E2341" s="1297" t="s">
        <v>941</v>
      </c>
      <c r="F2341" s="1399">
        <v>395106.94</v>
      </c>
      <c r="J2341" s="1399">
        <v>395106.94</v>
      </c>
    </row>
    <row r="2342" spans="2:12">
      <c r="B2342" s="1297"/>
      <c r="C2342" s="1297"/>
      <c r="D2342" s="1297"/>
      <c r="E2342" s="1297" t="s">
        <v>943</v>
      </c>
      <c r="F2342" s="1399">
        <v>14572.82</v>
      </c>
      <c r="J2342" s="1399">
        <v>14572.82</v>
      </c>
    </row>
    <row r="2343" spans="2:12">
      <c r="B2343" s="1297"/>
      <c r="C2343" s="1297"/>
      <c r="D2343" s="1297"/>
      <c r="E2343" s="1297" t="s">
        <v>944</v>
      </c>
      <c r="F2343" s="1399">
        <v>2867298.9700000007</v>
      </c>
      <c r="J2343" s="1399">
        <v>2867298.9700000007</v>
      </c>
    </row>
    <row r="2344" spans="2:12">
      <c r="B2344" s="1297"/>
      <c r="C2344" s="1297"/>
      <c r="D2344" s="1297"/>
      <c r="E2344" s="1297" t="s">
        <v>945</v>
      </c>
      <c r="F2344" s="1399">
        <v>1144560.25</v>
      </c>
      <c r="J2344" s="1399">
        <v>1144560.25</v>
      </c>
    </row>
    <row r="2345" spans="2:12">
      <c r="B2345" s="1297"/>
      <c r="C2345" s="1297"/>
      <c r="D2345" s="1297"/>
      <c r="E2345" s="1297" t="s">
        <v>946</v>
      </c>
      <c r="F2345" s="1399">
        <v>368729.07</v>
      </c>
      <c r="J2345" s="1399">
        <v>368729.07</v>
      </c>
    </row>
    <row r="2346" spans="2:12">
      <c r="B2346" s="1297"/>
      <c r="C2346" s="1297"/>
      <c r="D2346" s="1297"/>
      <c r="E2346" s="1297" t="s">
        <v>947</v>
      </c>
      <c r="F2346" s="1399">
        <v>188019.66</v>
      </c>
      <c r="J2346" s="1399">
        <v>188019.66</v>
      </c>
    </row>
    <row r="2347" spans="2:12">
      <c r="B2347" s="1297"/>
      <c r="C2347" s="1297"/>
      <c r="D2347" s="1297"/>
      <c r="E2347" s="1404" t="s">
        <v>1116</v>
      </c>
      <c r="F2347" s="1405"/>
      <c r="G2347" s="1405"/>
      <c r="H2347" s="1405">
        <v>0</v>
      </c>
      <c r="I2347" s="1405"/>
      <c r="J2347" s="1405">
        <v>0</v>
      </c>
    </row>
    <row r="2348" spans="2:12">
      <c r="B2348" s="1297"/>
      <c r="C2348" s="1297"/>
      <c r="D2348" s="1297"/>
      <c r="E2348" s="1404" t="s">
        <v>948</v>
      </c>
      <c r="F2348" s="1405"/>
      <c r="G2348" s="1405"/>
      <c r="H2348" s="1405">
        <v>8004477.2400000002</v>
      </c>
      <c r="I2348" s="1405"/>
      <c r="J2348" s="1405">
        <v>8004477.2400000002</v>
      </c>
    </row>
    <row r="2349" spans="2:12">
      <c r="B2349" s="1297"/>
      <c r="C2349" s="1297"/>
      <c r="D2349" s="1297"/>
      <c r="E2349" s="1297" t="s">
        <v>956</v>
      </c>
      <c r="H2349" s="1399">
        <v>50</v>
      </c>
      <c r="J2349" s="1399">
        <v>50</v>
      </c>
    </row>
    <row r="2350" spans="2:12">
      <c r="B2350" s="1297"/>
      <c r="C2350" s="1297"/>
      <c r="D2350" s="1297"/>
      <c r="E2350" s="1297" t="s">
        <v>1118</v>
      </c>
      <c r="H2350" s="1399">
        <v>431818.01999999996</v>
      </c>
      <c r="J2350" s="1399">
        <v>431818.01999999996</v>
      </c>
    </row>
    <row r="2351" spans="2:12">
      <c r="B2351" s="1297"/>
      <c r="C2351" s="1297"/>
      <c r="D2351" s="1400" t="s">
        <v>1142</v>
      </c>
      <c r="E2351" s="1400"/>
      <c r="F2351" s="1401">
        <f>SUM(F2315:F2350)</f>
        <v>6225305.790000001</v>
      </c>
      <c r="G2351" s="1401">
        <f>SUM(G2315:G2350)</f>
        <v>23554559.130000003</v>
      </c>
      <c r="H2351" s="1401">
        <f>SUM(H2315:H2350)-H2348</f>
        <v>2846719.33</v>
      </c>
      <c r="I2351" s="1401">
        <f>SUM(I2315:I2350)-I2333</f>
        <v>16745167.099999998</v>
      </c>
      <c r="J2351" s="1401">
        <f>SUM(J2315:J2350)</f>
        <v>58122959.090000004</v>
      </c>
      <c r="K2351" s="1401">
        <f>SUM(F2351:I2351)</f>
        <v>49371751.349999994</v>
      </c>
      <c r="L2351" s="1401">
        <f>K2351/C2315</f>
        <v>11707.790218164571</v>
      </c>
    </row>
    <row r="2352" spans="2:12">
      <c r="B2352" s="1297" t="s">
        <v>1143</v>
      </c>
      <c r="C2352" s="1297">
        <v>631</v>
      </c>
      <c r="D2352" s="1297" t="s">
        <v>1144</v>
      </c>
      <c r="E2352" s="1297" t="s">
        <v>906</v>
      </c>
      <c r="G2352" s="1399">
        <v>969659.37</v>
      </c>
      <c r="J2352" s="1399">
        <v>969659.37</v>
      </c>
    </row>
    <row r="2353" spans="5:10" s="1297" customFormat="1">
      <c r="E2353" s="1297" t="s">
        <v>1126</v>
      </c>
      <c r="F2353" s="1399"/>
      <c r="G2353" s="1399">
        <v>196220.57</v>
      </c>
      <c r="H2353" s="1399"/>
      <c r="I2353" s="1399"/>
      <c r="J2353" s="1399">
        <v>196220.57</v>
      </c>
    </row>
    <row r="2354" spans="5:10" s="1297" customFormat="1">
      <c r="E2354" s="1297" t="s">
        <v>952</v>
      </c>
      <c r="F2354" s="1399"/>
      <c r="G2354" s="1399">
        <v>6887.3</v>
      </c>
      <c r="H2354" s="1399"/>
      <c r="I2354" s="1399"/>
      <c r="J2354" s="1399">
        <v>6887.3</v>
      </c>
    </row>
    <row r="2355" spans="5:10" s="1297" customFormat="1">
      <c r="E2355" s="1297" t="s">
        <v>1145</v>
      </c>
      <c r="F2355" s="1399"/>
      <c r="G2355" s="1399">
        <v>31837.15</v>
      </c>
      <c r="H2355" s="1399"/>
      <c r="I2355" s="1399"/>
      <c r="J2355" s="1399">
        <v>31837.15</v>
      </c>
    </row>
    <row r="2356" spans="5:10" s="1297" customFormat="1">
      <c r="E2356" s="1297" t="s">
        <v>908</v>
      </c>
      <c r="F2356" s="1399"/>
      <c r="G2356" s="1399">
        <v>29629.82</v>
      </c>
      <c r="H2356" s="1399"/>
      <c r="I2356" s="1399"/>
      <c r="J2356" s="1399">
        <v>29629.82</v>
      </c>
    </row>
    <row r="2357" spans="5:10" s="1297" customFormat="1">
      <c r="E2357" s="1297" t="s">
        <v>1034</v>
      </c>
      <c r="F2357" s="1399"/>
      <c r="G2357" s="1399"/>
      <c r="H2357" s="1399">
        <v>12984.15</v>
      </c>
      <c r="I2357" s="1399"/>
      <c r="J2357" s="1399">
        <v>12984.15</v>
      </c>
    </row>
    <row r="2358" spans="5:10" s="1297" customFormat="1">
      <c r="E2358" s="1297" t="s">
        <v>1035</v>
      </c>
      <c r="F2358" s="1399"/>
      <c r="G2358" s="1399"/>
      <c r="H2358" s="1399">
        <v>242901.34000000003</v>
      </c>
      <c r="I2358" s="1399"/>
      <c r="J2358" s="1399">
        <v>242901.34000000003</v>
      </c>
    </row>
    <row r="2359" spans="5:10" s="1297" customFormat="1">
      <c r="E2359" s="1297" t="s">
        <v>1036</v>
      </c>
      <c r="F2359" s="1399"/>
      <c r="G2359" s="1399"/>
      <c r="H2359" s="1399">
        <v>31968.87</v>
      </c>
      <c r="I2359" s="1399"/>
      <c r="J2359" s="1399">
        <v>31968.87</v>
      </c>
    </row>
    <row r="2360" spans="5:10" s="1297" customFormat="1">
      <c r="E2360" s="1297" t="s">
        <v>1037</v>
      </c>
      <c r="F2360" s="1399"/>
      <c r="G2360" s="1399"/>
      <c r="H2360" s="1399">
        <v>11765.76</v>
      </c>
      <c r="I2360" s="1399"/>
      <c r="J2360" s="1399">
        <v>11765.76</v>
      </c>
    </row>
    <row r="2361" spans="5:10" s="1297" customFormat="1">
      <c r="E2361" s="1297" t="s">
        <v>1039</v>
      </c>
      <c r="F2361" s="1399"/>
      <c r="G2361" s="1399"/>
      <c r="H2361" s="1399">
        <v>3703.92</v>
      </c>
      <c r="I2361" s="1399"/>
      <c r="J2361" s="1399">
        <v>3703.92</v>
      </c>
    </row>
    <row r="2362" spans="5:10" s="1297" customFormat="1">
      <c r="E2362" s="1297" t="s">
        <v>1040</v>
      </c>
      <c r="F2362" s="1399"/>
      <c r="G2362" s="1399"/>
      <c r="H2362" s="1399">
        <v>85432.99</v>
      </c>
      <c r="I2362" s="1399"/>
      <c r="J2362" s="1399">
        <v>85432.99</v>
      </c>
    </row>
    <row r="2363" spans="5:10" s="1297" customFormat="1">
      <c r="E2363" s="1297" t="s">
        <v>1041</v>
      </c>
      <c r="F2363" s="1399"/>
      <c r="G2363" s="1399"/>
      <c r="H2363" s="1399">
        <v>544.78</v>
      </c>
      <c r="I2363" s="1399"/>
      <c r="J2363" s="1399">
        <v>544.78</v>
      </c>
    </row>
    <row r="2364" spans="5:10" s="1297" customFormat="1">
      <c r="E2364" s="1297" t="s">
        <v>1042</v>
      </c>
      <c r="F2364" s="1399"/>
      <c r="G2364" s="1399"/>
      <c r="H2364" s="1399">
        <v>14983.85</v>
      </c>
      <c r="I2364" s="1399"/>
      <c r="J2364" s="1399">
        <v>14983.85</v>
      </c>
    </row>
    <row r="2365" spans="5:10" s="1297" customFormat="1">
      <c r="E2365" s="1297" t="s">
        <v>953</v>
      </c>
      <c r="F2365" s="1399"/>
      <c r="G2365" s="1399"/>
      <c r="H2365" s="1399">
        <v>12035.25</v>
      </c>
      <c r="I2365" s="1399"/>
      <c r="J2365" s="1399">
        <v>12035.25</v>
      </c>
    </row>
    <row r="2366" spans="5:10" s="1297" customFormat="1">
      <c r="E2366" s="1297" t="s">
        <v>991</v>
      </c>
      <c r="F2366" s="1399"/>
      <c r="G2366" s="1399"/>
      <c r="H2366" s="1399">
        <v>9499.33</v>
      </c>
      <c r="I2366" s="1399"/>
      <c r="J2366" s="1399">
        <v>9499.33</v>
      </c>
    </row>
    <row r="2367" spans="5:10" s="1297" customFormat="1">
      <c r="E2367" s="1297" t="s">
        <v>1045</v>
      </c>
      <c r="F2367" s="1399"/>
      <c r="G2367" s="1399"/>
      <c r="H2367" s="1399">
        <v>4979.96</v>
      </c>
      <c r="I2367" s="1399"/>
      <c r="J2367" s="1399">
        <v>4979.96</v>
      </c>
    </row>
    <row r="2368" spans="5:10" s="1297" customFormat="1">
      <c r="E2368" s="1297" t="s">
        <v>1046</v>
      </c>
      <c r="F2368" s="1399"/>
      <c r="G2368" s="1399"/>
      <c r="H2368" s="1399"/>
      <c r="I2368" s="1399">
        <v>2933680</v>
      </c>
      <c r="J2368" s="1399">
        <v>2933680</v>
      </c>
    </row>
    <row r="2369" spans="5:10" s="1297" customFormat="1">
      <c r="E2369" s="1297" t="s">
        <v>1047</v>
      </c>
      <c r="F2369" s="1399"/>
      <c r="G2369" s="1399"/>
      <c r="H2369" s="1399"/>
      <c r="I2369" s="1399">
        <v>151132</v>
      </c>
      <c r="J2369" s="1399">
        <v>151132</v>
      </c>
    </row>
    <row r="2370" spans="5:10" s="1297" customFormat="1">
      <c r="E2370" s="1297" t="s">
        <v>1048</v>
      </c>
      <c r="F2370" s="1399"/>
      <c r="G2370" s="1399"/>
      <c r="H2370" s="1399"/>
      <c r="I2370" s="1399">
        <v>-391540</v>
      </c>
      <c r="J2370" s="1399">
        <v>-391540</v>
      </c>
    </row>
    <row r="2371" spans="5:10" s="1297" customFormat="1">
      <c r="E2371" s="1297" t="s">
        <v>932</v>
      </c>
      <c r="F2371" s="1399"/>
      <c r="G2371" s="1399"/>
      <c r="H2371" s="1399"/>
      <c r="I2371" s="1399">
        <v>180894</v>
      </c>
      <c r="J2371" s="1399">
        <v>180894</v>
      </c>
    </row>
    <row r="2372" spans="5:10" s="1297" customFormat="1">
      <c r="E2372" s="1404" t="s">
        <v>955</v>
      </c>
      <c r="F2372" s="1405"/>
      <c r="G2372" s="1405"/>
      <c r="H2372" s="1405"/>
      <c r="I2372" s="1405">
        <v>165846.56</v>
      </c>
      <c r="J2372" s="1405">
        <v>165846.56</v>
      </c>
    </row>
    <row r="2373" spans="5:10" s="1297" customFormat="1">
      <c r="E2373" s="1297" t="s">
        <v>934</v>
      </c>
      <c r="F2373" s="1399"/>
      <c r="G2373" s="1399"/>
      <c r="H2373" s="1399"/>
      <c r="I2373" s="1399">
        <v>10792</v>
      </c>
      <c r="J2373" s="1399">
        <v>10792</v>
      </c>
    </row>
    <row r="2374" spans="5:10" s="1297" customFormat="1">
      <c r="E2374" s="1297" t="s">
        <v>935</v>
      </c>
      <c r="F2374" s="1399"/>
      <c r="G2374" s="1399"/>
      <c r="H2374" s="1399"/>
      <c r="I2374" s="1399">
        <v>44470</v>
      </c>
      <c r="J2374" s="1399">
        <v>44470</v>
      </c>
    </row>
    <row r="2375" spans="5:10" s="1297" customFormat="1">
      <c r="E2375" s="1297" t="s">
        <v>936</v>
      </c>
      <c r="F2375" s="1399"/>
      <c r="G2375" s="1399"/>
      <c r="H2375" s="1399"/>
      <c r="I2375" s="1399">
        <v>12605.42</v>
      </c>
      <c r="J2375" s="1399">
        <v>12605.42</v>
      </c>
    </row>
    <row r="2376" spans="5:10" s="1297" customFormat="1">
      <c r="E2376" s="1297" t="s">
        <v>938</v>
      </c>
      <c r="F2376" s="1399"/>
      <c r="G2376" s="1399"/>
      <c r="H2376" s="1399"/>
      <c r="I2376" s="1399">
        <v>4492</v>
      </c>
      <c r="J2376" s="1399">
        <v>4492</v>
      </c>
    </row>
    <row r="2377" spans="5:10" s="1297" customFormat="1">
      <c r="E2377" s="1297" t="s">
        <v>939</v>
      </c>
      <c r="F2377" s="1399"/>
      <c r="G2377" s="1399"/>
      <c r="H2377" s="1399"/>
      <c r="I2377" s="1399">
        <v>282159.15999999997</v>
      </c>
      <c r="J2377" s="1399">
        <v>282159.15999999997</v>
      </c>
    </row>
    <row r="2378" spans="5:10" s="1297" customFormat="1">
      <c r="E2378" s="1297" t="s">
        <v>1131</v>
      </c>
      <c r="F2378" s="1399">
        <v>6616.31</v>
      </c>
      <c r="G2378" s="1399"/>
      <c r="H2378" s="1399"/>
      <c r="I2378" s="1399"/>
      <c r="J2378" s="1399">
        <v>6616.31</v>
      </c>
    </row>
    <row r="2379" spans="5:10" s="1297" customFormat="1">
      <c r="E2379" s="1297" t="s">
        <v>940</v>
      </c>
      <c r="F2379" s="1399">
        <v>147149.82</v>
      </c>
      <c r="G2379" s="1399"/>
      <c r="H2379" s="1399"/>
      <c r="I2379" s="1399"/>
      <c r="J2379" s="1399">
        <v>147149.82</v>
      </c>
    </row>
    <row r="2380" spans="5:10" s="1297" customFormat="1">
      <c r="E2380" s="1297" t="s">
        <v>941</v>
      </c>
      <c r="F2380" s="1399">
        <v>36635.72</v>
      </c>
      <c r="G2380" s="1399"/>
      <c r="H2380" s="1399"/>
      <c r="I2380" s="1399"/>
      <c r="J2380" s="1399">
        <v>36635.72</v>
      </c>
    </row>
    <row r="2381" spans="5:10" s="1297" customFormat="1">
      <c r="E2381" s="1297" t="s">
        <v>942</v>
      </c>
      <c r="F2381" s="1399">
        <v>5840.89</v>
      </c>
      <c r="G2381" s="1399"/>
      <c r="H2381" s="1399"/>
      <c r="I2381" s="1399"/>
      <c r="J2381" s="1399">
        <v>5840.89</v>
      </c>
    </row>
    <row r="2382" spans="5:10" s="1297" customFormat="1">
      <c r="E2382" s="1297" t="s">
        <v>944</v>
      </c>
      <c r="F2382" s="1399">
        <v>539113.52</v>
      </c>
      <c r="G2382" s="1399"/>
      <c r="H2382" s="1399"/>
      <c r="I2382" s="1399"/>
      <c r="J2382" s="1399">
        <v>539113.52</v>
      </c>
    </row>
    <row r="2383" spans="5:10" s="1297" customFormat="1">
      <c r="E2383" s="1297" t="s">
        <v>945</v>
      </c>
      <c r="F2383" s="1399">
        <v>189679.11000000002</v>
      </c>
      <c r="G2383" s="1399"/>
      <c r="H2383" s="1399"/>
      <c r="I2383" s="1399"/>
      <c r="J2383" s="1399">
        <v>189679.11000000002</v>
      </c>
    </row>
    <row r="2384" spans="5:10" s="1297" customFormat="1">
      <c r="E2384" s="1297" t="s">
        <v>978</v>
      </c>
      <c r="F2384" s="1399">
        <v>1200</v>
      </c>
      <c r="G2384" s="1399"/>
      <c r="H2384" s="1399"/>
      <c r="I2384" s="1399"/>
      <c r="J2384" s="1399">
        <v>1200</v>
      </c>
    </row>
    <row r="2385" spans="2:12">
      <c r="B2385" s="1297"/>
      <c r="C2385" s="1297"/>
      <c r="D2385" s="1297"/>
      <c r="E2385" s="1297" t="s">
        <v>947</v>
      </c>
      <c r="F2385" s="1399">
        <v>28475.09</v>
      </c>
      <c r="J2385" s="1399">
        <v>28475.09</v>
      </c>
    </row>
    <row r="2386" spans="2:12">
      <c r="B2386" s="1297"/>
      <c r="C2386" s="1297"/>
      <c r="D2386" s="1297"/>
      <c r="E2386" s="1297" t="s">
        <v>1115</v>
      </c>
      <c r="F2386" s="1399">
        <v>42229.31</v>
      </c>
      <c r="J2386" s="1399">
        <v>42229.31</v>
      </c>
    </row>
    <row r="2387" spans="2:12">
      <c r="B2387" s="1297"/>
      <c r="C2387" s="1297"/>
      <c r="D2387" s="1297"/>
      <c r="E2387" s="1297" t="s">
        <v>1118</v>
      </c>
      <c r="H2387" s="1399">
        <v>71476.83</v>
      </c>
      <c r="J2387" s="1399">
        <v>71476.83</v>
      </c>
    </row>
    <row r="2388" spans="2:12">
      <c r="B2388" s="1297"/>
      <c r="C2388" s="1297"/>
      <c r="D2388" s="1400" t="s">
        <v>1146</v>
      </c>
      <c r="E2388" s="1400"/>
      <c r="F2388" s="1401">
        <f>SUM(F2352:F2387)</f>
        <v>996939.77</v>
      </c>
      <c r="G2388" s="1401">
        <f>SUM(G2352:G2387)</f>
        <v>1234234.21</v>
      </c>
      <c r="H2388" s="1401">
        <f>SUM(H2352:H2387)</f>
        <v>502277.03000000009</v>
      </c>
      <c r="I2388" s="1401">
        <f>SUM(I2352:I2387)-I2372</f>
        <v>3228684.58</v>
      </c>
      <c r="J2388" s="1401">
        <f>SUM(J2352:J2387)</f>
        <v>6127982.1499999985</v>
      </c>
      <c r="K2388" s="1401">
        <f>SUM(F2388:I2388)</f>
        <v>5962135.5899999999</v>
      </c>
      <c r="L2388" s="1408">
        <f>K2388/C2352</f>
        <v>9448.7093343898578</v>
      </c>
    </row>
    <row r="2389" spans="2:12">
      <c r="B2389" s="1297" t="s">
        <v>1147</v>
      </c>
      <c r="C2389" s="1297">
        <v>12324</v>
      </c>
      <c r="D2389" s="1297" t="s">
        <v>1148</v>
      </c>
      <c r="E2389" s="1297" t="s">
        <v>906</v>
      </c>
      <c r="G2389" s="1399">
        <v>71443355.859999999</v>
      </c>
      <c r="J2389" s="1399">
        <v>71443355.859999999</v>
      </c>
    </row>
    <row r="2390" spans="2:12">
      <c r="B2390" s="1297"/>
      <c r="C2390" s="1297"/>
      <c r="D2390" s="1297"/>
      <c r="E2390" s="1297" t="s">
        <v>907</v>
      </c>
      <c r="G2390" s="1399">
        <v>17585815.039999999</v>
      </c>
      <c r="J2390" s="1399">
        <v>17585815.039999999</v>
      </c>
    </row>
    <row r="2391" spans="2:12">
      <c r="B2391" s="1297"/>
      <c r="C2391" s="1297"/>
      <c r="D2391" s="1297"/>
      <c r="E2391" s="1297" t="s">
        <v>908</v>
      </c>
      <c r="G2391" s="1399">
        <v>1072556.25</v>
      </c>
      <c r="J2391" s="1399">
        <v>1072556.25</v>
      </c>
    </row>
    <row r="2392" spans="2:12">
      <c r="B2392" s="1297"/>
      <c r="C2392" s="1297"/>
      <c r="D2392" s="1297"/>
      <c r="E2392" s="1297" t="s">
        <v>1064</v>
      </c>
      <c r="H2392" s="1399">
        <v>13790.58</v>
      </c>
      <c r="J2392" s="1399">
        <v>13790.58</v>
      </c>
    </row>
    <row r="2393" spans="2:12">
      <c r="B2393" s="1297"/>
      <c r="C2393" s="1297"/>
      <c r="D2393" s="1297"/>
      <c r="E2393" s="1297" t="s">
        <v>1039</v>
      </c>
      <c r="H2393" s="1399">
        <v>407617.81000000006</v>
      </c>
      <c r="J2393" s="1399">
        <v>407617.81000000006</v>
      </c>
    </row>
    <row r="2394" spans="2:12">
      <c r="B2394" s="1297"/>
      <c r="C2394" s="1297"/>
      <c r="D2394" s="1297"/>
      <c r="E2394" s="1297" t="s">
        <v>1040</v>
      </c>
      <c r="H2394" s="1399">
        <v>792407.63</v>
      </c>
      <c r="J2394" s="1399">
        <v>792407.63</v>
      </c>
    </row>
    <row r="2395" spans="2:12">
      <c r="B2395" s="1297"/>
      <c r="C2395" s="1297"/>
      <c r="D2395" s="1297"/>
      <c r="E2395" s="1297" t="s">
        <v>1207</v>
      </c>
      <c r="H2395" s="1399">
        <v>17742.75</v>
      </c>
      <c r="J2395" s="1399">
        <v>17742.75</v>
      </c>
    </row>
    <row r="2396" spans="2:12">
      <c r="B2396" s="1297"/>
      <c r="C2396" s="1297"/>
      <c r="D2396" s="1297"/>
      <c r="E2396" s="1297" t="s">
        <v>1041</v>
      </c>
      <c r="H2396" s="1399">
        <v>313575.8</v>
      </c>
      <c r="J2396" s="1399">
        <v>313575.8</v>
      </c>
    </row>
    <row r="2397" spans="2:12">
      <c r="B2397" s="1297"/>
      <c r="C2397" s="1297"/>
      <c r="D2397" s="1297"/>
      <c r="E2397" s="1297" t="s">
        <v>1042</v>
      </c>
      <c r="H2397" s="1399">
        <v>135941</v>
      </c>
      <c r="J2397" s="1399">
        <v>135941</v>
      </c>
    </row>
    <row r="2398" spans="2:12">
      <c r="B2398" s="1297"/>
      <c r="C2398" s="1297"/>
      <c r="D2398" s="1297"/>
      <c r="E2398" s="1297" t="s">
        <v>953</v>
      </c>
      <c r="H2398" s="1399">
        <v>36358.300000000003</v>
      </c>
      <c r="J2398" s="1399">
        <v>36358.300000000003</v>
      </c>
    </row>
    <row r="2399" spans="2:12">
      <c r="B2399" s="1297"/>
      <c r="C2399" s="1297"/>
      <c r="D2399" s="1297"/>
      <c r="E2399" s="1297" t="s">
        <v>954</v>
      </c>
      <c r="H2399" s="1399">
        <v>303771.02</v>
      </c>
      <c r="J2399" s="1399">
        <v>303771.02</v>
      </c>
    </row>
    <row r="2400" spans="2:12">
      <c r="B2400" s="1297"/>
      <c r="C2400" s="1297"/>
      <c r="D2400" s="1297"/>
      <c r="E2400" s="1297" t="s">
        <v>986</v>
      </c>
      <c r="H2400" s="1399">
        <v>5398.17</v>
      </c>
      <c r="J2400" s="1399">
        <v>5398.17</v>
      </c>
    </row>
    <row r="2401" spans="5:10" s="1297" customFormat="1">
      <c r="E2401" s="1297" t="s">
        <v>1203</v>
      </c>
      <c r="F2401" s="1399"/>
      <c r="G2401" s="1399"/>
      <c r="H2401" s="1399">
        <v>15352.53</v>
      </c>
      <c r="I2401" s="1399"/>
      <c r="J2401" s="1399">
        <v>15352.53</v>
      </c>
    </row>
    <row r="2402" spans="5:10" s="1297" customFormat="1">
      <c r="E2402" s="1297" t="s">
        <v>1044</v>
      </c>
      <c r="F2402" s="1399">
        <v>181393.97</v>
      </c>
      <c r="G2402" s="1399"/>
      <c r="H2402" s="1399">
        <v>181393.97</v>
      </c>
      <c r="I2402" s="1399"/>
      <c r="J2402" s="1399">
        <v>181393.97</v>
      </c>
    </row>
    <row r="2403" spans="5:10" s="1297" customFormat="1">
      <c r="E2403" s="1297" t="s">
        <v>1045</v>
      </c>
      <c r="F2403" s="1399"/>
      <c r="G2403" s="1399"/>
      <c r="H2403" s="1399">
        <v>4167247.1599999997</v>
      </c>
      <c r="I2403" s="1399"/>
      <c r="J2403" s="1399">
        <v>4167247.1599999997</v>
      </c>
    </row>
    <row r="2404" spans="5:10" s="1297" customFormat="1">
      <c r="E2404" s="1297" t="s">
        <v>1046</v>
      </c>
      <c r="F2404" s="1399"/>
      <c r="G2404" s="1399"/>
      <c r="H2404" s="1399"/>
      <c r="I2404" s="1399">
        <v>63596669</v>
      </c>
      <c r="J2404" s="1399">
        <v>63596669</v>
      </c>
    </row>
    <row r="2405" spans="5:10" s="1297" customFormat="1">
      <c r="E2405" s="1297" t="s">
        <v>1128</v>
      </c>
      <c r="F2405" s="1399"/>
      <c r="G2405" s="1399"/>
      <c r="H2405" s="1399"/>
      <c r="I2405" s="1399">
        <v>5277803</v>
      </c>
      <c r="J2405" s="1399">
        <v>5277803</v>
      </c>
    </row>
    <row r="2406" spans="5:10" s="1297" customFormat="1">
      <c r="E2406" s="1297" t="s">
        <v>1129</v>
      </c>
      <c r="F2406" s="1399"/>
      <c r="G2406" s="1399"/>
      <c r="H2406" s="1399"/>
      <c r="I2406" s="1399">
        <v>-6402694</v>
      </c>
      <c r="J2406" s="1399">
        <v>-6402694</v>
      </c>
    </row>
    <row r="2407" spans="5:10" s="1297" customFormat="1">
      <c r="E2407" s="1297" t="s">
        <v>1047</v>
      </c>
      <c r="F2407" s="1399"/>
      <c r="G2407" s="1399"/>
      <c r="H2407" s="1399"/>
      <c r="I2407" s="1399">
        <v>1389837</v>
      </c>
      <c r="J2407" s="1399">
        <v>1389837</v>
      </c>
    </row>
    <row r="2408" spans="5:10" s="1297" customFormat="1">
      <c r="E2408" s="1297" t="s">
        <v>1048</v>
      </c>
      <c r="F2408" s="1399"/>
      <c r="G2408" s="1399"/>
      <c r="H2408" s="1399"/>
      <c r="I2408" s="1399">
        <v>-28293570</v>
      </c>
      <c r="J2408" s="1399">
        <v>-28293570</v>
      </c>
    </row>
    <row r="2409" spans="5:10" s="1297" customFormat="1">
      <c r="E2409" s="1404" t="s">
        <v>955</v>
      </c>
      <c r="F2409" s="1405"/>
      <c r="G2409" s="1405"/>
      <c r="H2409" s="1405"/>
      <c r="I2409" s="1405">
        <v>2117210.15</v>
      </c>
      <c r="J2409" s="1405">
        <v>2117210.15</v>
      </c>
    </row>
    <row r="2410" spans="5:10" s="1297" customFormat="1">
      <c r="E2410" s="1297" t="s">
        <v>934</v>
      </c>
      <c r="F2410" s="1399"/>
      <c r="G2410" s="1399"/>
      <c r="H2410" s="1399"/>
      <c r="I2410" s="1399">
        <v>185492</v>
      </c>
      <c r="J2410" s="1399">
        <v>185492</v>
      </c>
    </row>
    <row r="2411" spans="5:10" s="1297" customFormat="1">
      <c r="E2411" s="1297" t="s">
        <v>1130</v>
      </c>
      <c r="F2411" s="1399"/>
      <c r="G2411" s="1399"/>
      <c r="H2411" s="1399"/>
      <c r="I2411" s="1399">
        <v>1135530</v>
      </c>
      <c r="J2411" s="1399">
        <v>1135530</v>
      </c>
    </row>
    <row r="2412" spans="5:10" s="1297" customFormat="1">
      <c r="E2412" s="1297" t="s">
        <v>935</v>
      </c>
      <c r="F2412" s="1399"/>
      <c r="G2412" s="1399"/>
      <c r="H2412" s="1399"/>
      <c r="I2412" s="1399">
        <v>-551104.67000000004</v>
      </c>
      <c r="J2412" s="1399">
        <v>-551104.67000000004</v>
      </c>
    </row>
    <row r="2413" spans="5:10" s="1297" customFormat="1">
      <c r="E2413" s="1297" t="s">
        <v>936</v>
      </c>
      <c r="F2413" s="1399"/>
      <c r="G2413" s="1399"/>
      <c r="H2413" s="1399"/>
      <c r="I2413" s="1399">
        <v>217793.63</v>
      </c>
      <c r="J2413" s="1399">
        <v>217793.63</v>
      </c>
    </row>
    <row r="2414" spans="5:10" s="1297" customFormat="1">
      <c r="E2414" s="1297" t="s">
        <v>937</v>
      </c>
      <c r="F2414" s="1399"/>
      <c r="G2414" s="1399"/>
      <c r="H2414" s="1399"/>
      <c r="I2414" s="1399">
        <v>13531.72</v>
      </c>
      <c r="J2414" s="1399">
        <v>13531.72</v>
      </c>
    </row>
    <row r="2415" spans="5:10" s="1297" customFormat="1">
      <c r="E2415" s="1297" t="s">
        <v>938</v>
      </c>
      <c r="F2415" s="1399"/>
      <c r="G2415" s="1399"/>
      <c r="H2415" s="1399"/>
      <c r="I2415" s="1399">
        <v>69249</v>
      </c>
      <c r="J2415" s="1399">
        <v>69249</v>
      </c>
    </row>
    <row r="2416" spans="5:10" s="1297" customFormat="1">
      <c r="E2416" s="1297" t="s">
        <v>939</v>
      </c>
      <c r="F2416" s="1399"/>
      <c r="G2416" s="1399"/>
      <c r="H2416" s="1399"/>
      <c r="I2416" s="1399">
        <v>50087.6</v>
      </c>
      <c r="J2416" s="1399">
        <v>50087.6</v>
      </c>
    </row>
    <row r="2417" spans="2:12">
      <c r="B2417" s="1297"/>
      <c r="C2417" s="1297"/>
      <c r="D2417" s="1297"/>
      <c r="E2417" s="1297" t="s">
        <v>940</v>
      </c>
      <c r="F2417" s="1399">
        <v>3332567.58</v>
      </c>
      <c r="J2417" s="1399">
        <v>3332567.58</v>
      </c>
    </row>
    <row r="2418" spans="2:12">
      <c r="B2418" s="1297"/>
      <c r="C2418" s="1297"/>
      <c r="D2418" s="1297"/>
      <c r="E2418" s="1297" t="s">
        <v>941</v>
      </c>
      <c r="F2418" s="1399">
        <v>1450570.7399999998</v>
      </c>
      <c r="J2418" s="1399">
        <v>1450570.7399999998</v>
      </c>
    </row>
    <row r="2419" spans="2:12">
      <c r="B2419" s="1297"/>
      <c r="C2419" s="1297"/>
      <c r="D2419" s="1297"/>
      <c r="E2419" s="1297" t="s">
        <v>942</v>
      </c>
      <c r="F2419" s="1399">
        <v>100458.67</v>
      </c>
      <c r="J2419" s="1399">
        <v>100458.67</v>
      </c>
    </row>
    <row r="2420" spans="2:12">
      <c r="B2420" s="1297"/>
      <c r="C2420" s="1297"/>
      <c r="D2420" s="1297"/>
      <c r="E2420" s="1297" t="s">
        <v>944</v>
      </c>
      <c r="F2420" s="1399">
        <v>11294395.68</v>
      </c>
      <c r="J2420" s="1399">
        <v>11294395.68</v>
      </c>
    </row>
    <row r="2421" spans="2:12">
      <c r="B2421" s="1297"/>
      <c r="C2421" s="1297"/>
      <c r="D2421" s="1297"/>
      <c r="E2421" s="1297" t="s">
        <v>945</v>
      </c>
      <c r="F2421" s="1399">
        <v>2496689</v>
      </c>
      <c r="J2421" s="1399">
        <v>2496689</v>
      </c>
    </row>
    <row r="2422" spans="2:12">
      <c r="B2422" s="1297"/>
      <c r="C2422" s="1297"/>
      <c r="D2422" s="1297"/>
      <c r="E2422" s="1297" t="s">
        <v>946</v>
      </c>
      <c r="F2422" s="1399">
        <v>233746.3</v>
      </c>
      <c r="J2422" s="1399">
        <v>233746.3</v>
      </c>
    </row>
    <row r="2423" spans="2:12">
      <c r="B2423" s="1297"/>
      <c r="C2423" s="1297"/>
      <c r="D2423" s="1297"/>
      <c r="E2423" s="1297" t="s">
        <v>1006</v>
      </c>
      <c r="F2423" s="1399">
        <v>17731.669999999998</v>
      </c>
      <c r="J2423" s="1399">
        <v>17731.669999999998</v>
      </c>
    </row>
    <row r="2424" spans="2:12">
      <c r="B2424" s="1297"/>
      <c r="C2424" s="1297"/>
      <c r="D2424" s="1297"/>
      <c r="E2424" s="1404" t="s">
        <v>1116</v>
      </c>
      <c r="F2424" s="1405"/>
      <c r="G2424" s="1405"/>
      <c r="H2424" s="1405">
        <v>56538149.979999997</v>
      </c>
      <c r="I2424" s="1405"/>
      <c r="J2424" s="1405">
        <v>56538149.979999997</v>
      </c>
    </row>
    <row r="2425" spans="2:12">
      <c r="B2425" s="1297"/>
      <c r="C2425" s="1297"/>
      <c r="D2425" s="1297"/>
      <c r="E2425" s="1404" t="s">
        <v>948</v>
      </c>
      <c r="F2425" s="1405"/>
      <c r="G2425" s="1405"/>
      <c r="H2425" s="1405">
        <v>15624028.899999999</v>
      </c>
      <c r="I2425" s="1405"/>
      <c r="J2425" s="1405">
        <v>15624028.899999999</v>
      </c>
    </row>
    <row r="2426" spans="2:12">
      <c r="B2426" s="1297"/>
      <c r="C2426" s="1297"/>
      <c r="D2426" s="1297"/>
      <c r="E2426" s="1297" t="s">
        <v>956</v>
      </c>
      <c r="H2426" s="1399">
        <v>23200.5</v>
      </c>
      <c r="J2426" s="1399">
        <v>23200.5</v>
      </c>
    </row>
    <row r="2427" spans="2:12">
      <c r="B2427" s="1297"/>
      <c r="C2427" s="1297"/>
      <c r="D2427" s="1297"/>
      <c r="E2427" s="1297" t="s">
        <v>1118</v>
      </c>
      <c r="H2427" s="1399">
        <v>249756</v>
      </c>
      <c r="J2427" s="1399">
        <v>249756</v>
      </c>
    </row>
    <row r="2428" spans="2:12">
      <c r="B2428" s="1297"/>
      <c r="C2428" s="1297"/>
      <c r="D2428" s="1400" t="s">
        <v>1149</v>
      </c>
      <c r="E2428" s="1400"/>
      <c r="F2428" s="1401">
        <f>SUM(F2389:F2427)</f>
        <v>19107553.610000003</v>
      </c>
      <c r="G2428" s="1401">
        <f>SUM(G2389:G2427)</f>
        <v>90101727.150000006</v>
      </c>
      <c r="H2428" s="1401">
        <f>SUM(H2389:H2427)-(H2424+H2425)</f>
        <v>6663553.2199999988</v>
      </c>
      <c r="I2428" s="1401">
        <f>SUM(I2389:I2427)-I2409</f>
        <v>36688624.280000001</v>
      </c>
      <c r="J2428" s="1401">
        <f>SUM(J2389:J2427)</f>
        <v>226659453.32000002</v>
      </c>
      <c r="K2428" s="1401">
        <f>SUM(F2428:I2428)</f>
        <v>152561458.25999999</v>
      </c>
      <c r="L2428" s="1408">
        <f>K2428/C2389</f>
        <v>12379.216022395325</v>
      </c>
    </row>
    <row r="2429" spans="2:12">
      <c r="B2429" s="1297" t="s">
        <v>1150</v>
      </c>
      <c r="C2429" s="1297">
        <v>6487</v>
      </c>
      <c r="D2429" s="1297" t="s">
        <v>1151</v>
      </c>
      <c r="E2429" s="1297" t="s">
        <v>906</v>
      </c>
      <c r="G2429" s="1399">
        <v>14448871.33</v>
      </c>
      <c r="J2429" s="1399">
        <v>14448871.33</v>
      </c>
    </row>
    <row r="2430" spans="2:12">
      <c r="B2430" s="1297"/>
      <c r="C2430" s="1297"/>
      <c r="D2430" s="1297"/>
      <c r="E2430" s="1297" t="s">
        <v>952</v>
      </c>
      <c r="G2430" s="1399">
        <v>276006.40000000002</v>
      </c>
      <c r="J2430" s="1399">
        <v>276006.40000000002</v>
      </c>
    </row>
    <row r="2431" spans="2:12">
      <c r="B2431" s="1297"/>
      <c r="C2431" s="1297"/>
      <c r="D2431" s="1297"/>
      <c r="E2431" s="1297" t="s">
        <v>907</v>
      </c>
      <c r="G2431" s="1399">
        <v>5148650.37</v>
      </c>
      <c r="J2431" s="1399">
        <v>5148650.37</v>
      </c>
    </row>
    <row r="2432" spans="2:12">
      <c r="B2432" s="1297"/>
      <c r="C2432" s="1297"/>
      <c r="D2432" s="1297"/>
      <c r="E2432" s="1297" t="s">
        <v>908</v>
      </c>
      <c r="G2432" s="1399">
        <v>496916.45</v>
      </c>
      <c r="J2432" s="1399">
        <v>496916.45</v>
      </c>
    </row>
    <row r="2433" spans="5:10" s="1297" customFormat="1">
      <c r="E2433" s="1297" t="s">
        <v>909</v>
      </c>
      <c r="F2433" s="1399"/>
      <c r="G2433" s="1399"/>
      <c r="H2433" s="1399">
        <v>19580.150000000001</v>
      </c>
      <c r="I2433" s="1399"/>
      <c r="J2433" s="1399">
        <v>19580.150000000001</v>
      </c>
    </row>
    <row r="2434" spans="5:10" s="1297" customFormat="1">
      <c r="E2434" s="1297" t="s">
        <v>910</v>
      </c>
      <c r="F2434" s="1399"/>
      <c r="G2434" s="1399"/>
      <c r="H2434" s="1399">
        <v>38867.299999999996</v>
      </c>
      <c r="I2434" s="1399"/>
      <c r="J2434" s="1399">
        <v>38867.299999999996</v>
      </c>
    </row>
    <row r="2435" spans="5:10" s="1297" customFormat="1">
      <c r="E2435" s="1297" t="s">
        <v>1034</v>
      </c>
      <c r="F2435" s="1399"/>
      <c r="G2435" s="1399"/>
      <c r="H2435" s="1399">
        <v>142843.64000000001</v>
      </c>
      <c r="I2435" s="1399"/>
      <c r="J2435" s="1399">
        <v>142843.64000000001</v>
      </c>
    </row>
    <row r="2436" spans="5:10" s="1297" customFormat="1">
      <c r="E2436" s="1297" t="s">
        <v>1035</v>
      </c>
      <c r="F2436" s="1399"/>
      <c r="G2436" s="1399"/>
      <c r="H2436" s="1399">
        <v>457653.44</v>
      </c>
      <c r="I2436" s="1399"/>
      <c r="J2436" s="1399">
        <v>457653.44</v>
      </c>
    </row>
    <row r="2437" spans="5:10" s="1297" customFormat="1">
      <c r="E2437" s="1297" t="s">
        <v>1036</v>
      </c>
      <c r="F2437" s="1399"/>
      <c r="G2437" s="1399"/>
      <c r="H2437" s="1399">
        <v>178650.95</v>
      </c>
      <c r="I2437" s="1399"/>
      <c r="J2437" s="1399">
        <v>178650.95</v>
      </c>
    </row>
    <row r="2438" spans="5:10" s="1297" customFormat="1">
      <c r="E2438" s="1297" t="s">
        <v>1038</v>
      </c>
      <c r="F2438" s="1399"/>
      <c r="G2438" s="1399"/>
      <c r="H2438" s="1399">
        <v>7565</v>
      </c>
      <c r="I2438" s="1399"/>
      <c r="J2438" s="1399">
        <v>7565</v>
      </c>
    </row>
    <row r="2439" spans="5:10" s="1297" customFormat="1">
      <c r="E2439" s="1297" t="s">
        <v>1039</v>
      </c>
      <c r="F2439" s="1399"/>
      <c r="G2439" s="1399"/>
      <c r="H2439" s="1399">
        <v>28881.249999999993</v>
      </c>
      <c r="I2439" s="1399"/>
      <c r="J2439" s="1399">
        <v>28881.249999999993</v>
      </c>
    </row>
    <row r="2440" spans="5:10" s="1297" customFormat="1">
      <c r="E2440" s="1297" t="s">
        <v>1040</v>
      </c>
      <c r="F2440" s="1399"/>
      <c r="G2440" s="1399"/>
      <c r="H2440" s="1399">
        <v>702617.84</v>
      </c>
      <c r="I2440" s="1399"/>
      <c r="J2440" s="1399">
        <v>702617.84</v>
      </c>
    </row>
    <row r="2441" spans="5:10" s="1297" customFormat="1">
      <c r="E2441" s="1297" t="s">
        <v>1041</v>
      </c>
      <c r="F2441" s="1399"/>
      <c r="G2441" s="1399"/>
      <c r="H2441" s="1399">
        <v>251239.84999999998</v>
      </c>
      <c r="I2441" s="1399"/>
      <c r="J2441" s="1399">
        <v>251239.84999999998</v>
      </c>
    </row>
    <row r="2442" spans="5:10" s="1297" customFormat="1">
      <c r="E2442" s="1297" t="s">
        <v>1042</v>
      </c>
      <c r="F2442" s="1399"/>
      <c r="G2442" s="1399"/>
      <c r="H2442" s="1399">
        <v>101307.74</v>
      </c>
      <c r="I2442" s="1399"/>
      <c r="J2442" s="1399">
        <v>101307.74</v>
      </c>
    </row>
    <row r="2443" spans="5:10" s="1297" customFormat="1">
      <c r="E2443" s="1297" t="s">
        <v>954</v>
      </c>
      <c r="F2443" s="1399"/>
      <c r="G2443" s="1399"/>
      <c r="H2443" s="1399">
        <v>557478.99999999988</v>
      </c>
      <c r="I2443" s="1399"/>
      <c r="J2443" s="1399">
        <v>557478.99999999988</v>
      </c>
    </row>
    <row r="2444" spans="5:10" s="1297" customFormat="1">
      <c r="E2444" s="1297" t="s">
        <v>985</v>
      </c>
      <c r="F2444" s="1399"/>
      <c r="G2444" s="1399"/>
      <c r="H2444" s="1399">
        <v>308132.64</v>
      </c>
      <c r="I2444" s="1399"/>
      <c r="J2444" s="1399">
        <v>308132.64</v>
      </c>
    </row>
    <row r="2445" spans="5:10" s="1297" customFormat="1">
      <c r="E2445" s="1297" t="s">
        <v>1043</v>
      </c>
      <c r="F2445" s="1399"/>
      <c r="G2445" s="1399"/>
      <c r="H2445" s="1399">
        <v>10066.67</v>
      </c>
      <c r="I2445" s="1399"/>
      <c r="J2445" s="1399">
        <v>10066.67</v>
      </c>
    </row>
    <row r="2446" spans="5:10" s="1297" customFormat="1">
      <c r="E2446" s="1297" t="s">
        <v>1203</v>
      </c>
      <c r="F2446" s="1399"/>
      <c r="G2446" s="1399"/>
      <c r="H2446" s="1399">
        <v>30000</v>
      </c>
      <c r="I2446" s="1399"/>
      <c r="J2446" s="1399">
        <v>30000</v>
      </c>
    </row>
    <row r="2447" spans="5:10" s="1297" customFormat="1">
      <c r="E2447" s="1297" t="s">
        <v>991</v>
      </c>
      <c r="F2447" s="1399"/>
      <c r="G2447" s="1399"/>
      <c r="H2447" s="1399">
        <v>12563.31</v>
      </c>
      <c r="I2447" s="1399"/>
      <c r="J2447" s="1399">
        <v>12563.31</v>
      </c>
    </row>
    <row r="2448" spans="5:10" s="1297" customFormat="1">
      <c r="E2448" s="1297" t="s">
        <v>1045</v>
      </c>
      <c r="F2448" s="1399"/>
      <c r="G2448" s="1399"/>
      <c r="H2448" s="1399">
        <v>1076498.5100000002</v>
      </c>
      <c r="I2448" s="1399"/>
      <c r="J2448" s="1399">
        <v>1076498.5100000002</v>
      </c>
    </row>
    <row r="2449" spans="5:10" s="1297" customFormat="1">
      <c r="E2449" s="1297" t="s">
        <v>1046</v>
      </c>
      <c r="F2449" s="1399"/>
      <c r="G2449" s="1399"/>
      <c r="H2449" s="1399"/>
      <c r="I2449" s="1399">
        <v>34205691</v>
      </c>
      <c r="J2449" s="1399">
        <v>34205691</v>
      </c>
    </row>
    <row r="2450" spans="5:10" s="1297" customFormat="1">
      <c r="E2450" s="1297" t="s">
        <v>1128</v>
      </c>
      <c r="F2450" s="1399"/>
      <c r="G2450" s="1399"/>
      <c r="H2450" s="1399"/>
      <c r="I2450" s="1399">
        <v>2832071</v>
      </c>
      <c r="J2450" s="1399">
        <v>2832071</v>
      </c>
    </row>
    <row r="2451" spans="5:10" s="1297" customFormat="1">
      <c r="E2451" s="1297" t="s">
        <v>1129</v>
      </c>
      <c r="F2451" s="1399"/>
      <c r="G2451" s="1399"/>
      <c r="H2451" s="1399"/>
      <c r="I2451" s="1399">
        <v>-4748788</v>
      </c>
      <c r="J2451" s="1399">
        <v>-4748788</v>
      </c>
    </row>
    <row r="2452" spans="5:10" s="1297" customFormat="1">
      <c r="E2452" s="1297" t="s">
        <v>1047</v>
      </c>
      <c r="F2452" s="1399"/>
      <c r="G2452" s="1399"/>
      <c r="H2452" s="1399"/>
      <c r="I2452" s="1399">
        <v>1142819</v>
      </c>
      <c r="J2452" s="1399">
        <v>1142819</v>
      </c>
    </row>
    <row r="2453" spans="5:10" s="1297" customFormat="1">
      <c r="E2453" s="1297" t="s">
        <v>1048</v>
      </c>
      <c r="F2453" s="1399"/>
      <c r="G2453" s="1399"/>
      <c r="H2453" s="1399"/>
      <c r="I2453" s="1399">
        <v>-4428808</v>
      </c>
      <c r="J2453" s="1399">
        <v>-4428808</v>
      </c>
    </row>
    <row r="2454" spans="5:10" s="1297" customFormat="1">
      <c r="E2454" s="1297" t="s">
        <v>932</v>
      </c>
      <c r="F2454" s="1399"/>
      <c r="G2454" s="1399"/>
      <c r="H2454" s="1399"/>
      <c r="I2454" s="1399">
        <v>3818490</v>
      </c>
      <c r="J2454" s="1399">
        <v>3818490</v>
      </c>
    </row>
    <row r="2455" spans="5:10" s="1297" customFormat="1">
      <c r="E2455" s="1404" t="s">
        <v>955</v>
      </c>
      <c r="F2455" s="1405"/>
      <c r="G2455" s="1405"/>
      <c r="H2455" s="1405"/>
      <c r="I2455" s="1405">
        <v>1812187.51</v>
      </c>
      <c r="J2455" s="1405">
        <v>1812187.51</v>
      </c>
    </row>
    <row r="2456" spans="5:10" s="1297" customFormat="1">
      <c r="E2456" s="1297" t="s">
        <v>934</v>
      </c>
      <c r="F2456" s="1399"/>
      <c r="G2456" s="1399"/>
      <c r="H2456" s="1399"/>
      <c r="I2456" s="1399">
        <v>114192</v>
      </c>
      <c r="J2456" s="1399">
        <v>114192</v>
      </c>
    </row>
    <row r="2457" spans="5:10" s="1297" customFormat="1">
      <c r="E2457" s="1297" t="s">
        <v>935</v>
      </c>
      <c r="F2457" s="1399"/>
      <c r="G2457" s="1399"/>
      <c r="H2457" s="1399"/>
      <c r="I2457" s="1399">
        <v>684789.88</v>
      </c>
      <c r="J2457" s="1399">
        <v>684789.88</v>
      </c>
    </row>
    <row r="2458" spans="5:10" s="1297" customFormat="1">
      <c r="E2458" s="1297" t="s">
        <v>936</v>
      </c>
      <c r="F2458" s="1399"/>
      <c r="G2458" s="1399"/>
      <c r="H2458" s="1399"/>
      <c r="I2458" s="1399">
        <v>103294.41</v>
      </c>
      <c r="J2458" s="1399">
        <v>103294.41</v>
      </c>
    </row>
    <row r="2459" spans="5:10" s="1297" customFormat="1">
      <c r="E2459" s="1297" t="s">
        <v>937</v>
      </c>
      <c r="F2459" s="1399"/>
      <c r="G2459" s="1399"/>
      <c r="H2459" s="1399"/>
      <c r="I2459" s="1399">
        <v>31035.32</v>
      </c>
      <c r="J2459" s="1399">
        <v>31035.32</v>
      </c>
    </row>
    <row r="2460" spans="5:10" s="1297" customFormat="1">
      <c r="E2460" s="1297" t="s">
        <v>938</v>
      </c>
      <c r="F2460" s="1399"/>
      <c r="G2460" s="1399"/>
      <c r="H2460" s="1399"/>
      <c r="I2460" s="1399">
        <v>26015</v>
      </c>
      <c r="J2460" s="1399">
        <v>26015</v>
      </c>
    </row>
    <row r="2461" spans="5:10" s="1297" customFormat="1">
      <c r="E2461" s="1297" t="s">
        <v>939</v>
      </c>
      <c r="F2461" s="1399"/>
      <c r="G2461" s="1399"/>
      <c r="H2461" s="1399"/>
      <c r="I2461" s="1399">
        <v>84477.17</v>
      </c>
      <c r="J2461" s="1399">
        <v>84477.17</v>
      </c>
    </row>
    <row r="2462" spans="5:10" s="1297" customFormat="1">
      <c r="E2462" s="1297" t="s">
        <v>1131</v>
      </c>
      <c r="F2462" s="1399">
        <v>46946.26</v>
      </c>
      <c r="G2462" s="1399"/>
      <c r="H2462" s="1399"/>
      <c r="I2462" s="1399"/>
      <c r="J2462" s="1399">
        <v>46946.26</v>
      </c>
    </row>
    <row r="2463" spans="5:10" s="1297" customFormat="1">
      <c r="E2463" s="1297" t="s">
        <v>940</v>
      </c>
      <c r="F2463" s="1399">
        <v>1811573.5000000002</v>
      </c>
      <c r="G2463" s="1399"/>
      <c r="H2463" s="1399"/>
      <c r="I2463" s="1399"/>
      <c r="J2463" s="1399">
        <v>1811573.5000000002</v>
      </c>
    </row>
    <row r="2464" spans="5:10" s="1297" customFormat="1">
      <c r="E2464" s="1297" t="s">
        <v>941</v>
      </c>
      <c r="F2464" s="1399">
        <v>656905.46</v>
      </c>
      <c r="G2464" s="1399"/>
      <c r="H2464" s="1399"/>
      <c r="I2464" s="1399"/>
      <c r="J2464" s="1399">
        <v>656905.46</v>
      </c>
    </row>
    <row r="2465" spans="2:12">
      <c r="B2465" s="1297"/>
      <c r="C2465" s="1297"/>
      <c r="D2465" s="1297"/>
      <c r="E2465" s="1297" t="s">
        <v>943</v>
      </c>
      <c r="F2465" s="1399">
        <v>56596.68</v>
      </c>
      <c r="J2465" s="1399">
        <v>56596.68</v>
      </c>
    </row>
    <row r="2466" spans="2:12">
      <c r="B2466" s="1297"/>
      <c r="C2466" s="1297"/>
      <c r="D2466" s="1297"/>
      <c r="E2466" s="1297" t="s">
        <v>944</v>
      </c>
      <c r="F2466" s="1399">
        <v>3750673.66</v>
      </c>
      <c r="J2466" s="1399">
        <v>3750673.66</v>
      </c>
    </row>
    <row r="2467" spans="2:12">
      <c r="B2467" s="1297"/>
      <c r="C2467" s="1297"/>
      <c r="D2467" s="1297"/>
      <c r="E2467" s="1297" t="s">
        <v>945</v>
      </c>
      <c r="F2467" s="1399">
        <v>1777482.05</v>
      </c>
      <c r="J2467" s="1399">
        <v>1777482.05</v>
      </c>
    </row>
    <row r="2468" spans="2:12">
      <c r="B2468" s="1297"/>
      <c r="C2468" s="1297"/>
      <c r="D2468" s="1297"/>
      <c r="E2468" s="1297" t="s">
        <v>1214</v>
      </c>
      <c r="F2468" s="1399">
        <v>8439.07</v>
      </c>
      <c r="J2468" s="1399">
        <v>8439.07</v>
      </c>
    </row>
    <row r="2469" spans="2:12">
      <c r="B2469" s="1297"/>
      <c r="C2469" s="1297"/>
      <c r="D2469" s="1297"/>
      <c r="E2469" s="1297" t="s">
        <v>947</v>
      </c>
      <c r="F2469" s="1399">
        <v>131182.97</v>
      </c>
      <c r="J2469" s="1399">
        <v>131182.97</v>
      </c>
    </row>
    <row r="2470" spans="2:12">
      <c r="B2470" s="1297"/>
      <c r="C2470" s="1297"/>
      <c r="D2470" s="1297"/>
      <c r="E2470" s="1404" t="s">
        <v>948</v>
      </c>
      <c r="F2470" s="1405"/>
      <c r="G2470" s="1405"/>
      <c r="H2470" s="1405">
        <v>12160975.23</v>
      </c>
      <c r="I2470" s="1405"/>
      <c r="J2470" s="1405">
        <v>12160975.23</v>
      </c>
    </row>
    <row r="2471" spans="2:12">
      <c r="B2471" s="1297"/>
      <c r="C2471" s="1297"/>
      <c r="D2471" s="1297"/>
      <c r="E2471" s="1297" t="s">
        <v>956</v>
      </c>
      <c r="H2471" s="1399">
        <v>172867.26</v>
      </c>
      <c r="J2471" s="1399">
        <v>172867.26</v>
      </c>
    </row>
    <row r="2472" spans="2:12">
      <c r="B2472" s="1297"/>
      <c r="C2472" s="1297"/>
      <c r="D2472" s="1400" t="s">
        <v>1152</v>
      </c>
      <c r="E2472" s="1400"/>
      <c r="F2472" s="1401">
        <f>SUM(F2429:F2471)</f>
        <v>8239799.6500000004</v>
      </c>
      <c r="G2472" s="1401">
        <f>SUM(G2429:G2471)</f>
        <v>20370444.550000001</v>
      </c>
      <c r="H2472" s="1401">
        <f>SUM(H2429:H2471)-H2470</f>
        <v>4096814.5499999989</v>
      </c>
      <c r="I2472" s="1401">
        <f>SUM(I2429:I2471)-I2455</f>
        <v>33865278.780000001</v>
      </c>
      <c r="J2472" s="1401">
        <f>SUM(J2429:J2471)</f>
        <v>80545500.269999996</v>
      </c>
      <c r="K2472" s="1401">
        <f>SUM(F2472:I2472)</f>
        <v>66572337.530000001</v>
      </c>
      <c r="L2472" s="1408">
        <f>K2472/C2429</f>
        <v>10262.422927393249</v>
      </c>
    </row>
    <row r="2473" spans="2:12">
      <c r="B2473" s="1297" t="s">
        <v>1153</v>
      </c>
      <c r="C2473" s="1297">
        <v>4282</v>
      </c>
      <c r="D2473" s="1297" t="s">
        <v>1154</v>
      </c>
      <c r="E2473" s="1297" t="s">
        <v>906</v>
      </c>
      <c r="G2473" s="1399">
        <v>7531688.2699999996</v>
      </c>
      <c r="J2473" s="1399">
        <v>7531688.2699999996</v>
      </c>
    </row>
    <row r="2474" spans="2:12">
      <c r="B2474" s="1297"/>
      <c r="C2474" s="1297"/>
      <c r="D2474" s="1297"/>
      <c r="E2474" s="1297" t="s">
        <v>907</v>
      </c>
      <c r="G2474" s="1399">
        <v>2659638.12</v>
      </c>
      <c r="J2474" s="1399">
        <v>2659638.12</v>
      </c>
    </row>
    <row r="2475" spans="2:12">
      <c r="B2475" s="1297"/>
      <c r="C2475" s="1297"/>
      <c r="D2475" s="1297"/>
      <c r="E2475" s="1297" t="s">
        <v>908</v>
      </c>
      <c r="G2475" s="1399">
        <v>91895.73</v>
      </c>
      <c r="J2475" s="1399">
        <v>91895.73</v>
      </c>
    </row>
    <row r="2476" spans="2:12">
      <c r="B2476" s="1297"/>
      <c r="C2476" s="1297"/>
      <c r="D2476" s="1297"/>
      <c r="E2476" s="1297" t="s">
        <v>909</v>
      </c>
      <c r="H2476" s="1399">
        <v>68139.7</v>
      </c>
      <c r="J2476" s="1399">
        <v>68139.7</v>
      </c>
    </row>
    <row r="2477" spans="2:12">
      <c r="B2477" s="1297"/>
      <c r="C2477" s="1297"/>
      <c r="D2477" s="1297"/>
      <c r="E2477" s="1297" t="s">
        <v>910</v>
      </c>
      <c r="H2477" s="1399">
        <v>294263.69</v>
      </c>
      <c r="J2477" s="1399">
        <v>294263.69</v>
      </c>
    </row>
    <row r="2478" spans="2:12">
      <c r="B2478" s="1297"/>
      <c r="C2478" s="1297"/>
      <c r="D2478" s="1297"/>
      <c r="E2478" s="1297" t="s">
        <v>1034</v>
      </c>
      <c r="H2478" s="1399">
        <v>79582.31</v>
      </c>
      <c r="J2478" s="1399">
        <v>79582.31</v>
      </c>
    </row>
    <row r="2479" spans="2:12">
      <c r="B2479" s="1297"/>
      <c r="C2479" s="1297"/>
      <c r="D2479" s="1297"/>
      <c r="E2479" s="1297" t="s">
        <v>1035</v>
      </c>
      <c r="H2479" s="1399">
        <v>412898.2</v>
      </c>
      <c r="J2479" s="1399">
        <v>412898.2</v>
      </c>
    </row>
    <row r="2480" spans="2:12">
      <c r="B2480" s="1297"/>
      <c r="C2480" s="1297"/>
      <c r="D2480" s="1297"/>
      <c r="E2480" s="1297" t="s">
        <v>1036</v>
      </c>
      <c r="H2480" s="1399">
        <v>215880.68</v>
      </c>
      <c r="J2480" s="1399">
        <v>215880.68</v>
      </c>
    </row>
    <row r="2481" spans="5:10" s="1297" customFormat="1">
      <c r="E2481" s="1297" t="s">
        <v>1037</v>
      </c>
      <c r="F2481" s="1399"/>
      <c r="G2481" s="1399"/>
      <c r="H2481" s="1399">
        <v>9390</v>
      </c>
      <c r="I2481" s="1399"/>
      <c r="J2481" s="1399">
        <v>9390</v>
      </c>
    </row>
    <row r="2482" spans="5:10" s="1297" customFormat="1">
      <c r="E2482" s="1297" t="s">
        <v>1039</v>
      </c>
      <c r="F2482" s="1399"/>
      <c r="G2482" s="1399"/>
      <c r="H2482" s="1399">
        <v>13062.32</v>
      </c>
      <c r="I2482" s="1399"/>
      <c r="J2482" s="1399">
        <v>13062.32</v>
      </c>
    </row>
    <row r="2483" spans="5:10" s="1297" customFormat="1">
      <c r="E2483" s="1297" t="s">
        <v>1040</v>
      </c>
      <c r="F2483" s="1399"/>
      <c r="G2483" s="1399"/>
      <c r="H2483" s="1399">
        <v>174414.55</v>
      </c>
      <c r="I2483" s="1399"/>
      <c r="J2483" s="1399">
        <v>174414.55</v>
      </c>
    </row>
    <row r="2484" spans="5:10" s="1297" customFormat="1">
      <c r="E2484" s="1297" t="s">
        <v>1041</v>
      </c>
      <c r="F2484" s="1399"/>
      <c r="G2484" s="1399"/>
      <c r="H2484" s="1399">
        <v>19509.8</v>
      </c>
      <c r="I2484" s="1399"/>
      <c r="J2484" s="1399">
        <v>19509.8</v>
      </c>
    </row>
    <row r="2485" spans="5:10" s="1297" customFormat="1">
      <c r="E2485" s="1297" t="s">
        <v>1042</v>
      </c>
      <c r="F2485" s="1399"/>
      <c r="G2485" s="1399"/>
      <c r="H2485" s="1399">
        <v>50834</v>
      </c>
      <c r="I2485" s="1399"/>
      <c r="J2485" s="1399">
        <v>50834</v>
      </c>
    </row>
    <row r="2486" spans="5:10" s="1297" customFormat="1">
      <c r="E2486" s="1297" t="s">
        <v>985</v>
      </c>
      <c r="F2486" s="1399"/>
      <c r="G2486" s="1399"/>
      <c r="H2486" s="1399">
        <v>91339.75</v>
      </c>
      <c r="I2486" s="1399"/>
      <c r="J2486" s="1399">
        <v>91339.75</v>
      </c>
    </row>
    <row r="2487" spans="5:10" s="1297" customFormat="1">
      <c r="E2487" s="1297" t="s">
        <v>986</v>
      </c>
      <c r="F2487" s="1399"/>
      <c r="G2487" s="1399"/>
      <c r="H2487" s="1399">
        <v>86500</v>
      </c>
      <c r="I2487" s="1399"/>
      <c r="J2487" s="1399">
        <v>86500</v>
      </c>
    </row>
    <row r="2488" spans="5:10" s="1297" customFormat="1">
      <c r="E2488" s="1297" t="s">
        <v>1044</v>
      </c>
      <c r="F2488" s="1399">
        <v>24753</v>
      </c>
      <c r="G2488" s="1399"/>
      <c r="H2488" s="1399"/>
      <c r="I2488" s="1399"/>
      <c r="J2488" s="1399">
        <v>24753</v>
      </c>
    </row>
    <row r="2489" spans="5:10" s="1297" customFormat="1">
      <c r="E2489" s="1297" t="s">
        <v>1045</v>
      </c>
      <c r="F2489" s="1399"/>
      <c r="G2489" s="1399"/>
      <c r="H2489" s="1399">
        <v>153049.31999999998</v>
      </c>
      <c r="I2489" s="1399"/>
      <c r="J2489" s="1399">
        <v>153049.31999999998</v>
      </c>
    </row>
    <row r="2490" spans="5:10" s="1297" customFormat="1">
      <c r="E2490" s="1297" t="s">
        <v>1046</v>
      </c>
      <c r="F2490" s="1399"/>
      <c r="G2490" s="1399"/>
      <c r="H2490" s="1399"/>
      <c r="I2490" s="1399">
        <v>22824923</v>
      </c>
      <c r="J2490" s="1399">
        <v>22824923</v>
      </c>
    </row>
    <row r="2491" spans="5:10" s="1297" customFormat="1">
      <c r="E2491" s="1297" t="s">
        <v>1128</v>
      </c>
      <c r="F2491" s="1399"/>
      <c r="G2491" s="1399"/>
      <c r="H2491" s="1399"/>
      <c r="I2491" s="1399">
        <v>1833449</v>
      </c>
      <c r="J2491" s="1399">
        <v>1833449</v>
      </c>
    </row>
    <row r="2492" spans="5:10" s="1297" customFormat="1">
      <c r="E2492" s="1297" t="s">
        <v>1129</v>
      </c>
      <c r="F2492" s="1399"/>
      <c r="G2492" s="1399"/>
      <c r="H2492" s="1399"/>
      <c r="I2492" s="1399">
        <v>-3230025</v>
      </c>
      <c r="J2492" s="1399">
        <v>-3230025</v>
      </c>
    </row>
    <row r="2493" spans="5:10" s="1297" customFormat="1">
      <c r="E2493" s="1297" t="s">
        <v>1047</v>
      </c>
      <c r="F2493" s="1399"/>
      <c r="G2493" s="1399"/>
      <c r="H2493" s="1399"/>
      <c r="I2493" s="1399">
        <v>641686</v>
      </c>
      <c r="J2493" s="1399">
        <v>641686</v>
      </c>
    </row>
    <row r="2494" spans="5:10" s="1297" customFormat="1">
      <c r="E2494" s="1297" t="s">
        <v>1048</v>
      </c>
      <c r="F2494" s="1399"/>
      <c r="G2494" s="1399"/>
      <c r="H2494" s="1399"/>
      <c r="I2494" s="1399">
        <v>-2615676</v>
      </c>
      <c r="J2494" s="1399">
        <v>-2615676</v>
      </c>
    </row>
    <row r="2495" spans="5:10" s="1297" customFormat="1">
      <c r="E2495" s="1297" t="s">
        <v>932</v>
      </c>
      <c r="F2495" s="1399"/>
      <c r="G2495" s="1399"/>
      <c r="H2495" s="1399"/>
      <c r="I2495" s="1399">
        <v>2051522</v>
      </c>
      <c r="J2495" s="1399">
        <v>2051522</v>
      </c>
    </row>
    <row r="2496" spans="5:10" s="1297" customFormat="1">
      <c r="E2496" s="1404" t="s">
        <v>955</v>
      </c>
      <c r="F2496" s="1405"/>
      <c r="G2496" s="1405"/>
      <c r="H2496" s="1405"/>
      <c r="I2496" s="1405">
        <v>1044359.87</v>
      </c>
      <c r="J2496" s="1405">
        <v>1044359.87</v>
      </c>
    </row>
    <row r="2497" spans="2:12">
      <c r="B2497" s="1297"/>
      <c r="C2497" s="1297"/>
      <c r="D2497" s="1297"/>
      <c r="E2497" s="1297" t="s">
        <v>934</v>
      </c>
      <c r="I2497" s="1399">
        <v>66950</v>
      </c>
      <c r="J2497" s="1399">
        <v>66950</v>
      </c>
    </row>
    <row r="2498" spans="2:12">
      <c r="B2498" s="1297"/>
      <c r="C2498" s="1297"/>
      <c r="D2498" s="1297"/>
      <c r="E2498" s="1297" t="s">
        <v>935</v>
      </c>
      <c r="I2498" s="1399">
        <v>99349.03</v>
      </c>
      <c r="J2498" s="1399">
        <v>99349.03</v>
      </c>
    </row>
    <row r="2499" spans="2:12">
      <c r="B2499" s="1297"/>
      <c r="C2499" s="1297"/>
      <c r="D2499" s="1297"/>
      <c r="E2499" s="1297" t="s">
        <v>936</v>
      </c>
      <c r="I2499" s="1399">
        <v>74932.210000000006</v>
      </c>
      <c r="J2499" s="1399">
        <v>74932.210000000006</v>
      </c>
    </row>
    <row r="2500" spans="2:12">
      <c r="B2500" s="1297"/>
      <c r="C2500" s="1297"/>
      <c r="D2500" s="1297"/>
      <c r="E2500" s="1297" t="s">
        <v>938</v>
      </c>
      <c r="I2500" s="1399">
        <v>23395</v>
      </c>
      <c r="J2500" s="1399">
        <v>23395</v>
      </c>
    </row>
    <row r="2501" spans="2:12">
      <c r="B2501" s="1297"/>
      <c r="C2501" s="1297"/>
      <c r="D2501" s="1297"/>
      <c r="E2501" s="1297" t="s">
        <v>940</v>
      </c>
      <c r="F2501" s="1399">
        <v>1333517.8999999999</v>
      </c>
      <c r="J2501" s="1399">
        <v>1333517.8999999999</v>
      </c>
    </row>
    <row r="2502" spans="2:12">
      <c r="B2502" s="1297"/>
      <c r="C2502" s="1297"/>
      <c r="D2502" s="1297"/>
      <c r="E2502" s="1297" t="s">
        <v>941</v>
      </c>
      <c r="F2502" s="1399">
        <v>576495.1</v>
      </c>
      <c r="J2502" s="1399">
        <v>576495.1</v>
      </c>
    </row>
    <row r="2503" spans="2:12">
      <c r="B2503" s="1297"/>
      <c r="C2503" s="1297"/>
      <c r="D2503" s="1297"/>
      <c r="E2503" s="1297" t="s">
        <v>943</v>
      </c>
      <c r="F2503" s="1399">
        <v>3850.22</v>
      </c>
      <c r="J2503" s="1399">
        <v>3850.22</v>
      </c>
    </row>
    <row r="2504" spans="2:12">
      <c r="B2504" s="1297"/>
      <c r="C2504" s="1297"/>
      <c r="D2504" s="1297"/>
      <c r="E2504" s="1297" t="s">
        <v>944</v>
      </c>
      <c r="F2504" s="1399">
        <v>3518205.33</v>
      </c>
      <c r="J2504" s="1399">
        <v>3518205.33</v>
      </c>
    </row>
    <row r="2505" spans="2:12">
      <c r="B2505" s="1297"/>
      <c r="C2505" s="1297"/>
      <c r="D2505" s="1297"/>
      <c r="E2505" s="1297" t="s">
        <v>945</v>
      </c>
      <c r="F2505" s="1399">
        <v>1917365.52</v>
      </c>
      <c r="J2505" s="1399">
        <v>1917365.52</v>
      </c>
    </row>
    <row r="2506" spans="2:12">
      <c r="B2506" s="1297"/>
      <c r="C2506" s="1297"/>
      <c r="D2506" s="1297"/>
      <c r="E2506" s="1297" t="s">
        <v>946</v>
      </c>
      <c r="F2506" s="1399">
        <v>194911.71000000002</v>
      </c>
      <c r="J2506" s="1399">
        <v>194911.71000000002</v>
      </c>
    </row>
    <row r="2507" spans="2:12">
      <c r="B2507" s="1297"/>
      <c r="C2507" s="1297"/>
      <c r="D2507" s="1297"/>
      <c r="E2507" s="359" t="s">
        <v>947</v>
      </c>
      <c r="F2507" s="1411">
        <v>160321.59</v>
      </c>
      <c r="G2507" s="1411"/>
      <c r="H2507" s="1411"/>
      <c r="I2507" s="1411"/>
      <c r="J2507" s="1399">
        <v>160321.59</v>
      </c>
    </row>
    <row r="2508" spans="2:12">
      <c r="B2508" s="1297"/>
      <c r="C2508" s="1297"/>
      <c r="D2508" s="1297"/>
      <c r="E2508" s="1404" t="s">
        <v>948</v>
      </c>
      <c r="F2508" s="1405"/>
      <c r="G2508" s="1405"/>
      <c r="H2508" s="1405">
        <v>315395.37</v>
      </c>
      <c r="I2508" s="1405"/>
      <c r="J2508" s="1405">
        <v>315395.37</v>
      </c>
    </row>
    <row r="2509" spans="2:12">
      <c r="B2509" s="1297"/>
      <c r="C2509" s="1297"/>
      <c r="D2509" s="1297"/>
      <c r="E2509" s="1297" t="s">
        <v>956</v>
      </c>
      <c r="H2509" s="1399">
        <v>679.1</v>
      </c>
      <c r="J2509" s="1399">
        <v>679.1</v>
      </c>
    </row>
    <row r="2510" spans="2:12">
      <c r="B2510" s="1297"/>
      <c r="C2510" s="1297"/>
      <c r="D2510" s="1400" t="s">
        <v>1155</v>
      </c>
      <c r="E2510" s="1400"/>
      <c r="F2510" s="1401">
        <f>SUM(F2473:F2509)</f>
        <v>7729420.3700000001</v>
      </c>
      <c r="G2510" s="1401">
        <f>SUM(G2473:G2509)</f>
        <v>10283222.120000001</v>
      </c>
      <c r="H2510" s="1401">
        <f>SUM(H2473:H2509)-H2508</f>
        <v>1669543.4200000004</v>
      </c>
      <c r="I2510" s="1401">
        <f>SUM(I2473:I2509)-I2496</f>
        <v>21770505.240000002</v>
      </c>
      <c r="J2510" s="1401">
        <f>SUM(J2473:J2509)</f>
        <v>42812446.390000001</v>
      </c>
      <c r="K2510" s="1401">
        <f>SUM(F2510:I2510)</f>
        <v>41452691.150000006</v>
      </c>
      <c r="L2510" s="1408">
        <f>K2510/C2473</f>
        <v>9680.6845282578251</v>
      </c>
    </row>
    <row r="2511" spans="2:12">
      <c r="B2511" s="1297" t="s">
        <v>1156</v>
      </c>
      <c r="C2511" s="1297">
        <v>1990</v>
      </c>
      <c r="D2511" s="1297" t="s">
        <v>1157</v>
      </c>
      <c r="E2511" s="1297" t="s">
        <v>906</v>
      </c>
      <c r="G2511" s="1399">
        <v>17693729.260000002</v>
      </c>
      <c r="J2511" s="1399">
        <v>17693729.260000002</v>
      </c>
    </row>
    <row r="2512" spans="2:12">
      <c r="B2512" s="1297"/>
      <c r="C2512" s="1297"/>
      <c r="D2512" s="1297"/>
      <c r="E2512" s="1297" t="s">
        <v>907</v>
      </c>
      <c r="G2512" s="1399">
        <v>2978428.74</v>
      </c>
      <c r="J2512" s="1399">
        <v>2978428.74</v>
      </c>
    </row>
    <row r="2513" spans="5:10" s="1297" customFormat="1">
      <c r="E2513" s="1297" t="s">
        <v>908</v>
      </c>
      <c r="F2513" s="1399"/>
      <c r="G2513" s="1399">
        <v>121537.36</v>
      </c>
      <c r="H2513" s="1399"/>
      <c r="I2513" s="1399"/>
      <c r="J2513" s="1399">
        <v>121537.36</v>
      </c>
    </row>
    <row r="2514" spans="5:10" s="1297" customFormat="1">
      <c r="E2514" s="1297" t="s">
        <v>909</v>
      </c>
      <c r="F2514" s="1399"/>
      <c r="G2514" s="1399"/>
      <c r="H2514" s="1399">
        <v>12622.52</v>
      </c>
      <c r="I2514" s="1399"/>
      <c r="J2514" s="1399">
        <v>12622.52</v>
      </c>
    </row>
    <row r="2515" spans="5:10" s="1297" customFormat="1">
      <c r="E2515" s="1297" t="s">
        <v>910</v>
      </c>
      <c r="F2515" s="1399"/>
      <c r="G2515" s="1399"/>
      <c r="H2515" s="1399">
        <v>2067.9</v>
      </c>
      <c r="I2515" s="1399"/>
      <c r="J2515" s="1399">
        <v>2067.9</v>
      </c>
    </row>
    <row r="2516" spans="5:10" s="1297" customFormat="1">
      <c r="E2516" s="1297" t="s">
        <v>1034</v>
      </c>
      <c r="F2516" s="1399"/>
      <c r="G2516" s="1399"/>
      <c r="H2516" s="1399">
        <v>8530.57</v>
      </c>
      <c r="I2516" s="1399"/>
      <c r="J2516" s="1399">
        <v>8530.57</v>
      </c>
    </row>
    <row r="2517" spans="5:10" s="1297" customFormat="1">
      <c r="E2517" s="1297" t="s">
        <v>1035</v>
      </c>
      <c r="F2517" s="1399"/>
      <c r="G2517" s="1399"/>
      <c r="H2517" s="1399">
        <v>81961.210000000006</v>
      </c>
      <c r="I2517" s="1399"/>
      <c r="J2517" s="1399">
        <v>81961.210000000006</v>
      </c>
    </row>
    <row r="2518" spans="5:10" s="1297" customFormat="1">
      <c r="E2518" s="1297" t="s">
        <v>1036</v>
      </c>
      <c r="F2518" s="1399"/>
      <c r="G2518" s="1399"/>
      <c r="H2518" s="1399">
        <v>97772.43</v>
      </c>
      <c r="I2518" s="1399"/>
      <c r="J2518" s="1399">
        <v>97772.43</v>
      </c>
    </row>
    <row r="2519" spans="5:10" s="1297" customFormat="1">
      <c r="E2519" s="1297" t="s">
        <v>1105</v>
      </c>
      <c r="F2519" s="1399"/>
      <c r="G2519" s="1399"/>
      <c r="H2519" s="1399">
        <v>37919.520000000004</v>
      </c>
      <c r="I2519" s="1399"/>
      <c r="J2519" s="1399">
        <v>37919.520000000004</v>
      </c>
    </row>
    <row r="2520" spans="5:10" s="1297" customFormat="1">
      <c r="E2520" s="1297" t="s">
        <v>1039</v>
      </c>
      <c r="F2520" s="1399"/>
      <c r="G2520" s="1399"/>
      <c r="H2520" s="1399">
        <v>92372.85</v>
      </c>
      <c r="I2520" s="1399"/>
      <c r="J2520" s="1399">
        <v>92372.85</v>
      </c>
    </row>
    <row r="2521" spans="5:10" s="1297" customFormat="1">
      <c r="E2521" s="1297" t="s">
        <v>1041</v>
      </c>
      <c r="F2521" s="1399"/>
      <c r="G2521" s="1399"/>
      <c r="H2521" s="1399">
        <v>5224.26</v>
      </c>
      <c r="I2521" s="1399"/>
      <c r="J2521" s="1399">
        <v>5224.26</v>
      </c>
    </row>
    <row r="2522" spans="5:10" s="1297" customFormat="1">
      <c r="E2522" s="1297" t="s">
        <v>1042</v>
      </c>
      <c r="F2522" s="1399"/>
      <c r="G2522" s="1399"/>
      <c r="H2522" s="1399">
        <v>42706.39</v>
      </c>
      <c r="I2522" s="1399"/>
      <c r="J2522" s="1399">
        <v>42706.39</v>
      </c>
    </row>
    <row r="2523" spans="5:10" s="1297" customFormat="1">
      <c r="E2523" s="1297" t="s">
        <v>986</v>
      </c>
      <c r="F2523" s="1399"/>
      <c r="G2523" s="1399"/>
      <c r="H2523" s="1399">
        <v>60262.38</v>
      </c>
      <c r="I2523" s="1399"/>
      <c r="J2523" s="1399">
        <v>60262.38</v>
      </c>
    </row>
    <row r="2524" spans="5:10" s="1297" customFormat="1">
      <c r="E2524" s="1297" t="s">
        <v>991</v>
      </c>
      <c r="F2524" s="1399"/>
      <c r="G2524" s="1399"/>
      <c r="H2524" s="1399">
        <v>90</v>
      </c>
      <c r="I2524" s="1399"/>
      <c r="J2524" s="1399">
        <v>90</v>
      </c>
    </row>
    <row r="2525" spans="5:10" s="1297" customFormat="1">
      <c r="E2525" s="1297" t="s">
        <v>1044</v>
      </c>
      <c r="F2525" s="1399">
        <v>44166</v>
      </c>
      <c r="G2525" s="1399"/>
      <c r="H2525" s="1399"/>
      <c r="I2525" s="1399"/>
      <c r="J2525" s="1399">
        <v>44166</v>
      </c>
    </row>
    <row r="2526" spans="5:10" s="1297" customFormat="1">
      <c r="E2526" s="1297" t="s">
        <v>1045</v>
      </c>
      <c r="F2526" s="1399"/>
      <c r="G2526" s="1399"/>
      <c r="H2526" s="1399">
        <v>1406391.9900000002</v>
      </c>
      <c r="I2526" s="1399"/>
      <c r="J2526" s="1399">
        <v>1406391.9900000002</v>
      </c>
    </row>
    <row r="2527" spans="5:10" s="1297" customFormat="1">
      <c r="E2527" s="1297" t="s">
        <v>1046</v>
      </c>
      <c r="F2527" s="1399"/>
      <c r="G2527" s="1399"/>
      <c r="H2527" s="1399"/>
      <c r="I2527" s="1399">
        <v>11040897</v>
      </c>
      <c r="J2527" s="1399">
        <v>11040897</v>
      </c>
    </row>
    <row r="2528" spans="5:10" s="1297" customFormat="1">
      <c r="E2528" s="1297" t="s">
        <v>1047</v>
      </c>
      <c r="F2528" s="1399"/>
      <c r="G2528" s="1399"/>
      <c r="H2528" s="1399"/>
      <c r="I2528" s="1399">
        <v>408104</v>
      </c>
      <c r="J2528" s="1399">
        <v>408104</v>
      </c>
    </row>
    <row r="2529" spans="5:10" s="1297" customFormat="1">
      <c r="E2529" s="1297" t="s">
        <v>1048</v>
      </c>
      <c r="F2529" s="1399"/>
      <c r="G2529" s="1399"/>
      <c r="H2529" s="1399"/>
      <c r="I2529" s="1399">
        <v>-7664471</v>
      </c>
      <c r="J2529" s="1399">
        <v>-7664471</v>
      </c>
    </row>
    <row r="2530" spans="5:10" s="1297" customFormat="1">
      <c r="E2530" s="1297" t="s">
        <v>933</v>
      </c>
      <c r="F2530" s="1399"/>
      <c r="G2530" s="1399"/>
      <c r="H2530" s="1399"/>
      <c r="I2530" s="1399">
        <v>537965.01</v>
      </c>
      <c r="J2530" s="1399">
        <v>537965.01</v>
      </c>
    </row>
    <row r="2531" spans="5:10" s="1297" customFormat="1">
      <c r="E2531" s="1297" t="s">
        <v>934</v>
      </c>
      <c r="F2531" s="1399"/>
      <c r="G2531" s="1399"/>
      <c r="H2531" s="1399"/>
      <c r="I2531" s="1399">
        <v>36656</v>
      </c>
      <c r="J2531" s="1399">
        <v>36656</v>
      </c>
    </row>
    <row r="2532" spans="5:10" s="1297" customFormat="1">
      <c r="E2532" s="1297" t="s">
        <v>935</v>
      </c>
      <c r="F2532" s="1399"/>
      <c r="G2532" s="1399"/>
      <c r="H2532" s="1399"/>
      <c r="I2532" s="1399">
        <v>316196.74</v>
      </c>
      <c r="J2532" s="1399">
        <v>316196.74</v>
      </c>
    </row>
    <row r="2533" spans="5:10" s="1297" customFormat="1">
      <c r="E2533" s="1297" t="s">
        <v>936</v>
      </c>
      <c r="F2533" s="1399"/>
      <c r="G2533" s="1399"/>
      <c r="H2533" s="1399"/>
      <c r="I2533" s="1399">
        <v>39917.160000000003</v>
      </c>
      <c r="J2533" s="1399">
        <v>39917.160000000003</v>
      </c>
    </row>
    <row r="2534" spans="5:10" s="1297" customFormat="1">
      <c r="E2534" s="1297" t="s">
        <v>937</v>
      </c>
      <c r="F2534" s="1399"/>
      <c r="G2534" s="1399"/>
      <c r="H2534" s="1399"/>
      <c r="I2534" s="1399">
        <v>37618.04</v>
      </c>
      <c r="J2534" s="1399">
        <v>37618.04</v>
      </c>
    </row>
    <row r="2535" spans="5:10" s="1297" customFormat="1">
      <c r="E2535" s="1297" t="s">
        <v>938</v>
      </c>
      <c r="F2535" s="1399"/>
      <c r="G2535" s="1399"/>
      <c r="H2535" s="1399"/>
      <c r="I2535" s="1399">
        <v>11978</v>
      </c>
      <c r="J2535" s="1399">
        <v>11978</v>
      </c>
    </row>
    <row r="2536" spans="5:10" s="1297" customFormat="1">
      <c r="E2536" s="1297" t="s">
        <v>939</v>
      </c>
      <c r="F2536" s="1399"/>
      <c r="G2536" s="1399"/>
      <c r="H2536" s="1399"/>
      <c r="I2536" s="1399">
        <v>85092.41</v>
      </c>
      <c r="J2536" s="1399">
        <v>85092.41</v>
      </c>
    </row>
    <row r="2537" spans="5:10" s="1297" customFormat="1">
      <c r="E2537" s="1297" t="s">
        <v>1131</v>
      </c>
      <c r="F2537" s="1399">
        <v>533070.05000000005</v>
      </c>
      <c r="G2537" s="1399"/>
      <c r="H2537" s="1399"/>
      <c r="I2537" s="1399"/>
      <c r="J2537" s="1399">
        <v>533070.05000000005</v>
      </c>
    </row>
    <row r="2538" spans="5:10" s="1297" customFormat="1">
      <c r="E2538" s="1297" t="s">
        <v>940</v>
      </c>
      <c r="F2538" s="1399">
        <v>741560.94</v>
      </c>
      <c r="G2538" s="1399"/>
      <c r="H2538" s="1399"/>
      <c r="I2538" s="1399"/>
      <c r="J2538" s="1399">
        <v>741560.94</v>
      </c>
    </row>
    <row r="2539" spans="5:10" s="1297" customFormat="1">
      <c r="E2539" s="1297" t="s">
        <v>941</v>
      </c>
      <c r="F2539" s="1399">
        <v>398318.3</v>
      </c>
      <c r="G2539" s="1399"/>
      <c r="H2539" s="1399"/>
      <c r="I2539" s="1399"/>
      <c r="J2539" s="1399">
        <v>398318.3</v>
      </c>
    </row>
    <row r="2540" spans="5:10" s="1297" customFormat="1">
      <c r="E2540" s="1297" t="s">
        <v>943</v>
      </c>
      <c r="F2540" s="1399">
        <v>19050.560000000001</v>
      </c>
      <c r="G2540" s="1399"/>
      <c r="H2540" s="1399"/>
      <c r="I2540" s="1399"/>
      <c r="J2540" s="1399">
        <v>19050.560000000001</v>
      </c>
    </row>
    <row r="2541" spans="5:10" s="1297" customFormat="1">
      <c r="E2541" s="1297" t="s">
        <v>944</v>
      </c>
      <c r="F2541" s="1399">
        <v>2153924.15</v>
      </c>
      <c r="G2541" s="1399"/>
      <c r="H2541" s="1399"/>
      <c r="I2541" s="1399"/>
      <c r="J2541" s="1399">
        <v>2153924.15</v>
      </c>
    </row>
    <row r="2542" spans="5:10" s="1297" customFormat="1">
      <c r="E2542" s="1297" t="s">
        <v>945</v>
      </c>
      <c r="F2542" s="1399">
        <v>740046</v>
      </c>
      <c r="G2542" s="1399"/>
      <c r="H2542" s="1399"/>
      <c r="I2542" s="1399"/>
      <c r="J2542" s="1399">
        <v>740046</v>
      </c>
    </row>
    <row r="2543" spans="5:10" s="1297" customFormat="1">
      <c r="E2543" s="1297" t="s">
        <v>1214</v>
      </c>
      <c r="F2543" s="1399">
        <v>33954.639999999999</v>
      </c>
      <c r="G2543" s="1399"/>
      <c r="H2543" s="1399"/>
      <c r="I2543" s="1399"/>
      <c r="J2543" s="1399">
        <v>33954.639999999999</v>
      </c>
    </row>
    <row r="2544" spans="5:10" s="1297" customFormat="1">
      <c r="E2544" s="1297" t="s">
        <v>947</v>
      </c>
      <c r="F2544" s="1399">
        <v>77831.929999999993</v>
      </c>
      <c r="G2544" s="1399"/>
      <c r="H2544" s="1399"/>
      <c r="I2544" s="1399"/>
      <c r="J2544" s="1399">
        <v>77831.929999999993</v>
      </c>
    </row>
    <row r="2545" spans="2:12">
      <c r="B2545" s="1297"/>
      <c r="C2545" s="1297"/>
      <c r="D2545" s="1297"/>
      <c r="E2545" s="1404" t="s">
        <v>948</v>
      </c>
      <c r="F2545" s="1405"/>
      <c r="G2545" s="1405"/>
      <c r="H2545" s="1405">
        <v>4835314.0100000007</v>
      </c>
      <c r="I2545" s="1405"/>
      <c r="J2545" s="1405">
        <v>4835314.0100000007</v>
      </c>
    </row>
    <row r="2546" spans="2:12">
      <c r="B2546" s="1297"/>
      <c r="C2546" s="1297"/>
      <c r="D2546" s="1297"/>
      <c r="E2546" s="1297" t="s">
        <v>1118</v>
      </c>
      <c r="H2546" s="1399">
        <v>13602.28</v>
      </c>
      <c r="J2546" s="1399">
        <v>13602.28</v>
      </c>
    </row>
    <row r="2547" spans="2:12">
      <c r="B2547" s="1297"/>
      <c r="C2547" s="1297"/>
      <c r="D2547" s="1400" t="s">
        <v>1158</v>
      </c>
      <c r="E2547" s="1400"/>
      <c r="F2547" s="1401">
        <f>SUM(F2511:F2546)</f>
        <v>4741922.5699999994</v>
      </c>
      <c r="G2547" s="1401">
        <f>SUM(G2511:G2546)</f>
        <v>20793695.359999999</v>
      </c>
      <c r="H2547" s="1401">
        <f>SUM(H2511:H2546)-H2545</f>
        <v>1861524.3000000007</v>
      </c>
      <c r="I2547" s="1401">
        <f>SUM(I2511:I2546)</f>
        <v>4849953.3600000003</v>
      </c>
      <c r="J2547" s="1401">
        <f>SUM(J2511:J2546)</f>
        <v>37082409.600000001</v>
      </c>
      <c r="K2547" s="1401">
        <f>SUM(F2547:I2547)</f>
        <v>32247095.59</v>
      </c>
      <c r="L2547" s="1408">
        <f>K2547/C2511</f>
        <v>16204.570648241206</v>
      </c>
    </row>
    <row r="2548" spans="2:12">
      <c r="B2548" s="1297" t="s">
        <v>1159</v>
      </c>
      <c r="C2548" s="1297">
        <v>158312</v>
      </c>
      <c r="D2548" s="1297" t="s">
        <v>1160</v>
      </c>
      <c r="E2548" s="1297" t="s">
        <v>906</v>
      </c>
      <c r="G2548" s="1399">
        <v>557912137.34000003</v>
      </c>
      <c r="J2548" s="1399">
        <v>557912137.34000003</v>
      </c>
    </row>
    <row r="2549" spans="2:12">
      <c r="B2549" s="1297"/>
      <c r="C2549" s="1297"/>
      <c r="D2549" s="1297"/>
      <c r="E2549" s="1297" t="s">
        <v>952</v>
      </c>
      <c r="G2549" s="1399">
        <v>7078157.5499999998</v>
      </c>
      <c r="J2549" s="1399">
        <v>7078157.5499999998</v>
      </c>
    </row>
    <row r="2550" spans="2:12">
      <c r="B2550" s="1297"/>
      <c r="C2550" s="1297"/>
      <c r="D2550" s="1297"/>
      <c r="E2550" s="1297" t="s">
        <v>907</v>
      </c>
      <c r="G2550" s="1399">
        <v>128178527.06</v>
      </c>
      <c r="J2550" s="1399">
        <v>128178527.06</v>
      </c>
    </row>
    <row r="2551" spans="2:12">
      <c r="B2551" s="1297"/>
      <c r="C2551" s="1297"/>
      <c r="D2551" s="1297"/>
      <c r="E2551" s="1297" t="s">
        <v>908</v>
      </c>
      <c r="G2551" s="1399">
        <v>59262.09</v>
      </c>
      <c r="J2551" s="1399">
        <v>59262.09</v>
      </c>
    </row>
    <row r="2552" spans="2:12">
      <c r="B2552" s="1297"/>
      <c r="C2552" s="1297"/>
      <c r="D2552" s="1297"/>
      <c r="E2552" s="1297" t="s">
        <v>1122</v>
      </c>
      <c r="H2552" s="1399">
        <v>-1102776</v>
      </c>
      <c r="J2552" s="1399">
        <v>-1102776</v>
      </c>
    </row>
    <row r="2553" spans="2:12">
      <c r="B2553" s="1297"/>
      <c r="C2553" s="1297"/>
      <c r="D2553" s="1297"/>
      <c r="E2553" s="1297" t="s">
        <v>909</v>
      </c>
      <c r="H2553" s="1399">
        <v>3339314.8599999985</v>
      </c>
      <c r="J2553" s="1399">
        <v>3339314.8599999985</v>
      </c>
    </row>
    <row r="2554" spans="2:12">
      <c r="B2554" s="1297"/>
      <c r="C2554" s="1297"/>
      <c r="D2554" s="1297"/>
      <c r="E2554" s="1297" t="s">
        <v>910</v>
      </c>
      <c r="H2554" s="1399">
        <v>13430200.320000008</v>
      </c>
      <c r="J2554" s="1399">
        <v>13430200.320000008</v>
      </c>
    </row>
    <row r="2555" spans="2:12">
      <c r="B2555" s="1297"/>
      <c r="C2555" s="1297"/>
      <c r="D2555" s="1297"/>
      <c r="E2555" s="1297" t="s">
        <v>1034</v>
      </c>
      <c r="H2555" s="1399">
        <v>2956248.060000001</v>
      </c>
      <c r="J2555" s="1399">
        <v>2956248.060000001</v>
      </c>
    </row>
    <row r="2556" spans="2:12">
      <c r="B2556" s="1297"/>
      <c r="C2556" s="1297"/>
      <c r="D2556" s="1297"/>
      <c r="E2556" s="1297" t="s">
        <v>1035</v>
      </c>
      <c r="H2556" s="1399">
        <v>5239168.0400000038</v>
      </c>
      <c r="J2556" s="1399">
        <v>5239168.0400000038</v>
      </c>
    </row>
    <row r="2557" spans="2:12">
      <c r="B2557" s="1297"/>
      <c r="C2557" s="1297"/>
      <c r="D2557" s="1297"/>
      <c r="E2557" s="1297" t="s">
        <v>1036</v>
      </c>
      <c r="H2557" s="1399">
        <v>3085313.7500000005</v>
      </c>
      <c r="J2557" s="1399">
        <v>3085313.7500000005</v>
      </c>
    </row>
    <row r="2558" spans="2:12">
      <c r="B2558" s="1297"/>
      <c r="C2558" s="1297"/>
      <c r="D2558" s="1297"/>
      <c r="E2558" s="1297" t="s">
        <v>1037</v>
      </c>
      <c r="H2558" s="1399">
        <v>289615.61</v>
      </c>
      <c r="J2558" s="1399">
        <v>289615.61</v>
      </c>
    </row>
    <row r="2559" spans="2:12">
      <c r="B2559" s="1297"/>
      <c r="C2559" s="1297"/>
      <c r="D2559" s="1297"/>
      <c r="E2559" s="1297" t="s">
        <v>1105</v>
      </c>
      <c r="H2559" s="1399">
        <v>656897.31999999995</v>
      </c>
      <c r="J2559" s="1399">
        <v>656897.31999999995</v>
      </c>
    </row>
    <row r="2560" spans="2:12">
      <c r="B2560" s="1297"/>
      <c r="C2560" s="1297"/>
      <c r="D2560" s="1297"/>
      <c r="E2560" s="1297" t="s">
        <v>1038</v>
      </c>
      <c r="H2560" s="1399">
        <v>1178624.5499999998</v>
      </c>
      <c r="J2560" s="1399">
        <v>1178624.5499999998</v>
      </c>
    </row>
    <row r="2561" spans="5:10" s="1297" customFormat="1">
      <c r="E2561" s="1297" t="s">
        <v>1039</v>
      </c>
      <c r="F2561" s="1399"/>
      <c r="G2561" s="1399"/>
      <c r="H2561" s="1399">
        <v>1198194.7899999996</v>
      </c>
      <c r="I2561" s="1399"/>
      <c r="J2561" s="1399">
        <v>1198194.7899999996</v>
      </c>
    </row>
    <row r="2562" spans="5:10" s="1297" customFormat="1">
      <c r="E2562" s="1297" t="s">
        <v>1040</v>
      </c>
      <c r="F2562" s="1399"/>
      <c r="G2562" s="1399"/>
      <c r="H2562" s="1399">
        <v>17472611.630000006</v>
      </c>
      <c r="I2562" s="1399"/>
      <c r="J2562" s="1399">
        <v>17472611.630000006</v>
      </c>
    </row>
    <row r="2563" spans="5:10" s="1297" customFormat="1">
      <c r="E2563" s="1297" t="s">
        <v>1127</v>
      </c>
      <c r="F2563" s="1399"/>
      <c r="G2563" s="1399"/>
      <c r="H2563" s="1399">
        <v>1569687.0099999988</v>
      </c>
      <c r="I2563" s="1399"/>
      <c r="J2563" s="1399">
        <v>1569687.0099999988</v>
      </c>
    </row>
    <row r="2564" spans="5:10" s="1297" customFormat="1">
      <c r="E2564" s="1297" t="s">
        <v>1041</v>
      </c>
      <c r="F2564" s="1399"/>
      <c r="G2564" s="1399"/>
      <c r="H2564" s="1399">
        <v>3300887.3200000008</v>
      </c>
      <c r="I2564" s="1399"/>
      <c r="J2564" s="1399">
        <v>3300887.3200000008</v>
      </c>
    </row>
    <row r="2565" spans="5:10" s="1297" customFormat="1">
      <c r="E2565" s="1297" t="s">
        <v>1042</v>
      </c>
      <c r="F2565" s="1399"/>
      <c r="G2565" s="1399"/>
      <c r="H2565" s="1399">
        <v>1986634.7799999984</v>
      </c>
      <c r="I2565" s="1399"/>
      <c r="J2565" s="1399">
        <v>1986634.7799999984</v>
      </c>
    </row>
    <row r="2566" spans="5:10" s="1297" customFormat="1">
      <c r="E2566" s="1297" t="s">
        <v>986</v>
      </c>
      <c r="F2566" s="1399"/>
      <c r="G2566" s="1399"/>
      <c r="H2566" s="1399">
        <v>180651.06</v>
      </c>
      <c r="I2566" s="1399"/>
      <c r="J2566" s="1399">
        <v>180651.06</v>
      </c>
    </row>
    <row r="2567" spans="5:10" s="1297" customFormat="1">
      <c r="E2567" s="1297" t="s">
        <v>1203</v>
      </c>
      <c r="F2567" s="1399"/>
      <c r="G2567" s="1399"/>
      <c r="H2567" s="1399">
        <v>-85289.19</v>
      </c>
      <c r="I2567" s="1399"/>
      <c r="J2567" s="1399">
        <v>-85289.19</v>
      </c>
    </row>
    <row r="2568" spans="5:10" s="1297" customFormat="1">
      <c r="E2568" s="1297" t="s">
        <v>996</v>
      </c>
      <c r="F2568" s="1399"/>
      <c r="G2568" s="1399"/>
      <c r="H2568" s="1399">
        <v>110017.75</v>
      </c>
      <c r="I2568" s="1399"/>
      <c r="J2568" s="1399">
        <v>110017.75</v>
      </c>
    </row>
    <row r="2569" spans="5:10" s="1297" customFormat="1">
      <c r="E2569" s="1297" t="s">
        <v>1004</v>
      </c>
      <c r="F2569" s="1399"/>
      <c r="G2569" s="1399"/>
      <c r="H2569" s="1399">
        <v>-11799810.310000001</v>
      </c>
      <c r="I2569" s="1399"/>
      <c r="J2569" s="1399">
        <v>-11799810.310000001</v>
      </c>
    </row>
    <row r="2570" spans="5:10" s="1297" customFormat="1">
      <c r="E2570" s="1297" t="s">
        <v>1005</v>
      </c>
      <c r="F2570" s="1399"/>
      <c r="G2570" s="1399"/>
      <c r="H2570" s="1399">
        <v>17987291.330000002</v>
      </c>
      <c r="I2570" s="1399"/>
      <c r="J2570" s="1399">
        <v>17987291.330000002</v>
      </c>
    </row>
    <row r="2571" spans="5:10" s="1297" customFormat="1">
      <c r="E2571" s="1297" t="s">
        <v>991</v>
      </c>
      <c r="F2571" s="1399"/>
      <c r="G2571" s="1399"/>
      <c r="H2571" s="1399">
        <v>549633.42000000004</v>
      </c>
      <c r="I2571" s="1399"/>
      <c r="J2571" s="1399">
        <v>549633.42000000004</v>
      </c>
    </row>
    <row r="2572" spans="5:10" s="1297" customFormat="1">
      <c r="E2572" s="1297" t="s">
        <v>1044</v>
      </c>
      <c r="F2572" s="1399">
        <v>5544572.6900000004</v>
      </c>
      <c r="G2572" s="1399"/>
      <c r="H2572" s="1399"/>
      <c r="I2572" s="1399"/>
      <c r="J2572" s="1399">
        <v>5544572.6900000004</v>
      </c>
    </row>
    <row r="2573" spans="5:10" s="1297" customFormat="1">
      <c r="E2573" s="1297" t="s">
        <v>1045</v>
      </c>
      <c r="F2573" s="1399"/>
      <c r="G2573" s="1399"/>
      <c r="H2573" s="1399">
        <v>29565191.669999983</v>
      </c>
      <c r="I2573" s="1399"/>
      <c r="J2573" s="1399">
        <v>29565191.669999983</v>
      </c>
    </row>
    <row r="2574" spans="5:10" s="1297" customFormat="1">
      <c r="E2574" s="1297" t="s">
        <v>1046</v>
      </c>
      <c r="F2574" s="1399"/>
      <c r="G2574" s="1399"/>
      <c r="H2574" s="1399"/>
      <c r="I2574" s="1399">
        <v>808707844</v>
      </c>
      <c r="J2574" s="1399">
        <v>808707844</v>
      </c>
    </row>
    <row r="2575" spans="5:10" s="1297" customFormat="1">
      <c r="E2575" s="1297" t="s">
        <v>1128</v>
      </c>
      <c r="F2575" s="1399"/>
      <c r="G2575" s="1399"/>
      <c r="H2575" s="1399"/>
      <c r="I2575" s="1399">
        <v>68616611.010000005</v>
      </c>
      <c r="J2575" s="1399">
        <v>68616611.010000005</v>
      </c>
    </row>
    <row r="2576" spans="5:10" s="1297" customFormat="1">
      <c r="E2576" s="1297" t="s">
        <v>1129</v>
      </c>
      <c r="F2576" s="1399"/>
      <c r="G2576" s="1399"/>
      <c r="H2576" s="1399"/>
      <c r="I2576" s="1399">
        <v>-107906576</v>
      </c>
      <c r="J2576" s="1399">
        <v>-107906576</v>
      </c>
    </row>
    <row r="2577" spans="5:10" s="1297" customFormat="1">
      <c r="E2577" s="1297" t="s">
        <v>1047</v>
      </c>
      <c r="F2577" s="1399"/>
      <c r="G2577" s="1399"/>
      <c r="H2577" s="1399"/>
      <c r="I2577" s="1399">
        <v>7687864</v>
      </c>
      <c r="J2577" s="1399">
        <v>7687864</v>
      </c>
    </row>
    <row r="2578" spans="5:10" s="1297" customFormat="1">
      <c r="E2578" s="1297" t="s">
        <v>1048</v>
      </c>
      <c r="F2578" s="1399"/>
      <c r="G2578" s="1399"/>
      <c r="H2578" s="1399"/>
      <c r="I2578" s="1399">
        <v>-147960534</v>
      </c>
      <c r="J2578" s="1399">
        <v>-147960534</v>
      </c>
    </row>
    <row r="2579" spans="5:10" s="1297" customFormat="1">
      <c r="E2579" s="1297" t="s">
        <v>932</v>
      </c>
      <c r="F2579" s="1399"/>
      <c r="G2579" s="1399"/>
      <c r="H2579" s="1399"/>
      <c r="I2579" s="1399">
        <v>37297686</v>
      </c>
      <c r="J2579" s="1399">
        <v>37297686</v>
      </c>
    </row>
    <row r="2580" spans="5:10" s="1297" customFormat="1">
      <c r="E2580" s="1297" t="s">
        <v>934</v>
      </c>
      <c r="F2580" s="1399"/>
      <c r="G2580" s="1399"/>
      <c r="H2580" s="1399"/>
      <c r="I2580" s="1399">
        <v>2361880</v>
      </c>
      <c r="J2580" s="1399">
        <v>2361880</v>
      </c>
    </row>
    <row r="2581" spans="5:10" s="1297" customFormat="1">
      <c r="E2581" s="1297" t="s">
        <v>1130</v>
      </c>
      <c r="F2581" s="1399"/>
      <c r="G2581" s="1399"/>
      <c r="H2581" s="1399"/>
      <c r="I2581" s="1399">
        <v>45542245.539999999</v>
      </c>
      <c r="J2581" s="1399">
        <v>45542245.539999999</v>
      </c>
    </row>
    <row r="2582" spans="5:10" s="1297" customFormat="1">
      <c r="E2582" s="1297" t="s">
        <v>935</v>
      </c>
      <c r="F2582" s="1399"/>
      <c r="G2582" s="1399"/>
      <c r="H2582" s="1399"/>
      <c r="I2582" s="1399">
        <v>4123174.12</v>
      </c>
      <c r="J2582" s="1399">
        <v>4123174.12</v>
      </c>
    </row>
    <row r="2583" spans="5:10" s="1297" customFormat="1">
      <c r="E2583" s="1297" t="s">
        <v>936</v>
      </c>
      <c r="F2583" s="1399"/>
      <c r="G2583" s="1399"/>
      <c r="H2583" s="1399"/>
      <c r="I2583" s="1399">
        <v>2235361.02</v>
      </c>
      <c r="J2583" s="1399">
        <v>2235361.02</v>
      </c>
    </row>
    <row r="2584" spans="5:10" s="1297" customFormat="1">
      <c r="E2584" s="1297" t="s">
        <v>937</v>
      </c>
      <c r="F2584" s="1399"/>
      <c r="G2584" s="1399"/>
      <c r="H2584" s="1399"/>
      <c r="I2584" s="1399">
        <v>419832.18</v>
      </c>
      <c r="J2584" s="1399">
        <v>419832.18</v>
      </c>
    </row>
    <row r="2585" spans="5:10" s="1297" customFormat="1">
      <c r="E2585" s="1297" t="s">
        <v>938</v>
      </c>
      <c r="F2585" s="1399"/>
      <c r="G2585" s="1399"/>
      <c r="H2585" s="1399"/>
      <c r="I2585" s="1399">
        <v>659739</v>
      </c>
      <c r="J2585" s="1399">
        <v>659739</v>
      </c>
    </row>
    <row r="2586" spans="5:10" s="1297" customFormat="1">
      <c r="E2586" s="1297" t="s">
        <v>939</v>
      </c>
      <c r="F2586" s="1399"/>
      <c r="G2586" s="1399"/>
      <c r="H2586" s="1399"/>
      <c r="I2586" s="1399">
        <v>242074.32</v>
      </c>
      <c r="J2586" s="1399">
        <v>242074.32</v>
      </c>
    </row>
    <row r="2587" spans="5:10" s="1297" customFormat="1">
      <c r="E2587" s="1297" t="s">
        <v>1131</v>
      </c>
      <c r="F2587" s="1399">
        <v>1253351.28</v>
      </c>
      <c r="G2587" s="1399"/>
      <c r="H2587" s="1399"/>
      <c r="I2587" s="1399"/>
      <c r="J2587" s="1399">
        <v>1253351.28</v>
      </c>
    </row>
    <row r="2588" spans="5:10" s="1297" customFormat="1">
      <c r="E2588" s="1297" t="s">
        <v>940</v>
      </c>
      <c r="F2588" s="1399">
        <v>38138602.260000005</v>
      </c>
      <c r="G2588" s="1399"/>
      <c r="H2588" s="1399"/>
      <c r="I2588" s="1399"/>
      <c r="J2588" s="1399">
        <v>38138602.260000005</v>
      </c>
    </row>
    <row r="2589" spans="5:10" s="1297" customFormat="1">
      <c r="E2589" s="1297" t="s">
        <v>941</v>
      </c>
      <c r="F2589" s="1399">
        <v>13812630.540000001</v>
      </c>
      <c r="G2589" s="1399"/>
      <c r="H2589" s="1399"/>
      <c r="I2589" s="1399"/>
      <c r="J2589" s="1399">
        <v>13812630.540000001</v>
      </c>
    </row>
    <row r="2590" spans="5:10" s="1297" customFormat="1">
      <c r="E2590" s="1297" t="s">
        <v>943</v>
      </c>
      <c r="F2590" s="1399">
        <v>78901.760000000009</v>
      </c>
      <c r="G2590" s="1399"/>
      <c r="H2590" s="1399"/>
      <c r="I2590" s="1399"/>
      <c r="J2590" s="1399">
        <v>78901.760000000009</v>
      </c>
    </row>
    <row r="2591" spans="5:10" s="1297" customFormat="1">
      <c r="E2591" s="1297" t="s">
        <v>944</v>
      </c>
      <c r="F2591" s="1399">
        <v>60250114.780000009</v>
      </c>
      <c r="G2591" s="1399"/>
      <c r="H2591" s="1399"/>
      <c r="I2591" s="1399"/>
      <c r="J2591" s="1399">
        <v>60250114.780000009</v>
      </c>
    </row>
    <row r="2592" spans="5:10" s="1297" customFormat="1">
      <c r="E2592" s="1297" t="s">
        <v>945</v>
      </c>
      <c r="F2592" s="1399">
        <v>51698032.850000001</v>
      </c>
      <c r="G2592" s="1399"/>
      <c r="H2592" s="1399"/>
      <c r="I2592" s="1399"/>
      <c r="J2592" s="1399">
        <v>51698032.850000001</v>
      </c>
    </row>
    <row r="2593" spans="2:14">
      <c r="B2593" s="1297"/>
      <c r="C2593" s="1297"/>
      <c r="D2593" s="1297"/>
      <c r="E2593" s="1297" t="s">
        <v>946</v>
      </c>
      <c r="F2593" s="1399">
        <v>175536.83000000002</v>
      </c>
      <c r="J2593" s="1399">
        <v>175536.83000000002</v>
      </c>
    </row>
    <row r="2594" spans="2:14">
      <c r="B2594" s="1297"/>
      <c r="C2594" s="1297"/>
      <c r="D2594" s="1297"/>
      <c r="E2594" s="1297" t="s">
        <v>947</v>
      </c>
      <c r="F2594" s="1399">
        <v>2147901.0699999998</v>
      </c>
      <c r="J2594" s="1399">
        <v>2147901.0699999998</v>
      </c>
    </row>
    <row r="2595" spans="2:14">
      <c r="B2595" s="1297"/>
      <c r="C2595" s="1297"/>
      <c r="D2595" s="1297"/>
      <c r="E2595" s="1297" t="s">
        <v>1115</v>
      </c>
      <c r="F2595" s="1399">
        <v>209084.17</v>
      </c>
      <c r="J2595" s="1399">
        <v>209084.17</v>
      </c>
    </row>
    <row r="2596" spans="2:14">
      <c r="B2596" s="1297"/>
      <c r="C2596" s="1297"/>
      <c r="D2596" s="1297"/>
      <c r="E2596" s="1404" t="s">
        <v>1116</v>
      </c>
      <c r="F2596" s="1405"/>
      <c r="G2596" s="1405"/>
      <c r="H2596" s="1405">
        <v>19640000</v>
      </c>
      <c r="I2596" s="1405"/>
      <c r="J2596" s="1405">
        <v>19640000</v>
      </c>
    </row>
    <row r="2597" spans="2:14">
      <c r="B2597" s="1297"/>
      <c r="C2597" s="1297"/>
      <c r="D2597" s="1297"/>
      <c r="E2597" s="1404" t="s">
        <v>948</v>
      </c>
      <c r="F2597" s="1405"/>
      <c r="G2597" s="1405"/>
      <c r="H2597" s="1405">
        <v>85454032.450000003</v>
      </c>
      <c r="I2597" s="1405"/>
      <c r="J2597" s="1405">
        <v>85454032.450000003</v>
      </c>
    </row>
    <row r="2598" spans="2:14">
      <c r="B2598" s="1297"/>
      <c r="C2598" s="1297"/>
      <c r="D2598" s="1297"/>
      <c r="E2598" s="1297" t="s">
        <v>956</v>
      </c>
      <c r="H2598" s="1399">
        <v>-687041.19</v>
      </c>
      <c r="J2598" s="1399">
        <v>-687041.19</v>
      </c>
    </row>
    <row r="2599" spans="2:14">
      <c r="B2599" s="1297"/>
      <c r="C2599" s="1297"/>
      <c r="D2599" s="1297"/>
      <c r="E2599" s="1297" t="s">
        <v>1118</v>
      </c>
      <c r="H2599" s="1399">
        <v>509210.46</v>
      </c>
      <c r="J2599" s="1399">
        <v>509210.46</v>
      </c>
    </row>
    <row r="2600" spans="2:14">
      <c r="B2600" s="1297"/>
      <c r="C2600" s="1297"/>
      <c r="D2600" s="1400" t="s">
        <v>1161</v>
      </c>
      <c r="E2600" s="1400"/>
      <c r="F2600" s="1401">
        <f>SUM(F2548:F2599)</f>
        <v>173308728.22999999</v>
      </c>
      <c r="G2600" s="1401">
        <f>SUM(G2548:G2599)</f>
        <v>693228084.04000008</v>
      </c>
      <c r="H2600" s="1401">
        <f>SUM(H2548:H2599)-(H2596+H2597)</f>
        <v>90930477.040000036</v>
      </c>
      <c r="I2600" s="1401">
        <f>SUM(I2548:I2599)</f>
        <v>722027201.18999994</v>
      </c>
      <c r="J2600" s="1401">
        <f>SUM(J2548:J2599)</f>
        <v>1784588522.9499996</v>
      </c>
      <c r="K2600" s="1401">
        <f>SUM(F2600:I2600)</f>
        <v>1679494490.5</v>
      </c>
      <c r="L2600" s="1408">
        <f>K2600/C2548</f>
        <v>10608.763015437869</v>
      </c>
      <c r="M2600" s="1408">
        <f>F2600/C2548</f>
        <v>1094.7289417732072</v>
      </c>
      <c r="N2600" s="1297">
        <f>F2600/K2600</f>
        <v>0.10319100730030051</v>
      </c>
    </row>
    <row r="2601" spans="2:14">
      <c r="B2601" s="1297" t="s">
        <v>1162</v>
      </c>
      <c r="C2601" s="1297">
        <v>6647</v>
      </c>
      <c r="D2601" s="1297" t="s">
        <v>1163</v>
      </c>
      <c r="E2601" s="1297" t="s">
        <v>906</v>
      </c>
      <c r="G2601" s="1399">
        <v>16156368.140000001</v>
      </c>
      <c r="J2601" s="1399">
        <v>16156368.140000001</v>
      </c>
    </row>
    <row r="2602" spans="2:14">
      <c r="B2602" s="1297"/>
      <c r="C2602" s="1297"/>
      <c r="D2602" s="1297"/>
      <c r="E2602" s="1297" t="s">
        <v>1126</v>
      </c>
      <c r="G2602" s="1399">
        <v>5137251.2</v>
      </c>
      <c r="J2602" s="1399">
        <v>5137251.2</v>
      </c>
    </row>
    <row r="2603" spans="2:14">
      <c r="B2603" s="1297"/>
      <c r="C2603" s="1297"/>
      <c r="D2603" s="1297"/>
      <c r="E2603" s="1297" t="s">
        <v>952</v>
      </c>
      <c r="G2603" s="1399">
        <v>259744.17</v>
      </c>
      <c r="J2603" s="1399">
        <v>259744.17</v>
      </c>
    </row>
    <row r="2604" spans="2:14">
      <c r="B2604" s="1297"/>
      <c r="C2604" s="1297"/>
      <c r="D2604" s="1297"/>
      <c r="E2604" s="1297" t="s">
        <v>907</v>
      </c>
      <c r="G2604" s="1399">
        <v>5138076.3899999997</v>
      </c>
      <c r="J2604" s="1399">
        <v>5138076.3899999997</v>
      </c>
    </row>
    <row r="2605" spans="2:14">
      <c r="B2605" s="1297"/>
      <c r="C2605" s="1297"/>
      <c r="D2605" s="1297"/>
      <c r="E2605" s="1297" t="s">
        <v>908</v>
      </c>
      <c r="G2605" s="1399">
        <v>305428.26</v>
      </c>
      <c r="J2605" s="1399">
        <v>305428.26</v>
      </c>
    </row>
    <row r="2606" spans="2:14">
      <c r="B2606" s="1297"/>
      <c r="C2606" s="1297"/>
      <c r="D2606" s="1297"/>
      <c r="E2606" s="1297" t="s">
        <v>909</v>
      </c>
      <c r="H2606" s="1399">
        <v>37555.69</v>
      </c>
      <c r="J2606" s="1399">
        <v>37555.69</v>
      </c>
    </row>
    <row r="2607" spans="2:14">
      <c r="B2607" s="1297"/>
      <c r="C2607" s="1297"/>
      <c r="D2607" s="1297"/>
      <c r="E2607" s="1297" t="s">
        <v>910</v>
      </c>
      <c r="H2607" s="1399">
        <v>459202.32</v>
      </c>
      <c r="J2607" s="1399">
        <v>459202.32</v>
      </c>
    </row>
    <row r="2608" spans="2:14">
      <c r="B2608" s="1297"/>
      <c r="C2608" s="1297"/>
      <c r="D2608" s="1297"/>
      <c r="E2608" s="1297" t="s">
        <v>1034</v>
      </c>
      <c r="H2608" s="1399">
        <v>99293.88</v>
      </c>
      <c r="J2608" s="1399">
        <v>99293.88</v>
      </c>
    </row>
    <row r="2609" spans="5:10" s="1297" customFormat="1">
      <c r="E2609" s="1297" t="s">
        <v>1035</v>
      </c>
      <c r="F2609" s="1399"/>
      <c r="G2609" s="1399"/>
      <c r="H2609" s="1399">
        <v>104950.82</v>
      </c>
      <c r="I2609" s="1399"/>
      <c r="J2609" s="1399">
        <v>104950.82</v>
      </c>
    </row>
    <row r="2610" spans="5:10" s="1297" customFormat="1">
      <c r="E2610" s="1297" t="s">
        <v>1036</v>
      </c>
      <c r="F2610" s="1399"/>
      <c r="G2610" s="1399"/>
      <c r="H2610" s="1399">
        <v>225676.5</v>
      </c>
      <c r="I2610" s="1399"/>
      <c r="J2610" s="1399">
        <v>225676.5</v>
      </c>
    </row>
    <row r="2611" spans="5:10" s="1297" customFormat="1">
      <c r="E2611" s="1297" t="s">
        <v>1037</v>
      </c>
      <c r="F2611" s="1399"/>
      <c r="G2611" s="1399"/>
      <c r="H2611" s="1399">
        <v>2000</v>
      </c>
      <c r="I2611" s="1399"/>
      <c r="J2611" s="1399">
        <v>2000</v>
      </c>
    </row>
    <row r="2612" spans="5:10" s="1297" customFormat="1">
      <c r="E2612" s="1297" t="s">
        <v>1105</v>
      </c>
      <c r="F2612" s="1399"/>
      <c r="G2612" s="1399"/>
      <c r="H2612" s="1399">
        <v>17201.62</v>
      </c>
      <c r="I2612" s="1399"/>
      <c r="J2612" s="1399">
        <v>17201.62</v>
      </c>
    </row>
    <row r="2613" spans="5:10" s="1297" customFormat="1">
      <c r="E2613" s="1297" t="s">
        <v>1039</v>
      </c>
      <c r="F2613" s="1399"/>
      <c r="G2613" s="1399"/>
      <c r="H2613" s="1399">
        <v>98262.900000000009</v>
      </c>
      <c r="I2613" s="1399"/>
      <c r="J2613" s="1399">
        <v>98262.900000000009</v>
      </c>
    </row>
    <row r="2614" spans="5:10" s="1297" customFormat="1">
      <c r="E2614" s="1297" t="s">
        <v>1040</v>
      </c>
      <c r="F2614" s="1399"/>
      <c r="G2614" s="1399"/>
      <c r="H2614" s="1399">
        <v>536283.62000000011</v>
      </c>
      <c r="I2614" s="1399"/>
      <c r="J2614" s="1399">
        <v>536283.62000000011</v>
      </c>
    </row>
    <row r="2615" spans="5:10" s="1297" customFormat="1">
      <c r="E2615" s="1297" t="s">
        <v>1041</v>
      </c>
      <c r="F2615" s="1399"/>
      <c r="G2615" s="1399"/>
      <c r="H2615" s="1399">
        <v>134814.39999999999</v>
      </c>
      <c r="I2615" s="1399"/>
      <c r="J2615" s="1399">
        <v>134814.39999999999</v>
      </c>
    </row>
    <row r="2616" spans="5:10" s="1297" customFormat="1">
      <c r="E2616" s="1297" t="s">
        <v>1042</v>
      </c>
      <c r="F2616" s="1399"/>
      <c r="G2616" s="1399"/>
      <c r="H2616" s="1399">
        <v>96261.06</v>
      </c>
      <c r="I2616" s="1399"/>
      <c r="J2616" s="1399">
        <v>96261.06</v>
      </c>
    </row>
    <row r="2617" spans="5:10" s="1297" customFormat="1">
      <c r="E2617" s="1297" t="s">
        <v>953</v>
      </c>
      <c r="F2617" s="1399"/>
      <c r="G2617" s="1399"/>
      <c r="H2617" s="1399">
        <v>4029.79</v>
      </c>
      <c r="I2617" s="1399"/>
      <c r="J2617" s="1399">
        <v>4029.79</v>
      </c>
    </row>
    <row r="2618" spans="5:10" s="1297" customFormat="1">
      <c r="E2618" s="1297" t="s">
        <v>985</v>
      </c>
      <c r="F2618" s="1399"/>
      <c r="G2618" s="1399"/>
      <c r="H2618" s="1399">
        <v>3192.26</v>
      </c>
      <c r="I2618" s="1399"/>
      <c r="J2618" s="1399">
        <v>3192.26</v>
      </c>
    </row>
    <row r="2619" spans="5:10" s="1297" customFormat="1">
      <c r="E2619" s="1297" t="s">
        <v>1203</v>
      </c>
      <c r="F2619" s="1399"/>
      <c r="G2619" s="1399"/>
      <c r="H2619" s="1399">
        <v>-22218.65</v>
      </c>
      <c r="I2619" s="1399"/>
      <c r="J2619" s="1399">
        <v>-22218.65</v>
      </c>
    </row>
    <row r="2620" spans="5:10" s="1297" customFormat="1">
      <c r="E2620" s="1297" t="s">
        <v>996</v>
      </c>
      <c r="F2620" s="1399"/>
      <c r="G2620" s="1399"/>
      <c r="H2620" s="1399">
        <v>1715</v>
      </c>
      <c r="I2620" s="1399"/>
      <c r="J2620" s="1399">
        <v>1715</v>
      </c>
    </row>
    <row r="2621" spans="5:10" s="1297" customFormat="1">
      <c r="E2621" s="1297" t="s">
        <v>1045</v>
      </c>
      <c r="F2621" s="1399"/>
      <c r="G2621" s="1399"/>
      <c r="H2621" s="1399">
        <v>1014173.3</v>
      </c>
      <c r="I2621" s="1399"/>
      <c r="J2621" s="1399">
        <v>1014173.3</v>
      </c>
    </row>
    <row r="2622" spans="5:10" s="1297" customFormat="1">
      <c r="E2622" s="1297" t="s">
        <v>1046</v>
      </c>
      <c r="F2622" s="1399"/>
      <c r="G2622" s="1399"/>
      <c r="H2622" s="1399"/>
      <c r="I2622" s="1399">
        <v>38068021</v>
      </c>
      <c r="J2622" s="1399">
        <v>38068021</v>
      </c>
    </row>
    <row r="2623" spans="5:10" s="1297" customFormat="1">
      <c r="E2623" s="1297" t="s">
        <v>1128</v>
      </c>
      <c r="F2623" s="1399"/>
      <c r="G2623" s="1399"/>
      <c r="H2623" s="1399"/>
      <c r="I2623" s="1399">
        <v>2934247</v>
      </c>
      <c r="J2623" s="1399">
        <v>2934247</v>
      </c>
    </row>
    <row r="2624" spans="5:10" s="1297" customFormat="1">
      <c r="E2624" s="1297" t="s">
        <v>1129</v>
      </c>
      <c r="F2624" s="1399"/>
      <c r="G2624" s="1399"/>
      <c r="H2624" s="1399"/>
      <c r="I2624" s="1399">
        <v>-5209868</v>
      </c>
      <c r="J2624" s="1399">
        <v>-5209868</v>
      </c>
    </row>
    <row r="2625" spans="5:10" s="1297" customFormat="1">
      <c r="E2625" s="1297" t="s">
        <v>1047</v>
      </c>
      <c r="F2625" s="1399"/>
      <c r="G2625" s="1399"/>
      <c r="H2625" s="1399"/>
      <c r="I2625" s="1399">
        <v>901606</v>
      </c>
      <c r="J2625" s="1399">
        <v>901606</v>
      </c>
    </row>
    <row r="2626" spans="5:10" s="1297" customFormat="1">
      <c r="E2626" s="1297" t="s">
        <v>1048</v>
      </c>
      <c r="F2626" s="1399"/>
      <c r="G2626" s="1399"/>
      <c r="H2626" s="1399"/>
      <c r="I2626" s="1399">
        <v>-6166417</v>
      </c>
      <c r="J2626" s="1399">
        <v>-6166417</v>
      </c>
    </row>
    <row r="2627" spans="5:10" s="1297" customFormat="1">
      <c r="E2627" s="1297" t="s">
        <v>932</v>
      </c>
      <c r="F2627" s="1399"/>
      <c r="G2627" s="1399"/>
      <c r="H2627" s="1399"/>
      <c r="I2627" s="1399">
        <v>2063651</v>
      </c>
      <c r="J2627" s="1399">
        <v>2063651</v>
      </c>
    </row>
    <row r="2628" spans="5:10" s="1297" customFormat="1">
      <c r="E2628" s="1404" t="s">
        <v>955</v>
      </c>
      <c r="F2628" s="1405"/>
      <c r="G2628" s="1405"/>
      <c r="H2628" s="1405"/>
      <c r="I2628" s="1405">
        <v>464986.15</v>
      </c>
      <c r="J2628" s="1405">
        <v>464986.15</v>
      </c>
    </row>
    <row r="2629" spans="5:10" s="1297" customFormat="1">
      <c r="E2629" s="1297" t="s">
        <v>934</v>
      </c>
      <c r="F2629" s="1399"/>
      <c r="G2629" s="1399"/>
      <c r="H2629" s="1399"/>
      <c r="I2629" s="1399">
        <v>116812</v>
      </c>
      <c r="J2629" s="1399">
        <v>116812</v>
      </c>
    </row>
    <row r="2630" spans="5:10" s="1297" customFormat="1">
      <c r="E2630" s="1297" t="s">
        <v>935</v>
      </c>
      <c r="F2630" s="1399"/>
      <c r="G2630" s="1399"/>
      <c r="H2630" s="1399"/>
      <c r="I2630" s="1399">
        <v>562296.94000000006</v>
      </c>
      <c r="J2630" s="1399">
        <v>562296.94000000006</v>
      </c>
    </row>
    <row r="2631" spans="5:10" s="1297" customFormat="1">
      <c r="E2631" s="1297" t="s">
        <v>936</v>
      </c>
      <c r="F2631" s="1399"/>
      <c r="G2631" s="1399"/>
      <c r="H2631" s="1399"/>
      <c r="I2631" s="1399">
        <v>114149.07</v>
      </c>
      <c r="J2631" s="1399">
        <v>114149.07</v>
      </c>
    </row>
    <row r="2632" spans="5:10" s="1297" customFormat="1">
      <c r="E2632" s="1297" t="s">
        <v>937</v>
      </c>
      <c r="F2632" s="1399"/>
      <c r="G2632" s="1399"/>
      <c r="H2632" s="1399"/>
      <c r="I2632" s="1399">
        <v>21437.56</v>
      </c>
      <c r="J2632" s="1399">
        <v>21437.56</v>
      </c>
    </row>
    <row r="2633" spans="5:10" s="1297" customFormat="1">
      <c r="E2633" s="1297" t="s">
        <v>938</v>
      </c>
      <c r="F2633" s="1399"/>
      <c r="G2633" s="1399"/>
      <c r="H2633" s="1399"/>
      <c r="I2633" s="1399">
        <v>37432</v>
      </c>
      <c r="J2633" s="1399">
        <v>37432</v>
      </c>
    </row>
    <row r="2634" spans="5:10" s="1297" customFormat="1">
      <c r="E2634" s="1297" t="s">
        <v>939</v>
      </c>
      <c r="F2634" s="1399"/>
      <c r="G2634" s="1399"/>
      <c r="H2634" s="1399"/>
      <c r="I2634" s="1399">
        <v>136058.03</v>
      </c>
      <c r="J2634" s="1399">
        <v>136058.03</v>
      </c>
    </row>
    <row r="2635" spans="5:10" s="1297" customFormat="1">
      <c r="E2635" s="1297" t="s">
        <v>1131</v>
      </c>
      <c r="F2635" s="1399">
        <v>62332.45</v>
      </c>
      <c r="G2635" s="1399"/>
      <c r="H2635" s="1399"/>
      <c r="I2635" s="1399"/>
      <c r="J2635" s="1399">
        <v>62332.45</v>
      </c>
    </row>
    <row r="2636" spans="5:10" s="1297" customFormat="1">
      <c r="E2636" s="1297" t="s">
        <v>940</v>
      </c>
      <c r="F2636" s="1399">
        <v>1716302.16</v>
      </c>
      <c r="G2636" s="1399"/>
      <c r="H2636" s="1399"/>
      <c r="I2636" s="1399"/>
      <c r="J2636" s="1399">
        <v>1716302.16</v>
      </c>
    </row>
    <row r="2637" spans="5:10" s="1297" customFormat="1">
      <c r="E2637" s="1297" t="s">
        <v>941</v>
      </c>
      <c r="F2637" s="1399">
        <v>624721.93999999994</v>
      </c>
      <c r="G2637" s="1399"/>
      <c r="H2637" s="1399"/>
      <c r="I2637" s="1399"/>
      <c r="J2637" s="1399">
        <v>624721.93999999994</v>
      </c>
    </row>
    <row r="2638" spans="5:10" s="1297" customFormat="1">
      <c r="E2638" s="1297" t="s">
        <v>943</v>
      </c>
      <c r="F2638" s="1399">
        <v>21620.09</v>
      </c>
      <c r="G2638" s="1399"/>
      <c r="H2638" s="1399"/>
      <c r="I2638" s="1399"/>
      <c r="J2638" s="1399">
        <v>21620.09</v>
      </c>
    </row>
    <row r="2639" spans="5:10" s="1297" customFormat="1">
      <c r="E2639" s="1297" t="s">
        <v>944</v>
      </c>
      <c r="F2639" s="1399">
        <v>3399402.2599999993</v>
      </c>
      <c r="G2639" s="1399"/>
      <c r="H2639" s="1399"/>
      <c r="I2639" s="1399"/>
      <c r="J2639" s="1399">
        <v>3399402.2599999993</v>
      </c>
    </row>
    <row r="2640" spans="5:10" s="1297" customFormat="1">
      <c r="E2640" s="1297" t="s">
        <v>945</v>
      </c>
      <c r="F2640" s="1399">
        <v>2545112.02</v>
      </c>
      <c r="G2640" s="1399"/>
      <c r="H2640" s="1399"/>
      <c r="I2640" s="1399"/>
      <c r="J2640" s="1399">
        <v>2545112.02</v>
      </c>
    </row>
    <row r="2641" spans="2:12">
      <c r="B2641" s="1297"/>
      <c r="C2641" s="1297"/>
      <c r="D2641" s="1297"/>
      <c r="E2641" s="1297" t="s">
        <v>946</v>
      </c>
      <c r="F2641" s="1399">
        <v>126207.35</v>
      </c>
      <c r="J2641" s="1399">
        <v>126207.35</v>
      </c>
    </row>
    <row r="2642" spans="2:12">
      <c r="B2642" s="1297"/>
      <c r="C2642" s="1297"/>
      <c r="D2642" s="1297"/>
      <c r="E2642" s="1297" t="s">
        <v>1214</v>
      </c>
      <c r="F2642" s="1399">
        <v>40571.74</v>
      </c>
      <c r="J2642" s="1399">
        <v>40571.74</v>
      </c>
    </row>
    <row r="2643" spans="2:12">
      <c r="B2643" s="1297"/>
      <c r="C2643" s="1297"/>
      <c r="D2643" s="1297"/>
      <c r="E2643" s="1297" t="s">
        <v>947</v>
      </c>
      <c r="F2643" s="1399">
        <v>260116.01000000004</v>
      </c>
      <c r="J2643" s="1399">
        <v>260116.01000000004</v>
      </c>
    </row>
    <row r="2644" spans="2:12">
      <c r="B2644" s="1297"/>
      <c r="C2644" s="1297"/>
      <c r="D2644" s="1297"/>
      <c r="E2644" s="1404" t="s">
        <v>948</v>
      </c>
      <c r="F2644" s="1405"/>
      <c r="G2644" s="1405"/>
      <c r="H2644" s="1405">
        <v>46230765.350000001</v>
      </c>
      <c r="I2644" s="1405"/>
      <c r="J2644" s="1405">
        <v>46230765.350000001</v>
      </c>
    </row>
    <row r="2645" spans="2:12">
      <c r="B2645" s="1297"/>
      <c r="C2645" s="1297"/>
      <c r="D2645" s="1297"/>
      <c r="E2645" s="1297" t="s">
        <v>956</v>
      </c>
      <c r="H2645" s="1399">
        <v>17000</v>
      </c>
      <c r="J2645" s="1399">
        <v>17000</v>
      </c>
    </row>
    <row r="2646" spans="2:12">
      <c r="B2646" s="1297"/>
      <c r="C2646" s="1297"/>
      <c r="D2646" s="1400" t="s">
        <v>1164</v>
      </c>
      <c r="E2646" s="1400"/>
      <c r="F2646" s="1401">
        <f>SUM(F2601:F2645)</f>
        <v>8796386.0199999977</v>
      </c>
      <c r="G2646" s="1401">
        <f>SUM(G2601:G2645)</f>
        <v>26996868.160000004</v>
      </c>
      <c r="H2646" s="1401">
        <f>SUM(H2601:H2645)-H2644</f>
        <v>2829394.5099999979</v>
      </c>
      <c r="I2646" s="1401">
        <f>SUM(I2601:I2645)-I2628</f>
        <v>33579425.600000001</v>
      </c>
      <c r="J2646" s="1401">
        <f>SUM(J2601:J2645)</f>
        <v>118897825.78999999</v>
      </c>
      <c r="K2646" s="1401">
        <f>SUM(F2646:I2646)</f>
        <v>72202074.289999992</v>
      </c>
      <c r="L2646" s="1408">
        <f>K2646/C2601</f>
        <v>10862.355091018504</v>
      </c>
    </row>
    <row r="2647" spans="2:12">
      <c r="B2647" s="1297" t="s">
        <v>1165</v>
      </c>
      <c r="C2647" s="1297">
        <v>25612</v>
      </c>
      <c r="D2647" s="1297" t="s">
        <v>1166</v>
      </c>
      <c r="E2647" s="1297" t="s">
        <v>906</v>
      </c>
      <c r="G2647" s="1399">
        <v>76512307.480000004</v>
      </c>
      <c r="J2647" s="1399">
        <v>76512307.480000004</v>
      </c>
    </row>
    <row r="2648" spans="2:12">
      <c r="B2648" s="1297"/>
      <c r="C2648" s="1297"/>
      <c r="D2648" s="1297"/>
      <c r="E2648" s="1297" t="s">
        <v>952</v>
      </c>
      <c r="G2648" s="1399">
        <v>1243506.82</v>
      </c>
      <c r="J2648" s="1399">
        <v>1243506.82</v>
      </c>
    </row>
    <row r="2649" spans="2:12">
      <c r="B2649" s="1297"/>
      <c r="C2649" s="1297"/>
      <c r="D2649" s="1297"/>
      <c r="E2649" s="1297" t="s">
        <v>907</v>
      </c>
      <c r="G2649" s="1399">
        <v>18749473.84</v>
      </c>
      <c r="J2649" s="1399">
        <v>18749473.84</v>
      </c>
    </row>
    <row r="2650" spans="2:12">
      <c r="B2650" s="1297"/>
      <c r="C2650" s="1297"/>
      <c r="D2650" s="1297"/>
      <c r="E2650" s="1297" t="s">
        <v>908</v>
      </c>
      <c r="G2650" s="1399">
        <v>34982.449999999997</v>
      </c>
      <c r="J2650" s="1399">
        <v>34982.449999999997</v>
      </c>
    </row>
    <row r="2651" spans="2:12">
      <c r="B2651" s="1297"/>
      <c r="C2651" s="1297"/>
      <c r="D2651" s="1297"/>
      <c r="E2651" s="1297" t="s">
        <v>910</v>
      </c>
      <c r="H2651" s="1399">
        <v>913542.62000000011</v>
      </c>
      <c r="J2651" s="1399">
        <v>913542.62000000011</v>
      </c>
    </row>
    <row r="2652" spans="2:12">
      <c r="B2652" s="1297"/>
      <c r="C2652" s="1297"/>
      <c r="D2652" s="1297"/>
      <c r="E2652" s="1297" t="s">
        <v>1034</v>
      </c>
      <c r="H2652" s="1399">
        <v>582988.59</v>
      </c>
      <c r="J2652" s="1399">
        <v>582988.59</v>
      </c>
    </row>
    <row r="2653" spans="2:12">
      <c r="B2653" s="1297"/>
      <c r="C2653" s="1297"/>
      <c r="D2653" s="1297"/>
      <c r="E2653" s="1297" t="s">
        <v>1035</v>
      </c>
      <c r="H2653" s="1399">
        <v>1524464.7799999998</v>
      </c>
      <c r="J2653" s="1399">
        <v>1524464.7799999998</v>
      </c>
    </row>
    <row r="2654" spans="2:12">
      <c r="B2654" s="1297"/>
      <c r="C2654" s="1297"/>
      <c r="D2654" s="1297"/>
      <c r="E2654" s="1297" t="s">
        <v>1036</v>
      </c>
      <c r="H2654" s="1399">
        <v>595081.87000000011</v>
      </c>
      <c r="J2654" s="1399">
        <v>595081.87000000011</v>
      </c>
    </row>
    <row r="2655" spans="2:12">
      <c r="B2655" s="1297"/>
      <c r="C2655" s="1297"/>
      <c r="D2655" s="1297"/>
      <c r="E2655" s="1297" t="s">
        <v>1037</v>
      </c>
      <c r="H2655" s="1399">
        <v>9931.5</v>
      </c>
      <c r="J2655" s="1399">
        <v>9931.5</v>
      </c>
    </row>
    <row r="2656" spans="2:12">
      <c r="B2656" s="1297"/>
      <c r="C2656" s="1297"/>
      <c r="D2656" s="1297"/>
      <c r="E2656" s="1297" t="s">
        <v>1064</v>
      </c>
      <c r="H2656" s="1399">
        <v>21440</v>
      </c>
      <c r="J2656" s="1399">
        <v>21440</v>
      </c>
    </row>
    <row r="2657" spans="5:10" s="1297" customFormat="1">
      <c r="E2657" s="1297" t="s">
        <v>1038</v>
      </c>
      <c r="F2657" s="1399"/>
      <c r="G2657" s="1399"/>
      <c r="H2657" s="1399">
        <v>49675</v>
      </c>
      <c r="I2657" s="1399"/>
      <c r="J2657" s="1399">
        <v>49675</v>
      </c>
    </row>
    <row r="2658" spans="5:10" s="1297" customFormat="1">
      <c r="E2658" s="1297" t="s">
        <v>1039</v>
      </c>
      <c r="F2658" s="1399"/>
      <c r="G2658" s="1399"/>
      <c r="H2658" s="1399">
        <v>216460.07</v>
      </c>
      <c r="I2658" s="1399"/>
      <c r="J2658" s="1399">
        <v>216460.07</v>
      </c>
    </row>
    <row r="2659" spans="5:10" s="1297" customFormat="1">
      <c r="E2659" s="1297" t="s">
        <v>1040</v>
      </c>
      <c r="F2659" s="1399"/>
      <c r="G2659" s="1399"/>
      <c r="H2659" s="1399">
        <v>2243344.31</v>
      </c>
      <c r="I2659" s="1399"/>
      <c r="J2659" s="1399">
        <v>2243344.31</v>
      </c>
    </row>
    <row r="2660" spans="5:10" s="1297" customFormat="1">
      <c r="E2660" s="1297" t="s">
        <v>1041</v>
      </c>
      <c r="F2660" s="1399"/>
      <c r="G2660" s="1399"/>
      <c r="H2660" s="1399">
        <v>62643.100000000006</v>
      </c>
      <c r="I2660" s="1399"/>
      <c r="J2660" s="1399">
        <v>62643.100000000006</v>
      </c>
    </row>
    <row r="2661" spans="5:10" s="1297" customFormat="1">
      <c r="E2661" s="1297" t="s">
        <v>1042</v>
      </c>
      <c r="F2661" s="1399"/>
      <c r="G2661" s="1399"/>
      <c r="H2661" s="1399">
        <v>307591.34000000008</v>
      </c>
      <c r="I2661" s="1399"/>
      <c r="J2661" s="1399">
        <v>307591.34000000008</v>
      </c>
    </row>
    <row r="2662" spans="5:10" s="1297" customFormat="1">
      <c r="E2662" s="1297" t="s">
        <v>953</v>
      </c>
      <c r="F2662" s="1399"/>
      <c r="G2662" s="1399"/>
      <c r="H2662" s="1399">
        <v>196588.48</v>
      </c>
      <c r="I2662" s="1399"/>
      <c r="J2662" s="1399">
        <v>196588.48</v>
      </c>
    </row>
    <row r="2663" spans="5:10" s="1297" customFormat="1">
      <c r="E2663" s="1297" t="s">
        <v>1043</v>
      </c>
      <c r="F2663" s="1399"/>
      <c r="G2663" s="1399"/>
      <c r="H2663" s="1399">
        <v>37862.6</v>
      </c>
      <c r="I2663" s="1399"/>
      <c r="J2663" s="1399">
        <v>37862.6</v>
      </c>
    </row>
    <row r="2664" spans="5:10" s="1297" customFormat="1">
      <c r="E2664" s="1297" t="s">
        <v>996</v>
      </c>
      <c r="F2664" s="1399"/>
      <c r="G2664" s="1399"/>
      <c r="H2664" s="1399">
        <v>89090.22</v>
      </c>
      <c r="I2664" s="1399"/>
      <c r="J2664" s="1399">
        <v>89090.22</v>
      </c>
    </row>
    <row r="2665" spans="5:10" s="1297" customFormat="1">
      <c r="E2665" s="1297" t="s">
        <v>1004</v>
      </c>
      <c r="F2665" s="1399"/>
      <c r="G2665" s="1399"/>
      <c r="H2665" s="1399">
        <v>-809221.49</v>
      </c>
      <c r="I2665" s="1399"/>
      <c r="J2665" s="1399">
        <v>-809221.49</v>
      </c>
    </row>
    <row r="2666" spans="5:10" s="1297" customFormat="1">
      <c r="E2666" s="1297" t="s">
        <v>991</v>
      </c>
      <c r="F2666" s="1399"/>
      <c r="G2666" s="1399"/>
      <c r="H2666" s="1399">
        <v>657468.00000000023</v>
      </c>
      <c r="I2666" s="1399"/>
      <c r="J2666" s="1399">
        <v>657468.00000000023</v>
      </c>
    </row>
    <row r="2667" spans="5:10" s="1297" customFormat="1">
      <c r="E2667" s="1297" t="s">
        <v>1044</v>
      </c>
      <c r="F2667" s="1399">
        <v>492457.33</v>
      </c>
      <c r="G2667" s="1399"/>
      <c r="H2667" s="1399"/>
      <c r="I2667" s="1399"/>
      <c r="J2667" s="1399">
        <v>492457.33</v>
      </c>
    </row>
    <row r="2668" spans="5:10" s="1297" customFormat="1">
      <c r="E2668" s="1297" t="s">
        <v>1045</v>
      </c>
      <c r="F2668" s="1399"/>
      <c r="G2668" s="1399"/>
      <c r="H2668" s="1399">
        <v>927952.7000000003</v>
      </c>
      <c r="I2668" s="1399"/>
      <c r="J2668" s="1399">
        <v>927952.7000000003</v>
      </c>
    </row>
    <row r="2669" spans="5:10" s="1297" customFormat="1">
      <c r="E2669" s="1297" t="s">
        <v>1046</v>
      </c>
      <c r="F2669" s="1399"/>
      <c r="G2669" s="1399"/>
      <c r="H2669" s="1399"/>
      <c r="I2669" s="1399">
        <v>143694843</v>
      </c>
      <c r="J2669" s="1399">
        <v>143694843</v>
      </c>
    </row>
    <row r="2670" spans="5:10" s="1297" customFormat="1">
      <c r="E2670" s="1297" t="s">
        <v>1129</v>
      </c>
      <c r="F2670" s="1399"/>
      <c r="G2670" s="1399"/>
      <c r="H2670" s="1399"/>
      <c r="I2670" s="1399">
        <v>-18321064</v>
      </c>
      <c r="J2670" s="1399">
        <v>-18321064</v>
      </c>
    </row>
    <row r="2671" spans="5:10" s="1297" customFormat="1">
      <c r="E2671" s="1297" t="s">
        <v>1047</v>
      </c>
      <c r="F2671" s="1399"/>
      <c r="G2671" s="1399"/>
      <c r="H2671" s="1399"/>
      <c r="I2671" s="1399">
        <v>2258402</v>
      </c>
      <c r="J2671" s="1399">
        <v>2258402</v>
      </c>
    </row>
    <row r="2672" spans="5:10" s="1297" customFormat="1">
      <c r="E2672" s="1297" t="s">
        <v>1048</v>
      </c>
      <c r="F2672" s="1399"/>
      <c r="G2672" s="1399"/>
      <c r="H2672" s="1399"/>
      <c r="I2672" s="1399">
        <v>-24732814</v>
      </c>
      <c r="J2672" s="1399">
        <v>-24732814</v>
      </c>
    </row>
    <row r="2673" spans="5:10" s="1297" customFormat="1">
      <c r="E2673" s="1297" t="s">
        <v>932</v>
      </c>
      <c r="F2673" s="1399"/>
      <c r="G2673" s="1399"/>
      <c r="H2673" s="1399"/>
      <c r="I2673" s="1399">
        <v>4530396</v>
      </c>
      <c r="J2673" s="1399">
        <v>4530396</v>
      </c>
    </row>
    <row r="2674" spans="5:10" s="1297" customFormat="1">
      <c r="E2674" s="1404" t="s">
        <v>955</v>
      </c>
      <c r="F2674" s="1405"/>
      <c r="G2674" s="1405"/>
      <c r="H2674" s="1405"/>
      <c r="I2674" s="1405">
        <v>380577.39</v>
      </c>
      <c r="J2674" s="1405">
        <v>380577.39</v>
      </c>
    </row>
    <row r="2675" spans="5:10" s="1297" customFormat="1">
      <c r="E2675" s="1297" t="s">
        <v>934</v>
      </c>
      <c r="F2675" s="1399"/>
      <c r="G2675" s="1399"/>
      <c r="H2675" s="1399"/>
      <c r="I2675" s="1399">
        <v>393642</v>
      </c>
      <c r="J2675" s="1399">
        <v>393642</v>
      </c>
    </row>
    <row r="2676" spans="5:10" s="1297" customFormat="1">
      <c r="E2676" s="1297" t="s">
        <v>1130</v>
      </c>
      <c r="F2676" s="1399"/>
      <c r="G2676" s="1399"/>
      <c r="H2676" s="1399"/>
      <c r="I2676" s="1399">
        <v>3288530.59</v>
      </c>
      <c r="J2676" s="1399">
        <v>3288530.59</v>
      </c>
    </row>
    <row r="2677" spans="5:10" s="1297" customFormat="1">
      <c r="E2677" s="1297" t="s">
        <v>935</v>
      </c>
      <c r="F2677" s="1399"/>
      <c r="G2677" s="1399"/>
      <c r="H2677" s="1399"/>
      <c r="I2677" s="1399">
        <v>1052264.2600000002</v>
      </c>
      <c r="J2677" s="1399">
        <v>1052264.2600000002</v>
      </c>
    </row>
    <row r="2678" spans="5:10" s="1297" customFormat="1">
      <c r="E2678" s="1297" t="s">
        <v>936</v>
      </c>
      <c r="F2678" s="1399"/>
      <c r="G2678" s="1399"/>
      <c r="H2678" s="1399"/>
      <c r="I2678" s="1399">
        <v>399521.76</v>
      </c>
      <c r="J2678" s="1399">
        <v>399521.76</v>
      </c>
    </row>
    <row r="2679" spans="5:10" s="1297" customFormat="1">
      <c r="E2679" s="1297" t="s">
        <v>937</v>
      </c>
      <c r="F2679" s="1399"/>
      <c r="G2679" s="1399"/>
      <c r="H2679" s="1399"/>
      <c r="I2679" s="1399">
        <v>176210.92</v>
      </c>
      <c r="J2679" s="1399">
        <v>176210.92</v>
      </c>
    </row>
    <row r="2680" spans="5:10" s="1297" customFormat="1">
      <c r="E2680" s="1297" t="s">
        <v>938</v>
      </c>
      <c r="F2680" s="1399"/>
      <c r="G2680" s="1399"/>
      <c r="H2680" s="1399"/>
      <c r="I2680" s="1399">
        <v>133631</v>
      </c>
      <c r="J2680" s="1399">
        <v>133631</v>
      </c>
    </row>
    <row r="2681" spans="5:10" s="1297" customFormat="1">
      <c r="E2681" s="1297" t="s">
        <v>939</v>
      </c>
      <c r="F2681" s="1399"/>
      <c r="G2681" s="1399"/>
      <c r="H2681" s="1399"/>
      <c r="I2681" s="1399">
        <v>70000</v>
      </c>
      <c r="J2681" s="1399">
        <v>70000</v>
      </c>
    </row>
    <row r="2682" spans="5:10" s="1297" customFormat="1">
      <c r="E2682" s="1297" t="s">
        <v>1131</v>
      </c>
      <c r="F2682" s="1399">
        <v>116170.55</v>
      </c>
      <c r="G2682" s="1399"/>
      <c r="H2682" s="1399"/>
      <c r="I2682" s="1399"/>
      <c r="J2682" s="1399">
        <v>116170.55</v>
      </c>
    </row>
    <row r="2683" spans="5:10" s="1297" customFormat="1">
      <c r="E2683" s="1297" t="s">
        <v>940</v>
      </c>
      <c r="F2683" s="1399">
        <v>6486667.0199999986</v>
      </c>
      <c r="G2683" s="1399"/>
      <c r="H2683" s="1399"/>
      <c r="I2683" s="1399"/>
      <c r="J2683" s="1399">
        <v>6486667.0199999986</v>
      </c>
    </row>
    <row r="2684" spans="5:10" s="1297" customFormat="1">
      <c r="E2684" s="1297" t="s">
        <v>941</v>
      </c>
      <c r="F2684" s="1399">
        <v>2725259.5599999996</v>
      </c>
      <c r="G2684" s="1399"/>
      <c r="H2684" s="1399"/>
      <c r="I2684" s="1399"/>
      <c r="J2684" s="1399">
        <v>2725259.5599999996</v>
      </c>
    </row>
    <row r="2685" spans="5:10" s="1297" customFormat="1">
      <c r="E2685" s="1297" t="s">
        <v>943</v>
      </c>
      <c r="F2685" s="1399">
        <v>73021.659999999989</v>
      </c>
      <c r="G2685" s="1399"/>
      <c r="H2685" s="1399"/>
      <c r="I2685" s="1399"/>
      <c r="J2685" s="1399">
        <v>73021.659999999989</v>
      </c>
    </row>
    <row r="2686" spans="5:10" s="1297" customFormat="1">
      <c r="E2686" s="1297" t="s">
        <v>944</v>
      </c>
      <c r="F2686" s="1399">
        <v>12470438.509999998</v>
      </c>
      <c r="G2686" s="1399"/>
      <c r="H2686" s="1399"/>
      <c r="I2686" s="1399"/>
      <c r="J2686" s="1399">
        <v>12470438.509999998</v>
      </c>
    </row>
    <row r="2687" spans="5:10" s="1297" customFormat="1">
      <c r="E2687" s="1297" t="s">
        <v>945</v>
      </c>
      <c r="F2687" s="1399">
        <v>11730509.42</v>
      </c>
      <c r="G2687" s="1399"/>
      <c r="H2687" s="1399"/>
      <c r="I2687" s="1399"/>
      <c r="J2687" s="1399">
        <v>11730509.42</v>
      </c>
    </row>
    <row r="2688" spans="5:10" s="1297" customFormat="1">
      <c r="E2688" s="1297" t="s">
        <v>946</v>
      </c>
      <c r="F2688" s="1399">
        <v>232390.1</v>
      </c>
      <c r="G2688" s="1399"/>
      <c r="H2688" s="1399"/>
      <c r="I2688" s="1399"/>
      <c r="J2688" s="1399">
        <v>232390.1</v>
      </c>
    </row>
    <row r="2689" spans="2:12">
      <c r="B2689" s="1297"/>
      <c r="C2689" s="1297"/>
      <c r="D2689" s="1297"/>
      <c r="E2689" s="1297" t="s">
        <v>1214</v>
      </c>
      <c r="F2689" s="1399">
        <v>264090.53000000003</v>
      </c>
      <c r="J2689" s="1399">
        <v>264090.53000000003</v>
      </c>
    </row>
    <row r="2690" spans="2:12">
      <c r="B2690" s="1297"/>
      <c r="C2690" s="1297"/>
      <c r="D2690" s="1297"/>
      <c r="E2690" s="1297" t="s">
        <v>947</v>
      </c>
      <c r="F2690" s="1399">
        <v>613365.42999999993</v>
      </c>
      <c r="J2690" s="1399">
        <v>613365.42999999993</v>
      </c>
    </row>
    <row r="2691" spans="2:12">
      <c r="B2691" s="1297"/>
      <c r="C2691" s="1297"/>
      <c r="D2691" s="1297"/>
      <c r="E2691" s="1297" t="s">
        <v>1115</v>
      </c>
      <c r="F2691" s="1399">
        <v>22833.55</v>
      </c>
      <c r="J2691" s="1399">
        <v>22833.55</v>
      </c>
    </row>
    <row r="2692" spans="2:12">
      <c r="B2692" s="1297"/>
      <c r="C2692" s="1297"/>
      <c r="D2692" s="1297"/>
      <c r="E2692" s="1404" t="s">
        <v>1116</v>
      </c>
      <c r="F2692" s="1405"/>
      <c r="G2692" s="1405"/>
      <c r="H2692" s="1405">
        <v>9500000</v>
      </c>
      <c r="I2692" s="1405"/>
      <c r="J2692" s="1405">
        <v>9500000</v>
      </c>
    </row>
    <row r="2693" spans="2:12">
      <c r="B2693" s="1297"/>
      <c r="C2693" s="1297"/>
      <c r="D2693" s="1297"/>
      <c r="E2693" s="1404" t="s">
        <v>948</v>
      </c>
      <c r="F2693" s="1405"/>
      <c r="G2693" s="1405"/>
      <c r="H2693" s="1405">
        <v>58503730.370000005</v>
      </c>
      <c r="I2693" s="1405"/>
      <c r="J2693" s="1405">
        <v>58503730.370000005</v>
      </c>
    </row>
    <row r="2694" spans="2:12">
      <c r="B2694" s="1297"/>
      <c r="C2694" s="1297"/>
      <c r="D2694" s="1297"/>
      <c r="E2694" s="1297" t="s">
        <v>956</v>
      </c>
      <c r="H2694" s="1399">
        <v>148142.58000000002</v>
      </c>
      <c r="J2694" s="1399">
        <v>148142.58000000002</v>
      </c>
    </row>
    <row r="2695" spans="2:12">
      <c r="B2695" s="1297"/>
      <c r="C2695" s="1297"/>
      <c r="D2695" s="1297"/>
      <c r="E2695" s="1297" t="s">
        <v>1167</v>
      </c>
      <c r="H2695" s="1399">
        <v>3000000</v>
      </c>
      <c r="J2695" s="1399">
        <v>3000000</v>
      </c>
    </row>
    <row r="2696" spans="2:12">
      <c r="B2696" s="1297"/>
      <c r="C2696" s="1297"/>
      <c r="D2696" s="1400" t="s">
        <v>1168</v>
      </c>
      <c r="E2696" s="1400"/>
      <c r="F2696" s="1401">
        <f>SUM(F2647:F2695)</f>
        <v>35227203.659999996</v>
      </c>
      <c r="G2696" s="1401">
        <f>SUM(G2647:G2695)</f>
        <v>96540270.590000004</v>
      </c>
      <c r="H2696" s="1401">
        <f>SUM(H2647:H2695)-(H2692+H2693)</f>
        <v>10775046.269999996</v>
      </c>
      <c r="I2696" s="1401">
        <f>SUM(I2647:I2695)-I2674</f>
        <v>112943563.53000002</v>
      </c>
      <c r="J2696" s="1401">
        <f>SUM(J2647:J2695)</f>
        <v>323870391.81</v>
      </c>
      <c r="K2696" s="1401">
        <f>SUM(F2696:I2696)</f>
        <v>255486084.05000001</v>
      </c>
      <c r="L2696" s="1408">
        <f>K2696/C2647</f>
        <v>9975.2492601124486</v>
      </c>
    </row>
    <row r="2697" spans="2:12">
      <c r="B2697" s="1297" t="s">
        <v>1169</v>
      </c>
      <c r="C2697" s="1297">
        <v>1107</v>
      </c>
      <c r="D2697" s="1297" t="s">
        <v>1170</v>
      </c>
      <c r="E2697" s="1297" t="s">
        <v>906</v>
      </c>
      <c r="G2697" s="1399">
        <v>5291478.6900000004</v>
      </c>
      <c r="J2697" s="1399">
        <v>5291478.6900000004</v>
      </c>
    </row>
    <row r="2698" spans="2:12">
      <c r="B2698" s="1297"/>
      <c r="C2698" s="1297"/>
      <c r="D2698" s="1297"/>
      <c r="E2698" s="1297" t="s">
        <v>907</v>
      </c>
      <c r="G2698" s="1399">
        <v>449613.72</v>
      </c>
      <c r="J2698" s="1399">
        <v>449613.72</v>
      </c>
    </row>
    <row r="2699" spans="2:12">
      <c r="B2699" s="1297"/>
      <c r="C2699" s="1297"/>
      <c r="D2699" s="1297"/>
      <c r="E2699" s="1297" t="s">
        <v>1039</v>
      </c>
      <c r="H2699" s="1399">
        <v>7116.4699999999993</v>
      </c>
      <c r="J2699" s="1399">
        <v>7116.4699999999993</v>
      </c>
    </row>
    <row r="2700" spans="2:12">
      <c r="B2700" s="1297"/>
      <c r="C2700" s="1297"/>
      <c r="D2700" s="1297"/>
      <c r="E2700" s="1297" t="s">
        <v>1041</v>
      </c>
      <c r="H2700" s="1399">
        <v>62.55</v>
      </c>
      <c r="J2700" s="1399">
        <v>62.55</v>
      </c>
    </row>
    <row r="2701" spans="2:12">
      <c r="B2701" s="1297"/>
      <c r="C2701" s="1297"/>
      <c r="D2701" s="1297"/>
      <c r="E2701" s="1297" t="s">
        <v>1042</v>
      </c>
      <c r="H2701" s="1399">
        <v>33230.61</v>
      </c>
      <c r="J2701" s="1399">
        <v>33230.61</v>
      </c>
    </row>
    <row r="2702" spans="2:12">
      <c r="B2702" s="1297"/>
      <c r="C2702" s="1297"/>
      <c r="D2702" s="1297"/>
      <c r="E2702" s="1297" t="s">
        <v>954</v>
      </c>
      <c r="H2702" s="1399">
        <v>250387.54</v>
      </c>
      <c r="J2702" s="1399">
        <v>250387.54</v>
      </c>
    </row>
    <row r="2703" spans="2:12">
      <c r="B2703" s="1297"/>
      <c r="C2703" s="1297"/>
      <c r="D2703" s="1297"/>
      <c r="E2703" s="1297" t="s">
        <v>1044</v>
      </c>
      <c r="F2703" s="1399">
        <v>96698.07</v>
      </c>
      <c r="J2703" s="1399">
        <v>96698.07</v>
      </c>
    </row>
    <row r="2704" spans="2:12">
      <c r="B2704" s="1297"/>
      <c r="C2704" s="1297"/>
      <c r="D2704" s="1297"/>
      <c r="E2704" s="1297" t="s">
        <v>1045</v>
      </c>
      <c r="H2704" s="1399">
        <v>273818.96000000002</v>
      </c>
      <c r="J2704" s="1399">
        <v>273818.96000000002</v>
      </c>
    </row>
    <row r="2705" spans="5:10" s="1297" customFormat="1">
      <c r="E2705" s="1297" t="s">
        <v>1046</v>
      </c>
      <c r="F2705" s="1399"/>
      <c r="G2705" s="1399"/>
      <c r="H2705" s="1399"/>
      <c r="I2705" s="1399">
        <v>6511392</v>
      </c>
      <c r="J2705" s="1399">
        <v>6511392</v>
      </c>
    </row>
    <row r="2706" spans="5:10" s="1297" customFormat="1">
      <c r="E2706" s="1297" t="s">
        <v>1128</v>
      </c>
      <c r="F2706" s="1399"/>
      <c r="G2706" s="1399"/>
      <c r="H2706" s="1399"/>
      <c r="I2706" s="1399">
        <v>478464</v>
      </c>
      <c r="J2706" s="1399">
        <v>478464</v>
      </c>
    </row>
    <row r="2707" spans="5:10" s="1297" customFormat="1">
      <c r="E2707" s="1297" t="s">
        <v>1129</v>
      </c>
      <c r="F2707" s="1399"/>
      <c r="G2707" s="1399"/>
      <c r="H2707" s="1399"/>
      <c r="I2707" s="1399">
        <v>-778487</v>
      </c>
      <c r="J2707" s="1399">
        <v>-778487</v>
      </c>
    </row>
    <row r="2708" spans="5:10" s="1297" customFormat="1">
      <c r="E2708" s="1297" t="s">
        <v>1047</v>
      </c>
      <c r="F2708" s="1399"/>
      <c r="G2708" s="1399"/>
      <c r="H2708" s="1399"/>
      <c r="I2708" s="1399">
        <v>362305</v>
      </c>
      <c r="J2708" s="1399">
        <v>362305</v>
      </c>
    </row>
    <row r="2709" spans="5:10" s="1297" customFormat="1">
      <c r="E2709" s="1297" t="s">
        <v>1048</v>
      </c>
      <c r="F2709" s="1399"/>
      <c r="G2709" s="1399"/>
      <c r="H2709" s="1399"/>
      <c r="I2709" s="1399">
        <v>-2283612</v>
      </c>
      <c r="J2709" s="1399">
        <v>-2283612</v>
      </c>
    </row>
    <row r="2710" spans="5:10" s="1297" customFormat="1">
      <c r="E2710" s="1297" t="s">
        <v>934</v>
      </c>
      <c r="F2710" s="1399"/>
      <c r="G2710" s="1399"/>
      <c r="H2710" s="1399"/>
      <c r="I2710" s="1399">
        <v>17992.900000000001</v>
      </c>
      <c r="J2710" s="1399">
        <v>17992.900000000001</v>
      </c>
    </row>
    <row r="2711" spans="5:10" s="1297" customFormat="1">
      <c r="E2711" s="1297" t="s">
        <v>935</v>
      </c>
      <c r="F2711" s="1399"/>
      <c r="G2711" s="1399"/>
      <c r="H2711" s="1399"/>
      <c r="I2711" s="1399">
        <v>565872.5</v>
      </c>
      <c r="J2711" s="1399">
        <v>565872.5</v>
      </c>
    </row>
    <row r="2712" spans="5:10" s="1297" customFormat="1">
      <c r="E2712" s="1297" t="s">
        <v>939</v>
      </c>
      <c r="F2712" s="1399"/>
      <c r="G2712" s="1399"/>
      <c r="H2712" s="1399"/>
      <c r="I2712" s="1399">
        <v>44395.76</v>
      </c>
      <c r="J2712" s="1399">
        <v>44395.76</v>
      </c>
    </row>
    <row r="2713" spans="5:10" s="1297" customFormat="1">
      <c r="E2713" s="1297" t="s">
        <v>1131</v>
      </c>
      <c r="F2713" s="1399">
        <v>2111905.52</v>
      </c>
      <c r="G2713" s="1399"/>
      <c r="H2713" s="1399"/>
      <c r="I2713" s="1399"/>
      <c r="J2713" s="1399">
        <v>2111905.52</v>
      </c>
    </row>
    <row r="2714" spans="5:10" s="1297" customFormat="1">
      <c r="E2714" s="1297" t="s">
        <v>940</v>
      </c>
      <c r="F2714" s="1399">
        <v>513030.56</v>
      </c>
      <c r="G2714" s="1399"/>
      <c r="H2714" s="1399"/>
      <c r="I2714" s="1399"/>
      <c r="J2714" s="1399">
        <v>513030.56</v>
      </c>
    </row>
    <row r="2715" spans="5:10" s="1297" customFormat="1">
      <c r="E2715" s="1297" t="s">
        <v>941</v>
      </c>
      <c r="F2715" s="1399">
        <v>237592.69999999998</v>
      </c>
      <c r="G2715" s="1399"/>
      <c r="H2715" s="1399"/>
      <c r="I2715" s="1399"/>
      <c r="J2715" s="1399">
        <v>237592.69999999998</v>
      </c>
    </row>
    <row r="2716" spans="5:10" s="1297" customFormat="1">
      <c r="E2716" s="1297" t="s">
        <v>943</v>
      </c>
      <c r="F2716" s="1399">
        <v>36112</v>
      </c>
      <c r="G2716" s="1399"/>
      <c r="H2716" s="1399"/>
      <c r="I2716" s="1399"/>
      <c r="J2716" s="1399">
        <v>36112</v>
      </c>
    </row>
    <row r="2717" spans="5:10" s="1297" customFormat="1">
      <c r="E2717" s="1297" t="s">
        <v>944</v>
      </c>
      <c r="F2717" s="1399">
        <v>1509113.47</v>
      </c>
      <c r="G2717" s="1399"/>
      <c r="H2717" s="1399"/>
      <c r="I2717" s="1399"/>
      <c r="J2717" s="1399">
        <v>1509113.47</v>
      </c>
    </row>
    <row r="2718" spans="5:10" s="1297" customFormat="1">
      <c r="E2718" s="1297" t="s">
        <v>945</v>
      </c>
      <c r="F2718" s="1399">
        <v>346985.83999999997</v>
      </c>
      <c r="G2718" s="1399"/>
      <c r="H2718" s="1399"/>
      <c r="I2718" s="1399"/>
      <c r="J2718" s="1399">
        <v>346985.83999999997</v>
      </c>
    </row>
    <row r="2719" spans="5:10" s="1297" customFormat="1">
      <c r="E2719" s="1297" t="s">
        <v>946</v>
      </c>
      <c r="F2719" s="1399">
        <v>16873.11</v>
      </c>
      <c r="G2719" s="1399"/>
      <c r="H2719" s="1399"/>
      <c r="I2719" s="1399"/>
      <c r="J2719" s="1399">
        <v>16873.11</v>
      </c>
    </row>
    <row r="2720" spans="5:10" s="1297" customFormat="1">
      <c r="E2720" s="1297" t="s">
        <v>978</v>
      </c>
      <c r="F2720" s="1399">
        <v>26254.79</v>
      </c>
      <c r="G2720" s="1399"/>
      <c r="H2720" s="1399"/>
      <c r="I2720" s="1399"/>
      <c r="J2720" s="1399">
        <v>26254.79</v>
      </c>
    </row>
    <row r="2721" spans="2:12">
      <c r="B2721" s="1297"/>
      <c r="C2721" s="1297"/>
      <c r="D2721" s="1297"/>
      <c r="E2721" s="1297" t="s">
        <v>947</v>
      </c>
      <c r="F2721" s="1399">
        <v>15942.62</v>
      </c>
      <c r="J2721" s="1399">
        <v>15942.62</v>
      </c>
    </row>
    <row r="2722" spans="2:12">
      <c r="B2722" s="1297"/>
      <c r="C2722" s="1297"/>
      <c r="D2722" s="1297"/>
      <c r="E2722" s="1404" t="s">
        <v>948</v>
      </c>
      <c r="F2722" s="1405"/>
      <c r="G2722" s="1405"/>
      <c r="H2722" s="1405">
        <v>790824.4800000001</v>
      </c>
      <c r="I2722" s="1405"/>
      <c r="J2722" s="1405">
        <v>790824.4800000001</v>
      </c>
    </row>
    <row r="2723" spans="2:12">
      <c r="B2723" s="1297"/>
      <c r="C2723" s="1297"/>
      <c r="D2723" s="1297"/>
      <c r="E2723" s="1297" t="s">
        <v>1118</v>
      </c>
      <c r="H2723" s="1399">
        <v>1500</v>
      </c>
      <c r="J2723" s="1399">
        <v>1500</v>
      </c>
    </row>
    <row r="2724" spans="2:12">
      <c r="B2724" s="1297"/>
      <c r="C2724" s="1297"/>
      <c r="D2724" s="1400" t="s">
        <v>1171</v>
      </c>
      <c r="E2724" s="1400"/>
      <c r="F2724" s="1401">
        <f>SUM(F2697:F2723)</f>
        <v>4910508.6800000006</v>
      </c>
      <c r="G2724" s="1401">
        <f>SUM(G2697:G2723)</f>
        <v>5741092.4100000001</v>
      </c>
      <c r="H2724" s="1401">
        <f>SUM(H2697:H2723)-H2722</f>
        <v>566116.13</v>
      </c>
      <c r="I2724" s="1401">
        <f>SUM(I2697:I2723)</f>
        <v>4918323.16</v>
      </c>
      <c r="J2724" s="1401">
        <f>SUM(J2697:J2723)</f>
        <v>16926864.859999996</v>
      </c>
      <c r="K2724" s="1401">
        <f>SUM(F2724:I2724)</f>
        <v>16136040.380000001</v>
      </c>
      <c r="L2724" s="1408">
        <f>K2724/C2697</f>
        <v>14576.368906955737</v>
      </c>
    </row>
    <row r="2725" spans="2:12">
      <c r="B2725" s="1297" t="s">
        <v>1172</v>
      </c>
      <c r="C2725" s="1297">
        <v>3447</v>
      </c>
      <c r="D2725" s="1297" t="s">
        <v>1173</v>
      </c>
      <c r="E2725" s="1297" t="s">
        <v>906</v>
      </c>
      <c r="G2725" s="1399">
        <v>9902042.1099999994</v>
      </c>
      <c r="J2725" s="1399">
        <v>9902042.1099999994</v>
      </c>
    </row>
    <row r="2726" spans="2:12">
      <c r="B2726" s="1297"/>
      <c r="C2726" s="1297"/>
      <c r="D2726" s="1297"/>
      <c r="E2726" s="1297" t="s">
        <v>952</v>
      </c>
      <c r="G2726" s="1399">
        <v>23602.41</v>
      </c>
      <c r="J2726" s="1399">
        <v>23602.41</v>
      </c>
    </row>
    <row r="2727" spans="2:12">
      <c r="B2727" s="1297"/>
      <c r="C2727" s="1297"/>
      <c r="D2727" s="1297"/>
      <c r="E2727" s="1297" t="s">
        <v>907</v>
      </c>
      <c r="G2727" s="1399">
        <v>2422813.1100000003</v>
      </c>
      <c r="J2727" s="1399">
        <v>2422813.1100000003</v>
      </c>
    </row>
    <row r="2728" spans="2:12">
      <c r="B2728" s="1297"/>
      <c r="C2728" s="1297"/>
      <c r="D2728" s="1297"/>
      <c r="E2728" s="1297" t="s">
        <v>908</v>
      </c>
      <c r="G2728" s="1399">
        <v>20529.37</v>
      </c>
      <c r="J2728" s="1399">
        <v>20529.37</v>
      </c>
    </row>
    <row r="2729" spans="2:12">
      <c r="B2729" s="1297"/>
      <c r="C2729" s="1297"/>
      <c r="D2729" s="1297"/>
      <c r="E2729" s="1297" t="s">
        <v>1034</v>
      </c>
      <c r="H2729" s="1399">
        <v>5453.3</v>
      </c>
      <c r="J2729" s="1399">
        <v>5453.3</v>
      </c>
    </row>
    <row r="2730" spans="2:12">
      <c r="B2730" s="1297"/>
      <c r="C2730" s="1297"/>
      <c r="D2730" s="1297"/>
      <c r="E2730" s="1297" t="s">
        <v>1037</v>
      </c>
      <c r="H2730" s="1399">
        <v>10954.41</v>
      </c>
      <c r="J2730" s="1399">
        <v>10954.41</v>
      </c>
    </row>
    <row r="2731" spans="2:12">
      <c r="B2731" s="1297"/>
      <c r="C2731" s="1297"/>
      <c r="D2731" s="1297"/>
      <c r="E2731" s="1297" t="s">
        <v>1039</v>
      </c>
      <c r="H2731" s="1399">
        <v>97807.62000000001</v>
      </c>
      <c r="J2731" s="1399">
        <v>97807.62000000001</v>
      </c>
    </row>
    <row r="2732" spans="2:12">
      <c r="B2732" s="1297"/>
      <c r="C2732" s="1297"/>
      <c r="D2732" s="1297"/>
      <c r="E2732" s="1297" t="s">
        <v>1040</v>
      </c>
      <c r="H2732" s="1399">
        <v>307199.69</v>
      </c>
      <c r="J2732" s="1399">
        <v>307199.69</v>
      </c>
    </row>
    <row r="2733" spans="2:12">
      <c r="B2733" s="1297"/>
      <c r="C2733" s="1297"/>
      <c r="D2733" s="1297"/>
      <c r="E2733" s="1297" t="s">
        <v>1041</v>
      </c>
      <c r="H2733" s="1399">
        <v>10567.02</v>
      </c>
      <c r="J2733" s="1399">
        <v>10567.02</v>
      </c>
    </row>
    <row r="2734" spans="2:12">
      <c r="B2734" s="1297"/>
      <c r="C2734" s="1297"/>
      <c r="D2734" s="1297"/>
      <c r="E2734" s="1297" t="s">
        <v>1042</v>
      </c>
      <c r="H2734" s="1399">
        <v>12221.82</v>
      </c>
      <c r="J2734" s="1399">
        <v>12221.82</v>
      </c>
    </row>
    <row r="2735" spans="2:12">
      <c r="B2735" s="1297"/>
      <c r="C2735" s="1297"/>
      <c r="D2735" s="1297"/>
      <c r="E2735" s="1297" t="s">
        <v>954</v>
      </c>
      <c r="H2735" s="1399">
        <v>588539.76</v>
      </c>
      <c r="J2735" s="1399">
        <v>588539.76</v>
      </c>
    </row>
    <row r="2736" spans="2:12">
      <c r="B2736" s="1297"/>
      <c r="C2736" s="1297"/>
      <c r="D2736" s="1297"/>
      <c r="E2736" s="1297" t="s">
        <v>986</v>
      </c>
      <c r="H2736" s="1399">
        <v>6910.02</v>
      </c>
      <c r="J2736" s="1399">
        <v>6910.02</v>
      </c>
    </row>
    <row r="2737" spans="5:10" s="1297" customFormat="1">
      <c r="E2737" s="1297" t="s">
        <v>991</v>
      </c>
      <c r="F2737" s="1399"/>
      <c r="G2737" s="1399"/>
      <c r="H2737" s="1399">
        <v>73983.909999999989</v>
      </c>
      <c r="I2737" s="1399"/>
      <c r="J2737" s="1399">
        <v>73983.909999999989</v>
      </c>
    </row>
    <row r="2738" spans="5:10" s="1297" customFormat="1">
      <c r="E2738" s="1297" t="s">
        <v>1045</v>
      </c>
      <c r="F2738" s="1399"/>
      <c r="G2738" s="1399"/>
      <c r="H2738" s="1399">
        <v>418199.7</v>
      </c>
      <c r="I2738" s="1399"/>
      <c r="J2738" s="1399">
        <v>418199.7</v>
      </c>
    </row>
    <row r="2739" spans="5:10" s="1297" customFormat="1">
      <c r="E2739" s="1297" t="s">
        <v>1046</v>
      </c>
      <c r="F2739" s="1399"/>
      <c r="G2739" s="1399"/>
      <c r="H2739" s="1399"/>
      <c r="I2739" s="1399">
        <v>19216096</v>
      </c>
      <c r="J2739" s="1399">
        <v>19216096</v>
      </c>
    </row>
    <row r="2740" spans="5:10" s="1297" customFormat="1">
      <c r="E2740" s="1297" t="s">
        <v>1128</v>
      </c>
      <c r="F2740" s="1399"/>
      <c r="G2740" s="1399"/>
      <c r="H2740" s="1399"/>
      <c r="I2740" s="1399">
        <v>1519530</v>
      </c>
      <c r="J2740" s="1399">
        <v>1519530</v>
      </c>
    </row>
    <row r="2741" spans="5:10" s="1297" customFormat="1">
      <c r="E2741" s="1297" t="s">
        <v>1129</v>
      </c>
      <c r="F2741" s="1399"/>
      <c r="G2741" s="1399"/>
      <c r="H2741" s="1399"/>
      <c r="I2741" s="1399">
        <v>-2753779</v>
      </c>
      <c r="J2741" s="1399">
        <v>-2753779</v>
      </c>
    </row>
    <row r="2742" spans="5:10" s="1297" customFormat="1">
      <c r="E2742" s="1297" t="s">
        <v>1047</v>
      </c>
      <c r="F2742" s="1399"/>
      <c r="G2742" s="1399"/>
      <c r="H2742" s="1399"/>
      <c r="I2742" s="1399">
        <v>636041</v>
      </c>
      <c r="J2742" s="1399">
        <v>636041</v>
      </c>
    </row>
    <row r="2743" spans="5:10" s="1297" customFormat="1">
      <c r="E2743" s="1297" t="s">
        <v>1048</v>
      </c>
      <c r="F2743" s="1399"/>
      <c r="G2743" s="1399"/>
      <c r="H2743" s="1399"/>
      <c r="I2743" s="1399">
        <v>-2717482</v>
      </c>
      <c r="J2743" s="1399">
        <v>-2717482</v>
      </c>
    </row>
    <row r="2744" spans="5:10" s="1297" customFormat="1">
      <c r="E2744" s="1297" t="s">
        <v>932</v>
      </c>
      <c r="F2744" s="1399"/>
      <c r="G2744" s="1399"/>
      <c r="H2744" s="1399"/>
      <c r="I2744" s="1399">
        <v>1872825</v>
      </c>
      <c r="J2744" s="1399">
        <v>1872825</v>
      </c>
    </row>
    <row r="2745" spans="5:10" s="1297" customFormat="1">
      <c r="E2745" s="1297" t="s">
        <v>934</v>
      </c>
      <c r="F2745" s="1399"/>
      <c r="G2745" s="1399"/>
      <c r="H2745" s="1399"/>
      <c r="I2745" s="1399">
        <v>59728</v>
      </c>
      <c r="J2745" s="1399">
        <v>59728</v>
      </c>
    </row>
    <row r="2746" spans="5:10" s="1297" customFormat="1">
      <c r="E2746" s="1297" t="s">
        <v>935</v>
      </c>
      <c r="F2746" s="1399"/>
      <c r="G2746" s="1399"/>
      <c r="H2746" s="1399"/>
      <c r="I2746" s="1399">
        <v>424825.86</v>
      </c>
      <c r="J2746" s="1399">
        <v>424825.86</v>
      </c>
    </row>
    <row r="2747" spans="5:10" s="1297" customFormat="1">
      <c r="E2747" s="1297" t="s">
        <v>936</v>
      </c>
      <c r="F2747" s="1399"/>
      <c r="G2747" s="1399"/>
      <c r="H2747" s="1399"/>
      <c r="I2747" s="1399">
        <v>54973.63</v>
      </c>
      <c r="J2747" s="1399">
        <v>54973.63</v>
      </c>
    </row>
    <row r="2748" spans="5:10" s="1297" customFormat="1">
      <c r="E2748" s="1297" t="s">
        <v>937</v>
      </c>
      <c r="F2748" s="1399"/>
      <c r="G2748" s="1399"/>
      <c r="H2748" s="1399"/>
      <c r="I2748" s="1399">
        <v>9735.76</v>
      </c>
      <c r="J2748" s="1399">
        <v>9735.76</v>
      </c>
    </row>
    <row r="2749" spans="5:10" s="1297" customFormat="1">
      <c r="E2749" s="1297" t="s">
        <v>938</v>
      </c>
      <c r="F2749" s="1399"/>
      <c r="G2749" s="1399"/>
      <c r="H2749" s="1399"/>
      <c r="I2749" s="1399">
        <v>21336</v>
      </c>
      <c r="J2749" s="1399">
        <v>21336</v>
      </c>
    </row>
    <row r="2750" spans="5:10" s="1297" customFormat="1">
      <c r="E2750" s="1297" t="s">
        <v>939</v>
      </c>
      <c r="F2750" s="1399"/>
      <c r="G2750" s="1399"/>
      <c r="H2750" s="1399"/>
      <c r="I2750" s="1399">
        <v>834443.79</v>
      </c>
      <c r="J2750" s="1399">
        <v>834443.79</v>
      </c>
    </row>
    <row r="2751" spans="5:10" s="1297" customFormat="1">
      <c r="E2751" s="1297" t="s">
        <v>1131</v>
      </c>
      <c r="F2751" s="1399">
        <v>340741.14</v>
      </c>
      <c r="G2751" s="1399"/>
      <c r="H2751" s="1399"/>
      <c r="I2751" s="1399"/>
      <c r="J2751" s="1399">
        <v>340741.14</v>
      </c>
    </row>
    <row r="2752" spans="5:10" s="1297" customFormat="1">
      <c r="E2752" s="1297" t="s">
        <v>940</v>
      </c>
      <c r="F2752" s="1399">
        <v>740702.4</v>
      </c>
      <c r="G2752" s="1399"/>
      <c r="H2752" s="1399"/>
      <c r="I2752" s="1399"/>
      <c r="J2752" s="1399">
        <v>740702.4</v>
      </c>
    </row>
    <row r="2753" spans="2:12">
      <c r="B2753" s="1297"/>
      <c r="C2753" s="1297"/>
      <c r="D2753" s="1297"/>
      <c r="E2753" s="1297" t="s">
        <v>941</v>
      </c>
      <c r="F2753" s="1399">
        <v>257403.58</v>
      </c>
      <c r="J2753" s="1399">
        <v>257403.58</v>
      </c>
    </row>
    <row r="2754" spans="2:12">
      <c r="B2754" s="1297"/>
      <c r="C2754" s="1297"/>
      <c r="D2754" s="1297"/>
      <c r="E2754" s="1297" t="s">
        <v>943</v>
      </c>
      <c r="F2754" s="1399">
        <v>5614.38</v>
      </c>
      <c r="J2754" s="1399">
        <v>5614.38</v>
      </c>
    </row>
    <row r="2755" spans="2:12">
      <c r="B2755" s="1297"/>
      <c r="C2755" s="1297"/>
      <c r="D2755" s="1297"/>
      <c r="E2755" s="1297" t="s">
        <v>944</v>
      </c>
      <c r="F2755" s="1399">
        <v>3420952.1699999995</v>
      </c>
      <c r="J2755" s="1399">
        <v>3420952.1699999995</v>
      </c>
    </row>
    <row r="2756" spans="2:12">
      <c r="B2756" s="1297"/>
      <c r="C2756" s="1297"/>
      <c r="D2756" s="1297"/>
      <c r="E2756" s="1297" t="s">
        <v>945</v>
      </c>
      <c r="F2756" s="1399">
        <v>2364753.14</v>
      </c>
      <c r="J2756" s="1399">
        <v>2364753.14</v>
      </c>
    </row>
    <row r="2757" spans="2:12">
      <c r="B2757" s="1297"/>
      <c r="C2757" s="1297"/>
      <c r="D2757" s="1297"/>
      <c r="E2757" s="1297" t="s">
        <v>947</v>
      </c>
      <c r="F2757" s="1399">
        <v>53280.29</v>
      </c>
      <c r="J2757" s="1399">
        <v>53280.29</v>
      </c>
    </row>
    <row r="2758" spans="2:12">
      <c r="B2758" s="1297"/>
      <c r="C2758" s="1297"/>
      <c r="D2758" s="1297"/>
      <c r="E2758" s="1297" t="s">
        <v>1115</v>
      </c>
      <c r="F2758" s="1399">
        <v>78260.97</v>
      </c>
      <c r="J2758" s="1399">
        <v>78260.97</v>
      </c>
    </row>
    <row r="2759" spans="2:12">
      <c r="B2759" s="1297"/>
      <c r="C2759" s="1297"/>
      <c r="D2759" s="1297"/>
      <c r="E2759" s="1404" t="s">
        <v>948</v>
      </c>
      <c r="F2759" s="1405"/>
      <c r="G2759" s="1405"/>
      <c r="H2759" s="1405">
        <v>140806.32</v>
      </c>
      <c r="I2759" s="1405"/>
      <c r="J2759" s="1405">
        <v>140806.32</v>
      </c>
    </row>
    <row r="2760" spans="2:12">
      <c r="B2760" s="1297"/>
      <c r="C2760" s="1297"/>
      <c r="D2760" s="1400" t="s">
        <v>1174</v>
      </c>
      <c r="E2760" s="1400"/>
      <c r="F2760" s="1401">
        <f>SUM(F2725:F2759)</f>
        <v>7261708.0700000003</v>
      </c>
      <c r="G2760" s="1401">
        <f>SUM(G2725:G2759)</f>
        <v>12368986.999999998</v>
      </c>
      <c r="H2760" s="1401">
        <f>SUM(H2725:H2759)-H2759</f>
        <v>1531837.25</v>
      </c>
      <c r="I2760" s="1401">
        <f>SUM(I2725:I2759)</f>
        <v>19178274.039999999</v>
      </c>
      <c r="J2760" s="1401">
        <f>SUM(J2725:J2759)</f>
        <v>40481612.68</v>
      </c>
      <c r="K2760" s="1401">
        <f>SUM(F2760:I2760)</f>
        <v>40340806.359999999</v>
      </c>
      <c r="L2760" s="1408">
        <f>K2760/C2725</f>
        <v>11703.164015085582</v>
      </c>
    </row>
    <row r="2761" spans="2:12">
      <c r="B2761" s="1297" t="s">
        <v>1175</v>
      </c>
      <c r="C2761" s="1297">
        <v>4815</v>
      </c>
      <c r="D2761" s="1297" t="s">
        <v>1176</v>
      </c>
      <c r="E2761" s="1297" t="s">
        <v>906</v>
      </c>
      <c r="G2761" s="1399">
        <v>21480713.069999997</v>
      </c>
      <c r="J2761" s="1399">
        <v>21480713.069999997</v>
      </c>
    </row>
    <row r="2762" spans="2:12">
      <c r="B2762" s="1297"/>
      <c r="C2762" s="1297"/>
      <c r="D2762" s="1297"/>
      <c r="E2762" s="1297" t="s">
        <v>952</v>
      </c>
      <c r="G2762" s="1399">
        <v>519482.76</v>
      </c>
      <c r="J2762" s="1399">
        <v>519482.76</v>
      </c>
    </row>
    <row r="2763" spans="2:12">
      <c r="B2763" s="1297"/>
      <c r="C2763" s="1297"/>
      <c r="D2763" s="1297"/>
      <c r="E2763" s="1297" t="s">
        <v>907</v>
      </c>
      <c r="G2763" s="1399">
        <v>2343914.25</v>
      </c>
      <c r="J2763" s="1399">
        <v>2343914.25</v>
      </c>
    </row>
    <row r="2764" spans="2:12">
      <c r="B2764" s="1297"/>
      <c r="C2764" s="1297"/>
      <c r="D2764" s="1297"/>
      <c r="E2764" s="1297" t="s">
        <v>908</v>
      </c>
      <c r="G2764" s="1399">
        <v>15109.87</v>
      </c>
      <c r="J2764" s="1399">
        <v>15109.87</v>
      </c>
    </row>
    <row r="2765" spans="2:12">
      <c r="B2765" s="1297"/>
      <c r="C2765" s="1297"/>
      <c r="D2765" s="1297"/>
      <c r="E2765" s="1297" t="s">
        <v>909</v>
      </c>
      <c r="H2765" s="1399">
        <v>35048.61</v>
      </c>
      <c r="J2765" s="1399">
        <v>35048.61</v>
      </c>
    </row>
    <row r="2766" spans="2:12">
      <c r="B2766" s="1297"/>
      <c r="C2766" s="1297"/>
      <c r="D2766" s="1297"/>
      <c r="E2766" s="1297" t="s">
        <v>910</v>
      </c>
      <c r="H2766" s="1399">
        <v>56702.38</v>
      </c>
      <c r="J2766" s="1399">
        <v>56702.38</v>
      </c>
    </row>
    <row r="2767" spans="2:12">
      <c r="B2767" s="1297"/>
      <c r="C2767" s="1297"/>
      <c r="D2767" s="1297"/>
      <c r="E2767" s="1297" t="s">
        <v>1034</v>
      </c>
      <c r="H2767" s="1399">
        <v>94657.919999999998</v>
      </c>
      <c r="J2767" s="1399">
        <v>94657.919999999998</v>
      </c>
    </row>
    <row r="2768" spans="2:12">
      <c r="B2768" s="1297"/>
      <c r="C2768" s="1297"/>
      <c r="D2768" s="1297"/>
      <c r="E2768" s="1297" t="s">
        <v>1035</v>
      </c>
      <c r="H2768" s="1399">
        <v>472747.58</v>
      </c>
      <c r="J2768" s="1399">
        <v>472747.58</v>
      </c>
    </row>
    <row r="2769" spans="5:10" s="1297" customFormat="1">
      <c r="E2769" s="1297" t="s">
        <v>1036</v>
      </c>
      <c r="F2769" s="1399"/>
      <c r="G2769" s="1399"/>
      <c r="H2769" s="1399">
        <v>91401.41</v>
      </c>
      <c r="I2769" s="1399"/>
      <c r="J2769" s="1399">
        <v>91401.41</v>
      </c>
    </row>
    <row r="2770" spans="5:10" s="1297" customFormat="1">
      <c r="E2770" s="1297" t="s">
        <v>1037</v>
      </c>
      <c r="F2770" s="1399"/>
      <c r="G2770" s="1399"/>
      <c r="H2770" s="1399">
        <v>75600</v>
      </c>
      <c r="I2770" s="1399"/>
      <c r="J2770" s="1399">
        <v>75600</v>
      </c>
    </row>
    <row r="2771" spans="5:10" s="1297" customFormat="1">
      <c r="E2771" s="1297" t="s">
        <v>1039</v>
      </c>
      <c r="F2771" s="1399"/>
      <c r="G2771" s="1399"/>
      <c r="H2771" s="1399">
        <v>18043.679999999997</v>
      </c>
      <c r="I2771" s="1399"/>
      <c r="J2771" s="1399">
        <v>18043.679999999997</v>
      </c>
    </row>
    <row r="2772" spans="5:10" s="1297" customFormat="1">
      <c r="E2772" s="1297" t="s">
        <v>1040</v>
      </c>
      <c r="F2772" s="1399"/>
      <c r="G2772" s="1399"/>
      <c r="H2772" s="1399">
        <v>984073.45</v>
      </c>
      <c r="I2772" s="1399"/>
      <c r="J2772" s="1399">
        <v>984073.45</v>
      </c>
    </row>
    <row r="2773" spans="5:10" s="1297" customFormat="1">
      <c r="E2773" s="1297" t="s">
        <v>1041</v>
      </c>
      <c r="F2773" s="1399"/>
      <c r="G2773" s="1399"/>
      <c r="H2773" s="1399">
        <v>85540.24</v>
      </c>
      <c r="I2773" s="1399"/>
      <c r="J2773" s="1399">
        <v>85540.24</v>
      </c>
    </row>
    <row r="2774" spans="5:10" s="1297" customFormat="1">
      <c r="E2774" s="1297" t="s">
        <v>1042</v>
      </c>
      <c r="F2774" s="1399"/>
      <c r="G2774" s="1399"/>
      <c r="H2774" s="1399">
        <v>89101.48</v>
      </c>
      <c r="I2774" s="1399"/>
      <c r="J2774" s="1399">
        <v>89101.48</v>
      </c>
    </row>
    <row r="2775" spans="5:10" s="1297" customFormat="1">
      <c r="E2775" s="1297" t="s">
        <v>954</v>
      </c>
      <c r="F2775" s="1399"/>
      <c r="G2775" s="1399"/>
      <c r="H2775" s="1399">
        <v>385632.75</v>
      </c>
      <c r="I2775" s="1399"/>
      <c r="J2775" s="1399">
        <v>385632.75</v>
      </c>
    </row>
    <row r="2776" spans="5:10" s="1297" customFormat="1">
      <c r="E2776" s="1297" t="s">
        <v>985</v>
      </c>
      <c r="F2776" s="1399"/>
      <c r="G2776" s="1399"/>
      <c r="H2776" s="1399">
        <v>286467</v>
      </c>
      <c r="I2776" s="1399"/>
      <c r="J2776" s="1399">
        <v>286467</v>
      </c>
    </row>
    <row r="2777" spans="5:10" s="1297" customFormat="1">
      <c r="E2777" s="1297" t="s">
        <v>1043</v>
      </c>
      <c r="F2777" s="1399"/>
      <c r="G2777" s="1399"/>
      <c r="H2777" s="1399">
        <v>11895.27</v>
      </c>
      <c r="I2777" s="1399"/>
      <c r="J2777" s="1399">
        <v>11895.27</v>
      </c>
    </row>
    <row r="2778" spans="5:10" s="1297" customFormat="1">
      <c r="E2778" s="1297" t="s">
        <v>1044</v>
      </c>
      <c r="F2778" s="1399">
        <v>37426.15</v>
      </c>
      <c r="G2778" s="1399"/>
      <c r="H2778" s="1399"/>
      <c r="I2778" s="1399"/>
      <c r="J2778" s="1399">
        <v>37426.15</v>
      </c>
    </row>
    <row r="2779" spans="5:10" s="1297" customFormat="1">
      <c r="E2779" s="1297" t="s">
        <v>1045</v>
      </c>
      <c r="F2779" s="1399"/>
      <c r="G2779" s="1399"/>
      <c r="H2779" s="1399">
        <v>304731.33</v>
      </c>
      <c r="I2779" s="1399"/>
      <c r="J2779" s="1399">
        <v>304731.33</v>
      </c>
    </row>
    <row r="2780" spans="5:10" s="1297" customFormat="1">
      <c r="E2780" s="1297" t="s">
        <v>1046</v>
      </c>
      <c r="F2780" s="1399"/>
      <c r="G2780" s="1399"/>
      <c r="H2780" s="1399"/>
      <c r="I2780" s="1399">
        <v>26169943</v>
      </c>
      <c r="J2780" s="1399">
        <v>26169943</v>
      </c>
    </row>
    <row r="2781" spans="5:10" s="1297" customFormat="1">
      <c r="E2781" s="1297" t="s">
        <v>1129</v>
      </c>
      <c r="F2781" s="1399"/>
      <c r="G2781" s="1399"/>
      <c r="H2781" s="1399"/>
      <c r="I2781" s="1399">
        <v>-3021938</v>
      </c>
      <c r="J2781" s="1399">
        <v>-3021938</v>
      </c>
    </row>
    <row r="2782" spans="5:10" s="1297" customFormat="1">
      <c r="E2782" s="1297" t="s">
        <v>1047</v>
      </c>
      <c r="F2782" s="1399"/>
      <c r="G2782" s="1399"/>
      <c r="H2782" s="1399"/>
      <c r="I2782" s="1399">
        <v>629164</v>
      </c>
      <c r="J2782" s="1399">
        <v>629164</v>
      </c>
    </row>
    <row r="2783" spans="5:10" s="1297" customFormat="1">
      <c r="E2783" s="1297" t="s">
        <v>1048</v>
      </c>
      <c r="F2783" s="1399"/>
      <c r="G2783" s="1399"/>
      <c r="H2783" s="1399"/>
      <c r="I2783" s="1399">
        <v>-5586345</v>
      </c>
      <c r="J2783" s="1399">
        <v>-5586345</v>
      </c>
    </row>
    <row r="2784" spans="5:10" s="1297" customFormat="1">
      <c r="E2784" s="1404" t="s">
        <v>955</v>
      </c>
      <c r="F2784" s="1405"/>
      <c r="G2784" s="1405"/>
      <c r="H2784" s="1405"/>
      <c r="I2784" s="1405">
        <v>1000687.71</v>
      </c>
      <c r="J2784" s="1405">
        <v>1000687.71</v>
      </c>
    </row>
    <row r="2785" spans="2:12">
      <c r="B2785" s="1297"/>
      <c r="C2785" s="1297"/>
      <c r="D2785" s="1297"/>
      <c r="E2785" s="1297" t="s">
        <v>934</v>
      </c>
      <c r="I2785" s="1399">
        <v>74318</v>
      </c>
      <c r="J2785" s="1399">
        <v>74318</v>
      </c>
    </row>
    <row r="2786" spans="2:12">
      <c r="B2786" s="1297"/>
      <c r="C2786" s="1297"/>
      <c r="D2786" s="1297"/>
      <c r="E2786" s="1297" t="s">
        <v>935</v>
      </c>
      <c r="I2786" s="1399">
        <v>122983.34</v>
      </c>
      <c r="J2786" s="1399">
        <v>122983.34</v>
      </c>
    </row>
    <row r="2787" spans="2:12">
      <c r="B2787" s="1297"/>
      <c r="C2787" s="1297"/>
      <c r="D2787" s="1297"/>
      <c r="E2787" s="1297" t="s">
        <v>936</v>
      </c>
      <c r="I2787" s="1399">
        <v>84386.28</v>
      </c>
      <c r="J2787" s="1399">
        <v>84386.28</v>
      </c>
    </row>
    <row r="2788" spans="2:12">
      <c r="B2788" s="1297"/>
      <c r="C2788" s="1297"/>
      <c r="D2788" s="1297"/>
      <c r="E2788" s="1297" t="s">
        <v>937</v>
      </c>
      <c r="I2788" s="1399">
        <v>11615.2</v>
      </c>
      <c r="J2788" s="1399">
        <v>11615.2</v>
      </c>
    </row>
    <row r="2789" spans="2:12">
      <c r="B2789" s="1297"/>
      <c r="C2789" s="1297"/>
      <c r="D2789" s="1297"/>
      <c r="E2789" s="1297" t="s">
        <v>938</v>
      </c>
      <c r="I2789" s="1399">
        <v>26202</v>
      </c>
      <c r="J2789" s="1399">
        <v>26202</v>
      </c>
    </row>
    <row r="2790" spans="2:12">
      <c r="B2790" s="1297"/>
      <c r="C2790" s="1297"/>
      <c r="D2790" s="1297"/>
      <c r="E2790" s="1297" t="s">
        <v>939</v>
      </c>
      <c r="I2790" s="1399">
        <v>49424.94</v>
      </c>
      <c r="J2790" s="1399">
        <v>49424.94</v>
      </c>
    </row>
    <row r="2791" spans="2:12">
      <c r="B2791" s="1297"/>
      <c r="C2791" s="1297"/>
      <c r="D2791" s="1297"/>
      <c r="E2791" s="1297" t="s">
        <v>940</v>
      </c>
      <c r="F2791" s="1399">
        <v>749283.2</v>
      </c>
      <c r="J2791" s="1399">
        <v>749283.2</v>
      </c>
    </row>
    <row r="2792" spans="2:12">
      <c r="B2792" s="1297"/>
      <c r="C2792" s="1297"/>
      <c r="D2792" s="1297"/>
      <c r="E2792" s="1297" t="s">
        <v>941</v>
      </c>
      <c r="F2792" s="1399">
        <v>220627.92</v>
      </c>
      <c r="J2792" s="1399">
        <v>220627.92</v>
      </c>
    </row>
    <row r="2793" spans="2:12">
      <c r="B2793" s="1297"/>
      <c r="C2793" s="1297"/>
      <c r="D2793" s="1297"/>
      <c r="E2793" s="1297" t="s">
        <v>943</v>
      </c>
      <c r="F2793" s="1399">
        <v>16074.21</v>
      </c>
      <c r="J2793" s="1399">
        <v>16074.21</v>
      </c>
    </row>
    <row r="2794" spans="2:12">
      <c r="B2794" s="1297"/>
      <c r="C2794" s="1297"/>
      <c r="D2794" s="1297"/>
      <c r="E2794" s="1297" t="s">
        <v>944</v>
      </c>
      <c r="F2794" s="1399">
        <v>1720318.22</v>
      </c>
      <c r="J2794" s="1399">
        <v>1720318.22</v>
      </c>
    </row>
    <row r="2795" spans="2:12">
      <c r="B2795" s="1297"/>
      <c r="C2795" s="1297"/>
      <c r="D2795" s="1297"/>
      <c r="E2795" s="1297" t="s">
        <v>945</v>
      </c>
      <c r="F2795" s="1399">
        <v>1638996.71</v>
      </c>
      <c r="J2795" s="1399">
        <v>1638996.71</v>
      </c>
    </row>
    <row r="2796" spans="2:12">
      <c r="B2796" s="1297"/>
      <c r="C2796" s="1297"/>
      <c r="D2796" s="1297"/>
      <c r="E2796" s="1297" t="s">
        <v>947</v>
      </c>
      <c r="F2796" s="1399">
        <v>69506.37999999999</v>
      </c>
      <c r="J2796" s="1399">
        <v>69506.37999999999</v>
      </c>
    </row>
    <row r="2797" spans="2:12">
      <c r="B2797" s="1297"/>
      <c r="C2797" s="1297"/>
      <c r="D2797" s="1297"/>
      <c r="E2797" s="1297" t="s">
        <v>1115</v>
      </c>
      <c r="F2797" s="1399">
        <v>47363.55000000001</v>
      </c>
      <c r="J2797" s="1399">
        <v>47363.55000000001</v>
      </c>
    </row>
    <row r="2798" spans="2:12">
      <c r="B2798" s="1297"/>
      <c r="C2798" s="1297"/>
      <c r="D2798" s="1297"/>
      <c r="E2798" s="1404" t="s">
        <v>948</v>
      </c>
      <c r="F2798" s="1405"/>
      <c r="G2798" s="1405"/>
      <c r="H2798" s="1405">
        <v>2124066.4</v>
      </c>
      <c r="I2798" s="1405"/>
      <c r="J2798" s="1405">
        <v>2124066.4</v>
      </c>
    </row>
    <row r="2799" spans="2:12">
      <c r="B2799" s="1297"/>
      <c r="C2799" s="1297"/>
      <c r="D2799" s="1400" t="s">
        <v>1177</v>
      </c>
      <c r="E2799" s="1400"/>
      <c r="F2799" s="1401">
        <f>SUM(F2761:F2798)</f>
        <v>4499596.34</v>
      </c>
      <c r="G2799" s="1401">
        <f>SUM(G2761:G2798)</f>
        <v>24359219.949999999</v>
      </c>
      <c r="H2799" s="1401">
        <f>SUM(H2761:H2798)-H2798</f>
        <v>2991643.1</v>
      </c>
      <c r="I2799" s="1401">
        <f>SUM(I2761:I2798)-I2784</f>
        <v>18559753.760000002</v>
      </c>
      <c r="J2799" s="1401">
        <f>SUM(J2761:J2798)</f>
        <v>53534967.259999998</v>
      </c>
      <c r="K2799" s="1401">
        <f>SUM(F2799:I2799)</f>
        <v>50410213.150000006</v>
      </c>
      <c r="L2799" s="1408">
        <f>K2799/C2761</f>
        <v>10469.410830737281</v>
      </c>
    </row>
    <row r="2800" spans="2:12">
      <c r="B2800" s="1297" t="s">
        <v>1178</v>
      </c>
      <c r="C2800" s="1297">
        <v>3343</v>
      </c>
      <c r="D2800" s="1297" t="s">
        <v>1179</v>
      </c>
      <c r="E2800" s="1297" t="s">
        <v>906</v>
      </c>
      <c r="G2800" s="1399">
        <v>12323259</v>
      </c>
      <c r="J2800" s="1399">
        <v>12323259</v>
      </c>
    </row>
    <row r="2801" spans="5:10" s="1297" customFormat="1">
      <c r="E2801" s="1297" t="s">
        <v>952</v>
      </c>
      <c r="F2801" s="1399"/>
      <c r="G2801" s="1399">
        <v>191312.07</v>
      </c>
      <c r="H2801" s="1399"/>
      <c r="I2801" s="1399"/>
      <c r="J2801" s="1399">
        <v>191312.07</v>
      </c>
    </row>
    <row r="2802" spans="5:10" s="1297" customFormat="1">
      <c r="E2802" s="1297" t="s">
        <v>907</v>
      </c>
      <c r="F2802" s="1399"/>
      <c r="G2802" s="1399">
        <v>3015784.26</v>
      </c>
      <c r="H2802" s="1399"/>
      <c r="I2802" s="1399"/>
      <c r="J2802" s="1399">
        <v>3015784.26</v>
      </c>
    </row>
    <row r="2803" spans="5:10" s="1297" customFormat="1">
      <c r="E2803" s="1297" t="s">
        <v>908</v>
      </c>
      <c r="F2803" s="1399"/>
      <c r="G2803" s="1399">
        <v>5466.78</v>
      </c>
      <c r="H2803" s="1399"/>
      <c r="I2803" s="1399"/>
      <c r="J2803" s="1399">
        <v>5466.78</v>
      </c>
    </row>
    <row r="2804" spans="5:10" s="1297" customFormat="1">
      <c r="E2804" s="1297" t="s">
        <v>909</v>
      </c>
      <c r="F2804" s="1399"/>
      <c r="G2804" s="1399"/>
      <c r="H2804" s="1399">
        <v>67044.039999999994</v>
      </c>
      <c r="I2804" s="1399"/>
      <c r="J2804" s="1399">
        <v>67044.039999999994</v>
      </c>
    </row>
    <row r="2805" spans="5:10" s="1297" customFormat="1">
      <c r="E2805" s="1297" t="s">
        <v>910</v>
      </c>
      <c r="F2805" s="1399"/>
      <c r="G2805" s="1399"/>
      <c r="H2805" s="1399">
        <v>102731.04</v>
      </c>
      <c r="I2805" s="1399"/>
      <c r="J2805" s="1399">
        <v>102731.04</v>
      </c>
    </row>
    <row r="2806" spans="5:10" s="1297" customFormat="1">
      <c r="E2806" s="1297" t="s">
        <v>1034</v>
      </c>
      <c r="F2806" s="1399"/>
      <c r="G2806" s="1399"/>
      <c r="H2806" s="1399">
        <v>53909.85</v>
      </c>
      <c r="I2806" s="1399"/>
      <c r="J2806" s="1399">
        <v>53909.85</v>
      </c>
    </row>
    <row r="2807" spans="5:10" s="1297" customFormat="1">
      <c r="E2807" s="1297" t="s">
        <v>1035</v>
      </c>
      <c r="F2807" s="1399"/>
      <c r="G2807" s="1399"/>
      <c r="H2807" s="1399">
        <v>402586.42</v>
      </c>
      <c r="I2807" s="1399"/>
      <c r="J2807" s="1399">
        <v>402586.42</v>
      </c>
    </row>
    <row r="2808" spans="5:10" s="1297" customFormat="1">
      <c r="E2808" s="1297" t="s">
        <v>1036</v>
      </c>
      <c r="F2808" s="1399"/>
      <c r="G2808" s="1399"/>
      <c r="H2808" s="1399">
        <v>199960.03</v>
      </c>
      <c r="I2808" s="1399"/>
      <c r="J2808" s="1399">
        <v>199960.03</v>
      </c>
    </row>
    <row r="2809" spans="5:10" s="1297" customFormat="1">
      <c r="E2809" s="1297" t="s">
        <v>1037</v>
      </c>
      <c r="F2809" s="1399"/>
      <c r="G2809" s="1399"/>
      <c r="H2809" s="1399">
        <v>4800</v>
      </c>
      <c r="I2809" s="1399"/>
      <c r="J2809" s="1399">
        <v>4800</v>
      </c>
    </row>
    <row r="2810" spans="5:10" s="1297" customFormat="1">
      <c r="E2810" s="1297" t="s">
        <v>1039</v>
      </c>
      <c r="F2810" s="1399"/>
      <c r="G2810" s="1399"/>
      <c r="H2810" s="1399">
        <v>15644.34</v>
      </c>
      <c r="I2810" s="1399"/>
      <c r="J2810" s="1399">
        <v>15644.34</v>
      </c>
    </row>
    <row r="2811" spans="5:10" s="1297" customFormat="1">
      <c r="E2811" s="1297" t="s">
        <v>1040</v>
      </c>
      <c r="F2811" s="1399"/>
      <c r="G2811" s="1399"/>
      <c r="H2811" s="1399">
        <v>315675.3</v>
      </c>
      <c r="I2811" s="1399"/>
      <c r="J2811" s="1399">
        <v>315675.3</v>
      </c>
    </row>
    <row r="2812" spans="5:10" s="1297" customFormat="1">
      <c r="E2812" s="1297" t="s">
        <v>1041</v>
      </c>
      <c r="F2812" s="1399"/>
      <c r="G2812" s="1399"/>
      <c r="H2812" s="1399">
        <v>60033.120000000003</v>
      </c>
      <c r="I2812" s="1399"/>
      <c r="J2812" s="1399">
        <v>60033.120000000003</v>
      </c>
    </row>
    <row r="2813" spans="5:10" s="1297" customFormat="1">
      <c r="E2813" s="1297" t="s">
        <v>1042</v>
      </c>
      <c r="F2813" s="1399"/>
      <c r="G2813" s="1399"/>
      <c r="H2813" s="1399">
        <v>40772.85</v>
      </c>
      <c r="I2813" s="1399"/>
      <c r="J2813" s="1399">
        <v>40772.85</v>
      </c>
    </row>
    <row r="2814" spans="5:10" s="1297" customFormat="1">
      <c r="E2814" s="1297" t="s">
        <v>1043</v>
      </c>
      <c r="F2814" s="1399"/>
      <c r="G2814" s="1399"/>
      <c r="H2814" s="1399">
        <v>6700</v>
      </c>
      <c r="I2814" s="1399"/>
      <c r="J2814" s="1399">
        <v>6700</v>
      </c>
    </row>
    <row r="2815" spans="5:10" s="1297" customFormat="1">
      <c r="E2815" s="1297" t="s">
        <v>986</v>
      </c>
      <c r="F2815" s="1399"/>
      <c r="G2815" s="1399"/>
      <c r="H2815" s="1399">
        <v>57632.18</v>
      </c>
      <c r="I2815" s="1399"/>
      <c r="J2815" s="1399">
        <v>57632.18</v>
      </c>
    </row>
    <row r="2816" spans="5:10" s="1297" customFormat="1">
      <c r="E2816" s="1297" t="s">
        <v>1004</v>
      </c>
      <c r="F2816" s="1399"/>
      <c r="G2816" s="1399"/>
      <c r="H2816" s="1399">
        <v>-105961.78</v>
      </c>
      <c r="I2816" s="1399"/>
      <c r="J2816" s="1399">
        <v>-105961.78</v>
      </c>
    </row>
    <row r="2817" spans="5:10" s="1297" customFormat="1">
      <c r="E2817" s="1297" t="s">
        <v>1005</v>
      </c>
      <c r="F2817" s="1399"/>
      <c r="G2817" s="1399"/>
      <c r="H2817" s="1399">
        <v>9571.2000000000007</v>
      </c>
      <c r="I2817" s="1399"/>
      <c r="J2817" s="1399">
        <v>9571.2000000000007</v>
      </c>
    </row>
    <row r="2818" spans="5:10" s="1297" customFormat="1">
      <c r="E2818" s="1297" t="s">
        <v>1045</v>
      </c>
      <c r="F2818" s="1399"/>
      <c r="G2818" s="1399"/>
      <c r="H2818" s="1399">
        <v>177939.12000000002</v>
      </c>
      <c r="I2818" s="1399"/>
      <c r="J2818" s="1399">
        <v>177939.12000000002</v>
      </c>
    </row>
    <row r="2819" spans="5:10" s="1297" customFormat="1">
      <c r="E2819" s="1297" t="s">
        <v>1046</v>
      </c>
      <c r="F2819" s="1399"/>
      <c r="G2819" s="1399"/>
      <c r="H2819" s="1399"/>
      <c r="I2819" s="1399">
        <v>17838699</v>
      </c>
      <c r="J2819" s="1399">
        <v>17838699</v>
      </c>
    </row>
    <row r="2820" spans="5:10" s="1297" customFormat="1">
      <c r="E2820" s="1297" t="s">
        <v>1047</v>
      </c>
      <c r="F2820" s="1399"/>
      <c r="G2820" s="1399"/>
      <c r="H2820" s="1399"/>
      <c r="I2820" s="1399">
        <v>550922</v>
      </c>
      <c r="J2820" s="1399">
        <v>550922</v>
      </c>
    </row>
    <row r="2821" spans="5:10" s="1297" customFormat="1">
      <c r="E2821" s="1297" t="s">
        <v>1048</v>
      </c>
      <c r="F2821" s="1399"/>
      <c r="G2821" s="1399"/>
      <c r="H2821" s="1399"/>
      <c r="I2821" s="1399">
        <v>-5513663</v>
      </c>
      <c r="J2821" s="1399">
        <v>-5513663</v>
      </c>
    </row>
    <row r="2822" spans="5:10" s="1297" customFormat="1">
      <c r="E2822" s="1297" t="s">
        <v>934</v>
      </c>
      <c r="F2822" s="1399"/>
      <c r="G2822" s="1399"/>
      <c r="H2822" s="1399"/>
      <c r="I2822" s="1399">
        <v>56992</v>
      </c>
      <c r="J2822" s="1399">
        <v>56992</v>
      </c>
    </row>
    <row r="2823" spans="5:10" s="1297" customFormat="1">
      <c r="E2823" s="1297" t="s">
        <v>935</v>
      </c>
      <c r="F2823" s="1399"/>
      <c r="G2823" s="1399"/>
      <c r="H2823" s="1399"/>
      <c r="I2823" s="1399">
        <v>762591.39999999991</v>
      </c>
      <c r="J2823" s="1399">
        <v>762591.39999999991</v>
      </c>
    </row>
    <row r="2824" spans="5:10" s="1297" customFormat="1">
      <c r="E2824" s="1297" t="s">
        <v>936</v>
      </c>
      <c r="F2824" s="1399"/>
      <c r="G2824" s="1399"/>
      <c r="H2824" s="1399"/>
      <c r="I2824" s="1399">
        <v>60225.89</v>
      </c>
      <c r="J2824" s="1399">
        <v>60225.89</v>
      </c>
    </row>
    <row r="2825" spans="5:10" s="1297" customFormat="1">
      <c r="E2825" s="1297" t="s">
        <v>937</v>
      </c>
      <c r="F2825" s="1399"/>
      <c r="G2825" s="1399"/>
      <c r="H2825" s="1399"/>
      <c r="I2825" s="1399">
        <v>22358.49</v>
      </c>
      <c r="J2825" s="1399">
        <v>22358.49</v>
      </c>
    </row>
    <row r="2826" spans="5:10" s="1297" customFormat="1">
      <c r="E2826" s="1297" t="s">
        <v>938</v>
      </c>
      <c r="F2826" s="1399"/>
      <c r="G2826" s="1399"/>
      <c r="H2826" s="1399"/>
      <c r="I2826" s="1399">
        <v>23769</v>
      </c>
      <c r="J2826" s="1399">
        <v>23769</v>
      </c>
    </row>
    <row r="2827" spans="5:10" s="1297" customFormat="1">
      <c r="E2827" s="1297" t="s">
        <v>939</v>
      </c>
      <c r="F2827" s="1399"/>
      <c r="G2827" s="1399"/>
      <c r="H2827" s="1399"/>
      <c r="I2827" s="1399">
        <v>42237.58</v>
      </c>
      <c r="J2827" s="1399">
        <v>42237.58</v>
      </c>
    </row>
    <row r="2828" spans="5:10" s="1297" customFormat="1">
      <c r="E2828" s="1297" t="s">
        <v>940</v>
      </c>
      <c r="F2828" s="1399">
        <v>850365.02</v>
      </c>
      <c r="G2828" s="1399"/>
      <c r="H2828" s="1399"/>
      <c r="I2828" s="1399"/>
      <c r="J2828" s="1399">
        <v>850365.02</v>
      </c>
    </row>
    <row r="2829" spans="5:10" s="1297" customFormat="1">
      <c r="E2829" s="1297" t="s">
        <v>941</v>
      </c>
      <c r="F2829" s="1399">
        <v>371949.56</v>
      </c>
      <c r="G2829" s="1399"/>
      <c r="H2829" s="1399"/>
      <c r="I2829" s="1399"/>
      <c r="J2829" s="1399">
        <v>371949.56</v>
      </c>
    </row>
    <row r="2830" spans="5:10" s="1297" customFormat="1">
      <c r="E2830" s="1297" t="s">
        <v>944</v>
      </c>
      <c r="F2830" s="1399">
        <v>2230758.6899999995</v>
      </c>
      <c r="G2830" s="1399"/>
      <c r="H2830" s="1399"/>
      <c r="I2830" s="1399"/>
      <c r="J2830" s="1399">
        <v>2230758.6899999995</v>
      </c>
    </row>
    <row r="2831" spans="5:10" s="1297" customFormat="1">
      <c r="E2831" s="1297" t="s">
        <v>945</v>
      </c>
      <c r="F2831" s="1399">
        <v>980848.14</v>
      </c>
      <c r="G2831" s="1399"/>
      <c r="H2831" s="1399"/>
      <c r="I2831" s="1399"/>
      <c r="J2831" s="1399">
        <v>980848.14</v>
      </c>
    </row>
    <row r="2832" spans="5:10" s="1297" customFormat="1">
      <c r="E2832" s="1297" t="s">
        <v>947</v>
      </c>
      <c r="F2832" s="1399">
        <v>81996.58</v>
      </c>
      <c r="G2832" s="1399"/>
      <c r="H2832" s="1399"/>
      <c r="I2832" s="1399"/>
      <c r="J2832" s="1399">
        <v>81996.58</v>
      </c>
    </row>
    <row r="2833" spans="2:12">
      <c r="B2833" s="1297"/>
      <c r="C2833" s="1297"/>
      <c r="D2833" s="1297"/>
      <c r="E2833" s="1404" t="s">
        <v>948</v>
      </c>
      <c r="F2833" s="1405"/>
      <c r="G2833" s="1405"/>
      <c r="H2833" s="1405">
        <v>801.23</v>
      </c>
      <c r="I2833" s="1405"/>
      <c r="J2833" s="1405">
        <v>801.23</v>
      </c>
    </row>
    <row r="2834" spans="2:12">
      <c r="B2834" s="1297"/>
      <c r="C2834" s="1297"/>
      <c r="D2834" s="1297"/>
      <c r="E2834" s="1297" t="s">
        <v>1118</v>
      </c>
      <c r="H2834" s="1399">
        <v>0</v>
      </c>
      <c r="J2834" s="1399">
        <v>0</v>
      </c>
    </row>
    <row r="2835" spans="2:12">
      <c r="B2835" s="1297"/>
      <c r="C2835" s="1297"/>
      <c r="D2835" s="1400" t="s">
        <v>1180</v>
      </c>
      <c r="E2835" s="1400"/>
      <c r="F2835" s="1401">
        <f>SUM(F2800:F2834)</f>
        <v>4515917.9899999993</v>
      </c>
      <c r="G2835" s="1401">
        <f>SUM(G2800:G2834)</f>
        <v>15535822.109999999</v>
      </c>
      <c r="H2835" s="1401">
        <f>SUM(H2800:H2834)-H2833</f>
        <v>1409037.7100000002</v>
      </c>
      <c r="I2835" s="1401">
        <f>SUM(I2800:I2834)</f>
        <v>13844132.360000001</v>
      </c>
      <c r="J2835" s="1401">
        <f>SUM(J2800:J2834)</f>
        <v>35305711.399999984</v>
      </c>
      <c r="K2835" s="1401">
        <f>SUM(F2835:I2835)</f>
        <v>35304910.170000002</v>
      </c>
      <c r="L2835" s="1408">
        <f>K2835/C2800</f>
        <v>10560.846595871972</v>
      </c>
    </row>
    <row r="2836" spans="2:12">
      <c r="B2836" s="1297" t="s">
        <v>1181</v>
      </c>
      <c r="C2836" s="1297">
        <v>1963</v>
      </c>
      <c r="D2836" s="1297" t="s">
        <v>1182</v>
      </c>
      <c r="E2836" s="1297" t="s">
        <v>906</v>
      </c>
      <c r="G2836" s="1399">
        <v>6539302.6799999997</v>
      </c>
      <c r="J2836" s="1399">
        <v>6539302.6799999997</v>
      </c>
    </row>
    <row r="2837" spans="2:12">
      <c r="B2837" s="1297"/>
      <c r="C2837" s="1297"/>
      <c r="D2837" s="1297"/>
      <c r="E2837" s="1297" t="s">
        <v>952</v>
      </c>
      <c r="G2837" s="1399">
        <v>66423.25</v>
      </c>
      <c r="J2837" s="1399">
        <v>66423.25</v>
      </c>
    </row>
    <row r="2838" spans="2:12">
      <c r="B2838" s="1297"/>
      <c r="C2838" s="1297"/>
      <c r="D2838" s="1297"/>
      <c r="E2838" s="1297" t="s">
        <v>907</v>
      </c>
      <c r="G2838" s="1399">
        <v>5617705.1399999997</v>
      </c>
      <c r="J2838" s="1399">
        <v>5617705.1399999997</v>
      </c>
    </row>
    <row r="2839" spans="2:12">
      <c r="B2839" s="1297"/>
      <c r="C2839" s="1297"/>
      <c r="D2839" s="1297"/>
      <c r="E2839" s="1297" t="s">
        <v>1145</v>
      </c>
      <c r="G2839" s="1399">
        <v>0</v>
      </c>
      <c r="J2839" s="1399">
        <v>0</v>
      </c>
    </row>
    <row r="2840" spans="2:12">
      <c r="B2840" s="1297"/>
      <c r="C2840" s="1297"/>
      <c r="D2840" s="1297"/>
      <c r="E2840" s="1297" t="s">
        <v>1036</v>
      </c>
      <c r="H2840" s="1399">
        <v>76490.78</v>
      </c>
      <c r="J2840" s="1399">
        <v>76490.78</v>
      </c>
    </row>
    <row r="2841" spans="2:12">
      <c r="B2841" s="1297"/>
      <c r="C2841" s="1297"/>
      <c r="D2841" s="1297"/>
      <c r="E2841" s="1297" t="s">
        <v>1039</v>
      </c>
      <c r="H2841" s="1399">
        <v>93887.989999999991</v>
      </c>
      <c r="J2841" s="1399">
        <v>93887.989999999991</v>
      </c>
    </row>
    <row r="2842" spans="2:12">
      <c r="B2842" s="1297"/>
      <c r="C2842" s="1297"/>
      <c r="D2842" s="1297"/>
      <c r="E2842" s="1297" t="s">
        <v>1040</v>
      </c>
      <c r="H2842" s="1399">
        <v>181313.03</v>
      </c>
      <c r="J2842" s="1399">
        <v>181313.03</v>
      </c>
    </row>
    <row r="2843" spans="2:12">
      <c r="B2843" s="1297"/>
      <c r="C2843" s="1297"/>
      <c r="D2843" s="1297"/>
      <c r="E2843" s="1297" t="s">
        <v>1041</v>
      </c>
      <c r="H2843" s="1399">
        <v>32853.300000000003</v>
      </c>
      <c r="J2843" s="1399">
        <v>32853.300000000003</v>
      </c>
    </row>
    <row r="2844" spans="2:12">
      <c r="B2844" s="1297"/>
      <c r="C2844" s="1297"/>
      <c r="D2844" s="1297"/>
      <c r="E2844" s="1297" t="s">
        <v>1042</v>
      </c>
      <c r="H2844" s="1399">
        <v>36900.300000000003</v>
      </c>
      <c r="J2844" s="1399">
        <v>36900.300000000003</v>
      </c>
    </row>
    <row r="2845" spans="2:12">
      <c r="B2845" s="1297"/>
      <c r="C2845" s="1297"/>
      <c r="D2845" s="1297"/>
      <c r="E2845" s="1297" t="s">
        <v>953</v>
      </c>
      <c r="H2845" s="1399">
        <v>2489.9899999999998</v>
      </c>
      <c r="J2845" s="1399">
        <v>2489.9899999999998</v>
      </c>
    </row>
    <row r="2846" spans="2:12">
      <c r="B2846" s="1297"/>
      <c r="C2846" s="1297"/>
      <c r="D2846" s="1297"/>
      <c r="E2846" s="1297" t="s">
        <v>1045</v>
      </c>
      <c r="H2846" s="1399">
        <v>734629.69000000006</v>
      </c>
      <c r="J2846" s="1399">
        <v>734629.69000000006</v>
      </c>
    </row>
    <row r="2847" spans="2:12">
      <c r="B2847" s="1297"/>
      <c r="C2847" s="1297"/>
      <c r="D2847" s="1297"/>
      <c r="E2847" s="1297" t="s">
        <v>1046</v>
      </c>
      <c r="I2847" s="1399">
        <v>10331093</v>
      </c>
      <c r="J2847" s="1399">
        <v>10331093</v>
      </c>
    </row>
    <row r="2848" spans="2:12">
      <c r="B2848" s="1297"/>
      <c r="C2848" s="1297"/>
      <c r="D2848" s="1297"/>
      <c r="E2848" s="1297" t="s">
        <v>1047</v>
      </c>
      <c r="I2848" s="1399">
        <v>344110</v>
      </c>
      <c r="J2848" s="1399">
        <v>344110</v>
      </c>
    </row>
    <row r="2849" spans="5:10" s="1297" customFormat="1">
      <c r="E2849" s="1297" t="s">
        <v>1048</v>
      </c>
      <c r="F2849" s="1399"/>
      <c r="G2849" s="1399"/>
      <c r="H2849" s="1399"/>
      <c r="I2849" s="1399">
        <v>-1800344</v>
      </c>
      <c r="J2849" s="1399">
        <v>-1800344</v>
      </c>
    </row>
    <row r="2850" spans="5:10" s="1297" customFormat="1">
      <c r="E2850" s="1297" t="s">
        <v>932</v>
      </c>
      <c r="F2850" s="1399"/>
      <c r="G2850" s="1399"/>
      <c r="H2850" s="1399"/>
      <c r="I2850" s="1399">
        <v>438084</v>
      </c>
      <c r="J2850" s="1399">
        <v>438084</v>
      </c>
    </row>
    <row r="2851" spans="5:10" s="1297" customFormat="1">
      <c r="E2851" s="1404" t="s">
        <v>955</v>
      </c>
      <c r="F2851" s="1405"/>
      <c r="G2851" s="1405"/>
      <c r="H2851" s="1405"/>
      <c r="I2851" s="1405">
        <v>552703.9</v>
      </c>
      <c r="J2851" s="1405">
        <v>552703.9</v>
      </c>
    </row>
    <row r="2852" spans="5:10" s="1297" customFormat="1">
      <c r="E2852" s="1297" t="s">
        <v>934</v>
      </c>
      <c r="F2852" s="1399"/>
      <c r="G2852" s="1399"/>
      <c r="H2852" s="1399"/>
      <c r="I2852" s="1399">
        <v>38127</v>
      </c>
      <c r="J2852" s="1399">
        <v>38127</v>
      </c>
    </row>
    <row r="2853" spans="5:10" s="1297" customFormat="1">
      <c r="E2853" s="1297" t="s">
        <v>935</v>
      </c>
      <c r="F2853" s="1399"/>
      <c r="G2853" s="1399"/>
      <c r="H2853" s="1399"/>
      <c r="I2853" s="1399">
        <v>273465.34000000003</v>
      </c>
      <c r="J2853" s="1399">
        <v>273465.34000000003</v>
      </c>
    </row>
    <row r="2854" spans="5:10" s="1297" customFormat="1">
      <c r="E2854" s="1297" t="s">
        <v>936</v>
      </c>
      <c r="F2854" s="1399"/>
      <c r="G2854" s="1399"/>
      <c r="H2854" s="1399"/>
      <c r="I2854" s="1399">
        <v>32914.15</v>
      </c>
      <c r="J2854" s="1399">
        <v>32914.15</v>
      </c>
    </row>
    <row r="2855" spans="5:10" s="1297" customFormat="1">
      <c r="E2855" s="1297" t="s">
        <v>938</v>
      </c>
      <c r="F2855" s="1399"/>
      <c r="G2855" s="1399"/>
      <c r="H2855" s="1399"/>
      <c r="I2855" s="1399">
        <v>9545</v>
      </c>
      <c r="J2855" s="1399">
        <v>9545</v>
      </c>
    </row>
    <row r="2856" spans="5:10" s="1297" customFormat="1">
      <c r="E2856" s="1297" t="s">
        <v>940</v>
      </c>
      <c r="F2856" s="1399">
        <v>551509.56000000006</v>
      </c>
      <c r="G2856" s="1399"/>
      <c r="H2856" s="1399"/>
      <c r="I2856" s="1399"/>
      <c r="J2856" s="1399">
        <v>551509.56000000006</v>
      </c>
    </row>
    <row r="2857" spans="5:10" s="1297" customFormat="1">
      <c r="E2857" s="1297" t="s">
        <v>941</v>
      </c>
      <c r="F2857" s="1399">
        <v>174927.46</v>
      </c>
      <c r="G2857" s="1399"/>
      <c r="H2857" s="1399"/>
      <c r="I2857" s="1399"/>
      <c r="J2857" s="1399">
        <v>174927.46</v>
      </c>
    </row>
    <row r="2858" spans="5:10" s="1297" customFormat="1">
      <c r="E2858" s="1297" t="s">
        <v>942</v>
      </c>
      <c r="F2858" s="1399">
        <v>8648.5499999999993</v>
      </c>
      <c r="G2858" s="1399"/>
      <c r="H2858" s="1399"/>
      <c r="I2858" s="1399"/>
      <c r="J2858" s="1399">
        <v>8648.5499999999993</v>
      </c>
    </row>
    <row r="2859" spans="5:10" s="1297" customFormat="1">
      <c r="E2859" s="1297" t="s">
        <v>943</v>
      </c>
      <c r="F2859" s="1399">
        <v>15572.56</v>
      </c>
      <c r="G2859" s="1399"/>
      <c r="H2859" s="1399"/>
      <c r="I2859" s="1399"/>
      <c r="J2859" s="1399">
        <v>15572.56</v>
      </c>
    </row>
    <row r="2860" spans="5:10" s="1297" customFormat="1">
      <c r="E2860" s="1297" t="s">
        <v>944</v>
      </c>
      <c r="F2860" s="1399">
        <v>1220439.6399999999</v>
      </c>
      <c r="G2860" s="1399"/>
      <c r="H2860" s="1399"/>
      <c r="I2860" s="1399"/>
      <c r="J2860" s="1399">
        <v>1220439.6399999999</v>
      </c>
    </row>
    <row r="2861" spans="5:10" s="1297" customFormat="1">
      <c r="E2861" s="1297" t="s">
        <v>945</v>
      </c>
      <c r="F2861" s="1399">
        <v>780062.05</v>
      </c>
      <c r="G2861" s="1399"/>
      <c r="H2861" s="1399"/>
      <c r="I2861" s="1399"/>
      <c r="J2861" s="1399">
        <v>780062.05</v>
      </c>
    </row>
    <row r="2862" spans="5:10" s="1297" customFormat="1">
      <c r="E2862" s="1297" t="s">
        <v>946</v>
      </c>
      <c r="F2862" s="1399">
        <v>50</v>
      </c>
      <c r="G2862" s="1399"/>
      <c r="H2862" s="1399"/>
      <c r="I2862" s="1399"/>
      <c r="J2862" s="1399">
        <v>50</v>
      </c>
    </row>
    <row r="2863" spans="5:10" s="1297" customFormat="1">
      <c r="E2863" s="1297" t="s">
        <v>947</v>
      </c>
      <c r="F2863" s="1399">
        <v>95313.87</v>
      </c>
      <c r="G2863" s="1399"/>
      <c r="H2863" s="1399"/>
      <c r="I2863" s="1399"/>
      <c r="J2863" s="1399">
        <v>95313.87</v>
      </c>
    </row>
    <row r="2864" spans="5:10" s="1297" customFormat="1">
      <c r="E2864" s="1404" t="s">
        <v>1116</v>
      </c>
      <c r="F2864" s="1405"/>
      <c r="G2864" s="1405"/>
      <c r="H2864" s="1405">
        <v>11465000</v>
      </c>
      <c r="I2864" s="1405"/>
      <c r="J2864" s="1405">
        <v>11465000</v>
      </c>
    </row>
    <row r="2865" spans="2:12">
      <c r="B2865" s="1297"/>
      <c r="C2865" s="1297"/>
      <c r="D2865" s="1297"/>
      <c r="E2865" s="1297" t="s">
        <v>1117</v>
      </c>
      <c r="H2865" s="1399">
        <v>704585.35000000009</v>
      </c>
      <c r="J2865" s="1399">
        <v>704585.35000000009</v>
      </c>
    </row>
    <row r="2866" spans="2:12">
      <c r="B2866" s="1297"/>
      <c r="C2866" s="1297"/>
      <c r="D2866" s="1297"/>
      <c r="E2866" s="1404" t="s">
        <v>948</v>
      </c>
      <c r="F2866" s="1405"/>
      <c r="G2866" s="1405"/>
      <c r="H2866" s="1405">
        <v>16795175.579999998</v>
      </c>
      <c r="I2866" s="1405"/>
      <c r="J2866" s="1405">
        <v>16795175.579999998</v>
      </c>
    </row>
    <row r="2867" spans="2:12">
      <c r="B2867" s="1297"/>
      <c r="C2867" s="1297"/>
      <c r="D2867" s="1297"/>
      <c r="E2867" s="1297" t="s">
        <v>956</v>
      </c>
      <c r="H2867" s="1399">
        <v>63000</v>
      </c>
      <c r="J2867" s="1399">
        <v>63000</v>
      </c>
    </row>
    <row r="2868" spans="2:12">
      <c r="B2868" s="1297"/>
      <c r="C2868" s="1297"/>
      <c r="D2868" s="1400" t="s">
        <v>1183</v>
      </c>
      <c r="E2868" s="1400"/>
      <c r="F2868" s="1401">
        <f>SUM(F2836:F2867)</f>
        <v>2846523.6900000004</v>
      </c>
      <c r="G2868" s="1401">
        <f>SUM(G2836:G2867)</f>
        <v>12223431.07</v>
      </c>
      <c r="H2868" s="1401">
        <f>SUM(H2836:H2867)-(H2864+H2866)</f>
        <v>1926150.4299999997</v>
      </c>
      <c r="I2868" s="1401">
        <f>SUM(I2836:I2867)-I2851</f>
        <v>9666994.4900000002</v>
      </c>
      <c r="J2868" s="1401">
        <f>SUM(J2836:J2867)</f>
        <v>55475979.159999996</v>
      </c>
      <c r="K2868" s="1401">
        <f>SUM(F2868:I2868)</f>
        <v>26663099.68</v>
      </c>
      <c r="L2868" s="1408">
        <f>K2868/C2836</f>
        <v>13582.832236372898</v>
      </c>
    </row>
    <row r="2869" spans="2:12">
      <c r="B2869" s="1297" t="s">
        <v>1184</v>
      </c>
      <c r="C2869" s="1297">
        <v>40365</v>
      </c>
      <c r="D2869" s="1297" t="s">
        <v>1185</v>
      </c>
      <c r="E2869" s="1297" t="s">
        <v>906</v>
      </c>
      <c r="G2869" s="1399">
        <v>137382774.94</v>
      </c>
      <c r="J2869" s="1399">
        <v>137382774.94</v>
      </c>
    </row>
    <row r="2870" spans="2:12">
      <c r="B2870" s="1297"/>
      <c r="C2870" s="1297"/>
      <c r="D2870" s="1297"/>
      <c r="E2870" s="1297" t="s">
        <v>907</v>
      </c>
      <c r="G2870" s="1399">
        <v>28079306.390000001</v>
      </c>
      <c r="J2870" s="1399">
        <v>28079306.390000001</v>
      </c>
    </row>
    <row r="2871" spans="2:12">
      <c r="B2871" s="1297"/>
      <c r="C2871" s="1297"/>
      <c r="D2871" s="1297"/>
      <c r="E2871" s="1297" t="s">
        <v>908</v>
      </c>
      <c r="G2871" s="1399">
        <v>1887756.07</v>
      </c>
      <c r="J2871" s="1399">
        <v>1887756.07</v>
      </c>
    </row>
    <row r="2872" spans="2:12">
      <c r="B2872" s="1297"/>
      <c r="C2872" s="1297"/>
      <c r="D2872" s="1297"/>
      <c r="E2872" s="1297" t="s">
        <v>909</v>
      </c>
      <c r="H2872" s="1399">
        <v>257443.05000000002</v>
      </c>
      <c r="J2872" s="1399">
        <v>257443.05000000002</v>
      </c>
    </row>
    <row r="2873" spans="2:12">
      <c r="B2873" s="1297"/>
      <c r="C2873" s="1297"/>
      <c r="D2873" s="1297"/>
      <c r="E2873" s="1297" t="s">
        <v>910</v>
      </c>
      <c r="H2873" s="1399">
        <v>1004716.6800000002</v>
      </c>
      <c r="J2873" s="1399">
        <v>1004716.6800000002</v>
      </c>
    </row>
    <row r="2874" spans="2:12">
      <c r="B2874" s="1297"/>
      <c r="C2874" s="1297"/>
      <c r="D2874" s="1297"/>
      <c r="E2874" s="1297" t="s">
        <v>1034</v>
      </c>
      <c r="H2874" s="1399">
        <v>429934.87999999995</v>
      </c>
      <c r="J2874" s="1399">
        <v>429934.87999999995</v>
      </c>
    </row>
    <row r="2875" spans="2:12">
      <c r="B2875" s="1297"/>
      <c r="C2875" s="1297"/>
      <c r="D2875" s="1297"/>
      <c r="E2875" s="1297" t="s">
        <v>1035</v>
      </c>
      <c r="H2875" s="1399">
        <v>3419170.1000000006</v>
      </c>
      <c r="J2875" s="1399">
        <v>3419170.1000000006</v>
      </c>
    </row>
    <row r="2876" spans="2:12">
      <c r="B2876" s="1297"/>
      <c r="C2876" s="1297"/>
      <c r="D2876" s="1297"/>
      <c r="E2876" s="1297" t="s">
        <v>1036</v>
      </c>
      <c r="H2876" s="1399">
        <v>744044.08000000007</v>
      </c>
      <c r="J2876" s="1399">
        <v>744044.08000000007</v>
      </c>
    </row>
    <row r="2877" spans="2:12">
      <c r="B2877" s="1297"/>
      <c r="C2877" s="1297"/>
      <c r="D2877" s="1297"/>
      <c r="E2877" s="1297" t="s">
        <v>1037</v>
      </c>
      <c r="H2877" s="1399">
        <v>2989316.11</v>
      </c>
      <c r="J2877" s="1399">
        <v>2989316.11</v>
      </c>
    </row>
    <row r="2878" spans="2:12">
      <c r="B2878" s="1297"/>
      <c r="C2878" s="1297"/>
      <c r="D2878" s="1297"/>
      <c r="E2878" s="1297" t="s">
        <v>1105</v>
      </c>
      <c r="H2878" s="1399">
        <v>69150</v>
      </c>
      <c r="J2878" s="1399">
        <v>69150</v>
      </c>
    </row>
    <row r="2879" spans="2:12">
      <c r="B2879" s="1297"/>
      <c r="C2879" s="1297"/>
      <c r="D2879" s="1297"/>
      <c r="E2879" s="1297" t="s">
        <v>1038</v>
      </c>
      <c r="H2879" s="1399">
        <v>25780</v>
      </c>
      <c r="J2879" s="1399">
        <v>25780</v>
      </c>
    </row>
    <row r="2880" spans="2:12">
      <c r="B2880" s="1297"/>
      <c r="C2880" s="1297"/>
      <c r="D2880" s="1297"/>
      <c r="E2880" s="1297" t="s">
        <v>1039</v>
      </c>
      <c r="H2880" s="1399">
        <v>159036.9</v>
      </c>
      <c r="J2880" s="1399">
        <v>159036.9</v>
      </c>
    </row>
    <row r="2881" spans="5:10" s="1297" customFormat="1">
      <c r="E2881" s="1297" t="s">
        <v>1040</v>
      </c>
      <c r="F2881" s="1399"/>
      <c r="G2881" s="1399"/>
      <c r="H2881" s="1399">
        <v>3465649.0400000005</v>
      </c>
      <c r="I2881" s="1399"/>
      <c r="J2881" s="1399">
        <v>3465649.0400000005</v>
      </c>
    </row>
    <row r="2882" spans="5:10" s="1297" customFormat="1">
      <c r="E2882" s="1297" t="s">
        <v>1127</v>
      </c>
      <c r="F2882" s="1399"/>
      <c r="G2882" s="1399"/>
      <c r="H2882" s="1399">
        <v>399450.94000000006</v>
      </c>
      <c r="I2882" s="1399"/>
      <c r="J2882" s="1399">
        <v>399450.94000000006</v>
      </c>
    </row>
    <row r="2883" spans="5:10" s="1297" customFormat="1">
      <c r="E2883" s="1297" t="s">
        <v>1041</v>
      </c>
      <c r="F2883" s="1399"/>
      <c r="G2883" s="1399"/>
      <c r="H2883" s="1399">
        <v>321371.15999999997</v>
      </c>
      <c r="I2883" s="1399"/>
      <c r="J2883" s="1399">
        <v>321371.15999999997</v>
      </c>
    </row>
    <row r="2884" spans="5:10" s="1297" customFormat="1">
      <c r="E2884" s="1297" t="s">
        <v>1042</v>
      </c>
      <c r="F2884" s="1399"/>
      <c r="G2884" s="1399"/>
      <c r="H2884" s="1399">
        <v>294880.73000000004</v>
      </c>
      <c r="I2884" s="1399"/>
      <c r="J2884" s="1399">
        <v>294880.73000000004</v>
      </c>
    </row>
    <row r="2885" spans="5:10" s="1297" customFormat="1">
      <c r="E2885" s="1297" t="s">
        <v>1044</v>
      </c>
      <c r="F2885" s="1399">
        <v>486696</v>
      </c>
      <c r="G2885" s="1399"/>
      <c r="H2885" s="1399"/>
      <c r="I2885" s="1399"/>
      <c r="J2885" s="1399">
        <v>486696</v>
      </c>
    </row>
    <row r="2886" spans="5:10" s="1297" customFormat="1">
      <c r="E2886" s="1297" t="s">
        <v>1045</v>
      </c>
      <c r="F2886" s="1399"/>
      <c r="G2886" s="1399"/>
      <c r="H2886" s="1399">
        <v>6907019.9499999993</v>
      </c>
      <c r="I2886" s="1399"/>
      <c r="J2886" s="1399">
        <v>6907019.9499999993</v>
      </c>
    </row>
    <row r="2887" spans="5:10" s="1297" customFormat="1">
      <c r="E2887" s="1297" t="s">
        <v>1046</v>
      </c>
      <c r="F2887" s="1399"/>
      <c r="G2887" s="1399"/>
      <c r="H2887" s="1399"/>
      <c r="I2887" s="1399">
        <v>209770791</v>
      </c>
      <c r="J2887" s="1399">
        <v>209770791</v>
      </c>
    </row>
    <row r="2888" spans="5:10" s="1297" customFormat="1">
      <c r="E2888" s="1297" t="s">
        <v>1128</v>
      </c>
      <c r="F2888" s="1399"/>
      <c r="G2888" s="1399"/>
      <c r="H2888" s="1399"/>
      <c r="I2888" s="1399">
        <v>17690924</v>
      </c>
      <c r="J2888" s="1399">
        <v>17690924</v>
      </c>
    </row>
    <row r="2889" spans="5:10" s="1297" customFormat="1">
      <c r="E2889" s="1297" t="s">
        <v>1129</v>
      </c>
      <c r="F2889" s="1399"/>
      <c r="G2889" s="1399"/>
      <c r="H2889" s="1399"/>
      <c r="I2889" s="1399">
        <v>-27568410</v>
      </c>
      <c r="J2889" s="1399">
        <v>-27568410</v>
      </c>
    </row>
    <row r="2890" spans="5:10" s="1297" customFormat="1">
      <c r="E2890" s="1297" t="s">
        <v>1047</v>
      </c>
      <c r="F2890" s="1399"/>
      <c r="G2890" s="1399"/>
      <c r="H2890" s="1399"/>
      <c r="I2890" s="1399">
        <v>2096441</v>
      </c>
      <c r="J2890" s="1399">
        <v>2096441</v>
      </c>
    </row>
    <row r="2891" spans="5:10" s="1297" customFormat="1">
      <c r="E2891" s="1297" t="s">
        <v>1048</v>
      </c>
      <c r="F2891" s="1399"/>
      <c r="G2891" s="1399"/>
      <c r="H2891" s="1399"/>
      <c r="I2891" s="1399">
        <v>-34993975</v>
      </c>
      <c r="J2891" s="1399">
        <v>-34993975</v>
      </c>
    </row>
    <row r="2892" spans="5:10" s="1297" customFormat="1">
      <c r="E2892" s="1297" t="s">
        <v>932</v>
      </c>
      <c r="F2892" s="1399"/>
      <c r="G2892" s="1399"/>
      <c r="H2892" s="1399"/>
      <c r="I2892" s="1399">
        <v>12092484</v>
      </c>
      <c r="J2892" s="1399">
        <v>12092484</v>
      </c>
    </row>
    <row r="2893" spans="5:10" s="1297" customFormat="1">
      <c r="E2893" s="1297" t="s">
        <v>934</v>
      </c>
      <c r="F2893" s="1399"/>
      <c r="G2893" s="1399"/>
      <c r="H2893" s="1399"/>
      <c r="I2893" s="1399">
        <v>1027228.62</v>
      </c>
      <c r="J2893" s="1399">
        <v>1027228.62</v>
      </c>
    </row>
    <row r="2894" spans="5:10" s="1297" customFormat="1">
      <c r="E2894" s="1297" t="s">
        <v>935</v>
      </c>
      <c r="F2894" s="1399"/>
      <c r="G2894" s="1399"/>
      <c r="H2894" s="1399"/>
      <c r="I2894" s="1399">
        <v>1798875.23</v>
      </c>
      <c r="J2894" s="1399">
        <v>1798875.23</v>
      </c>
    </row>
    <row r="2895" spans="5:10" s="1297" customFormat="1">
      <c r="E2895" s="1297" t="s">
        <v>936</v>
      </c>
      <c r="F2895" s="1399"/>
      <c r="G2895" s="1399"/>
      <c r="H2895" s="1399"/>
      <c r="I2895" s="1399">
        <v>448192.69</v>
      </c>
      <c r="J2895" s="1399">
        <v>448192.69</v>
      </c>
    </row>
    <row r="2896" spans="5:10" s="1297" customFormat="1">
      <c r="E2896" s="1297" t="s">
        <v>937</v>
      </c>
      <c r="F2896" s="1399"/>
      <c r="G2896" s="1399"/>
      <c r="H2896" s="1399"/>
      <c r="I2896" s="1399">
        <v>236643.48</v>
      </c>
      <c r="J2896" s="1399">
        <v>236643.48</v>
      </c>
    </row>
    <row r="2897" spans="2:12">
      <c r="B2897" s="1297"/>
      <c r="C2897" s="1297"/>
      <c r="D2897" s="1297"/>
      <c r="E2897" s="1297" t="s">
        <v>938</v>
      </c>
      <c r="I2897" s="1399">
        <v>172935</v>
      </c>
      <c r="J2897" s="1399">
        <v>172935</v>
      </c>
    </row>
    <row r="2898" spans="2:12">
      <c r="B2898" s="1297"/>
      <c r="C2898" s="1297"/>
      <c r="D2898" s="1297"/>
      <c r="E2898" s="1297" t="s">
        <v>1131</v>
      </c>
      <c r="F2898" s="1399">
        <v>585212.14</v>
      </c>
      <c r="J2898" s="1399">
        <v>585212.14</v>
      </c>
    </row>
    <row r="2899" spans="2:12">
      <c r="B2899" s="1297"/>
      <c r="C2899" s="1297"/>
      <c r="D2899" s="1297"/>
      <c r="E2899" s="1297" t="s">
        <v>940</v>
      </c>
      <c r="F2899" s="1399">
        <v>7771200.8200000003</v>
      </c>
      <c r="J2899" s="1399">
        <v>7771200.8200000003</v>
      </c>
    </row>
    <row r="2900" spans="2:12">
      <c r="B2900" s="1297"/>
      <c r="C2900" s="1297"/>
      <c r="D2900" s="1297"/>
      <c r="E2900" s="1297" t="s">
        <v>941</v>
      </c>
      <c r="F2900" s="1399">
        <v>2303645.08</v>
      </c>
      <c r="J2900" s="1399">
        <v>2303645.08</v>
      </c>
    </row>
    <row r="2901" spans="2:12">
      <c r="B2901" s="1297"/>
      <c r="C2901" s="1297"/>
      <c r="D2901" s="1297"/>
      <c r="E2901" s="1297" t="s">
        <v>944</v>
      </c>
      <c r="F2901" s="1399">
        <v>13082750.499999998</v>
      </c>
      <c r="J2901" s="1399">
        <v>13082750.499999998</v>
      </c>
    </row>
    <row r="2902" spans="2:12">
      <c r="B2902" s="1297"/>
      <c r="C2902" s="1297"/>
      <c r="D2902" s="1297"/>
      <c r="E2902" s="1297" t="s">
        <v>945</v>
      </c>
      <c r="F2902" s="1399">
        <v>17319045.609999999</v>
      </c>
      <c r="J2902" s="1399">
        <v>17319045.609999999</v>
      </c>
    </row>
    <row r="2903" spans="2:12">
      <c r="B2903" s="1297"/>
      <c r="C2903" s="1297"/>
      <c r="D2903" s="1297"/>
      <c r="E2903" s="1297" t="s">
        <v>946</v>
      </c>
      <c r="F2903" s="1399">
        <v>958060.36</v>
      </c>
      <c r="J2903" s="1399">
        <v>958060.36</v>
      </c>
    </row>
    <row r="2904" spans="2:12">
      <c r="B2904" s="1297"/>
      <c r="C2904" s="1297"/>
      <c r="D2904" s="1297"/>
      <c r="E2904" s="1297" t="s">
        <v>947</v>
      </c>
      <c r="F2904" s="1399">
        <v>931989.45</v>
      </c>
      <c r="J2904" s="1399">
        <v>931989.45</v>
      </c>
    </row>
    <row r="2905" spans="2:12">
      <c r="B2905" s="1297"/>
      <c r="C2905" s="1297"/>
      <c r="D2905" s="1297"/>
      <c r="E2905" s="1297" t="s">
        <v>1115</v>
      </c>
      <c r="F2905" s="1399">
        <v>745413.2</v>
      </c>
      <c r="J2905" s="1399">
        <v>745413.2</v>
      </c>
    </row>
    <row r="2906" spans="2:12">
      <c r="B2906" s="1297"/>
      <c r="C2906" s="1297"/>
      <c r="D2906" s="1297"/>
      <c r="E2906" s="1404" t="s">
        <v>948</v>
      </c>
      <c r="F2906" s="1405"/>
      <c r="G2906" s="1405"/>
      <c r="H2906" s="1405">
        <v>14639195.199999997</v>
      </c>
      <c r="I2906" s="1405"/>
      <c r="J2906" s="1405">
        <v>14639195.199999997</v>
      </c>
    </row>
    <row r="2907" spans="2:12">
      <c r="B2907" s="1297"/>
      <c r="C2907" s="1297"/>
      <c r="D2907" s="1400" t="s">
        <v>1186</v>
      </c>
      <c r="E2907" s="1400"/>
      <c r="F2907" s="1401">
        <f>SUM(F2869:F2906)</f>
        <v>44184013.160000004</v>
      </c>
      <c r="G2907" s="1401">
        <f>SUM(G2869:G2906)</f>
        <v>167349837.39999998</v>
      </c>
      <c r="H2907" s="1401">
        <f>SUM(H2869:H2906)-H2906</f>
        <v>20486963.620000005</v>
      </c>
      <c r="I2907" s="1401">
        <f>SUM(I2869:I2906)</f>
        <v>182772130.01999998</v>
      </c>
      <c r="J2907" s="1401">
        <f>SUM(J2869:J2906)</f>
        <v>429432139.39999998</v>
      </c>
      <c r="K2907" s="1401">
        <f>SUM(F2907:I2907)</f>
        <v>414792944.19999993</v>
      </c>
      <c r="L2907" s="1408">
        <f>K2907/C2869</f>
        <v>10276.054606713735</v>
      </c>
    </row>
    <row r="2908" spans="2:12">
      <c r="B2908" s="1297" t="s">
        <v>1187</v>
      </c>
      <c r="C2908" s="1297">
        <v>25981</v>
      </c>
      <c r="D2908" s="1297" t="s">
        <v>1188</v>
      </c>
      <c r="E2908" s="1297" t="s">
        <v>906</v>
      </c>
      <c r="G2908" s="1399">
        <v>48993245.75</v>
      </c>
      <c r="J2908" s="1399">
        <v>48993245.75</v>
      </c>
    </row>
    <row r="2909" spans="2:12">
      <c r="B2909" s="1297"/>
      <c r="C2909" s="1297"/>
      <c r="D2909" s="1297"/>
      <c r="E2909" s="1297" t="s">
        <v>1126</v>
      </c>
      <c r="G2909" s="1399">
        <v>21202664.010000002</v>
      </c>
      <c r="J2909" s="1399">
        <v>21202664.010000002</v>
      </c>
    </row>
    <row r="2910" spans="2:12">
      <c r="B2910" s="1297"/>
      <c r="C2910" s="1297"/>
      <c r="D2910" s="1297"/>
      <c r="E2910" s="1297" t="s">
        <v>952</v>
      </c>
      <c r="G2910" s="1399">
        <v>872056.21</v>
      </c>
      <c r="J2910" s="1399">
        <v>872056.21</v>
      </c>
    </row>
    <row r="2911" spans="2:12">
      <c r="B2911" s="1297"/>
      <c r="C2911" s="1297"/>
      <c r="D2911" s="1297"/>
      <c r="E2911" s="1297" t="s">
        <v>907</v>
      </c>
      <c r="G2911" s="1399">
        <v>20301080.850000001</v>
      </c>
      <c r="J2911" s="1399">
        <v>20301080.850000001</v>
      </c>
    </row>
    <row r="2912" spans="2:12">
      <c r="B2912" s="1297"/>
      <c r="C2912" s="1297"/>
      <c r="D2912" s="1297"/>
      <c r="E2912" s="1297" t="s">
        <v>908</v>
      </c>
      <c r="G2912" s="1399">
        <v>20738.79</v>
      </c>
      <c r="J2912" s="1399">
        <v>20738.79</v>
      </c>
    </row>
    <row r="2913" spans="5:10" s="1297" customFormat="1">
      <c r="E2913" s="1297" t="s">
        <v>909</v>
      </c>
      <c r="F2913" s="1399"/>
      <c r="G2913" s="1399"/>
      <c r="H2913" s="1399">
        <v>344609.47</v>
      </c>
      <c r="I2913" s="1399"/>
      <c r="J2913" s="1399">
        <v>344609.47</v>
      </c>
    </row>
    <row r="2914" spans="5:10" s="1297" customFormat="1">
      <c r="E2914" s="1297" t="s">
        <v>910</v>
      </c>
      <c r="F2914" s="1399"/>
      <c r="G2914" s="1399"/>
      <c r="H2914" s="1399">
        <v>23085</v>
      </c>
      <c r="I2914" s="1399"/>
      <c r="J2914" s="1399">
        <v>23085</v>
      </c>
    </row>
    <row r="2915" spans="5:10" s="1297" customFormat="1">
      <c r="E2915" s="1297" t="s">
        <v>1034</v>
      </c>
      <c r="F2915" s="1399"/>
      <c r="G2915" s="1399"/>
      <c r="H2915" s="1399">
        <v>649558.88</v>
      </c>
      <c r="I2915" s="1399"/>
      <c r="J2915" s="1399">
        <v>649558.88</v>
      </c>
    </row>
    <row r="2916" spans="5:10" s="1297" customFormat="1">
      <c r="E2916" s="1297" t="s">
        <v>1035</v>
      </c>
      <c r="F2916" s="1399"/>
      <c r="G2916" s="1399"/>
      <c r="H2916" s="1399">
        <v>2186188.9500000002</v>
      </c>
      <c r="I2916" s="1399"/>
      <c r="J2916" s="1399">
        <v>2186188.9500000002</v>
      </c>
    </row>
    <row r="2917" spans="5:10" s="1297" customFormat="1">
      <c r="E2917" s="1297" t="s">
        <v>1036</v>
      </c>
      <c r="F2917" s="1399"/>
      <c r="G2917" s="1399"/>
      <c r="H2917" s="1399">
        <v>752533.58</v>
      </c>
      <c r="I2917" s="1399"/>
      <c r="J2917" s="1399">
        <v>752533.58</v>
      </c>
    </row>
    <row r="2918" spans="5:10" s="1297" customFormat="1">
      <c r="E2918" s="1297" t="s">
        <v>1037</v>
      </c>
      <c r="F2918" s="1399"/>
      <c r="G2918" s="1399"/>
      <c r="H2918" s="1399">
        <v>174421.86</v>
      </c>
      <c r="I2918" s="1399"/>
      <c r="J2918" s="1399">
        <v>174421.86</v>
      </c>
    </row>
    <row r="2919" spans="5:10" s="1297" customFormat="1">
      <c r="E2919" s="1297" t="s">
        <v>1038</v>
      </c>
      <c r="F2919" s="1399"/>
      <c r="G2919" s="1399"/>
      <c r="H2919" s="1399">
        <v>104953.54000000001</v>
      </c>
      <c r="I2919" s="1399"/>
      <c r="J2919" s="1399">
        <v>104953.54000000001</v>
      </c>
    </row>
    <row r="2920" spans="5:10" s="1297" customFormat="1">
      <c r="E2920" s="1297" t="s">
        <v>1003</v>
      </c>
      <c r="F2920" s="1399"/>
      <c r="G2920" s="1399"/>
      <c r="H2920" s="1399">
        <v>105076.93</v>
      </c>
      <c r="I2920" s="1399"/>
      <c r="J2920" s="1399">
        <v>105076.93</v>
      </c>
    </row>
    <row r="2921" spans="5:10" s="1297" customFormat="1">
      <c r="E2921" s="1297" t="s">
        <v>1039</v>
      </c>
      <c r="F2921" s="1399"/>
      <c r="G2921" s="1399"/>
      <c r="H2921" s="1399">
        <v>177776.79</v>
      </c>
      <c r="I2921" s="1399"/>
      <c r="J2921" s="1399">
        <v>177776.79</v>
      </c>
    </row>
    <row r="2922" spans="5:10" s="1297" customFormat="1">
      <c r="E2922" s="1297" t="s">
        <v>1040</v>
      </c>
      <c r="F2922" s="1399"/>
      <c r="G2922" s="1399"/>
      <c r="H2922" s="1399">
        <v>3997981.0500000003</v>
      </c>
      <c r="I2922" s="1399"/>
      <c r="J2922" s="1399">
        <v>3997981.0500000003</v>
      </c>
    </row>
    <row r="2923" spans="5:10" s="1297" customFormat="1">
      <c r="E2923" s="1297" t="s">
        <v>1127</v>
      </c>
      <c r="F2923" s="1399"/>
      <c r="G2923" s="1399"/>
      <c r="H2923" s="1399">
        <v>14135.169999999998</v>
      </c>
      <c r="I2923" s="1399"/>
      <c r="J2923" s="1399">
        <v>14135.169999999998</v>
      </c>
    </row>
    <row r="2924" spans="5:10" s="1297" customFormat="1">
      <c r="E2924" s="1297" t="s">
        <v>1041</v>
      </c>
      <c r="F2924" s="1399"/>
      <c r="G2924" s="1399"/>
      <c r="H2924" s="1399">
        <v>348625.8000000001</v>
      </c>
      <c r="I2924" s="1399"/>
      <c r="J2924" s="1399">
        <v>348625.8000000001</v>
      </c>
    </row>
    <row r="2925" spans="5:10" s="1297" customFormat="1">
      <c r="E2925" s="1297" t="s">
        <v>1042</v>
      </c>
      <c r="F2925" s="1399"/>
      <c r="G2925" s="1399"/>
      <c r="H2925" s="1399">
        <v>347618.63</v>
      </c>
      <c r="I2925" s="1399"/>
      <c r="J2925" s="1399">
        <v>347618.63</v>
      </c>
    </row>
    <row r="2926" spans="5:10" s="1297" customFormat="1">
      <c r="E2926" s="1297" t="s">
        <v>985</v>
      </c>
      <c r="F2926" s="1399"/>
      <c r="G2926" s="1399"/>
      <c r="H2926" s="1399">
        <v>1025020.42</v>
      </c>
      <c r="I2926" s="1399"/>
      <c r="J2926" s="1399">
        <v>1025020.42</v>
      </c>
    </row>
    <row r="2927" spans="5:10" s="1297" customFormat="1">
      <c r="E2927" s="1297" t="s">
        <v>1043</v>
      </c>
      <c r="F2927" s="1399"/>
      <c r="G2927" s="1399"/>
      <c r="H2927" s="1399">
        <v>8502.6200000000008</v>
      </c>
      <c r="I2927" s="1399"/>
      <c r="J2927" s="1399">
        <v>8502.6200000000008</v>
      </c>
    </row>
    <row r="2928" spans="5:10" s="1297" customFormat="1">
      <c r="E2928" s="1297" t="s">
        <v>986</v>
      </c>
      <c r="F2928" s="1399"/>
      <c r="G2928" s="1399"/>
      <c r="H2928" s="1399">
        <v>34852.68</v>
      </c>
      <c r="I2928" s="1399"/>
      <c r="J2928" s="1399">
        <v>34852.68</v>
      </c>
    </row>
    <row r="2929" spans="5:10" s="1297" customFormat="1">
      <c r="E2929" s="1297" t="s">
        <v>1005</v>
      </c>
      <c r="F2929" s="1399"/>
      <c r="G2929" s="1399"/>
      <c r="H2929" s="1399">
        <v>185431.69999999998</v>
      </c>
      <c r="I2929" s="1399"/>
      <c r="J2929" s="1399">
        <v>185431.69999999998</v>
      </c>
    </row>
    <row r="2930" spans="5:10" s="1297" customFormat="1">
      <c r="E2930" s="1297" t="s">
        <v>991</v>
      </c>
      <c r="F2930" s="1399"/>
      <c r="G2930" s="1399"/>
      <c r="H2930" s="1399">
        <v>40305.65</v>
      </c>
      <c r="I2930" s="1399"/>
      <c r="J2930" s="1399">
        <v>40305.65</v>
      </c>
    </row>
    <row r="2931" spans="5:10" s="1297" customFormat="1">
      <c r="E2931" s="1297" t="s">
        <v>1044</v>
      </c>
      <c r="F2931" s="1399">
        <v>230093.7</v>
      </c>
      <c r="G2931" s="1399"/>
      <c r="H2931" s="1399"/>
      <c r="I2931" s="1399"/>
      <c r="J2931" s="1399">
        <v>230093.7</v>
      </c>
    </row>
    <row r="2932" spans="5:10" s="1297" customFormat="1">
      <c r="E2932" s="1297" t="s">
        <v>1045</v>
      </c>
      <c r="F2932" s="1399"/>
      <c r="G2932" s="1399"/>
      <c r="H2932" s="1399">
        <v>4164285.4600000023</v>
      </c>
      <c r="I2932" s="1399"/>
      <c r="J2932" s="1399">
        <v>4164285.4600000023</v>
      </c>
    </row>
    <row r="2933" spans="5:10" s="1297" customFormat="1">
      <c r="E2933" s="1297" t="s">
        <v>1046</v>
      </c>
      <c r="F2933" s="1399"/>
      <c r="G2933" s="1399"/>
      <c r="H2933" s="1399"/>
      <c r="I2933" s="1399">
        <v>146610344</v>
      </c>
      <c r="J2933" s="1399">
        <v>146610344</v>
      </c>
    </row>
    <row r="2934" spans="5:10" s="1297" customFormat="1">
      <c r="E2934" s="1297" t="s">
        <v>1129</v>
      </c>
      <c r="F2934" s="1399"/>
      <c r="G2934" s="1399"/>
      <c r="H2934" s="1399"/>
      <c r="I2934" s="1399">
        <v>-19023492</v>
      </c>
      <c r="J2934" s="1399">
        <v>-19023492</v>
      </c>
    </row>
    <row r="2935" spans="5:10" s="1297" customFormat="1">
      <c r="E2935" s="1297" t="s">
        <v>1047</v>
      </c>
      <c r="F2935" s="1399"/>
      <c r="G2935" s="1399"/>
      <c r="H2935" s="1399"/>
      <c r="I2935" s="1399">
        <v>1943594</v>
      </c>
      <c r="J2935" s="1399">
        <v>1943594</v>
      </c>
    </row>
    <row r="2936" spans="5:10" s="1297" customFormat="1">
      <c r="E2936" s="1297" t="s">
        <v>1048</v>
      </c>
      <c r="F2936" s="1399"/>
      <c r="G2936" s="1399"/>
      <c r="H2936" s="1399"/>
      <c r="I2936" s="1399">
        <v>-16483844</v>
      </c>
      <c r="J2936" s="1399">
        <v>-16483844</v>
      </c>
    </row>
    <row r="2937" spans="5:10" s="1297" customFormat="1">
      <c r="E2937" s="1297" t="s">
        <v>932</v>
      </c>
      <c r="F2937" s="1399"/>
      <c r="G2937" s="1399"/>
      <c r="H2937" s="1399"/>
      <c r="I2937" s="1399">
        <v>21475487</v>
      </c>
      <c r="J2937" s="1399">
        <v>21475487</v>
      </c>
    </row>
    <row r="2938" spans="5:10" s="1297" customFormat="1">
      <c r="E2938" s="1404" t="s">
        <v>955</v>
      </c>
      <c r="F2938" s="1405"/>
      <c r="G2938" s="1405"/>
      <c r="H2938" s="1405"/>
      <c r="I2938" s="1405">
        <v>4015246.33</v>
      </c>
      <c r="J2938" s="1405">
        <v>4015246.33</v>
      </c>
    </row>
    <row r="2939" spans="5:10" s="1297" customFormat="1">
      <c r="E2939" s="1297" t="s">
        <v>934</v>
      </c>
      <c r="F2939" s="1399"/>
      <c r="G2939" s="1399"/>
      <c r="H2939" s="1399"/>
      <c r="I2939" s="1399">
        <v>414616</v>
      </c>
      <c r="J2939" s="1399">
        <v>414616</v>
      </c>
    </row>
    <row r="2940" spans="5:10" s="1297" customFormat="1">
      <c r="E2940" s="1297" t="s">
        <v>1130</v>
      </c>
      <c r="F2940" s="1399"/>
      <c r="G2940" s="1399"/>
      <c r="H2940" s="1399"/>
      <c r="I2940" s="1399">
        <v>953882.31</v>
      </c>
      <c r="J2940" s="1399">
        <v>953882.31</v>
      </c>
    </row>
    <row r="2941" spans="5:10" s="1297" customFormat="1">
      <c r="E2941" s="1297" t="s">
        <v>935</v>
      </c>
      <c r="F2941" s="1399"/>
      <c r="G2941" s="1399"/>
      <c r="H2941" s="1399"/>
      <c r="I2941" s="1399">
        <v>2006673.24</v>
      </c>
      <c r="J2941" s="1399">
        <v>2006673.24</v>
      </c>
    </row>
    <row r="2942" spans="5:10" s="1297" customFormat="1">
      <c r="E2942" s="1297" t="s">
        <v>936</v>
      </c>
      <c r="F2942" s="1399"/>
      <c r="G2942" s="1399"/>
      <c r="H2942" s="1399"/>
      <c r="I2942" s="1399">
        <v>337895.27</v>
      </c>
      <c r="J2942" s="1399">
        <v>337895.27</v>
      </c>
    </row>
    <row r="2943" spans="5:10" s="1297" customFormat="1">
      <c r="E2943" s="1297" t="s">
        <v>937</v>
      </c>
      <c r="F2943" s="1399"/>
      <c r="G2943" s="1399"/>
      <c r="H2943" s="1399"/>
      <c r="I2943" s="1399">
        <v>80250.59</v>
      </c>
      <c r="J2943" s="1399">
        <v>80250.59</v>
      </c>
    </row>
    <row r="2944" spans="5:10" s="1297" customFormat="1">
      <c r="E2944" s="1297" t="s">
        <v>938</v>
      </c>
      <c r="F2944" s="1399"/>
      <c r="G2944" s="1399"/>
      <c r="H2944" s="1399"/>
      <c r="I2944" s="1399">
        <v>139246</v>
      </c>
      <c r="J2944" s="1399">
        <v>139246</v>
      </c>
    </row>
    <row r="2945" spans="2:12">
      <c r="B2945" s="1297"/>
      <c r="C2945" s="1297"/>
      <c r="D2945" s="1297"/>
      <c r="E2945" s="1297" t="s">
        <v>939</v>
      </c>
      <c r="I2945" s="1399">
        <v>42250</v>
      </c>
      <c r="J2945" s="1399">
        <v>42250</v>
      </c>
    </row>
    <row r="2946" spans="2:12">
      <c r="B2946" s="1297"/>
      <c r="C2946" s="1297"/>
      <c r="D2946" s="1297"/>
      <c r="E2946" s="1297" t="s">
        <v>1131</v>
      </c>
      <c r="F2946" s="1399">
        <v>808826</v>
      </c>
      <c r="J2946" s="1399">
        <v>808826</v>
      </c>
    </row>
    <row r="2947" spans="2:12">
      <c r="B2947" s="1297"/>
      <c r="C2947" s="1297"/>
      <c r="D2947" s="1297"/>
      <c r="E2947" s="1297" t="s">
        <v>940</v>
      </c>
      <c r="F2947" s="1399">
        <v>6714274.5000000019</v>
      </c>
      <c r="J2947" s="1399">
        <v>6714274.5000000019</v>
      </c>
    </row>
    <row r="2948" spans="2:12">
      <c r="B2948" s="1297"/>
      <c r="C2948" s="1297"/>
      <c r="D2948" s="1297"/>
      <c r="E2948" s="1297" t="s">
        <v>941</v>
      </c>
      <c r="F2948" s="1399">
        <v>2390341.6999999997</v>
      </c>
      <c r="J2948" s="1399">
        <v>2390341.6999999997</v>
      </c>
    </row>
    <row r="2949" spans="2:12">
      <c r="B2949" s="1297"/>
      <c r="C2949" s="1297"/>
      <c r="D2949" s="1297"/>
      <c r="E2949" s="1297" t="s">
        <v>943</v>
      </c>
      <c r="F2949" s="1399">
        <v>43457.98</v>
      </c>
      <c r="J2949" s="1399">
        <v>43457.98</v>
      </c>
    </row>
    <row r="2950" spans="2:12">
      <c r="B2950" s="1297"/>
      <c r="C2950" s="1297"/>
      <c r="D2950" s="1297"/>
      <c r="E2950" s="1297" t="s">
        <v>944</v>
      </c>
      <c r="F2950" s="1399">
        <v>11963478.009999998</v>
      </c>
      <c r="J2950" s="1399">
        <v>11963478.009999998</v>
      </c>
    </row>
    <row r="2951" spans="2:12">
      <c r="B2951" s="1297"/>
      <c r="C2951" s="1297"/>
      <c r="D2951" s="1297"/>
      <c r="E2951" s="1297" t="s">
        <v>945</v>
      </c>
      <c r="F2951" s="1399">
        <v>10004270.289999999</v>
      </c>
      <c r="J2951" s="1399">
        <v>10004270.289999999</v>
      </c>
    </row>
    <row r="2952" spans="2:12">
      <c r="B2952" s="1297"/>
      <c r="C2952" s="1297"/>
      <c r="D2952" s="1297"/>
      <c r="E2952" s="1297" t="s">
        <v>946</v>
      </c>
      <c r="F2952" s="1399">
        <v>61563.97</v>
      </c>
      <c r="J2952" s="1399">
        <v>61563.97</v>
      </c>
    </row>
    <row r="2953" spans="2:12">
      <c r="B2953" s="1297"/>
      <c r="C2953" s="1297"/>
      <c r="D2953" s="1297"/>
      <c r="E2953" s="1297" t="s">
        <v>978</v>
      </c>
      <c r="F2953" s="1399">
        <v>107331.36</v>
      </c>
      <c r="J2953" s="1399">
        <v>107331.36</v>
      </c>
    </row>
    <row r="2954" spans="2:12">
      <c r="B2954" s="1297"/>
      <c r="C2954" s="1297"/>
      <c r="D2954" s="1297"/>
      <c r="E2954" s="1297" t="s">
        <v>1006</v>
      </c>
      <c r="F2954" s="1399">
        <v>1925331.49</v>
      </c>
      <c r="J2954" s="1399">
        <v>1925331.49</v>
      </c>
    </row>
    <row r="2955" spans="2:12">
      <c r="B2955" s="1297"/>
      <c r="C2955" s="1297"/>
      <c r="D2955" s="1297"/>
      <c r="E2955" s="1297" t="s">
        <v>947</v>
      </c>
      <c r="F2955" s="1399">
        <v>1091636.95</v>
      </c>
      <c r="J2955" s="1399">
        <v>1091636.95</v>
      </c>
    </row>
    <row r="2956" spans="2:12">
      <c r="B2956" s="1297"/>
      <c r="C2956" s="1297"/>
      <c r="D2956" s="1297"/>
      <c r="E2956" s="1404" t="s">
        <v>948</v>
      </c>
      <c r="F2956" s="1405"/>
      <c r="G2956" s="1405"/>
      <c r="H2956" s="1405">
        <v>5145008.0600000005</v>
      </c>
      <c r="I2956" s="1405"/>
      <c r="J2956" s="1405">
        <v>5145008.0600000005</v>
      </c>
    </row>
    <row r="2957" spans="2:12">
      <c r="B2957" s="1297"/>
      <c r="C2957" s="1297"/>
      <c r="D2957" s="1400" t="s">
        <v>1189</v>
      </c>
      <c r="E2957" s="1400"/>
      <c r="F2957" s="1401">
        <f>SUM(F2908:F2956)</f>
        <v>35340605.950000003</v>
      </c>
      <c r="G2957" s="1401">
        <f>SUM(G2908:G2956)</f>
        <v>91389785.609999999</v>
      </c>
      <c r="H2957" s="1401">
        <f>SUM(H2908:H2956)-H2956</f>
        <v>14684964.180000002</v>
      </c>
      <c r="I2957" s="1401">
        <f>SUM(I2908:I2956)-I2938</f>
        <v>138496902.41000003</v>
      </c>
      <c r="J2957" s="1401">
        <f>SUM(J2908:J2956)</f>
        <v>289072512.54000014</v>
      </c>
      <c r="K2957" s="1401">
        <f>SUM(F2957:I2957)</f>
        <v>279912258.15000004</v>
      </c>
      <c r="L2957" s="1408">
        <f>K2957/C2908</f>
        <v>10773.729192486819</v>
      </c>
    </row>
    <row r="2958" spans="2:12">
      <c r="B2958" s="1297" t="s">
        <v>1190</v>
      </c>
      <c r="C2958" s="1297">
        <v>1555</v>
      </c>
      <c r="D2958" s="1297" t="s">
        <v>1191</v>
      </c>
      <c r="E2958" s="1297" t="s">
        <v>906</v>
      </c>
      <c r="G2958" s="1399">
        <v>3405146.9</v>
      </c>
      <c r="J2958" s="1399">
        <v>3405146.9</v>
      </c>
    </row>
    <row r="2959" spans="2:12">
      <c r="B2959" s="1297"/>
      <c r="C2959" s="1297"/>
      <c r="D2959" s="1297"/>
      <c r="E2959" s="1297" t="s">
        <v>952</v>
      </c>
      <c r="G2959" s="1399">
        <v>23313.26</v>
      </c>
      <c r="J2959" s="1399">
        <v>23313.26</v>
      </c>
    </row>
    <row r="2960" spans="2:12">
      <c r="B2960" s="1297"/>
      <c r="C2960" s="1297"/>
      <c r="D2960" s="1297"/>
      <c r="E2960" s="1297" t="s">
        <v>907</v>
      </c>
      <c r="G2960" s="1399">
        <v>674217.37</v>
      </c>
      <c r="J2960" s="1399">
        <v>674217.37</v>
      </c>
    </row>
    <row r="2961" spans="5:10" s="1297" customFormat="1">
      <c r="E2961" s="1297" t="s">
        <v>908</v>
      </c>
      <c r="F2961" s="1399"/>
      <c r="G2961" s="1399">
        <v>7660.56</v>
      </c>
      <c r="H2961" s="1399"/>
      <c r="I2961" s="1399"/>
      <c r="J2961" s="1399">
        <v>7660.56</v>
      </c>
    </row>
    <row r="2962" spans="5:10" s="1297" customFormat="1">
      <c r="E2962" s="1297" t="s">
        <v>909</v>
      </c>
      <c r="F2962" s="1399"/>
      <c r="G2962" s="1399"/>
      <c r="H2962" s="1399">
        <v>55709.24</v>
      </c>
      <c r="I2962" s="1399"/>
      <c r="J2962" s="1399">
        <v>55709.24</v>
      </c>
    </row>
    <row r="2963" spans="5:10" s="1297" customFormat="1">
      <c r="E2963" s="1297" t="s">
        <v>910</v>
      </c>
      <c r="F2963" s="1399"/>
      <c r="G2963" s="1399"/>
      <c r="H2963" s="1399">
        <v>111630.48</v>
      </c>
      <c r="I2963" s="1399"/>
      <c r="J2963" s="1399">
        <v>111630.48</v>
      </c>
    </row>
    <row r="2964" spans="5:10" s="1297" customFormat="1">
      <c r="E2964" s="1297" t="s">
        <v>1034</v>
      </c>
      <c r="F2964" s="1399"/>
      <c r="G2964" s="1399"/>
      <c r="H2964" s="1399">
        <v>28544.959999999999</v>
      </c>
      <c r="I2964" s="1399"/>
      <c r="J2964" s="1399">
        <v>28544.959999999999</v>
      </c>
    </row>
    <row r="2965" spans="5:10" s="1297" customFormat="1">
      <c r="E2965" s="1297" t="s">
        <v>1035</v>
      </c>
      <c r="F2965" s="1399"/>
      <c r="G2965" s="1399"/>
      <c r="H2965" s="1399">
        <v>177734.25</v>
      </c>
      <c r="I2965" s="1399"/>
      <c r="J2965" s="1399">
        <v>177734.25</v>
      </c>
    </row>
    <row r="2966" spans="5:10" s="1297" customFormat="1">
      <c r="E2966" s="1297" t="s">
        <v>1036</v>
      </c>
      <c r="F2966" s="1399"/>
      <c r="G2966" s="1399"/>
      <c r="H2966" s="1399">
        <v>64098.25</v>
      </c>
      <c r="I2966" s="1399"/>
      <c r="J2966" s="1399">
        <v>64098.25</v>
      </c>
    </row>
    <row r="2967" spans="5:10" s="1297" customFormat="1">
      <c r="E2967" s="1297" t="s">
        <v>1039</v>
      </c>
      <c r="F2967" s="1399"/>
      <c r="G2967" s="1399"/>
      <c r="H2967" s="1399">
        <v>23371.939999999995</v>
      </c>
      <c r="I2967" s="1399"/>
      <c r="J2967" s="1399">
        <v>23371.939999999995</v>
      </c>
    </row>
    <row r="2968" spans="5:10" s="1297" customFormat="1">
      <c r="E2968" s="1297" t="s">
        <v>1040</v>
      </c>
      <c r="F2968" s="1399"/>
      <c r="G2968" s="1399"/>
      <c r="H2968" s="1399">
        <v>92403.6</v>
      </c>
      <c r="I2968" s="1399"/>
      <c r="J2968" s="1399">
        <v>92403.6</v>
      </c>
    </row>
    <row r="2969" spans="5:10" s="1297" customFormat="1">
      <c r="E2969" s="1297" t="s">
        <v>1127</v>
      </c>
      <c r="F2969" s="1399"/>
      <c r="G2969" s="1399"/>
      <c r="H2969" s="1399">
        <v>7143.95</v>
      </c>
      <c r="I2969" s="1399"/>
      <c r="J2969" s="1399">
        <v>7143.95</v>
      </c>
    </row>
    <row r="2970" spans="5:10" s="1297" customFormat="1">
      <c r="E2970" s="1297" t="s">
        <v>1041</v>
      </c>
      <c r="F2970" s="1399"/>
      <c r="G2970" s="1399"/>
      <c r="H2970" s="1399">
        <v>49265.91</v>
      </c>
      <c r="I2970" s="1399"/>
      <c r="J2970" s="1399">
        <v>49265.91</v>
      </c>
    </row>
    <row r="2971" spans="5:10" s="1297" customFormat="1">
      <c r="E2971" s="1297" t="s">
        <v>1042</v>
      </c>
      <c r="F2971" s="1399"/>
      <c r="G2971" s="1399"/>
      <c r="H2971" s="1399">
        <v>32811.730000000003</v>
      </c>
      <c r="I2971" s="1399"/>
      <c r="J2971" s="1399">
        <v>32811.730000000003</v>
      </c>
    </row>
    <row r="2972" spans="5:10" s="1297" customFormat="1">
      <c r="E2972" s="1297" t="s">
        <v>954</v>
      </c>
      <c r="F2972" s="1399"/>
      <c r="G2972" s="1399"/>
      <c r="H2972" s="1399">
        <v>0</v>
      </c>
      <c r="I2972" s="1399"/>
      <c r="J2972" s="1399">
        <v>0</v>
      </c>
    </row>
    <row r="2973" spans="5:10" s="1297" customFormat="1">
      <c r="E2973" s="1297" t="s">
        <v>1043</v>
      </c>
      <c r="F2973" s="1399"/>
      <c r="G2973" s="1399"/>
      <c r="H2973" s="1399">
        <v>10050</v>
      </c>
      <c r="I2973" s="1399"/>
      <c r="J2973" s="1399">
        <v>10050</v>
      </c>
    </row>
    <row r="2974" spans="5:10" s="1297" customFormat="1">
      <c r="E2974" s="1297" t="s">
        <v>986</v>
      </c>
      <c r="F2974" s="1399"/>
      <c r="G2974" s="1399"/>
      <c r="H2974" s="1399">
        <v>12775.3</v>
      </c>
      <c r="I2974" s="1399"/>
      <c r="J2974" s="1399">
        <v>12775.3</v>
      </c>
    </row>
    <row r="2975" spans="5:10" s="1297" customFormat="1">
      <c r="E2975" s="1297" t="s">
        <v>990</v>
      </c>
      <c r="F2975" s="1399"/>
      <c r="G2975" s="1399"/>
      <c r="H2975" s="1399">
        <v>400</v>
      </c>
      <c r="I2975" s="1399"/>
      <c r="J2975" s="1399">
        <v>400</v>
      </c>
    </row>
    <row r="2976" spans="5:10" s="1297" customFormat="1">
      <c r="E2976" s="1297" t="s">
        <v>996</v>
      </c>
      <c r="F2976" s="1399"/>
      <c r="G2976" s="1399"/>
      <c r="H2976" s="1399">
        <v>2500</v>
      </c>
      <c r="I2976" s="1399"/>
      <c r="J2976" s="1399">
        <v>2500</v>
      </c>
    </row>
    <row r="2977" spans="5:10" s="1297" customFormat="1">
      <c r="E2977" s="1297" t="s">
        <v>1045</v>
      </c>
      <c r="F2977" s="1399"/>
      <c r="G2977" s="1399"/>
      <c r="H2977" s="1399">
        <v>311683.65000000002</v>
      </c>
      <c r="I2977" s="1399"/>
      <c r="J2977" s="1399">
        <v>311683.65000000002</v>
      </c>
    </row>
    <row r="2978" spans="5:10" s="1297" customFormat="1">
      <c r="E2978" s="1297" t="s">
        <v>1046</v>
      </c>
      <c r="F2978" s="1399"/>
      <c r="G2978" s="1399"/>
      <c r="H2978" s="1399"/>
      <c r="I2978" s="1399">
        <v>7771092</v>
      </c>
      <c r="J2978" s="1399">
        <v>7771092</v>
      </c>
    </row>
    <row r="2979" spans="5:10" s="1297" customFormat="1">
      <c r="E2979" s="1297" t="s">
        <v>1128</v>
      </c>
      <c r="F2979" s="1399"/>
      <c r="G2979" s="1399"/>
      <c r="H2979" s="1399"/>
      <c r="I2979" s="1399">
        <v>885292</v>
      </c>
      <c r="J2979" s="1399">
        <v>885292</v>
      </c>
    </row>
    <row r="2980" spans="5:10" s="1297" customFormat="1">
      <c r="E2980" s="1297" t="s">
        <v>1047</v>
      </c>
      <c r="F2980" s="1399"/>
      <c r="G2980" s="1399"/>
      <c r="H2980" s="1399"/>
      <c r="I2980" s="1399">
        <v>286217</v>
      </c>
      <c r="J2980" s="1399">
        <v>286217</v>
      </c>
    </row>
    <row r="2981" spans="5:10" s="1297" customFormat="1">
      <c r="E2981" s="1297" t="s">
        <v>1048</v>
      </c>
      <c r="F2981" s="1399"/>
      <c r="G2981" s="1399"/>
      <c r="H2981" s="1399"/>
      <c r="I2981" s="1399">
        <v>-960179</v>
      </c>
      <c r="J2981" s="1399">
        <v>-960179</v>
      </c>
    </row>
    <row r="2982" spans="5:10" s="1297" customFormat="1">
      <c r="E2982" s="1297" t="s">
        <v>932</v>
      </c>
      <c r="F2982" s="1399"/>
      <c r="G2982" s="1399"/>
      <c r="H2982" s="1399"/>
      <c r="I2982" s="1399">
        <v>1156744</v>
      </c>
      <c r="J2982" s="1399">
        <v>1156744</v>
      </c>
    </row>
    <row r="2983" spans="5:10" s="1297" customFormat="1">
      <c r="E2983" s="1404" t="s">
        <v>955</v>
      </c>
      <c r="F2983" s="1405"/>
      <c r="G2983" s="1405"/>
      <c r="H2983" s="1405"/>
      <c r="I2983" s="1405">
        <v>539004.36</v>
      </c>
      <c r="J2983" s="1405">
        <v>539004.36</v>
      </c>
    </row>
    <row r="2984" spans="5:10" s="1297" customFormat="1">
      <c r="E2984" s="1297" t="s">
        <v>934</v>
      </c>
      <c r="F2984" s="1399"/>
      <c r="G2984" s="1399"/>
      <c r="H2984" s="1399"/>
      <c r="I2984" s="1399">
        <v>26588</v>
      </c>
      <c r="J2984" s="1399">
        <v>26588</v>
      </c>
    </row>
    <row r="2985" spans="5:10" s="1297" customFormat="1">
      <c r="E2985" s="1297" t="s">
        <v>935</v>
      </c>
      <c r="F2985" s="1399"/>
      <c r="G2985" s="1399"/>
      <c r="H2985" s="1399"/>
      <c r="I2985" s="1399">
        <v>342318.56</v>
      </c>
      <c r="J2985" s="1399">
        <v>342318.56</v>
      </c>
    </row>
    <row r="2986" spans="5:10" s="1297" customFormat="1">
      <c r="E2986" s="1297" t="s">
        <v>936</v>
      </c>
      <c r="F2986" s="1399"/>
      <c r="G2986" s="1399"/>
      <c r="H2986" s="1399"/>
      <c r="I2986" s="1399">
        <v>23460.09</v>
      </c>
      <c r="J2986" s="1399">
        <v>23460.09</v>
      </c>
    </row>
    <row r="2987" spans="5:10" s="1297" customFormat="1">
      <c r="E2987" s="1297" t="s">
        <v>938</v>
      </c>
      <c r="F2987" s="1399"/>
      <c r="G2987" s="1399"/>
      <c r="H2987" s="1399"/>
      <c r="I2987" s="1399">
        <v>7486</v>
      </c>
      <c r="J2987" s="1399">
        <v>7486</v>
      </c>
    </row>
    <row r="2988" spans="5:10" s="1297" customFormat="1">
      <c r="E2988" s="1297" t="s">
        <v>939</v>
      </c>
      <c r="F2988" s="1399"/>
      <c r="G2988" s="1399"/>
      <c r="H2988" s="1399"/>
      <c r="I2988" s="1399">
        <v>42250</v>
      </c>
      <c r="J2988" s="1399">
        <v>42250</v>
      </c>
    </row>
    <row r="2989" spans="5:10" s="1297" customFormat="1">
      <c r="E2989" s="1297" t="s">
        <v>1131</v>
      </c>
      <c r="F2989" s="1399">
        <v>100000</v>
      </c>
      <c r="G2989" s="1399"/>
      <c r="H2989" s="1399"/>
      <c r="I2989" s="1399"/>
      <c r="J2989" s="1399">
        <v>100000</v>
      </c>
    </row>
    <row r="2990" spans="5:10" s="1297" customFormat="1">
      <c r="E2990" s="1297" t="s">
        <v>940</v>
      </c>
      <c r="F2990" s="1399">
        <v>473616.8</v>
      </c>
      <c r="G2990" s="1399"/>
      <c r="H2990" s="1399"/>
      <c r="I2990" s="1399"/>
      <c r="J2990" s="1399">
        <v>473616.8</v>
      </c>
    </row>
    <row r="2991" spans="5:10" s="1297" customFormat="1">
      <c r="E2991" s="1297" t="s">
        <v>941</v>
      </c>
      <c r="F2991" s="1399">
        <v>158056.66</v>
      </c>
      <c r="G2991" s="1399"/>
      <c r="H2991" s="1399"/>
      <c r="I2991" s="1399"/>
      <c r="J2991" s="1399">
        <v>158056.66</v>
      </c>
    </row>
    <row r="2992" spans="5:10" s="1297" customFormat="1">
      <c r="E2992" s="1297" t="s">
        <v>943</v>
      </c>
      <c r="F2992" s="1399">
        <v>12139.7</v>
      </c>
      <c r="G2992" s="1399"/>
      <c r="H2992" s="1399"/>
      <c r="I2992" s="1399"/>
      <c r="J2992" s="1399">
        <v>12139.7</v>
      </c>
    </row>
    <row r="2993" spans="2:12">
      <c r="B2993" s="1297"/>
      <c r="C2993" s="1297"/>
      <c r="D2993" s="1297"/>
      <c r="E2993" s="1297" t="s">
        <v>944</v>
      </c>
      <c r="F2993" s="1399">
        <v>1080064.6899999997</v>
      </c>
      <c r="J2993" s="1399">
        <v>1080064.6899999997</v>
      </c>
    </row>
    <row r="2994" spans="2:12">
      <c r="B2994" s="1297"/>
      <c r="C2994" s="1297"/>
      <c r="D2994" s="1297"/>
      <c r="E2994" s="1297" t="s">
        <v>945</v>
      </c>
      <c r="F2994" s="1399">
        <v>875514.89999999991</v>
      </c>
      <c r="J2994" s="1399">
        <v>875514.89999999991</v>
      </c>
    </row>
    <row r="2995" spans="2:12">
      <c r="B2995" s="1297"/>
      <c r="C2995" s="1297"/>
      <c r="D2995" s="1297"/>
      <c r="E2995" s="1297" t="s">
        <v>946</v>
      </c>
      <c r="F2995" s="1399">
        <v>92197.36</v>
      </c>
      <c r="J2995" s="1399">
        <v>92197.36</v>
      </c>
    </row>
    <row r="2996" spans="2:12">
      <c r="B2996" s="1297"/>
      <c r="C2996" s="1297"/>
      <c r="D2996" s="1297"/>
      <c r="E2996" s="1297" t="s">
        <v>947</v>
      </c>
      <c r="F2996" s="1399">
        <v>52944.17</v>
      </c>
      <c r="J2996" s="1399">
        <v>52944.17</v>
      </c>
    </row>
    <row r="2997" spans="2:12">
      <c r="B2997" s="1297"/>
      <c r="C2997" s="1297"/>
      <c r="D2997" s="1297"/>
      <c r="E2997" s="1404" t="s">
        <v>948</v>
      </c>
      <c r="F2997" s="1405"/>
      <c r="G2997" s="1405"/>
      <c r="H2997" s="1405">
        <v>878082.61</v>
      </c>
      <c r="I2997" s="1405"/>
      <c r="J2997" s="1405">
        <v>878082.61</v>
      </c>
    </row>
    <row r="2998" spans="2:12">
      <c r="B2998" s="1297"/>
      <c r="C2998" s="1297"/>
      <c r="D2998" s="1297"/>
      <c r="E2998" s="1297" t="s">
        <v>956</v>
      </c>
      <c r="H2998" s="1399">
        <v>55.8</v>
      </c>
      <c r="J2998" s="1399">
        <v>55.8</v>
      </c>
    </row>
    <row r="2999" spans="2:12">
      <c r="B2999" s="1297"/>
      <c r="C2999" s="1297"/>
      <c r="D2999" s="1400" t="s">
        <v>1192</v>
      </c>
      <c r="E2999" s="1400"/>
      <c r="F2999" s="1401">
        <f>SUM(F2958:F2998)</f>
        <v>2844534.2799999993</v>
      </c>
      <c r="G2999" s="1401">
        <f>SUM(G2958:G2998)</f>
        <v>4110338.09</v>
      </c>
      <c r="H2999" s="1401">
        <f>SUM(H2958:H2998)-H2997</f>
        <v>980179.06000000017</v>
      </c>
      <c r="I2999" s="1401">
        <f>SUM(I2958:I2998)-I2983</f>
        <v>9581268.6500000004</v>
      </c>
      <c r="J2999" s="1401">
        <f>SUM(J2958:J2998)</f>
        <v>18933407.050000001</v>
      </c>
      <c r="K2999" s="1401">
        <f>SUM(F2999:I2999)</f>
        <v>17516320.079999998</v>
      </c>
      <c r="L2999" s="1408">
        <f>K2999/C2958</f>
        <v>11264.51452090032</v>
      </c>
    </row>
    <row r="3000" spans="2:12">
      <c r="B3000" s="1297" t="s">
        <v>1193</v>
      </c>
      <c r="C3000" s="1297">
        <v>7044</v>
      </c>
      <c r="D3000" s="1297" t="s">
        <v>1194</v>
      </c>
      <c r="E3000" s="1297" t="s">
        <v>906</v>
      </c>
      <c r="G3000" s="1399">
        <v>36308367.079999998</v>
      </c>
      <c r="J3000" s="1399">
        <v>36308367.079999998</v>
      </c>
    </row>
    <row r="3001" spans="2:12">
      <c r="B3001" s="1297"/>
      <c r="C3001" s="1297"/>
      <c r="D3001" s="1297"/>
      <c r="E3001" s="1297" t="s">
        <v>952</v>
      </c>
      <c r="G3001" s="1399">
        <v>522583.94</v>
      </c>
      <c r="J3001" s="1399">
        <v>522583.94</v>
      </c>
    </row>
    <row r="3002" spans="2:12">
      <c r="B3002" s="1297"/>
      <c r="C3002" s="1297"/>
      <c r="D3002" s="1297"/>
      <c r="E3002" s="1297" t="s">
        <v>907</v>
      </c>
      <c r="G3002" s="1399">
        <v>5244991.4800000004</v>
      </c>
      <c r="J3002" s="1399">
        <v>5244991.4800000004</v>
      </c>
    </row>
    <row r="3003" spans="2:12">
      <c r="B3003" s="1297"/>
      <c r="C3003" s="1297"/>
      <c r="D3003" s="1297"/>
      <c r="E3003" s="1297" t="s">
        <v>908</v>
      </c>
      <c r="G3003" s="1399">
        <v>33963.410000000003</v>
      </c>
      <c r="J3003" s="1399">
        <v>33963.410000000003</v>
      </c>
    </row>
    <row r="3004" spans="2:12">
      <c r="B3004" s="1297"/>
      <c r="C3004" s="1297"/>
      <c r="D3004" s="1297"/>
      <c r="E3004" s="1297" t="s">
        <v>909</v>
      </c>
      <c r="H3004" s="1399">
        <v>52290.84</v>
      </c>
      <c r="J3004" s="1399">
        <v>52290.84</v>
      </c>
    </row>
    <row r="3005" spans="2:12">
      <c r="B3005" s="1297"/>
      <c r="C3005" s="1297"/>
      <c r="D3005" s="1297"/>
      <c r="E3005" s="1297" t="s">
        <v>910</v>
      </c>
      <c r="H3005" s="1399">
        <v>253860.25</v>
      </c>
      <c r="J3005" s="1399">
        <v>253860.25</v>
      </c>
    </row>
    <row r="3006" spans="2:12">
      <c r="B3006" s="1297"/>
      <c r="C3006" s="1297"/>
      <c r="D3006" s="1297"/>
      <c r="E3006" s="1297" t="s">
        <v>1034</v>
      </c>
      <c r="H3006" s="1399">
        <v>150677.9</v>
      </c>
      <c r="J3006" s="1399">
        <v>150677.9</v>
      </c>
    </row>
    <row r="3007" spans="2:12">
      <c r="B3007" s="1297"/>
      <c r="C3007" s="1297"/>
      <c r="D3007" s="1297"/>
      <c r="E3007" s="1297" t="s">
        <v>1035</v>
      </c>
      <c r="H3007" s="1399">
        <v>695170.95</v>
      </c>
      <c r="J3007" s="1399">
        <v>695170.95</v>
      </c>
    </row>
    <row r="3008" spans="2:12">
      <c r="B3008" s="1297"/>
      <c r="C3008" s="1297"/>
      <c r="D3008" s="1297"/>
      <c r="E3008" s="1297" t="s">
        <v>1036</v>
      </c>
      <c r="H3008" s="1399">
        <v>198655.40000000002</v>
      </c>
      <c r="J3008" s="1399">
        <v>198655.40000000002</v>
      </c>
    </row>
    <row r="3009" spans="5:10" s="1297" customFormat="1">
      <c r="E3009" s="1297" t="s">
        <v>1039</v>
      </c>
      <c r="F3009" s="1399"/>
      <c r="G3009" s="1399"/>
      <c r="H3009" s="1399">
        <v>45814.479999999989</v>
      </c>
      <c r="I3009" s="1399"/>
      <c r="J3009" s="1399">
        <v>45814.479999999989</v>
      </c>
    </row>
    <row r="3010" spans="5:10" s="1297" customFormat="1">
      <c r="E3010" s="1297" t="s">
        <v>1040</v>
      </c>
      <c r="F3010" s="1399"/>
      <c r="G3010" s="1399"/>
      <c r="H3010" s="1399">
        <v>1030633.03</v>
      </c>
      <c r="I3010" s="1399"/>
      <c r="J3010" s="1399">
        <v>1030633.03</v>
      </c>
    </row>
    <row r="3011" spans="5:10" s="1297" customFormat="1">
      <c r="E3011" s="1297" t="s">
        <v>1041</v>
      </c>
      <c r="F3011" s="1399"/>
      <c r="G3011" s="1399"/>
      <c r="H3011" s="1399">
        <v>134886.01</v>
      </c>
      <c r="I3011" s="1399"/>
      <c r="J3011" s="1399">
        <v>134886.01</v>
      </c>
    </row>
    <row r="3012" spans="5:10" s="1297" customFormat="1">
      <c r="E3012" s="1297" t="s">
        <v>1042</v>
      </c>
      <c r="F3012" s="1399"/>
      <c r="G3012" s="1399"/>
      <c r="H3012" s="1399">
        <v>98599.930000000008</v>
      </c>
      <c r="I3012" s="1399"/>
      <c r="J3012" s="1399">
        <v>98599.930000000008</v>
      </c>
    </row>
    <row r="3013" spans="5:10" s="1297" customFormat="1">
      <c r="E3013" s="1297" t="s">
        <v>985</v>
      </c>
      <c r="F3013" s="1399"/>
      <c r="G3013" s="1399"/>
      <c r="H3013" s="1399">
        <v>353192.15</v>
      </c>
      <c r="I3013" s="1399"/>
      <c r="J3013" s="1399">
        <v>353192.15</v>
      </c>
    </row>
    <row r="3014" spans="5:10" s="1297" customFormat="1">
      <c r="E3014" s="1297" t="s">
        <v>1043</v>
      </c>
      <c r="F3014" s="1399"/>
      <c r="G3014" s="1399"/>
      <c r="H3014" s="1399">
        <v>15405</v>
      </c>
      <c r="I3014" s="1399"/>
      <c r="J3014" s="1399">
        <v>15405</v>
      </c>
    </row>
    <row r="3015" spans="5:10" s="1297" customFormat="1">
      <c r="E3015" s="1297" t="s">
        <v>986</v>
      </c>
      <c r="F3015" s="1399"/>
      <c r="G3015" s="1399"/>
      <c r="H3015" s="1399">
        <v>1000</v>
      </c>
      <c r="I3015" s="1399"/>
      <c r="J3015" s="1399">
        <v>1000</v>
      </c>
    </row>
    <row r="3016" spans="5:10" s="1297" customFormat="1">
      <c r="E3016" s="1297" t="s">
        <v>990</v>
      </c>
      <c r="F3016" s="1399"/>
      <c r="G3016" s="1399"/>
      <c r="H3016" s="1399">
        <v>628.5</v>
      </c>
      <c r="I3016" s="1399"/>
      <c r="J3016" s="1399">
        <v>628.5</v>
      </c>
    </row>
    <row r="3017" spans="5:10" s="1297" customFormat="1">
      <c r="E3017" s="1297" t="s">
        <v>996</v>
      </c>
      <c r="F3017" s="1399"/>
      <c r="G3017" s="1399"/>
      <c r="H3017" s="1399">
        <v>38699.050000000003</v>
      </c>
      <c r="I3017" s="1399"/>
      <c r="J3017" s="1399">
        <v>38699.050000000003</v>
      </c>
    </row>
    <row r="3018" spans="5:10" s="1297" customFormat="1">
      <c r="E3018" s="1297" t="s">
        <v>1044</v>
      </c>
      <c r="F3018" s="1399">
        <v>2802.91</v>
      </c>
      <c r="G3018" s="1399"/>
      <c r="H3018" s="1399"/>
      <c r="I3018" s="1399"/>
      <c r="J3018" s="1399">
        <v>2802.91</v>
      </c>
    </row>
    <row r="3019" spans="5:10" s="1297" customFormat="1">
      <c r="E3019" s="1297" t="s">
        <v>1045</v>
      </c>
      <c r="F3019" s="1399"/>
      <c r="G3019" s="1399"/>
      <c r="H3019" s="1399">
        <v>755094.6</v>
      </c>
      <c r="I3019" s="1399"/>
      <c r="J3019" s="1399">
        <v>755094.6</v>
      </c>
    </row>
    <row r="3020" spans="5:10" s="1297" customFormat="1">
      <c r="E3020" s="1297" t="s">
        <v>1046</v>
      </c>
      <c r="F3020" s="1399"/>
      <c r="G3020" s="1399"/>
      <c r="H3020" s="1399"/>
      <c r="I3020" s="1399">
        <v>38346364</v>
      </c>
      <c r="J3020" s="1399">
        <v>38346364</v>
      </c>
    </row>
    <row r="3021" spans="5:10" s="1297" customFormat="1">
      <c r="E3021" s="1297" t="s">
        <v>1128</v>
      </c>
      <c r="F3021" s="1399"/>
      <c r="G3021" s="1399"/>
      <c r="H3021" s="1399"/>
      <c r="I3021" s="1399">
        <v>3131452</v>
      </c>
      <c r="J3021" s="1399">
        <v>3131452</v>
      </c>
    </row>
    <row r="3022" spans="5:10" s="1297" customFormat="1">
      <c r="E3022" s="1297" t="s">
        <v>1129</v>
      </c>
      <c r="F3022" s="1399"/>
      <c r="G3022" s="1399"/>
      <c r="H3022" s="1399"/>
      <c r="I3022" s="1399">
        <v>-4535764</v>
      </c>
      <c r="J3022" s="1399">
        <v>-4535764</v>
      </c>
    </row>
    <row r="3023" spans="5:10" s="1297" customFormat="1">
      <c r="E3023" s="1297" t="s">
        <v>1047</v>
      </c>
      <c r="F3023" s="1399"/>
      <c r="G3023" s="1399"/>
      <c r="H3023" s="1399"/>
      <c r="I3023" s="1399">
        <v>1011995</v>
      </c>
      <c r="J3023" s="1399">
        <v>1011995</v>
      </c>
    </row>
    <row r="3024" spans="5:10" s="1297" customFormat="1">
      <c r="E3024" s="1297" t="s">
        <v>1048</v>
      </c>
      <c r="F3024" s="1399"/>
      <c r="G3024" s="1399"/>
      <c r="H3024" s="1399"/>
      <c r="I3024" s="1399">
        <v>-8594999</v>
      </c>
      <c r="J3024" s="1399">
        <v>-8594999</v>
      </c>
    </row>
    <row r="3025" spans="5:10" s="1297" customFormat="1">
      <c r="E3025" s="1404" t="s">
        <v>955</v>
      </c>
      <c r="F3025" s="1405"/>
      <c r="G3025" s="1405"/>
      <c r="H3025" s="1405"/>
      <c r="I3025" s="1405">
        <v>977332.21</v>
      </c>
      <c r="J3025" s="1405">
        <v>977332.21</v>
      </c>
    </row>
    <row r="3026" spans="5:10" s="1297" customFormat="1">
      <c r="E3026" s="1297" t="s">
        <v>934</v>
      </c>
      <c r="F3026" s="1399"/>
      <c r="G3026" s="1399"/>
      <c r="H3026" s="1399"/>
      <c r="I3026" s="1399">
        <v>112428</v>
      </c>
      <c r="J3026" s="1399">
        <v>112428</v>
      </c>
    </row>
    <row r="3027" spans="5:10" s="1297" customFormat="1">
      <c r="E3027" s="1297" t="s">
        <v>935</v>
      </c>
      <c r="F3027" s="1399"/>
      <c r="G3027" s="1399"/>
      <c r="H3027" s="1399"/>
      <c r="I3027" s="1399">
        <v>705716.32</v>
      </c>
      <c r="J3027" s="1399">
        <v>705716.32</v>
      </c>
    </row>
    <row r="3028" spans="5:10" s="1297" customFormat="1">
      <c r="E3028" s="1297" t="s">
        <v>936</v>
      </c>
      <c r="F3028" s="1399"/>
      <c r="G3028" s="1399"/>
      <c r="H3028" s="1399"/>
      <c r="I3028" s="1399">
        <v>122202.54</v>
      </c>
      <c r="J3028" s="1399">
        <v>122202.54</v>
      </c>
    </row>
    <row r="3029" spans="5:10" s="1297" customFormat="1">
      <c r="E3029" s="1297" t="s">
        <v>937</v>
      </c>
      <c r="F3029" s="1399"/>
      <c r="G3029" s="1399"/>
      <c r="H3029" s="1399"/>
      <c r="I3029" s="1399">
        <v>26524.83</v>
      </c>
      <c r="J3029" s="1399">
        <v>26524.83</v>
      </c>
    </row>
    <row r="3030" spans="5:10" s="1297" customFormat="1">
      <c r="E3030" s="1297" t="s">
        <v>938</v>
      </c>
      <c r="F3030" s="1399"/>
      <c r="G3030" s="1399"/>
      <c r="H3030" s="1399"/>
      <c r="I3030" s="1399">
        <v>40801</v>
      </c>
      <c r="J3030" s="1399">
        <v>40801</v>
      </c>
    </row>
    <row r="3031" spans="5:10" s="1297" customFormat="1">
      <c r="E3031" s="1297" t="s">
        <v>939</v>
      </c>
      <c r="F3031" s="1399"/>
      <c r="G3031" s="1399"/>
      <c r="H3031" s="1399"/>
      <c r="I3031" s="1399">
        <v>55616.23</v>
      </c>
      <c r="J3031" s="1399">
        <v>55616.23</v>
      </c>
    </row>
    <row r="3032" spans="5:10" s="1297" customFormat="1">
      <c r="E3032" s="1297" t="s">
        <v>1131</v>
      </c>
      <c r="F3032" s="1399">
        <v>116556.82</v>
      </c>
      <c r="G3032" s="1399"/>
      <c r="H3032" s="1399"/>
      <c r="I3032" s="1399"/>
      <c r="J3032" s="1399">
        <v>116556.82</v>
      </c>
    </row>
    <row r="3033" spans="5:10" s="1297" customFormat="1">
      <c r="E3033" s="1297" t="s">
        <v>940</v>
      </c>
      <c r="F3033" s="1399">
        <v>1632700.1400000001</v>
      </c>
      <c r="G3033" s="1399"/>
      <c r="H3033" s="1399"/>
      <c r="I3033" s="1399"/>
      <c r="J3033" s="1399">
        <v>1632700.1400000001</v>
      </c>
    </row>
    <row r="3034" spans="5:10" s="1297" customFormat="1">
      <c r="E3034" s="1297" t="s">
        <v>941</v>
      </c>
      <c r="F3034" s="1399">
        <v>661419.00000000012</v>
      </c>
      <c r="G3034" s="1399"/>
      <c r="H3034" s="1399"/>
      <c r="I3034" s="1399"/>
      <c r="J3034" s="1399">
        <v>661419.00000000012</v>
      </c>
    </row>
    <row r="3035" spans="5:10" s="1297" customFormat="1">
      <c r="E3035" s="1297" t="s">
        <v>943</v>
      </c>
      <c r="F3035" s="1399">
        <v>21288.32</v>
      </c>
      <c r="G3035" s="1399"/>
      <c r="H3035" s="1399"/>
      <c r="I3035" s="1399"/>
      <c r="J3035" s="1399">
        <v>21288.32</v>
      </c>
    </row>
    <row r="3036" spans="5:10" s="1297" customFormat="1">
      <c r="E3036" s="1297" t="s">
        <v>944</v>
      </c>
      <c r="F3036" s="1399">
        <v>3499638.6800000006</v>
      </c>
      <c r="G3036" s="1399"/>
      <c r="H3036" s="1399"/>
      <c r="I3036" s="1399"/>
      <c r="J3036" s="1399">
        <v>3499638.6800000006</v>
      </c>
    </row>
    <row r="3037" spans="5:10" s="1297" customFormat="1">
      <c r="E3037" s="1297" t="s">
        <v>945</v>
      </c>
      <c r="F3037" s="1399">
        <v>2383383.4499999997</v>
      </c>
      <c r="G3037" s="1399"/>
      <c r="H3037" s="1399"/>
      <c r="I3037" s="1399"/>
      <c r="J3037" s="1399">
        <v>2383383.4499999997</v>
      </c>
    </row>
    <row r="3038" spans="5:10" s="1297" customFormat="1">
      <c r="E3038" s="1297" t="s">
        <v>946</v>
      </c>
      <c r="F3038" s="1399">
        <v>120704.35</v>
      </c>
      <c r="G3038" s="1399"/>
      <c r="H3038" s="1399"/>
      <c r="I3038" s="1399"/>
      <c r="J3038" s="1399">
        <v>120704.35</v>
      </c>
    </row>
    <row r="3039" spans="5:10" s="1297" customFormat="1">
      <c r="E3039" s="1297" t="s">
        <v>947</v>
      </c>
      <c r="F3039" s="1399">
        <v>109205.97</v>
      </c>
      <c r="G3039" s="1399"/>
      <c r="H3039" s="1399"/>
      <c r="I3039" s="1399"/>
      <c r="J3039" s="1399">
        <v>109205.97</v>
      </c>
    </row>
    <row r="3040" spans="5:10" s="1297" customFormat="1">
      <c r="E3040" s="1404" t="s">
        <v>948</v>
      </c>
      <c r="F3040" s="1405"/>
      <c r="G3040" s="1405"/>
      <c r="H3040" s="1405">
        <v>37922179.720000006</v>
      </c>
      <c r="I3040" s="1405"/>
      <c r="J3040" s="1405">
        <v>37922179.720000006</v>
      </c>
    </row>
    <row r="3041" spans="2:12">
      <c r="B3041" s="1297"/>
      <c r="C3041" s="1297"/>
      <c r="D3041" s="1297"/>
      <c r="E3041" s="1297" t="s">
        <v>1118</v>
      </c>
      <c r="H3041" s="1399">
        <v>3000.1600000000003</v>
      </c>
      <c r="J3041" s="1399">
        <v>3000.1600000000003</v>
      </c>
    </row>
    <row r="3042" spans="2:12">
      <c r="B3042" s="1297"/>
      <c r="C3042" s="1297"/>
      <c r="D3042" s="1400" t="s">
        <v>1195</v>
      </c>
      <c r="E3042" s="1400"/>
      <c r="F3042" s="1401">
        <f>SUM(F3000:F3041)</f>
        <v>8547699.6400000006</v>
      </c>
      <c r="G3042" s="1401">
        <f>SUM(G3000:G3041)</f>
        <v>42109905.909999996</v>
      </c>
      <c r="H3042" s="1401">
        <f>SUM(H3000:H3041)-H3040</f>
        <v>3827608.2499999925</v>
      </c>
      <c r="I3042" s="1401">
        <f>SUM(I3000:I3041)-I3025</f>
        <v>30422336.919999998</v>
      </c>
      <c r="J3042" s="1401">
        <f>SUM(J3000:J3041)</f>
        <v>123807062.64999998</v>
      </c>
      <c r="K3042" s="1401">
        <f>SUM(F3042:I3042)</f>
        <v>84907550.719999984</v>
      </c>
      <c r="L3042" s="1408">
        <f>K3042/C3000</f>
        <v>12053.882839295853</v>
      </c>
    </row>
    <row r="3043" spans="2:12">
      <c r="B3043" s="1297" t="s">
        <v>1196</v>
      </c>
      <c r="C3043" s="1297">
        <v>2044</v>
      </c>
      <c r="D3043" s="1297" t="s">
        <v>1197</v>
      </c>
      <c r="E3043" s="1297" t="s">
        <v>906</v>
      </c>
      <c r="G3043" s="1399">
        <v>6485543.7199999997</v>
      </c>
      <c r="J3043" s="1399">
        <v>6485543.7199999997</v>
      </c>
    </row>
    <row r="3044" spans="2:12">
      <c r="B3044" s="1297"/>
      <c r="C3044" s="1297"/>
      <c r="D3044" s="1297"/>
      <c r="E3044" s="1297" t="s">
        <v>952</v>
      </c>
      <c r="G3044" s="1399">
        <v>11485.01</v>
      </c>
      <c r="J3044" s="1399">
        <v>11485.01</v>
      </c>
    </row>
    <row r="3045" spans="2:12">
      <c r="B3045" s="1297"/>
      <c r="C3045" s="1297"/>
      <c r="D3045" s="1297"/>
      <c r="E3045" s="1297" t="s">
        <v>907</v>
      </c>
      <c r="G3045" s="1399">
        <v>879329.21</v>
      </c>
      <c r="J3045" s="1399">
        <v>879329.21</v>
      </c>
    </row>
    <row r="3046" spans="2:12">
      <c r="B3046" s="1297"/>
      <c r="C3046" s="1297"/>
      <c r="D3046" s="1297"/>
      <c r="E3046" s="1297" t="s">
        <v>908</v>
      </c>
      <c r="G3046" s="1399">
        <v>215259.87</v>
      </c>
      <c r="J3046" s="1399">
        <v>215259.87</v>
      </c>
    </row>
    <row r="3047" spans="2:12">
      <c r="B3047" s="1297"/>
      <c r="C3047" s="1297"/>
      <c r="D3047" s="1297"/>
      <c r="E3047" s="1297" t="s">
        <v>910</v>
      </c>
      <c r="H3047" s="1399">
        <v>36189.820000000007</v>
      </c>
      <c r="J3047" s="1399">
        <v>36189.820000000007</v>
      </c>
    </row>
    <row r="3048" spans="2:12">
      <c r="B3048" s="1297"/>
      <c r="C3048" s="1297"/>
      <c r="D3048" s="1297"/>
      <c r="E3048" s="1297" t="s">
        <v>1034</v>
      </c>
      <c r="H3048" s="1399">
        <v>29763.98</v>
      </c>
      <c r="J3048" s="1399">
        <v>29763.98</v>
      </c>
    </row>
    <row r="3049" spans="2:12">
      <c r="B3049" s="1297"/>
      <c r="C3049" s="1297"/>
      <c r="D3049" s="1297"/>
      <c r="E3049" s="1297" t="s">
        <v>1035</v>
      </c>
      <c r="H3049" s="1399">
        <v>147870.28000000003</v>
      </c>
      <c r="J3049" s="1399">
        <v>147870.28000000003</v>
      </c>
    </row>
    <row r="3050" spans="2:12">
      <c r="B3050" s="1297"/>
      <c r="C3050" s="1297"/>
      <c r="D3050" s="1297"/>
      <c r="E3050" s="1297" t="s">
        <v>1036</v>
      </c>
      <c r="H3050" s="1399">
        <v>60711.689999999995</v>
      </c>
      <c r="J3050" s="1399">
        <v>60711.689999999995</v>
      </c>
    </row>
    <row r="3051" spans="2:12">
      <c r="B3051" s="1297"/>
      <c r="C3051" s="1297"/>
      <c r="D3051" s="1297"/>
      <c r="E3051" s="1297" t="s">
        <v>1039</v>
      </c>
      <c r="H3051" s="1399">
        <v>125815.20000000001</v>
      </c>
      <c r="J3051" s="1399">
        <v>125815.20000000001</v>
      </c>
    </row>
    <row r="3052" spans="2:12">
      <c r="B3052" s="1297"/>
      <c r="C3052" s="1297"/>
      <c r="D3052" s="1297"/>
      <c r="E3052" s="1297" t="s">
        <v>1040</v>
      </c>
      <c r="H3052" s="1399">
        <v>148437.84</v>
      </c>
      <c r="J3052" s="1399">
        <v>148437.84</v>
      </c>
    </row>
    <row r="3053" spans="2:12">
      <c r="B3053" s="1297"/>
      <c r="C3053" s="1297"/>
      <c r="D3053" s="1297"/>
      <c r="E3053" s="1297" t="s">
        <v>1207</v>
      </c>
      <c r="H3053" s="1399">
        <v>7872.75</v>
      </c>
      <c r="J3053" s="1399">
        <v>7872.75</v>
      </c>
    </row>
    <row r="3054" spans="2:12">
      <c r="B3054" s="1297"/>
      <c r="C3054" s="1297"/>
      <c r="D3054" s="1297"/>
      <c r="E3054" s="1297" t="s">
        <v>1041</v>
      </c>
      <c r="H3054" s="1399">
        <v>38538.089999999997</v>
      </c>
      <c r="J3054" s="1399">
        <v>38538.089999999997</v>
      </c>
    </row>
    <row r="3055" spans="2:12">
      <c r="B3055" s="1297"/>
      <c r="C3055" s="1297"/>
      <c r="D3055" s="1297"/>
      <c r="E3055" s="1297" t="s">
        <v>1042</v>
      </c>
      <c r="H3055" s="1399">
        <v>48930.99</v>
      </c>
      <c r="J3055" s="1399">
        <v>48930.99</v>
      </c>
    </row>
    <row r="3056" spans="2:12">
      <c r="B3056" s="1297"/>
      <c r="C3056" s="1297"/>
      <c r="D3056" s="1297"/>
      <c r="E3056" s="1297" t="s">
        <v>1203</v>
      </c>
      <c r="H3056" s="1399">
        <v>11553</v>
      </c>
      <c r="J3056" s="1399">
        <v>11553</v>
      </c>
    </row>
    <row r="3057" spans="5:10" s="1297" customFormat="1">
      <c r="E3057" s="1297" t="s">
        <v>1004</v>
      </c>
      <c r="F3057" s="1399"/>
      <c r="G3057" s="1399"/>
      <c r="H3057" s="1399">
        <v>-101030.70000000001</v>
      </c>
      <c r="I3057" s="1399"/>
      <c r="J3057" s="1399">
        <v>-101030.70000000001</v>
      </c>
    </row>
    <row r="3058" spans="5:10" s="1297" customFormat="1">
      <c r="E3058" s="1297" t="s">
        <v>1045</v>
      </c>
      <c r="F3058" s="1399"/>
      <c r="G3058" s="1399"/>
      <c r="H3058" s="1399">
        <v>136834.29999999999</v>
      </c>
      <c r="I3058" s="1399"/>
      <c r="J3058" s="1399">
        <v>136834.29999999999</v>
      </c>
    </row>
    <row r="3059" spans="5:10" s="1297" customFormat="1">
      <c r="E3059" s="1297" t="s">
        <v>1046</v>
      </c>
      <c r="F3059" s="1399"/>
      <c r="G3059" s="1399"/>
      <c r="H3059" s="1399"/>
      <c r="I3059" s="1399">
        <v>10362530</v>
      </c>
      <c r="J3059" s="1399">
        <v>10362530</v>
      </c>
    </row>
    <row r="3060" spans="5:10" s="1297" customFormat="1">
      <c r="E3060" s="1297" t="s">
        <v>1128</v>
      </c>
      <c r="F3060" s="1399"/>
      <c r="G3060" s="1399"/>
      <c r="H3060" s="1399"/>
      <c r="I3060" s="1399">
        <v>898463</v>
      </c>
      <c r="J3060" s="1399">
        <v>898463</v>
      </c>
    </row>
    <row r="3061" spans="5:10" s="1297" customFormat="1">
      <c r="E3061" s="1297" t="s">
        <v>1129</v>
      </c>
      <c r="F3061" s="1399"/>
      <c r="G3061" s="1399"/>
      <c r="H3061" s="1399"/>
      <c r="I3061" s="1399">
        <v>-1364802</v>
      </c>
      <c r="J3061" s="1399">
        <v>-1364802</v>
      </c>
    </row>
    <row r="3062" spans="5:10" s="1297" customFormat="1">
      <c r="E3062" s="1297" t="s">
        <v>1047</v>
      </c>
      <c r="F3062" s="1399"/>
      <c r="G3062" s="1399"/>
      <c r="H3062" s="1399"/>
      <c r="I3062" s="1399">
        <v>373324</v>
      </c>
      <c r="J3062" s="1399">
        <v>373324</v>
      </c>
    </row>
    <row r="3063" spans="5:10" s="1297" customFormat="1">
      <c r="E3063" s="1297" t="s">
        <v>1048</v>
      </c>
      <c r="F3063" s="1399"/>
      <c r="G3063" s="1399"/>
      <c r="H3063" s="1399"/>
      <c r="I3063" s="1399">
        <v>-1961432</v>
      </c>
      <c r="J3063" s="1399">
        <v>-1961432</v>
      </c>
    </row>
    <row r="3064" spans="5:10" s="1297" customFormat="1">
      <c r="E3064" s="1297" t="s">
        <v>932</v>
      </c>
      <c r="F3064" s="1399"/>
      <c r="G3064" s="1399"/>
      <c r="H3064" s="1399"/>
      <c r="I3064" s="1399">
        <v>258173</v>
      </c>
      <c r="J3064" s="1399">
        <v>258173</v>
      </c>
    </row>
    <row r="3065" spans="5:10" s="1297" customFormat="1">
      <c r="E3065" s="1404" t="s">
        <v>955</v>
      </c>
      <c r="F3065" s="1405"/>
      <c r="G3065" s="1405"/>
      <c r="H3065" s="1405"/>
      <c r="I3065" s="1405">
        <v>270666.46000000002</v>
      </c>
      <c r="J3065" s="1405">
        <v>270666.46000000002</v>
      </c>
    </row>
    <row r="3066" spans="5:10" s="1297" customFormat="1">
      <c r="E3066" s="1297" t="s">
        <v>934</v>
      </c>
      <c r="F3066" s="1399"/>
      <c r="G3066" s="1399"/>
      <c r="H3066" s="1399"/>
      <c r="I3066" s="1399">
        <v>37202</v>
      </c>
      <c r="J3066" s="1399">
        <v>37202</v>
      </c>
    </row>
    <row r="3067" spans="5:10" s="1297" customFormat="1">
      <c r="E3067" s="1297" t="s">
        <v>935</v>
      </c>
      <c r="F3067" s="1399"/>
      <c r="G3067" s="1399"/>
      <c r="H3067" s="1399"/>
      <c r="I3067" s="1399">
        <v>238218.44</v>
      </c>
      <c r="J3067" s="1399">
        <v>238218.44</v>
      </c>
    </row>
    <row r="3068" spans="5:10" s="1297" customFormat="1">
      <c r="E3068" s="1297" t="s">
        <v>936</v>
      </c>
      <c r="F3068" s="1399"/>
      <c r="G3068" s="1399"/>
      <c r="H3068" s="1399"/>
      <c r="I3068" s="1399">
        <v>39917.160000000003</v>
      </c>
      <c r="J3068" s="1399">
        <v>39917.160000000003</v>
      </c>
    </row>
    <row r="3069" spans="5:10" s="1297" customFormat="1">
      <c r="E3069" s="1297" t="s">
        <v>937</v>
      </c>
      <c r="F3069" s="1399"/>
      <c r="G3069" s="1399"/>
      <c r="H3069" s="1399"/>
      <c r="I3069" s="1399">
        <v>19629.23</v>
      </c>
      <c r="J3069" s="1399">
        <v>19629.23</v>
      </c>
    </row>
    <row r="3070" spans="5:10" s="1297" customFormat="1">
      <c r="E3070" s="1297" t="s">
        <v>938</v>
      </c>
      <c r="F3070" s="1399"/>
      <c r="G3070" s="1399"/>
      <c r="H3070" s="1399"/>
      <c r="I3070" s="1399">
        <v>13288</v>
      </c>
      <c r="J3070" s="1399">
        <v>13288</v>
      </c>
    </row>
    <row r="3071" spans="5:10" s="1297" customFormat="1">
      <c r="E3071" s="1297" t="s">
        <v>1131</v>
      </c>
      <c r="F3071" s="1399">
        <v>604806</v>
      </c>
      <c r="G3071" s="1399"/>
      <c r="H3071" s="1399"/>
      <c r="I3071" s="1399"/>
      <c r="J3071" s="1399">
        <v>604806</v>
      </c>
    </row>
    <row r="3072" spans="5:10" s="1297" customFormat="1">
      <c r="E3072" s="1297" t="s">
        <v>940</v>
      </c>
      <c r="F3072" s="1399">
        <v>654642.1</v>
      </c>
      <c r="G3072" s="1399"/>
      <c r="H3072" s="1399"/>
      <c r="I3072" s="1399"/>
      <c r="J3072" s="1399">
        <v>654642.1</v>
      </c>
    </row>
    <row r="3073" spans="2:12">
      <c r="B3073" s="1297"/>
      <c r="C3073" s="1297"/>
      <c r="D3073" s="1297"/>
      <c r="E3073" s="1297" t="s">
        <v>941</v>
      </c>
      <c r="F3073" s="1399">
        <v>297802.71999999997</v>
      </c>
      <c r="J3073" s="1399">
        <v>297802.71999999997</v>
      </c>
    </row>
    <row r="3074" spans="2:12">
      <c r="B3074" s="1297"/>
      <c r="C3074" s="1297"/>
      <c r="D3074" s="1297"/>
      <c r="E3074" s="1297" t="s">
        <v>943</v>
      </c>
      <c r="F3074" s="1399">
        <v>0</v>
      </c>
      <c r="J3074" s="1399">
        <v>0</v>
      </c>
    </row>
    <row r="3075" spans="2:12">
      <c r="B3075" s="1297"/>
      <c r="C3075" s="1297"/>
      <c r="D3075" s="1297"/>
      <c r="E3075" s="1297" t="s">
        <v>944</v>
      </c>
      <c r="F3075" s="1399">
        <v>2316498.1099999994</v>
      </c>
      <c r="J3075" s="1399">
        <v>2316498.1099999994</v>
      </c>
    </row>
    <row r="3076" spans="2:12">
      <c r="B3076" s="1297"/>
      <c r="C3076" s="1297"/>
      <c r="D3076" s="1297"/>
      <c r="E3076" s="1297" t="s">
        <v>945</v>
      </c>
      <c r="F3076" s="1399">
        <v>734609.12</v>
      </c>
      <c r="J3076" s="1399">
        <v>734609.12</v>
      </c>
    </row>
    <row r="3077" spans="2:12">
      <c r="B3077" s="1297"/>
      <c r="C3077" s="1297"/>
      <c r="D3077" s="1297"/>
      <c r="E3077" s="1297" t="s">
        <v>1214</v>
      </c>
      <c r="F3077" s="1399">
        <v>85666.21</v>
      </c>
      <c r="J3077" s="1399">
        <v>85666.21</v>
      </c>
    </row>
    <row r="3078" spans="2:12">
      <c r="B3078" s="1297"/>
      <c r="C3078" s="1297"/>
      <c r="D3078" s="1297"/>
      <c r="E3078" s="1297" t="s">
        <v>947</v>
      </c>
      <c r="F3078" s="1399">
        <v>91691.74</v>
      </c>
      <c r="J3078" s="1399">
        <v>91691.74</v>
      </c>
    </row>
    <row r="3079" spans="2:12">
      <c r="B3079" s="1297"/>
      <c r="C3079" s="1297"/>
      <c r="D3079" s="1297"/>
      <c r="E3079" s="1404" t="s">
        <v>948</v>
      </c>
      <c r="F3079" s="1405"/>
      <c r="G3079" s="1405"/>
      <c r="H3079" s="1405">
        <v>10997306.59</v>
      </c>
      <c r="I3079" s="1405"/>
      <c r="J3079" s="1405">
        <v>10997306.59</v>
      </c>
    </row>
    <row r="3080" spans="2:12">
      <c r="B3080" s="1297"/>
      <c r="C3080" s="1297"/>
      <c r="D3080" s="1297"/>
      <c r="E3080" s="1297" t="s">
        <v>1118</v>
      </c>
      <c r="H3080" s="1399">
        <v>278</v>
      </c>
      <c r="J3080" s="1399">
        <v>278</v>
      </c>
    </row>
    <row r="3081" spans="2:12">
      <c r="B3081" s="1297"/>
      <c r="C3081" s="1297"/>
      <c r="D3081" s="1400" t="s">
        <v>1198</v>
      </c>
      <c r="E3081" s="1400"/>
      <c r="F3081" s="1401">
        <f>SUM(F3043:F3080)</f>
        <v>4785716</v>
      </c>
      <c r="G3081" s="1401">
        <f>SUM(G3043:G3080)</f>
        <v>7591617.8099999996</v>
      </c>
      <c r="H3081" s="1401">
        <f>SUM(H3043:H3080)-H3079</f>
        <v>691765.24000000022</v>
      </c>
      <c r="I3081" s="1401">
        <f>SUM(I3043:I3080)-I3065</f>
        <v>8914510.8300000001</v>
      </c>
      <c r="J3081" s="1401">
        <f>SUM(J3043:J3080)</f>
        <v>33251582.930000003</v>
      </c>
      <c r="K3081" s="1401">
        <f>SUM(F3081:I3081)</f>
        <v>21983609.879999999</v>
      </c>
      <c r="L3081" s="1408">
        <f>K3081/C3043</f>
        <v>10755.190743639921</v>
      </c>
    </row>
    <row r="3082" spans="2:12">
      <c r="B3082" s="1297" t="s">
        <v>1393</v>
      </c>
      <c r="C3082" s="1297">
        <v>2798</v>
      </c>
      <c r="D3082" s="1297" t="s">
        <v>1394</v>
      </c>
      <c r="E3082" s="1297" t="s">
        <v>906</v>
      </c>
      <c r="G3082" s="1399">
        <v>3249738.47</v>
      </c>
      <c r="J3082" s="1399">
        <v>3249738.47</v>
      </c>
    </row>
    <row r="3083" spans="2:12">
      <c r="B3083" s="1297"/>
      <c r="C3083" s="1297"/>
      <c r="D3083" s="1297"/>
      <c r="E3083" s="1297" t="s">
        <v>952</v>
      </c>
      <c r="G3083" s="1399">
        <v>33616.629999999997</v>
      </c>
      <c r="J3083" s="1399">
        <v>33616.629999999997</v>
      </c>
    </row>
    <row r="3084" spans="2:12">
      <c r="B3084" s="1297"/>
      <c r="C3084" s="1297"/>
      <c r="D3084" s="1297"/>
      <c r="E3084" s="1297" t="s">
        <v>907</v>
      </c>
      <c r="G3084" s="1399">
        <v>2002576.11</v>
      </c>
      <c r="J3084" s="1399">
        <v>2002576.11</v>
      </c>
    </row>
    <row r="3085" spans="2:12">
      <c r="B3085" s="1297"/>
      <c r="C3085" s="1297"/>
      <c r="D3085" s="1297"/>
      <c r="E3085" s="1297" t="s">
        <v>908</v>
      </c>
      <c r="G3085" s="1399">
        <v>9992.16</v>
      </c>
      <c r="J3085" s="1399">
        <v>9992.16</v>
      </c>
    </row>
    <row r="3086" spans="2:12">
      <c r="B3086" s="1297"/>
      <c r="C3086" s="1297"/>
      <c r="D3086" s="1297"/>
      <c r="E3086" s="1297" t="s">
        <v>909</v>
      </c>
      <c r="H3086" s="1399">
        <v>209091.53</v>
      </c>
      <c r="J3086" s="1399">
        <v>209091.53</v>
      </c>
    </row>
    <row r="3087" spans="2:12">
      <c r="B3087" s="1297"/>
      <c r="C3087" s="1297"/>
      <c r="D3087" s="1297"/>
      <c r="E3087" s="1297" t="s">
        <v>910</v>
      </c>
      <c r="H3087" s="1399">
        <v>9773.0499999999993</v>
      </c>
      <c r="J3087" s="1399">
        <v>9773.0499999999993</v>
      </c>
    </row>
    <row r="3088" spans="2:12">
      <c r="B3088" s="1297"/>
      <c r="C3088" s="1297"/>
      <c r="D3088" s="1297"/>
      <c r="E3088" s="1297" t="s">
        <v>1034</v>
      </c>
      <c r="H3088" s="1399">
        <v>108529.38999999998</v>
      </c>
      <c r="J3088" s="1399">
        <v>108529.38999999998</v>
      </c>
    </row>
    <row r="3089" spans="5:10" s="1297" customFormat="1">
      <c r="E3089" s="1297" t="s">
        <v>1035</v>
      </c>
      <c r="F3089" s="1399"/>
      <c r="G3089" s="1399"/>
      <c r="H3089" s="1399">
        <v>134381.51999999999</v>
      </c>
      <c r="I3089" s="1399"/>
      <c r="J3089" s="1399">
        <v>134381.51999999999</v>
      </c>
    </row>
    <row r="3090" spans="5:10" s="1297" customFormat="1">
      <c r="E3090" s="1297" t="s">
        <v>1036</v>
      </c>
      <c r="F3090" s="1399"/>
      <c r="G3090" s="1399"/>
      <c r="H3090" s="1399">
        <v>33187.42</v>
      </c>
      <c r="I3090" s="1399"/>
      <c r="J3090" s="1399">
        <v>33187.42</v>
      </c>
    </row>
    <row r="3091" spans="5:10" s="1297" customFormat="1">
      <c r="E3091" s="1297" t="s">
        <v>1037</v>
      </c>
      <c r="F3091" s="1399"/>
      <c r="G3091" s="1399"/>
      <c r="H3091" s="1399">
        <v>40116.33</v>
      </c>
      <c r="I3091" s="1399"/>
      <c r="J3091" s="1399">
        <v>40116.33</v>
      </c>
    </row>
    <row r="3092" spans="5:10" s="1297" customFormat="1">
      <c r="E3092" s="1297" t="s">
        <v>1039</v>
      </c>
      <c r="F3092" s="1399"/>
      <c r="G3092" s="1399"/>
      <c r="H3092" s="1399">
        <v>38946.26</v>
      </c>
      <c r="I3092" s="1399"/>
      <c r="J3092" s="1399">
        <v>38946.26</v>
      </c>
    </row>
    <row r="3093" spans="5:10" s="1297" customFormat="1">
      <c r="E3093" s="1297" t="s">
        <v>1040</v>
      </c>
      <c r="F3093" s="1399"/>
      <c r="G3093" s="1399"/>
      <c r="H3093" s="1399">
        <v>156251.72</v>
      </c>
      <c r="I3093" s="1399"/>
      <c r="J3093" s="1399">
        <v>156251.72</v>
      </c>
    </row>
    <row r="3094" spans="5:10" s="1297" customFormat="1">
      <c r="E3094" s="1297" t="s">
        <v>1041</v>
      </c>
      <c r="F3094" s="1399"/>
      <c r="G3094" s="1399"/>
      <c r="H3094" s="1399">
        <v>13074.85</v>
      </c>
      <c r="I3094" s="1399"/>
      <c r="J3094" s="1399">
        <v>13074.85</v>
      </c>
    </row>
    <row r="3095" spans="5:10" s="1297" customFormat="1">
      <c r="E3095" s="1297" t="s">
        <v>1042</v>
      </c>
      <c r="F3095" s="1399"/>
      <c r="G3095" s="1399"/>
      <c r="H3095" s="1399">
        <v>50704.51</v>
      </c>
      <c r="I3095" s="1399"/>
      <c r="J3095" s="1399">
        <v>50704.51</v>
      </c>
    </row>
    <row r="3096" spans="5:10" s="1297" customFormat="1">
      <c r="E3096" s="1297" t="s">
        <v>953</v>
      </c>
      <c r="F3096" s="1399"/>
      <c r="G3096" s="1399"/>
      <c r="H3096" s="1399">
        <v>24686</v>
      </c>
      <c r="I3096" s="1399"/>
      <c r="J3096" s="1399">
        <v>24686</v>
      </c>
    </row>
    <row r="3097" spans="5:10" s="1297" customFormat="1">
      <c r="E3097" s="1297" t="s">
        <v>985</v>
      </c>
      <c r="F3097" s="1399"/>
      <c r="G3097" s="1399"/>
      <c r="H3097" s="1399">
        <v>9992.31</v>
      </c>
      <c r="I3097" s="1399"/>
      <c r="J3097" s="1399">
        <v>9992.31</v>
      </c>
    </row>
    <row r="3098" spans="5:10" s="1297" customFormat="1">
      <c r="E3098" s="1297" t="s">
        <v>1045</v>
      </c>
      <c r="F3098" s="1399"/>
      <c r="G3098" s="1399"/>
      <c r="H3098" s="1399">
        <v>193607.71</v>
      </c>
      <c r="I3098" s="1399"/>
      <c r="J3098" s="1399">
        <v>193607.71</v>
      </c>
    </row>
    <row r="3099" spans="5:10" s="1297" customFormat="1">
      <c r="E3099" s="1297" t="s">
        <v>1046</v>
      </c>
      <c r="F3099" s="1399"/>
      <c r="G3099" s="1399"/>
      <c r="H3099" s="1399"/>
      <c r="I3099" s="1399">
        <v>14292313</v>
      </c>
      <c r="J3099" s="1399">
        <v>14292313</v>
      </c>
    </row>
    <row r="3100" spans="5:10" s="1297" customFormat="1">
      <c r="E3100" s="1297" t="s">
        <v>1047</v>
      </c>
      <c r="F3100" s="1399"/>
      <c r="G3100" s="1399"/>
      <c r="H3100" s="1399"/>
      <c r="I3100" s="1399">
        <v>466779</v>
      </c>
      <c r="J3100" s="1399">
        <v>466779</v>
      </c>
    </row>
    <row r="3101" spans="5:10" s="1297" customFormat="1">
      <c r="E3101" s="1297" t="s">
        <v>1048</v>
      </c>
      <c r="F3101" s="1399"/>
      <c r="G3101" s="1399"/>
      <c r="H3101" s="1399"/>
      <c r="I3101" s="1399">
        <v>-1492121</v>
      </c>
      <c r="J3101" s="1399">
        <v>-1492121</v>
      </c>
    </row>
    <row r="3102" spans="5:10" s="1297" customFormat="1">
      <c r="E3102" s="1297" t="s">
        <v>932</v>
      </c>
      <c r="F3102" s="1399"/>
      <c r="G3102" s="1399"/>
      <c r="H3102" s="1399"/>
      <c r="I3102" s="1399">
        <v>1277849</v>
      </c>
      <c r="J3102" s="1399">
        <v>1277849</v>
      </c>
    </row>
    <row r="3103" spans="5:10" s="1297" customFormat="1">
      <c r="E3103" s="1404" t="s">
        <v>955</v>
      </c>
      <c r="F3103" s="1405"/>
      <c r="G3103" s="1405"/>
      <c r="H3103" s="1405"/>
      <c r="I3103" s="1405">
        <v>950323.81</v>
      </c>
      <c r="J3103" s="1405">
        <v>950323.81</v>
      </c>
    </row>
    <row r="3104" spans="5:10" s="1297" customFormat="1">
      <c r="E3104" s="1297" t="s">
        <v>934</v>
      </c>
      <c r="F3104" s="1399"/>
      <c r="G3104" s="1399"/>
      <c r="H3104" s="1399"/>
      <c r="I3104" s="1399">
        <v>51616</v>
      </c>
      <c r="J3104" s="1399">
        <v>51616</v>
      </c>
    </row>
    <row r="3105" spans="2:12">
      <c r="B3105" s="1297"/>
      <c r="C3105" s="1297"/>
      <c r="D3105" s="1297"/>
      <c r="E3105" s="1297" t="s">
        <v>1130</v>
      </c>
      <c r="I3105" s="1399">
        <v>1090303</v>
      </c>
      <c r="J3105" s="1399">
        <v>1090303</v>
      </c>
    </row>
    <row r="3106" spans="2:12">
      <c r="B3106" s="1297"/>
      <c r="C3106" s="1297"/>
      <c r="D3106" s="1297"/>
      <c r="E3106" s="1297" t="s">
        <v>935</v>
      </c>
      <c r="I3106" s="1399">
        <v>358695.98000000004</v>
      </c>
      <c r="J3106" s="1399">
        <v>358695.98000000004</v>
      </c>
    </row>
    <row r="3107" spans="2:12">
      <c r="B3107" s="1297"/>
      <c r="C3107" s="1297"/>
      <c r="D3107" s="1297"/>
      <c r="E3107" s="1297" t="s">
        <v>936</v>
      </c>
      <c r="I3107" s="1399">
        <v>46920.17</v>
      </c>
      <c r="J3107" s="1399">
        <v>46920.17</v>
      </c>
    </row>
    <row r="3108" spans="2:12">
      <c r="B3108" s="1297"/>
      <c r="C3108" s="1297"/>
      <c r="D3108" s="1297"/>
      <c r="E3108" s="1297" t="s">
        <v>937</v>
      </c>
      <c r="I3108" s="1399">
        <v>13215.35</v>
      </c>
      <c r="J3108" s="1399">
        <v>13215.35</v>
      </c>
    </row>
    <row r="3109" spans="2:12">
      <c r="B3109" s="1297"/>
      <c r="C3109" s="1297"/>
      <c r="D3109" s="1297"/>
      <c r="E3109" s="1297" t="s">
        <v>938</v>
      </c>
      <c r="I3109" s="1399">
        <v>15909</v>
      </c>
      <c r="J3109" s="1399">
        <v>15909</v>
      </c>
    </row>
    <row r="3110" spans="2:12">
      <c r="B3110" s="1297"/>
      <c r="C3110" s="1297"/>
      <c r="D3110" s="1297"/>
      <c r="E3110" s="1297" t="s">
        <v>939</v>
      </c>
      <c r="I3110" s="1399">
        <v>146823.13</v>
      </c>
      <c r="J3110" s="1399">
        <v>146823.13</v>
      </c>
    </row>
    <row r="3111" spans="2:12">
      <c r="B3111" s="1297"/>
      <c r="C3111" s="1297"/>
      <c r="D3111" s="1297"/>
      <c r="E3111" s="1297" t="s">
        <v>940</v>
      </c>
      <c r="F3111" s="1399">
        <v>929665.76</v>
      </c>
      <c r="J3111" s="1399">
        <v>929665.76</v>
      </c>
    </row>
    <row r="3112" spans="2:12">
      <c r="B3112" s="1297"/>
      <c r="C3112" s="1297"/>
      <c r="D3112" s="1297"/>
      <c r="E3112" s="1297" t="s">
        <v>941</v>
      </c>
      <c r="F3112" s="1399">
        <v>298859.62</v>
      </c>
      <c r="J3112" s="1399">
        <v>298859.62</v>
      </c>
    </row>
    <row r="3113" spans="2:12">
      <c r="B3113" s="1297"/>
      <c r="C3113" s="1297"/>
      <c r="D3113" s="1297"/>
      <c r="E3113" s="1297" t="s">
        <v>943</v>
      </c>
      <c r="F3113" s="1399">
        <v>15202.56</v>
      </c>
      <c r="J3113" s="1399">
        <v>15202.56</v>
      </c>
    </row>
    <row r="3114" spans="2:12">
      <c r="B3114" s="1297"/>
      <c r="C3114" s="1297"/>
      <c r="D3114" s="1297"/>
      <c r="E3114" s="1297" t="s">
        <v>944</v>
      </c>
      <c r="F3114" s="1399">
        <v>1857877.8699999996</v>
      </c>
      <c r="J3114" s="1399">
        <v>1857877.8699999996</v>
      </c>
    </row>
    <row r="3115" spans="2:12">
      <c r="B3115" s="1297"/>
      <c r="C3115" s="1297"/>
      <c r="D3115" s="1297"/>
      <c r="E3115" s="1297" t="s">
        <v>945</v>
      </c>
      <c r="F3115" s="1399">
        <v>1108010.6599999999</v>
      </c>
      <c r="J3115" s="1399">
        <v>1108010.6599999999</v>
      </c>
    </row>
    <row r="3116" spans="2:12">
      <c r="B3116" s="1297"/>
      <c r="C3116" s="1297"/>
      <c r="D3116" s="1297"/>
      <c r="E3116" s="1297" t="s">
        <v>947</v>
      </c>
      <c r="F3116" s="1399">
        <v>78592.740000000005</v>
      </c>
      <c r="J3116" s="1399">
        <v>78592.740000000005</v>
      </c>
    </row>
    <row r="3117" spans="2:12">
      <c r="B3117" s="1297"/>
      <c r="C3117" s="1297"/>
      <c r="D3117" s="1297"/>
      <c r="E3117" s="1404" t="s">
        <v>948</v>
      </c>
      <c r="F3117" s="1405"/>
      <c r="G3117" s="1405"/>
      <c r="H3117" s="1405">
        <v>1991949.73</v>
      </c>
      <c r="I3117" s="1405"/>
      <c r="J3117" s="1405">
        <v>1991949.73</v>
      </c>
    </row>
    <row r="3118" spans="2:12">
      <c r="B3118" s="1297"/>
      <c r="C3118" s="1297"/>
      <c r="D3118" s="1297"/>
      <c r="E3118" s="1297" t="s">
        <v>1118</v>
      </c>
      <c r="H3118" s="1399">
        <v>17273.55</v>
      </c>
      <c r="J3118" s="1399">
        <v>17273.55</v>
      </c>
    </row>
    <row r="3119" spans="2:12">
      <c r="B3119" s="1297"/>
      <c r="C3119" s="1297"/>
      <c r="D3119" s="1400" t="s">
        <v>1395</v>
      </c>
      <c r="E3119" s="1400"/>
      <c r="F3119" s="1401">
        <f>SUM(F3082:F3118)</f>
        <v>4288209.21</v>
      </c>
      <c r="G3119" s="1401">
        <f>SUM(G3082:G3118)</f>
        <v>5295923.37</v>
      </c>
      <c r="H3119" s="1401">
        <f>SUM(H3082:H3118)-H3117</f>
        <v>1039616.1499999999</v>
      </c>
      <c r="I3119" s="1401">
        <f>SUM(I3082:I3118)-I3103</f>
        <v>16268302.630000001</v>
      </c>
      <c r="J3119" s="1401">
        <f>SUM(J3082:J3118)</f>
        <v>29834324.900000002</v>
      </c>
      <c r="K3119" s="1401">
        <f>SUM(F3119:I3119)</f>
        <v>26892051.359999999</v>
      </c>
      <c r="L3119" s="1408">
        <f>K3119/C3082</f>
        <v>9611.1691779842749</v>
      </c>
    </row>
    <row r="3120" spans="2:12">
      <c r="B3120" s="1297" t="s">
        <v>1396</v>
      </c>
      <c r="C3120" s="1297">
        <v>2796</v>
      </c>
      <c r="D3120" s="1297" t="s">
        <v>1397</v>
      </c>
      <c r="E3120" s="1297" t="s">
        <v>906</v>
      </c>
      <c r="G3120" s="1399">
        <v>5738790.25</v>
      </c>
      <c r="J3120" s="1399">
        <v>5738790.25</v>
      </c>
    </row>
    <row r="3121" spans="5:10" s="1297" customFormat="1">
      <c r="E3121" s="1297" t="s">
        <v>952</v>
      </c>
      <c r="F3121" s="1399"/>
      <c r="G3121" s="1399">
        <v>8257.27</v>
      </c>
      <c r="H3121" s="1399"/>
      <c r="I3121" s="1399"/>
      <c r="J3121" s="1399">
        <v>8257.27</v>
      </c>
    </row>
    <row r="3122" spans="5:10" s="1297" customFormat="1">
      <c r="E3122" s="1297" t="s">
        <v>907</v>
      </c>
      <c r="F3122" s="1399"/>
      <c r="G3122" s="1399">
        <v>1950911.97</v>
      </c>
      <c r="H3122" s="1399"/>
      <c r="I3122" s="1399"/>
      <c r="J3122" s="1399">
        <v>1950911.97</v>
      </c>
    </row>
    <row r="3123" spans="5:10" s="1297" customFormat="1">
      <c r="E3123" s="1297" t="s">
        <v>908</v>
      </c>
      <c r="F3123" s="1399"/>
      <c r="G3123" s="1399">
        <v>25653.32</v>
      </c>
      <c r="H3123" s="1399"/>
      <c r="I3123" s="1399"/>
      <c r="J3123" s="1399">
        <v>25653.32</v>
      </c>
    </row>
    <row r="3124" spans="5:10" s="1297" customFormat="1">
      <c r="E3124" s="1297" t="s">
        <v>1003</v>
      </c>
      <c r="F3124" s="1399"/>
      <c r="G3124" s="1399"/>
      <c r="H3124" s="1399">
        <v>52800</v>
      </c>
      <c r="I3124" s="1399"/>
      <c r="J3124" s="1399">
        <v>52800</v>
      </c>
    </row>
    <row r="3125" spans="5:10" s="1297" customFormat="1">
      <c r="E3125" s="1297" t="s">
        <v>1039</v>
      </c>
      <c r="F3125" s="1399"/>
      <c r="G3125" s="1399"/>
      <c r="H3125" s="1399">
        <v>26806.37</v>
      </c>
      <c r="I3125" s="1399"/>
      <c r="J3125" s="1399">
        <v>26806.37</v>
      </c>
    </row>
    <row r="3126" spans="5:10" s="1297" customFormat="1">
      <c r="E3126" s="1297" t="s">
        <v>1040</v>
      </c>
      <c r="F3126" s="1399"/>
      <c r="G3126" s="1399"/>
      <c r="H3126" s="1399">
        <v>85133.86</v>
      </c>
      <c r="I3126" s="1399"/>
      <c r="J3126" s="1399">
        <v>85133.86</v>
      </c>
    </row>
    <row r="3127" spans="5:10" s="1297" customFormat="1">
      <c r="E3127" s="1297" t="s">
        <v>1127</v>
      </c>
      <c r="F3127" s="1399"/>
      <c r="G3127" s="1399"/>
      <c r="H3127" s="1399">
        <v>10745.1</v>
      </c>
      <c r="I3127" s="1399"/>
      <c r="J3127" s="1399">
        <v>10745.1</v>
      </c>
    </row>
    <row r="3128" spans="5:10" s="1297" customFormat="1">
      <c r="E3128" s="1297" t="s">
        <v>1041</v>
      </c>
      <c r="F3128" s="1399"/>
      <c r="G3128" s="1399"/>
      <c r="H3128" s="1399">
        <v>2121.0700000000002</v>
      </c>
      <c r="I3128" s="1399"/>
      <c r="J3128" s="1399">
        <v>2121.0700000000002</v>
      </c>
    </row>
    <row r="3129" spans="5:10" s="1297" customFormat="1">
      <c r="E3129" s="1297" t="s">
        <v>1042</v>
      </c>
      <c r="F3129" s="1399"/>
      <c r="G3129" s="1399"/>
      <c r="H3129" s="1399">
        <v>48737.5</v>
      </c>
      <c r="I3129" s="1399"/>
      <c r="J3129" s="1399">
        <v>48737.5</v>
      </c>
    </row>
    <row r="3130" spans="5:10" s="1297" customFormat="1">
      <c r="E3130" s="1297" t="s">
        <v>1043</v>
      </c>
      <c r="F3130" s="1399"/>
      <c r="G3130" s="1399"/>
      <c r="H3130" s="1399">
        <v>18000</v>
      </c>
      <c r="I3130" s="1399"/>
      <c r="J3130" s="1399">
        <v>18000</v>
      </c>
    </row>
    <row r="3131" spans="5:10" s="1297" customFormat="1">
      <c r="E3131" s="1297" t="s">
        <v>986</v>
      </c>
      <c r="F3131" s="1399"/>
      <c r="G3131" s="1399"/>
      <c r="H3131" s="1399">
        <v>165284.18</v>
      </c>
      <c r="I3131" s="1399"/>
      <c r="J3131" s="1399">
        <v>165284.18</v>
      </c>
    </row>
    <row r="3132" spans="5:10" s="1297" customFormat="1">
      <c r="E3132" s="1297" t="s">
        <v>1005</v>
      </c>
      <c r="F3132" s="1399"/>
      <c r="G3132" s="1399"/>
      <c r="H3132" s="1399">
        <v>248675.46999999997</v>
      </c>
      <c r="I3132" s="1399"/>
      <c r="J3132" s="1399">
        <v>248675.46999999997</v>
      </c>
    </row>
    <row r="3133" spans="5:10" s="1297" customFormat="1">
      <c r="E3133" s="1297" t="s">
        <v>1045</v>
      </c>
      <c r="F3133" s="1399"/>
      <c r="G3133" s="1399"/>
      <c r="H3133" s="1399">
        <v>237529.34999999998</v>
      </c>
      <c r="I3133" s="1399"/>
      <c r="J3133" s="1399">
        <v>237529.34999999998</v>
      </c>
    </row>
    <row r="3134" spans="5:10" s="1297" customFormat="1">
      <c r="E3134" s="1297" t="s">
        <v>1046</v>
      </c>
      <c r="F3134" s="1399"/>
      <c r="G3134" s="1399"/>
      <c r="H3134" s="1399"/>
      <c r="I3134" s="1399">
        <v>14710896</v>
      </c>
      <c r="J3134" s="1399">
        <v>14710896</v>
      </c>
    </row>
    <row r="3135" spans="5:10" s="1297" customFormat="1">
      <c r="E3135" s="1297" t="s">
        <v>1047</v>
      </c>
      <c r="F3135" s="1399"/>
      <c r="G3135" s="1399"/>
      <c r="H3135" s="1399"/>
      <c r="I3135" s="1399">
        <v>593694</v>
      </c>
      <c r="J3135" s="1399">
        <v>593694</v>
      </c>
    </row>
    <row r="3136" spans="5:10" s="1297" customFormat="1">
      <c r="E3136" s="1297" t="s">
        <v>1048</v>
      </c>
      <c r="F3136" s="1399"/>
      <c r="G3136" s="1399"/>
      <c r="H3136" s="1399"/>
      <c r="I3136" s="1399">
        <v>-1976549</v>
      </c>
      <c r="J3136" s="1399">
        <v>-1976549</v>
      </c>
    </row>
    <row r="3137" spans="2:12">
      <c r="B3137" s="1297"/>
      <c r="C3137" s="1297"/>
      <c r="D3137" s="1297"/>
      <c r="E3137" s="1297" t="s">
        <v>932</v>
      </c>
      <c r="I3137" s="1399">
        <v>1308675</v>
      </c>
      <c r="J3137" s="1399">
        <v>1308675</v>
      </c>
    </row>
    <row r="3138" spans="2:12">
      <c r="B3138" s="1297"/>
      <c r="C3138" s="1297"/>
      <c r="D3138" s="1297"/>
      <c r="E3138" s="1297" t="s">
        <v>934</v>
      </c>
      <c r="I3138" s="1399">
        <v>54110</v>
      </c>
      <c r="J3138" s="1399">
        <v>54110</v>
      </c>
    </row>
    <row r="3139" spans="2:12">
      <c r="B3139" s="1297"/>
      <c r="C3139" s="1297"/>
      <c r="D3139" s="1297"/>
      <c r="E3139" s="1297" t="s">
        <v>935</v>
      </c>
      <c r="I3139" s="1399">
        <v>377364</v>
      </c>
      <c r="J3139" s="1399">
        <v>377364</v>
      </c>
    </row>
    <row r="3140" spans="2:12">
      <c r="B3140" s="1297"/>
      <c r="C3140" s="1297"/>
      <c r="D3140" s="1297"/>
      <c r="E3140" s="1297" t="s">
        <v>936</v>
      </c>
      <c r="I3140" s="1399">
        <v>52522.58</v>
      </c>
      <c r="J3140" s="1399">
        <v>52522.58</v>
      </c>
    </row>
    <row r="3141" spans="2:12">
      <c r="B3141" s="1297"/>
      <c r="C3141" s="1297"/>
      <c r="D3141" s="1297"/>
      <c r="E3141" s="1297" t="s">
        <v>937</v>
      </c>
      <c r="I3141" s="1399">
        <v>980.13</v>
      </c>
      <c r="J3141" s="1399">
        <v>980.13</v>
      </c>
    </row>
    <row r="3142" spans="2:12">
      <c r="B3142" s="1297"/>
      <c r="C3142" s="1297"/>
      <c r="D3142" s="1297"/>
      <c r="E3142" s="1297" t="s">
        <v>938</v>
      </c>
      <c r="I3142" s="1399">
        <v>19465</v>
      </c>
      <c r="J3142" s="1399">
        <v>19465</v>
      </c>
    </row>
    <row r="3143" spans="2:12">
      <c r="B3143" s="1297"/>
      <c r="C3143" s="1297"/>
      <c r="D3143" s="1297"/>
      <c r="E3143" s="1297" t="s">
        <v>939</v>
      </c>
      <c r="I3143" s="1399">
        <v>853361.31</v>
      </c>
      <c r="J3143" s="1399">
        <v>853361.31</v>
      </c>
    </row>
    <row r="3144" spans="2:12">
      <c r="B3144" s="1297"/>
      <c r="C3144" s="1297"/>
      <c r="D3144" s="1297"/>
      <c r="E3144" s="1297" t="s">
        <v>1131</v>
      </c>
      <c r="F3144" s="1399">
        <v>115943.84</v>
      </c>
      <c r="J3144" s="1399">
        <v>115943.84</v>
      </c>
    </row>
    <row r="3145" spans="2:12">
      <c r="B3145" s="1297"/>
      <c r="C3145" s="1297"/>
      <c r="D3145" s="1297"/>
      <c r="E3145" s="1297" t="s">
        <v>940</v>
      </c>
      <c r="F3145" s="1399">
        <v>1091498.06</v>
      </c>
      <c r="J3145" s="1399">
        <v>1091498.06</v>
      </c>
    </row>
    <row r="3146" spans="2:12">
      <c r="B3146" s="1297"/>
      <c r="C3146" s="1297"/>
      <c r="D3146" s="1297"/>
      <c r="E3146" s="1297" t="s">
        <v>941</v>
      </c>
      <c r="F3146" s="1399">
        <v>390970.82</v>
      </c>
      <c r="J3146" s="1399">
        <v>390970.82</v>
      </c>
    </row>
    <row r="3147" spans="2:12">
      <c r="B3147" s="1297"/>
      <c r="C3147" s="1297"/>
      <c r="D3147" s="1297"/>
      <c r="E3147" s="1297" t="s">
        <v>944</v>
      </c>
      <c r="F3147" s="1399">
        <v>2121960.71</v>
      </c>
      <c r="J3147" s="1399">
        <v>2121960.71</v>
      </c>
    </row>
    <row r="3148" spans="2:12">
      <c r="B3148" s="1297"/>
      <c r="C3148" s="1297"/>
      <c r="D3148" s="1297"/>
      <c r="E3148" s="1297" t="s">
        <v>945</v>
      </c>
      <c r="F3148" s="1399">
        <v>1599701.8499999999</v>
      </c>
      <c r="J3148" s="1399">
        <v>1599701.8499999999</v>
      </c>
    </row>
    <row r="3149" spans="2:12">
      <c r="B3149" s="1297"/>
      <c r="C3149" s="1297"/>
      <c r="D3149" s="1297"/>
      <c r="E3149" s="1297" t="s">
        <v>946</v>
      </c>
      <c r="F3149" s="1399">
        <v>0</v>
      </c>
      <c r="J3149" s="1399">
        <v>0</v>
      </c>
    </row>
    <row r="3150" spans="2:12">
      <c r="B3150" s="1297"/>
      <c r="C3150" s="1297"/>
      <c r="D3150" s="1297"/>
      <c r="E3150" s="1297" t="s">
        <v>947</v>
      </c>
      <c r="F3150" s="1399">
        <v>97870.2</v>
      </c>
      <c r="J3150" s="1399">
        <v>97870.2</v>
      </c>
    </row>
    <row r="3151" spans="2:12">
      <c r="B3151" s="1297"/>
      <c r="C3151" s="1297"/>
      <c r="D3151" s="1297"/>
      <c r="E3151" s="1404" t="s">
        <v>948</v>
      </c>
      <c r="F3151" s="1405"/>
      <c r="G3151" s="1405"/>
      <c r="H3151" s="1405">
        <v>2713153.1199999996</v>
      </c>
      <c r="I3151" s="1405"/>
      <c r="J3151" s="1405">
        <v>2713153.1199999996</v>
      </c>
    </row>
    <row r="3152" spans="2:12">
      <c r="B3152" s="1297"/>
      <c r="C3152" s="1297"/>
      <c r="D3152" s="1400" t="s">
        <v>1398</v>
      </c>
      <c r="E3152" s="1400"/>
      <c r="F3152" s="1401">
        <f>SUM(F3120:F3151)</f>
        <v>5417945.4800000004</v>
      </c>
      <c r="G3152" s="1401">
        <f>SUM(G3120:G3151)</f>
        <v>7723612.8099999996</v>
      </c>
      <c r="H3152" s="1401">
        <f>SUM(H3120:H3151)-H3151</f>
        <v>895832.89999999991</v>
      </c>
      <c r="I3152" s="1401">
        <f>SUM(I3120:I3151)</f>
        <v>15994519.020000001</v>
      </c>
      <c r="J3152" s="1401">
        <f>SUM(J3120:J3151)</f>
        <v>32745063.329999998</v>
      </c>
      <c r="K3152" s="1401">
        <f>SUM(F3152:I3152)</f>
        <v>30031910.210000001</v>
      </c>
      <c r="L3152" s="1408">
        <f>K3152/C3120</f>
        <v>10741.026541487839</v>
      </c>
    </row>
    <row r="3153" spans="2:10" s="1297" customFormat="1">
      <c r="B3153" s="1297" t="s">
        <v>1399</v>
      </c>
      <c r="C3153" s="1297">
        <v>1397</v>
      </c>
      <c r="D3153" s="1297" t="s">
        <v>1400</v>
      </c>
      <c r="E3153" s="1297" t="s">
        <v>906</v>
      </c>
      <c r="F3153" s="1399"/>
      <c r="G3153" s="1399">
        <v>2577197.7000000002</v>
      </c>
      <c r="H3153" s="1399"/>
      <c r="I3153" s="1399"/>
      <c r="J3153" s="1399">
        <v>2577197.7000000002</v>
      </c>
    </row>
    <row r="3154" spans="2:10" s="1297" customFormat="1">
      <c r="E3154" s="1297" t="s">
        <v>952</v>
      </c>
      <c r="F3154" s="1399"/>
      <c r="G3154" s="1399">
        <v>16773.09</v>
      </c>
      <c r="H3154" s="1399"/>
      <c r="I3154" s="1399"/>
      <c r="J3154" s="1399">
        <v>16773.09</v>
      </c>
    </row>
    <row r="3155" spans="2:10" s="1297" customFormat="1">
      <c r="E3155" s="1297" t="s">
        <v>907</v>
      </c>
      <c r="F3155" s="1399"/>
      <c r="G3155" s="1399">
        <v>837857.8</v>
      </c>
      <c r="H3155" s="1399"/>
      <c r="I3155" s="1399"/>
      <c r="J3155" s="1399">
        <v>837857.8</v>
      </c>
    </row>
    <row r="3156" spans="2:10" s="1297" customFormat="1">
      <c r="E3156" s="1297" t="s">
        <v>908</v>
      </c>
      <c r="F3156" s="1399"/>
      <c r="G3156" s="1399">
        <v>16005.11</v>
      </c>
      <c r="H3156" s="1399"/>
      <c r="I3156" s="1399"/>
      <c r="J3156" s="1399">
        <v>16005.11</v>
      </c>
    </row>
    <row r="3157" spans="2:10" s="1297" customFormat="1">
      <c r="E3157" s="1297" t="s">
        <v>910</v>
      </c>
      <c r="F3157" s="1399"/>
      <c r="G3157" s="1399"/>
      <c r="H3157" s="1399">
        <v>71404.63</v>
      </c>
      <c r="I3157" s="1399"/>
      <c r="J3157" s="1399">
        <v>71404.63</v>
      </c>
    </row>
    <row r="3158" spans="2:10" s="1297" customFormat="1">
      <c r="E3158" s="1297" t="s">
        <v>1034</v>
      </c>
      <c r="F3158" s="1399"/>
      <c r="G3158" s="1399"/>
      <c r="H3158" s="1399">
        <v>60854.400000000001</v>
      </c>
      <c r="I3158" s="1399"/>
      <c r="J3158" s="1399">
        <v>60854.400000000001</v>
      </c>
    </row>
    <row r="3159" spans="2:10" s="1297" customFormat="1">
      <c r="E3159" s="1297" t="s">
        <v>1035</v>
      </c>
      <c r="F3159" s="1399"/>
      <c r="G3159" s="1399"/>
      <c r="H3159" s="1399">
        <v>130317.67</v>
      </c>
      <c r="I3159" s="1399"/>
      <c r="J3159" s="1399">
        <v>130317.67</v>
      </c>
    </row>
    <row r="3160" spans="2:10" s="1297" customFormat="1">
      <c r="E3160" s="1297" t="s">
        <v>1036</v>
      </c>
      <c r="F3160" s="1399"/>
      <c r="G3160" s="1399"/>
      <c r="H3160" s="1399">
        <v>56020.85</v>
      </c>
      <c r="I3160" s="1399"/>
      <c r="J3160" s="1399">
        <v>56020.85</v>
      </c>
    </row>
    <row r="3161" spans="2:10" s="1297" customFormat="1">
      <c r="E3161" s="1297" t="s">
        <v>1038</v>
      </c>
      <c r="F3161" s="1399"/>
      <c r="G3161" s="1399"/>
      <c r="H3161" s="1399">
        <v>2400</v>
      </c>
      <c r="I3161" s="1399"/>
      <c r="J3161" s="1399">
        <v>2400</v>
      </c>
    </row>
    <row r="3162" spans="2:10" s="1297" customFormat="1">
      <c r="E3162" s="1297" t="s">
        <v>1003</v>
      </c>
      <c r="F3162" s="1399"/>
      <c r="G3162" s="1399"/>
      <c r="H3162" s="1399">
        <v>19046.86</v>
      </c>
      <c r="I3162" s="1399"/>
      <c r="J3162" s="1399">
        <v>19046.86</v>
      </c>
    </row>
    <row r="3163" spans="2:10" s="1297" customFormat="1">
      <c r="E3163" s="1297" t="s">
        <v>1039</v>
      </c>
      <c r="F3163" s="1399"/>
      <c r="G3163" s="1399"/>
      <c r="H3163" s="1399">
        <v>17720.830000000002</v>
      </c>
      <c r="I3163" s="1399"/>
      <c r="J3163" s="1399">
        <v>17720.830000000002</v>
      </c>
    </row>
    <row r="3164" spans="2:10" s="1297" customFormat="1">
      <c r="E3164" s="1297" t="s">
        <v>1041</v>
      </c>
      <c r="F3164" s="1399"/>
      <c r="G3164" s="1399"/>
      <c r="H3164" s="1399">
        <v>12104.900000000001</v>
      </c>
      <c r="I3164" s="1399"/>
      <c r="J3164" s="1399">
        <v>12104.900000000001</v>
      </c>
    </row>
    <row r="3165" spans="2:10" s="1297" customFormat="1">
      <c r="E3165" s="1297" t="s">
        <v>1042</v>
      </c>
      <c r="F3165" s="1399"/>
      <c r="G3165" s="1399"/>
      <c r="H3165" s="1399">
        <v>15871.1</v>
      </c>
      <c r="I3165" s="1399"/>
      <c r="J3165" s="1399">
        <v>15871.1</v>
      </c>
    </row>
    <row r="3166" spans="2:10" s="1297" customFormat="1">
      <c r="E3166" s="1297" t="s">
        <v>1043</v>
      </c>
      <c r="F3166" s="1399"/>
      <c r="G3166" s="1399"/>
      <c r="H3166" s="1399">
        <v>4595</v>
      </c>
      <c r="I3166" s="1399"/>
      <c r="J3166" s="1399">
        <v>4595</v>
      </c>
    </row>
    <row r="3167" spans="2:10" s="1297" customFormat="1">
      <c r="E3167" s="1297" t="s">
        <v>990</v>
      </c>
      <c r="F3167" s="1399"/>
      <c r="G3167" s="1399"/>
      <c r="H3167" s="1399">
        <v>500</v>
      </c>
      <c r="I3167" s="1399"/>
      <c r="J3167" s="1399">
        <v>500</v>
      </c>
    </row>
    <row r="3168" spans="2:10" s="1297" customFormat="1">
      <c r="E3168" s="1297" t="s">
        <v>1044</v>
      </c>
      <c r="F3168" s="1399">
        <v>63731</v>
      </c>
      <c r="G3168" s="1399"/>
      <c r="H3168" s="1399"/>
      <c r="I3168" s="1399"/>
      <c r="J3168" s="1399">
        <v>63731</v>
      </c>
    </row>
    <row r="3169" spans="5:10" s="1297" customFormat="1">
      <c r="E3169" s="1297" t="s">
        <v>1045</v>
      </c>
      <c r="F3169" s="1399"/>
      <c r="G3169" s="1399"/>
      <c r="H3169" s="1399">
        <v>14542.67</v>
      </c>
      <c r="I3169" s="1399"/>
      <c r="J3169" s="1399">
        <v>14542.67</v>
      </c>
    </row>
    <row r="3170" spans="5:10" s="1297" customFormat="1">
      <c r="E3170" s="1297" t="s">
        <v>1046</v>
      </c>
      <c r="F3170" s="1399"/>
      <c r="G3170" s="1399"/>
      <c r="H3170" s="1399"/>
      <c r="I3170" s="1399">
        <v>7530946</v>
      </c>
      <c r="J3170" s="1399">
        <v>7530946</v>
      </c>
    </row>
    <row r="3171" spans="5:10" s="1297" customFormat="1">
      <c r="E3171" s="1297" t="s">
        <v>1047</v>
      </c>
      <c r="F3171" s="1399"/>
      <c r="G3171" s="1399"/>
      <c r="H3171" s="1399"/>
      <c r="I3171" s="1399">
        <v>303797</v>
      </c>
      <c r="J3171" s="1399">
        <v>303797</v>
      </c>
    </row>
    <row r="3172" spans="5:10" s="1297" customFormat="1">
      <c r="E3172" s="1297" t="s">
        <v>1048</v>
      </c>
      <c r="F3172" s="1399"/>
      <c r="G3172" s="1399"/>
      <c r="H3172" s="1399"/>
      <c r="I3172" s="1399">
        <v>-1031650</v>
      </c>
      <c r="J3172" s="1399">
        <v>-1031650</v>
      </c>
    </row>
    <row r="3173" spans="5:10" s="1297" customFormat="1">
      <c r="E3173" s="1297" t="s">
        <v>932</v>
      </c>
      <c r="F3173" s="1399"/>
      <c r="G3173" s="1399"/>
      <c r="H3173" s="1399"/>
      <c r="I3173" s="1399">
        <v>470712</v>
      </c>
      <c r="J3173" s="1399">
        <v>470712</v>
      </c>
    </row>
    <row r="3174" spans="5:10" s="1297" customFormat="1">
      <c r="E3174" s="1404" t="s">
        <v>955</v>
      </c>
      <c r="F3174" s="1405"/>
      <c r="G3174" s="1405"/>
      <c r="H3174" s="1405"/>
      <c r="I3174" s="1405">
        <v>542671.35</v>
      </c>
      <c r="J3174" s="1405">
        <v>542671.35</v>
      </c>
    </row>
    <row r="3175" spans="5:10" s="1297" customFormat="1">
      <c r="E3175" s="1297" t="s">
        <v>934</v>
      </c>
      <c r="F3175" s="1399"/>
      <c r="G3175" s="1399"/>
      <c r="H3175" s="1399"/>
      <c r="I3175" s="1399">
        <v>29326</v>
      </c>
      <c r="J3175" s="1399">
        <v>29326</v>
      </c>
    </row>
    <row r="3176" spans="5:10" s="1297" customFormat="1">
      <c r="E3176" s="1297" t="s">
        <v>935</v>
      </c>
      <c r="F3176" s="1399"/>
      <c r="G3176" s="1399"/>
      <c r="H3176" s="1399"/>
      <c r="I3176" s="1399">
        <v>220769.79</v>
      </c>
      <c r="J3176" s="1399">
        <v>220769.79</v>
      </c>
    </row>
    <row r="3177" spans="5:10" s="1297" customFormat="1">
      <c r="E3177" s="1297" t="s">
        <v>936</v>
      </c>
      <c r="F3177" s="1399"/>
      <c r="G3177" s="1399"/>
      <c r="H3177" s="1399"/>
      <c r="I3177" s="1399">
        <v>26961.59</v>
      </c>
      <c r="J3177" s="1399">
        <v>26961.59</v>
      </c>
    </row>
    <row r="3178" spans="5:10" s="1297" customFormat="1">
      <c r="E3178" s="1297" t="s">
        <v>937</v>
      </c>
      <c r="F3178" s="1399"/>
      <c r="G3178" s="1399"/>
      <c r="H3178" s="1399"/>
      <c r="I3178" s="1399">
        <v>6995.75</v>
      </c>
      <c r="J3178" s="1399">
        <v>6995.75</v>
      </c>
    </row>
    <row r="3179" spans="5:10" s="1297" customFormat="1">
      <c r="E3179" s="1297" t="s">
        <v>938</v>
      </c>
      <c r="F3179" s="1399"/>
      <c r="G3179" s="1399"/>
      <c r="H3179" s="1399"/>
      <c r="I3179" s="1399">
        <v>8984</v>
      </c>
      <c r="J3179" s="1399">
        <v>8984</v>
      </c>
    </row>
    <row r="3180" spans="5:10" s="1297" customFormat="1">
      <c r="E3180" s="1297" t="s">
        <v>939</v>
      </c>
      <c r="F3180" s="1399"/>
      <c r="G3180" s="1399"/>
      <c r="H3180" s="1399"/>
      <c r="I3180" s="1399">
        <v>276835.15000000002</v>
      </c>
      <c r="J3180" s="1399">
        <v>276835.15000000002</v>
      </c>
    </row>
    <row r="3181" spans="5:10" s="1297" customFormat="1">
      <c r="E3181" s="1297" t="s">
        <v>1131</v>
      </c>
      <c r="F3181" s="1399">
        <v>56317.07</v>
      </c>
      <c r="G3181" s="1399"/>
      <c r="H3181" s="1399"/>
      <c r="I3181" s="1399"/>
      <c r="J3181" s="1399">
        <v>56317.07</v>
      </c>
    </row>
    <row r="3182" spans="5:10" s="1297" customFormat="1">
      <c r="E3182" s="1297" t="s">
        <v>940</v>
      </c>
      <c r="F3182" s="1399">
        <v>513823.3</v>
      </c>
      <c r="G3182" s="1399"/>
      <c r="H3182" s="1399"/>
      <c r="I3182" s="1399"/>
      <c r="J3182" s="1399">
        <v>513823.3</v>
      </c>
    </row>
    <row r="3183" spans="5:10" s="1297" customFormat="1">
      <c r="E3183" s="1297" t="s">
        <v>941</v>
      </c>
      <c r="F3183" s="1399">
        <v>233020.08000000002</v>
      </c>
      <c r="G3183" s="1399"/>
      <c r="H3183" s="1399"/>
      <c r="I3183" s="1399"/>
      <c r="J3183" s="1399">
        <v>233020.08000000002</v>
      </c>
    </row>
    <row r="3184" spans="5:10" s="1297" customFormat="1">
      <c r="E3184" s="1297" t="s">
        <v>942</v>
      </c>
      <c r="F3184" s="1399">
        <v>7964.32</v>
      </c>
      <c r="G3184" s="1399"/>
      <c r="H3184" s="1399"/>
      <c r="I3184" s="1399"/>
      <c r="J3184" s="1399">
        <v>7964.32</v>
      </c>
    </row>
    <row r="3185" spans="2:12">
      <c r="B3185" s="1297"/>
      <c r="C3185" s="1297"/>
      <c r="D3185" s="1297"/>
      <c r="E3185" s="1297" t="s">
        <v>943</v>
      </c>
      <c r="F3185" s="1399">
        <v>3560.14</v>
      </c>
      <c r="J3185" s="1399">
        <v>3560.14</v>
      </c>
    </row>
    <row r="3186" spans="2:12">
      <c r="B3186" s="1297"/>
      <c r="C3186" s="1297"/>
      <c r="D3186" s="1297"/>
      <c r="E3186" s="1297" t="s">
        <v>944</v>
      </c>
      <c r="F3186" s="1399">
        <v>1437993.22</v>
      </c>
      <c r="J3186" s="1399">
        <v>1437993.22</v>
      </c>
    </row>
    <row r="3187" spans="2:12">
      <c r="B3187" s="1297"/>
      <c r="C3187" s="1297"/>
      <c r="D3187" s="1297"/>
      <c r="E3187" s="1297" t="s">
        <v>945</v>
      </c>
      <c r="F3187" s="1399">
        <v>1243626.5899999999</v>
      </c>
      <c r="J3187" s="1399">
        <v>1243626.5899999999</v>
      </c>
    </row>
    <row r="3188" spans="2:12">
      <c r="B3188" s="1297"/>
      <c r="C3188" s="1297"/>
      <c r="D3188" s="1297"/>
      <c r="E3188" s="1297" t="s">
        <v>946</v>
      </c>
      <c r="F3188" s="1399">
        <v>19822.5</v>
      </c>
      <c r="J3188" s="1399">
        <v>19822.5</v>
      </c>
    </row>
    <row r="3189" spans="2:12">
      <c r="B3189" s="1297"/>
      <c r="C3189" s="1297"/>
      <c r="D3189" s="1297"/>
      <c r="E3189" s="1297" t="s">
        <v>947</v>
      </c>
      <c r="F3189" s="1399">
        <v>62752.649999999994</v>
      </c>
      <c r="J3189" s="1399">
        <v>62752.649999999994</v>
      </c>
    </row>
    <row r="3190" spans="2:12">
      <c r="B3190" s="1297"/>
      <c r="C3190" s="1297"/>
      <c r="D3190" s="1297"/>
      <c r="E3190" s="1404" t="s">
        <v>948</v>
      </c>
      <c r="F3190" s="1405"/>
      <c r="G3190" s="1405"/>
      <c r="H3190" s="1405">
        <v>89174.12000000001</v>
      </c>
      <c r="I3190" s="1405"/>
      <c r="J3190" s="1405">
        <v>89174.12000000001</v>
      </c>
    </row>
    <row r="3191" spans="2:12">
      <c r="B3191" s="1297"/>
      <c r="C3191" s="1297"/>
      <c r="D3191" s="1297"/>
      <c r="E3191" s="1297" t="s">
        <v>956</v>
      </c>
      <c r="H3191" s="1399">
        <v>600</v>
      </c>
      <c r="J3191" s="1399">
        <v>600</v>
      </c>
    </row>
    <row r="3192" spans="2:12">
      <c r="B3192" s="1297"/>
      <c r="C3192" s="1297"/>
      <c r="D3192" s="1297"/>
      <c r="E3192" s="1297" t="s">
        <v>1118</v>
      </c>
      <c r="H3192" s="1399">
        <v>48257.32</v>
      </c>
      <c r="J3192" s="1399">
        <v>48257.32</v>
      </c>
    </row>
    <row r="3193" spans="2:12">
      <c r="B3193" s="1297"/>
      <c r="C3193" s="1297"/>
      <c r="D3193" s="1400" t="s">
        <v>1401</v>
      </c>
      <c r="E3193" s="1400"/>
      <c r="F3193" s="1401">
        <f>SUM(F3153:F3192)</f>
        <v>3642610.8699999996</v>
      </c>
      <c r="G3193" s="1401">
        <f>SUM(G3153:G3192)</f>
        <v>3447833.6999999997</v>
      </c>
      <c r="H3193" s="1401">
        <f>SUM(H3153:H3192)-H3190</f>
        <v>454236.23</v>
      </c>
      <c r="I3193" s="1401">
        <f>SUM(I3153:I3192)-I3174</f>
        <v>7843677.2800000003</v>
      </c>
      <c r="J3193" s="1401">
        <f>SUM(J3153:J3192)</f>
        <v>16020203.550000001</v>
      </c>
      <c r="K3193" s="1401">
        <f>SUM(F3193:I3193)</f>
        <v>15388358.079999998</v>
      </c>
      <c r="L3193" s="1408">
        <f>K3193/C3153</f>
        <v>11015.288532569792</v>
      </c>
    </row>
    <row r="3194" spans="2:12">
      <c r="B3194" s="1297" t="s">
        <v>1402</v>
      </c>
      <c r="C3194" s="1297">
        <v>1123</v>
      </c>
      <c r="D3194" s="1297" t="s">
        <v>1403</v>
      </c>
      <c r="E3194" s="1297" t="s">
        <v>906</v>
      </c>
      <c r="G3194" s="1399">
        <v>2140303.6</v>
      </c>
      <c r="J3194" s="1399">
        <v>2140303.6</v>
      </c>
    </row>
    <row r="3195" spans="2:12">
      <c r="B3195" s="1297"/>
      <c r="C3195" s="1297"/>
      <c r="D3195" s="1297"/>
      <c r="E3195" s="1297" t="s">
        <v>952</v>
      </c>
      <c r="G3195" s="1399">
        <v>17584.55</v>
      </c>
      <c r="J3195" s="1399">
        <v>17584.55</v>
      </c>
    </row>
    <row r="3196" spans="2:12">
      <c r="B3196" s="1297"/>
      <c r="C3196" s="1297"/>
      <c r="D3196" s="1297"/>
      <c r="E3196" s="1297" t="s">
        <v>907</v>
      </c>
      <c r="G3196" s="1399">
        <v>623712.53</v>
      </c>
      <c r="J3196" s="1399">
        <v>623712.53</v>
      </c>
    </row>
    <row r="3197" spans="2:12">
      <c r="B3197" s="1297"/>
      <c r="C3197" s="1297"/>
      <c r="D3197" s="1297"/>
      <c r="E3197" s="1297" t="s">
        <v>1035</v>
      </c>
      <c r="H3197" s="1399">
        <v>134366.18</v>
      </c>
      <c r="J3197" s="1399">
        <v>134366.18</v>
      </c>
    </row>
    <row r="3198" spans="2:12">
      <c r="B3198" s="1297"/>
      <c r="C3198" s="1297"/>
      <c r="D3198" s="1297"/>
      <c r="E3198" s="1297" t="s">
        <v>1039</v>
      </c>
      <c r="H3198" s="1399">
        <v>6541.79</v>
      </c>
      <c r="J3198" s="1399">
        <v>6541.79</v>
      </c>
    </row>
    <row r="3199" spans="2:12">
      <c r="B3199" s="1297"/>
      <c r="C3199" s="1297"/>
      <c r="D3199" s="1297"/>
      <c r="E3199" s="1297" t="s">
        <v>1041</v>
      </c>
      <c r="H3199" s="1399">
        <v>58372.569999999992</v>
      </c>
      <c r="J3199" s="1399">
        <v>58372.569999999992</v>
      </c>
    </row>
    <row r="3200" spans="2:12">
      <c r="B3200" s="1297"/>
      <c r="C3200" s="1297"/>
      <c r="D3200" s="1297"/>
      <c r="E3200" s="1297" t="s">
        <v>1042</v>
      </c>
      <c r="H3200" s="1399">
        <v>22419.75</v>
      </c>
      <c r="J3200" s="1399">
        <v>22419.75</v>
      </c>
    </row>
    <row r="3201" spans="5:10" s="1297" customFormat="1">
      <c r="E3201" s="1297" t="s">
        <v>986</v>
      </c>
      <c r="F3201" s="1399"/>
      <c r="G3201" s="1399"/>
      <c r="H3201" s="1399">
        <v>225100.71</v>
      </c>
      <c r="I3201" s="1399"/>
      <c r="J3201" s="1399">
        <v>225100.71</v>
      </c>
    </row>
    <row r="3202" spans="5:10" s="1297" customFormat="1">
      <c r="E3202" s="1297" t="s">
        <v>1045</v>
      </c>
      <c r="F3202" s="1399"/>
      <c r="G3202" s="1399"/>
      <c r="H3202" s="1399">
        <v>383680.69</v>
      </c>
      <c r="I3202" s="1399"/>
      <c r="J3202" s="1399">
        <v>383680.69</v>
      </c>
    </row>
    <row r="3203" spans="5:10" s="1297" customFormat="1">
      <c r="E3203" s="1297" t="s">
        <v>1046</v>
      </c>
      <c r="F3203" s="1399"/>
      <c r="G3203" s="1399"/>
      <c r="H3203" s="1399"/>
      <c r="I3203" s="1399">
        <v>6149451</v>
      </c>
      <c r="J3203" s="1399">
        <v>6149451</v>
      </c>
    </row>
    <row r="3204" spans="5:10" s="1297" customFormat="1">
      <c r="E3204" s="1297" t="s">
        <v>1129</v>
      </c>
      <c r="F3204" s="1399"/>
      <c r="G3204" s="1399"/>
      <c r="H3204" s="1399"/>
      <c r="I3204" s="1399">
        <v>-813844</v>
      </c>
      <c r="J3204" s="1399">
        <v>-813844</v>
      </c>
    </row>
    <row r="3205" spans="5:10" s="1297" customFormat="1">
      <c r="E3205" s="1297" t="s">
        <v>1047</v>
      </c>
      <c r="F3205" s="1399"/>
      <c r="G3205" s="1399"/>
      <c r="H3205" s="1399"/>
      <c r="I3205" s="1399">
        <v>511716</v>
      </c>
      <c r="J3205" s="1399">
        <v>511716</v>
      </c>
    </row>
    <row r="3206" spans="5:10" s="1297" customFormat="1">
      <c r="E3206" s="1297" t="s">
        <v>1048</v>
      </c>
      <c r="F3206" s="1399"/>
      <c r="G3206" s="1399"/>
      <c r="H3206" s="1399"/>
      <c r="I3206" s="1399">
        <v>-665903</v>
      </c>
      <c r="J3206" s="1399">
        <v>-665903</v>
      </c>
    </row>
    <row r="3207" spans="5:10" s="1297" customFormat="1">
      <c r="E3207" s="1297" t="s">
        <v>932</v>
      </c>
      <c r="F3207" s="1399"/>
      <c r="G3207" s="1399"/>
      <c r="H3207" s="1399"/>
      <c r="I3207" s="1399">
        <v>450308</v>
      </c>
      <c r="J3207" s="1399">
        <v>450308</v>
      </c>
    </row>
    <row r="3208" spans="5:10" s="1297" customFormat="1">
      <c r="E3208" s="1404" t="s">
        <v>955</v>
      </c>
      <c r="F3208" s="1405"/>
      <c r="G3208" s="1405"/>
      <c r="H3208" s="1405"/>
      <c r="I3208" s="1405">
        <v>394794.73</v>
      </c>
      <c r="J3208" s="1405">
        <v>394794.73</v>
      </c>
    </row>
    <row r="3209" spans="5:10" s="1297" customFormat="1">
      <c r="E3209" s="1297" t="s">
        <v>934</v>
      </c>
      <c r="F3209" s="1399"/>
      <c r="G3209" s="1399"/>
      <c r="H3209" s="1399"/>
      <c r="I3209" s="1399">
        <v>24266</v>
      </c>
      <c r="J3209" s="1399">
        <v>24266</v>
      </c>
    </row>
    <row r="3210" spans="5:10" s="1297" customFormat="1">
      <c r="E3210" s="1297" t="s">
        <v>935</v>
      </c>
      <c r="F3210" s="1399"/>
      <c r="G3210" s="1399"/>
      <c r="H3210" s="1399"/>
      <c r="I3210" s="1399">
        <v>316970.84999999998</v>
      </c>
      <c r="J3210" s="1399">
        <v>316970.84999999998</v>
      </c>
    </row>
    <row r="3211" spans="5:10" s="1297" customFormat="1">
      <c r="E3211" s="1297" t="s">
        <v>936</v>
      </c>
      <c r="F3211" s="1399"/>
      <c r="G3211" s="1399"/>
      <c r="H3211" s="1399"/>
      <c r="I3211" s="1399">
        <v>24860.69</v>
      </c>
      <c r="J3211" s="1399">
        <v>24860.69</v>
      </c>
    </row>
    <row r="3212" spans="5:10" s="1297" customFormat="1">
      <c r="E3212" s="1297" t="s">
        <v>937</v>
      </c>
      <c r="F3212" s="1399"/>
      <c r="G3212" s="1399"/>
      <c r="H3212" s="1399"/>
      <c r="I3212" s="1399">
        <v>13523.48</v>
      </c>
      <c r="J3212" s="1399">
        <v>13523.48</v>
      </c>
    </row>
    <row r="3213" spans="5:10" s="1297" customFormat="1">
      <c r="E3213" s="1297" t="s">
        <v>938</v>
      </c>
      <c r="F3213" s="1399"/>
      <c r="G3213" s="1399"/>
      <c r="H3213" s="1399"/>
      <c r="I3213" s="1399">
        <v>7112</v>
      </c>
      <c r="J3213" s="1399">
        <v>7112</v>
      </c>
    </row>
    <row r="3214" spans="5:10" s="1297" customFormat="1">
      <c r="E3214" s="1297" t="s">
        <v>939</v>
      </c>
      <c r="F3214" s="1399"/>
      <c r="G3214" s="1399"/>
      <c r="H3214" s="1399"/>
      <c r="I3214" s="1399">
        <v>106983.5</v>
      </c>
      <c r="J3214" s="1399">
        <v>106983.5</v>
      </c>
    </row>
    <row r="3215" spans="5:10" s="1297" customFormat="1">
      <c r="E3215" s="1297" t="s">
        <v>940</v>
      </c>
      <c r="F3215" s="1399">
        <v>458187</v>
      </c>
      <c r="G3215" s="1399"/>
      <c r="H3215" s="1399"/>
      <c r="I3215" s="1399"/>
      <c r="J3215" s="1399">
        <v>458187</v>
      </c>
    </row>
    <row r="3216" spans="5:10" s="1297" customFormat="1">
      <c r="E3216" s="1297" t="s">
        <v>941</v>
      </c>
      <c r="F3216" s="1399">
        <v>237880.84</v>
      </c>
      <c r="G3216" s="1399"/>
      <c r="H3216" s="1399"/>
      <c r="I3216" s="1399"/>
      <c r="J3216" s="1399">
        <v>237880.84</v>
      </c>
    </row>
    <row r="3217" spans="2:12">
      <c r="B3217" s="1297"/>
      <c r="C3217" s="1297"/>
      <c r="D3217" s="1297"/>
      <c r="E3217" s="1297" t="s">
        <v>943</v>
      </c>
      <c r="F3217" s="1399">
        <v>8466.34</v>
      </c>
      <c r="J3217" s="1399">
        <v>8466.34</v>
      </c>
    </row>
    <row r="3218" spans="2:12">
      <c r="B3218" s="1297"/>
      <c r="C3218" s="1297"/>
      <c r="D3218" s="1297"/>
      <c r="E3218" s="1297" t="s">
        <v>944</v>
      </c>
      <c r="F3218" s="1399">
        <v>1439818.83</v>
      </c>
      <c r="J3218" s="1399">
        <v>1439818.83</v>
      </c>
    </row>
    <row r="3219" spans="2:12">
      <c r="B3219" s="1297"/>
      <c r="C3219" s="1297"/>
      <c r="D3219" s="1297"/>
      <c r="E3219" s="1297" t="s">
        <v>945</v>
      </c>
      <c r="F3219" s="1399">
        <v>667562.22</v>
      </c>
      <c r="J3219" s="1399">
        <v>667562.22</v>
      </c>
    </row>
    <row r="3220" spans="2:12">
      <c r="B3220" s="1297"/>
      <c r="C3220" s="1297"/>
      <c r="D3220" s="1297"/>
      <c r="E3220" s="1297" t="s">
        <v>947</v>
      </c>
      <c r="F3220" s="1399">
        <v>36962.769999999997</v>
      </c>
      <c r="J3220" s="1399">
        <v>36962.769999999997</v>
      </c>
    </row>
    <row r="3221" spans="2:12">
      <c r="B3221" s="1297"/>
      <c r="C3221" s="1297"/>
      <c r="D3221" s="1297"/>
      <c r="E3221" s="1404" t="s">
        <v>948</v>
      </c>
      <c r="F3221" s="1405"/>
      <c r="G3221" s="1405"/>
      <c r="H3221" s="1405">
        <v>0</v>
      </c>
      <c r="I3221" s="1405"/>
      <c r="J3221" s="1405">
        <v>0</v>
      </c>
    </row>
    <row r="3222" spans="2:12">
      <c r="B3222" s="1297"/>
      <c r="C3222" s="1297"/>
      <c r="D3222" s="1400" t="s">
        <v>1404</v>
      </c>
      <c r="E3222" s="1400"/>
      <c r="F3222" s="1401">
        <f>SUM(F3194:F3221)</f>
        <v>2848877.9999999995</v>
      </c>
      <c r="G3222" s="1401">
        <f>SUM(G3194:G3221)</f>
        <v>2781600.6799999997</v>
      </c>
      <c r="H3222" s="1401">
        <f>SUM(H3194:H3221)</f>
        <v>830481.69</v>
      </c>
      <c r="I3222" s="1401">
        <f>SUM(I3194:I3221)-I3208</f>
        <v>6125444.5200000014</v>
      </c>
      <c r="J3222" s="1401">
        <f>SUM(J3194:J3221)</f>
        <v>12981199.619999999</v>
      </c>
      <c r="K3222" s="1401">
        <f>SUM(F3222:I3222)</f>
        <v>12586404.890000001</v>
      </c>
      <c r="L3222" s="1408">
        <f>K3222/C3194</f>
        <v>11207.840507569012</v>
      </c>
    </row>
    <row r="3223" spans="2:12">
      <c r="B3223" s="1297" t="s">
        <v>1405</v>
      </c>
      <c r="C3223" s="1297">
        <v>5386</v>
      </c>
      <c r="D3223" s="1297" t="s">
        <v>1406</v>
      </c>
      <c r="E3223" s="1297" t="s">
        <v>906</v>
      </c>
      <c r="G3223" s="1399">
        <v>12702990.75</v>
      </c>
      <c r="J3223" s="1399">
        <v>12702990.75</v>
      </c>
    </row>
    <row r="3224" spans="2:12">
      <c r="B3224" s="1297"/>
      <c r="C3224" s="1297"/>
      <c r="D3224" s="1297"/>
      <c r="E3224" s="1297" t="s">
        <v>952</v>
      </c>
      <c r="G3224" s="1399">
        <v>93323.55</v>
      </c>
      <c r="J3224" s="1399">
        <v>93323.55</v>
      </c>
    </row>
    <row r="3225" spans="2:12">
      <c r="B3225" s="1297"/>
      <c r="C3225" s="1297"/>
      <c r="D3225" s="1297"/>
      <c r="E3225" s="1297" t="s">
        <v>907</v>
      </c>
      <c r="G3225" s="1399">
        <v>2500614.2200000002</v>
      </c>
      <c r="J3225" s="1399">
        <v>2500614.2200000002</v>
      </c>
    </row>
    <row r="3226" spans="2:12">
      <c r="B3226" s="1297"/>
      <c r="C3226" s="1297"/>
      <c r="D3226" s="1297"/>
      <c r="E3226" s="1297" t="s">
        <v>908</v>
      </c>
      <c r="G3226" s="1399">
        <v>27294.12</v>
      </c>
      <c r="J3226" s="1399">
        <v>27294.12</v>
      </c>
    </row>
    <row r="3227" spans="2:12">
      <c r="B3227" s="1297"/>
      <c r="C3227" s="1297"/>
      <c r="D3227" s="1297"/>
      <c r="E3227" s="1297" t="s">
        <v>909</v>
      </c>
      <c r="H3227" s="1399">
        <v>215902.04</v>
      </c>
      <c r="J3227" s="1399">
        <v>215902.04</v>
      </c>
    </row>
    <row r="3228" spans="2:12">
      <c r="B3228" s="1297"/>
      <c r="C3228" s="1297"/>
      <c r="D3228" s="1297"/>
      <c r="E3228" s="1297" t="s">
        <v>910</v>
      </c>
      <c r="H3228" s="1399">
        <v>182470.65</v>
      </c>
      <c r="J3228" s="1399">
        <v>182470.65</v>
      </c>
    </row>
    <row r="3229" spans="2:12">
      <c r="B3229" s="1297"/>
      <c r="C3229" s="1297"/>
      <c r="D3229" s="1297"/>
      <c r="E3229" s="1297" t="s">
        <v>1034</v>
      </c>
      <c r="H3229" s="1399">
        <v>146221.60000000003</v>
      </c>
      <c r="J3229" s="1399">
        <v>146221.60000000003</v>
      </c>
    </row>
    <row r="3230" spans="2:12">
      <c r="B3230" s="1297"/>
      <c r="C3230" s="1297"/>
      <c r="D3230" s="1297"/>
      <c r="E3230" s="1297" t="s">
        <v>1035</v>
      </c>
      <c r="H3230" s="1399">
        <v>575542.12</v>
      </c>
      <c r="J3230" s="1399">
        <v>575542.12</v>
      </c>
    </row>
    <row r="3231" spans="2:12">
      <c r="B3231" s="1297"/>
      <c r="C3231" s="1297"/>
      <c r="D3231" s="1297"/>
      <c r="E3231" s="1297" t="s">
        <v>1036</v>
      </c>
      <c r="H3231" s="1399">
        <v>108925.66</v>
      </c>
      <c r="J3231" s="1399">
        <v>108925.66</v>
      </c>
    </row>
    <row r="3232" spans="2:12">
      <c r="B3232" s="1297"/>
      <c r="C3232" s="1297"/>
      <c r="D3232" s="1297"/>
      <c r="E3232" s="1297" t="s">
        <v>1039</v>
      </c>
      <c r="H3232" s="1399">
        <v>96445.459999999992</v>
      </c>
      <c r="J3232" s="1399">
        <v>96445.459999999992</v>
      </c>
    </row>
    <row r="3233" spans="5:10" s="1297" customFormat="1">
      <c r="E3233" s="1297" t="s">
        <v>1040</v>
      </c>
      <c r="F3233" s="1399"/>
      <c r="G3233" s="1399"/>
      <c r="H3233" s="1399">
        <v>283020.95</v>
      </c>
      <c r="I3233" s="1399"/>
      <c r="J3233" s="1399">
        <v>283020.95</v>
      </c>
    </row>
    <row r="3234" spans="5:10" s="1297" customFormat="1">
      <c r="E3234" s="1297" t="s">
        <v>1127</v>
      </c>
      <c r="F3234" s="1399"/>
      <c r="G3234" s="1399"/>
      <c r="H3234" s="1399">
        <v>189256.38</v>
      </c>
      <c r="I3234" s="1399"/>
      <c r="J3234" s="1399">
        <v>189256.38</v>
      </c>
    </row>
    <row r="3235" spans="5:10" s="1297" customFormat="1">
      <c r="E3235" s="1297" t="s">
        <v>1041</v>
      </c>
      <c r="F3235" s="1399"/>
      <c r="G3235" s="1399"/>
      <c r="H3235" s="1399">
        <v>72934.960000000006</v>
      </c>
      <c r="I3235" s="1399"/>
      <c r="J3235" s="1399">
        <v>72934.960000000006</v>
      </c>
    </row>
    <row r="3236" spans="5:10" s="1297" customFormat="1">
      <c r="E3236" s="1297" t="s">
        <v>1042</v>
      </c>
      <c r="F3236" s="1399"/>
      <c r="G3236" s="1399"/>
      <c r="H3236" s="1399">
        <v>61883.03</v>
      </c>
      <c r="I3236" s="1399"/>
      <c r="J3236" s="1399">
        <v>61883.03</v>
      </c>
    </row>
    <row r="3237" spans="5:10" s="1297" customFormat="1">
      <c r="E3237" s="1297" t="s">
        <v>954</v>
      </c>
      <c r="F3237" s="1399"/>
      <c r="G3237" s="1399"/>
      <c r="H3237" s="1399">
        <v>4757.6900000000005</v>
      </c>
      <c r="I3237" s="1399"/>
      <c r="J3237" s="1399">
        <v>4757.6900000000005</v>
      </c>
    </row>
    <row r="3238" spans="5:10" s="1297" customFormat="1">
      <c r="E3238" s="1297" t="s">
        <v>985</v>
      </c>
      <c r="F3238" s="1399"/>
      <c r="G3238" s="1399"/>
      <c r="H3238" s="1399">
        <v>641.91</v>
      </c>
      <c r="I3238" s="1399"/>
      <c r="J3238" s="1399">
        <v>641.91</v>
      </c>
    </row>
    <row r="3239" spans="5:10" s="1297" customFormat="1">
      <c r="E3239" s="1297" t="s">
        <v>991</v>
      </c>
      <c r="F3239" s="1399"/>
      <c r="G3239" s="1399"/>
      <c r="H3239" s="1399">
        <v>521608.95</v>
      </c>
      <c r="I3239" s="1399"/>
      <c r="J3239" s="1399">
        <v>521608.95</v>
      </c>
    </row>
    <row r="3240" spans="5:10" s="1297" customFormat="1">
      <c r="E3240" s="1297" t="s">
        <v>1044</v>
      </c>
      <c r="F3240" s="1399">
        <v>3957</v>
      </c>
      <c r="G3240" s="1399"/>
      <c r="H3240" s="1399"/>
      <c r="I3240" s="1399"/>
      <c r="J3240" s="1399">
        <v>3957</v>
      </c>
    </row>
    <row r="3241" spans="5:10" s="1297" customFormat="1">
      <c r="E3241" s="1297" t="s">
        <v>1045</v>
      </c>
      <c r="F3241" s="1399"/>
      <c r="G3241" s="1399"/>
      <c r="H3241" s="1399">
        <v>955331.10000000021</v>
      </c>
      <c r="I3241" s="1399"/>
      <c r="J3241" s="1399">
        <v>955331.10000000021</v>
      </c>
    </row>
    <row r="3242" spans="5:10" s="1297" customFormat="1">
      <c r="E3242" s="1297" t="s">
        <v>1046</v>
      </c>
      <c r="F3242" s="1399"/>
      <c r="G3242" s="1399"/>
      <c r="H3242" s="1399"/>
      <c r="I3242" s="1399">
        <v>28860806.999999996</v>
      </c>
      <c r="J3242" s="1399">
        <v>28860806.999999996</v>
      </c>
    </row>
    <row r="3243" spans="5:10" s="1297" customFormat="1">
      <c r="E3243" s="1297" t="s">
        <v>1128</v>
      </c>
      <c r="F3243" s="1399"/>
      <c r="G3243" s="1399"/>
      <c r="H3243" s="1399"/>
      <c r="I3243" s="1399">
        <v>2316712</v>
      </c>
      <c r="J3243" s="1399">
        <v>2316712</v>
      </c>
    </row>
    <row r="3244" spans="5:10" s="1297" customFormat="1">
      <c r="E3244" s="1297" t="s">
        <v>1129</v>
      </c>
      <c r="F3244" s="1399"/>
      <c r="G3244" s="1399"/>
      <c r="H3244" s="1399"/>
      <c r="I3244" s="1399">
        <v>-3950380</v>
      </c>
      <c r="J3244" s="1399">
        <v>-3950380</v>
      </c>
    </row>
    <row r="3245" spans="5:10" s="1297" customFormat="1">
      <c r="E3245" s="1297" t="s">
        <v>1047</v>
      </c>
      <c r="F3245" s="1399"/>
      <c r="G3245" s="1399"/>
      <c r="H3245" s="1399"/>
      <c r="I3245" s="1399">
        <v>816264</v>
      </c>
      <c r="J3245" s="1399">
        <v>816264</v>
      </c>
    </row>
    <row r="3246" spans="5:10" s="1297" customFormat="1">
      <c r="E3246" s="1297" t="s">
        <v>1048</v>
      </c>
      <c r="F3246" s="1399"/>
      <c r="G3246" s="1399"/>
      <c r="H3246" s="1399"/>
      <c r="I3246" s="1399">
        <v>-3336420</v>
      </c>
      <c r="J3246" s="1399">
        <v>-3336420</v>
      </c>
    </row>
    <row r="3247" spans="5:10" s="1297" customFormat="1">
      <c r="E3247" s="1297" t="s">
        <v>932</v>
      </c>
      <c r="F3247" s="1399"/>
      <c r="G3247" s="1399"/>
      <c r="H3247" s="1399"/>
      <c r="I3247" s="1399">
        <v>3657313</v>
      </c>
      <c r="J3247" s="1399">
        <v>3657313</v>
      </c>
    </row>
    <row r="3248" spans="5:10" s="1297" customFormat="1">
      <c r="E3248" s="1404" t="s">
        <v>955</v>
      </c>
      <c r="F3248" s="1405"/>
      <c r="G3248" s="1405"/>
      <c r="H3248" s="1405"/>
      <c r="I3248" s="1405">
        <v>1074144.1200000001</v>
      </c>
      <c r="J3248" s="1405">
        <v>1074144.1200000001</v>
      </c>
    </row>
    <row r="3249" spans="5:10" s="1297" customFormat="1">
      <c r="E3249" s="1297" t="s">
        <v>934</v>
      </c>
      <c r="F3249" s="1399"/>
      <c r="G3249" s="1399"/>
      <c r="H3249" s="1399"/>
      <c r="I3249" s="1399">
        <v>77586</v>
      </c>
      <c r="J3249" s="1399">
        <v>77586</v>
      </c>
    </row>
    <row r="3250" spans="5:10" s="1297" customFormat="1">
      <c r="E3250" s="1297" t="s">
        <v>1130</v>
      </c>
      <c r="F3250" s="1399"/>
      <c r="G3250" s="1399"/>
      <c r="H3250" s="1399"/>
      <c r="I3250" s="1399">
        <v>1261621</v>
      </c>
      <c r="J3250" s="1399">
        <v>1261621</v>
      </c>
    </row>
    <row r="3251" spans="5:10" s="1297" customFormat="1">
      <c r="E3251" s="1297" t="s">
        <v>935</v>
      </c>
      <c r="F3251" s="1399"/>
      <c r="G3251" s="1399"/>
      <c r="H3251" s="1399"/>
      <c r="I3251" s="1399">
        <v>170534.23</v>
      </c>
      <c r="J3251" s="1399">
        <v>170534.23</v>
      </c>
    </row>
    <row r="3252" spans="5:10" s="1297" customFormat="1">
      <c r="E3252" s="1297" t="s">
        <v>936</v>
      </c>
      <c r="F3252" s="1399"/>
      <c r="G3252" s="1399"/>
      <c r="H3252" s="1399"/>
      <c r="I3252" s="1399">
        <v>80534.62</v>
      </c>
      <c r="J3252" s="1399">
        <v>80534.62</v>
      </c>
    </row>
    <row r="3253" spans="5:10" s="1297" customFormat="1">
      <c r="E3253" s="1297" t="s">
        <v>937</v>
      </c>
      <c r="F3253" s="1399"/>
      <c r="G3253" s="1399"/>
      <c r="H3253" s="1399"/>
      <c r="I3253" s="1399">
        <v>40010.29</v>
      </c>
      <c r="J3253" s="1399">
        <v>40010.29</v>
      </c>
    </row>
    <row r="3254" spans="5:10" s="1297" customFormat="1">
      <c r="E3254" s="1297" t="s">
        <v>938</v>
      </c>
      <c r="F3254" s="1399"/>
      <c r="G3254" s="1399"/>
      <c r="H3254" s="1399"/>
      <c r="I3254" s="1399">
        <v>26951</v>
      </c>
      <c r="J3254" s="1399">
        <v>26951</v>
      </c>
    </row>
    <row r="3255" spans="5:10" s="1297" customFormat="1">
      <c r="E3255" s="1297" t="s">
        <v>939</v>
      </c>
      <c r="F3255" s="1399"/>
      <c r="G3255" s="1399"/>
      <c r="H3255" s="1399"/>
      <c r="I3255" s="1399">
        <v>173939.46</v>
      </c>
      <c r="J3255" s="1399">
        <v>173939.46</v>
      </c>
    </row>
    <row r="3256" spans="5:10" s="1297" customFormat="1">
      <c r="E3256" s="1297" t="s">
        <v>1131</v>
      </c>
      <c r="F3256" s="1399">
        <v>1021135.24</v>
      </c>
      <c r="G3256" s="1399"/>
      <c r="H3256" s="1399"/>
      <c r="I3256" s="1399"/>
      <c r="J3256" s="1399">
        <v>1021135.24</v>
      </c>
    </row>
    <row r="3257" spans="5:10" s="1297" customFormat="1">
      <c r="E3257" s="1297" t="s">
        <v>940</v>
      </c>
      <c r="F3257" s="1399">
        <v>1005940.02</v>
      </c>
      <c r="G3257" s="1399"/>
      <c r="H3257" s="1399"/>
      <c r="I3257" s="1399"/>
      <c r="J3257" s="1399">
        <v>1005940.02</v>
      </c>
    </row>
    <row r="3258" spans="5:10" s="1297" customFormat="1">
      <c r="E3258" s="1297" t="s">
        <v>941</v>
      </c>
      <c r="F3258" s="1399">
        <v>385525.72</v>
      </c>
      <c r="G3258" s="1399"/>
      <c r="H3258" s="1399"/>
      <c r="I3258" s="1399"/>
      <c r="J3258" s="1399">
        <v>385525.72</v>
      </c>
    </row>
    <row r="3259" spans="5:10" s="1297" customFormat="1">
      <c r="E3259" s="1297" t="s">
        <v>944</v>
      </c>
      <c r="F3259" s="1399">
        <v>1747650.1199999999</v>
      </c>
      <c r="G3259" s="1399"/>
      <c r="H3259" s="1399"/>
      <c r="I3259" s="1399"/>
      <c r="J3259" s="1399">
        <v>1747650.1199999999</v>
      </c>
    </row>
    <row r="3260" spans="5:10" s="1297" customFormat="1">
      <c r="E3260" s="1297" t="s">
        <v>945</v>
      </c>
      <c r="F3260" s="1399">
        <v>1993261.59</v>
      </c>
      <c r="G3260" s="1399"/>
      <c r="H3260" s="1399"/>
      <c r="I3260" s="1399"/>
      <c r="J3260" s="1399">
        <v>1993261.59</v>
      </c>
    </row>
    <row r="3261" spans="5:10" s="1297" customFormat="1">
      <c r="E3261" s="1297" t="s">
        <v>1214</v>
      </c>
      <c r="F3261" s="1399">
        <v>113661.26</v>
      </c>
      <c r="G3261" s="1399"/>
      <c r="H3261" s="1399"/>
      <c r="I3261" s="1399"/>
      <c r="J3261" s="1399">
        <v>113661.26</v>
      </c>
    </row>
    <row r="3262" spans="5:10" s="1297" customFormat="1">
      <c r="E3262" s="1297" t="s">
        <v>947</v>
      </c>
      <c r="F3262" s="1399">
        <v>206887.25</v>
      </c>
      <c r="G3262" s="1399"/>
      <c r="H3262" s="1399"/>
      <c r="I3262" s="1399"/>
      <c r="J3262" s="1399">
        <v>206887.25</v>
      </c>
    </row>
    <row r="3263" spans="5:10" s="1297" customFormat="1">
      <c r="E3263" s="1297" t="s">
        <v>1115</v>
      </c>
      <c r="F3263" s="1399">
        <v>106.26</v>
      </c>
      <c r="G3263" s="1399"/>
      <c r="H3263" s="1399"/>
      <c r="I3263" s="1399"/>
      <c r="J3263" s="1399">
        <v>106.26</v>
      </c>
    </row>
    <row r="3264" spans="5:10" s="1297" customFormat="1">
      <c r="E3264" s="1404" t="s">
        <v>948</v>
      </c>
      <c r="F3264" s="1405"/>
      <c r="G3264" s="1405"/>
      <c r="H3264" s="1405">
        <v>9774948.8099999968</v>
      </c>
      <c r="I3264" s="1405"/>
      <c r="J3264" s="1405">
        <v>9774948.8099999968</v>
      </c>
    </row>
    <row r="3265" spans="2:12">
      <c r="B3265" s="1297"/>
      <c r="C3265" s="1297"/>
      <c r="D3265" s="1297"/>
      <c r="E3265" s="1297" t="s">
        <v>956</v>
      </c>
      <c r="H3265" s="1399">
        <v>21569.25</v>
      </c>
      <c r="J3265" s="1399">
        <v>21569.25</v>
      </c>
    </row>
    <row r="3266" spans="2:12">
      <c r="B3266" s="1297"/>
      <c r="C3266" s="1297"/>
      <c r="D3266" s="1400" t="s">
        <v>1407</v>
      </c>
      <c r="E3266" s="1400"/>
      <c r="F3266" s="1401">
        <f>SUM(F3223:F3265)</f>
        <v>6478124.459999999</v>
      </c>
      <c r="G3266" s="1401">
        <f>SUM(G3223:G3265)</f>
        <v>15324222.640000001</v>
      </c>
      <c r="H3266" s="1401">
        <f>SUM(H3223:H3265)-H3264</f>
        <v>3436511.75</v>
      </c>
      <c r="I3266" s="1401">
        <f>SUM(I3223:I3265)-I3248</f>
        <v>30195472.599999998</v>
      </c>
      <c r="J3266" s="1401">
        <f>SUM(J3223:J3265)</f>
        <v>66283424.379999988</v>
      </c>
      <c r="K3266" s="1401">
        <f>SUM(F3266:I3266)</f>
        <v>55434331.450000003</v>
      </c>
      <c r="L3266" s="1408">
        <f>K3266/C3223</f>
        <v>10292.300677682882</v>
      </c>
    </row>
    <row r="3267" spans="2:12">
      <c r="B3267" s="1297" t="s">
        <v>1408</v>
      </c>
      <c r="C3267" s="1297">
        <v>2417</v>
      </c>
      <c r="D3267" s="1297" t="s">
        <v>1409</v>
      </c>
      <c r="E3267" s="1297" t="s">
        <v>906</v>
      </c>
      <c r="G3267" s="1399">
        <v>7607037.3399999999</v>
      </c>
      <c r="J3267" s="1399">
        <v>7607037.3399999999</v>
      </c>
    </row>
    <row r="3268" spans="2:12">
      <c r="B3268" s="1297"/>
      <c r="C3268" s="1297"/>
      <c r="D3268" s="1297"/>
      <c r="E3268" s="1297" t="s">
        <v>952</v>
      </c>
      <c r="G3268" s="1399">
        <v>67839.11</v>
      </c>
      <c r="J3268" s="1399">
        <v>67839.11</v>
      </c>
    </row>
    <row r="3269" spans="2:12">
      <c r="B3269" s="1297"/>
      <c r="C3269" s="1297"/>
      <c r="D3269" s="1297"/>
      <c r="E3269" s="1297" t="s">
        <v>907</v>
      </c>
      <c r="G3269" s="1399">
        <v>1574136.04</v>
      </c>
      <c r="J3269" s="1399">
        <v>1574136.04</v>
      </c>
    </row>
    <row r="3270" spans="2:12">
      <c r="B3270" s="1297"/>
      <c r="C3270" s="1297"/>
      <c r="D3270" s="1297"/>
      <c r="E3270" s="1297" t="s">
        <v>908</v>
      </c>
      <c r="G3270" s="1399">
        <v>18337.04</v>
      </c>
      <c r="J3270" s="1399">
        <v>18337.04</v>
      </c>
    </row>
    <row r="3271" spans="2:12">
      <c r="B3271" s="1297"/>
      <c r="C3271" s="1297"/>
      <c r="D3271" s="1297"/>
      <c r="E3271" s="1297" t="s">
        <v>909</v>
      </c>
      <c r="H3271" s="1399">
        <v>45475.59</v>
      </c>
      <c r="J3271" s="1399">
        <v>45475.59</v>
      </c>
    </row>
    <row r="3272" spans="2:12">
      <c r="B3272" s="1297"/>
      <c r="C3272" s="1297"/>
      <c r="D3272" s="1297"/>
      <c r="E3272" s="1297" t="s">
        <v>1034</v>
      </c>
      <c r="H3272" s="1399">
        <v>2941</v>
      </c>
      <c r="J3272" s="1399">
        <v>2941</v>
      </c>
    </row>
    <row r="3273" spans="2:12">
      <c r="B3273" s="1297"/>
      <c r="C3273" s="1297"/>
      <c r="D3273" s="1297"/>
      <c r="E3273" s="1297" t="s">
        <v>1035</v>
      </c>
      <c r="H3273" s="1399">
        <v>137380.60999999999</v>
      </c>
      <c r="J3273" s="1399">
        <v>137380.60999999999</v>
      </c>
    </row>
    <row r="3274" spans="2:12">
      <c r="B3274" s="1297"/>
      <c r="C3274" s="1297"/>
      <c r="D3274" s="1297"/>
      <c r="E3274" s="1297" t="s">
        <v>1036</v>
      </c>
      <c r="H3274" s="1399">
        <v>97583.51</v>
      </c>
      <c r="J3274" s="1399">
        <v>97583.51</v>
      </c>
    </row>
    <row r="3275" spans="2:12">
      <c r="B3275" s="1297"/>
      <c r="C3275" s="1297"/>
      <c r="D3275" s="1297"/>
      <c r="E3275" s="1297" t="s">
        <v>1037</v>
      </c>
      <c r="H3275" s="1399">
        <v>4450.1099999999997</v>
      </c>
      <c r="J3275" s="1399">
        <v>4450.1099999999997</v>
      </c>
    </row>
    <row r="3276" spans="2:12">
      <c r="B3276" s="1297"/>
      <c r="C3276" s="1297"/>
      <c r="D3276" s="1297"/>
      <c r="E3276" s="1297" t="s">
        <v>1003</v>
      </c>
      <c r="H3276" s="1399">
        <v>15057.8</v>
      </c>
      <c r="J3276" s="1399">
        <v>15057.8</v>
      </c>
    </row>
    <row r="3277" spans="2:12">
      <c r="B3277" s="1297"/>
      <c r="C3277" s="1297"/>
      <c r="D3277" s="1297"/>
      <c r="E3277" s="1297" t="s">
        <v>1039</v>
      </c>
      <c r="H3277" s="1399">
        <v>36981.78</v>
      </c>
      <c r="J3277" s="1399">
        <v>36981.78</v>
      </c>
    </row>
    <row r="3278" spans="2:12">
      <c r="B3278" s="1297"/>
      <c r="C3278" s="1297"/>
      <c r="D3278" s="1297"/>
      <c r="E3278" s="1297" t="s">
        <v>1040</v>
      </c>
      <c r="H3278" s="1399">
        <v>189688.97</v>
      </c>
      <c r="J3278" s="1399">
        <v>189688.97</v>
      </c>
    </row>
    <row r="3279" spans="2:12">
      <c r="B3279" s="1297"/>
      <c r="C3279" s="1297"/>
      <c r="D3279" s="1297"/>
      <c r="E3279" s="1297" t="s">
        <v>1041</v>
      </c>
      <c r="H3279" s="1399">
        <v>18349.75</v>
      </c>
      <c r="J3279" s="1399">
        <v>18349.75</v>
      </c>
    </row>
    <row r="3280" spans="2:12">
      <c r="B3280" s="1297"/>
      <c r="C3280" s="1297"/>
      <c r="D3280" s="1297"/>
      <c r="E3280" s="1297" t="s">
        <v>1042</v>
      </c>
      <c r="H3280" s="1399">
        <v>43388.32</v>
      </c>
      <c r="J3280" s="1399">
        <v>43388.32</v>
      </c>
    </row>
    <row r="3281" spans="5:10" s="1297" customFormat="1">
      <c r="E3281" s="1297" t="s">
        <v>953</v>
      </c>
      <c r="F3281" s="1399"/>
      <c r="G3281" s="1399"/>
      <c r="H3281" s="1399">
        <v>31507.3</v>
      </c>
      <c r="I3281" s="1399"/>
      <c r="J3281" s="1399">
        <v>31507.3</v>
      </c>
    </row>
    <row r="3282" spans="5:10" s="1297" customFormat="1">
      <c r="E3282" s="1297" t="s">
        <v>954</v>
      </c>
      <c r="F3282" s="1399"/>
      <c r="G3282" s="1399"/>
      <c r="H3282" s="1399">
        <v>72579.06</v>
      </c>
      <c r="I3282" s="1399"/>
      <c r="J3282" s="1399">
        <v>72579.06</v>
      </c>
    </row>
    <row r="3283" spans="5:10" s="1297" customFormat="1">
      <c r="E3283" s="1297" t="s">
        <v>985</v>
      </c>
      <c r="F3283" s="1399"/>
      <c r="G3283" s="1399"/>
      <c r="H3283" s="1399">
        <v>38200.6</v>
      </c>
      <c r="I3283" s="1399"/>
      <c r="J3283" s="1399">
        <v>38200.6</v>
      </c>
    </row>
    <row r="3284" spans="5:10" s="1297" customFormat="1">
      <c r="E3284" s="1297" t="s">
        <v>1043</v>
      </c>
      <c r="F3284" s="1399"/>
      <c r="G3284" s="1399"/>
      <c r="H3284" s="1399">
        <v>4262</v>
      </c>
      <c r="I3284" s="1399"/>
      <c r="J3284" s="1399">
        <v>4262</v>
      </c>
    </row>
    <row r="3285" spans="5:10" s="1297" customFormat="1">
      <c r="E3285" s="1297" t="s">
        <v>986</v>
      </c>
      <c r="F3285" s="1399"/>
      <c r="G3285" s="1399"/>
      <c r="H3285" s="1399">
        <v>109290.55</v>
      </c>
      <c r="I3285" s="1399"/>
      <c r="J3285" s="1399">
        <v>109290.55</v>
      </c>
    </row>
    <row r="3286" spans="5:10" s="1297" customFormat="1">
      <c r="E3286" s="1297" t="s">
        <v>996</v>
      </c>
      <c r="F3286" s="1399"/>
      <c r="G3286" s="1399"/>
      <c r="H3286" s="1399">
        <v>25326</v>
      </c>
      <c r="I3286" s="1399"/>
      <c r="J3286" s="1399">
        <v>25326</v>
      </c>
    </row>
    <row r="3287" spans="5:10" s="1297" customFormat="1">
      <c r="E3287" s="1297" t="s">
        <v>1045</v>
      </c>
      <c r="F3287" s="1399"/>
      <c r="G3287" s="1399"/>
      <c r="H3287" s="1399">
        <v>451982.59999999992</v>
      </c>
      <c r="I3287" s="1399"/>
      <c r="J3287" s="1399">
        <v>451982.59999999992</v>
      </c>
    </row>
    <row r="3288" spans="5:10" s="1297" customFormat="1">
      <c r="E3288" s="1297" t="s">
        <v>1046</v>
      </c>
      <c r="F3288" s="1399"/>
      <c r="G3288" s="1399"/>
      <c r="H3288" s="1399"/>
      <c r="I3288" s="1399">
        <v>11950612</v>
      </c>
      <c r="J3288" s="1399">
        <v>11950612</v>
      </c>
    </row>
    <row r="3289" spans="5:10" s="1297" customFormat="1">
      <c r="E3289" s="1297" t="s">
        <v>1047</v>
      </c>
      <c r="F3289" s="1399"/>
      <c r="G3289" s="1399"/>
      <c r="H3289" s="1399"/>
      <c r="I3289" s="1399">
        <v>502498</v>
      </c>
      <c r="J3289" s="1399">
        <v>502498</v>
      </c>
    </row>
    <row r="3290" spans="5:10" s="1297" customFormat="1">
      <c r="E3290" s="1297" t="s">
        <v>1048</v>
      </c>
      <c r="F3290" s="1399"/>
      <c r="G3290" s="1399"/>
      <c r="H3290" s="1399"/>
      <c r="I3290" s="1399">
        <v>-2191267</v>
      </c>
      <c r="J3290" s="1399">
        <v>-2191267</v>
      </c>
    </row>
    <row r="3291" spans="5:10" s="1297" customFormat="1">
      <c r="E3291" s="1297" t="s">
        <v>932</v>
      </c>
      <c r="F3291" s="1399"/>
      <c r="G3291" s="1399"/>
      <c r="H3291" s="1399"/>
      <c r="I3291" s="1399">
        <v>428395</v>
      </c>
      <c r="J3291" s="1399">
        <v>428395</v>
      </c>
    </row>
    <row r="3292" spans="5:10" s="1297" customFormat="1">
      <c r="E3292" s="1404" t="s">
        <v>955</v>
      </c>
      <c r="F3292" s="1405"/>
      <c r="G3292" s="1405"/>
      <c r="H3292" s="1405"/>
      <c r="I3292" s="1405">
        <v>491736.86</v>
      </c>
      <c r="J3292" s="1405">
        <v>491736.86</v>
      </c>
    </row>
    <row r="3293" spans="5:10" s="1297" customFormat="1">
      <c r="E3293" s="1297" t="s">
        <v>934</v>
      </c>
      <c r="F3293" s="1399"/>
      <c r="G3293" s="1399"/>
      <c r="H3293" s="1399"/>
      <c r="I3293" s="1399">
        <v>41818</v>
      </c>
      <c r="J3293" s="1399">
        <v>41818</v>
      </c>
    </row>
    <row r="3294" spans="5:10" s="1297" customFormat="1">
      <c r="E3294" s="1297" t="s">
        <v>935</v>
      </c>
      <c r="F3294" s="1399"/>
      <c r="G3294" s="1399"/>
      <c r="H3294" s="1399"/>
      <c r="I3294" s="1399">
        <v>316802.13999999996</v>
      </c>
      <c r="J3294" s="1399">
        <v>316802.13999999996</v>
      </c>
    </row>
    <row r="3295" spans="5:10" s="1297" customFormat="1">
      <c r="E3295" s="1297" t="s">
        <v>936</v>
      </c>
      <c r="F3295" s="1399"/>
      <c r="G3295" s="1399"/>
      <c r="H3295" s="1399"/>
      <c r="I3295" s="1399">
        <v>47270.32</v>
      </c>
      <c r="J3295" s="1399">
        <v>47270.32</v>
      </c>
    </row>
    <row r="3296" spans="5:10" s="1297" customFormat="1">
      <c r="E3296" s="1297" t="s">
        <v>937</v>
      </c>
      <c r="F3296" s="1399"/>
      <c r="G3296" s="1399"/>
      <c r="H3296" s="1399"/>
      <c r="I3296" s="1399">
        <v>18513.52</v>
      </c>
      <c r="J3296" s="1399">
        <v>18513.52</v>
      </c>
    </row>
    <row r="3297" spans="2:12">
      <c r="B3297" s="1297"/>
      <c r="C3297" s="1297"/>
      <c r="D3297" s="1297"/>
      <c r="E3297" s="1297" t="s">
        <v>938</v>
      </c>
      <c r="I3297" s="1399">
        <v>16470</v>
      </c>
      <c r="J3297" s="1399">
        <v>16470</v>
      </c>
    </row>
    <row r="3298" spans="2:12">
      <c r="B3298" s="1297"/>
      <c r="C3298" s="1297"/>
      <c r="D3298" s="1297"/>
      <c r="E3298" s="1297" t="s">
        <v>939</v>
      </c>
      <c r="I3298" s="1399">
        <v>66050.740000000005</v>
      </c>
      <c r="J3298" s="1399">
        <v>66050.740000000005</v>
      </c>
    </row>
    <row r="3299" spans="2:12">
      <c r="B3299" s="1297"/>
      <c r="C3299" s="1297"/>
      <c r="D3299" s="1297"/>
      <c r="E3299" s="1297" t="s">
        <v>940</v>
      </c>
      <c r="F3299" s="1399">
        <v>764931.2</v>
      </c>
      <c r="J3299" s="1399">
        <v>764931.2</v>
      </c>
    </row>
    <row r="3300" spans="2:12">
      <c r="B3300" s="1297"/>
      <c r="C3300" s="1297"/>
      <c r="D3300" s="1297"/>
      <c r="E3300" s="1297" t="s">
        <v>941</v>
      </c>
      <c r="F3300" s="1399">
        <v>253500.1</v>
      </c>
      <c r="J3300" s="1399">
        <v>253500.1</v>
      </c>
    </row>
    <row r="3301" spans="2:12">
      <c r="B3301" s="1297"/>
      <c r="C3301" s="1297"/>
      <c r="D3301" s="1297"/>
      <c r="E3301" s="1297" t="s">
        <v>942</v>
      </c>
      <c r="F3301" s="1399">
        <v>0</v>
      </c>
      <c r="J3301" s="1399">
        <v>0</v>
      </c>
    </row>
    <row r="3302" spans="2:12">
      <c r="B3302" s="1297"/>
      <c r="C3302" s="1297"/>
      <c r="D3302" s="1297"/>
      <c r="E3302" s="1297" t="s">
        <v>943</v>
      </c>
      <c r="F3302" s="1399">
        <v>7623.48</v>
      </c>
      <c r="J3302" s="1399">
        <v>7623.48</v>
      </c>
    </row>
    <row r="3303" spans="2:12">
      <c r="B3303" s="1297"/>
      <c r="C3303" s="1297"/>
      <c r="D3303" s="1297"/>
      <c r="E3303" s="1297" t="s">
        <v>944</v>
      </c>
      <c r="F3303" s="1399">
        <v>1556441.8299999996</v>
      </c>
      <c r="J3303" s="1399">
        <v>1556441.8299999996</v>
      </c>
    </row>
    <row r="3304" spans="2:12">
      <c r="B3304" s="1297"/>
      <c r="C3304" s="1297"/>
      <c r="D3304" s="1297"/>
      <c r="E3304" s="1297" t="s">
        <v>945</v>
      </c>
      <c r="F3304" s="1399">
        <v>942202.70000000007</v>
      </c>
      <c r="J3304" s="1399">
        <v>942202.70000000007</v>
      </c>
    </row>
    <row r="3305" spans="2:12">
      <c r="B3305" s="1297"/>
      <c r="C3305" s="1297"/>
      <c r="D3305" s="1297"/>
      <c r="E3305" s="1297" t="s">
        <v>946</v>
      </c>
      <c r="F3305" s="1399">
        <v>57569.07</v>
      </c>
      <c r="J3305" s="1399">
        <v>57569.07</v>
      </c>
    </row>
    <row r="3306" spans="2:12">
      <c r="B3306" s="1297"/>
      <c r="C3306" s="1297"/>
      <c r="D3306" s="1297"/>
      <c r="E3306" s="1297" t="s">
        <v>947</v>
      </c>
      <c r="F3306" s="1399">
        <v>90862.15</v>
      </c>
      <c r="J3306" s="1399">
        <v>90862.15</v>
      </c>
    </row>
    <row r="3307" spans="2:12">
      <c r="B3307" s="1297"/>
      <c r="C3307" s="1297"/>
      <c r="D3307" s="1297"/>
      <c r="E3307" s="1404" t="s">
        <v>948</v>
      </c>
      <c r="F3307" s="1405"/>
      <c r="G3307" s="1405"/>
      <c r="H3307" s="1405">
        <v>146051.4</v>
      </c>
      <c r="I3307" s="1405"/>
      <c r="J3307" s="1405">
        <v>146051.4</v>
      </c>
    </row>
    <row r="3308" spans="2:12">
      <c r="B3308" s="1297"/>
      <c r="C3308" s="1297"/>
      <c r="D3308" s="1297"/>
      <c r="E3308" s="1297" t="s">
        <v>956</v>
      </c>
      <c r="H3308" s="1399">
        <v>5818.98</v>
      </c>
      <c r="J3308" s="1399">
        <v>5818.98</v>
      </c>
    </row>
    <row r="3309" spans="2:12">
      <c r="B3309" s="1297"/>
      <c r="C3309" s="1297"/>
      <c r="D3309" s="1297"/>
      <c r="E3309" s="1297" t="s">
        <v>1118</v>
      </c>
      <c r="H3309" s="1399">
        <v>41067</v>
      </c>
      <c r="J3309" s="1399">
        <v>41067</v>
      </c>
    </row>
    <row r="3310" spans="2:12">
      <c r="B3310" s="1297"/>
      <c r="C3310" s="1297"/>
      <c r="D3310" s="1400" t="s">
        <v>1410</v>
      </c>
      <c r="E3310" s="1400"/>
      <c r="F3310" s="1401">
        <f>SUM(F3267:F3309)</f>
        <v>3673130.5299999993</v>
      </c>
      <c r="G3310" s="1401">
        <f>SUM(G3267:G3309)</f>
        <v>9267349.5299999993</v>
      </c>
      <c r="H3310" s="1401">
        <f>SUM(H3267:H3309)-H3307</f>
        <v>1371331.5299999998</v>
      </c>
      <c r="I3310" s="1401">
        <f>SUM(I3267:I3309)-I3292</f>
        <v>11197162.720000001</v>
      </c>
      <c r="J3310" s="1401">
        <f>SUM(J3267:J3309)</f>
        <v>26146762.569999993</v>
      </c>
      <c r="K3310" s="1401">
        <f>SUM(F3310:I3310)</f>
        <v>25508974.309999999</v>
      </c>
      <c r="L3310" s="1408">
        <f>K3310/C3267</f>
        <v>10553.981923872569</v>
      </c>
    </row>
    <row r="3311" spans="2:12">
      <c r="B3311" s="1297" t="s">
        <v>1411</v>
      </c>
      <c r="C3311" s="1297">
        <v>1591</v>
      </c>
      <c r="D3311" s="1297" t="s">
        <v>1412</v>
      </c>
      <c r="E3311" s="1297" t="s">
        <v>906</v>
      </c>
      <c r="G3311" s="1399">
        <v>2973000.77</v>
      </c>
      <c r="J3311" s="1399">
        <v>2973000.77</v>
      </c>
    </row>
    <row r="3312" spans="2:12">
      <c r="B3312" s="1297"/>
      <c r="C3312" s="1297"/>
      <c r="D3312" s="1297"/>
      <c r="E3312" s="1297" t="s">
        <v>952</v>
      </c>
      <c r="G3312" s="1399">
        <v>50792.65</v>
      </c>
      <c r="J3312" s="1399">
        <v>50792.65</v>
      </c>
    </row>
    <row r="3313" spans="5:10" s="1297" customFormat="1">
      <c r="E3313" s="1297" t="s">
        <v>907</v>
      </c>
      <c r="F3313" s="1399"/>
      <c r="G3313" s="1399">
        <v>561019.31000000006</v>
      </c>
      <c r="H3313" s="1399"/>
      <c r="I3313" s="1399"/>
      <c r="J3313" s="1399">
        <v>561019.31000000006</v>
      </c>
    </row>
    <row r="3314" spans="5:10" s="1297" customFormat="1">
      <c r="E3314" s="1297" t="s">
        <v>908</v>
      </c>
      <c r="F3314" s="1399"/>
      <c r="G3314" s="1399">
        <v>4866.62</v>
      </c>
      <c r="H3314" s="1399"/>
      <c r="I3314" s="1399"/>
      <c r="J3314" s="1399">
        <v>4866.62</v>
      </c>
    </row>
    <row r="3315" spans="5:10" s="1297" customFormat="1">
      <c r="E3315" s="1297" t="s">
        <v>909</v>
      </c>
      <c r="F3315" s="1399"/>
      <c r="G3315" s="1399"/>
      <c r="H3315" s="1399">
        <v>18193.810000000001</v>
      </c>
      <c r="I3315" s="1399"/>
      <c r="J3315" s="1399">
        <v>18193.810000000001</v>
      </c>
    </row>
    <row r="3316" spans="5:10" s="1297" customFormat="1">
      <c r="E3316" s="1297" t="s">
        <v>910</v>
      </c>
      <c r="F3316" s="1399"/>
      <c r="G3316" s="1399"/>
      <c r="H3316" s="1399">
        <v>18674.66</v>
      </c>
      <c r="I3316" s="1399"/>
      <c r="J3316" s="1399">
        <v>18674.66</v>
      </c>
    </row>
    <row r="3317" spans="5:10" s="1297" customFormat="1">
      <c r="E3317" s="1297" t="s">
        <v>1034</v>
      </c>
      <c r="F3317" s="1399"/>
      <c r="G3317" s="1399"/>
      <c r="H3317" s="1399">
        <v>16417.36</v>
      </c>
      <c r="I3317" s="1399"/>
      <c r="J3317" s="1399">
        <v>16417.36</v>
      </c>
    </row>
    <row r="3318" spans="5:10" s="1297" customFormat="1">
      <c r="E3318" s="1297" t="s">
        <v>1035</v>
      </c>
      <c r="F3318" s="1399"/>
      <c r="G3318" s="1399"/>
      <c r="H3318" s="1399">
        <v>229232.53999999998</v>
      </c>
      <c r="I3318" s="1399"/>
      <c r="J3318" s="1399">
        <v>229232.53999999998</v>
      </c>
    </row>
    <row r="3319" spans="5:10" s="1297" customFormat="1">
      <c r="E3319" s="1297" t="s">
        <v>1036</v>
      </c>
      <c r="F3319" s="1399"/>
      <c r="G3319" s="1399"/>
      <c r="H3319" s="1399">
        <v>53951.94</v>
      </c>
      <c r="I3319" s="1399"/>
      <c r="J3319" s="1399">
        <v>53951.94</v>
      </c>
    </row>
    <row r="3320" spans="5:10" s="1297" customFormat="1">
      <c r="E3320" s="1297" t="s">
        <v>1039</v>
      </c>
      <c r="F3320" s="1399"/>
      <c r="G3320" s="1399"/>
      <c r="H3320" s="1399">
        <v>63682.200000000004</v>
      </c>
      <c r="I3320" s="1399"/>
      <c r="J3320" s="1399">
        <v>63682.200000000004</v>
      </c>
    </row>
    <row r="3321" spans="5:10" s="1297" customFormat="1">
      <c r="E3321" s="1297" t="s">
        <v>1040</v>
      </c>
      <c r="F3321" s="1399"/>
      <c r="G3321" s="1399"/>
      <c r="H3321" s="1399">
        <v>114614.56</v>
      </c>
      <c r="I3321" s="1399"/>
      <c r="J3321" s="1399">
        <v>114614.56</v>
      </c>
    </row>
    <row r="3322" spans="5:10" s="1297" customFormat="1">
      <c r="E3322" s="1297" t="s">
        <v>1041</v>
      </c>
      <c r="F3322" s="1399"/>
      <c r="G3322" s="1399"/>
      <c r="H3322" s="1399">
        <v>27435.74</v>
      </c>
      <c r="I3322" s="1399"/>
      <c r="J3322" s="1399">
        <v>27435.74</v>
      </c>
    </row>
    <row r="3323" spans="5:10" s="1297" customFormat="1">
      <c r="E3323" s="1297" t="s">
        <v>1042</v>
      </c>
      <c r="F3323" s="1399"/>
      <c r="G3323" s="1399"/>
      <c r="H3323" s="1399">
        <v>24253.200000000001</v>
      </c>
      <c r="I3323" s="1399"/>
      <c r="J3323" s="1399">
        <v>24253.200000000001</v>
      </c>
    </row>
    <row r="3324" spans="5:10" s="1297" customFormat="1">
      <c r="E3324" s="1297" t="s">
        <v>986</v>
      </c>
      <c r="F3324" s="1399"/>
      <c r="G3324" s="1399"/>
      <c r="H3324" s="1399">
        <v>0</v>
      </c>
      <c r="I3324" s="1399"/>
      <c r="J3324" s="1399">
        <v>0</v>
      </c>
    </row>
    <row r="3325" spans="5:10" s="1297" customFormat="1">
      <c r="E3325" s="1297" t="s">
        <v>1044</v>
      </c>
      <c r="F3325" s="1399">
        <v>72460.490000000005</v>
      </c>
      <c r="G3325" s="1399"/>
      <c r="H3325" s="1399"/>
      <c r="I3325" s="1399"/>
      <c r="J3325" s="1399">
        <v>72460.490000000005</v>
      </c>
    </row>
    <row r="3326" spans="5:10" s="1297" customFormat="1">
      <c r="E3326" s="1297" t="s">
        <v>1045</v>
      </c>
      <c r="F3326" s="1399"/>
      <c r="G3326" s="1399"/>
      <c r="H3326" s="1399">
        <v>85272.63</v>
      </c>
      <c r="I3326" s="1399"/>
      <c r="J3326" s="1399">
        <v>85272.63</v>
      </c>
    </row>
    <row r="3327" spans="5:10" s="1297" customFormat="1">
      <c r="E3327" s="1297" t="s">
        <v>1046</v>
      </c>
      <c r="F3327" s="1399"/>
      <c r="G3327" s="1399"/>
      <c r="H3327" s="1399"/>
      <c r="I3327" s="1399">
        <v>7700326</v>
      </c>
      <c r="J3327" s="1399">
        <v>7700326</v>
      </c>
    </row>
    <row r="3328" spans="5:10" s="1297" customFormat="1">
      <c r="E3328" s="1297" t="s">
        <v>1047</v>
      </c>
      <c r="F3328" s="1399"/>
      <c r="G3328" s="1399"/>
      <c r="H3328" s="1399"/>
      <c r="I3328" s="1399">
        <v>642687</v>
      </c>
      <c r="J3328" s="1399">
        <v>642687</v>
      </c>
    </row>
    <row r="3329" spans="5:10" s="1297" customFormat="1">
      <c r="E3329" s="1297" t="s">
        <v>1048</v>
      </c>
      <c r="F3329" s="1399"/>
      <c r="G3329" s="1399"/>
      <c r="H3329" s="1399"/>
      <c r="I3329" s="1399">
        <v>-697424</v>
      </c>
      <c r="J3329" s="1399">
        <v>-697424</v>
      </c>
    </row>
    <row r="3330" spans="5:10" s="1297" customFormat="1">
      <c r="E3330" s="1297" t="s">
        <v>932</v>
      </c>
      <c r="F3330" s="1399"/>
      <c r="G3330" s="1399"/>
      <c r="H3330" s="1399"/>
      <c r="I3330" s="1399">
        <v>1893801</v>
      </c>
      <c r="J3330" s="1399">
        <v>1893801</v>
      </c>
    </row>
    <row r="3331" spans="5:10" s="1297" customFormat="1">
      <c r="E3331" s="1404" t="s">
        <v>955</v>
      </c>
      <c r="F3331" s="1405"/>
      <c r="G3331" s="1405"/>
      <c r="H3331" s="1405"/>
      <c r="I3331" s="1405">
        <v>679196.58</v>
      </c>
      <c r="J3331" s="1405">
        <v>679196.58</v>
      </c>
    </row>
    <row r="3332" spans="5:10" s="1297" customFormat="1">
      <c r="E3332" s="1297" t="s">
        <v>934</v>
      </c>
      <c r="F3332" s="1399"/>
      <c r="G3332" s="1399"/>
      <c r="H3332" s="1399"/>
      <c r="I3332" s="1399">
        <v>28160</v>
      </c>
      <c r="J3332" s="1399">
        <v>28160</v>
      </c>
    </row>
    <row r="3333" spans="5:10" s="1297" customFormat="1">
      <c r="E3333" s="1297" t="s">
        <v>1130</v>
      </c>
      <c r="F3333" s="1399"/>
      <c r="G3333" s="1399"/>
      <c r="H3333" s="1399"/>
      <c r="I3333" s="1399">
        <v>192</v>
      </c>
      <c r="J3333" s="1399">
        <v>192</v>
      </c>
    </row>
    <row r="3334" spans="5:10" s="1297" customFormat="1">
      <c r="E3334" s="1297" t="s">
        <v>935</v>
      </c>
      <c r="F3334" s="1399"/>
      <c r="G3334" s="1399"/>
      <c r="H3334" s="1399"/>
      <c r="I3334" s="1399">
        <v>220583.85</v>
      </c>
      <c r="J3334" s="1399">
        <v>220583.85</v>
      </c>
    </row>
    <row r="3335" spans="5:10" s="1297" customFormat="1">
      <c r="E3335" s="1297" t="s">
        <v>936</v>
      </c>
      <c r="F3335" s="1399"/>
      <c r="G3335" s="1399"/>
      <c r="H3335" s="1399"/>
      <c r="I3335" s="1399">
        <v>22409.63</v>
      </c>
      <c r="J3335" s="1399">
        <v>22409.63</v>
      </c>
    </row>
    <row r="3336" spans="5:10" s="1297" customFormat="1">
      <c r="E3336" s="1297" t="s">
        <v>937</v>
      </c>
      <c r="F3336" s="1399"/>
      <c r="G3336" s="1399"/>
      <c r="H3336" s="1399"/>
      <c r="I3336" s="1399">
        <v>6889.66</v>
      </c>
      <c r="J3336" s="1399">
        <v>6889.66</v>
      </c>
    </row>
    <row r="3337" spans="5:10" s="1297" customFormat="1">
      <c r="E3337" s="1297" t="s">
        <v>938</v>
      </c>
      <c r="F3337" s="1399"/>
      <c r="G3337" s="1399"/>
      <c r="H3337" s="1399"/>
      <c r="I3337" s="1399">
        <v>5989</v>
      </c>
      <c r="J3337" s="1399">
        <v>5989</v>
      </c>
    </row>
    <row r="3338" spans="5:10" s="1297" customFormat="1">
      <c r="E3338" s="1297" t="s">
        <v>939</v>
      </c>
      <c r="F3338" s="1399"/>
      <c r="G3338" s="1399"/>
      <c r="H3338" s="1399"/>
      <c r="I3338" s="1399">
        <v>42250</v>
      </c>
      <c r="J3338" s="1399">
        <v>42250</v>
      </c>
    </row>
    <row r="3339" spans="5:10" s="1297" customFormat="1">
      <c r="E3339" s="1297" t="s">
        <v>940</v>
      </c>
      <c r="F3339" s="1399">
        <v>507566.68</v>
      </c>
      <c r="G3339" s="1399"/>
      <c r="H3339" s="1399"/>
      <c r="I3339" s="1399"/>
      <c r="J3339" s="1399">
        <v>507566.68</v>
      </c>
    </row>
    <row r="3340" spans="5:10" s="1297" customFormat="1">
      <c r="E3340" s="1297" t="s">
        <v>941</v>
      </c>
      <c r="F3340" s="1399">
        <v>220260.08</v>
      </c>
      <c r="G3340" s="1399"/>
      <c r="H3340" s="1399"/>
      <c r="I3340" s="1399"/>
      <c r="J3340" s="1399">
        <v>220260.08</v>
      </c>
    </row>
    <row r="3341" spans="5:10" s="1297" customFormat="1">
      <c r="E3341" s="1297" t="s">
        <v>943</v>
      </c>
      <c r="F3341" s="1399">
        <v>2387.2399999999998</v>
      </c>
      <c r="G3341" s="1399"/>
      <c r="H3341" s="1399"/>
      <c r="I3341" s="1399"/>
      <c r="J3341" s="1399">
        <v>2387.2399999999998</v>
      </c>
    </row>
    <row r="3342" spans="5:10" s="1297" customFormat="1">
      <c r="E3342" s="1297" t="s">
        <v>944</v>
      </c>
      <c r="F3342" s="1399">
        <v>1119710.1599999999</v>
      </c>
      <c r="G3342" s="1399"/>
      <c r="H3342" s="1399"/>
      <c r="I3342" s="1399"/>
      <c r="J3342" s="1399">
        <v>1119710.1599999999</v>
      </c>
    </row>
    <row r="3343" spans="5:10" s="1297" customFormat="1">
      <c r="E3343" s="1297" t="s">
        <v>945</v>
      </c>
      <c r="F3343" s="1399">
        <v>874975.94</v>
      </c>
      <c r="G3343" s="1399"/>
      <c r="H3343" s="1399"/>
      <c r="I3343" s="1399"/>
      <c r="J3343" s="1399">
        <v>874975.94</v>
      </c>
    </row>
    <row r="3344" spans="5:10" s="1297" customFormat="1">
      <c r="E3344" s="1297" t="s">
        <v>947</v>
      </c>
      <c r="F3344" s="1399">
        <v>47445.440000000002</v>
      </c>
      <c r="G3344" s="1399"/>
      <c r="H3344" s="1399"/>
      <c r="I3344" s="1399"/>
      <c r="J3344" s="1399">
        <v>47445.440000000002</v>
      </c>
    </row>
    <row r="3345" spans="2:12">
      <c r="B3345" s="1297"/>
      <c r="C3345" s="1297"/>
      <c r="D3345" s="1297"/>
      <c r="E3345" s="1404" t="s">
        <v>948</v>
      </c>
      <c r="F3345" s="1405"/>
      <c r="G3345" s="1405"/>
      <c r="H3345" s="1405">
        <v>1055587.5</v>
      </c>
      <c r="I3345" s="1405"/>
      <c r="J3345" s="1405">
        <v>1055587.5</v>
      </c>
    </row>
    <row r="3346" spans="2:12">
      <c r="B3346" s="1297"/>
      <c r="C3346" s="1297"/>
      <c r="D3346" s="1400" t="s">
        <v>1413</v>
      </c>
      <c r="E3346" s="1400"/>
      <c r="F3346" s="1401">
        <f>SUM(F3311:F3345)</f>
        <v>2844806.03</v>
      </c>
      <c r="G3346" s="1401">
        <f>SUM(G3311:G3345)</f>
        <v>3589679.35</v>
      </c>
      <c r="H3346" s="1401">
        <f>SUM(H3311:H3345)-H3345</f>
        <v>651728.64000000013</v>
      </c>
      <c r="I3346" s="1401">
        <f>SUM(I3311:I3345)-I3331</f>
        <v>9865864.1400000006</v>
      </c>
      <c r="J3346" s="1401">
        <f>SUM(J3311:J3345)</f>
        <v>18686862.240000002</v>
      </c>
      <c r="K3346" s="1401">
        <f>SUM(F3346:I3346)</f>
        <v>16952078.16</v>
      </c>
      <c r="L3346" s="1408">
        <f>K3346/C3311</f>
        <v>10654.983130106852</v>
      </c>
    </row>
    <row r="3347" spans="2:12">
      <c r="B3347" s="1297" t="s">
        <v>1414</v>
      </c>
      <c r="C3347" s="1297">
        <v>6217</v>
      </c>
      <c r="D3347" s="1297" t="s">
        <v>1415</v>
      </c>
      <c r="E3347" s="1297" t="s">
        <v>906</v>
      </c>
      <c r="G3347" s="1399">
        <v>10187522.34</v>
      </c>
      <c r="J3347" s="1399">
        <v>10187522.34</v>
      </c>
    </row>
    <row r="3348" spans="2:12">
      <c r="B3348" s="1297"/>
      <c r="C3348" s="1297"/>
      <c r="D3348" s="1297"/>
      <c r="E3348" s="1297" t="s">
        <v>952</v>
      </c>
      <c r="G3348" s="1399">
        <v>149257.09</v>
      </c>
      <c r="J3348" s="1399">
        <v>149257.09</v>
      </c>
    </row>
    <row r="3349" spans="2:12">
      <c r="B3349" s="1297"/>
      <c r="C3349" s="1297"/>
      <c r="D3349" s="1297"/>
      <c r="E3349" s="1297" t="s">
        <v>907</v>
      </c>
      <c r="G3349" s="1399">
        <v>5491905.0299999993</v>
      </c>
      <c r="J3349" s="1399">
        <v>5491905.0299999993</v>
      </c>
    </row>
    <row r="3350" spans="2:12">
      <c r="B3350" s="1297"/>
      <c r="C3350" s="1297"/>
      <c r="D3350" s="1297"/>
      <c r="E3350" s="1297" t="s">
        <v>908</v>
      </c>
      <c r="G3350" s="1399">
        <v>27504.06</v>
      </c>
      <c r="J3350" s="1399">
        <v>27504.06</v>
      </c>
    </row>
    <row r="3351" spans="2:12">
      <c r="B3351" s="1297"/>
      <c r="C3351" s="1297"/>
      <c r="D3351" s="1297"/>
      <c r="E3351" s="1297" t="s">
        <v>1037</v>
      </c>
      <c r="H3351" s="1399">
        <v>127629.06000000001</v>
      </c>
      <c r="J3351" s="1399">
        <v>127629.06000000001</v>
      </c>
    </row>
    <row r="3352" spans="2:12">
      <c r="B3352" s="1297"/>
      <c r="C3352" s="1297"/>
      <c r="D3352" s="1297"/>
      <c r="E3352" s="1297" t="s">
        <v>1039</v>
      </c>
      <c r="H3352" s="1399">
        <v>31384.859999999997</v>
      </c>
      <c r="J3352" s="1399">
        <v>31384.859999999997</v>
      </c>
    </row>
    <row r="3353" spans="2:12">
      <c r="B3353" s="1297"/>
      <c r="C3353" s="1297"/>
      <c r="D3353" s="1297"/>
      <c r="E3353" s="1297" t="s">
        <v>1040</v>
      </c>
      <c r="H3353" s="1399">
        <v>291401.42000000004</v>
      </c>
      <c r="J3353" s="1399">
        <v>291401.42000000004</v>
      </c>
    </row>
    <row r="3354" spans="2:12">
      <c r="B3354" s="1297"/>
      <c r="C3354" s="1297"/>
      <c r="D3354" s="1297"/>
      <c r="E3354" s="1297" t="s">
        <v>1041</v>
      </c>
      <c r="H3354" s="1399">
        <v>80015.679999999993</v>
      </c>
      <c r="J3354" s="1399">
        <v>80015.679999999993</v>
      </c>
    </row>
    <row r="3355" spans="2:12">
      <c r="B3355" s="1297"/>
      <c r="C3355" s="1297"/>
      <c r="D3355" s="1297"/>
      <c r="E3355" s="1297" t="s">
        <v>1042</v>
      </c>
      <c r="H3355" s="1399">
        <v>91320.99</v>
      </c>
      <c r="J3355" s="1399">
        <v>91320.99</v>
      </c>
    </row>
    <row r="3356" spans="2:12">
      <c r="B3356" s="1297"/>
      <c r="C3356" s="1297"/>
      <c r="D3356" s="1297"/>
      <c r="E3356" s="1297" t="s">
        <v>954</v>
      </c>
      <c r="H3356" s="1399">
        <v>894269.97000000009</v>
      </c>
      <c r="J3356" s="1399">
        <v>894269.97000000009</v>
      </c>
    </row>
    <row r="3357" spans="2:12">
      <c r="B3357" s="1297"/>
      <c r="C3357" s="1297"/>
      <c r="D3357" s="1297"/>
      <c r="E3357" s="1297" t="s">
        <v>985</v>
      </c>
      <c r="H3357" s="1399">
        <v>250</v>
      </c>
      <c r="J3357" s="1399">
        <v>250</v>
      </c>
    </row>
    <row r="3358" spans="2:12">
      <c r="B3358" s="1297"/>
      <c r="C3358" s="1297"/>
      <c r="D3358" s="1297"/>
      <c r="E3358" s="1297" t="s">
        <v>986</v>
      </c>
      <c r="H3358" s="1399">
        <v>83872.97</v>
      </c>
      <c r="J3358" s="1399">
        <v>83872.97</v>
      </c>
    </row>
    <row r="3359" spans="2:12">
      <c r="B3359" s="1297"/>
      <c r="C3359" s="1297"/>
      <c r="D3359" s="1297"/>
      <c r="E3359" s="1297" t="s">
        <v>1044</v>
      </c>
      <c r="F3359" s="1399">
        <v>37495.25</v>
      </c>
      <c r="J3359" s="1399">
        <v>37495.25</v>
      </c>
    </row>
    <row r="3360" spans="2:12">
      <c r="B3360" s="1297"/>
      <c r="C3360" s="1297"/>
      <c r="D3360" s="1297"/>
      <c r="E3360" s="1297" t="s">
        <v>1045</v>
      </c>
      <c r="H3360" s="1399">
        <v>873613.15</v>
      </c>
      <c r="J3360" s="1399">
        <v>873613.15</v>
      </c>
    </row>
    <row r="3361" spans="5:10" s="1297" customFormat="1">
      <c r="E3361" s="1297" t="s">
        <v>1046</v>
      </c>
      <c r="F3361" s="1399"/>
      <c r="G3361" s="1399"/>
      <c r="H3361" s="1399"/>
      <c r="I3361" s="1399">
        <v>32791254</v>
      </c>
      <c r="J3361" s="1399">
        <v>32791254</v>
      </c>
    </row>
    <row r="3362" spans="5:10" s="1297" customFormat="1">
      <c r="E3362" s="1297" t="s">
        <v>1128</v>
      </c>
      <c r="F3362" s="1399"/>
      <c r="G3362" s="1399"/>
      <c r="H3362" s="1399"/>
      <c r="I3362" s="1399">
        <v>2562306</v>
      </c>
      <c r="J3362" s="1399">
        <v>2562306</v>
      </c>
    </row>
    <row r="3363" spans="5:10" s="1297" customFormat="1">
      <c r="E3363" s="1297" t="s">
        <v>1129</v>
      </c>
      <c r="F3363" s="1399"/>
      <c r="G3363" s="1399"/>
      <c r="H3363" s="1399"/>
      <c r="I3363" s="1399">
        <v>-4738203</v>
      </c>
      <c r="J3363" s="1399">
        <v>-4738203</v>
      </c>
    </row>
    <row r="3364" spans="5:10" s="1297" customFormat="1">
      <c r="E3364" s="1297" t="s">
        <v>1047</v>
      </c>
      <c r="F3364" s="1399"/>
      <c r="G3364" s="1399"/>
      <c r="H3364" s="1399"/>
      <c r="I3364" s="1399">
        <v>1276821</v>
      </c>
      <c r="J3364" s="1399">
        <v>1276821</v>
      </c>
    </row>
    <row r="3365" spans="5:10" s="1297" customFormat="1">
      <c r="E3365" s="1297" t="s">
        <v>1048</v>
      </c>
      <c r="F3365" s="1399"/>
      <c r="G3365" s="1399"/>
      <c r="H3365" s="1399"/>
      <c r="I3365" s="1399">
        <v>-3784731</v>
      </c>
      <c r="J3365" s="1399">
        <v>-3784731</v>
      </c>
    </row>
    <row r="3366" spans="5:10" s="1297" customFormat="1">
      <c r="E3366" s="1297" t="s">
        <v>932</v>
      </c>
      <c r="F3366" s="1399"/>
      <c r="G3366" s="1399"/>
      <c r="H3366" s="1399"/>
      <c r="I3366" s="1399">
        <v>2793308</v>
      </c>
      <c r="J3366" s="1399">
        <v>2793308</v>
      </c>
    </row>
    <row r="3367" spans="5:10" s="1297" customFormat="1">
      <c r="E3367" s="1404" t="s">
        <v>955</v>
      </c>
      <c r="F3367" s="1405"/>
      <c r="G3367" s="1405"/>
      <c r="H3367" s="1405"/>
      <c r="I3367" s="1405">
        <v>1598099.43</v>
      </c>
      <c r="J3367" s="1405">
        <v>1598099.43</v>
      </c>
    </row>
    <row r="3368" spans="5:10" s="1297" customFormat="1">
      <c r="E3368" s="1297" t="s">
        <v>934</v>
      </c>
      <c r="F3368" s="1399"/>
      <c r="G3368" s="1399"/>
      <c r="H3368" s="1399"/>
      <c r="I3368" s="1399">
        <v>109716</v>
      </c>
      <c r="J3368" s="1399">
        <v>109716</v>
      </c>
    </row>
    <row r="3369" spans="5:10" s="1297" customFormat="1">
      <c r="E3369" s="1297" t="s">
        <v>935</v>
      </c>
      <c r="F3369" s="1399"/>
      <c r="G3369" s="1399"/>
      <c r="H3369" s="1399"/>
      <c r="I3369" s="1399">
        <v>811398.5</v>
      </c>
      <c r="J3369" s="1399">
        <v>811398.5</v>
      </c>
    </row>
    <row r="3370" spans="5:10" s="1297" customFormat="1">
      <c r="E3370" s="1297" t="s">
        <v>936</v>
      </c>
      <c r="F3370" s="1399"/>
      <c r="G3370" s="1399"/>
      <c r="H3370" s="1399"/>
      <c r="I3370" s="1399">
        <v>85086.58</v>
      </c>
      <c r="J3370" s="1399">
        <v>85086.58</v>
      </c>
    </row>
    <row r="3371" spans="5:10" s="1297" customFormat="1">
      <c r="E3371" s="1297" t="s">
        <v>937</v>
      </c>
      <c r="F3371" s="1399"/>
      <c r="G3371" s="1399"/>
      <c r="H3371" s="1399"/>
      <c r="I3371" s="1399">
        <v>29328.49</v>
      </c>
      <c r="J3371" s="1399">
        <v>29328.49</v>
      </c>
    </row>
    <row r="3372" spans="5:10" s="1297" customFormat="1">
      <c r="E3372" s="1297" t="s">
        <v>938</v>
      </c>
      <c r="F3372" s="1399"/>
      <c r="G3372" s="1399"/>
      <c r="H3372" s="1399"/>
      <c r="I3372" s="1399">
        <v>32378</v>
      </c>
      <c r="J3372" s="1399">
        <v>32378</v>
      </c>
    </row>
    <row r="3373" spans="5:10" s="1297" customFormat="1">
      <c r="E3373" s="1297" t="s">
        <v>940</v>
      </c>
      <c r="F3373" s="1399">
        <v>1792048.06</v>
      </c>
      <c r="G3373" s="1399"/>
      <c r="H3373" s="1399"/>
      <c r="I3373" s="1399"/>
      <c r="J3373" s="1399">
        <v>1792048.06</v>
      </c>
    </row>
    <row r="3374" spans="5:10" s="1297" customFormat="1">
      <c r="E3374" s="1297" t="s">
        <v>941</v>
      </c>
      <c r="F3374" s="1399">
        <v>655228.12</v>
      </c>
      <c r="G3374" s="1399"/>
      <c r="H3374" s="1399"/>
      <c r="I3374" s="1399"/>
      <c r="J3374" s="1399">
        <v>655228.12</v>
      </c>
    </row>
    <row r="3375" spans="5:10" s="1297" customFormat="1">
      <c r="E3375" s="1297" t="s">
        <v>943</v>
      </c>
      <c r="F3375" s="1399">
        <v>30621.200000000001</v>
      </c>
      <c r="G3375" s="1399"/>
      <c r="H3375" s="1399"/>
      <c r="I3375" s="1399"/>
      <c r="J3375" s="1399">
        <v>30621.200000000001</v>
      </c>
    </row>
    <row r="3376" spans="5:10" s="1297" customFormat="1">
      <c r="E3376" s="1297" t="s">
        <v>944</v>
      </c>
      <c r="F3376" s="1399">
        <v>2956652</v>
      </c>
      <c r="G3376" s="1399"/>
      <c r="H3376" s="1399"/>
      <c r="I3376" s="1399"/>
      <c r="J3376" s="1399">
        <v>2956652</v>
      </c>
    </row>
    <row r="3377" spans="2:12">
      <c r="B3377" s="1297"/>
      <c r="C3377" s="1297"/>
      <c r="D3377" s="1297"/>
      <c r="E3377" s="1297" t="s">
        <v>945</v>
      </c>
      <c r="F3377" s="1399">
        <v>3041451.65</v>
      </c>
      <c r="J3377" s="1399">
        <v>3041451.65</v>
      </c>
    </row>
    <row r="3378" spans="2:12">
      <c r="B3378" s="1297"/>
      <c r="C3378" s="1297"/>
      <c r="D3378" s="1297"/>
      <c r="E3378" s="1297" t="s">
        <v>946</v>
      </c>
      <c r="F3378" s="1399">
        <v>1440.66</v>
      </c>
      <c r="J3378" s="1399">
        <v>1440.66</v>
      </c>
    </row>
    <row r="3379" spans="2:12">
      <c r="B3379" s="1297"/>
      <c r="C3379" s="1297"/>
      <c r="D3379" s="1297"/>
      <c r="E3379" s="1297" t="s">
        <v>978</v>
      </c>
      <c r="F3379" s="1399">
        <v>1200</v>
      </c>
      <c r="J3379" s="1399">
        <v>1200</v>
      </c>
    </row>
    <row r="3380" spans="2:12">
      <c r="B3380" s="1297"/>
      <c r="C3380" s="1297"/>
      <c r="D3380" s="1297"/>
      <c r="E3380" s="1297" t="s">
        <v>947</v>
      </c>
      <c r="F3380" s="1399">
        <v>221223.33000000002</v>
      </c>
      <c r="J3380" s="1399">
        <v>221223.33000000002</v>
      </c>
    </row>
    <row r="3381" spans="2:12">
      <c r="B3381" s="1297"/>
      <c r="C3381" s="1297"/>
      <c r="D3381" s="1297"/>
      <c r="E3381" s="1404" t="s">
        <v>948</v>
      </c>
      <c r="F3381" s="1405"/>
      <c r="G3381" s="1405"/>
      <c r="H3381" s="1405">
        <v>1092455.8500000001</v>
      </c>
      <c r="I3381" s="1405"/>
      <c r="J3381" s="1405">
        <v>1092455.8500000001</v>
      </c>
    </row>
    <row r="3382" spans="2:12">
      <c r="B3382" s="1297"/>
      <c r="C3382" s="1297"/>
      <c r="D3382" s="1400" t="s">
        <v>1416</v>
      </c>
      <c r="E3382" s="1400"/>
      <c r="F3382" s="1401">
        <f>SUM(F3347:F3381)</f>
        <v>8737360.2700000014</v>
      </c>
      <c r="G3382" s="1401">
        <f>SUM(G3347:G3381)</f>
        <v>15856188.52</v>
      </c>
      <c r="H3382" s="1401">
        <f>SUM(H3347:H3381)-H3381</f>
        <v>2473758.1</v>
      </c>
      <c r="I3382" s="1401">
        <f>SUM(I3347:I3381)-I3367</f>
        <v>31968662.57</v>
      </c>
      <c r="J3382" s="1401">
        <f>SUM(J3347:J3381)</f>
        <v>61726524.739999995</v>
      </c>
      <c r="K3382" s="1401">
        <f>SUM(F3382:I3382)</f>
        <v>59035969.460000001</v>
      </c>
      <c r="L3382" s="1408">
        <f>K3382/C3347</f>
        <v>9495.8934309152319</v>
      </c>
    </row>
    <row r="3383" spans="2:12">
      <c r="B3383" s="1297" t="s">
        <v>1417</v>
      </c>
      <c r="C3383" s="1297">
        <v>6078</v>
      </c>
      <c r="D3383" s="1297" t="s">
        <v>1418</v>
      </c>
      <c r="E3383" s="1297" t="s">
        <v>906</v>
      </c>
      <c r="G3383" s="1399">
        <v>13252497.729999999</v>
      </c>
      <c r="J3383" s="1399">
        <v>13252497.729999999</v>
      </c>
    </row>
    <row r="3384" spans="2:12">
      <c r="B3384" s="1297"/>
      <c r="C3384" s="1297"/>
      <c r="D3384" s="1297"/>
      <c r="E3384" s="1297" t="s">
        <v>952</v>
      </c>
      <c r="G3384" s="1399">
        <v>246736.59</v>
      </c>
      <c r="J3384" s="1399">
        <v>246736.59</v>
      </c>
    </row>
    <row r="3385" spans="2:12">
      <c r="B3385" s="1297"/>
      <c r="C3385" s="1297"/>
      <c r="D3385" s="1297"/>
      <c r="E3385" s="1297" t="s">
        <v>907</v>
      </c>
      <c r="G3385" s="1399">
        <v>3507965.79</v>
      </c>
      <c r="J3385" s="1399">
        <v>3507965.79</v>
      </c>
    </row>
    <row r="3386" spans="2:12">
      <c r="B3386" s="1297"/>
      <c r="C3386" s="1297"/>
      <c r="D3386" s="1297"/>
      <c r="E3386" s="1297" t="s">
        <v>908</v>
      </c>
      <c r="G3386" s="1399">
        <v>16044.8</v>
      </c>
      <c r="J3386" s="1399">
        <v>16044.8</v>
      </c>
    </row>
    <row r="3387" spans="2:12">
      <c r="B3387" s="1297"/>
      <c r="C3387" s="1297"/>
      <c r="D3387" s="1297"/>
      <c r="E3387" s="1297" t="s">
        <v>1035</v>
      </c>
      <c r="H3387" s="1399">
        <v>360524.9</v>
      </c>
      <c r="J3387" s="1399">
        <v>360524.9</v>
      </c>
    </row>
    <row r="3388" spans="2:12">
      <c r="B3388" s="1297"/>
      <c r="C3388" s="1297"/>
      <c r="D3388" s="1297"/>
      <c r="E3388" s="1297" t="s">
        <v>1037</v>
      </c>
      <c r="H3388" s="1399">
        <v>84697.37</v>
      </c>
      <c r="J3388" s="1399">
        <v>84697.37</v>
      </c>
    </row>
    <row r="3389" spans="2:12">
      <c r="B3389" s="1297"/>
      <c r="C3389" s="1297"/>
      <c r="D3389" s="1297"/>
      <c r="E3389" s="1297" t="s">
        <v>1039</v>
      </c>
      <c r="H3389" s="1399">
        <v>116415.01999999999</v>
      </c>
      <c r="J3389" s="1399">
        <v>116415.01999999999</v>
      </c>
    </row>
    <row r="3390" spans="2:12">
      <c r="B3390" s="1297"/>
      <c r="C3390" s="1297"/>
      <c r="D3390" s="1297"/>
      <c r="E3390" s="1297" t="s">
        <v>1040</v>
      </c>
      <c r="H3390" s="1399">
        <v>710145.94</v>
      </c>
      <c r="J3390" s="1399">
        <v>710145.94</v>
      </c>
    </row>
    <row r="3391" spans="2:12">
      <c r="B3391" s="1297"/>
      <c r="C3391" s="1297"/>
      <c r="D3391" s="1297"/>
      <c r="E3391" s="1297" t="s">
        <v>1041</v>
      </c>
      <c r="H3391" s="1399">
        <v>92520.02</v>
      </c>
      <c r="J3391" s="1399">
        <v>92520.02</v>
      </c>
    </row>
    <row r="3392" spans="2:12">
      <c r="B3392" s="1297"/>
      <c r="C3392" s="1297"/>
      <c r="D3392" s="1297"/>
      <c r="E3392" s="1297" t="s">
        <v>1042</v>
      </c>
      <c r="H3392" s="1399">
        <v>69297.100000000006</v>
      </c>
      <c r="J3392" s="1399">
        <v>69297.100000000006</v>
      </c>
    </row>
    <row r="3393" spans="5:10" s="1297" customFormat="1">
      <c r="E3393" s="1297" t="s">
        <v>985</v>
      </c>
      <c r="F3393" s="1399"/>
      <c r="G3393" s="1399"/>
      <c r="H3393" s="1399">
        <v>247039.5</v>
      </c>
      <c r="I3393" s="1399"/>
      <c r="J3393" s="1399">
        <v>247039.5</v>
      </c>
    </row>
    <row r="3394" spans="5:10" s="1297" customFormat="1">
      <c r="E3394" s="1297" t="s">
        <v>1043</v>
      </c>
      <c r="F3394" s="1399"/>
      <c r="G3394" s="1399"/>
      <c r="H3394" s="1399">
        <v>26241</v>
      </c>
      <c r="I3394" s="1399"/>
      <c r="J3394" s="1399">
        <v>26241</v>
      </c>
    </row>
    <row r="3395" spans="5:10" s="1297" customFormat="1">
      <c r="E3395" s="1297" t="s">
        <v>986</v>
      </c>
      <c r="F3395" s="1399"/>
      <c r="G3395" s="1399"/>
      <c r="H3395" s="1399">
        <v>741472.08</v>
      </c>
      <c r="I3395" s="1399"/>
      <c r="J3395" s="1399">
        <v>741472.08</v>
      </c>
    </row>
    <row r="3396" spans="5:10" s="1297" customFormat="1">
      <c r="E3396" s="1297" t="s">
        <v>1045</v>
      </c>
      <c r="F3396" s="1399"/>
      <c r="G3396" s="1399"/>
      <c r="H3396" s="1399">
        <v>579498.17999999993</v>
      </c>
      <c r="I3396" s="1399"/>
      <c r="J3396" s="1399">
        <v>579498.17999999993</v>
      </c>
    </row>
    <row r="3397" spans="5:10" s="1297" customFormat="1">
      <c r="E3397" s="1297" t="s">
        <v>1046</v>
      </c>
      <c r="F3397" s="1399"/>
      <c r="G3397" s="1399"/>
      <c r="H3397" s="1399"/>
      <c r="I3397" s="1399">
        <v>27323140</v>
      </c>
      <c r="J3397" s="1399">
        <v>27323140</v>
      </c>
    </row>
    <row r="3398" spans="5:10" s="1297" customFormat="1">
      <c r="E3398" s="1297" t="s">
        <v>1047</v>
      </c>
      <c r="F3398" s="1399"/>
      <c r="G3398" s="1399"/>
      <c r="H3398" s="1399"/>
      <c r="I3398" s="1399">
        <v>875907</v>
      </c>
      <c r="J3398" s="1399">
        <v>875907</v>
      </c>
    </row>
    <row r="3399" spans="5:10" s="1297" customFormat="1">
      <c r="E3399" s="1297" t="s">
        <v>1048</v>
      </c>
      <c r="F3399" s="1399"/>
      <c r="G3399" s="1399"/>
      <c r="H3399" s="1399"/>
      <c r="I3399" s="1399">
        <v>-3914837</v>
      </c>
      <c r="J3399" s="1399">
        <v>-3914837</v>
      </c>
    </row>
    <row r="3400" spans="5:10" s="1297" customFormat="1">
      <c r="E3400" s="359" t="s">
        <v>932</v>
      </c>
      <c r="F3400" s="1411"/>
      <c r="G3400" s="1411"/>
      <c r="H3400" s="1411"/>
      <c r="I3400" s="1411">
        <v>2807865</v>
      </c>
      <c r="J3400" s="1411">
        <v>2807865</v>
      </c>
    </row>
    <row r="3401" spans="5:10" s="1297" customFormat="1">
      <c r="E3401" s="1404" t="s">
        <v>955</v>
      </c>
      <c r="F3401" s="1405"/>
      <c r="G3401" s="1405"/>
      <c r="H3401" s="1405"/>
      <c r="I3401" s="1405">
        <v>1168636.97</v>
      </c>
      <c r="J3401" s="1405">
        <v>1168636.97</v>
      </c>
    </row>
    <row r="3402" spans="5:10" s="1297" customFormat="1">
      <c r="E3402" s="1297" t="s">
        <v>934</v>
      </c>
      <c r="F3402" s="1399"/>
      <c r="G3402" s="1399"/>
      <c r="H3402" s="1399"/>
      <c r="I3402" s="1399">
        <v>93000</v>
      </c>
      <c r="J3402" s="1399">
        <v>93000</v>
      </c>
    </row>
    <row r="3403" spans="5:10" s="1297" customFormat="1">
      <c r="E3403" s="1297" t="s">
        <v>935</v>
      </c>
      <c r="F3403" s="1399"/>
      <c r="G3403" s="1399"/>
      <c r="H3403" s="1399"/>
      <c r="I3403" s="1399">
        <v>532172.13</v>
      </c>
      <c r="J3403" s="1399">
        <v>532172.13</v>
      </c>
    </row>
    <row r="3404" spans="5:10" s="1297" customFormat="1">
      <c r="E3404" s="1297" t="s">
        <v>936</v>
      </c>
      <c r="F3404" s="1399"/>
      <c r="G3404" s="1399"/>
      <c r="H3404" s="1399"/>
      <c r="I3404" s="1399">
        <v>77733.42</v>
      </c>
      <c r="J3404" s="1399">
        <v>77733.42</v>
      </c>
    </row>
    <row r="3405" spans="5:10" s="1297" customFormat="1">
      <c r="E3405" s="1297" t="s">
        <v>937</v>
      </c>
      <c r="F3405" s="1399"/>
      <c r="G3405" s="1399"/>
      <c r="H3405" s="1399"/>
      <c r="I3405" s="1399">
        <v>12797.28</v>
      </c>
      <c r="J3405" s="1399">
        <v>12797.28</v>
      </c>
    </row>
    <row r="3406" spans="5:10" s="1297" customFormat="1">
      <c r="E3406" s="1297" t="s">
        <v>938</v>
      </c>
      <c r="F3406" s="1399"/>
      <c r="G3406" s="1399"/>
      <c r="H3406" s="1399"/>
      <c r="I3406" s="1399">
        <v>31817</v>
      </c>
      <c r="J3406" s="1399">
        <v>31817</v>
      </c>
    </row>
    <row r="3407" spans="5:10" s="1297" customFormat="1">
      <c r="E3407" s="1297" t="s">
        <v>1131</v>
      </c>
      <c r="F3407" s="1399">
        <v>72858</v>
      </c>
      <c r="G3407" s="1399"/>
      <c r="H3407" s="1399"/>
      <c r="I3407" s="1399"/>
      <c r="J3407" s="1399">
        <v>72858</v>
      </c>
    </row>
    <row r="3408" spans="5:10" s="1297" customFormat="1">
      <c r="E3408" s="1297" t="s">
        <v>940</v>
      </c>
      <c r="F3408" s="1399">
        <v>1146711.76</v>
      </c>
      <c r="G3408" s="1399"/>
      <c r="H3408" s="1399"/>
      <c r="I3408" s="1399"/>
      <c r="J3408" s="1399">
        <v>1146711.76</v>
      </c>
    </row>
    <row r="3409" spans="2:12">
      <c r="B3409" s="1297"/>
      <c r="C3409" s="1297"/>
      <c r="D3409" s="1297"/>
      <c r="E3409" s="1297" t="s">
        <v>941</v>
      </c>
      <c r="F3409" s="1399">
        <v>320630.64</v>
      </c>
      <c r="J3409" s="1399">
        <v>320630.64</v>
      </c>
    </row>
    <row r="3410" spans="2:12">
      <c r="B3410" s="1297"/>
      <c r="C3410" s="1297"/>
      <c r="D3410" s="1297"/>
      <c r="E3410" s="1297" t="s">
        <v>944</v>
      </c>
      <c r="F3410" s="1399">
        <v>2229802.9300000002</v>
      </c>
      <c r="J3410" s="1399">
        <v>2229802.9300000002</v>
      </c>
    </row>
    <row r="3411" spans="2:12">
      <c r="B3411" s="1297"/>
      <c r="C3411" s="1297"/>
      <c r="D3411" s="1297"/>
      <c r="E3411" s="1297" t="s">
        <v>945</v>
      </c>
      <c r="F3411" s="1399">
        <v>1890278.33</v>
      </c>
      <c r="J3411" s="1399">
        <v>1890278.33</v>
      </c>
    </row>
    <row r="3412" spans="2:12">
      <c r="B3412" s="1297"/>
      <c r="C3412" s="1297"/>
      <c r="D3412" s="1297"/>
      <c r="E3412" s="1297" t="s">
        <v>946</v>
      </c>
      <c r="F3412" s="1399">
        <v>89.31</v>
      </c>
      <c r="J3412" s="1399">
        <v>89.31</v>
      </c>
    </row>
    <row r="3413" spans="2:12">
      <c r="B3413" s="1297"/>
      <c r="C3413" s="1297"/>
      <c r="D3413" s="1297"/>
      <c r="E3413" s="1297" t="s">
        <v>978</v>
      </c>
      <c r="F3413" s="1399">
        <v>3600</v>
      </c>
      <c r="J3413" s="1399">
        <v>3600</v>
      </c>
    </row>
    <row r="3414" spans="2:12">
      <c r="B3414" s="1297"/>
      <c r="C3414" s="1297"/>
      <c r="D3414" s="1297"/>
      <c r="E3414" s="1297" t="s">
        <v>947</v>
      </c>
      <c r="F3414" s="1399">
        <v>121266.97</v>
      </c>
      <c r="J3414" s="1399">
        <v>121266.97</v>
      </c>
    </row>
    <row r="3415" spans="2:12">
      <c r="B3415" s="1297"/>
      <c r="C3415" s="1297"/>
      <c r="D3415" s="1297"/>
      <c r="E3415" s="1404" t="s">
        <v>948</v>
      </c>
      <c r="F3415" s="1405"/>
      <c r="G3415" s="1405"/>
      <c r="H3415" s="1405">
        <v>585317.44999999995</v>
      </c>
      <c r="I3415" s="1405"/>
      <c r="J3415" s="1405">
        <v>585317.44999999995</v>
      </c>
    </row>
    <row r="3416" spans="2:12">
      <c r="B3416" s="1297"/>
      <c r="C3416" s="1297"/>
      <c r="D3416" s="1297"/>
      <c r="E3416" s="1297" t="s">
        <v>956</v>
      </c>
      <c r="H3416" s="1399">
        <v>29019.41</v>
      </c>
      <c r="J3416" s="1399">
        <v>29019.41</v>
      </c>
    </row>
    <row r="3417" spans="2:12">
      <c r="B3417" s="1297"/>
      <c r="C3417" s="1297"/>
      <c r="D3417" s="1297"/>
      <c r="E3417" s="1297" t="s">
        <v>1118</v>
      </c>
      <c r="H3417" s="1399">
        <v>231</v>
      </c>
      <c r="J3417" s="1399">
        <v>231</v>
      </c>
    </row>
    <row r="3418" spans="2:12">
      <c r="B3418" s="1297"/>
      <c r="C3418" s="1297"/>
      <c r="D3418" s="1400" t="s">
        <v>1419</v>
      </c>
      <c r="E3418" s="1400"/>
      <c r="F3418" s="1401">
        <f>SUM(F3383:F3417)</f>
        <v>5785237.9399999995</v>
      </c>
      <c r="G3418" s="1401">
        <f>SUM(G3383:G3417)</f>
        <v>17023244.91</v>
      </c>
      <c r="H3418" s="1401">
        <f>SUM(H3383:H3417)-H3415</f>
        <v>3057101.5200000005</v>
      </c>
      <c r="I3418" s="1401">
        <f>SUM(I3383:I3417)-I3401</f>
        <v>27839594.830000002</v>
      </c>
      <c r="J3418" s="1401">
        <f>SUM(J3383:J3417)</f>
        <v>55459133.619999997</v>
      </c>
      <c r="K3418" s="1401">
        <f>SUM(F3418:I3418)</f>
        <v>53705179.200000003</v>
      </c>
      <c r="L3418" s="1408">
        <f>K3418/C3383</f>
        <v>8835.9952615992115</v>
      </c>
    </row>
    <row r="3419" spans="2:12">
      <c r="B3419" s="1297" t="s">
        <v>1420</v>
      </c>
      <c r="C3419" s="1297">
        <v>10073</v>
      </c>
      <c r="D3419" s="1297" t="s">
        <v>1421</v>
      </c>
      <c r="E3419" s="1297" t="s">
        <v>906</v>
      </c>
      <c r="G3419" s="1399">
        <v>17397972.890000001</v>
      </c>
      <c r="J3419" s="1399">
        <v>17397972.890000001</v>
      </c>
    </row>
    <row r="3420" spans="2:12">
      <c r="B3420" s="1297"/>
      <c r="C3420" s="1297"/>
      <c r="D3420" s="1297"/>
      <c r="E3420" s="1297" t="s">
        <v>907</v>
      </c>
      <c r="G3420" s="1399">
        <v>7921039.7800000003</v>
      </c>
      <c r="J3420" s="1399">
        <v>7921039.7800000003</v>
      </c>
    </row>
    <row r="3421" spans="2:12">
      <c r="B3421" s="1297"/>
      <c r="C3421" s="1297"/>
      <c r="D3421" s="1297"/>
      <c r="E3421" s="1297" t="s">
        <v>995</v>
      </c>
      <c r="G3421" s="1399">
        <v>51308.23</v>
      </c>
      <c r="J3421" s="1399">
        <v>51308.23</v>
      </c>
    </row>
    <row r="3422" spans="2:12">
      <c r="B3422" s="1297"/>
      <c r="C3422" s="1297"/>
      <c r="D3422" s="1297"/>
      <c r="E3422" s="1297" t="s">
        <v>908</v>
      </c>
      <c r="G3422" s="1399">
        <v>32634.639999999999</v>
      </c>
      <c r="J3422" s="1399">
        <v>32634.639999999999</v>
      </c>
    </row>
    <row r="3423" spans="2:12">
      <c r="B3423" s="1297"/>
      <c r="C3423" s="1297"/>
      <c r="D3423" s="1297"/>
      <c r="E3423" s="1297" t="s">
        <v>909</v>
      </c>
      <c r="H3423" s="1399">
        <v>34547.26</v>
      </c>
      <c r="J3423" s="1399">
        <v>34547.26</v>
      </c>
    </row>
    <row r="3424" spans="2:12">
      <c r="B3424" s="1297"/>
      <c r="C3424" s="1297"/>
      <c r="D3424" s="1297"/>
      <c r="E3424" s="1297" t="s">
        <v>910</v>
      </c>
      <c r="H3424" s="1399">
        <v>99818.15</v>
      </c>
      <c r="J3424" s="1399">
        <v>99818.15</v>
      </c>
    </row>
    <row r="3425" spans="5:10" s="1297" customFormat="1">
      <c r="E3425" s="1297" t="s">
        <v>1034</v>
      </c>
      <c r="F3425" s="1399"/>
      <c r="G3425" s="1399"/>
      <c r="H3425" s="1399">
        <v>49421.01</v>
      </c>
      <c r="I3425" s="1399"/>
      <c r="J3425" s="1399">
        <v>49421.01</v>
      </c>
    </row>
    <row r="3426" spans="5:10" s="1297" customFormat="1">
      <c r="E3426" s="1297" t="s">
        <v>1035</v>
      </c>
      <c r="F3426" s="1399"/>
      <c r="G3426" s="1399"/>
      <c r="H3426" s="1399">
        <v>1229070.4099999999</v>
      </c>
      <c r="I3426" s="1399"/>
      <c r="J3426" s="1399">
        <v>1229070.4099999999</v>
      </c>
    </row>
    <row r="3427" spans="5:10" s="1297" customFormat="1">
      <c r="E3427" s="1297" t="s">
        <v>1036</v>
      </c>
      <c r="F3427" s="1399"/>
      <c r="G3427" s="1399"/>
      <c r="H3427" s="1399">
        <v>139131.82</v>
      </c>
      <c r="I3427" s="1399"/>
      <c r="J3427" s="1399">
        <v>139131.82</v>
      </c>
    </row>
    <row r="3428" spans="5:10" s="1297" customFormat="1">
      <c r="E3428" s="1297" t="s">
        <v>1039</v>
      </c>
      <c r="F3428" s="1399"/>
      <c r="G3428" s="1399"/>
      <c r="H3428" s="1399">
        <v>154712.9</v>
      </c>
      <c r="I3428" s="1399"/>
      <c r="J3428" s="1399">
        <v>154712.9</v>
      </c>
    </row>
    <row r="3429" spans="5:10" s="1297" customFormat="1">
      <c r="E3429" s="1297" t="s">
        <v>1040</v>
      </c>
      <c r="F3429" s="1399"/>
      <c r="G3429" s="1399"/>
      <c r="H3429" s="1399">
        <v>1082349.32</v>
      </c>
      <c r="I3429" s="1399"/>
      <c r="J3429" s="1399">
        <v>1082349.32</v>
      </c>
    </row>
    <row r="3430" spans="5:10" s="1297" customFormat="1">
      <c r="E3430" s="1297" t="s">
        <v>1041</v>
      </c>
      <c r="F3430" s="1399"/>
      <c r="G3430" s="1399"/>
      <c r="H3430" s="1399">
        <v>18206.89</v>
      </c>
      <c r="I3430" s="1399"/>
      <c r="J3430" s="1399">
        <v>18206.89</v>
      </c>
    </row>
    <row r="3431" spans="5:10" s="1297" customFormat="1">
      <c r="E3431" s="1297" t="s">
        <v>1042</v>
      </c>
      <c r="F3431" s="1399"/>
      <c r="G3431" s="1399"/>
      <c r="H3431" s="1399">
        <v>154135.28</v>
      </c>
      <c r="I3431" s="1399"/>
      <c r="J3431" s="1399">
        <v>154135.28</v>
      </c>
    </row>
    <row r="3432" spans="5:10" s="1297" customFormat="1">
      <c r="E3432" s="1297" t="s">
        <v>1043</v>
      </c>
      <c r="F3432" s="1399"/>
      <c r="G3432" s="1399"/>
      <c r="H3432" s="1399">
        <v>33130</v>
      </c>
      <c r="I3432" s="1399"/>
      <c r="J3432" s="1399">
        <v>33130</v>
      </c>
    </row>
    <row r="3433" spans="5:10" s="1297" customFormat="1">
      <c r="E3433" s="1297" t="s">
        <v>996</v>
      </c>
      <c r="F3433" s="1399"/>
      <c r="G3433" s="1399"/>
      <c r="H3433" s="1399">
        <v>5305.8</v>
      </c>
      <c r="I3433" s="1399"/>
      <c r="J3433" s="1399">
        <v>5305.8</v>
      </c>
    </row>
    <row r="3434" spans="5:10" s="1297" customFormat="1">
      <c r="E3434" s="1297" t="s">
        <v>1044</v>
      </c>
      <c r="F3434" s="1399">
        <v>76453.98</v>
      </c>
      <c r="G3434" s="1399"/>
      <c r="H3434" s="1399"/>
      <c r="I3434" s="1399"/>
      <c r="J3434" s="1399">
        <v>76453.98</v>
      </c>
    </row>
    <row r="3435" spans="5:10" s="1297" customFormat="1">
      <c r="E3435" s="1297" t="s">
        <v>1045</v>
      </c>
      <c r="F3435" s="1399"/>
      <c r="G3435" s="1399"/>
      <c r="H3435" s="1399">
        <v>247972.01</v>
      </c>
      <c r="I3435" s="1399"/>
      <c r="J3435" s="1399">
        <v>247972.01</v>
      </c>
    </row>
    <row r="3436" spans="5:10" s="1297" customFormat="1">
      <c r="E3436" s="1297" t="s">
        <v>1046</v>
      </c>
      <c r="F3436" s="1399"/>
      <c r="G3436" s="1399"/>
      <c r="H3436" s="1399"/>
      <c r="I3436" s="1399">
        <v>50540266</v>
      </c>
      <c r="J3436" s="1399">
        <v>50540266</v>
      </c>
    </row>
    <row r="3437" spans="5:10" s="1297" customFormat="1">
      <c r="E3437" s="1297" t="s">
        <v>1128</v>
      </c>
      <c r="F3437" s="1399"/>
      <c r="G3437" s="1399"/>
      <c r="H3437" s="1399"/>
      <c r="I3437" s="1399">
        <v>4430790</v>
      </c>
      <c r="J3437" s="1399">
        <v>4430790</v>
      </c>
    </row>
    <row r="3438" spans="5:10" s="1297" customFormat="1">
      <c r="E3438" s="1297" t="s">
        <v>1129</v>
      </c>
      <c r="F3438" s="1399"/>
      <c r="G3438" s="1399"/>
      <c r="H3438" s="1399"/>
      <c r="I3438" s="1399">
        <v>-8562440</v>
      </c>
      <c r="J3438" s="1399">
        <v>-8562440</v>
      </c>
    </row>
    <row r="3439" spans="5:10" s="1297" customFormat="1">
      <c r="E3439" s="1297" t="s">
        <v>1047</v>
      </c>
      <c r="F3439" s="1399"/>
      <c r="G3439" s="1399"/>
      <c r="H3439" s="1399"/>
      <c r="I3439" s="1399">
        <v>1182872</v>
      </c>
      <c r="J3439" s="1399">
        <v>1182872</v>
      </c>
    </row>
    <row r="3440" spans="5:10" s="1297" customFormat="1">
      <c r="E3440" s="1297" t="s">
        <v>1048</v>
      </c>
      <c r="F3440" s="1399"/>
      <c r="G3440" s="1399"/>
      <c r="H3440" s="1399"/>
      <c r="I3440" s="1399">
        <v>-5824647</v>
      </c>
      <c r="J3440" s="1399">
        <v>-5824647</v>
      </c>
    </row>
    <row r="3441" spans="5:10" s="1297" customFormat="1">
      <c r="E3441" s="1297" t="s">
        <v>932</v>
      </c>
      <c r="F3441" s="1399"/>
      <c r="G3441" s="1399"/>
      <c r="H3441" s="1399"/>
      <c r="I3441" s="1399">
        <v>10905796</v>
      </c>
      <c r="J3441" s="1399">
        <v>10905796</v>
      </c>
    </row>
    <row r="3442" spans="5:10" s="1297" customFormat="1">
      <c r="E3442" s="1404" t="s">
        <v>955</v>
      </c>
      <c r="F3442" s="1405"/>
      <c r="G3442" s="1405"/>
      <c r="H3442" s="1405"/>
      <c r="I3442" s="1405">
        <v>1694803.31</v>
      </c>
      <c r="J3442" s="1405">
        <v>1694803.31</v>
      </c>
    </row>
    <row r="3443" spans="5:10" s="1297" customFormat="1">
      <c r="E3443" s="1297" t="s">
        <v>934</v>
      </c>
      <c r="F3443" s="1399"/>
      <c r="G3443" s="1399"/>
      <c r="H3443" s="1399"/>
      <c r="I3443" s="1399">
        <v>173656</v>
      </c>
      <c r="J3443" s="1399">
        <v>173656</v>
      </c>
    </row>
    <row r="3444" spans="5:10" s="1297" customFormat="1">
      <c r="E3444" s="1297" t="s">
        <v>935</v>
      </c>
      <c r="F3444" s="1399"/>
      <c r="G3444" s="1399"/>
      <c r="H3444" s="1399"/>
      <c r="I3444" s="1399">
        <v>296429.98</v>
      </c>
      <c r="J3444" s="1399">
        <v>296429.98</v>
      </c>
    </row>
    <row r="3445" spans="5:10" s="1297" customFormat="1">
      <c r="E3445" s="1297" t="s">
        <v>936</v>
      </c>
      <c r="F3445" s="1399"/>
      <c r="G3445" s="1399"/>
      <c r="H3445" s="1399"/>
      <c r="I3445" s="1399">
        <v>125704.04</v>
      </c>
      <c r="J3445" s="1399">
        <v>125704.04</v>
      </c>
    </row>
    <row r="3446" spans="5:10" s="1297" customFormat="1">
      <c r="E3446" s="1297" t="s">
        <v>937</v>
      </c>
      <c r="F3446" s="1399"/>
      <c r="G3446" s="1399"/>
      <c r="H3446" s="1399"/>
      <c r="I3446" s="1399">
        <v>20300.689999999999</v>
      </c>
      <c r="J3446" s="1399">
        <v>20300.689999999999</v>
      </c>
    </row>
    <row r="3447" spans="5:10" s="1297" customFormat="1">
      <c r="E3447" s="1297" t="s">
        <v>938</v>
      </c>
      <c r="F3447" s="1399"/>
      <c r="G3447" s="1399"/>
      <c r="H3447" s="1399"/>
      <c r="I3447" s="1399">
        <v>61950</v>
      </c>
      <c r="J3447" s="1399">
        <v>61950</v>
      </c>
    </row>
    <row r="3448" spans="5:10" s="1297" customFormat="1">
      <c r="E3448" s="1297" t="s">
        <v>939</v>
      </c>
      <c r="F3448" s="1399"/>
      <c r="G3448" s="1399"/>
      <c r="H3448" s="1399"/>
      <c r="I3448" s="1399">
        <v>21573.360000000001</v>
      </c>
      <c r="J3448" s="1399">
        <v>21573.360000000001</v>
      </c>
    </row>
    <row r="3449" spans="5:10" s="1297" customFormat="1">
      <c r="E3449" s="1297" t="s">
        <v>1131</v>
      </c>
      <c r="F3449" s="1399">
        <v>173526.85</v>
      </c>
      <c r="G3449" s="1399"/>
      <c r="H3449" s="1399"/>
      <c r="I3449" s="1399"/>
      <c r="J3449" s="1399">
        <v>173526.85</v>
      </c>
    </row>
    <row r="3450" spans="5:10" s="1297" customFormat="1">
      <c r="E3450" s="1297" t="s">
        <v>940</v>
      </c>
      <c r="F3450" s="1399">
        <v>2811134.48</v>
      </c>
      <c r="G3450" s="1399"/>
      <c r="H3450" s="1399"/>
      <c r="I3450" s="1399"/>
      <c r="J3450" s="1399">
        <v>2811134.48</v>
      </c>
    </row>
    <row r="3451" spans="5:10" s="1297" customFormat="1">
      <c r="E3451" s="1297" t="s">
        <v>941</v>
      </c>
      <c r="F3451" s="1399">
        <v>1087048.26</v>
      </c>
      <c r="G3451" s="1399"/>
      <c r="H3451" s="1399"/>
      <c r="I3451" s="1399"/>
      <c r="J3451" s="1399">
        <v>1087048.26</v>
      </c>
    </row>
    <row r="3452" spans="5:10" s="1297" customFormat="1">
      <c r="E3452" s="1297" t="s">
        <v>943</v>
      </c>
      <c r="F3452" s="1399">
        <v>11928.8</v>
      </c>
      <c r="G3452" s="1399"/>
      <c r="H3452" s="1399"/>
      <c r="I3452" s="1399"/>
      <c r="J3452" s="1399">
        <v>11928.8</v>
      </c>
    </row>
    <row r="3453" spans="5:10" s="1297" customFormat="1">
      <c r="E3453" s="1297" t="s">
        <v>944</v>
      </c>
      <c r="F3453" s="1399">
        <v>5471228.2999999998</v>
      </c>
      <c r="G3453" s="1399"/>
      <c r="H3453" s="1399"/>
      <c r="I3453" s="1399"/>
      <c r="J3453" s="1399">
        <v>5471228.2999999998</v>
      </c>
    </row>
    <row r="3454" spans="5:10" s="1297" customFormat="1">
      <c r="E3454" s="1297" t="s">
        <v>945</v>
      </c>
      <c r="F3454" s="1399">
        <v>3563202.44</v>
      </c>
      <c r="G3454" s="1399"/>
      <c r="H3454" s="1399"/>
      <c r="I3454" s="1399"/>
      <c r="J3454" s="1399">
        <v>3563202.44</v>
      </c>
    </row>
    <row r="3455" spans="5:10" s="1297" customFormat="1">
      <c r="E3455" s="1297" t="s">
        <v>1006</v>
      </c>
      <c r="F3455" s="1399">
        <v>11001514.109999999</v>
      </c>
      <c r="G3455" s="1399"/>
      <c r="H3455" s="1399"/>
      <c r="I3455" s="1399"/>
      <c r="J3455" s="1399">
        <v>11001514.109999999</v>
      </c>
    </row>
    <row r="3456" spans="5:10" s="1297" customFormat="1">
      <c r="E3456" s="1297" t="s">
        <v>947</v>
      </c>
      <c r="F3456" s="1399">
        <v>273574.81</v>
      </c>
      <c r="G3456" s="1399"/>
      <c r="H3456" s="1399"/>
      <c r="I3456" s="1399"/>
      <c r="J3456" s="1399">
        <v>273574.81</v>
      </c>
    </row>
    <row r="3457" spans="2:12">
      <c r="B3457" s="1297"/>
      <c r="C3457" s="1297"/>
      <c r="D3457" s="1297"/>
      <c r="E3457" s="1297" t="s">
        <v>1115</v>
      </c>
      <c r="F3457" s="1399">
        <v>841595</v>
      </c>
      <c r="J3457" s="1399">
        <v>841595</v>
      </c>
    </row>
    <row r="3458" spans="2:12">
      <c r="B3458" s="1297"/>
      <c r="C3458" s="1297"/>
      <c r="D3458" s="1297"/>
      <c r="E3458" s="1404" t="s">
        <v>948</v>
      </c>
      <c r="F3458" s="1405"/>
      <c r="G3458" s="1405"/>
      <c r="H3458" s="1405">
        <v>5013512.84</v>
      </c>
      <c r="I3458" s="1405"/>
      <c r="J3458" s="1405">
        <v>5013512.84</v>
      </c>
    </row>
    <row r="3459" spans="2:12">
      <c r="B3459" s="1297"/>
      <c r="C3459" s="1297"/>
      <c r="D3459" s="1400" t="s">
        <v>1422</v>
      </c>
      <c r="E3459" s="1400"/>
      <c r="F3459" s="1401">
        <f>SUM(F3419:F3458)</f>
        <v>25311207.029999997</v>
      </c>
      <c r="G3459" s="1401">
        <f>SUM(G3419:G3458)</f>
        <v>25402955.540000003</v>
      </c>
      <c r="H3459" s="1401">
        <f>SUM(H3419:H3458)-H3458</f>
        <v>3247800.8499999996</v>
      </c>
      <c r="I3459" s="1401">
        <f>SUM(I3419:I3458)-I3442</f>
        <v>53372251.069999993</v>
      </c>
      <c r="J3459" s="1401">
        <f>SUM(J3419:J3458)</f>
        <v>114042530.64000002</v>
      </c>
      <c r="K3459" s="1401">
        <f>SUM(F3459:I3459)</f>
        <v>107334214.48999999</v>
      </c>
      <c r="L3459" s="1408">
        <f>K3459/C3419</f>
        <v>10655.635311228034</v>
      </c>
    </row>
    <row r="3460" spans="2:12">
      <c r="B3460" s="1297" t="s">
        <v>1423</v>
      </c>
      <c r="C3460" s="1297">
        <v>1146</v>
      </c>
      <c r="D3460" s="1297" t="s">
        <v>1424</v>
      </c>
      <c r="E3460" s="1297" t="s">
        <v>906</v>
      </c>
      <c r="G3460" s="1399">
        <v>4616863.96</v>
      </c>
      <c r="J3460" s="1399">
        <v>4616863.96</v>
      </c>
    </row>
    <row r="3461" spans="2:12">
      <c r="B3461" s="1297"/>
      <c r="C3461" s="1297"/>
      <c r="D3461" s="1297"/>
      <c r="E3461" s="1297" t="s">
        <v>952</v>
      </c>
      <c r="G3461" s="1399">
        <v>36903.760000000002</v>
      </c>
      <c r="J3461" s="1399">
        <v>36903.760000000002</v>
      </c>
    </row>
    <row r="3462" spans="2:12">
      <c r="B3462" s="1297"/>
      <c r="C3462" s="1297"/>
      <c r="D3462" s="1297"/>
      <c r="E3462" s="1297" t="s">
        <v>907</v>
      </c>
      <c r="G3462" s="1399">
        <v>730348.61</v>
      </c>
      <c r="J3462" s="1399">
        <v>730348.61</v>
      </c>
    </row>
    <row r="3463" spans="2:12">
      <c r="B3463" s="1297"/>
      <c r="C3463" s="1297"/>
      <c r="D3463" s="1297"/>
      <c r="E3463" s="1297" t="s">
        <v>909</v>
      </c>
      <c r="H3463" s="1399">
        <v>27259.02</v>
      </c>
      <c r="J3463" s="1399">
        <v>27259.02</v>
      </c>
    </row>
    <row r="3464" spans="2:12">
      <c r="B3464" s="1297"/>
      <c r="C3464" s="1297"/>
      <c r="D3464" s="1297"/>
      <c r="E3464" s="1297" t="s">
        <v>1034</v>
      </c>
      <c r="H3464" s="1399">
        <v>15498</v>
      </c>
      <c r="J3464" s="1399">
        <v>15498</v>
      </c>
    </row>
    <row r="3465" spans="2:12">
      <c r="B3465" s="1297"/>
      <c r="C3465" s="1297"/>
      <c r="D3465" s="1297"/>
      <c r="E3465" s="1297" t="s">
        <v>1035</v>
      </c>
      <c r="H3465" s="1399">
        <v>292650.57</v>
      </c>
      <c r="J3465" s="1399">
        <v>292650.57</v>
      </c>
    </row>
    <row r="3466" spans="2:12">
      <c r="B3466" s="1297"/>
      <c r="C3466" s="1297"/>
      <c r="D3466" s="1297"/>
      <c r="E3466" s="1297" t="s">
        <v>1036</v>
      </c>
      <c r="H3466" s="1399">
        <v>122368.1</v>
      </c>
      <c r="J3466" s="1399">
        <v>122368.1</v>
      </c>
    </row>
    <row r="3467" spans="2:12">
      <c r="B3467" s="1297"/>
      <c r="C3467" s="1297"/>
      <c r="D3467" s="1297"/>
      <c r="E3467" s="1297" t="s">
        <v>1039</v>
      </c>
      <c r="H3467" s="1399">
        <v>58969.539999999994</v>
      </c>
      <c r="J3467" s="1399">
        <v>58969.539999999994</v>
      </c>
    </row>
    <row r="3468" spans="2:12">
      <c r="B3468" s="1297"/>
      <c r="C3468" s="1297"/>
      <c r="D3468" s="1297"/>
      <c r="E3468" s="1297" t="s">
        <v>1040</v>
      </c>
      <c r="H3468" s="1399">
        <v>72401.59</v>
      </c>
      <c r="J3468" s="1399">
        <v>72401.59</v>
      </c>
    </row>
    <row r="3469" spans="2:12">
      <c r="B3469" s="1297"/>
      <c r="C3469" s="1297"/>
      <c r="D3469" s="1297"/>
      <c r="E3469" s="1297" t="s">
        <v>1127</v>
      </c>
      <c r="H3469" s="1399">
        <v>11549.4</v>
      </c>
      <c r="J3469" s="1399">
        <v>11549.4</v>
      </c>
    </row>
    <row r="3470" spans="2:12">
      <c r="B3470" s="1297"/>
      <c r="C3470" s="1297"/>
      <c r="D3470" s="1297"/>
      <c r="E3470" s="1297" t="s">
        <v>1041</v>
      </c>
      <c r="H3470" s="1399">
        <v>10473.52</v>
      </c>
      <c r="J3470" s="1399">
        <v>10473.52</v>
      </c>
    </row>
    <row r="3471" spans="2:12">
      <c r="B3471" s="1297"/>
      <c r="C3471" s="1297"/>
      <c r="D3471" s="1297"/>
      <c r="E3471" s="1297" t="s">
        <v>1042</v>
      </c>
      <c r="H3471" s="1399">
        <v>24091.8</v>
      </c>
      <c r="J3471" s="1399">
        <v>24091.8</v>
      </c>
    </row>
    <row r="3472" spans="2:12">
      <c r="B3472" s="1297"/>
      <c r="C3472" s="1297"/>
      <c r="D3472" s="1297"/>
      <c r="E3472" s="1297" t="s">
        <v>1043</v>
      </c>
      <c r="H3472" s="1399">
        <v>10540</v>
      </c>
      <c r="J3472" s="1399">
        <v>10540</v>
      </c>
    </row>
    <row r="3473" spans="5:10" s="1297" customFormat="1">
      <c r="E3473" s="1297" t="s">
        <v>996</v>
      </c>
      <c r="F3473" s="1399"/>
      <c r="G3473" s="1399"/>
      <c r="H3473" s="1399">
        <v>28893</v>
      </c>
      <c r="I3473" s="1399"/>
      <c r="J3473" s="1399">
        <v>28893</v>
      </c>
    </row>
    <row r="3474" spans="5:10" s="1297" customFormat="1">
      <c r="E3474" s="1297" t="s">
        <v>1045</v>
      </c>
      <c r="F3474" s="1399"/>
      <c r="G3474" s="1399"/>
      <c r="H3474" s="1399">
        <v>12209.46</v>
      </c>
      <c r="I3474" s="1399"/>
      <c r="J3474" s="1399">
        <v>12209.46</v>
      </c>
    </row>
    <row r="3475" spans="5:10" s="1297" customFormat="1">
      <c r="E3475" s="1297" t="s">
        <v>1046</v>
      </c>
      <c r="F3475" s="1399"/>
      <c r="G3475" s="1399"/>
      <c r="H3475" s="1399"/>
      <c r="I3475" s="1399">
        <v>6970010</v>
      </c>
      <c r="J3475" s="1399">
        <v>6970010</v>
      </c>
    </row>
    <row r="3476" spans="5:10" s="1297" customFormat="1">
      <c r="E3476" s="1297" t="s">
        <v>1047</v>
      </c>
      <c r="F3476" s="1399"/>
      <c r="G3476" s="1399"/>
      <c r="H3476" s="1399"/>
      <c r="I3476" s="1399">
        <v>367375</v>
      </c>
      <c r="J3476" s="1399">
        <v>367375</v>
      </c>
    </row>
    <row r="3477" spans="5:10" s="1297" customFormat="1">
      <c r="E3477" s="1297" t="s">
        <v>1048</v>
      </c>
      <c r="F3477" s="1399"/>
      <c r="G3477" s="1399"/>
      <c r="H3477" s="1399"/>
      <c r="I3477" s="1399">
        <v>-1259158</v>
      </c>
      <c r="J3477" s="1399">
        <v>-1259158</v>
      </c>
    </row>
    <row r="3478" spans="5:10" s="1297" customFormat="1">
      <c r="E3478" s="1297" t="s">
        <v>932</v>
      </c>
      <c r="F3478" s="1399"/>
      <c r="G3478" s="1399"/>
      <c r="H3478" s="1399"/>
      <c r="I3478" s="1399">
        <v>121940</v>
      </c>
      <c r="J3478" s="1399">
        <v>121940</v>
      </c>
    </row>
    <row r="3479" spans="5:10" s="1297" customFormat="1">
      <c r="E3479" s="1404" t="s">
        <v>955</v>
      </c>
      <c r="F3479" s="1405"/>
      <c r="G3479" s="1405"/>
      <c r="H3479" s="1405"/>
      <c r="I3479" s="1405">
        <v>394894.22</v>
      </c>
      <c r="J3479" s="1405">
        <v>394894.22</v>
      </c>
    </row>
    <row r="3480" spans="5:10" s="1297" customFormat="1">
      <c r="E3480" s="1297" t="s">
        <v>934</v>
      </c>
      <c r="F3480" s="1399"/>
      <c r="G3480" s="1399"/>
      <c r="H3480" s="1399"/>
      <c r="I3480" s="1399">
        <v>22332</v>
      </c>
      <c r="J3480" s="1399">
        <v>22332</v>
      </c>
    </row>
    <row r="3481" spans="5:10" s="1297" customFormat="1">
      <c r="E3481" s="1297" t="s">
        <v>935</v>
      </c>
      <c r="F3481" s="1399"/>
      <c r="G3481" s="1399"/>
      <c r="H3481" s="1399"/>
      <c r="I3481" s="1399">
        <v>487432.13999999996</v>
      </c>
      <c r="J3481" s="1399">
        <v>487432.13999999996</v>
      </c>
    </row>
    <row r="3482" spans="5:10" s="1297" customFormat="1">
      <c r="E3482" s="1297" t="s">
        <v>936</v>
      </c>
      <c r="F3482" s="1399"/>
      <c r="G3482" s="1399"/>
      <c r="H3482" s="1399"/>
      <c r="I3482" s="1399">
        <v>30463.1</v>
      </c>
      <c r="J3482" s="1399">
        <v>30463.1</v>
      </c>
    </row>
    <row r="3483" spans="5:10" s="1297" customFormat="1">
      <c r="E3483" s="1297" t="s">
        <v>937</v>
      </c>
      <c r="F3483" s="1399"/>
      <c r="G3483" s="1399"/>
      <c r="H3483" s="1399"/>
      <c r="I3483" s="1399">
        <v>5985.08</v>
      </c>
      <c r="J3483" s="1399">
        <v>5985.08</v>
      </c>
    </row>
    <row r="3484" spans="5:10" s="1297" customFormat="1">
      <c r="E3484" s="1297" t="s">
        <v>938</v>
      </c>
      <c r="F3484" s="1399"/>
      <c r="G3484" s="1399"/>
      <c r="H3484" s="1399"/>
      <c r="I3484" s="1399">
        <v>10107</v>
      </c>
      <c r="J3484" s="1399">
        <v>10107</v>
      </c>
    </row>
    <row r="3485" spans="5:10" s="1297" customFormat="1">
      <c r="E3485" s="1297" t="s">
        <v>939</v>
      </c>
      <c r="F3485" s="1399"/>
      <c r="G3485" s="1399"/>
      <c r="H3485" s="1399"/>
      <c r="I3485" s="1399">
        <v>82870.51999999999</v>
      </c>
      <c r="J3485" s="1399">
        <v>82870.51999999999</v>
      </c>
    </row>
    <row r="3486" spans="5:10" s="1297" customFormat="1">
      <c r="E3486" s="1297" t="s">
        <v>940</v>
      </c>
      <c r="F3486" s="1399">
        <v>317314.86</v>
      </c>
      <c r="G3486" s="1399"/>
      <c r="H3486" s="1399"/>
      <c r="I3486" s="1399"/>
      <c r="J3486" s="1399">
        <v>317314.86</v>
      </c>
    </row>
    <row r="3487" spans="5:10" s="1297" customFormat="1">
      <c r="E3487" s="1297" t="s">
        <v>941</v>
      </c>
      <c r="F3487" s="1399">
        <v>116700</v>
      </c>
      <c r="G3487" s="1399"/>
      <c r="H3487" s="1399"/>
      <c r="I3487" s="1399"/>
      <c r="J3487" s="1399">
        <v>116700</v>
      </c>
    </row>
    <row r="3488" spans="5:10" s="1297" customFormat="1">
      <c r="E3488" s="1297" t="s">
        <v>942</v>
      </c>
      <c r="F3488" s="1399">
        <v>5234.18</v>
      </c>
      <c r="G3488" s="1399"/>
      <c r="H3488" s="1399"/>
      <c r="I3488" s="1399"/>
      <c r="J3488" s="1399">
        <v>5234.18</v>
      </c>
    </row>
    <row r="3489" spans="2:12">
      <c r="B3489" s="1297"/>
      <c r="C3489" s="1297"/>
      <c r="D3489" s="1297"/>
      <c r="E3489" s="1297" t="s">
        <v>943</v>
      </c>
      <c r="F3489" s="1399">
        <v>6270.02</v>
      </c>
      <c r="J3489" s="1399">
        <v>6270.02</v>
      </c>
    </row>
    <row r="3490" spans="2:12">
      <c r="B3490" s="1297"/>
      <c r="C3490" s="1297"/>
      <c r="D3490" s="1297"/>
      <c r="E3490" s="1297" t="s">
        <v>944</v>
      </c>
      <c r="F3490" s="1399">
        <v>887092.31</v>
      </c>
      <c r="J3490" s="1399">
        <v>887092.31</v>
      </c>
    </row>
    <row r="3491" spans="2:12">
      <c r="B3491" s="1297"/>
      <c r="C3491" s="1297"/>
      <c r="D3491" s="1297"/>
      <c r="E3491" s="1297" t="s">
        <v>945</v>
      </c>
      <c r="F3491" s="1399">
        <v>481556.91</v>
      </c>
      <c r="J3491" s="1399">
        <v>481556.91</v>
      </c>
    </row>
    <row r="3492" spans="2:12">
      <c r="B3492" s="1297"/>
      <c r="C3492" s="1297"/>
      <c r="D3492" s="1297"/>
      <c r="E3492" s="1297" t="s">
        <v>1006</v>
      </c>
      <c r="F3492" s="1399">
        <v>192546</v>
      </c>
      <c r="J3492" s="1399">
        <v>192546</v>
      </c>
    </row>
    <row r="3493" spans="2:12">
      <c r="B3493" s="1297"/>
      <c r="C3493" s="1297"/>
      <c r="D3493" s="1297"/>
      <c r="E3493" s="1297" t="s">
        <v>1214</v>
      </c>
      <c r="F3493" s="1399">
        <v>8175.06</v>
      </c>
      <c r="J3493" s="1399">
        <v>8175.06</v>
      </c>
    </row>
    <row r="3494" spans="2:12">
      <c r="B3494" s="1297"/>
      <c r="C3494" s="1297"/>
      <c r="D3494" s="1297"/>
      <c r="E3494" s="1297" t="s">
        <v>947</v>
      </c>
      <c r="F3494" s="1399">
        <v>35493.61</v>
      </c>
      <c r="J3494" s="1399">
        <v>35493.61</v>
      </c>
    </row>
    <row r="3495" spans="2:12">
      <c r="B3495" s="1297"/>
      <c r="C3495" s="1297"/>
      <c r="D3495" s="1297"/>
      <c r="E3495" s="1297" t="s">
        <v>1115</v>
      </c>
      <c r="F3495" s="1399">
        <v>68392.100000000006</v>
      </c>
      <c r="J3495" s="1399">
        <v>68392.100000000006</v>
      </c>
    </row>
    <row r="3496" spans="2:12">
      <c r="B3496" s="1297"/>
      <c r="C3496" s="1297"/>
      <c r="D3496" s="1297"/>
      <c r="E3496" s="1404" t="s">
        <v>948</v>
      </c>
      <c r="F3496" s="1405"/>
      <c r="G3496" s="1405"/>
      <c r="H3496" s="1405">
        <v>1281702.74</v>
      </c>
      <c r="I3496" s="1405"/>
      <c r="J3496" s="1405">
        <v>1281702.74</v>
      </c>
    </row>
    <row r="3497" spans="2:12">
      <c r="B3497" s="1297"/>
      <c r="C3497" s="1297"/>
      <c r="D3497" s="1297"/>
      <c r="E3497" s="1297" t="s">
        <v>956</v>
      </c>
      <c r="H3497" s="1399">
        <v>15551.51</v>
      </c>
      <c r="J3497" s="1399">
        <v>15551.51</v>
      </c>
    </row>
    <row r="3498" spans="2:12">
      <c r="B3498" s="1297"/>
      <c r="C3498" s="1297"/>
      <c r="D3498" s="1400" t="s">
        <v>1425</v>
      </c>
      <c r="E3498" s="1400"/>
      <c r="F3498" s="1401">
        <f>SUM(F3460:F3497)</f>
        <v>2118775.0500000003</v>
      </c>
      <c r="G3498" s="1401">
        <f>SUM(G3460:G3497)</f>
        <v>5384116.3300000001</v>
      </c>
      <c r="H3498" s="1401">
        <f>SUM(H3460:H3497)-H3496</f>
        <v>702455.51000000024</v>
      </c>
      <c r="I3498" s="1401">
        <f>SUM(I3460:I3497)-I3479</f>
        <v>6839356.8399999989</v>
      </c>
      <c r="J3498" s="1401">
        <f>SUM(J3460:J3497)</f>
        <v>16721300.689999998</v>
      </c>
      <c r="K3498" s="1401">
        <f>SUM(F3498:I3498)</f>
        <v>15044703.73</v>
      </c>
      <c r="L3498" s="1408">
        <f>K3498/C3460</f>
        <v>13128.013726003492</v>
      </c>
    </row>
    <row r="3499" spans="2:12">
      <c r="B3499" s="1297" t="s">
        <v>1223</v>
      </c>
      <c r="C3499" s="1297">
        <v>2500</v>
      </c>
      <c r="D3499" s="1297" t="s">
        <v>1224</v>
      </c>
      <c r="E3499" s="1297" t="s">
        <v>906</v>
      </c>
      <c r="G3499" s="1399">
        <v>3407790.12</v>
      </c>
      <c r="J3499" s="1399">
        <v>3407790.12</v>
      </c>
    </row>
    <row r="3500" spans="2:12">
      <c r="B3500" s="1297"/>
      <c r="C3500" s="1297"/>
      <c r="D3500" s="1297"/>
      <c r="E3500" s="1297" t="s">
        <v>952</v>
      </c>
      <c r="G3500" s="1399">
        <v>86946.22</v>
      </c>
      <c r="J3500" s="1399">
        <v>86946.22</v>
      </c>
    </row>
    <row r="3501" spans="2:12">
      <c r="B3501" s="1297"/>
      <c r="C3501" s="1297"/>
      <c r="D3501" s="1297"/>
      <c r="E3501" s="1297" t="s">
        <v>907</v>
      </c>
      <c r="G3501" s="1399">
        <v>527465.53</v>
      </c>
      <c r="J3501" s="1399">
        <v>527465.53</v>
      </c>
    </row>
    <row r="3502" spans="2:12">
      <c r="B3502" s="1297"/>
      <c r="C3502" s="1297"/>
      <c r="D3502" s="1297"/>
      <c r="E3502" s="1297" t="s">
        <v>908</v>
      </c>
      <c r="G3502" s="1399">
        <v>16366.15</v>
      </c>
      <c r="J3502" s="1399">
        <v>16366.15</v>
      </c>
    </row>
    <row r="3503" spans="2:12">
      <c r="B3503" s="1297"/>
      <c r="C3503" s="1297"/>
      <c r="D3503" s="1297"/>
      <c r="E3503" s="1297" t="s">
        <v>909</v>
      </c>
      <c r="H3503" s="1399">
        <v>5457.89</v>
      </c>
      <c r="J3503" s="1399">
        <v>5457.89</v>
      </c>
    </row>
    <row r="3504" spans="2:12">
      <c r="B3504" s="1297"/>
      <c r="C3504" s="1297"/>
      <c r="D3504" s="1297"/>
      <c r="E3504" s="1297" t="s">
        <v>910</v>
      </c>
      <c r="H3504" s="1399">
        <v>7400.04</v>
      </c>
      <c r="J3504" s="1399">
        <v>7400.04</v>
      </c>
    </row>
    <row r="3505" spans="5:10" s="1297" customFormat="1">
      <c r="E3505" s="1297" t="s">
        <v>1034</v>
      </c>
      <c r="F3505" s="1399"/>
      <c r="G3505" s="1399"/>
      <c r="H3505" s="1399">
        <v>10317.77</v>
      </c>
      <c r="I3505" s="1399"/>
      <c r="J3505" s="1399">
        <v>10317.77</v>
      </c>
    </row>
    <row r="3506" spans="5:10" s="1297" customFormat="1">
      <c r="E3506" s="1297" t="s">
        <v>1035</v>
      </c>
      <c r="F3506" s="1399"/>
      <c r="G3506" s="1399"/>
      <c r="H3506" s="1399">
        <v>356755.22</v>
      </c>
      <c r="I3506" s="1399"/>
      <c r="J3506" s="1399">
        <v>356755.22</v>
      </c>
    </row>
    <row r="3507" spans="5:10" s="1297" customFormat="1">
      <c r="E3507" s="1297" t="s">
        <v>1036</v>
      </c>
      <c r="F3507" s="1399"/>
      <c r="G3507" s="1399"/>
      <c r="H3507" s="1399">
        <v>67386.06</v>
      </c>
      <c r="I3507" s="1399"/>
      <c r="J3507" s="1399">
        <v>67386.06</v>
      </c>
    </row>
    <row r="3508" spans="5:10" s="1297" customFormat="1">
      <c r="E3508" s="1297" t="s">
        <v>1039</v>
      </c>
      <c r="F3508" s="1399"/>
      <c r="G3508" s="1399"/>
      <c r="H3508" s="1399">
        <v>112745.55</v>
      </c>
      <c r="I3508" s="1399"/>
      <c r="J3508" s="1399">
        <v>112745.55</v>
      </c>
    </row>
    <row r="3509" spans="5:10" s="1297" customFormat="1">
      <c r="E3509" s="1297" t="s">
        <v>1040</v>
      </c>
      <c r="F3509" s="1399"/>
      <c r="G3509" s="1399"/>
      <c r="H3509" s="1399">
        <v>144157.71</v>
      </c>
      <c r="I3509" s="1399"/>
      <c r="J3509" s="1399">
        <v>144157.71</v>
      </c>
    </row>
    <row r="3510" spans="5:10" s="1297" customFormat="1">
      <c r="E3510" s="1297" t="s">
        <v>1041</v>
      </c>
      <c r="F3510" s="1399"/>
      <c r="G3510" s="1399"/>
      <c r="H3510" s="1399">
        <v>13868.81</v>
      </c>
      <c r="I3510" s="1399"/>
      <c r="J3510" s="1399">
        <v>13868.81</v>
      </c>
    </row>
    <row r="3511" spans="5:10" s="1297" customFormat="1">
      <c r="E3511" s="1297" t="s">
        <v>1042</v>
      </c>
      <c r="F3511" s="1399"/>
      <c r="G3511" s="1399"/>
      <c r="H3511" s="1399">
        <v>38968.089999999997</v>
      </c>
      <c r="I3511" s="1399"/>
      <c r="J3511" s="1399">
        <v>38968.089999999997</v>
      </c>
    </row>
    <row r="3512" spans="5:10" s="1297" customFormat="1">
      <c r="E3512" s="1297" t="s">
        <v>985</v>
      </c>
      <c r="F3512" s="1399"/>
      <c r="G3512" s="1399"/>
      <c r="H3512" s="1399">
        <v>84761.25</v>
      </c>
      <c r="I3512" s="1399"/>
      <c r="J3512" s="1399">
        <v>84761.25</v>
      </c>
    </row>
    <row r="3513" spans="5:10" s="1297" customFormat="1">
      <c r="E3513" s="1297" t="s">
        <v>1044</v>
      </c>
      <c r="F3513" s="1399">
        <v>29713</v>
      </c>
      <c r="G3513" s="1399"/>
      <c r="H3513" s="1399"/>
      <c r="I3513" s="1399"/>
      <c r="J3513" s="1399">
        <v>29713</v>
      </c>
    </row>
    <row r="3514" spans="5:10" s="1297" customFormat="1">
      <c r="E3514" s="1297" t="s">
        <v>1045</v>
      </c>
      <c r="F3514" s="1399"/>
      <c r="G3514" s="1399"/>
      <c r="H3514" s="1399">
        <v>48841.96</v>
      </c>
      <c r="I3514" s="1399"/>
      <c r="J3514" s="1399">
        <v>48841.96</v>
      </c>
    </row>
    <row r="3515" spans="5:10" s="1297" customFormat="1">
      <c r="E3515" s="1297" t="s">
        <v>1046</v>
      </c>
      <c r="F3515" s="1399"/>
      <c r="G3515" s="1399"/>
      <c r="H3515" s="1399"/>
      <c r="I3515" s="1399">
        <v>11072037</v>
      </c>
      <c r="J3515" s="1399">
        <v>11072037</v>
      </c>
    </row>
    <row r="3516" spans="5:10" s="1297" customFormat="1">
      <c r="E3516" s="1297" t="s">
        <v>1047</v>
      </c>
      <c r="F3516" s="1399"/>
      <c r="G3516" s="1399"/>
      <c r="H3516" s="1399"/>
      <c r="I3516" s="1399">
        <v>343901</v>
      </c>
      <c r="J3516" s="1399">
        <v>343901</v>
      </c>
    </row>
    <row r="3517" spans="5:10" s="1297" customFormat="1">
      <c r="E3517" s="1297" t="s">
        <v>1048</v>
      </c>
      <c r="F3517" s="1399"/>
      <c r="G3517" s="1399"/>
      <c r="H3517" s="1399"/>
      <c r="I3517" s="1399">
        <v>-968488</v>
      </c>
      <c r="J3517" s="1399">
        <v>-968488</v>
      </c>
    </row>
    <row r="3518" spans="5:10" s="1297" customFormat="1">
      <c r="E3518" s="1297" t="s">
        <v>932</v>
      </c>
      <c r="F3518" s="1399"/>
      <c r="G3518" s="1399"/>
      <c r="H3518" s="1399"/>
      <c r="I3518" s="1399">
        <v>1382285</v>
      </c>
      <c r="J3518" s="1399">
        <v>1382285</v>
      </c>
    </row>
    <row r="3519" spans="5:10" s="1297" customFormat="1">
      <c r="E3519" s="1404" t="s">
        <v>955</v>
      </c>
      <c r="F3519" s="1405"/>
      <c r="G3519" s="1405"/>
      <c r="H3519" s="1405"/>
      <c r="I3519" s="1405">
        <v>523907.61</v>
      </c>
      <c r="J3519" s="1405">
        <v>523907.61</v>
      </c>
    </row>
    <row r="3520" spans="5:10" s="1297" customFormat="1">
      <c r="E3520" s="1297" t="s">
        <v>934</v>
      </c>
      <c r="F3520" s="1399"/>
      <c r="G3520" s="1399"/>
      <c r="H3520" s="1399"/>
      <c r="I3520" s="1399">
        <v>37236</v>
      </c>
      <c r="J3520" s="1399">
        <v>37236</v>
      </c>
    </row>
    <row r="3521" spans="5:10" s="1297" customFormat="1">
      <c r="E3521" s="1297" t="s">
        <v>935</v>
      </c>
      <c r="F3521" s="1399"/>
      <c r="G3521" s="1399"/>
      <c r="H3521" s="1399"/>
      <c r="I3521" s="1399">
        <v>235206.21000000002</v>
      </c>
      <c r="J3521" s="1399">
        <v>235206.21000000002</v>
      </c>
    </row>
    <row r="3522" spans="5:10" s="1297" customFormat="1">
      <c r="E3522" s="1297" t="s">
        <v>936</v>
      </c>
      <c r="F3522" s="1399"/>
      <c r="G3522" s="1399"/>
      <c r="H3522" s="1399"/>
      <c r="I3522" s="1399">
        <v>32564</v>
      </c>
      <c r="J3522" s="1399">
        <v>32564</v>
      </c>
    </row>
    <row r="3523" spans="5:10" s="1297" customFormat="1">
      <c r="E3523" s="1297" t="s">
        <v>937</v>
      </c>
      <c r="F3523" s="1399"/>
      <c r="G3523" s="1399"/>
      <c r="H3523" s="1399"/>
      <c r="I3523" s="1399">
        <v>11699.76</v>
      </c>
      <c r="J3523" s="1399">
        <v>11699.76</v>
      </c>
    </row>
    <row r="3524" spans="5:10" s="1297" customFormat="1">
      <c r="E3524" s="1297" t="s">
        <v>938</v>
      </c>
      <c r="F3524" s="1399"/>
      <c r="G3524" s="1399"/>
      <c r="H3524" s="1399"/>
      <c r="I3524" s="1399">
        <v>13663</v>
      </c>
      <c r="J3524" s="1399">
        <v>13663</v>
      </c>
    </row>
    <row r="3525" spans="5:10" s="1297" customFormat="1">
      <c r="E3525" s="1297" t="s">
        <v>939</v>
      </c>
      <c r="F3525" s="1399"/>
      <c r="G3525" s="1399"/>
      <c r="H3525" s="1399"/>
      <c r="I3525" s="1399">
        <v>985.41</v>
      </c>
      <c r="J3525" s="1399">
        <v>985.41</v>
      </c>
    </row>
    <row r="3526" spans="5:10" s="1297" customFormat="1">
      <c r="E3526" s="1297" t="s">
        <v>940</v>
      </c>
      <c r="F3526" s="1399">
        <v>723065.14</v>
      </c>
      <c r="G3526" s="1399"/>
      <c r="H3526" s="1399"/>
      <c r="I3526" s="1399"/>
      <c r="J3526" s="1399">
        <v>723065.14</v>
      </c>
    </row>
    <row r="3527" spans="5:10" s="1297" customFormat="1">
      <c r="E3527" s="1297" t="s">
        <v>941</v>
      </c>
      <c r="F3527" s="1399">
        <v>371422.96</v>
      </c>
      <c r="G3527" s="1399"/>
      <c r="H3527" s="1399"/>
      <c r="I3527" s="1399"/>
      <c r="J3527" s="1399">
        <v>371422.96</v>
      </c>
    </row>
    <row r="3528" spans="5:10" s="1297" customFormat="1">
      <c r="E3528" s="1297" t="s">
        <v>943</v>
      </c>
      <c r="F3528" s="1399">
        <v>0</v>
      </c>
      <c r="G3528" s="1399"/>
      <c r="H3528" s="1399"/>
      <c r="I3528" s="1399"/>
      <c r="J3528" s="1399">
        <v>0</v>
      </c>
    </row>
    <row r="3529" spans="5:10" s="1297" customFormat="1">
      <c r="E3529" s="1297" t="s">
        <v>944</v>
      </c>
      <c r="F3529" s="1399">
        <v>1776087.08</v>
      </c>
      <c r="G3529" s="1399"/>
      <c r="H3529" s="1399"/>
      <c r="I3529" s="1399"/>
      <c r="J3529" s="1399">
        <v>1776087.08</v>
      </c>
    </row>
    <row r="3530" spans="5:10" s="1297" customFormat="1">
      <c r="E3530" s="1297" t="s">
        <v>945</v>
      </c>
      <c r="F3530" s="1399">
        <v>972171.6</v>
      </c>
      <c r="G3530" s="1399"/>
      <c r="H3530" s="1399"/>
      <c r="I3530" s="1399"/>
      <c r="J3530" s="1399">
        <v>972171.6</v>
      </c>
    </row>
    <row r="3531" spans="5:10" s="1297" customFormat="1">
      <c r="E3531" s="1297" t="s">
        <v>1006</v>
      </c>
      <c r="F3531" s="1399">
        <v>237362.17</v>
      </c>
      <c r="G3531" s="1399"/>
      <c r="H3531" s="1399"/>
      <c r="I3531" s="1399"/>
      <c r="J3531" s="1399">
        <v>237362.17</v>
      </c>
    </row>
    <row r="3532" spans="5:10" s="1297" customFormat="1">
      <c r="E3532" s="1297" t="s">
        <v>947</v>
      </c>
      <c r="F3532" s="1399">
        <v>29145.43</v>
      </c>
      <c r="G3532" s="1399"/>
      <c r="H3532" s="1399"/>
      <c r="I3532" s="1399"/>
      <c r="J3532" s="1399">
        <v>29145.43</v>
      </c>
    </row>
    <row r="3533" spans="5:10" s="1297" customFormat="1">
      <c r="E3533" s="1297" t="s">
        <v>1115</v>
      </c>
      <c r="F3533" s="1399">
        <v>0</v>
      </c>
      <c r="G3533" s="1399"/>
      <c r="H3533" s="1399"/>
      <c r="I3533" s="1399"/>
      <c r="J3533" s="1399">
        <v>0</v>
      </c>
    </row>
    <row r="3534" spans="5:10" s="1297" customFormat="1">
      <c r="E3534" s="1404" t="s">
        <v>1116</v>
      </c>
      <c r="F3534" s="1405"/>
      <c r="G3534" s="1405"/>
      <c r="H3534" s="1405">
        <v>5772991.7999999998</v>
      </c>
      <c r="I3534" s="1405"/>
      <c r="J3534" s="1405">
        <v>5772991.7999999998</v>
      </c>
    </row>
    <row r="3535" spans="5:10" s="1297" customFormat="1">
      <c r="E3535" s="1404" t="s">
        <v>948</v>
      </c>
      <c r="F3535" s="1405"/>
      <c r="G3535" s="1405"/>
      <c r="H3535" s="1405">
        <v>527228.54999999993</v>
      </c>
      <c r="I3535" s="1405"/>
      <c r="J3535" s="1405">
        <v>527228.54999999993</v>
      </c>
    </row>
    <row r="3536" spans="5:10" s="1297" customFormat="1">
      <c r="E3536" s="1297" t="s">
        <v>956</v>
      </c>
      <c r="F3536" s="1399"/>
      <c r="G3536" s="1399"/>
      <c r="H3536" s="1399">
        <v>1200</v>
      </c>
      <c r="I3536" s="1399"/>
      <c r="J3536" s="1399">
        <v>1200</v>
      </c>
    </row>
    <row r="3537" spans="2:12">
      <c r="B3537" s="1297"/>
      <c r="C3537" s="1297"/>
      <c r="D3537" s="1400" t="s">
        <v>1225</v>
      </c>
      <c r="E3537" s="1400"/>
      <c r="F3537" s="1401">
        <f>SUM(F3499:F3536)</f>
        <v>4138967.3800000004</v>
      </c>
      <c r="G3537" s="1401">
        <f>SUM(G3499:G3536)</f>
        <v>4038568.02</v>
      </c>
      <c r="H3537" s="1401">
        <f>SUM(H3499:H3536)-(H3534+H3535)</f>
        <v>891860.34999999963</v>
      </c>
      <c r="I3537" s="1401">
        <f>SUM(I3499:I3536)-I3519</f>
        <v>12161089.380000001</v>
      </c>
      <c r="J3537" s="1401">
        <f>SUM(J3499:J3536)</f>
        <v>28054613.090000004</v>
      </c>
      <c r="K3537" s="1401">
        <f>SUM(F3537:I3537)</f>
        <v>21230485.130000003</v>
      </c>
      <c r="L3537" s="1408">
        <f>K3537/C3499</f>
        <v>8492.1940520000007</v>
      </c>
    </row>
    <row r="3538" spans="2:12">
      <c r="B3538" s="1297" t="s">
        <v>1226</v>
      </c>
      <c r="C3538" s="1297">
        <v>9915</v>
      </c>
      <c r="D3538" s="1297" t="s">
        <v>1227</v>
      </c>
      <c r="E3538" s="1297" t="s">
        <v>906</v>
      </c>
      <c r="G3538" s="1399">
        <v>20334815.66</v>
      </c>
      <c r="J3538" s="1399">
        <v>20334815.66</v>
      </c>
    </row>
    <row r="3539" spans="2:12">
      <c r="B3539" s="1297"/>
      <c r="C3539" s="1297"/>
      <c r="D3539" s="1297"/>
      <c r="E3539" s="1297" t="s">
        <v>952</v>
      </c>
      <c r="G3539" s="1399">
        <v>388086.68</v>
      </c>
      <c r="J3539" s="1399">
        <v>388086.68</v>
      </c>
    </row>
    <row r="3540" spans="2:12">
      <c r="B3540" s="1297"/>
      <c r="C3540" s="1297"/>
      <c r="D3540" s="1297"/>
      <c r="E3540" s="1297" t="s">
        <v>907</v>
      </c>
      <c r="G3540" s="1399">
        <v>12215003.869999999</v>
      </c>
      <c r="J3540" s="1399">
        <v>12215003.869999999</v>
      </c>
    </row>
    <row r="3541" spans="2:12">
      <c r="B3541" s="1297"/>
      <c r="C3541" s="1297"/>
      <c r="D3541" s="1297"/>
      <c r="E3541" s="1297" t="s">
        <v>908</v>
      </c>
      <c r="G3541" s="1399">
        <v>53077.85</v>
      </c>
      <c r="J3541" s="1399">
        <v>53077.85</v>
      </c>
    </row>
    <row r="3542" spans="2:12">
      <c r="B3542" s="1297"/>
      <c r="C3542" s="1297"/>
      <c r="D3542" s="1297"/>
      <c r="E3542" s="1297" t="s">
        <v>910</v>
      </c>
      <c r="H3542" s="1399">
        <v>101402.71</v>
      </c>
      <c r="J3542" s="1399">
        <v>101402.71</v>
      </c>
    </row>
    <row r="3543" spans="2:12">
      <c r="B3543" s="1297"/>
      <c r="C3543" s="1297"/>
      <c r="D3543" s="1297"/>
      <c r="E3543" s="1297" t="s">
        <v>1034</v>
      </c>
      <c r="H3543" s="1399">
        <v>93621.82</v>
      </c>
      <c r="J3543" s="1399">
        <v>93621.82</v>
      </c>
    </row>
    <row r="3544" spans="2:12">
      <c r="B3544" s="1297"/>
      <c r="C3544" s="1297"/>
      <c r="D3544" s="1297"/>
      <c r="E3544" s="1297" t="s">
        <v>1035</v>
      </c>
      <c r="H3544" s="1399">
        <v>2246897.17</v>
      </c>
      <c r="J3544" s="1399">
        <v>2246897.17</v>
      </c>
    </row>
    <row r="3545" spans="2:12">
      <c r="B3545" s="1297"/>
      <c r="C3545" s="1297"/>
      <c r="D3545" s="1297"/>
      <c r="E3545" s="1297" t="s">
        <v>1036</v>
      </c>
      <c r="H3545" s="1399">
        <v>437567.04</v>
      </c>
      <c r="J3545" s="1399">
        <v>437567.04</v>
      </c>
    </row>
    <row r="3546" spans="2:12">
      <c r="B3546" s="1297"/>
      <c r="C3546" s="1297"/>
      <c r="D3546" s="1297"/>
      <c r="E3546" s="1297" t="s">
        <v>1037</v>
      </c>
      <c r="H3546" s="1399">
        <v>222688.75</v>
      </c>
      <c r="J3546" s="1399">
        <v>222688.75</v>
      </c>
    </row>
    <row r="3547" spans="2:12">
      <c r="B3547" s="1297"/>
      <c r="C3547" s="1297"/>
      <c r="D3547" s="1297"/>
      <c r="E3547" s="1297" t="s">
        <v>1039</v>
      </c>
      <c r="H3547" s="1399">
        <v>194656.55</v>
      </c>
      <c r="J3547" s="1399">
        <v>194656.55</v>
      </c>
    </row>
    <row r="3548" spans="2:12">
      <c r="B3548" s="1297"/>
      <c r="C3548" s="1297"/>
      <c r="D3548" s="1297"/>
      <c r="E3548" s="1297" t="s">
        <v>1040</v>
      </c>
      <c r="H3548" s="1399">
        <v>1135666.1399999999</v>
      </c>
      <c r="J3548" s="1399">
        <v>1135666.1399999999</v>
      </c>
    </row>
    <row r="3549" spans="2:12">
      <c r="B3549" s="1297"/>
      <c r="C3549" s="1297"/>
      <c r="D3549" s="1297"/>
      <c r="E3549" s="1297" t="s">
        <v>1041</v>
      </c>
      <c r="H3549" s="1399">
        <v>239044.79</v>
      </c>
      <c r="J3549" s="1399">
        <v>239044.79</v>
      </c>
    </row>
    <row r="3550" spans="2:12">
      <c r="B3550" s="1297"/>
      <c r="C3550" s="1297"/>
      <c r="D3550" s="1297"/>
      <c r="E3550" s="1297" t="s">
        <v>1042</v>
      </c>
      <c r="H3550" s="1399">
        <v>130246.82</v>
      </c>
      <c r="J3550" s="1399">
        <v>130246.82</v>
      </c>
    </row>
    <row r="3551" spans="2:12">
      <c r="B3551" s="1297"/>
      <c r="C3551" s="1297"/>
      <c r="D3551" s="1297"/>
      <c r="E3551" s="1297" t="s">
        <v>996</v>
      </c>
      <c r="H3551" s="1399">
        <v>8521.630000000001</v>
      </c>
      <c r="J3551" s="1399">
        <v>8521.630000000001</v>
      </c>
    </row>
    <row r="3552" spans="2:12">
      <c r="B3552" s="1297"/>
      <c r="C3552" s="1297"/>
      <c r="D3552" s="1297"/>
      <c r="E3552" s="1297" t="s">
        <v>1044</v>
      </c>
      <c r="F3552" s="1399">
        <v>306607.09000000003</v>
      </c>
      <c r="J3552" s="1399">
        <v>306607.09000000003</v>
      </c>
    </row>
    <row r="3553" spans="5:10" s="1297" customFormat="1">
      <c r="E3553" s="1297" t="s">
        <v>1045</v>
      </c>
      <c r="F3553" s="1399"/>
      <c r="G3553" s="1399"/>
      <c r="H3553" s="1399">
        <v>271086.01</v>
      </c>
      <c r="I3553" s="1399"/>
      <c r="J3553" s="1399">
        <v>271086.01</v>
      </c>
    </row>
    <row r="3554" spans="5:10" s="1297" customFormat="1">
      <c r="E3554" s="1297" t="s">
        <v>1046</v>
      </c>
      <c r="F3554" s="1399"/>
      <c r="G3554" s="1399"/>
      <c r="H3554" s="1399"/>
      <c r="I3554" s="1399">
        <v>50350207</v>
      </c>
      <c r="J3554" s="1399">
        <v>50350207</v>
      </c>
    </row>
    <row r="3555" spans="5:10" s="1297" customFormat="1">
      <c r="E3555" s="1297" t="s">
        <v>1128</v>
      </c>
      <c r="F3555" s="1399"/>
      <c r="G3555" s="1399"/>
      <c r="H3555" s="1399"/>
      <c r="I3555" s="1399">
        <v>4552741</v>
      </c>
      <c r="J3555" s="1399">
        <v>4552741</v>
      </c>
    </row>
    <row r="3556" spans="5:10" s="1297" customFormat="1">
      <c r="E3556" s="1297" t="s">
        <v>1129</v>
      </c>
      <c r="F3556" s="1399"/>
      <c r="G3556" s="1399"/>
      <c r="H3556" s="1399"/>
      <c r="I3556" s="1399">
        <v>-7168760</v>
      </c>
      <c r="J3556" s="1399">
        <v>-7168760</v>
      </c>
    </row>
    <row r="3557" spans="5:10" s="1297" customFormat="1">
      <c r="E3557" s="1297" t="s">
        <v>1047</v>
      </c>
      <c r="F3557" s="1399"/>
      <c r="G3557" s="1399"/>
      <c r="H3557" s="1399"/>
      <c r="I3557" s="1399">
        <v>1179831</v>
      </c>
      <c r="J3557" s="1399">
        <v>1179831</v>
      </c>
    </row>
    <row r="3558" spans="5:10" s="1297" customFormat="1">
      <c r="E3558" s="1297" t="s">
        <v>1048</v>
      </c>
      <c r="F3558" s="1399"/>
      <c r="G3558" s="1399"/>
      <c r="H3558" s="1399"/>
      <c r="I3558" s="1399">
        <v>-6669209</v>
      </c>
      <c r="J3558" s="1399">
        <v>-6669209</v>
      </c>
    </row>
    <row r="3559" spans="5:10" s="1297" customFormat="1">
      <c r="E3559" s="1297" t="s">
        <v>932</v>
      </c>
      <c r="F3559" s="1399"/>
      <c r="G3559" s="1399"/>
      <c r="H3559" s="1399"/>
      <c r="I3559" s="1399">
        <v>4232648</v>
      </c>
      <c r="J3559" s="1399">
        <v>4232648</v>
      </c>
    </row>
    <row r="3560" spans="5:10" s="1297" customFormat="1">
      <c r="E3560" s="1404" t="s">
        <v>955</v>
      </c>
      <c r="F3560" s="1405"/>
      <c r="G3560" s="1405"/>
      <c r="H3560" s="1405"/>
      <c r="I3560" s="1405">
        <v>1711351.96</v>
      </c>
      <c r="J3560" s="1405">
        <v>1711351.96</v>
      </c>
    </row>
    <row r="3561" spans="5:10" s="1297" customFormat="1">
      <c r="E3561" s="1297" t="s">
        <v>934</v>
      </c>
      <c r="F3561" s="1399"/>
      <c r="G3561" s="1399"/>
      <c r="H3561" s="1399"/>
      <c r="I3561" s="1399">
        <v>143046</v>
      </c>
      <c r="J3561" s="1399">
        <v>143046</v>
      </c>
    </row>
    <row r="3562" spans="5:10" s="1297" customFormat="1">
      <c r="E3562" s="1297" t="s">
        <v>935</v>
      </c>
      <c r="F3562" s="1399"/>
      <c r="G3562" s="1399"/>
      <c r="H3562" s="1399"/>
      <c r="I3562" s="1399">
        <v>2500920.54</v>
      </c>
      <c r="J3562" s="1399">
        <v>2500920.54</v>
      </c>
    </row>
    <row r="3563" spans="5:10" s="1297" customFormat="1">
      <c r="E3563" s="1297" t="s">
        <v>936</v>
      </c>
      <c r="F3563" s="1399"/>
      <c r="G3563" s="1399"/>
      <c r="H3563" s="1399"/>
      <c r="I3563" s="1399">
        <v>148463.82999999999</v>
      </c>
      <c r="J3563" s="1399">
        <v>148463.82999999999</v>
      </c>
    </row>
    <row r="3564" spans="5:10" s="1297" customFormat="1">
      <c r="E3564" s="1297" t="s">
        <v>937</v>
      </c>
      <c r="F3564" s="1399"/>
      <c r="G3564" s="1399"/>
      <c r="H3564" s="1399"/>
      <c r="I3564" s="1399">
        <v>33215.78</v>
      </c>
      <c r="J3564" s="1399">
        <v>33215.78</v>
      </c>
    </row>
    <row r="3565" spans="5:10" s="1297" customFormat="1">
      <c r="E3565" s="1297" t="s">
        <v>938</v>
      </c>
      <c r="F3565" s="1399"/>
      <c r="G3565" s="1399"/>
      <c r="H3565" s="1399"/>
      <c r="I3565" s="1399">
        <v>53902</v>
      </c>
      <c r="J3565" s="1399">
        <v>53902</v>
      </c>
    </row>
    <row r="3566" spans="5:10" s="1297" customFormat="1">
      <c r="E3566" s="1297" t="s">
        <v>1131</v>
      </c>
      <c r="F3566" s="1399">
        <v>58897.120000000003</v>
      </c>
      <c r="G3566" s="1399"/>
      <c r="H3566" s="1399"/>
      <c r="I3566" s="1399"/>
      <c r="J3566" s="1399">
        <v>58897.120000000003</v>
      </c>
    </row>
    <row r="3567" spans="5:10" s="1297" customFormat="1">
      <c r="E3567" s="1297" t="s">
        <v>940</v>
      </c>
      <c r="F3567" s="1399">
        <v>2152007.2599999998</v>
      </c>
      <c r="G3567" s="1399"/>
      <c r="H3567" s="1399"/>
      <c r="I3567" s="1399"/>
      <c r="J3567" s="1399">
        <v>2152007.2599999998</v>
      </c>
    </row>
    <row r="3568" spans="5:10" s="1297" customFormat="1">
      <c r="E3568" s="1297" t="s">
        <v>941</v>
      </c>
      <c r="F3568" s="1399">
        <v>692093</v>
      </c>
      <c r="G3568" s="1399"/>
      <c r="H3568" s="1399"/>
      <c r="I3568" s="1399"/>
      <c r="J3568" s="1399">
        <v>692093</v>
      </c>
    </row>
    <row r="3569" spans="2:12">
      <c r="B3569" s="1297"/>
      <c r="C3569" s="1297"/>
      <c r="D3569" s="1297"/>
      <c r="E3569" s="1297" t="s">
        <v>943</v>
      </c>
      <c r="F3569" s="1399">
        <v>13629.32</v>
      </c>
      <c r="J3569" s="1399">
        <v>13629.32</v>
      </c>
    </row>
    <row r="3570" spans="2:12">
      <c r="B3570" s="1297"/>
      <c r="C3570" s="1297"/>
      <c r="D3570" s="1297"/>
      <c r="E3570" s="1297" t="s">
        <v>944</v>
      </c>
      <c r="F3570" s="1399">
        <v>5826369.4699999988</v>
      </c>
      <c r="J3570" s="1399">
        <v>5826369.4699999988</v>
      </c>
    </row>
    <row r="3571" spans="2:12">
      <c r="B3571" s="1297"/>
      <c r="C3571" s="1297"/>
      <c r="D3571" s="1297"/>
      <c r="E3571" s="1297" t="s">
        <v>945</v>
      </c>
      <c r="F3571" s="1399">
        <v>3172793.5199999996</v>
      </c>
      <c r="J3571" s="1399">
        <v>3172793.5199999996</v>
      </c>
    </row>
    <row r="3572" spans="2:12">
      <c r="B3572" s="1297"/>
      <c r="C3572" s="1297"/>
      <c r="D3572" s="1297"/>
      <c r="E3572" s="1297" t="s">
        <v>946</v>
      </c>
      <c r="F3572" s="1399">
        <v>769078.12</v>
      </c>
      <c r="J3572" s="1399">
        <v>769078.12</v>
      </c>
    </row>
    <row r="3573" spans="2:12">
      <c r="B3573" s="1297"/>
      <c r="C3573" s="1297"/>
      <c r="D3573" s="1297"/>
      <c r="E3573" s="1297" t="s">
        <v>1006</v>
      </c>
      <c r="F3573" s="1399">
        <v>285378.17</v>
      </c>
      <c r="J3573" s="1399">
        <v>285378.17</v>
      </c>
    </row>
    <row r="3574" spans="2:12">
      <c r="B3574" s="1297"/>
      <c r="C3574" s="1297"/>
      <c r="D3574" s="1297"/>
      <c r="E3574" s="1297" t="s">
        <v>947</v>
      </c>
      <c r="F3574" s="1399">
        <v>240172.24</v>
      </c>
      <c r="J3574" s="1399">
        <v>240172.24</v>
      </c>
    </row>
    <row r="3575" spans="2:12">
      <c r="B3575" s="1297"/>
      <c r="C3575" s="1297"/>
      <c r="D3575" s="1297"/>
      <c r="E3575" s="1404" t="s">
        <v>948</v>
      </c>
      <c r="F3575" s="1405"/>
      <c r="G3575" s="1405"/>
      <c r="H3575" s="1405">
        <v>22096.61</v>
      </c>
      <c r="I3575" s="1405"/>
      <c r="J3575" s="1405">
        <v>22096.61</v>
      </c>
    </row>
    <row r="3576" spans="2:12">
      <c r="B3576" s="1297"/>
      <c r="C3576" s="1297"/>
      <c r="D3576" s="1297"/>
      <c r="E3576" s="1297" t="s">
        <v>956</v>
      </c>
      <c r="H3576" s="1399">
        <v>7350.46</v>
      </c>
      <c r="J3576" s="1399">
        <v>7350.46</v>
      </c>
    </row>
    <row r="3577" spans="2:12">
      <c r="B3577" s="1297"/>
      <c r="C3577" s="1297"/>
      <c r="D3577" s="1400" t="s">
        <v>1228</v>
      </c>
      <c r="E3577" s="1400"/>
      <c r="F3577" s="1401">
        <f>SUM(F3538:F3576)</f>
        <v>13517025.309999997</v>
      </c>
      <c r="G3577" s="1401">
        <f>SUM(G3538:G3576)</f>
        <v>32990984.060000002</v>
      </c>
      <c r="H3577" s="1401">
        <f>SUM(H3538:H3576)-H3575</f>
        <v>5088749.8899999997</v>
      </c>
      <c r="I3577" s="1401">
        <f>SUM(I3538:I3576)-I3560</f>
        <v>49357006.149999999</v>
      </c>
      <c r="J3577" s="1401">
        <f>SUM(J3538:J3576)</f>
        <v>102687213.98</v>
      </c>
      <c r="K3577" s="1401">
        <f>SUM(F3577:I3577)</f>
        <v>100953765.41</v>
      </c>
      <c r="L3577" s="1408">
        <f>K3577/C3538</f>
        <v>10181.922885526979</v>
      </c>
    </row>
    <row r="3578" spans="2:12">
      <c r="B3578" s="1297" t="s">
        <v>1229</v>
      </c>
      <c r="C3578" s="1297">
        <v>3779</v>
      </c>
      <c r="D3578" s="1297" t="s">
        <v>1230</v>
      </c>
      <c r="E3578" s="1297" t="s">
        <v>906</v>
      </c>
      <c r="G3578" s="1399">
        <v>14167136.76</v>
      </c>
      <c r="J3578" s="1399">
        <v>14167136.76</v>
      </c>
    </row>
    <row r="3579" spans="2:12">
      <c r="B3579" s="1297"/>
      <c r="C3579" s="1297"/>
      <c r="D3579" s="1297"/>
      <c r="E3579" s="1297" t="s">
        <v>952</v>
      </c>
      <c r="G3579" s="1399">
        <v>172020.21</v>
      </c>
      <c r="J3579" s="1399">
        <v>172020.21</v>
      </c>
    </row>
    <row r="3580" spans="2:12">
      <c r="B3580" s="1297"/>
      <c r="C3580" s="1297"/>
      <c r="D3580" s="1297"/>
      <c r="E3580" s="1297" t="s">
        <v>907</v>
      </c>
      <c r="G3580" s="1399">
        <v>3042194.35</v>
      </c>
      <c r="J3580" s="1399">
        <v>3042194.35</v>
      </c>
    </row>
    <row r="3581" spans="2:12">
      <c r="B3581" s="1297"/>
      <c r="C3581" s="1297"/>
      <c r="D3581" s="1297"/>
      <c r="E3581" s="1297" t="s">
        <v>995</v>
      </c>
      <c r="G3581" s="1399">
        <v>20364.37</v>
      </c>
      <c r="J3581" s="1399">
        <v>20364.37</v>
      </c>
    </row>
    <row r="3582" spans="2:12">
      <c r="B3582" s="1297"/>
      <c r="C3582" s="1297"/>
      <c r="D3582" s="1297"/>
      <c r="E3582" s="1297" t="s">
        <v>909</v>
      </c>
      <c r="H3582" s="1399">
        <v>9010.99</v>
      </c>
      <c r="J3582" s="1399">
        <v>9010.99</v>
      </c>
    </row>
    <row r="3583" spans="2:12">
      <c r="B3583" s="1297"/>
      <c r="C3583" s="1297"/>
      <c r="D3583" s="1297"/>
      <c r="E3583" s="1297" t="s">
        <v>910</v>
      </c>
      <c r="H3583" s="1399">
        <v>31189.29</v>
      </c>
      <c r="J3583" s="1399">
        <v>31189.29</v>
      </c>
    </row>
    <row r="3584" spans="2:12">
      <c r="B3584" s="1297"/>
      <c r="C3584" s="1297"/>
      <c r="D3584" s="1297"/>
      <c r="E3584" s="1297" t="s">
        <v>1034</v>
      </c>
      <c r="H3584" s="1399">
        <v>50965.62</v>
      </c>
      <c r="J3584" s="1399">
        <v>50965.62</v>
      </c>
    </row>
    <row r="3585" spans="5:10" s="1297" customFormat="1">
      <c r="E3585" s="1297" t="s">
        <v>1035</v>
      </c>
      <c r="F3585" s="1399"/>
      <c r="G3585" s="1399"/>
      <c r="H3585" s="1399">
        <v>332230.52999999997</v>
      </c>
      <c r="I3585" s="1399"/>
      <c r="J3585" s="1399">
        <v>332230.52999999997</v>
      </c>
    </row>
    <row r="3586" spans="5:10" s="1297" customFormat="1">
      <c r="E3586" s="1297" t="s">
        <v>1036</v>
      </c>
      <c r="F3586" s="1399"/>
      <c r="G3586" s="1399"/>
      <c r="H3586" s="1399">
        <v>106611.82</v>
      </c>
      <c r="I3586" s="1399"/>
      <c r="J3586" s="1399">
        <v>106611.82</v>
      </c>
    </row>
    <row r="3587" spans="5:10" s="1297" customFormat="1">
      <c r="E3587" s="1297" t="s">
        <v>1037</v>
      </c>
      <c r="F3587" s="1399"/>
      <c r="G3587" s="1399"/>
      <c r="H3587" s="1399">
        <v>1725</v>
      </c>
      <c r="I3587" s="1399"/>
      <c r="J3587" s="1399">
        <v>1725</v>
      </c>
    </row>
    <row r="3588" spans="5:10" s="1297" customFormat="1">
      <c r="E3588" s="1297" t="s">
        <v>1039</v>
      </c>
      <c r="F3588" s="1399"/>
      <c r="G3588" s="1399"/>
      <c r="H3588" s="1399">
        <v>96364.92</v>
      </c>
      <c r="I3588" s="1399"/>
      <c r="J3588" s="1399">
        <v>96364.92</v>
      </c>
    </row>
    <row r="3589" spans="5:10" s="1297" customFormat="1">
      <c r="E3589" s="1297" t="s">
        <v>1040</v>
      </c>
      <c r="F3589" s="1399"/>
      <c r="G3589" s="1399"/>
      <c r="H3589" s="1399">
        <v>399178.8</v>
      </c>
      <c r="I3589" s="1399"/>
      <c r="J3589" s="1399">
        <v>399178.8</v>
      </c>
    </row>
    <row r="3590" spans="5:10" s="1297" customFormat="1">
      <c r="E3590" s="1297" t="s">
        <v>1041</v>
      </c>
      <c r="F3590" s="1399"/>
      <c r="G3590" s="1399"/>
      <c r="H3590" s="1399">
        <v>4088.68</v>
      </c>
      <c r="I3590" s="1399"/>
      <c r="J3590" s="1399">
        <v>4088.68</v>
      </c>
    </row>
    <row r="3591" spans="5:10" s="1297" customFormat="1">
      <c r="E3591" s="1297" t="s">
        <v>1042</v>
      </c>
      <c r="F3591" s="1399"/>
      <c r="G3591" s="1399"/>
      <c r="H3591" s="1399">
        <v>38933.870000000003</v>
      </c>
      <c r="I3591" s="1399"/>
      <c r="J3591" s="1399">
        <v>38933.870000000003</v>
      </c>
    </row>
    <row r="3592" spans="5:10" s="1297" customFormat="1">
      <c r="E3592" s="1297" t="s">
        <v>1043</v>
      </c>
      <c r="F3592" s="1399"/>
      <c r="G3592" s="1399"/>
      <c r="H3592" s="1399">
        <v>39611.199999999997</v>
      </c>
      <c r="I3592" s="1399"/>
      <c r="J3592" s="1399">
        <v>39611.199999999997</v>
      </c>
    </row>
    <row r="3593" spans="5:10" s="1297" customFormat="1">
      <c r="E3593" s="1297" t="s">
        <v>986</v>
      </c>
      <c r="F3593" s="1399"/>
      <c r="G3593" s="1399"/>
      <c r="H3593" s="1399">
        <v>255969.76</v>
      </c>
      <c r="I3593" s="1399"/>
      <c r="J3593" s="1399">
        <v>255969.76</v>
      </c>
    </row>
    <row r="3594" spans="5:10" s="1297" customFormat="1">
      <c r="E3594" s="1297" t="s">
        <v>990</v>
      </c>
      <c r="F3594" s="1399"/>
      <c r="G3594" s="1399"/>
      <c r="H3594" s="1399">
        <v>117.63</v>
      </c>
      <c r="I3594" s="1399"/>
      <c r="J3594" s="1399">
        <v>117.63</v>
      </c>
    </row>
    <row r="3595" spans="5:10" s="1297" customFormat="1">
      <c r="E3595" s="1297" t="s">
        <v>1044</v>
      </c>
      <c r="F3595" s="1399">
        <v>10698</v>
      </c>
      <c r="G3595" s="1399"/>
      <c r="H3595" s="1399"/>
      <c r="I3595" s="1399"/>
      <c r="J3595" s="1399">
        <v>10698</v>
      </c>
    </row>
    <row r="3596" spans="5:10" s="1297" customFormat="1">
      <c r="E3596" s="1297" t="s">
        <v>1045</v>
      </c>
      <c r="F3596" s="1399"/>
      <c r="G3596" s="1399"/>
      <c r="H3596" s="1399">
        <v>403961.68</v>
      </c>
      <c r="I3596" s="1399"/>
      <c r="J3596" s="1399">
        <v>403961.68</v>
      </c>
    </row>
    <row r="3597" spans="5:10" s="1297" customFormat="1">
      <c r="E3597" s="1297" t="s">
        <v>1046</v>
      </c>
      <c r="F3597" s="1399"/>
      <c r="G3597" s="1399"/>
      <c r="H3597" s="1399"/>
      <c r="I3597" s="1399">
        <v>21428647</v>
      </c>
      <c r="J3597" s="1399">
        <v>21428647</v>
      </c>
    </row>
    <row r="3598" spans="5:10" s="1297" customFormat="1">
      <c r="E3598" s="1297" t="s">
        <v>1129</v>
      </c>
      <c r="F3598" s="1399"/>
      <c r="G3598" s="1399"/>
      <c r="H3598" s="1399"/>
      <c r="I3598" s="1399">
        <v>-2297956</v>
      </c>
      <c r="J3598" s="1399">
        <v>-2297956</v>
      </c>
    </row>
    <row r="3599" spans="5:10" s="1297" customFormat="1">
      <c r="E3599" s="1297" t="s">
        <v>1047</v>
      </c>
      <c r="F3599" s="1399"/>
      <c r="G3599" s="1399"/>
      <c r="H3599" s="1399"/>
      <c r="I3599" s="1399">
        <v>496537</v>
      </c>
      <c r="J3599" s="1399">
        <v>496537</v>
      </c>
    </row>
    <row r="3600" spans="5:10" s="1297" customFormat="1">
      <c r="E3600" s="1297" t="s">
        <v>1048</v>
      </c>
      <c r="F3600" s="1399"/>
      <c r="G3600" s="1399"/>
      <c r="H3600" s="1399"/>
      <c r="I3600" s="1399">
        <v>-5368566</v>
      </c>
      <c r="J3600" s="1399">
        <v>-5368566</v>
      </c>
    </row>
    <row r="3601" spans="5:10" s="1297" customFormat="1">
      <c r="E3601" s="1297" t="s">
        <v>934</v>
      </c>
      <c r="F3601" s="1399"/>
      <c r="G3601" s="1399"/>
      <c r="H3601" s="1399"/>
      <c r="I3601" s="1399">
        <v>56880</v>
      </c>
      <c r="J3601" s="1399">
        <v>56880</v>
      </c>
    </row>
    <row r="3602" spans="5:10" s="1297" customFormat="1">
      <c r="E3602" s="1297" t="s">
        <v>935</v>
      </c>
      <c r="F3602" s="1399"/>
      <c r="G3602" s="1399"/>
      <c r="H3602" s="1399"/>
      <c r="I3602" s="1399">
        <v>380322.9</v>
      </c>
      <c r="J3602" s="1399">
        <v>380322.9</v>
      </c>
    </row>
    <row r="3603" spans="5:10" s="1297" customFormat="1">
      <c r="E3603" s="1297" t="s">
        <v>936</v>
      </c>
      <c r="F3603" s="1399"/>
      <c r="G3603" s="1399"/>
      <c r="H3603" s="1399"/>
      <c r="I3603" s="1399">
        <v>79134.02</v>
      </c>
      <c r="J3603" s="1399">
        <v>79134.02</v>
      </c>
    </row>
    <row r="3604" spans="5:10" s="1297" customFormat="1">
      <c r="E3604" s="1297" t="s">
        <v>937</v>
      </c>
      <c r="F3604" s="1399"/>
      <c r="G3604" s="1399"/>
      <c r="H3604" s="1399"/>
      <c r="I3604" s="1399">
        <v>3585.84</v>
      </c>
      <c r="J3604" s="1399">
        <v>3585.84</v>
      </c>
    </row>
    <row r="3605" spans="5:10" s="1297" customFormat="1">
      <c r="E3605" s="1297" t="s">
        <v>938</v>
      </c>
      <c r="F3605" s="1399"/>
      <c r="G3605" s="1399"/>
      <c r="H3605" s="1399"/>
      <c r="I3605" s="1399">
        <v>23395</v>
      </c>
      <c r="J3605" s="1399">
        <v>23395</v>
      </c>
    </row>
    <row r="3606" spans="5:10" s="1297" customFormat="1">
      <c r="E3606" s="1297" t="s">
        <v>939</v>
      </c>
      <c r="F3606" s="1399"/>
      <c r="G3606" s="1399"/>
      <c r="H3606" s="1399"/>
      <c r="I3606" s="1399">
        <v>128458.25</v>
      </c>
      <c r="J3606" s="1399">
        <v>128458.25</v>
      </c>
    </row>
    <row r="3607" spans="5:10" s="1297" customFormat="1">
      <c r="E3607" s="1297" t="s">
        <v>1131</v>
      </c>
      <c r="F3607" s="1399">
        <v>45749.25</v>
      </c>
      <c r="G3607" s="1399"/>
      <c r="H3607" s="1399"/>
      <c r="I3607" s="1399"/>
      <c r="J3607" s="1399">
        <v>45749.25</v>
      </c>
    </row>
    <row r="3608" spans="5:10" s="1297" customFormat="1">
      <c r="E3608" s="1297" t="s">
        <v>940</v>
      </c>
      <c r="F3608" s="1399">
        <v>860459.48</v>
      </c>
      <c r="G3608" s="1399"/>
      <c r="H3608" s="1399"/>
      <c r="I3608" s="1399"/>
      <c r="J3608" s="1399">
        <v>860459.48</v>
      </c>
    </row>
    <row r="3609" spans="5:10" s="1297" customFormat="1">
      <c r="E3609" s="1297" t="s">
        <v>941</v>
      </c>
      <c r="F3609" s="1399">
        <v>314382.2</v>
      </c>
      <c r="G3609" s="1399"/>
      <c r="H3609" s="1399"/>
      <c r="I3609" s="1399"/>
      <c r="J3609" s="1399">
        <v>314382.2</v>
      </c>
    </row>
    <row r="3610" spans="5:10" s="1297" customFormat="1">
      <c r="E3610" s="1297" t="s">
        <v>943</v>
      </c>
      <c r="F3610" s="1399">
        <v>6661.48</v>
      </c>
      <c r="G3610" s="1399"/>
      <c r="H3610" s="1399"/>
      <c r="I3610" s="1399"/>
      <c r="J3610" s="1399">
        <v>6661.48</v>
      </c>
    </row>
    <row r="3611" spans="5:10" s="1297" customFormat="1">
      <c r="E3611" s="1297" t="s">
        <v>944</v>
      </c>
      <c r="F3611" s="1399">
        <v>2210964.5799999996</v>
      </c>
      <c r="G3611" s="1399"/>
      <c r="H3611" s="1399"/>
      <c r="I3611" s="1399"/>
      <c r="J3611" s="1399">
        <v>2210964.5799999996</v>
      </c>
    </row>
    <row r="3612" spans="5:10" s="1297" customFormat="1">
      <c r="E3612" s="1297" t="s">
        <v>945</v>
      </c>
      <c r="F3612" s="1399">
        <v>1392153.93</v>
      </c>
      <c r="G3612" s="1399"/>
      <c r="H3612" s="1399"/>
      <c r="I3612" s="1399"/>
      <c r="J3612" s="1399">
        <v>1392153.93</v>
      </c>
    </row>
    <row r="3613" spans="5:10" s="1297" customFormat="1">
      <c r="E3613" s="1297" t="s">
        <v>947</v>
      </c>
      <c r="F3613" s="1399">
        <v>110132.08</v>
      </c>
      <c r="G3613" s="1399"/>
      <c r="H3613" s="1399"/>
      <c r="I3613" s="1399"/>
      <c r="J3613" s="1399">
        <v>110132.08</v>
      </c>
    </row>
    <row r="3614" spans="5:10" s="1297" customFormat="1">
      <c r="E3614" s="1297" t="s">
        <v>1115</v>
      </c>
      <c r="F3614" s="1399">
        <v>41101.81</v>
      </c>
      <c r="G3614" s="1399"/>
      <c r="H3614" s="1399"/>
      <c r="I3614" s="1399"/>
      <c r="J3614" s="1399">
        <v>41101.81</v>
      </c>
    </row>
    <row r="3615" spans="5:10" s="1297" customFormat="1">
      <c r="E3615" s="1404" t="s">
        <v>948</v>
      </c>
      <c r="F3615" s="1405"/>
      <c r="G3615" s="1405"/>
      <c r="H3615" s="1405">
        <v>3485838.63</v>
      </c>
      <c r="I3615" s="1405"/>
      <c r="J3615" s="1405">
        <v>3485838.63</v>
      </c>
    </row>
    <row r="3616" spans="5:10" s="1297" customFormat="1">
      <c r="E3616" s="1297" t="s">
        <v>1118</v>
      </c>
      <c r="F3616" s="1399"/>
      <c r="G3616" s="1399"/>
      <c r="H3616" s="1399">
        <v>651.38</v>
      </c>
      <c r="I3616" s="1399"/>
      <c r="J3616" s="1399">
        <v>651.38</v>
      </c>
    </row>
    <row r="3617" spans="2:12">
      <c r="B3617" s="1297"/>
      <c r="C3617" s="1297"/>
      <c r="D3617" s="1297"/>
      <c r="E3617" s="1297" t="s">
        <v>1051</v>
      </c>
      <c r="H3617" s="1399">
        <v>755118.27</v>
      </c>
      <c r="J3617" s="1399">
        <v>755118.27</v>
      </c>
    </row>
    <row r="3618" spans="2:12">
      <c r="B3618" s="1297"/>
      <c r="C3618" s="1297"/>
      <c r="D3618" s="1400" t="s">
        <v>1231</v>
      </c>
      <c r="E3618" s="1400"/>
      <c r="F3618" s="1401">
        <f>SUM(F3578:F3617)</f>
        <v>4992302.8099999987</v>
      </c>
      <c r="G3618" s="1401">
        <f>SUM(G3578:G3617)</f>
        <v>17401715.690000001</v>
      </c>
      <c r="H3618" s="1401">
        <f>SUM(H3578:H3617)-H3615</f>
        <v>2525729.4400000004</v>
      </c>
      <c r="I3618" s="1401">
        <f>SUM(I3578:I3617)</f>
        <v>14930438.01</v>
      </c>
      <c r="J3618" s="1401">
        <f>SUM(J3578:J3617)</f>
        <v>43336024.580000013</v>
      </c>
      <c r="K3618" s="1401">
        <f>SUM(F3618:I3618)</f>
        <v>39850185.950000003</v>
      </c>
      <c r="L3618" s="1408">
        <f>K3618/C3578</f>
        <v>10545.166962159303</v>
      </c>
    </row>
    <row r="3619" spans="2:12">
      <c r="B3619" s="1297" t="s">
        <v>1232</v>
      </c>
      <c r="C3619" s="1297">
        <v>1727</v>
      </c>
      <c r="D3619" s="1297" t="s">
        <v>1233</v>
      </c>
      <c r="E3619" s="1297" t="s">
        <v>906</v>
      </c>
      <c r="G3619" s="1399">
        <v>5745760.7200000007</v>
      </c>
      <c r="J3619" s="1399">
        <v>5745760.7200000007</v>
      </c>
    </row>
    <row r="3620" spans="2:12">
      <c r="B3620" s="1297"/>
      <c r="C3620" s="1297"/>
      <c r="D3620" s="1297"/>
      <c r="E3620" s="1297" t="s">
        <v>952</v>
      </c>
      <c r="G3620" s="1399">
        <v>47387.72</v>
      </c>
      <c r="J3620" s="1399">
        <v>47387.72</v>
      </c>
    </row>
    <row r="3621" spans="2:12">
      <c r="B3621" s="1297"/>
      <c r="C3621" s="1297"/>
      <c r="D3621" s="1297"/>
      <c r="E3621" s="1297" t="s">
        <v>907</v>
      </c>
      <c r="G3621" s="1399">
        <v>1307347.3600000001</v>
      </c>
      <c r="J3621" s="1399">
        <v>1307347.3600000001</v>
      </c>
    </row>
    <row r="3622" spans="2:12">
      <c r="B3622" s="1297"/>
      <c r="C3622" s="1297"/>
      <c r="D3622" s="1297"/>
      <c r="E3622" s="1297" t="s">
        <v>908</v>
      </c>
      <c r="G3622" s="1399">
        <v>32917.199999999997</v>
      </c>
      <c r="J3622" s="1399">
        <v>32917.199999999997</v>
      </c>
    </row>
    <row r="3623" spans="2:12">
      <c r="B3623" s="1297"/>
      <c r="C3623" s="1297"/>
      <c r="D3623" s="1297"/>
      <c r="E3623" s="1297" t="s">
        <v>909</v>
      </c>
      <c r="H3623" s="1399">
        <v>9300.49</v>
      </c>
      <c r="J3623" s="1399">
        <v>9300.49</v>
      </c>
    </row>
    <row r="3624" spans="2:12">
      <c r="B3624" s="1297"/>
      <c r="C3624" s="1297"/>
      <c r="D3624" s="1297"/>
      <c r="E3624" s="1297" t="s">
        <v>910</v>
      </c>
      <c r="H3624" s="1399">
        <v>8774.2900000000009</v>
      </c>
      <c r="J3624" s="1399">
        <v>8774.2900000000009</v>
      </c>
    </row>
    <row r="3625" spans="2:12">
      <c r="B3625" s="1297"/>
      <c r="C3625" s="1297"/>
      <c r="D3625" s="1297"/>
      <c r="E3625" s="1297" t="s">
        <v>1034</v>
      </c>
      <c r="H3625" s="1399">
        <v>46311.990000000005</v>
      </c>
      <c r="J3625" s="1399">
        <v>46311.990000000005</v>
      </c>
    </row>
    <row r="3626" spans="2:12">
      <c r="B3626" s="1297"/>
      <c r="C3626" s="1297"/>
      <c r="D3626" s="1297"/>
      <c r="E3626" s="1297" t="s">
        <v>1035</v>
      </c>
      <c r="H3626" s="1399">
        <v>182015.17</v>
      </c>
      <c r="J3626" s="1399">
        <v>182015.17</v>
      </c>
    </row>
    <row r="3627" spans="2:12">
      <c r="B3627" s="1297"/>
      <c r="C3627" s="1297"/>
      <c r="D3627" s="1297"/>
      <c r="E3627" s="1297" t="s">
        <v>1036</v>
      </c>
      <c r="H3627" s="1399">
        <v>44736.11</v>
      </c>
      <c r="J3627" s="1399">
        <v>44736.11</v>
      </c>
    </row>
    <row r="3628" spans="2:12">
      <c r="B3628" s="1297"/>
      <c r="C3628" s="1297"/>
      <c r="D3628" s="1297"/>
      <c r="E3628" s="1297" t="s">
        <v>1039</v>
      </c>
      <c r="H3628" s="1399">
        <v>10248.74</v>
      </c>
      <c r="J3628" s="1399">
        <v>10248.74</v>
      </c>
    </row>
    <row r="3629" spans="2:12">
      <c r="B3629" s="1297"/>
      <c r="C3629" s="1297"/>
      <c r="D3629" s="1297"/>
      <c r="E3629" s="1297" t="s">
        <v>1041</v>
      </c>
      <c r="H3629" s="1399">
        <v>567.5</v>
      </c>
      <c r="J3629" s="1399">
        <v>567.5</v>
      </c>
    </row>
    <row r="3630" spans="2:12">
      <c r="B3630" s="1297"/>
      <c r="C3630" s="1297"/>
      <c r="D3630" s="1297"/>
      <c r="E3630" s="1297" t="s">
        <v>1042</v>
      </c>
      <c r="H3630" s="1399">
        <v>20756</v>
      </c>
      <c r="J3630" s="1399">
        <v>20756</v>
      </c>
    </row>
    <row r="3631" spans="2:12">
      <c r="B3631" s="1297"/>
      <c r="C3631" s="1297"/>
      <c r="D3631" s="1297"/>
      <c r="E3631" s="1297" t="s">
        <v>1044</v>
      </c>
      <c r="F3631" s="1399">
        <v>32111.29</v>
      </c>
      <c r="J3631" s="1399">
        <v>32111.29</v>
      </c>
    </row>
    <row r="3632" spans="2:12">
      <c r="B3632" s="1297"/>
      <c r="C3632" s="1297"/>
      <c r="D3632" s="1297"/>
      <c r="E3632" s="1297" t="s">
        <v>1045</v>
      </c>
      <c r="H3632" s="1399">
        <v>50287.49</v>
      </c>
      <c r="J3632" s="1399">
        <v>50287.49</v>
      </c>
    </row>
    <row r="3633" spans="5:10" s="1297" customFormat="1">
      <c r="E3633" s="1297" t="s">
        <v>1046</v>
      </c>
      <c r="F3633" s="1399"/>
      <c r="G3633" s="1399"/>
      <c r="H3633" s="1399"/>
      <c r="I3633" s="1399">
        <v>8347975</v>
      </c>
      <c r="J3633" s="1399">
        <v>8347975</v>
      </c>
    </row>
    <row r="3634" spans="5:10" s="1297" customFormat="1">
      <c r="E3634" s="1297" t="s">
        <v>1047</v>
      </c>
      <c r="F3634" s="1399"/>
      <c r="G3634" s="1399"/>
      <c r="H3634" s="1399"/>
      <c r="I3634" s="1399">
        <v>445330</v>
      </c>
      <c r="J3634" s="1399">
        <v>445330</v>
      </c>
    </row>
    <row r="3635" spans="5:10" s="1297" customFormat="1">
      <c r="E3635" s="1297" t="s">
        <v>1048</v>
      </c>
      <c r="F3635" s="1399"/>
      <c r="G3635" s="1399"/>
      <c r="H3635" s="1399"/>
      <c r="I3635" s="1399">
        <v>-1418574</v>
      </c>
      <c r="J3635" s="1399">
        <v>-1418574</v>
      </c>
    </row>
    <row r="3636" spans="5:10" s="1297" customFormat="1">
      <c r="E3636" s="1297" t="s">
        <v>932</v>
      </c>
      <c r="F3636" s="1399"/>
      <c r="G3636" s="1399"/>
      <c r="H3636" s="1399"/>
      <c r="I3636" s="1399">
        <v>763665</v>
      </c>
      <c r="J3636" s="1399">
        <v>763665</v>
      </c>
    </row>
    <row r="3637" spans="5:10" s="1297" customFormat="1">
      <c r="E3637" s="1404" t="s">
        <v>955</v>
      </c>
      <c r="F3637" s="1405"/>
      <c r="G3637" s="1405"/>
      <c r="H3637" s="1405"/>
      <c r="I3637" s="1405">
        <v>356527.9</v>
      </c>
      <c r="J3637" s="1405">
        <v>356527.9</v>
      </c>
    </row>
    <row r="3638" spans="5:10" s="1297" customFormat="1">
      <c r="E3638" s="1297" t="s">
        <v>934</v>
      </c>
      <c r="F3638" s="1399"/>
      <c r="G3638" s="1399"/>
      <c r="H3638" s="1399"/>
      <c r="I3638" s="1399">
        <v>34202</v>
      </c>
      <c r="J3638" s="1399">
        <v>34202</v>
      </c>
    </row>
    <row r="3639" spans="5:10" s="1297" customFormat="1">
      <c r="E3639" s="1297" t="s">
        <v>935</v>
      </c>
      <c r="F3639" s="1399"/>
      <c r="G3639" s="1399"/>
      <c r="H3639" s="1399"/>
      <c r="I3639" s="1399">
        <v>296724.32999999996</v>
      </c>
      <c r="J3639" s="1399">
        <v>296724.32999999996</v>
      </c>
    </row>
    <row r="3640" spans="5:10" s="1297" customFormat="1">
      <c r="E3640" s="1297" t="s">
        <v>936</v>
      </c>
      <c r="F3640" s="1399"/>
      <c r="G3640" s="1399"/>
      <c r="H3640" s="1399"/>
      <c r="I3640" s="1399">
        <v>40967.61</v>
      </c>
      <c r="J3640" s="1399">
        <v>40967.61</v>
      </c>
    </row>
    <row r="3641" spans="5:10" s="1297" customFormat="1">
      <c r="E3641" s="1297" t="s">
        <v>937</v>
      </c>
      <c r="F3641" s="1399"/>
      <c r="G3641" s="1399"/>
      <c r="H3641" s="1399"/>
      <c r="I3641" s="1399">
        <v>19310.98</v>
      </c>
      <c r="J3641" s="1399">
        <v>19310.98</v>
      </c>
    </row>
    <row r="3642" spans="5:10" s="1297" customFormat="1">
      <c r="E3642" s="1297" t="s">
        <v>938</v>
      </c>
      <c r="F3642" s="1399"/>
      <c r="G3642" s="1399"/>
      <c r="H3642" s="1399"/>
      <c r="I3642" s="1399">
        <v>13475</v>
      </c>
      <c r="J3642" s="1399">
        <v>13475</v>
      </c>
    </row>
    <row r="3643" spans="5:10" s="1297" customFormat="1">
      <c r="E3643" s="1297" t="s">
        <v>1131</v>
      </c>
      <c r="F3643" s="1399">
        <v>56485.08</v>
      </c>
      <c r="G3643" s="1399"/>
      <c r="H3643" s="1399"/>
      <c r="I3643" s="1399"/>
      <c r="J3643" s="1399">
        <v>56485.08</v>
      </c>
    </row>
    <row r="3644" spans="5:10" s="1297" customFormat="1">
      <c r="E3644" s="1297" t="s">
        <v>940</v>
      </c>
      <c r="F3644" s="1399">
        <v>657568.74</v>
      </c>
      <c r="G3644" s="1399"/>
      <c r="H3644" s="1399"/>
      <c r="I3644" s="1399"/>
      <c r="J3644" s="1399">
        <v>657568.74</v>
      </c>
    </row>
    <row r="3645" spans="5:10" s="1297" customFormat="1">
      <c r="E3645" s="1297" t="s">
        <v>941</v>
      </c>
      <c r="F3645" s="1399">
        <v>297872.2</v>
      </c>
      <c r="G3645" s="1399"/>
      <c r="H3645" s="1399"/>
      <c r="I3645" s="1399"/>
      <c r="J3645" s="1399">
        <v>297872.2</v>
      </c>
    </row>
    <row r="3646" spans="5:10" s="1297" customFormat="1">
      <c r="E3646" s="1297" t="s">
        <v>943</v>
      </c>
      <c r="F3646" s="1399">
        <v>9474.9599999999991</v>
      </c>
      <c r="G3646" s="1399"/>
      <c r="H3646" s="1399"/>
      <c r="I3646" s="1399"/>
      <c r="J3646" s="1399">
        <v>9474.9599999999991</v>
      </c>
    </row>
    <row r="3647" spans="5:10" s="1297" customFormat="1">
      <c r="E3647" s="1297" t="s">
        <v>944</v>
      </c>
      <c r="F3647" s="1399">
        <v>2663893.9699999997</v>
      </c>
      <c r="G3647" s="1399"/>
      <c r="H3647" s="1399"/>
      <c r="I3647" s="1399"/>
      <c r="J3647" s="1399">
        <v>2663893.9699999997</v>
      </c>
    </row>
    <row r="3648" spans="5:10" s="1297" customFormat="1">
      <c r="E3648" s="1297" t="s">
        <v>945</v>
      </c>
      <c r="F3648" s="1399">
        <v>960973.76</v>
      </c>
      <c r="G3648" s="1399"/>
      <c r="H3648" s="1399"/>
      <c r="I3648" s="1399"/>
      <c r="J3648" s="1399">
        <v>960973.76</v>
      </c>
    </row>
    <row r="3649" spans="2:12">
      <c r="B3649" s="1297"/>
      <c r="C3649" s="1297"/>
      <c r="D3649" s="1297"/>
      <c r="E3649" s="1297" t="s">
        <v>946</v>
      </c>
      <c r="F3649" s="1399">
        <v>1746.97</v>
      </c>
      <c r="J3649" s="1399">
        <v>1746.97</v>
      </c>
    </row>
    <row r="3650" spans="2:12">
      <c r="B3650" s="1297"/>
      <c r="C3650" s="1297"/>
      <c r="D3650" s="1297"/>
      <c r="E3650" s="1297" t="s">
        <v>1006</v>
      </c>
      <c r="F3650" s="1399">
        <v>9395.2199999999993</v>
      </c>
      <c r="J3650" s="1399">
        <v>9395.2199999999993</v>
      </c>
    </row>
    <row r="3651" spans="2:12">
      <c r="B3651" s="1297"/>
      <c r="C3651" s="1297"/>
      <c r="D3651" s="1297"/>
      <c r="E3651" s="1297" t="s">
        <v>947</v>
      </c>
      <c r="F3651" s="1399">
        <v>61473.03</v>
      </c>
      <c r="J3651" s="1399">
        <v>61473.03</v>
      </c>
    </row>
    <row r="3652" spans="2:12">
      <c r="B3652" s="1297"/>
      <c r="C3652" s="1297"/>
      <c r="D3652" s="1297"/>
      <c r="E3652" s="1404" t="s">
        <v>948</v>
      </c>
      <c r="F3652" s="1405"/>
      <c r="G3652" s="1405"/>
      <c r="H3652" s="1405">
        <v>186910.27000000002</v>
      </c>
      <c r="I3652" s="1405"/>
      <c r="J3652" s="1405">
        <v>186910.27000000002</v>
      </c>
    </row>
    <row r="3653" spans="2:12">
      <c r="B3653" s="1297"/>
      <c r="C3653" s="1297"/>
      <c r="D3653" s="1297"/>
      <c r="E3653" s="1297" t="s">
        <v>956</v>
      </c>
      <c r="H3653" s="1399">
        <v>5959</v>
      </c>
      <c r="J3653" s="1399">
        <v>5959</v>
      </c>
    </row>
    <row r="3654" spans="2:12">
      <c r="B3654" s="1297"/>
      <c r="C3654" s="1297"/>
      <c r="D3654" s="1400" t="s">
        <v>1234</v>
      </c>
      <c r="E3654" s="1400"/>
      <c r="F3654" s="1401">
        <f>SUM(F3619:F3653)</f>
        <v>4750995.22</v>
      </c>
      <c r="G3654" s="1401">
        <f>SUM(G3619:G3653)</f>
        <v>7133413.0000000009</v>
      </c>
      <c r="H3654" s="1401">
        <f>SUM(H3619:H3653)-H3652</f>
        <v>378956.78</v>
      </c>
      <c r="I3654" s="1401">
        <f>SUM(I3619:I3653)-I3637</f>
        <v>8543075.9199999999</v>
      </c>
      <c r="J3654" s="1401">
        <f>SUM(J3619:J3653)</f>
        <v>21349879.09</v>
      </c>
      <c r="K3654" s="1401">
        <f>SUM(F3654:I3654)</f>
        <v>20806440.920000002</v>
      </c>
      <c r="L3654" s="1408">
        <f>K3654/C3619</f>
        <v>12047.7364910249</v>
      </c>
    </row>
    <row r="3655" spans="2:12">
      <c r="B3655" s="1297" t="s">
        <v>1235</v>
      </c>
      <c r="C3655" s="1297">
        <v>4657</v>
      </c>
      <c r="D3655" s="1297" t="s">
        <v>1236</v>
      </c>
      <c r="E3655" s="1297" t="s">
        <v>906</v>
      </c>
      <c r="G3655" s="1399">
        <v>12053582.26</v>
      </c>
      <c r="J3655" s="1399">
        <v>12053582.26</v>
      </c>
    </row>
    <row r="3656" spans="2:12">
      <c r="B3656" s="1297"/>
      <c r="C3656" s="1297"/>
      <c r="D3656" s="1297"/>
      <c r="E3656" s="1297" t="s">
        <v>952</v>
      </c>
      <c r="G3656" s="1399">
        <v>121551.67999999999</v>
      </c>
      <c r="J3656" s="1399">
        <v>121551.67999999999</v>
      </c>
    </row>
    <row r="3657" spans="2:12">
      <c r="B3657" s="1297"/>
      <c r="C3657" s="1297"/>
      <c r="D3657" s="1297"/>
      <c r="E3657" s="1297" t="s">
        <v>907</v>
      </c>
      <c r="G3657" s="1399">
        <v>1959242.78</v>
      </c>
      <c r="J3657" s="1399">
        <v>1959242.78</v>
      </c>
    </row>
    <row r="3658" spans="2:12">
      <c r="B3658" s="1297"/>
      <c r="C3658" s="1297"/>
      <c r="D3658" s="1297"/>
      <c r="E3658" s="1297" t="s">
        <v>908</v>
      </c>
      <c r="G3658" s="1399">
        <v>16083.55</v>
      </c>
      <c r="J3658" s="1399">
        <v>16083.55</v>
      </c>
    </row>
    <row r="3659" spans="2:12">
      <c r="B3659" s="1297"/>
      <c r="C3659" s="1297"/>
      <c r="D3659" s="1297"/>
      <c r="E3659" s="1297" t="s">
        <v>909</v>
      </c>
      <c r="H3659" s="1399">
        <v>8227.2000000000007</v>
      </c>
      <c r="J3659" s="1399">
        <v>8227.2000000000007</v>
      </c>
    </row>
    <row r="3660" spans="2:12">
      <c r="B3660" s="1297"/>
      <c r="C3660" s="1297"/>
      <c r="D3660" s="1297"/>
      <c r="E3660" s="1297" t="s">
        <v>910</v>
      </c>
      <c r="H3660" s="1399">
        <v>35206.65</v>
      </c>
      <c r="J3660" s="1399">
        <v>35206.65</v>
      </c>
    </row>
    <row r="3661" spans="2:12">
      <c r="B3661" s="1297"/>
      <c r="C3661" s="1297"/>
      <c r="D3661" s="1297"/>
      <c r="E3661" s="1297" t="s">
        <v>1034</v>
      </c>
      <c r="H3661" s="1399">
        <v>89340.940000000017</v>
      </c>
      <c r="J3661" s="1399">
        <v>89340.940000000017</v>
      </c>
    </row>
    <row r="3662" spans="2:12">
      <c r="B3662" s="1297"/>
      <c r="C3662" s="1297"/>
      <c r="D3662" s="1297"/>
      <c r="E3662" s="1297" t="s">
        <v>1035</v>
      </c>
      <c r="H3662" s="1399">
        <v>352220.65</v>
      </c>
      <c r="J3662" s="1399">
        <v>352220.65</v>
      </c>
    </row>
    <row r="3663" spans="2:12">
      <c r="B3663" s="1297"/>
      <c r="C3663" s="1297"/>
      <c r="D3663" s="1297"/>
      <c r="E3663" s="1297" t="s">
        <v>1036</v>
      </c>
      <c r="H3663" s="1399">
        <v>99581.25</v>
      </c>
      <c r="J3663" s="1399">
        <v>99581.25</v>
      </c>
    </row>
    <row r="3664" spans="2:12">
      <c r="B3664" s="1297"/>
      <c r="C3664" s="1297"/>
      <c r="D3664" s="1297"/>
      <c r="E3664" s="1297" t="s">
        <v>1039</v>
      </c>
      <c r="H3664" s="1399">
        <v>108481.87</v>
      </c>
      <c r="J3664" s="1399">
        <v>108481.87</v>
      </c>
    </row>
    <row r="3665" spans="5:10" s="1297" customFormat="1">
      <c r="E3665" s="1297" t="s">
        <v>1040</v>
      </c>
      <c r="F3665" s="1399"/>
      <c r="G3665" s="1399"/>
      <c r="H3665" s="1399">
        <v>471988.30000000005</v>
      </c>
      <c r="I3665" s="1399"/>
      <c r="J3665" s="1399">
        <v>471988.30000000005</v>
      </c>
    </row>
    <row r="3666" spans="5:10" s="1297" customFormat="1">
      <c r="E3666" s="1297" t="s">
        <v>1041</v>
      </c>
      <c r="F3666" s="1399"/>
      <c r="G3666" s="1399"/>
      <c r="H3666" s="1399">
        <v>80054.45</v>
      </c>
      <c r="I3666" s="1399"/>
      <c r="J3666" s="1399">
        <v>80054.45</v>
      </c>
    </row>
    <row r="3667" spans="5:10" s="1297" customFormat="1">
      <c r="E3667" s="1297" t="s">
        <v>1042</v>
      </c>
      <c r="F3667" s="1399"/>
      <c r="G3667" s="1399"/>
      <c r="H3667" s="1399">
        <v>77299.23</v>
      </c>
      <c r="I3667" s="1399"/>
      <c r="J3667" s="1399">
        <v>77299.23</v>
      </c>
    </row>
    <row r="3668" spans="5:10" s="1297" customFormat="1">
      <c r="E3668" s="1297" t="s">
        <v>954</v>
      </c>
      <c r="F3668" s="1399"/>
      <c r="G3668" s="1399"/>
      <c r="H3668" s="1399">
        <v>527431.59</v>
      </c>
      <c r="I3668" s="1399"/>
      <c r="J3668" s="1399">
        <v>527431.59</v>
      </c>
    </row>
    <row r="3669" spans="5:10" s="1297" customFormat="1">
      <c r="E3669" s="1297" t="s">
        <v>985</v>
      </c>
      <c r="F3669" s="1399"/>
      <c r="G3669" s="1399"/>
      <c r="H3669" s="1399">
        <v>211337.36999999997</v>
      </c>
      <c r="I3669" s="1399"/>
      <c r="J3669" s="1399">
        <v>211337.36999999997</v>
      </c>
    </row>
    <row r="3670" spans="5:10" s="1297" customFormat="1">
      <c r="E3670" s="1297" t="s">
        <v>986</v>
      </c>
      <c r="F3670" s="1399"/>
      <c r="G3670" s="1399"/>
      <c r="H3670" s="1399">
        <v>450114.13</v>
      </c>
      <c r="I3670" s="1399"/>
      <c r="J3670" s="1399">
        <v>450114.13</v>
      </c>
    </row>
    <row r="3671" spans="5:10" s="1297" customFormat="1">
      <c r="E3671" s="1297" t="s">
        <v>1044</v>
      </c>
      <c r="F3671" s="1399">
        <v>54076.62</v>
      </c>
      <c r="G3671" s="1399"/>
      <c r="H3671" s="1399"/>
      <c r="I3671" s="1399"/>
      <c r="J3671" s="1399">
        <v>54076.62</v>
      </c>
    </row>
    <row r="3672" spans="5:10" s="1297" customFormat="1">
      <c r="E3672" s="1297" t="s">
        <v>1045</v>
      </c>
      <c r="F3672" s="1399"/>
      <c r="G3672" s="1399"/>
      <c r="H3672" s="1399">
        <v>511689.35</v>
      </c>
      <c r="I3672" s="1399"/>
      <c r="J3672" s="1399">
        <v>511689.35</v>
      </c>
    </row>
    <row r="3673" spans="5:10" s="1297" customFormat="1">
      <c r="E3673" s="1297" t="s">
        <v>1046</v>
      </c>
      <c r="F3673" s="1399"/>
      <c r="G3673" s="1399"/>
      <c r="H3673" s="1399"/>
      <c r="I3673" s="1399">
        <v>26671809</v>
      </c>
      <c r="J3673" s="1399">
        <v>26671809</v>
      </c>
    </row>
    <row r="3674" spans="5:10" s="1297" customFormat="1">
      <c r="E3674" s="1297" t="s">
        <v>1128</v>
      </c>
      <c r="F3674" s="1399"/>
      <c r="G3674" s="1399"/>
      <c r="H3674" s="1399"/>
      <c r="I3674" s="1399">
        <v>2068554</v>
      </c>
      <c r="J3674" s="1399">
        <v>2068554</v>
      </c>
    </row>
    <row r="3675" spans="5:10" s="1297" customFormat="1">
      <c r="E3675" s="1297" t="s">
        <v>1129</v>
      </c>
      <c r="F3675" s="1399"/>
      <c r="G3675" s="1399"/>
      <c r="H3675" s="1399"/>
      <c r="I3675" s="1399">
        <v>-3738303</v>
      </c>
      <c r="J3675" s="1399">
        <v>-3738303</v>
      </c>
    </row>
    <row r="3676" spans="5:10" s="1297" customFormat="1">
      <c r="E3676" s="1297" t="s">
        <v>1047</v>
      </c>
      <c r="F3676" s="1399"/>
      <c r="G3676" s="1399"/>
      <c r="H3676" s="1399"/>
      <c r="I3676" s="1399">
        <v>826050</v>
      </c>
      <c r="J3676" s="1399">
        <v>826050</v>
      </c>
    </row>
    <row r="3677" spans="5:10" s="1297" customFormat="1">
      <c r="E3677" s="1297" t="s">
        <v>1048</v>
      </c>
      <c r="F3677" s="1399"/>
      <c r="G3677" s="1399"/>
      <c r="H3677" s="1399"/>
      <c r="I3677" s="1399">
        <v>-2912527</v>
      </c>
      <c r="J3677" s="1399">
        <v>-2912527</v>
      </c>
    </row>
    <row r="3678" spans="5:10" s="1297" customFormat="1">
      <c r="E3678" s="1297" t="s">
        <v>932</v>
      </c>
      <c r="F3678" s="1399"/>
      <c r="G3678" s="1399"/>
      <c r="H3678" s="1399"/>
      <c r="I3678" s="1399">
        <v>3753099</v>
      </c>
      <c r="J3678" s="1399">
        <v>3753099</v>
      </c>
    </row>
    <row r="3679" spans="5:10" s="1297" customFormat="1">
      <c r="E3679" s="1297" t="s">
        <v>934</v>
      </c>
      <c r="F3679" s="1399"/>
      <c r="G3679" s="1399"/>
      <c r="H3679" s="1399"/>
      <c r="I3679" s="1399">
        <v>74406</v>
      </c>
      <c r="J3679" s="1399">
        <v>74406</v>
      </c>
    </row>
    <row r="3680" spans="5:10" s="1297" customFormat="1">
      <c r="E3680" s="1297" t="s">
        <v>935</v>
      </c>
      <c r="F3680" s="1399"/>
      <c r="G3680" s="1399"/>
      <c r="H3680" s="1399"/>
      <c r="I3680" s="1399">
        <v>726932.22</v>
      </c>
      <c r="J3680" s="1399">
        <v>726932.22</v>
      </c>
    </row>
    <row r="3681" spans="2:12">
      <c r="B3681" s="1297"/>
      <c r="C3681" s="1297"/>
      <c r="D3681" s="1297"/>
      <c r="E3681" s="1297" t="s">
        <v>936</v>
      </c>
      <c r="I3681" s="1399">
        <v>91739.44</v>
      </c>
      <c r="J3681" s="1399">
        <v>91739.44</v>
      </c>
    </row>
    <row r="3682" spans="2:12">
      <c r="B3682" s="1297"/>
      <c r="C3682" s="1297"/>
      <c r="D3682" s="1297"/>
      <c r="E3682" s="1297" t="s">
        <v>937</v>
      </c>
      <c r="I3682" s="1399">
        <v>29095.06</v>
      </c>
      <c r="J3682" s="1399">
        <v>29095.06</v>
      </c>
    </row>
    <row r="3683" spans="2:12">
      <c r="B3683" s="1297"/>
      <c r="C3683" s="1297"/>
      <c r="D3683" s="1297"/>
      <c r="E3683" s="1297" t="s">
        <v>938</v>
      </c>
      <c r="I3683" s="1399">
        <v>29010</v>
      </c>
      <c r="J3683" s="1399">
        <v>29010</v>
      </c>
    </row>
    <row r="3684" spans="2:12">
      <c r="B3684" s="1297"/>
      <c r="C3684" s="1297"/>
      <c r="D3684" s="1297"/>
      <c r="E3684" s="1297" t="s">
        <v>939</v>
      </c>
      <c r="I3684" s="1399">
        <v>296047.09999999998</v>
      </c>
      <c r="J3684" s="1399">
        <v>296047.09999999998</v>
      </c>
    </row>
    <row r="3685" spans="2:12">
      <c r="B3685" s="1297"/>
      <c r="C3685" s="1297"/>
      <c r="D3685" s="1297"/>
      <c r="E3685" s="1297" t="s">
        <v>940</v>
      </c>
      <c r="F3685" s="1399">
        <v>1172095.76</v>
      </c>
      <c r="J3685" s="1399">
        <v>1172095.76</v>
      </c>
    </row>
    <row r="3686" spans="2:12">
      <c r="B3686" s="1297"/>
      <c r="C3686" s="1297"/>
      <c r="D3686" s="1297"/>
      <c r="E3686" s="1297" t="s">
        <v>941</v>
      </c>
      <c r="F3686" s="1399">
        <v>411702.4</v>
      </c>
      <c r="J3686" s="1399">
        <v>411702.4</v>
      </c>
    </row>
    <row r="3687" spans="2:12">
      <c r="B3687" s="1297"/>
      <c r="C3687" s="1297"/>
      <c r="D3687" s="1297"/>
      <c r="E3687" s="1297" t="s">
        <v>943</v>
      </c>
      <c r="F3687" s="1399">
        <v>31232.44</v>
      </c>
      <c r="J3687" s="1399">
        <v>31232.44</v>
      </c>
    </row>
    <row r="3688" spans="2:12">
      <c r="B3688" s="1297"/>
      <c r="C3688" s="1297"/>
      <c r="D3688" s="1297"/>
      <c r="E3688" s="1297" t="s">
        <v>944</v>
      </c>
      <c r="F3688" s="1399">
        <v>2552701.5399999996</v>
      </c>
      <c r="J3688" s="1399">
        <v>2552701.5399999996</v>
      </c>
    </row>
    <row r="3689" spans="2:12">
      <c r="B3689" s="1297"/>
      <c r="C3689" s="1297"/>
      <c r="D3689" s="1297"/>
      <c r="E3689" s="1297" t="s">
        <v>945</v>
      </c>
      <c r="F3689" s="1399">
        <v>2043431.58</v>
      </c>
      <c r="J3689" s="1399">
        <v>2043431.58</v>
      </c>
    </row>
    <row r="3690" spans="2:12">
      <c r="B3690" s="1297"/>
      <c r="C3690" s="1297"/>
      <c r="D3690" s="1297"/>
      <c r="E3690" s="1297" t="s">
        <v>947</v>
      </c>
      <c r="F3690" s="1399">
        <v>63099.819999999992</v>
      </c>
      <c r="J3690" s="1399">
        <v>63099.819999999992</v>
      </c>
    </row>
    <row r="3691" spans="2:12">
      <c r="B3691" s="1297"/>
      <c r="C3691" s="1297"/>
      <c r="D3691" s="1297"/>
      <c r="E3691" s="1404" t="s">
        <v>948</v>
      </c>
      <c r="F3691" s="1405"/>
      <c r="G3691" s="1405"/>
      <c r="H3691" s="1405">
        <v>827505.55</v>
      </c>
      <c r="I3691" s="1405"/>
      <c r="J3691" s="1405">
        <v>827505.55</v>
      </c>
    </row>
    <row r="3692" spans="2:12">
      <c r="B3692" s="1297"/>
      <c r="C3692" s="1297"/>
      <c r="D3692" s="1400" t="s">
        <v>1237</v>
      </c>
      <c r="E3692" s="1400"/>
      <c r="F3692" s="1401">
        <f>SUM(F3655:F3691)</f>
        <v>6328340.1600000001</v>
      </c>
      <c r="G3692" s="1401">
        <f>SUM(G3655:G3691)</f>
        <v>14150460.27</v>
      </c>
      <c r="H3692" s="1401">
        <f>SUM(H3655:H3691)-H3691</f>
        <v>3022972.9800000004</v>
      </c>
      <c r="I3692" s="1401">
        <f>SUM(I3655:I3691)</f>
        <v>27915911.82</v>
      </c>
      <c r="J3692" s="1401">
        <f>SUM(J3655:J3691)</f>
        <v>52245190.779999986</v>
      </c>
      <c r="K3692" s="1401">
        <f>SUM(F3692:I3692)</f>
        <v>51417685.230000004</v>
      </c>
      <c r="L3692" s="1408">
        <f>K3692/C3655</f>
        <v>11040.945937298691</v>
      </c>
    </row>
    <row r="3693" spans="2:12">
      <c r="B3693" s="1297" t="s">
        <v>1238</v>
      </c>
      <c r="C3693" s="1297">
        <v>1273</v>
      </c>
      <c r="D3693" s="1297" t="s">
        <v>1239</v>
      </c>
      <c r="E3693" s="1297" t="s">
        <v>906</v>
      </c>
      <c r="G3693" s="1399">
        <v>3418730.67</v>
      </c>
      <c r="J3693" s="1399">
        <v>3418730.67</v>
      </c>
    </row>
    <row r="3694" spans="2:12">
      <c r="B3694" s="1297"/>
      <c r="C3694" s="1297"/>
      <c r="D3694" s="1297"/>
      <c r="E3694" s="1297" t="s">
        <v>952</v>
      </c>
      <c r="G3694" s="1399">
        <v>26719.8</v>
      </c>
      <c r="J3694" s="1399">
        <v>26719.8</v>
      </c>
    </row>
    <row r="3695" spans="2:12">
      <c r="B3695" s="1297"/>
      <c r="C3695" s="1297"/>
      <c r="D3695" s="1297"/>
      <c r="E3695" s="1297" t="s">
        <v>907</v>
      </c>
      <c r="G3695" s="1399">
        <v>474323</v>
      </c>
      <c r="J3695" s="1399">
        <v>474323</v>
      </c>
    </row>
    <row r="3696" spans="2:12">
      <c r="B3696" s="1297"/>
      <c r="C3696" s="1297"/>
      <c r="D3696" s="1297"/>
      <c r="E3696" s="1297" t="s">
        <v>908</v>
      </c>
      <c r="G3696" s="1399">
        <v>11533.93</v>
      </c>
      <c r="J3696" s="1399">
        <v>11533.93</v>
      </c>
    </row>
    <row r="3697" spans="5:10" s="1297" customFormat="1">
      <c r="E3697" s="1297" t="s">
        <v>909</v>
      </c>
      <c r="F3697" s="1399"/>
      <c r="G3697" s="1399"/>
      <c r="H3697" s="1399">
        <v>24332.06</v>
      </c>
      <c r="I3697" s="1399"/>
      <c r="J3697" s="1399">
        <v>24332.06</v>
      </c>
    </row>
    <row r="3698" spans="5:10" s="1297" customFormat="1">
      <c r="E3698" s="1297" t="s">
        <v>1034</v>
      </c>
      <c r="F3698" s="1399"/>
      <c r="G3698" s="1399"/>
      <c r="H3698" s="1399">
        <v>4173.8900000000003</v>
      </c>
      <c r="I3698" s="1399"/>
      <c r="J3698" s="1399">
        <v>4173.8900000000003</v>
      </c>
    </row>
    <row r="3699" spans="5:10" s="1297" customFormat="1">
      <c r="E3699" s="1297" t="s">
        <v>1035</v>
      </c>
      <c r="F3699" s="1399"/>
      <c r="G3699" s="1399"/>
      <c r="H3699" s="1399">
        <v>362283.68</v>
      </c>
      <c r="I3699" s="1399"/>
      <c r="J3699" s="1399">
        <v>362283.68</v>
      </c>
    </row>
    <row r="3700" spans="5:10" s="1297" customFormat="1">
      <c r="E3700" s="1297" t="s">
        <v>1037</v>
      </c>
      <c r="F3700" s="1399"/>
      <c r="G3700" s="1399"/>
      <c r="H3700" s="1399">
        <v>22921.23</v>
      </c>
      <c r="I3700" s="1399"/>
      <c r="J3700" s="1399">
        <v>22921.23</v>
      </c>
    </row>
    <row r="3701" spans="5:10" s="1297" customFormat="1">
      <c r="E3701" s="1297" t="s">
        <v>1039</v>
      </c>
      <c r="F3701" s="1399"/>
      <c r="G3701" s="1399"/>
      <c r="H3701" s="1399">
        <v>4908.5899999999992</v>
      </c>
      <c r="I3701" s="1399"/>
      <c r="J3701" s="1399">
        <v>4908.5899999999992</v>
      </c>
    </row>
    <row r="3702" spans="5:10" s="1297" customFormat="1">
      <c r="E3702" s="1297" t="s">
        <v>1040</v>
      </c>
      <c r="F3702" s="1399"/>
      <c r="G3702" s="1399"/>
      <c r="H3702" s="1399">
        <v>81384.399999999994</v>
      </c>
      <c r="I3702" s="1399"/>
      <c r="J3702" s="1399">
        <v>81384.399999999994</v>
      </c>
    </row>
    <row r="3703" spans="5:10" s="1297" customFormat="1">
      <c r="E3703" s="1297" t="s">
        <v>1041</v>
      </c>
      <c r="F3703" s="1399"/>
      <c r="G3703" s="1399"/>
      <c r="H3703" s="1399">
        <v>8240.74</v>
      </c>
      <c r="I3703" s="1399"/>
      <c r="J3703" s="1399">
        <v>8240.74</v>
      </c>
    </row>
    <row r="3704" spans="5:10" s="1297" customFormat="1">
      <c r="E3704" s="1297" t="s">
        <v>1042</v>
      </c>
      <c r="F3704" s="1399"/>
      <c r="G3704" s="1399"/>
      <c r="H3704" s="1399">
        <v>26511.37</v>
      </c>
      <c r="I3704" s="1399"/>
      <c r="J3704" s="1399">
        <v>26511.37</v>
      </c>
    </row>
    <row r="3705" spans="5:10" s="1297" customFormat="1">
      <c r="E3705" s="1297" t="s">
        <v>1043</v>
      </c>
      <c r="F3705" s="1399"/>
      <c r="G3705" s="1399"/>
      <c r="H3705" s="1399">
        <v>28929.17</v>
      </c>
      <c r="I3705" s="1399"/>
      <c r="J3705" s="1399">
        <v>28929.17</v>
      </c>
    </row>
    <row r="3706" spans="5:10" s="1297" customFormat="1">
      <c r="E3706" s="1297" t="s">
        <v>1044</v>
      </c>
      <c r="F3706" s="1399">
        <v>24063.77</v>
      </c>
      <c r="G3706" s="1399"/>
      <c r="H3706" s="1399"/>
      <c r="I3706" s="1399"/>
      <c r="J3706" s="1399">
        <v>24063.77</v>
      </c>
    </row>
    <row r="3707" spans="5:10" s="1297" customFormat="1">
      <c r="E3707" s="1297" t="s">
        <v>1045</v>
      </c>
      <c r="F3707" s="1399"/>
      <c r="G3707" s="1399"/>
      <c r="H3707" s="1399">
        <v>61987.65</v>
      </c>
      <c r="I3707" s="1399"/>
      <c r="J3707" s="1399">
        <v>61987.65</v>
      </c>
    </row>
    <row r="3708" spans="5:10" s="1297" customFormat="1">
      <c r="E3708" s="1297" t="s">
        <v>1046</v>
      </c>
      <c r="F3708" s="1399"/>
      <c r="G3708" s="1399"/>
      <c r="H3708" s="1399"/>
      <c r="I3708" s="1399">
        <v>5964683</v>
      </c>
      <c r="J3708" s="1399">
        <v>5964683</v>
      </c>
    </row>
    <row r="3709" spans="5:10" s="1297" customFormat="1">
      <c r="E3709" s="1297" t="s">
        <v>1128</v>
      </c>
      <c r="F3709" s="1399"/>
      <c r="G3709" s="1399"/>
      <c r="H3709" s="1399"/>
      <c r="I3709" s="1399">
        <v>557950</v>
      </c>
      <c r="J3709" s="1399">
        <v>557950</v>
      </c>
    </row>
    <row r="3710" spans="5:10" s="1297" customFormat="1">
      <c r="E3710" s="1297" t="s">
        <v>1047</v>
      </c>
      <c r="F3710" s="1399"/>
      <c r="G3710" s="1399"/>
      <c r="H3710" s="1399"/>
      <c r="I3710" s="1399">
        <v>395822</v>
      </c>
      <c r="J3710" s="1399">
        <v>395822</v>
      </c>
    </row>
    <row r="3711" spans="5:10" s="1297" customFormat="1">
      <c r="E3711" s="1297" t="s">
        <v>1048</v>
      </c>
      <c r="F3711" s="1399"/>
      <c r="G3711" s="1399"/>
      <c r="H3711" s="1399"/>
      <c r="I3711" s="1399">
        <v>-1024280</v>
      </c>
      <c r="J3711" s="1399">
        <v>-1024280</v>
      </c>
    </row>
    <row r="3712" spans="5:10" s="1297" customFormat="1">
      <c r="E3712" s="1297" t="s">
        <v>932</v>
      </c>
      <c r="F3712" s="1399"/>
      <c r="G3712" s="1399"/>
      <c r="H3712" s="1399"/>
      <c r="I3712" s="1399">
        <v>492656</v>
      </c>
      <c r="J3712" s="1399">
        <v>492656</v>
      </c>
    </row>
    <row r="3713" spans="5:10" s="1297" customFormat="1">
      <c r="E3713" s="1404" t="s">
        <v>955</v>
      </c>
      <c r="F3713" s="1405"/>
      <c r="G3713" s="1405"/>
      <c r="H3713" s="1405"/>
      <c r="I3713" s="1405">
        <v>257661.04</v>
      </c>
      <c r="J3713" s="1405">
        <v>257661.04</v>
      </c>
    </row>
    <row r="3714" spans="5:10" s="1297" customFormat="1">
      <c r="E3714" s="1297" t="s">
        <v>934</v>
      </c>
      <c r="F3714" s="1399"/>
      <c r="G3714" s="1399"/>
      <c r="H3714" s="1399"/>
      <c r="I3714" s="1399">
        <v>24388</v>
      </c>
      <c r="J3714" s="1399">
        <v>24388</v>
      </c>
    </row>
    <row r="3715" spans="5:10" s="1297" customFormat="1">
      <c r="E3715" s="1297" t="s">
        <v>1130</v>
      </c>
      <c r="F3715" s="1399"/>
      <c r="G3715" s="1399"/>
      <c r="H3715" s="1399"/>
      <c r="I3715" s="1399">
        <v>4139655.9</v>
      </c>
      <c r="J3715" s="1399">
        <v>4139655.9</v>
      </c>
    </row>
    <row r="3716" spans="5:10" s="1297" customFormat="1">
      <c r="E3716" s="1297" t="s">
        <v>935</v>
      </c>
      <c r="F3716" s="1399"/>
      <c r="G3716" s="1399"/>
      <c r="H3716" s="1399"/>
      <c r="I3716" s="1399">
        <v>238804.72</v>
      </c>
      <c r="J3716" s="1399">
        <v>238804.72</v>
      </c>
    </row>
    <row r="3717" spans="5:10" s="1297" customFormat="1">
      <c r="E3717" s="1297" t="s">
        <v>936</v>
      </c>
      <c r="F3717" s="1399"/>
      <c r="G3717" s="1399"/>
      <c r="H3717" s="1399"/>
      <c r="I3717" s="1399">
        <v>28012.04</v>
      </c>
      <c r="J3717" s="1399">
        <v>28012.04</v>
      </c>
    </row>
    <row r="3718" spans="5:10" s="1297" customFormat="1">
      <c r="E3718" s="1297" t="s">
        <v>938</v>
      </c>
      <c r="F3718" s="1399"/>
      <c r="G3718" s="1399"/>
      <c r="H3718" s="1399"/>
      <c r="I3718" s="1399">
        <v>7299</v>
      </c>
      <c r="J3718" s="1399">
        <v>7299</v>
      </c>
    </row>
    <row r="3719" spans="5:10" s="1297" customFormat="1">
      <c r="E3719" s="1297" t="s">
        <v>940</v>
      </c>
      <c r="F3719" s="1399">
        <v>408041.88</v>
      </c>
      <c r="G3719" s="1399"/>
      <c r="H3719" s="1399"/>
      <c r="I3719" s="1399"/>
      <c r="J3719" s="1399">
        <v>408041.88</v>
      </c>
    </row>
    <row r="3720" spans="5:10" s="1297" customFormat="1">
      <c r="E3720" s="1297" t="s">
        <v>941</v>
      </c>
      <c r="F3720" s="1399">
        <v>189058.72</v>
      </c>
      <c r="G3720" s="1399"/>
      <c r="H3720" s="1399"/>
      <c r="I3720" s="1399"/>
      <c r="J3720" s="1399">
        <v>189058.72</v>
      </c>
    </row>
    <row r="3721" spans="5:10" s="1297" customFormat="1">
      <c r="E3721" s="1297" t="s">
        <v>943</v>
      </c>
      <c r="F3721" s="1399">
        <v>2629.22</v>
      </c>
      <c r="G3721" s="1399"/>
      <c r="H3721" s="1399"/>
      <c r="I3721" s="1399"/>
      <c r="J3721" s="1399">
        <v>2629.22</v>
      </c>
    </row>
    <row r="3722" spans="5:10" s="1297" customFormat="1">
      <c r="E3722" s="1297" t="s">
        <v>944</v>
      </c>
      <c r="F3722" s="1399">
        <v>1083076.5</v>
      </c>
      <c r="G3722" s="1399"/>
      <c r="H3722" s="1399"/>
      <c r="I3722" s="1399"/>
      <c r="J3722" s="1399">
        <v>1083076.5</v>
      </c>
    </row>
    <row r="3723" spans="5:10" s="1297" customFormat="1">
      <c r="E3723" s="1297" t="s">
        <v>945</v>
      </c>
      <c r="F3723" s="1399">
        <v>433161.97</v>
      </c>
      <c r="G3723" s="1399"/>
      <c r="H3723" s="1399"/>
      <c r="I3723" s="1399"/>
      <c r="J3723" s="1399">
        <v>433161.97</v>
      </c>
    </row>
    <row r="3724" spans="5:10" s="1297" customFormat="1">
      <c r="E3724" s="1297" t="s">
        <v>947</v>
      </c>
      <c r="F3724" s="1399">
        <v>35889.99</v>
      </c>
      <c r="G3724" s="1399"/>
      <c r="H3724" s="1399"/>
      <c r="I3724" s="1399"/>
      <c r="J3724" s="1399">
        <v>35889.99</v>
      </c>
    </row>
    <row r="3725" spans="5:10" s="1297" customFormat="1">
      <c r="E3725" s="1297" t="s">
        <v>1115</v>
      </c>
      <c r="F3725" s="1399">
        <v>213347.59</v>
      </c>
      <c r="G3725" s="1399"/>
      <c r="H3725" s="1399"/>
      <c r="I3725" s="1399"/>
      <c r="J3725" s="1399">
        <v>213347.59</v>
      </c>
    </row>
    <row r="3726" spans="5:10" s="1297" customFormat="1">
      <c r="E3726" s="1404" t="s">
        <v>1116</v>
      </c>
      <c r="F3726" s="1405"/>
      <c r="G3726" s="1405"/>
      <c r="H3726" s="1405">
        <v>16245000</v>
      </c>
      <c r="I3726" s="1405"/>
      <c r="J3726" s="1405">
        <v>16245000</v>
      </c>
    </row>
    <row r="3727" spans="5:10" s="1297" customFormat="1">
      <c r="E3727" s="1404" t="s">
        <v>948</v>
      </c>
      <c r="F3727" s="1405"/>
      <c r="G3727" s="1405"/>
      <c r="H3727" s="1405">
        <v>1486594.08</v>
      </c>
      <c r="I3727" s="1405"/>
      <c r="J3727" s="1405">
        <v>1486594.08</v>
      </c>
    </row>
    <row r="3728" spans="5:10" s="1297" customFormat="1">
      <c r="E3728" s="1297" t="s">
        <v>956</v>
      </c>
      <c r="F3728" s="1399"/>
      <c r="G3728" s="1399"/>
      <c r="H3728" s="1399">
        <v>2337.9</v>
      </c>
      <c r="I3728" s="1399"/>
      <c r="J3728" s="1399">
        <v>2337.9</v>
      </c>
    </row>
    <row r="3729" spans="2:12">
      <c r="B3729" s="1297"/>
      <c r="C3729" s="1297"/>
      <c r="D3729" s="1400" t="s">
        <v>1240</v>
      </c>
      <c r="E3729" s="1400"/>
      <c r="F3729" s="1401">
        <f>SUM(F3693:F3728)</f>
        <v>2389269.6399999997</v>
      </c>
      <c r="G3729" s="1401">
        <f>SUM(G3693:G3728)</f>
        <v>3931307.4</v>
      </c>
      <c r="H3729" s="1401">
        <f>SUM(H3693:H3728)-(H3726+H3727)</f>
        <v>628010.6799999997</v>
      </c>
      <c r="I3729" s="1401">
        <f>SUM(I3693:I3728)-I3713</f>
        <v>10824990.66</v>
      </c>
      <c r="J3729" s="1401">
        <f>SUM(J3693:J3728)</f>
        <v>35762833.499999993</v>
      </c>
      <c r="K3729" s="1401">
        <f>SUM(F3729:I3729)</f>
        <v>17773578.379999999</v>
      </c>
      <c r="L3729" s="1408">
        <f>K3729/C3693</f>
        <v>13961.962592301648</v>
      </c>
    </row>
    <row r="3730" spans="2:12">
      <c r="B3730" s="1297" t="s">
        <v>1241</v>
      </c>
      <c r="C3730" s="1297">
        <v>4027</v>
      </c>
      <c r="D3730" s="1297" t="s">
        <v>1242</v>
      </c>
      <c r="E3730" s="1297" t="s">
        <v>906</v>
      </c>
      <c r="G3730" s="1399">
        <v>9860884.1899999995</v>
      </c>
      <c r="J3730" s="1399">
        <v>9860884.1899999995</v>
      </c>
    </row>
    <row r="3731" spans="2:12">
      <c r="B3731" s="1297"/>
      <c r="C3731" s="1297"/>
      <c r="D3731" s="1297"/>
      <c r="E3731" s="1297" t="s">
        <v>952</v>
      </c>
      <c r="G3731" s="1399">
        <v>96086.86</v>
      </c>
      <c r="J3731" s="1399">
        <v>96086.86</v>
      </c>
    </row>
    <row r="3732" spans="2:12">
      <c r="B3732" s="1297"/>
      <c r="C3732" s="1297"/>
      <c r="D3732" s="1297"/>
      <c r="E3732" s="1297" t="s">
        <v>907</v>
      </c>
      <c r="G3732" s="1399">
        <v>3509977.69</v>
      </c>
      <c r="J3732" s="1399">
        <v>3509977.69</v>
      </c>
    </row>
    <row r="3733" spans="2:12">
      <c r="B3733" s="1297"/>
      <c r="C3733" s="1297"/>
      <c r="D3733" s="1297"/>
      <c r="E3733" s="1297" t="s">
        <v>909</v>
      </c>
      <c r="H3733" s="1399">
        <v>91552.459999999992</v>
      </c>
      <c r="J3733" s="1399">
        <v>91552.459999999992</v>
      </c>
    </row>
    <row r="3734" spans="2:12">
      <c r="B3734" s="1297"/>
      <c r="C3734" s="1297"/>
      <c r="D3734" s="1297"/>
      <c r="E3734" s="1297" t="s">
        <v>910</v>
      </c>
      <c r="H3734" s="1399">
        <v>16001.160000000002</v>
      </c>
      <c r="J3734" s="1399">
        <v>16001.160000000002</v>
      </c>
    </row>
    <row r="3735" spans="2:12">
      <c r="B3735" s="1297"/>
      <c r="C3735" s="1297"/>
      <c r="D3735" s="1297"/>
      <c r="E3735" s="1297" t="s">
        <v>1034</v>
      </c>
      <c r="H3735" s="1399">
        <v>79713.37000000001</v>
      </c>
      <c r="J3735" s="1399">
        <v>79713.37000000001</v>
      </c>
    </row>
    <row r="3736" spans="2:12">
      <c r="B3736" s="1297"/>
      <c r="C3736" s="1297"/>
      <c r="D3736" s="1297"/>
      <c r="E3736" s="1297" t="s">
        <v>1035</v>
      </c>
      <c r="H3736" s="1399">
        <v>282412.12</v>
      </c>
      <c r="J3736" s="1399">
        <v>282412.12</v>
      </c>
    </row>
    <row r="3737" spans="2:12">
      <c r="B3737" s="1297"/>
      <c r="C3737" s="1297"/>
      <c r="D3737" s="1297"/>
      <c r="E3737" s="1297" t="s">
        <v>1036</v>
      </c>
      <c r="H3737" s="1399">
        <v>100277.02</v>
      </c>
      <c r="J3737" s="1399">
        <v>100277.02</v>
      </c>
    </row>
    <row r="3738" spans="2:12">
      <c r="B3738" s="1297"/>
      <c r="C3738" s="1297"/>
      <c r="D3738" s="1297"/>
      <c r="E3738" s="1297" t="s">
        <v>1037</v>
      </c>
      <c r="H3738" s="1399">
        <v>8886.7999999999993</v>
      </c>
      <c r="J3738" s="1399">
        <v>8886.7999999999993</v>
      </c>
    </row>
    <row r="3739" spans="2:12">
      <c r="B3739" s="1297"/>
      <c r="C3739" s="1297"/>
      <c r="D3739" s="1297"/>
      <c r="E3739" s="1297" t="s">
        <v>1039</v>
      </c>
      <c r="H3739" s="1399">
        <v>66935.989999999991</v>
      </c>
      <c r="J3739" s="1399">
        <v>66935.989999999991</v>
      </c>
    </row>
    <row r="3740" spans="2:12">
      <c r="B3740" s="1297"/>
      <c r="C3740" s="1297"/>
      <c r="D3740" s="1297"/>
      <c r="E3740" s="1297" t="s">
        <v>1040</v>
      </c>
      <c r="H3740" s="1399">
        <v>210006.69</v>
      </c>
      <c r="J3740" s="1399">
        <v>210006.69</v>
      </c>
    </row>
    <row r="3741" spans="2:12">
      <c r="B3741" s="1297"/>
      <c r="C3741" s="1297"/>
      <c r="D3741" s="1297"/>
      <c r="E3741" s="1297" t="s">
        <v>1041</v>
      </c>
      <c r="H3741" s="1399">
        <v>25456.33</v>
      </c>
      <c r="J3741" s="1399">
        <v>25456.33</v>
      </c>
    </row>
    <row r="3742" spans="2:12">
      <c r="B3742" s="1297"/>
      <c r="C3742" s="1297"/>
      <c r="D3742" s="1297"/>
      <c r="E3742" s="1297" t="s">
        <v>1042</v>
      </c>
      <c r="H3742" s="1399">
        <v>40693.300000000003</v>
      </c>
      <c r="J3742" s="1399">
        <v>40693.300000000003</v>
      </c>
    </row>
    <row r="3743" spans="2:12">
      <c r="B3743" s="1297"/>
      <c r="C3743" s="1297"/>
      <c r="D3743" s="1297"/>
      <c r="E3743" s="1297" t="s">
        <v>954</v>
      </c>
      <c r="H3743" s="1399">
        <v>59854.679999999993</v>
      </c>
      <c r="J3743" s="1399">
        <v>59854.679999999993</v>
      </c>
    </row>
    <row r="3744" spans="2:12">
      <c r="B3744" s="1297"/>
      <c r="C3744" s="1297"/>
      <c r="D3744" s="1297"/>
      <c r="E3744" s="1297" t="s">
        <v>1043</v>
      </c>
      <c r="H3744" s="1399">
        <v>3604.62</v>
      </c>
      <c r="J3744" s="1399">
        <v>3604.62</v>
      </c>
    </row>
    <row r="3745" spans="5:10" s="1297" customFormat="1">
      <c r="E3745" s="1297" t="s">
        <v>996</v>
      </c>
      <c r="F3745" s="1399"/>
      <c r="G3745" s="1399"/>
      <c r="H3745" s="1399">
        <v>48711.29</v>
      </c>
      <c r="I3745" s="1399"/>
      <c r="J3745" s="1399">
        <v>48711.29</v>
      </c>
    </row>
    <row r="3746" spans="5:10" s="1297" customFormat="1">
      <c r="E3746" s="1297" t="s">
        <v>991</v>
      </c>
      <c r="F3746" s="1399"/>
      <c r="G3746" s="1399"/>
      <c r="H3746" s="1399">
        <v>1185</v>
      </c>
      <c r="I3746" s="1399"/>
      <c r="J3746" s="1399">
        <v>1185</v>
      </c>
    </row>
    <row r="3747" spans="5:10" s="1297" customFormat="1">
      <c r="E3747" s="1297" t="s">
        <v>1045</v>
      </c>
      <c r="F3747" s="1399"/>
      <c r="G3747" s="1399"/>
      <c r="H3747" s="1399">
        <v>393405.28</v>
      </c>
      <c r="I3747" s="1399"/>
      <c r="J3747" s="1399">
        <v>393405.28</v>
      </c>
    </row>
    <row r="3748" spans="5:10" s="1297" customFormat="1">
      <c r="E3748" s="1297" t="s">
        <v>1046</v>
      </c>
      <c r="F3748" s="1399"/>
      <c r="G3748" s="1399"/>
      <c r="H3748" s="1399"/>
      <c r="I3748" s="1399">
        <v>21462448</v>
      </c>
      <c r="J3748" s="1399">
        <v>21462448</v>
      </c>
    </row>
    <row r="3749" spans="5:10" s="1297" customFormat="1">
      <c r="E3749" s="1297" t="s">
        <v>1128</v>
      </c>
      <c r="F3749" s="1399"/>
      <c r="G3749" s="1399"/>
      <c r="H3749" s="1399"/>
      <c r="I3749" s="1399">
        <v>1743523</v>
      </c>
      <c r="J3749" s="1399">
        <v>1743523</v>
      </c>
    </row>
    <row r="3750" spans="5:10" s="1297" customFormat="1">
      <c r="E3750" s="1297" t="s">
        <v>1129</v>
      </c>
      <c r="F3750" s="1399"/>
      <c r="G3750" s="1399"/>
      <c r="H3750" s="1399"/>
      <c r="I3750" s="1399">
        <v>-3046268</v>
      </c>
      <c r="J3750" s="1399">
        <v>-3046268</v>
      </c>
    </row>
    <row r="3751" spans="5:10" s="1297" customFormat="1">
      <c r="E3751" s="1297" t="s">
        <v>1047</v>
      </c>
      <c r="F3751" s="1399"/>
      <c r="G3751" s="1399"/>
      <c r="H3751" s="1399"/>
      <c r="I3751" s="1399">
        <v>653070</v>
      </c>
      <c r="J3751" s="1399">
        <v>653070</v>
      </c>
    </row>
    <row r="3752" spans="5:10" s="1297" customFormat="1">
      <c r="E3752" s="1297" t="s">
        <v>1048</v>
      </c>
      <c r="F3752" s="1399"/>
      <c r="G3752" s="1399"/>
      <c r="H3752" s="1399"/>
      <c r="I3752" s="1399">
        <v>-2587908</v>
      </c>
      <c r="J3752" s="1399">
        <v>-2587908</v>
      </c>
    </row>
    <row r="3753" spans="5:10" s="1297" customFormat="1">
      <c r="E3753" s="1297" t="s">
        <v>932</v>
      </c>
      <c r="F3753" s="1399"/>
      <c r="G3753" s="1399"/>
      <c r="H3753" s="1399"/>
      <c r="I3753" s="1399">
        <v>2437314</v>
      </c>
      <c r="J3753" s="1399">
        <v>2437314</v>
      </c>
    </row>
    <row r="3754" spans="5:10" s="1297" customFormat="1">
      <c r="E3754" s="1404" t="s">
        <v>955</v>
      </c>
      <c r="F3754" s="1405"/>
      <c r="G3754" s="1405"/>
      <c r="H3754" s="1405"/>
      <c r="I3754" s="1405">
        <v>673674.35</v>
      </c>
      <c r="J3754" s="1405">
        <v>673674.35</v>
      </c>
    </row>
    <row r="3755" spans="5:10" s="1297" customFormat="1">
      <c r="E3755" s="1297" t="s">
        <v>934</v>
      </c>
      <c r="F3755" s="1399"/>
      <c r="G3755" s="1399"/>
      <c r="H3755" s="1399"/>
      <c r="I3755" s="1399">
        <v>62862</v>
      </c>
      <c r="J3755" s="1399">
        <v>62862</v>
      </c>
    </row>
    <row r="3756" spans="5:10" s="1297" customFormat="1">
      <c r="E3756" s="1297" t="s">
        <v>935</v>
      </c>
      <c r="F3756" s="1399"/>
      <c r="G3756" s="1399"/>
      <c r="H3756" s="1399"/>
      <c r="I3756" s="1399">
        <v>413774.50000000006</v>
      </c>
      <c r="J3756" s="1399">
        <v>413774.50000000006</v>
      </c>
    </row>
    <row r="3757" spans="5:10" s="1297" customFormat="1">
      <c r="E3757" s="1297" t="s">
        <v>936</v>
      </c>
      <c r="F3757" s="1399"/>
      <c r="G3757" s="1399"/>
      <c r="H3757" s="1399"/>
      <c r="I3757" s="1399">
        <v>78783.87</v>
      </c>
      <c r="J3757" s="1399">
        <v>78783.87</v>
      </c>
    </row>
    <row r="3758" spans="5:10" s="1297" customFormat="1">
      <c r="E3758" s="1297" t="s">
        <v>937</v>
      </c>
      <c r="F3758" s="1399"/>
      <c r="G3758" s="1399"/>
      <c r="H3758" s="1399"/>
      <c r="I3758" s="1399">
        <v>21035.82</v>
      </c>
      <c r="J3758" s="1399">
        <v>21035.82</v>
      </c>
    </row>
    <row r="3759" spans="5:10" s="1297" customFormat="1">
      <c r="E3759" s="1297" t="s">
        <v>938</v>
      </c>
      <c r="F3759" s="1399"/>
      <c r="G3759" s="1399"/>
      <c r="H3759" s="1399"/>
      <c r="I3759" s="1399">
        <v>22085</v>
      </c>
      <c r="J3759" s="1399">
        <v>22085</v>
      </c>
    </row>
    <row r="3760" spans="5:10" s="1297" customFormat="1">
      <c r="E3760" s="1297" t="s">
        <v>1131</v>
      </c>
      <c r="F3760" s="1399">
        <v>55109.95</v>
      </c>
      <c r="G3760" s="1399"/>
      <c r="H3760" s="1399"/>
      <c r="I3760" s="1399"/>
      <c r="J3760" s="1399">
        <v>55109.95</v>
      </c>
    </row>
    <row r="3761" spans="2:12">
      <c r="B3761" s="1297"/>
      <c r="C3761" s="1297"/>
      <c r="D3761" s="1297"/>
      <c r="E3761" s="1297" t="s">
        <v>940</v>
      </c>
      <c r="F3761" s="1399">
        <v>1206012.32</v>
      </c>
      <c r="J3761" s="1399">
        <v>1206012.32</v>
      </c>
    </row>
    <row r="3762" spans="2:12">
      <c r="B3762" s="1297"/>
      <c r="C3762" s="1297"/>
      <c r="D3762" s="1297"/>
      <c r="E3762" s="1297" t="s">
        <v>941</v>
      </c>
      <c r="F3762" s="1399">
        <v>488362.86</v>
      </c>
      <c r="J3762" s="1399">
        <v>488362.86</v>
      </c>
    </row>
    <row r="3763" spans="2:12">
      <c r="B3763" s="1297"/>
      <c r="C3763" s="1297"/>
      <c r="D3763" s="1297"/>
      <c r="E3763" s="1297" t="s">
        <v>943</v>
      </c>
      <c r="F3763" s="1399">
        <v>43248.56</v>
      </c>
      <c r="J3763" s="1399">
        <v>43248.56</v>
      </c>
    </row>
    <row r="3764" spans="2:12">
      <c r="B3764" s="1297"/>
      <c r="C3764" s="1297"/>
      <c r="D3764" s="1297"/>
      <c r="E3764" s="1297" t="s">
        <v>944</v>
      </c>
      <c r="F3764" s="1399">
        <v>3013440.1700000009</v>
      </c>
      <c r="J3764" s="1399">
        <v>3013440.1700000009</v>
      </c>
    </row>
    <row r="3765" spans="2:12">
      <c r="B3765" s="1297"/>
      <c r="C3765" s="1297"/>
      <c r="D3765" s="1297"/>
      <c r="E3765" s="1297" t="s">
        <v>945</v>
      </c>
      <c r="F3765" s="1399">
        <v>1148635.42</v>
      </c>
      <c r="J3765" s="1399">
        <v>1148635.42</v>
      </c>
    </row>
    <row r="3766" spans="2:12">
      <c r="B3766" s="1297"/>
      <c r="C3766" s="1297"/>
      <c r="D3766" s="1297"/>
      <c r="E3766" s="1297" t="s">
        <v>947</v>
      </c>
      <c r="F3766" s="1399">
        <v>131364.54999999999</v>
      </c>
      <c r="J3766" s="1399">
        <v>131364.54999999999</v>
      </c>
    </row>
    <row r="3767" spans="2:12">
      <c r="B3767" s="1297"/>
      <c r="C3767" s="1297"/>
      <c r="D3767" s="1297"/>
      <c r="E3767" s="1404" t="s">
        <v>948</v>
      </c>
      <c r="F3767" s="1405"/>
      <c r="G3767" s="1405"/>
      <c r="H3767" s="1405">
        <v>2496725.06</v>
      </c>
      <c r="I3767" s="1405"/>
      <c r="J3767" s="1405">
        <v>2496725.06</v>
      </c>
    </row>
    <row r="3768" spans="2:12">
      <c r="B3768" s="1297"/>
      <c r="C3768" s="1297"/>
      <c r="D3768" s="1297"/>
      <c r="E3768" s="1297" t="s">
        <v>1118</v>
      </c>
      <c r="H3768" s="1399">
        <v>2585.33</v>
      </c>
      <c r="J3768" s="1399">
        <v>2585.33</v>
      </c>
    </row>
    <row r="3769" spans="2:12">
      <c r="B3769" s="1297"/>
      <c r="C3769" s="1297"/>
      <c r="D3769" s="1400" t="s">
        <v>1243</v>
      </c>
      <c r="E3769" s="1400"/>
      <c r="F3769" s="1401">
        <f>SUM(F3730:F3768)</f>
        <v>6086173.830000001</v>
      </c>
      <c r="G3769" s="1401">
        <f>SUM(G3730:G3768)</f>
        <v>13466948.739999998</v>
      </c>
      <c r="H3769" s="1401">
        <f>SUM(H3730:H3768)-H3767</f>
        <v>1431281.4400000004</v>
      </c>
      <c r="I3769" s="1401">
        <f>SUM(I3730:I3768)-I3754</f>
        <v>21260720.190000001</v>
      </c>
      <c r="J3769" s="1401">
        <f>SUM(J3730:J3768)</f>
        <v>45415523.609999999</v>
      </c>
      <c r="K3769" s="1401">
        <f>SUM(F3769:I3769)</f>
        <v>42245124.200000003</v>
      </c>
      <c r="L3769" s="1408">
        <f>K3769/C3730</f>
        <v>10490.47037496896</v>
      </c>
    </row>
    <row r="3770" spans="2:12">
      <c r="B3770" s="1297" t="s">
        <v>1244</v>
      </c>
      <c r="C3770" s="1297">
        <v>1672</v>
      </c>
      <c r="D3770" s="1297" t="s">
        <v>1245</v>
      </c>
      <c r="E3770" s="1297" t="s">
        <v>906</v>
      </c>
      <c r="G3770" s="1399">
        <v>7331137.3600000003</v>
      </c>
      <c r="J3770" s="1399">
        <v>7331137.3600000003</v>
      </c>
    </row>
    <row r="3771" spans="2:12">
      <c r="B3771" s="1297"/>
      <c r="C3771" s="1297"/>
      <c r="D3771" s="1297"/>
      <c r="E3771" s="1297" t="s">
        <v>952</v>
      </c>
      <c r="G3771" s="1399">
        <v>68037.45</v>
      </c>
      <c r="J3771" s="1399">
        <v>68037.45</v>
      </c>
    </row>
    <row r="3772" spans="2:12">
      <c r="B3772" s="1297"/>
      <c r="C3772" s="1297"/>
      <c r="D3772" s="1297"/>
      <c r="E3772" s="1297" t="s">
        <v>907</v>
      </c>
      <c r="G3772" s="1399">
        <v>1236856.97</v>
      </c>
      <c r="J3772" s="1399">
        <v>1236856.97</v>
      </c>
    </row>
    <row r="3773" spans="2:12">
      <c r="B3773" s="1297"/>
      <c r="C3773" s="1297"/>
      <c r="D3773" s="1297"/>
      <c r="E3773" s="1297" t="s">
        <v>909</v>
      </c>
      <c r="H3773" s="1399">
        <v>6166</v>
      </c>
      <c r="J3773" s="1399">
        <v>6166</v>
      </c>
    </row>
    <row r="3774" spans="2:12">
      <c r="B3774" s="1297"/>
      <c r="C3774" s="1297"/>
      <c r="D3774" s="1297"/>
      <c r="E3774" s="1297" t="s">
        <v>910</v>
      </c>
      <c r="H3774" s="1399">
        <v>10835.5</v>
      </c>
      <c r="J3774" s="1399">
        <v>10835.5</v>
      </c>
    </row>
    <row r="3775" spans="2:12">
      <c r="B3775" s="1297"/>
      <c r="C3775" s="1297"/>
      <c r="D3775" s="1297"/>
      <c r="E3775" s="1297" t="s">
        <v>1034</v>
      </c>
      <c r="H3775" s="1399">
        <v>15102.62</v>
      </c>
      <c r="J3775" s="1399">
        <v>15102.62</v>
      </c>
    </row>
    <row r="3776" spans="2:12">
      <c r="B3776" s="1297"/>
      <c r="C3776" s="1297"/>
      <c r="D3776" s="1297"/>
      <c r="E3776" s="1297" t="s">
        <v>1035</v>
      </c>
      <c r="H3776" s="1399">
        <v>55937.71</v>
      </c>
      <c r="J3776" s="1399">
        <v>55937.71</v>
      </c>
    </row>
    <row r="3777" spans="5:10" s="1297" customFormat="1">
      <c r="E3777" s="1297" t="s">
        <v>1036</v>
      </c>
      <c r="F3777" s="1399"/>
      <c r="G3777" s="1399"/>
      <c r="H3777" s="1399">
        <v>67367.59</v>
      </c>
      <c r="I3777" s="1399"/>
      <c r="J3777" s="1399">
        <v>67367.59</v>
      </c>
    </row>
    <row r="3778" spans="5:10" s="1297" customFormat="1">
      <c r="E3778" s="1297" t="s">
        <v>1039</v>
      </c>
      <c r="F3778" s="1399"/>
      <c r="G3778" s="1399"/>
      <c r="H3778" s="1399">
        <v>7174.55</v>
      </c>
      <c r="I3778" s="1399"/>
      <c r="J3778" s="1399">
        <v>7174.55</v>
      </c>
    </row>
    <row r="3779" spans="5:10" s="1297" customFormat="1">
      <c r="E3779" s="1297" t="s">
        <v>1040</v>
      </c>
      <c r="F3779" s="1399"/>
      <c r="G3779" s="1399"/>
      <c r="H3779" s="1399">
        <v>53374.13</v>
      </c>
      <c r="I3779" s="1399"/>
      <c r="J3779" s="1399">
        <v>53374.13</v>
      </c>
    </row>
    <row r="3780" spans="5:10" s="1297" customFormat="1">
      <c r="E3780" s="1297" t="s">
        <v>1041</v>
      </c>
      <c r="F3780" s="1399"/>
      <c r="G3780" s="1399"/>
      <c r="H3780" s="1399">
        <v>4878.21</v>
      </c>
      <c r="I3780" s="1399"/>
      <c r="J3780" s="1399">
        <v>4878.21</v>
      </c>
    </row>
    <row r="3781" spans="5:10" s="1297" customFormat="1">
      <c r="E3781" s="1297" t="s">
        <v>1042</v>
      </c>
      <c r="F3781" s="1399"/>
      <c r="G3781" s="1399"/>
      <c r="H3781" s="1399">
        <v>30248.65</v>
      </c>
      <c r="I3781" s="1399"/>
      <c r="J3781" s="1399">
        <v>30248.65</v>
      </c>
    </row>
    <row r="3782" spans="5:10" s="1297" customFormat="1">
      <c r="E3782" s="1297" t="s">
        <v>1045</v>
      </c>
      <c r="F3782" s="1399"/>
      <c r="G3782" s="1399"/>
      <c r="H3782" s="1399">
        <v>471552.01999999996</v>
      </c>
      <c r="I3782" s="1399"/>
      <c r="J3782" s="1399">
        <v>471552.01999999996</v>
      </c>
    </row>
    <row r="3783" spans="5:10" s="1297" customFormat="1">
      <c r="E3783" s="1297" t="s">
        <v>1046</v>
      </c>
      <c r="F3783" s="1399"/>
      <c r="G3783" s="1399"/>
      <c r="H3783" s="1399"/>
      <c r="I3783" s="1399">
        <v>8045525</v>
      </c>
      <c r="J3783" s="1399">
        <v>8045525</v>
      </c>
    </row>
    <row r="3784" spans="5:10" s="1297" customFormat="1">
      <c r="E3784" s="1297" t="s">
        <v>1047</v>
      </c>
      <c r="F3784" s="1399"/>
      <c r="G3784" s="1399"/>
      <c r="H3784" s="1399"/>
      <c r="I3784" s="1399">
        <v>321816</v>
      </c>
      <c r="J3784" s="1399">
        <v>321816</v>
      </c>
    </row>
    <row r="3785" spans="5:10" s="1297" customFormat="1">
      <c r="E3785" s="1297" t="s">
        <v>1048</v>
      </c>
      <c r="F3785" s="1399"/>
      <c r="G3785" s="1399"/>
      <c r="H3785" s="1399"/>
      <c r="I3785" s="1399">
        <v>-2972431</v>
      </c>
      <c r="J3785" s="1399">
        <v>-2972431</v>
      </c>
    </row>
    <row r="3786" spans="5:10" s="1297" customFormat="1">
      <c r="E3786" s="1404" t="s">
        <v>955</v>
      </c>
      <c r="F3786" s="1405"/>
      <c r="G3786" s="1405"/>
      <c r="H3786" s="1405"/>
      <c r="I3786" s="1405">
        <v>364363.02</v>
      </c>
      <c r="J3786" s="1405">
        <v>364363.02</v>
      </c>
    </row>
    <row r="3787" spans="5:10" s="1297" customFormat="1">
      <c r="E3787" s="1297" t="s">
        <v>934</v>
      </c>
      <c r="F3787" s="1399"/>
      <c r="G3787" s="1399"/>
      <c r="H3787" s="1399"/>
      <c r="I3787" s="1399">
        <v>29996</v>
      </c>
      <c r="J3787" s="1399">
        <v>29996</v>
      </c>
    </row>
    <row r="3788" spans="5:10" s="1297" customFormat="1">
      <c r="E3788" s="1297" t="s">
        <v>935</v>
      </c>
      <c r="F3788" s="1399"/>
      <c r="G3788" s="1399"/>
      <c r="H3788" s="1399"/>
      <c r="I3788" s="1399">
        <v>115607.83</v>
      </c>
      <c r="J3788" s="1399">
        <v>115607.83</v>
      </c>
    </row>
    <row r="3789" spans="5:10" s="1297" customFormat="1">
      <c r="E3789" s="1297" t="s">
        <v>936</v>
      </c>
      <c r="F3789" s="1399"/>
      <c r="G3789" s="1399"/>
      <c r="H3789" s="1399"/>
      <c r="I3789" s="1399">
        <v>31863.7</v>
      </c>
      <c r="J3789" s="1399">
        <v>31863.7</v>
      </c>
    </row>
    <row r="3790" spans="5:10" s="1297" customFormat="1">
      <c r="E3790" s="1297" t="s">
        <v>938</v>
      </c>
      <c r="F3790" s="1399"/>
      <c r="G3790" s="1399"/>
      <c r="H3790" s="1399"/>
      <c r="I3790" s="1399">
        <v>10855</v>
      </c>
      <c r="J3790" s="1399">
        <v>10855</v>
      </c>
    </row>
    <row r="3791" spans="5:10" s="1297" customFormat="1">
      <c r="E3791" s="1297" t="s">
        <v>939</v>
      </c>
      <c r="F3791" s="1399"/>
      <c r="G3791" s="1399"/>
      <c r="H3791" s="1399"/>
      <c r="I3791" s="1399">
        <v>42250</v>
      </c>
      <c r="J3791" s="1399">
        <v>42250</v>
      </c>
    </row>
    <row r="3792" spans="5:10" s="1297" customFormat="1">
      <c r="E3792" s="1297" t="s">
        <v>940</v>
      </c>
      <c r="F3792" s="1399">
        <v>494993.62</v>
      </c>
      <c r="G3792" s="1399"/>
      <c r="H3792" s="1399"/>
      <c r="I3792" s="1399"/>
      <c r="J3792" s="1399">
        <v>494993.62</v>
      </c>
    </row>
    <row r="3793" spans="2:12">
      <c r="B3793" s="1297"/>
      <c r="C3793" s="1297"/>
      <c r="D3793" s="1297"/>
      <c r="E3793" s="1297" t="s">
        <v>941</v>
      </c>
      <c r="F3793" s="1399">
        <v>213828.5</v>
      </c>
      <c r="J3793" s="1399">
        <v>213828.5</v>
      </c>
    </row>
    <row r="3794" spans="2:12">
      <c r="B3794" s="1297"/>
      <c r="C3794" s="1297"/>
      <c r="D3794" s="1297"/>
      <c r="E3794" s="1297" t="s">
        <v>944</v>
      </c>
      <c r="F3794" s="1399">
        <v>1362981.32</v>
      </c>
      <c r="J3794" s="1399">
        <v>1362981.32</v>
      </c>
    </row>
    <row r="3795" spans="2:12">
      <c r="B3795" s="1297"/>
      <c r="C3795" s="1297"/>
      <c r="D3795" s="1297"/>
      <c r="E3795" s="1297" t="s">
        <v>945</v>
      </c>
      <c r="F3795" s="1399">
        <v>812919.76</v>
      </c>
      <c r="J3795" s="1399">
        <v>812919.76</v>
      </c>
    </row>
    <row r="3796" spans="2:12">
      <c r="B3796" s="1297"/>
      <c r="C3796" s="1297"/>
      <c r="D3796" s="1297"/>
      <c r="E3796" s="1297" t="s">
        <v>947</v>
      </c>
      <c r="F3796" s="1399">
        <v>46995.11</v>
      </c>
      <c r="J3796" s="1399">
        <v>46995.11</v>
      </c>
    </row>
    <row r="3797" spans="2:12">
      <c r="B3797" s="1297"/>
      <c r="C3797" s="1297"/>
      <c r="D3797" s="1297"/>
      <c r="E3797" s="1404" t="s">
        <v>948</v>
      </c>
      <c r="F3797" s="1405"/>
      <c r="G3797" s="1405"/>
      <c r="H3797" s="1405">
        <v>147531.26999999999</v>
      </c>
      <c r="I3797" s="1405"/>
      <c r="J3797" s="1405">
        <v>147531.26999999999</v>
      </c>
    </row>
    <row r="3798" spans="2:12">
      <c r="B3798" s="1297"/>
      <c r="C3798" s="1297"/>
      <c r="D3798" s="1400" t="s">
        <v>1246</v>
      </c>
      <c r="E3798" s="1400"/>
      <c r="F3798" s="1401">
        <f>SUM(F3770:F3797)</f>
        <v>2931718.31</v>
      </c>
      <c r="G3798" s="1401">
        <f>SUM(G3770:G3797)</f>
        <v>8636031.7800000012</v>
      </c>
      <c r="H3798" s="1401">
        <f>SUM(H3770:H3797)-H3797</f>
        <v>722636.98</v>
      </c>
      <c r="I3798" s="1401">
        <f>SUM(I3770:I3797)-I3786</f>
        <v>5625482.5299999993</v>
      </c>
      <c r="J3798" s="1401">
        <f>SUM(J3770:J3797)</f>
        <v>18427763.890000004</v>
      </c>
      <c r="K3798" s="1401">
        <f>SUM(F3798:I3798)</f>
        <v>17915869.600000001</v>
      </c>
      <c r="L3798" s="1408">
        <f>K3798/C3770</f>
        <v>10715.233014354068</v>
      </c>
    </row>
    <row r="3799" spans="2:12">
      <c r="B3799" s="1297" t="s">
        <v>1247</v>
      </c>
      <c r="C3799" s="1297">
        <v>3021</v>
      </c>
      <c r="D3799" s="1297" t="s">
        <v>1248</v>
      </c>
      <c r="E3799" s="1297" t="s">
        <v>906</v>
      </c>
      <c r="G3799" s="1399">
        <v>8966030.4399999995</v>
      </c>
      <c r="J3799" s="1399">
        <v>8966030.4399999995</v>
      </c>
    </row>
    <row r="3800" spans="2:12">
      <c r="B3800" s="1297"/>
      <c r="C3800" s="1297"/>
      <c r="D3800" s="1297"/>
      <c r="E3800" s="1297" t="s">
        <v>952</v>
      </c>
      <c r="G3800" s="1399">
        <v>93943.19</v>
      </c>
      <c r="J3800" s="1399">
        <v>93943.19</v>
      </c>
    </row>
    <row r="3801" spans="2:12">
      <c r="B3801" s="1297"/>
      <c r="C3801" s="1297"/>
      <c r="D3801" s="1297"/>
      <c r="E3801" s="1297" t="s">
        <v>907</v>
      </c>
      <c r="G3801" s="1399">
        <v>1418421.58</v>
      </c>
      <c r="J3801" s="1399">
        <v>1418421.58</v>
      </c>
    </row>
    <row r="3802" spans="2:12">
      <c r="B3802" s="1297"/>
      <c r="C3802" s="1297"/>
      <c r="D3802" s="1297"/>
      <c r="E3802" s="1297" t="s">
        <v>908</v>
      </c>
      <c r="G3802" s="1399">
        <v>60111.64</v>
      </c>
      <c r="J3802" s="1399">
        <v>60111.64</v>
      </c>
    </row>
    <row r="3803" spans="2:12">
      <c r="B3803" s="1297"/>
      <c r="C3803" s="1297"/>
      <c r="D3803" s="1297"/>
      <c r="E3803" s="1297" t="s">
        <v>909</v>
      </c>
      <c r="H3803" s="1399">
        <v>18680.27</v>
      </c>
      <c r="J3803" s="1399">
        <v>18680.27</v>
      </c>
    </row>
    <row r="3804" spans="2:12">
      <c r="B3804" s="1297"/>
      <c r="C3804" s="1297"/>
      <c r="D3804" s="1297"/>
      <c r="E3804" s="1297" t="s">
        <v>910</v>
      </c>
      <c r="H3804" s="1399">
        <v>55003.32</v>
      </c>
      <c r="J3804" s="1399">
        <v>55003.32</v>
      </c>
    </row>
    <row r="3805" spans="2:12">
      <c r="B3805" s="1297"/>
      <c r="C3805" s="1297"/>
      <c r="D3805" s="1297"/>
      <c r="E3805" s="1297" t="s">
        <v>1034</v>
      </c>
      <c r="H3805" s="1399">
        <v>11947.09</v>
      </c>
      <c r="J3805" s="1399">
        <v>11947.09</v>
      </c>
    </row>
    <row r="3806" spans="2:12">
      <c r="B3806" s="1297"/>
      <c r="C3806" s="1297"/>
      <c r="D3806" s="1297"/>
      <c r="E3806" s="1297" t="s">
        <v>1035</v>
      </c>
      <c r="H3806" s="1399">
        <v>199095.62</v>
      </c>
      <c r="J3806" s="1399">
        <v>199095.62</v>
      </c>
    </row>
    <row r="3807" spans="2:12">
      <c r="B3807" s="1297"/>
      <c r="C3807" s="1297"/>
      <c r="D3807" s="1297"/>
      <c r="E3807" s="1297" t="s">
        <v>1036</v>
      </c>
      <c r="H3807" s="1399">
        <v>117111.63</v>
      </c>
      <c r="J3807" s="1399">
        <v>117111.63</v>
      </c>
    </row>
    <row r="3808" spans="2:12">
      <c r="B3808" s="1297"/>
      <c r="C3808" s="1297"/>
      <c r="D3808" s="1297"/>
      <c r="E3808" s="1297" t="s">
        <v>1037</v>
      </c>
      <c r="H3808" s="1399">
        <v>5115</v>
      </c>
      <c r="J3808" s="1399">
        <v>5115</v>
      </c>
    </row>
    <row r="3809" spans="5:10" s="1297" customFormat="1">
      <c r="E3809" s="1297" t="s">
        <v>1039</v>
      </c>
      <c r="F3809" s="1399"/>
      <c r="G3809" s="1399"/>
      <c r="H3809" s="1399">
        <v>8522.51</v>
      </c>
      <c r="I3809" s="1399"/>
      <c r="J3809" s="1399">
        <v>8522.51</v>
      </c>
    </row>
    <row r="3810" spans="5:10" s="1297" customFormat="1">
      <c r="E3810" s="1297" t="s">
        <v>1041</v>
      </c>
      <c r="F3810" s="1399"/>
      <c r="G3810" s="1399"/>
      <c r="H3810" s="1399">
        <v>24556.12</v>
      </c>
      <c r="I3810" s="1399"/>
      <c r="J3810" s="1399">
        <v>24556.12</v>
      </c>
    </row>
    <row r="3811" spans="5:10" s="1297" customFormat="1">
      <c r="E3811" s="1297" t="s">
        <v>1042</v>
      </c>
      <c r="F3811" s="1399"/>
      <c r="G3811" s="1399"/>
      <c r="H3811" s="1399">
        <v>34183.65</v>
      </c>
      <c r="I3811" s="1399"/>
      <c r="J3811" s="1399">
        <v>34183.65</v>
      </c>
    </row>
    <row r="3812" spans="5:10" s="1297" customFormat="1">
      <c r="E3812" s="1297" t="s">
        <v>996</v>
      </c>
      <c r="F3812" s="1399"/>
      <c r="G3812" s="1399"/>
      <c r="H3812" s="1399">
        <v>-1760.03</v>
      </c>
      <c r="I3812" s="1399"/>
      <c r="J3812" s="1399">
        <v>-1760.03</v>
      </c>
    </row>
    <row r="3813" spans="5:10" s="1297" customFormat="1">
      <c r="E3813" s="1297" t="s">
        <v>1044</v>
      </c>
      <c r="F3813" s="1399">
        <v>39506.9</v>
      </c>
      <c r="G3813" s="1399"/>
      <c r="H3813" s="1399"/>
      <c r="I3813" s="1399"/>
      <c r="J3813" s="1399">
        <v>39506.9</v>
      </c>
    </row>
    <row r="3814" spans="5:10" s="1297" customFormat="1">
      <c r="E3814" s="1297" t="s">
        <v>1045</v>
      </c>
      <c r="F3814" s="1399"/>
      <c r="G3814" s="1399"/>
      <c r="H3814" s="1399">
        <v>2017878.58</v>
      </c>
      <c r="I3814" s="1399"/>
      <c r="J3814" s="1399">
        <v>2017878.58</v>
      </c>
    </row>
    <row r="3815" spans="5:10" s="1297" customFormat="1">
      <c r="E3815" s="1297" t="s">
        <v>1046</v>
      </c>
      <c r="F3815" s="1399"/>
      <c r="G3815" s="1399"/>
      <c r="H3815" s="1399"/>
      <c r="I3815" s="1399">
        <v>16096624</v>
      </c>
      <c r="J3815" s="1399">
        <v>16096624</v>
      </c>
    </row>
    <row r="3816" spans="5:10" s="1297" customFormat="1">
      <c r="E3816" s="1297" t="s">
        <v>1128</v>
      </c>
      <c r="F3816" s="1399"/>
      <c r="G3816" s="1399"/>
      <c r="H3816" s="1399"/>
      <c r="I3816" s="1399">
        <v>1329253</v>
      </c>
      <c r="J3816" s="1399">
        <v>1329253</v>
      </c>
    </row>
    <row r="3817" spans="5:10" s="1297" customFormat="1">
      <c r="E3817" s="1297" t="s">
        <v>1047</v>
      </c>
      <c r="F3817" s="1399"/>
      <c r="G3817" s="1399"/>
      <c r="H3817" s="1399"/>
      <c r="I3817" s="1399">
        <v>913559</v>
      </c>
      <c r="J3817" s="1399">
        <v>913559</v>
      </c>
    </row>
    <row r="3818" spans="5:10" s="1297" customFormat="1">
      <c r="E3818" s="1297" t="s">
        <v>1048</v>
      </c>
      <c r="F3818" s="1399"/>
      <c r="G3818" s="1399"/>
      <c r="H3818" s="1399"/>
      <c r="I3818" s="1399">
        <v>-4804033</v>
      </c>
      <c r="J3818" s="1399">
        <v>-4804033</v>
      </c>
    </row>
    <row r="3819" spans="5:10" s="1297" customFormat="1">
      <c r="E3819" s="1297" t="s">
        <v>932</v>
      </c>
      <c r="F3819" s="1399"/>
      <c r="G3819" s="1399"/>
      <c r="H3819" s="1399"/>
      <c r="I3819" s="1399">
        <v>1119103</v>
      </c>
      <c r="J3819" s="1399">
        <v>1119103</v>
      </c>
    </row>
    <row r="3820" spans="5:10" s="1297" customFormat="1">
      <c r="E3820" s="1404" t="s">
        <v>955</v>
      </c>
      <c r="F3820" s="1405"/>
      <c r="G3820" s="1405"/>
      <c r="H3820" s="1405"/>
      <c r="I3820" s="1405">
        <v>878545.11</v>
      </c>
      <c r="J3820" s="1405">
        <v>878545.11</v>
      </c>
    </row>
    <row r="3821" spans="5:10" s="1297" customFormat="1">
      <c r="E3821" s="1297" t="s">
        <v>934</v>
      </c>
      <c r="F3821" s="1399"/>
      <c r="G3821" s="1399"/>
      <c r="H3821" s="1399"/>
      <c r="I3821" s="1399">
        <v>61190.8</v>
      </c>
      <c r="J3821" s="1399">
        <v>61190.8</v>
      </c>
    </row>
    <row r="3822" spans="5:10" s="1297" customFormat="1">
      <c r="E3822" s="1297" t="s">
        <v>1130</v>
      </c>
      <c r="F3822" s="1399"/>
      <c r="G3822" s="1399"/>
      <c r="H3822" s="1399"/>
      <c r="I3822" s="1399">
        <v>614727.13</v>
      </c>
      <c r="J3822" s="1399">
        <v>614727.13</v>
      </c>
    </row>
    <row r="3823" spans="5:10" s="1297" customFormat="1">
      <c r="E3823" s="1297" t="s">
        <v>935</v>
      </c>
      <c r="F3823" s="1399"/>
      <c r="G3823" s="1399"/>
      <c r="H3823" s="1399"/>
      <c r="I3823" s="1399">
        <v>623161.62</v>
      </c>
      <c r="J3823" s="1399">
        <v>623161.62</v>
      </c>
    </row>
    <row r="3824" spans="5:10" s="1297" customFormat="1">
      <c r="E3824" s="1297" t="s">
        <v>936</v>
      </c>
      <c r="F3824" s="1399"/>
      <c r="G3824" s="1399"/>
      <c r="H3824" s="1399"/>
      <c r="I3824" s="1399">
        <v>77383.27</v>
      </c>
      <c r="J3824" s="1399">
        <v>77383.27</v>
      </c>
    </row>
    <row r="3825" spans="2:12">
      <c r="B3825" s="1297"/>
      <c r="C3825" s="1297"/>
      <c r="D3825" s="1297"/>
      <c r="E3825" s="1297" t="s">
        <v>938</v>
      </c>
      <c r="I3825" s="1399">
        <v>23769</v>
      </c>
      <c r="J3825" s="1399">
        <v>23769</v>
      </c>
    </row>
    <row r="3826" spans="2:12">
      <c r="B3826" s="1297"/>
      <c r="C3826" s="1297"/>
      <c r="D3826" s="1297"/>
      <c r="E3826" s="1297" t="s">
        <v>939</v>
      </c>
      <c r="I3826" s="1399">
        <v>42250</v>
      </c>
      <c r="J3826" s="1399">
        <v>42250</v>
      </c>
    </row>
    <row r="3827" spans="2:12">
      <c r="B3827" s="1297"/>
      <c r="C3827" s="1297"/>
      <c r="D3827" s="1297"/>
      <c r="E3827" s="1297" t="s">
        <v>940</v>
      </c>
      <c r="F3827" s="1399">
        <v>869712.96</v>
      </c>
      <c r="J3827" s="1399">
        <v>869712.96</v>
      </c>
    </row>
    <row r="3828" spans="2:12">
      <c r="B3828" s="1297"/>
      <c r="C3828" s="1297"/>
      <c r="D3828" s="1297"/>
      <c r="E3828" s="1297" t="s">
        <v>941</v>
      </c>
      <c r="F3828" s="1399">
        <v>369092.9</v>
      </c>
      <c r="J3828" s="1399">
        <v>369092.9</v>
      </c>
    </row>
    <row r="3829" spans="2:12">
      <c r="B3829" s="1297"/>
      <c r="C3829" s="1297"/>
      <c r="D3829" s="1297"/>
      <c r="E3829" s="1297" t="s">
        <v>943</v>
      </c>
      <c r="F3829" s="1399">
        <v>15973.64</v>
      </c>
      <c r="J3829" s="1399">
        <v>15973.64</v>
      </c>
    </row>
    <row r="3830" spans="2:12">
      <c r="B3830" s="1297"/>
      <c r="C3830" s="1297"/>
      <c r="D3830" s="1297"/>
      <c r="E3830" s="1297" t="s">
        <v>944</v>
      </c>
      <c r="F3830" s="1399">
        <v>4122550.65</v>
      </c>
      <c r="J3830" s="1399">
        <v>4122550.65</v>
      </c>
    </row>
    <row r="3831" spans="2:12">
      <c r="B3831" s="1297"/>
      <c r="C3831" s="1297"/>
      <c r="D3831" s="1297"/>
      <c r="E3831" s="1297" t="s">
        <v>945</v>
      </c>
      <c r="F3831" s="1399">
        <v>1502396.8199999998</v>
      </c>
      <c r="J3831" s="1399">
        <v>1502396.8199999998</v>
      </c>
    </row>
    <row r="3832" spans="2:12">
      <c r="B3832" s="1297"/>
      <c r="C3832" s="1297"/>
      <c r="D3832" s="1297"/>
      <c r="E3832" s="1297" t="s">
        <v>947</v>
      </c>
      <c r="F3832" s="1399">
        <v>77617.89</v>
      </c>
      <c r="J3832" s="1399">
        <v>77617.89</v>
      </c>
    </row>
    <row r="3833" spans="2:12">
      <c r="B3833" s="1297"/>
      <c r="C3833" s="1297"/>
      <c r="D3833" s="1297"/>
      <c r="E3833" s="1297" t="s">
        <v>1051</v>
      </c>
      <c r="H3833" s="1399">
        <v>4326126.28</v>
      </c>
      <c r="J3833" s="1399">
        <v>4326126.28</v>
      </c>
    </row>
    <row r="3834" spans="2:12">
      <c r="B3834" s="1297"/>
      <c r="C3834" s="1297"/>
      <c r="D3834" s="1400" t="s">
        <v>1249</v>
      </c>
      <c r="E3834" s="1400"/>
      <c r="F3834" s="1401">
        <f>SUM(F3799:F3833)</f>
        <v>6996851.7599999988</v>
      </c>
      <c r="G3834" s="1401">
        <f>SUM(G3799:G3833)</f>
        <v>10538506.85</v>
      </c>
      <c r="H3834" s="1401">
        <f>SUM(H3799:H3833)</f>
        <v>6816460.040000001</v>
      </c>
      <c r="I3834" s="1401">
        <f>SUM(I3799:I3833)-I3820</f>
        <v>16096987.82</v>
      </c>
      <c r="J3834" s="1401">
        <f>SUM(J3799:J3833)</f>
        <v>41327351.579999998</v>
      </c>
      <c r="K3834" s="1401">
        <f>SUM(F3834:I3834)</f>
        <v>40448806.469999999</v>
      </c>
      <c r="L3834" s="1408">
        <f>K3834/C3799</f>
        <v>13389.211012909633</v>
      </c>
    </row>
    <row r="3835" spans="2:12">
      <c r="B3835" s="1297" t="s">
        <v>1250</v>
      </c>
      <c r="C3835" s="1297">
        <v>1011</v>
      </c>
      <c r="D3835" s="1297" t="s">
        <v>1251</v>
      </c>
      <c r="E3835" s="1297" t="s">
        <v>906</v>
      </c>
      <c r="G3835" s="1399">
        <v>2433490.87</v>
      </c>
      <c r="J3835" s="1399">
        <v>2433490.87</v>
      </c>
    </row>
    <row r="3836" spans="2:12">
      <c r="B3836" s="1297"/>
      <c r="C3836" s="1297"/>
      <c r="D3836" s="1297"/>
      <c r="E3836" s="1297" t="s">
        <v>907</v>
      </c>
      <c r="G3836" s="1399">
        <v>631863.02</v>
      </c>
      <c r="J3836" s="1399">
        <v>631863.02</v>
      </c>
    </row>
    <row r="3837" spans="2:12">
      <c r="B3837" s="1297"/>
      <c r="C3837" s="1297"/>
      <c r="D3837" s="1297"/>
      <c r="E3837" s="1297" t="s">
        <v>995</v>
      </c>
      <c r="G3837" s="1399">
        <v>17214.64</v>
      </c>
      <c r="J3837" s="1399">
        <v>17214.64</v>
      </c>
    </row>
    <row r="3838" spans="2:12">
      <c r="B3838" s="1297"/>
      <c r="C3838" s="1297"/>
      <c r="D3838" s="1297"/>
      <c r="E3838" s="1297" t="s">
        <v>908</v>
      </c>
      <c r="G3838" s="1399">
        <v>8499</v>
      </c>
      <c r="J3838" s="1399">
        <v>8499</v>
      </c>
    </row>
    <row r="3839" spans="2:12">
      <c r="B3839" s="1297"/>
      <c r="C3839" s="1297"/>
      <c r="D3839" s="1297"/>
      <c r="E3839" s="1297" t="s">
        <v>1035</v>
      </c>
      <c r="H3839" s="1399">
        <v>2014.66</v>
      </c>
      <c r="J3839" s="1399">
        <v>2014.66</v>
      </c>
    </row>
    <row r="3840" spans="2:12">
      <c r="B3840" s="1297"/>
      <c r="C3840" s="1297"/>
      <c r="D3840" s="1297"/>
      <c r="E3840" s="1297" t="s">
        <v>1039</v>
      </c>
      <c r="H3840" s="1399">
        <v>8597.43</v>
      </c>
      <c r="J3840" s="1399">
        <v>8597.43</v>
      </c>
    </row>
    <row r="3841" spans="5:10" s="1297" customFormat="1">
      <c r="E3841" s="1297" t="s">
        <v>1040</v>
      </c>
      <c r="F3841" s="1399"/>
      <c r="G3841" s="1399"/>
      <c r="H3841" s="1399">
        <v>74256.55</v>
      </c>
      <c r="I3841" s="1399"/>
      <c r="J3841" s="1399">
        <v>74256.55</v>
      </c>
    </row>
    <row r="3842" spans="5:10" s="1297" customFormat="1">
      <c r="E3842" s="1297" t="s">
        <v>1041</v>
      </c>
      <c r="F3842" s="1399"/>
      <c r="G3842" s="1399"/>
      <c r="H3842" s="1399">
        <v>15221.9</v>
      </c>
      <c r="I3842" s="1399"/>
      <c r="J3842" s="1399">
        <v>15221.9</v>
      </c>
    </row>
    <row r="3843" spans="5:10" s="1297" customFormat="1">
      <c r="E3843" s="1297" t="s">
        <v>1042</v>
      </c>
      <c r="F3843" s="1399"/>
      <c r="G3843" s="1399"/>
      <c r="H3843" s="1399">
        <v>21464.33</v>
      </c>
      <c r="I3843" s="1399"/>
      <c r="J3843" s="1399">
        <v>21464.33</v>
      </c>
    </row>
    <row r="3844" spans="5:10" s="1297" customFormat="1">
      <c r="E3844" s="1297" t="s">
        <v>954</v>
      </c>
      <c r="F3844" s="1399"/>
      <c r="G3844" s="1399"/>
      <c r="H3844" s="1399">
        <v>888.79</v>
      </c>
      <c r="I3844" s="1399"/>
      <c r="J3844" s="1399">
        <v>888.79</v>
      </c>
    </row>
    <row r="3845" spans="5:10" s="1297" customFormat="1">
      <c r="E3845" s="1297" t="s">
        <v>986</v>
      </c>
      <c r="F3845" s="1399"/>
      <c r="G3845" s="1399"/>
      <c r="H3845" s="1399">
        <v>280208.69999999995</v>
      </c>
      <c r="I3845" s="1399"/>
      <c r="J3845" s="1399">
        <v>280208.69999999995</v>
      </c>
    </row>
    <row r="3846" spans="5:10" s="1297" customFormat="1">
      <c r="E3846" s="1297" t="s">
        <v>1045</v>
      </c>
      <c r="F3846" s="1399"/>
      <c r="G3846" s="1399"/>
      <c r="H3846" s="1399">
        <v>154747.42000000001</v>
      </c>
      <c r="I3846" s="1399"/>
      <c r="J3846" s="1399">
        <v>154747.42000000001</v>
      </c>
    </row>
    <row r="3847" spans="5:10" s="1297" customFormat="1">
      <c r="E3847" s="1297" t="s">
        <v>1046</v>
      </c>
      <c r="F3847" s="1399"/>
      <c r="G3847" s="1399"/>
      <c r="H3847" s="1399"/>
      <c r="I3847" s="1399">
        <v>4840126</v>
      </c>
      <c r="J3847" s="1399">
        <v>4840126</v>
      </c>
    </row>
    <row r="3848" spans="5:10" s="1297" customFormat="1">
      <c r="E3848" s="1297" t="s">
        <v>1047</v>
      </c>
      <c r="F3848" s="1399"/>
      <c r="G3848" s="1399"/>
      <c r="H3848" s="1399"/>
      <c r="I3848" s="1399">
        <v>363346</v>
      </c>
      <c r="J3848" s="1399">
        <v>363346</v>
      </c>
    </row>
    <row r="3849" spans="5:10" s="1297" customFormat="1">
      <c r="E3849" s="1297" t="s">
        <v>1048</v>
      </c>
      <c r="F3849" s="1399"/>
      <c r="G3849" s="1399"/>
      <c r="H3849" s="1399"/>
      <c r="I3849" s="1399">
        <v>-676164</v>
      </c>
      <c r="J3849" s="1399">
        <v>-676164</v>
      </c>
    </row>
    <row r="3850" spans="5:10" s="1297" customFormat="1">
      <c r="E3850" s="359" t="s">
        <v>932</v>
      </c>
      <c r="F3850" s="1411"/>
      <c r="G3850" s="1411"/>
      <c r="H3850" s="1411"/>
      <c r="I3850" s="1411">
        <v>583886</v>
      </c>
      <c r="J3850" s="1411">
        <v>583886</v>
      </c>
    </row>
    <row r="3851" spans="5:10" s="1297" customFormat="1">
      <c r="E3851" s="1404" t="s">
        <v>955</v>
      </c>
      <c r="F3851" s="1405"/>
      <c r="G3851" s="1405"/>
      <c r="H3851" s="1405"/>
      <c r="I3851" s="1405">
        <v>198335.65</v>
      </c>
      <c r="J3851" s="1405">
        <v>198335.65</v>
      </c>
    </row>
    <row r="3852" spans="5:10" s="1297" customFormat="1">
      <c r="E3852" s="1297" t="s">
        <v>934</v>
      </c>
      <c r="F3852" s="1399"/>
      <c r="G3852" s="1399"/>
      <c r="H3852" s="1399"/>
      <c r="I3852" s="1399">
        <v>18658</v>
      </c>
      <c r="J3852" s="1399">
        <v>18658</v>
      </c>
    </row>
    <row r="3853" spans="5:10" s="1297" customFormat="1">
      <c r="E3853" s="1297" t="s">
        <v>935</v>
      </c>
      <c r="F3853" s="1399"/>
      <c r="G3853" s="1399"/>
      <c r="H3853" s="1399"/>
      <c r="I3853" s="1399">
        <v>353693.63999999996</v>
      </c>
      <c r="J3853" s="1399">
        <v>353693.63999999996</v>
      </c>
    </row>
    <row r="3854" spans="5:10" s="1297" customFormat="1">
      <c r="E3854" s="1297" t="s">
        <v>936</v>
      </c>
      <c r="F3854" s="1399"/>
      <c r="G3854" s="1399"/>
      <c r="H3854" s="1399"/>
      <c r="I3854" s="1399">
        <v>19258.28</v>
      </c>
      <c r="J3854" s="1399">
        <v>19258.28</v>
      </c>
    </row>
    <row r="3855" spans="5:10" s="1297" customFormat="1">
      <c r="E3855" s="1297" t="s">
        <v>938</v>
      </c>
      <c r="F3855" s="1399"/>
      <c r="G3855" s="1399"/>
      <c r="H3855" s="1399"/>
      <c r="I3855" s="1399">
        <v>6925</v>
      </c>
      <c r="J3855" s="1399">
        <v>6925</v>
      </c>
    </row>
    <row r="3856" spans="5:10" s="1297" customFormat="1">
      <c r="E3856" s="1297" t="s">
        <v>940</v>
      </c>
      <c r="F3856" s="1399">
        <v>316939.42</v>
      </c>
      <c r="G3856" s="1399"/>
      <c r="H3856" s="1399"/>
      <c r="I3856" s="1399"/>
      <c r="J3856" s="1399">
        <v>316939.42</v>
      </c>
    </row>
    <row r="3857" spans="2:12">
      <c r="B3857" s="1297"/>
      <c r="C3857" s="1297"/>
      <c r="D3857" s="1297"/>
      <c r="E3857" s="1297" t="s">
        <v>941</v>
      </c>
      <c r="F3857" s="1399">
        <v>107420.62</v>
      </c>
      <c r="J3857" s="1399">
        <v>107420.62</v>
      </c>
    </row>
    <row r="3858" spans="2:12">
      <c r="B3858" s="1297"/>
      <c r="C3858" s="1297"/>
      <c r="D3858" s="1297"/>
      <c r="E3858" s="1297" t="s">
        <v>943</v>
      </c>
      <c r="F3858" s="1399">
        <v>2868.98</v>
      </c>
      <c r="J3858" s="1399">
        <v>2868.98</v>
      </c>
    </row>
    <row r="3859" spans="2:12">
      <c r="B3859" s="1297"/>
      <c r="C3859" s="1297"/>
      <c r="D3859" s="1297"/>
      <c r="E3859" s="1297" t="s">
        <v>944</v>
      </c>
      <c r="F3859" s="1399">
        <v>1083347.1099999999</v>
      </c>
      <c r="J3859" s="1399">
        <v>1083347.1099999999</v>
      </c>
    </row>
    <row r="3860" spans="2:12">
      <c r="B3860" s="1297"/>
      <c r="C3860" s="1297"/>
      <c r="D3860" s="1297"/>
      <c r="E3860" s="1297" t="s">
        <v>945</v>
      </c>
      <c r="F3860" s="1399">
        <v>545561.62</v>
      </c>
      <c r="J3860" s="1399">
        <v>545561.62</v>
      </c>
    </row>
    <row r="3861" spans="2:12">
      <c r="B3861" s="1297"/>
      <c r="C3861" s="1297"/>
      <c r="D3861" s="1297"/>
      <c r="E3861" s="1297" t="s">
        <v>947</v>
      </c>
      <c r="F3861" s="1399">
        <v>33056.82</v>
      </c>
      <c r="J3861" s="1399">
        <v>33056.82</v>
      </c>
    </row>
    <row r="3862" spans="2:12">
      <c r="B3862" s="1297"/>
      <c r="C3862" s="1297"/>
      <c r="D3862" s="1297"/>
      <c r="E3862" s="1404" t="s">
        <v>948</v>
      </c>
      <c r="F3862" s="1405"/>
      <c r="G3862" s="1405"/>
      <c r="H3862" s="1405">
        <v>19725.29</v>
      </c>
      <c r="I3862" s="1405"/>
      <c r="J3862" s="1405">
        <v>19725.29</v>
      </c>
    </row>
    <row r="3863" spans="2:12">
      <c r="B3863" s="1297"/>
      <c r="C3863" s="1297"/>
      <c r="D3863" s="1400" t="s">
        <v>1252</v>
      </c>
      <c r="E3863" s="1400"/>
      <c r="F3863" s="1401">
        <f>SUM(F3835:F3862)</f>
        <v>2089194.57</v>
      </c>
      <c r="G3863" s="1401">
        <f>SUM(G3835:G3862)</f>
        <v>3091067.5300000003</v>
      </c>
      <c r="H3863" s="1401">
        <f>SUM(H3835:H3862)-H3862</f>
        <v>557399.77999999991</v>
      </c>
      <c r="I3863" s="1401">
        <f>SUM(I3835:I3862)-I3851</f>
        <v>5509728.9199999999</v>
      </c>
      <c r="J3863" s="1401">
        <f>SUM(J3835:J3862)</f>
        <v>11465451.739999998</v>
      </c>
      <c r="K3863" s="1401">
        <f>SUM(F3863:I3863)</f>
        <v>11247390.800000001</v>
      </c>
      <c r="L3863" s="1408">
        <f>K3863/C3835</f>
        <v>11125.015628091</v>
      </c>
    </row>
    <row r="3864" spans="2:12">
      <c r="B3864" s="1297" t="s">
        <v>1253</v>
      </c>
      <c r="C3864" s="1297">
        <v>2373</v>
      </c>
      <c r="D3864" s="1297" t="s">
        <v>1254</v>
      </c>
      <c r="E3864" s="1297" t="s">
        <v>906</v>
      </c>
      <c r="G3864" s="1399">
        <v>6699747.9299999997</v>
      </c>
      <c r="J3864" s="1399">
        <v>6699747.9299999997</v>
      </c>
    </row>
    <row r="3865" spans="2:12">
      <c r="B3865" s="1297"/>
      <c r="C3865" s="1297"/>
      <c r="D3865" s="1297"/>
      <c r="E3865" s="1297" t="s">
        <v>1126</v>
      </c>
      <c r="G3865" s="1399">
        <v>2171075.9900000002</v>
      </c>
      <c r="J3865" s="1399">
        <v>2171075.9900000002</v>
      </c>
    </row>
    <row r="3866" spans="2:12">
      <c r="B3866" s="1297"/>
      <c r="C3866" s="1297"/>
      <c r="D3866" s="1297"/>
      <c r="E3866" s="1297" t="s">
        <v>952</v>
      </c>
      <c r="G3866" s="1399">
        <v>49068.68</v>
      </c>
      <c r="J3866" s="1399">
        <v>49068.68</v>
      </c>
    </row>
    <row r="3867" spans="2:12">
      <c r="B3867" s="1297"/>
      <c r="C3867" s="1297"/>
      <c r="D3867" s="1297"/>
      <c r="E3867" s="1297" t="s">
        <v>907</v>
      </c>
      <c r="G3867" s="1399">
        <v>1707020.6</v>
      </c>
      <c r="J3867" s="1399">
        <v>1707020.6</v>
      </c>
    </row>
    <row r="3868" spans="2:12">
      <c r="B3868" s="1297"/>
      <c r="C3868" s="1297"/>
      <c r="D3868" s="1297"/>
      <c r="E3868" s="1297" t="s">
        <v>908</v>
      </c>
      <c r="G3868" s="1399">
        <v>11732.03</v>
      </c>
      <c r="J3868" s="1399">
        <v>11732.03</v>
      </c>
    </row>
    <row r="3869" spans="2:12">
      <c r="B3869" s="1297"/>
      <c r="C3869" s="1297"/>
      <c r="D3869" s="1297"/>
      <c r="E3869" s="1297" t="s">
        <v>909</v>
      </c>
      <c r="H3869" s="1399">
        <v>29425.18</v>
      </c>
      <c r="J3869" s="1399">
        <v>29425.18</v>
      </c>
    </row>
    <row r="3870" spans="2:12">
      <c r="B3870" s="1297"/>
      <c r="C3870" s="1297"/>
      <c r="D3870" s="1297"/>
      <c r="E3870" s="1297" t="s">
        <v>910</v>
      </c>
      <c r="H3870" s="1399">
        <v>14389.33</v>
      </c>
      <c r="J3870" s="1399">
        <v>14389.33</v>
      </c>
    </row>
    <row r="3871" spans="2:12">
      <c r="B3871" s="1297"/>
      <c r="C3871" s="1297"/>
      <c r="D3871" s="1297"/>
      <c r="E3871" s="1297" t="s">
        <v>1034</v>
      </c>
      <c r="H3871" s="1399">
        <v>12985.96</v>
      </c>
      <c r="J3871" s="1399">
        <v>12985.96</v>
      </c>
    </row>
    <row r="3872" spans="2:12">
      <c r="B3872" s="1297"/>
      <c r="C3872" s="1297"/>
      <c r="D3872" s="1297"/>
      <c r="E3872" s="1297" t="s">
        <v>1035</v>
      </c>
      <c r="H3872" s="1399">
        <v>103246.96</v>
      </c>
      <c r="J3872" s="1399">
        <v>103246.96</v>
      </c>
    </row>
    <row r="3873" spans="5:10" s="1297" customFormat="1">
      <c r="E3873" s="1297" t="s">
        <v>1036</v>
      </c>
      <c r="F3873" s="1399"/>
      <c r="G3873" s="1399"/>
      <c r="H3873" s="1399">
        <v>89169.4</v>
      </c>
      <c r="I3873" s="1399"/>
      <c r="J3873" s="1399">
        <v>89169.4</v>
      </c>
    </row>
    <row r="3874" spans="5:10" s="1297" customFormat="1">
      <c r="E3874" s="1297" t="s">
        <v>1039</v>
      </c>
      <c r="F3874" s="1399"/>
      <c r="G3874" s="1399"/>
      <c r="H3874" s="1399">
        <v>99961.52</v>
      </c>
      <c r="I3874" s="1399"/>
      <c r="J3874" s="1399">
        <v>99961.52</v>
      </c>
    </row>
    <row r="3875" spans="5:10" s="1297" customFormat="1">
      <c r="E3875" s="1297" t="s">
        <v>1040</v>
      </c>
      <c r="F3875" s="1399"/>
      <c r="G3875" s="1399"/>
      <c r="H3875" s="1399">
        <v>60850.13</v>
      </c>
      <c r="I3875" s="1399"/>
      <c r="J3875" s="1399">
        <v>60850.13</v>
      </c>
    </row>
    <row r="3876" spans="5:10" s="1297" customFormat="1">
      <c r="E3876" s="1297" t="s">
        <v>1041</v>
      </c>
      <c r="F3876" s="1399"/>
      <c r="G3876" s="1399"/>
      <c r="H3876" s="1399">
        <v>11262.04</v>
      </c>
      <c r="I3876" s="1399"/>
      <c r="J3876" s="1399">
        <v>11262.04</v>
      </c>
    </row>
    <row r="3877" spans="5:10" s="1297" customFormat="1">
      <c r="E3877" s="1297" t="s">
        <v>1042</v>
      </c>
      <c r="F3877" s="1399"/>
      <c r="G3877" s="1399"/>
      <c r="H3877" s="1399">
        <v>51112.53</v>
      </c>
      <c r="I3877" s="1399"/>
      <c r="J3877" s="1399">
        <v>51112.53</v>
      </c>
    </row>
    <row r="3878" spans="5:10" s="1297" customFormat="1">
      <c r="E3878" s="1297" t="s">
        <v>954</v>
      </c>
      <c r="F3878" s="1399"/>
      <c r="G3878" s="1399"/>
      <c r="H3878" s="1399">
        <v>120901.83</v>
      </c>
      <c r="I3878" s="1399"/>
      <c r="J3878" s="1399">
        <v>120901.83</v>
      </c>
    </row>
    <row r="3879" spans="5:10" s="1297" customFormat="1">
      <c r="E3879" s="1297" t="s">
        <v>1043</v>
      </c>
      <c r="F3879" s="1399"/>
      <c r="G3879" s="1399"/>
      <c r="H3879" s="1399">
        <v>15000</v>
      </c>
      <c r="I3879" s="1399"/>
      <c r="J3879" s="1399">
        <v>15000</v>
      </c>
    </row>
    <row r="3880" spans="5:10" s="1297" customFormat="1">
      <c r="E3880" s="1297" t="s">
        <v>986</v>
      </c>
      <c r="F3880" s="1399"/>
      <c r="G3880" s="1399"/>
      <c r="H3880" s="1399">
        <v>1500</v>
      </c>
      <c r="I3880" s="1399"/>
      <c r="J3880" s="1399">
        <v>1500</v>
      </c>
    </row>
    <row r="3881" spans="5:10" s="1297" customFormat="1">
      <c r="E3881" s="1297" t="s">
        <v>1045</v>
      </c>
      <c r="F3881" s="1399"/>
      <c r="G3881" s="1399"/>
      <c r="H3881" s="1399">
        <v>183380.59</v>
      </c>
      <c r="I3881" s="1399"/>
      <c r="J3881" s="1399">
        <v>183380.59</v>
      </c>
    </row>
    <row r="3882" spans="5:10" s="1297" customFormat="1">
      <c r="E3882" s="1297" t="s">
        <v>1046</v>
      </c>
      <c r="F3882" s="1399"/>
      <c r="G3882" s="1399"/>
      <c r="H3882" s="1399"/>
      <c r="I3882" s="1399">
        <v>13275612</v>
      </c>
      <c r="J3882" s="1399">
        <v>13275612</v>
      </c>
    </row>
    <row r="3883" spans="5:10" s="1297" customFormat="1">
      <c r="E3883" s="1297" t="s">
        <v>1129</v>
      </c>
      <c r="F3883" s="1399"/>
      <c r="G3883" s="1399"/>
      <c r="H3883" s="1399"/>
      <c r="I3883" s="1399">
        <v>-1631416</v>
      </c>
      <c r="J3883" s="1399">
        <v>-1631416</v>
      </c>
    </row>
    <row r="3884" spans="5:10" s="1297" customFormat="1">
      <c r="E3884" s="1297" t="s">
        <v>1047</v>
      </c>
      <c r="F3884" s="1399"/>
      <c r="G3884" s="1399"/>
      <c r="H3884" s="1399"/>
      <c r="I3884" s="1399">
        <v>506412</v>
      </c>
      <c r="J3884" s="1399">
        <v>506412</v>
      </c>
    </row>
    <row r="3885" spans="5:10" s="1297" customFormat="1">
      <c r="E3885" s="1297" t="s">
        <v>1048</v>
      </c>
      <c r="F3885" s="1399"/>
      <c r="G3885" s="1399"/>
      <c r="H3885" s="1399"/>
      <c r="I3885" s="1399">
        <v>-2181141</v>
      </c>
      <c r="J3885" s="1399">
        <v>-2181141</v>
      </c>
    </row>
    <row r="3886" spans="5:10" s="1297" customFormat="1">
      <c r="E3886" s="1297" t="s">
        <v>932</v>
      </c>
      <c r="F3886" s="1399"/>
      <c r="G3886" s="1399"/>
      <c r="H3886" s="1399"/>
      <c r="I3886" s="1399">
        <v>470151</v>
      </c>
      <c r="J3886" s="1399">
        <v>470151</v>
      </c>
    </row>
    <row r="3887" spans="5:10" s="1297" customFormat="1">
      <c r="E3887" s="1404" t="s">
        <v>955</v>
      </c>
      <c r="F3887" s="1405"/>
      <c r="G3887" s="1405"/>
      <c r="H3887" s="1405"/>
      <c r="I3887" s="1405">
        <v>337956.87</v>
      </c>
      <c r="J3887" s="1405">
        <v>337956.87</v>
      </c>
    </row>
    <row r="3888" spans="5:10" s="1297" customFormat="1">
      <c r="E3888" s="1297" t="s">
        <v>934</v>
      </c>
      <c r="F3888" s="1399"/>
      <c r="G3888" s="1399"/>
      <c r="H3888" s="1399"/>
      <c r="I3888" s="1399">
        <v>38898</v>
      </c>
      <c r="J3888" s="1399">
        <v>38898</v>
      </c>
    </row>
    <row r="3889" spans="2:12">
      <c r="B3889" s="1297"/>
      <c r="C3889" s="1297"/>
      <c r="D3889" s="1297"/>
      <c r="E3889" s="1297" t="s">
        <v>935</v>
      </c>
      <c r="I3889" s="1399">
        <v>863541.74</v>
      </c>
      <c r="J3889" s="1399">
        <v>863541.74</v>
      </c>
    </row>
    <row r="3890" spans="2:12">
      <c r="B3890" s="1297"/>
      <c r="C3890" s="1297"/>
      <c r="D3890" s="1297"/>
      <c r="E3890" s="1297" t="s">
        <v>936</v>
      </c>
      <c r="I3890" s="1399">
        <v>42718.37</v>
      </c>
      <c r="J3890" s="1399">
        <v>42718.37</v>
      </c>
    </row>
    <row r="3891" spans="2:12">
      <c r="B3891" s="1297"/>
      <c r="C3891" s="1297"/>
      <c r="D3891" s="1297"/>
      <c r="E3891" s="1297" t="s">
        <v>937</v>
      </c>
      <c r="I3891" s="1399">
        <v>35251.980000000003</v>
      </c>
      <c r="J3891" s="1399">
        <v>35251.980000000003</v>
      </c>
    </row>
    <row r="3892" spans="2:12">
      <c r="B3892" s="1297"/>
      <c r="C3892" s="1297"/>
      <c r="D3892" s="1297"/>
      <c r="E3892" s="1297" t="s">
        <v>938</v>
      </c>
      <c r="I3892" s="1399">
        <v>11978</v>
      </c>
      <c r="J3892" s="1399">
        <v>11978</v>
      </c>
    </row>
    <row r="3893" spans="2:12">
      <c r="B3893" s="1297"/>
      <c r="C3893" s="1297"/>
      <c r="D3893" s="1297"/>
      <c r="E3893" s="1297" t="s">
        <v>940</v>
      </c>
      <c r="F3893" s="1399">
        <v>836227.6</v>
      </c>
      <c r="J3893" s="1399">
        <v>836227.6</v>
      </c>
    </row>
    <row r="3894" spans="2:12">
      <c r="B3894" s="1297"/>
      <c r="C3894" s="1297"/>
      <c r="D3894" s="1297"/>
      <c r="E3894" s="1297" t="s">
        <v>941</v>
      </c>
      <c r="F3894" s="1399">
        <v>334040.42</v>
      </c>
      <c r="J3894" s="1399">
        <v>334040.42</v>
      </c>
    </row>
    <row r="3895" spans="2:12">
      <c r="B3895" s="1297"/>
      <c r="C3895" s="1297"/>
      <c r="D3895" s="1297"/>
      <c r="E3895" s="1297" t="s">
        <v>944</v>
      </c>
      <c r="F3895" s="1399">
        <v>2756679.58</v>
      </c>
      <c r="J3895" s="1399">
        <v>2756679.58</v>
      </c>
    </row>
    <row r="3896" spans="2:12">
      <c r="B3896" s="1297"/>
      <c r="C3896" s="1297"/>
      <c r="D3896" s="1297"/>
      <c r="E3896" s="1297" t="s">
        <v>945</v>
      </c>
      <c r="F3896" s="1399">
        <v>1209256.1200000001</v>
      </c>
      <c r="J3896" s="1399">
        <v>1209256.1200000001</v>
      </c>
    </row>
    <row r="3897" spans="2:12">
      <c r="B3897" s="1297"/>
      <c r="C3897" s="1297"/>
      <c r="D3897" s="1297"/>
      <c r="E3897" s="1297" t="s">
        <v>946</v>
      </c>
      <c r="F3897" s="1399">
        <v>90242.85</v>
      </c>
      <c r="J3897" s="1399">
        <v>90242.85</v>
      </c>
    </row>
    <row r="3898" spans="2:12">
      <c r="B3898" s="1297"/>
      <c r="C3898" s="1297"/>
      <c r="D3898" s="1297"/>
      <c r="E3898" s="1297" t="s">
        <v>978</v>
      </c>
      <c r="F3898" s="1399">
        <v>38054.519999999997</v>
      </c>
      <c r="J3898" s="1399">
        <v>38054.519999999997</v>
      </c>
    </row>
    <row r="3899" spans="2:12">
      <c r="B3899" s="1297"/>
      <c r="C3899" s="1297"/>
      <c r="D3899" s="1297"/>
      <c r="E3899" s="1297" t="s">
        <v>947</v>
      </c>
      <c r="F3899" s="1399">
        <v>65516.58</v>
      </c>
      <c r="J3899" s="1399">
        <v>65516.58</v>
      </c>
    </row>
    <row r="3900" spans="2:12">
      <c r="B3900" s="1297"/>
      <c r="C3900" s="1297"/>
      <c r="D3900" s="1297"/>
      <c r="E3900" s="1404" t="s">
        <v>948</v>
      </c>
      <c r="F3900" s="1405"/>
      <c r="G3900" s="1405"/>
      <c r="H3900" s="1405">
        <v>1508219.03</v>
      </c>
      <c r="I3900" s="1405"/>
      <c r="J3900" s="1405">
        <v>1508219.03</v>
      </c>
    </row>
    <row r="3901" spans="2:12">
      <c r="B3901" s="1297"/>
      <c r="C3901" s="1297"/>
      <c r="D3901" s="1297"/>
      <c r="E3901" s="1297" t="s">
        <v>1118</v>
      </c>
      <c r="H3901" s="1399">
        <v>7517.86</v>
      </c>
      <c r="J3901" s="1399">
        <v>7517.86</v>
      </c>
    </row>
    <row r="3902" spans="2:12">
      <c r="B3902" s="1297"/>
      <c r="C3902" s="1297"/>
      <c r="D3902" s="1400" t="s">
        <v>1255</v>
      </c>
      <c r="E3902" s="1400"/>
      <c r="F3902" s="1401">
        <f>SUM(F3864:F3901)</f>
        <v>5330017.67</v>
      </c>
      <c r="G3902" s="1401">
        <f>SUM(G3864:G3901)</f>
        <v>10638645.229999999</v>
      </c>
      <c r="H3902" s="1401">
        <f>SUM(H3864:H3901)-H3900</f>
        <v>800703.32999999984</v>
      </c>
      <c r="I3902" s="1401">
        <f>SUM(I3864:I3901)-I3887</f>
        <v>11432006.09</v>
      </c>
      <c r="J3902" s="1401">
        <f>SUM(J3864:J3901)</f>
        <v>30047548.220000006</v>
      </c>
      <c r="K3902" s="1401">
        <f>SUM(F3902:I3902)</f>
        <v>28201372.32</v>
      </c>
      <c r="L3902" s="1408">
        <f>K3902/C3864</f>
        <v>11884.269835651075</v>
      </c>
    </row>
    <row r="3903" spans="2:12">
      <c r="B3903" s="1297" t="s">
        <v>1256</v>
      </c>
      <c r="C3903" s="1297">
        <v>3739</v>
      </c>
      <c r="D3903" s="1297" t="s">
        <v>1257</v>
      </c>
      <c r="E3903" s="1297" t="s">
        <v>906</v>
      </c>
      <c r="G3903" s="1399">
        <v>18872928.760000002</v>
      </c>
      <c r="J3903" s="1399">
        <v>18872928.760000002</v>
      </c>
    </row>
    <row r="3904" spans="2:12">
      <c r="B3904" s="1297"/>
      <c r="C3904" s="1297"/>
      <c r="D3904" s="1297"/>
      <c r="E3904" s="1297" t="s">
        <v>952</v>
      </c>
      <c r="G3904" s="1399">
        <v>436557.1</v>
      </c>
      <c r="J3904" s="1399">
        <v>436557.1</v>
      </c>
    </row>
    <row r="3905" spans="5:10" s="1297" customFormat="1">
      <c r="E3905" s="1297" t="s">
        <v>907</v>
      </c>
      <c r="F3905" s="1399"/>
      <c r="G3905" s="1399">
        <v>5125142.2</v>
      </c>
      <c r="H3905" s="1399"/>
      <c r="I3905" s="1399"/>
      <c r="J3905" s="1399">
        <v>5125142.2</v>
      </c>
    </row>
    <row r="3906" spans="5:10" s="1297" customFormat="1">
      <c r="E3906" s="1297" t="s">
        <v>908</v>
      </c>
      <c r="F3906" s="1399"/>
      <c r="G3906" s="1399">
        <v>26519.1</v>
      </c>
      <c r="H3906" s="1399"/>
      <c r="I3906" s="1399"/>
      <c r="J3906" s="1399">
        <v>26519.1</v>
      </c>
    </row>
    <row r="3907" spans="5:10" s="1297" customFormat="1">
      <c r="E3907" s="1297" t="s">
        <v>909</v>
      </c>
      <c r="F3907" s="1399"/>
      <c r="G3907" s="1399"/>
      <c r="H3907" s="1399">
        <v>104698.35</v>
      </c>
      <c r="I3907" s="1399"/>
      <c r="J3907" s="1399">
        <v>104698.35</v>
      </c>
    </row>
    <row r="3908" spans="5:10" s="1297" customFormat="1">
      <c r="E3908" s="1297" t="s">
        <v>910</v>
      </c>
      <c r="F3908" s="1399"/>
      <c r="G3908" s="1399"/>
      <c r="H3908" s="1399">
        <v>272211.27</v>
      </c>
      <c r="I3908" s="1399"/>
      <c r="J3908" s="1399">
        <v>272211.27</v>
      </c>
    </row>
    <row r="3909" spans="5:10" s="1297" customFormat="1">
      <c r="E3909" s="1297" t="s">
        <v>1034</v>
      </c>
      <c r="F3909" s="1399"/>
      <c r="G3909" s="1399"/>
      <c r="H3909" s="1399">
        <v>34626.86</v>
      </c>
      <c r="I3909" s="1399"/>
      <c r="J3909" s="1399">
        <v>34626.86</v>
      </c>
    </row>
    <row r="3910" spans="5:10" s="1297" customFormat="1">
      <c r="E3910" s="1297" t="s">
        <v>1035</v>
      </c>
      <c r="F3910" s="1399"/>
      <c r="G3910" s="1399"/>
      <c r="H3910" s="1399">
        <v>199838.94</v>
      </c>
      <c r="I3910" s="1399"/>
      <c r="J3910" s="1399">
        <v>199838.94</v>
      </c>
    </row>
    <row r="3911" spans="5:10" s="1297" customFormat="1">
      <c r="E3911" s="1297" t="s">
        <v>1036</v>
      </c>
      <c r="F3911" s="1399"/>
      <c r="G3911" s="1399"/>
      <c r="H3911" s="1399">
        <v>175744.03</v>
      </c>
      <c r="I3911" s="1399"/>
      <c r="J3911" s="1399">
        <v>175744.03</v>
      </c>
    </row>
    <row r="3912" spans="5:10" s="1297" customFormat="1">
      <c r="E3912" s="1297" t="s">
        <v>1037</v>
      </c>
      <c r="F3912" s="1399"/>
      <c r="G3912" s="1399"/>
      <c r="H3912" s="1399">
        <v>65157</v>
      </c>
      <c r="I3912" s="1399"/>
      <c r="J3912" s="1399">
        <v>65157</v>
      </c>
    </row>
    <row r="3913" spans="5:10" s="1297" customFormat="1">
      <c r="E3913" s="1297" t="s">
        <v>1039</v>
      </c>
      <c r="F3913" s="1399"/>
      <c r="G3913" s="1399"/>
      <c r="H3913" s="1399">
        <v>15809.909999999998</v>
      </c>
      <c r="I3913" s="1399"/>
      <c r="J3913" s="1399">
        <v>15809.909999999998</v>
      </c>
    </row>
    <row r="3914" spans="5:10" s="1297" customFormat="1">
      <c r="E3914" s="1297" t="s">
        <v>1040</v>
      </c>
      <c r="F3914" s="1399"/>
      <c r="G3914" s="1399"/>
      <c r="H3914" s="1399">
        <v>427223.52</v>
      </c>
      <c r="I3914" s="1399"/>
      <c r="J3914" s="1399">
        <v>427223.52</v>
      </c>
    </row>
    <row r="3915" spans="5:10" s="1297" customFormat="1">
      <c r="E3915" s="1297" t="s">
        <v>1041</v>
      </c>
      <c r="F3915" s="1399"/>
      <c r="G3915" s="1399"/>
      <c r="H3915" s="1399">
        <v>83335.350000000006</v>
      </c>
      <c r="I3915" s="1399"/>
      <c r="J3915" s="1399">
        <v>83335.350000000006</v>
      </c>
    </row>
    <row r="3916" spans="5:10" s="1297" customFormat="1">
      <c r="E3916" s="1297" t="s">
        <v>1042</v>
      </c>
      <c r="F3916" s="1399"/>
      <c r="G3916" s="1399"/>
      <c r="H3916" s="1399">
        <v>53095.92</v>
      </c>
      <c r="I3916" s="1399"/>
      <c r="J3916" s="1399">
        <v>53095.92</v>
      </c>
    </row>
    <row r="3917" spans="5:10" s="1297" customFormat="1">
      <c r="E3917" s="1297" t="s">
        <v>953</v>
      </c>
      <c r="F3917" s="1399"/>
      <c r="G3917" s="1399"/>
      <c r="H3917" s="1399">
        <v>35187.64</v>
      </c>
      <c r="I3917" s="1399"/>
      <c r="J3917" s="1399">
        <v>35187.64</v>
      </c>
    </row>
    <row r="3918" spans="5:10" s="1297" customFormat="1">
      <c r="E3918" s="1297" t="s">
        <v>1043</v>
      </c>
      <c r="F3918" s="1399"/>
      <c r="G3918" s="1399"/>
      <c r="H3918" s="1399">
        <v>29268</v>
      </c>
      <c r="I3918" s="1399"/>
      <c r="J3918" s="1399">
        <v>29268</v>
      </c>
    </row>
    <row r="3919" spans="5:10" s="1297" customFormat="1">
      <c r="E3919" s="1297" t="s">
        <v>1045</v>
      </c>
      <c r="F3919" s="1399"/>
      <c r="G3919" s="1399"/>
      <c r="H3919" s="1399">
        <v>409656.71</v>
      </c>
      <c r="I3919" s="1399"/>
      <c r="J3919" s="1399">
        <v>409656.71</v>
      </c>
    </row>
    <row r="3920" spans="5:10" s="1297" customFormat="1">
      <c r="E3920" s="1297" t="s">
        <v>1046</v>
      </c>
      <c r="F3920" s="1399"/>
      <c r="G3920" s="1399"/>
      <c r="H3920" s="1399"/>
      <c r="I3920" s="1399">
        <v>20412139</v>
      </c>
      <c r="J3920" s="1399">
        <v>20412139</v>
      </c>
    </row>
    <row r="3921" spans="5:10" s="1297" customFormat="1">
      <c r="E3921" s="1297" t="s">
        <v>1128</v>
      </c>
      <c r="F3921" s="1399"/>
      <c r="G3921" s="1399"/>
      <c r="H3921" s="1399"/>
      <c r="I3921" s="1399">
        <v>1630352</v>
      </c>
      <c r="J3921" s="1399">
        <v>1630352</v>
      </c>
    </row>
    <row r="3922" spans="5:10" s="1297" customFormat="1">
      <c r="E3922" s="1297" t="s">
        <v>1129</v>
      </c>
      <c r="F3922" s="1399"/>
      <c r="G3922" s="1399"/>
      <c r="H3922" s="1399"/>
      <c r="I3922" s="1399">
        <v>-2352354</v>
      </c>
      <c r="J3922" s="1399">
        <v>-2352354</v>
      </c>
    </row>
    <row r="3923" spans="5:10" s="1297" customFormat="1">
      <c r="E3923" s="1297" t="s">
        <v>1047</v>
      </c>
      <c r="F3923" s="1399"/>
      <c r="G3923" s="1399"/>
      <c r="H3923" s="1399"/>
      <c r="I3923" s="1399">
        <v>730580</v>
      </c>
      <c r="J3923" s="1399">
        <v>730580</v>
      </c>
    </row>
    <row r="3924" spans="5:10" s="1297" customFormat="1">
      <c r="E3924" s="1297" t="s">
        <v>1048</v>
      </c>
      <c r="F3924" s="1399"/>
      <c r="G3924" s="1399"/>
      <c r="H3924" s="1399"/>
      <c r="I3924" s="1399">
        <v>-6378998</v>
      </c>
      <c r="J3924" s="1399">
        <v>-6378998</v>
      </c>
    </row>
    <row r="3925" spans="5:10" s="1297" customFormat="1">
      <c r="E3925" s="1297" t="s">
        <v>933</v>
      </c>
      <c r="F3925" s="1399"/>
      <c r="G3925" s="1399"/>
      <c r="H3925" s="1399"/>
      <c r="I3925" s="1399">
        <v>866187.01</v>
      </c>
      <c r="J3925" s="1399">
        <v>866187.01</v>
      </c>
    </row>
    <row r="3926" spans="5:10" s="1297" customFormat="1">
      <c r="E3926" s="1297" t="s">
        <v>934</v>
      </c>
      <c r="F3926" s="1399"/>
      <c r="G3926" s="1399"/>
      <c r="H3926" s="1399"/>
      <c r="I3926" s="1399">
        <v>65282</v>
      </c>
      <c r="J3926" s="1399">
        <v>65282</v>
      </c>
    </row>
    <row r="3927" spans="5:10" s="1297" customFormat="1">
      <c r="E3927" s="1297" t="s">
        <v>935</v>
      </c>
      <c r="F3927" s="1399"/>
      <c r="G3927" s="1399"/>
      <c r="H3927" s="1399"/>
      <c r="I3927" s="1399">
        <v>372522.21</v>
      </c>
      <c r="J3927" s="1399">
        <v>372522.21</v>
      </c>
    </row>
    <row r="3928" spans="5:10" s="1297" customFormat="1">
      <c r="E3928" s="1297" t="s">
        <v>936</v>
      </c>
      <c r="F3928" s="1399"/>
      <c r="G3928" s="1399"/>
      <c r="H3928" s="1399"/>
      <c r="I3928" s="1399">
        <v>76332.820000000007</v>
      </c>
      <c r="J3928" s="1399">
        <v>76332.820000000007</v>
      </c>
    </row>
    <row r="3929" spans="5:10" s="1297" customFormat="1">
      <c r="E3929" s="1297" t="s">
        <v>937</v>
      </c>
      <c r="F3929" s="1399"/>
      <c r="G3929" s="1399"/>
      <c r="H3929" s="1399"/>
      <c r="I3929" s="1399">
        <v>22435.56</v>
      </c>
      <c r="J3929" s="1399">
        <v>22435.56</v>
      </c>
    </row>
    <row r="3930" spans="5:10" s="1297" customFormat="1">
      <c r="E3930" s="1297" t="s">
        <v>938</v>
      </c>
      <c r="F3930" s="1399"/>
      <c r="G3930" s="1399"/>
      <c r="H3930" s="1399"/>
      <c r="I3930" s="1399">
        <v>24518</v>
      </c>
      <c r="J3930" s="1399">
        <v>24518</v>
      </c>
    </row>
    <row r="3931" spans="5:10" s="1297" customFormat="1">
      <c r="E3931" s="1297" t="s">
        <v>940</v>
      </c>
      <c r="F3931" s="1399">
        <v>918053.64</v>
      </c>
      <c r="G3931" s="1399"/>
      <c r="H3931" s="1399"/>
      <c r="I3931" s="1399"/>
      <c r="J3931" s="1399">
        <v>918053.64</v>
      </c>
    </row>
    <row r="3932" spans="5:10" s="1297" customFormat="1">
      <c r="E3932" s="1297" t="s">
        <v>941</v>
      </c>
      <c r="F3932" s="1399">
        <v>308487.90000000002</v>
      </c>
      <c r="G3932" s="1399"/>
      <c r="H3932" s="1399"/>
      <c r="I3932" s="1399"/>
      <c r="J3932" s="1399">
        <v>308487.90000000002</v>
      </c>
    </row>
    <row r="3933" spans="5:10" s="1297" customFormat="1">
      <c r="E3933" s="1297" t="s">
        <v>943</v>
      </c>
      <c r="F3933" s="1399">
        <v>8973.98</v>
      </c>
      <c r="G3933" s="1399"/>
      <c r="H3933" s="1399"/>
      <c r="I3933" s="1399"/>
      <c r="J3933" s="1399">
        <v>8973.98</v>
      </c>
    </row>
    <row r="3934" spans="5:10" s="1297" customFormat="1">
      <c r="E3934" s="1297" t="s">
        <v>944</v>
      </c>
      <c r="F3934" s="1399">
        <v>2183928.7700000005</v>
      </c>
      <c r="G3934" s="1399"/>
      <c r="H3934" s="1399"/>
      <c r="I3934" s="1399"/>
      <c r="J3934" s="1399">
        <v>2183928.7700000005</v>
      </c>
    </row>
    <row r="3935" spans="5:10" s="1297" customFormat="1">
      <c r="E3935" s="1297" t="s">
        <v>945</v>
      </c>
      <c r="F3935" s="1399">
        <v>1405015.22</v>
      </c>
      <c r="G3935" s="1399"/>
      <c r="H3935" s="1399"/>
      <c r="I3935" s="1399"/>
      <c r="J3935" s="1399">
        <v>1405015.22</v>
      </c>
    </row>
    <row r="3936" spans="5:10" s="1297" customFormat="1">
      <c r="E3936" s="1297" t="s">
        <v>947</v>
      </c>
      <c r="F3936" s="1399">
        <v>124368.45</v>
      </c>
      <c r="G3936" s="1399"/>
      <c r="H3936" s="1399"/>
      <c r="I3936" s="1399"/>
      <c r="J3936" s="1399">
        <v>124368.45</v>
      </c>
    </row>
    <row r="3937" spans="2:12">
      <c r="B3937" s="1297"/>
      <c r="C3937" s="1297"/>
      <c r="D3937" s="1297"/>
      <c r="E3937" s="1404" t="s">
        <v>948</v>
      </c>
      <c r="F3937" s="1405"/>
      <c r="G3937" s="1405"/>
      <c r="H3937" s="1405">
        <v>128473.8</v>
      </c>
      <c r="I3937" s="1405"/>
      <c r="J3937" s="1405">
        <v>128473.8</v>
      </c>
    </row>
    <row r="3938" spans="2:12">
      <c r="B3938" s="1297"/>
      <c r="C3938" s="1297"/>
      <c r="D3938" s="1400" t="s">
        <v>1258</v>
      </c>
      <c r="E3938" s="1400"/>
      <c r="F3938" s="1401">
        <f>SUM(F3903:F3937)</f>
        <v>4948827.9600000009</v>
      </c>
      <c r="G3938" s="1401">
        <f>SUM(G3903:G3937)</f>
        <v>24461147.160000004</v>
      </c>
      <c r="H3938" s="1401">
        <f>SUM(H3903:H3937)-H3937</f>
        <v>1905853.4999999998</v>
      </c>
      <c r="I3938" s="1401">
        <f>SUM(I3903:I3937)</f>
        <v>15468996.600000001</v>
      </c>
      <c r="J3938" s="1401">
        <f>SUM(J3903:J3937)</f>
        <v>46913299.020000011</v>
      </c>
      <c r="K3938" s="1401">
        <f>SUM(F3938:I3938)</f>
        <v>46784825.220000006</v>
      </c>
      <c r="L3938" s="1408">
        <f>K3938/C3903</f>
        <v>12512.657186413482</v>
      </c>
    </row>
    <row r="3939" spans="2:12">
      <c r="B3939" s="1297" t="s">
        <v>1259</v>
      </c>
      <c r="C3939" s="1297">
        <v>1008</v>
      </c>
      <c r="D3939" s="1297" t="s">
        <v>1260</v>
      </c>
      <c r="E3939" s="1297" t="s">
        <v>906</v>
      </c>
      <c r="G3939" s="1399">
        <v>2216413.52</v>
      </c>
      <c r="J3939" s="1399">
        <v>2216413.52</v>
      </c>
    </row>
    <row r="3940" spans="2:12">
      <c r="B3940" s="1297"/>
      <c r="C3940" s="1297"/>
      <c r="D3940" s="1297"/>
      <c r="E3940" s="1297" t="s">
        <v>907</v>
      </c>
      <c r="G3940" s="1399">
        <v>636863.44999999995</v>
      </c>
      <c r="J3940" s="1399">
        <v>636863.44999999995</v>
      </c>
    </row>
    <row r="3941" spans="2:12">
      <c r="B3941" s="1297"/>
      <c r="C3941" s="1297"/>
      <c r="D3941" s="1297"/>
      <c r="E3941" s="1297" t="s">
        <v>908</v>
      </c>
      <c r="G3941" s="1399">
        <v>32802.28</v>
      </c>
      <c r="J3941" s="1399">
        <v>32802.28</v>
      </c>
    </row>
    <row r="3942" spans="2:12">
      <c r="B3942" s="1297"/>
      <c r="C3942" s="1297"/>
      <c r="D3942" s="1297"/>
      <c r="E3942" s="1297" t="s">
        <v>1034</v>
      </c>
      <c r="H3942" s="1399">
        <v>4805.7</v>
      </c>
      <c r="J3942" s="1399">
        <v>4805.7</v>
      </c>
    </row>
    <row r="3943" spans="2:12">
      <c r="B3943" s="1297"/>
      <c r="C3943" s="1297"/>
      <c r="D3943" s="1297"/>
      <c r="E3943" s="1297" t="s">
        <v>1038</v>
      </c>
      <c r="H3943" s="1399">
        <v>7018.77</v>
      </c>
      <c r="J3943" s="1399">
        <v>7018.77</v>
      </c>
    </row>
    <row r="3944" spans="2:12">
      <c r="B3944" s="1297"/>
      <c r="C3944" s="1297"/>
      <c r="D3944" s="1297"/>
      <c r="E3944" s="1297" t="s">
        <v>1039</v>
      </c>
      <c r="H3944" s="1399">
        <v>17269.049999999996</v>
      </c>
      <c r="J3944" s="1399">
        <v>17269.049999999996</v>
      </c>
    </row>
    <row r="3945" spans="2:12">
      <c r="B3945" s="1297"/>
      <c r="C3945" s="1297"/>
      <c r="D3945" s="1297"/>
      <c r="E3945" s="1297" t="s">
        <v>1040</v>
      </c>
      <c r="H3945" s="1399">
        <v>39917.550000000003</v>
      </c>
      <c r="J3945" s="1399">
        <v>39917.550000000003</v>
      </c>
    </row>
    <row r="3946" spans="2:12">
      <c r="B3946" s="1297"/>
      <c r="C3946" s="1297"/>
      <c r="D3946" s="1297"/>
      <c r="E3946" s="1297" t="s">
        <v>1041</v>
      </c>
      <c r="H3946" s="1399">
        <v>1822.68</v>
      </c>
      <c r="J3946" s="1399">
        <v>1822.68</v>
      </c>
    </row>
    <row r="3947" spans="2:12">
      <c r="B3947" s="1297"/>
      <c r="C3947" s="1297"/>
      <c r="D3947" s="1297"/>
      <c r="E3947" s="1297" t="s">
        <v>1042</v>
      </c>
      <c r="H3947" s="1399">
        <v>19354.29</v>
      </c>
      <c r="J3947" s="1399">
        <v>19354.29</v>
      </c>
    </row>
    <row r="3948" spans="2:12">
      <c r="B3948" s="1297"/>
      <c r="C3948" s="1297"/>
      <c r="D3948" s="1297"/>
      <c r="E3948" s="1297" t="s">
        <v>953</v>
      </c>
      <c r="H3948" s="1399">
        <v>0</v>
      </c>
      <c r="J3948" s="1399">
        <v>0</v>
      </c>
    </row>
    <row r="3949" spans="2:12">
      <c r="B3949" s="1297"/>
      <c r="C3949" s="1297"/>
      <c r="D3949" s="1297"/>
      <c r="E3949" s="1297" t="s">
        <v>986</v>
      </c>
      <c r="H3949" s="1399">
        <v>246287.3</v>
      </c>
      <c r="J3949" s="1399">
        <v>246287.3</v>
      </c>
    </row>
    <row r="3950" spans="2:12">
      <c r="B3950" s="1297"/>
      <c r="C3950" s="1297"/>
      <c r="D3950" s="1297"/>
      <c r="E3950" s="1297" t="s">
        <v>1044</v>
      </c>
      <c r="F3950" s="1399">
        <v>-73474.36</v>
      </c>
      <c r="J3950" s="1399">
        <v>-73474.36</v>
      </c>
    </row>
    <row r="3951" spans="2:12">
      <c r="B3951" s="1297"/>
      <c r="C3951" s="1297"/>
      <c r="D3951" s="1297"/>
      <c r="E3951" s="1297" t="s">
        <v>1045</v>
      </c>
      <c r="H3951" s="1399">
        <v>165101.40999999997</v>
      </c>
      <c r="J3951" s="1399">
        <v>165101.40999999997</v>
      </c>
    </row>
    <row r="3952" spans="2:12">
      <c r="B3952" s="1297"/>
      <c r="C3952" s="1297"/>
      <c r="D3952" s="1297"/>
      <c r="E3952" s="1297" t="s">
        <v>1046</v>
      </c>
      <c r="I3952" s="1399">
        <v>5722904</v>
      </c>
      <c r="J3952" s="1399">
        <v>5722904</v>
      </c>
    </row>
    <row r="3953" spans="5:10" s="1297" customFormat="1">
      <c r="E3953" s="1297" t="s">
        <v>1047</v>
      </c>
      <c r="F3953" s="1399"/>
      <c r="G3953" s="1399"/>
      <c r="H3953" s="1399"/>
      <c r="I3953" s="1399">
        <v>270562</v>
      </c>
      <c r="J3953" s="1399">
        <v>270562</v>
      </c>
    </row>
    <row r="3954" spans="5:10" s="1297" customFormat="1">
      <c r="E3954" s="1297" t="s">
        <v>1048</v>
      </c>
      <c r="F3954" s="1399"/>
      <c r="G3954" s="1399"/>
      <c r="H3954" s="1399"/>
      <c r="I3954" s="1399">
        <v>-750568</v>
      </c>
      <c r="J3954" s="1399">
        <v>-750568</v>
      </c>
    </row>
    <row r="3955" spans="5:10" s="1297" customFormat="1">
      <c r="E3955" s="1297" t="s">
        <v>932</v>
      </c>
      <c r="F3955" s="1399"/>
      <c r="G3955" s="1399"/>
      <c r="H3955" s="1399"/>
      <c r="I3955" s="1399">
        <v>392904</v>
      </c>
      <c r="J3955" s="1399">
        <v>392904</v>
      </c>
    </row>
    <row r="3956" spans="5:10" s="1297" customFormat="1">
      <c r="E3956" s="1404" t="s">
        <v>933</v>
      </c>
      <c r="F3956" s="1405"/>
      <c r="G3956" s="1405"/>
      <c r="H3956" s="1405"/>
      <c r="I3956" s="1405">
        <v>350055.51</v>
      </c>
      <c r="J3956" s="1405">
        <v>350055.51</v>
      </c>
    </row>
    <row r="3957" spans="5:10" s="1297" customFormat="1">
      <c r="E3957" s="1297" t="s">
        <v>934</v>
      </c>
      <c r="F3957" s="1399"/>
      <c r="G3957" s="1399"/>
      <c r="H3957" s="1399"/>
      <c r="I3957" s="1399">
        <v>18008</v>
      </c>
      <c r="J3957" s="1399">
        <v>18008</v>
      </c>
    </row>
    <row r="3958" spans="5:10" s="1297" customFormat="1">
      <c r="E3958" s="1297" t="s">
        <v>935</v>
      </c>
      <c r="F3958" s="1399"/>
      <c r="G3958" s="1399"/>
      <c r="H3958" s="1399"/>
      <c r="I3958" s="1399">
        <v>66574.710000000006</v>
      </c>
      <c r="J3958" s="1399">
        <v>66574.710000000006</v>
      </c>
    </row>
    <row r="3959" spans="5:10" s="1297" customFormat="1">
      <c r="E3959" s="1297" t="s">
        <v>936</v>
      </c>
      <c r="F3959" s="1399"/>
      <c r="G3959" s="1399"/>
      <c r="H3959" s="1399"/>
      <c r="I3959" s="1399">
        <v>20658.88</v>
      </c>
      <c r="J3959" s="1399">
        <v>20658.88</v>
      </c>
    </row>
    <row r="3960" spans="5:10" s="1297" customFormat="1">
      <c r="E3960" s="1297" t="s">
        <v>937</v>
      </c>
      <c r="F3960" s="1399"/>
      <c r="G3960" s="1399"/>
      <c r="H3960" s="1399"/>
      <c r="I3960" s="1399">
        <v>2123.4499999999998</v>
      </c>
      <c r="J3960" s="1399">
        <v>2123.4499999999998</v>
      </c>
    </row>
    <row r="3961" spans="5:10" s="1297" customFormat="1">
      <c r="E3961" s="1297" t="s">
        <v>938</v>
      </c>
      <c r="F3961" s="1399"/>
      <c r="G3961" s="1399"/>
      <c r="H3961" s="1399"/>
      <c r="I3961" s="1399">
        <v>6551</v>
      </c>
      <c r="J3961" s="1399">
        <v>6551</v>
      </c>
    </row>
    <row r="3962" spans="5:10" s="1297" customFormat="1">
      <c r="E3962" s="1297" t="s">
        <v>939</v>
      </c>
      <c r="F3962" s="1399"/>
      <c r="G3962" s="1399"/>
      <c r="H3962" s="1399"/>
      <c r="I3962" s="1399">
        <v>126041.81</v>
      </c>
      <c r="J3962" s="1399">
        <v>126041.81</v>
      </c>
    </row>
    <row r="3963" spans="5:10" s="1297" customFormat="1">
      <c r="E3963" s="1297" t="s">
        <v>940</v>
      </c>
      <c r="F3963" s="1399">
        <v>339436.56</v>
      </c>
      <c r="G3963" s="1399"/>
      <c r="H3963" s="1399"/>
      <c r="I3963" s="1399"/>
      <c r="J3963" s="1399">
        <v>339436.56</v>
      </c>
    </row>
    <row r="3964" spans="5:10" s="1297" customFormat="1">
      <c r="E3964" s="1297" t="s">
        <v>941</v>
      </c>
      <c r="F3964" s="1399">
        <v>127986.76</v>
      </c>
      <c r="G3964" s="1399"/>
      <c r="H3964" s="1399"/>
      <c r="I3964" s="1399"/>
      <c r="J3964" s="1399">
        <v>127986.76</v>
      </c>
    </row>
    <row r="3965" spans="5:10" s="1297" customFormat="1">
      <c r="E3965" s="1297" t="s">
        <v>942</v>
      </c>
      <c r="F3965" s="1399">
        <v>4687.4799999999996</v>
      </c>
      <c r="G3965" s="1399"/>
      <c r="H3965" s="1399"/>
      <c r="I3965" s="1399"/>
      <c r="J3965" s="1399">
        <v>4687.4799999999996</v>
      </c>
    </row>
    <row r="3966" spans="5:10" s="1297" customFormat="1">
      <c r="E3966" s="1297" t="s">
        <v>943</v>
      </c>
      <c r="F3966" s="1399">
        <v>0</v>
      </c>
      <c r="G3966" s="1399"/>
      <c r="H3966" s="1399"/>
      <c r="I3966" s="1399"/>
      <c r="J3966" s="1399">
        <v>0</v>
      </c>
    </row>
    <row r="3967" spans="5:10" s="1297" customFormat="1">
      <c r="E3967" s="1297" t="s">
        <v>944</v>
      </c>
      <c r="F3967" s="1399">
        <v>962710.55</v>
      </c>
      <c r="G3967" s="1399"/>
      <c r="H3967" s="1399"/>
      <c r="I3967" s="1399"/>
      <c r="J3967" s="1399">
        <v>962710.55</v>
      </c>
    </row>
    <row r="3968" spans="5:10" s="1297" customFormat="1">
      <c r="E3968" s="1297" t="s">
        <v>945</v>
      </c>
      <c r="F3968" s="1399">
        <v>229008</v>
      </c>
      <c r="G3968" s="1399"/>
      <c r="H3968" s="1399"/>
      <c r="I3968" s="1399"/>
      <c r="J3968" s="1399">
        <v>229008</v>
      </c>
    </row>
    <row r="3969" spans="2:12">
      <c r="B3969" s="1297"/>
      <c r="C3969" s="1297"/>
      <c r="D3969" s="1297"/>
      <c r="E3969" s="1297" t="s">
        <v>947</v>
      </c>
      <c r="F3969" s="1399">
        <v>38092.550000000003</v>
      </c>
      <c r="J3969" s="1399">
        <v>38092.550000000003</v>
      </c>
    </row>
    <row r="3970" spans="2:12">
      <c r="B3970" s="1297"/>
      <c r="C3970" s="1297"/>
      <c r="D3970" s="1297"/>
      <c r="E3970" s="1297" t="s">
        <v>1115</v>
      </c>
      <c r="F3970" s="1399">
        <v>10.27</v>
      </c>
      <c r="J3970" s="1399">
        <v>10.27</v>
      </c>
    </row>
    <row r="3971" spans="2:12">
      <c r="B3971" s="1297"/>
      <c r="C3971" s="1297"/>
      <c r="D3971" s="1297"/>
      <c r="E3971" s="1404" t="s">
        <v>948</v>
      </c>
      <c r="F3971" s="1405"/>
      <c r="G3971" s="1405"/>
      <c r="H3971" s="1405">
        <v>1131819.02</v>
      </c>
      <c r="I3971" s="1405"/>
      <c r="J3971" s="1405">
        <v>1131819.02</v>
      </c>
    </row>
    <row r="3972" spans="2:12">
      <c r="B3972" s="1297"/>
      <c r="C3972" s="1297"/>
      <c r="D3972" s="1400" t="s">
        <v>1261</v>
      </c>
      <c r="E3972" s="1400"/>
      <c r="F3972" s="1401">
        <f>SUM(F3939:F3971)</f>
        <v>1628457.81</v>
      </c>
      <c r="G3972" s="1401">
        <f>SUM(G3939:G3971)</f>
        <v>2886079.2499999995</v>
      </c>
      <c r="H3972" s="1401">
        <f>SUM(H3939:H3971)-H3971</f>
        <v>501576.75</v>
      </c>
      <c r="I3972" s="1401">
        <f>SUM(I3939:I3971)-I3956</f>
        <v>5875759.8499999996</v>
      </c>
      <c r="J3972" s="1401">
        <f>SUM(J3939:J3971)</f>
        <v>12373748.190000003</v>
      </c>
      <c r="K3972" s="1401">
        <f>SUM(F3972:I3972)</f>
        <v>10891873.66</v>
      </c>
      <c r="L3972" s="1408">
        <f>K3972/C3939</f>
        <v>10805.430218253969</v>
      </c>
    </row>
    <row r="3973" spans="2:12">
      <c r="B3973" s="1297" t="s">
        <v>1262</v>
      </c>
      <c r="C3973" s="1297">
        <v>3268</v>
      </c>
      <c r="D3973" s="1297" t="s">
        <v>1263</v>
      </c>
      <c r="E3973" s="1297" t="s">
        <v>906</v>
      </c>
      <c r="G3973" s="1399">
        <v>12032716.470000001</v>
      </c>
      <c r="J3973" s="1399">
        <v>12032716.470000001</v>
      </c>
    </row>
    <row r="3974" spans="2:12">
      <c r="B3974" s="1297"/>
      <c r="C3974" s="1297"/>
      <c r="D3974" s="1297"/>
      <c r="E3974" s="1297" t="s">
        <v>952</v>
      </c>
      <c r="G3974" s="1399">
        <v>104646.37</v>
      </c>
      <c r="J3974" s="1399">
        <v>104646.37</v>
      </c>
    </row>
    <row r="3975" spans="2:12">
      <c r="B3975" s="1297"/>
      <c r="C3975" s="1297"/>
      <c r="D3975" s="1297"/>
      <c r="E3975" s="1297" t="s">
        <v>907</v>
      </c>
      <c r="G3975" s="1399">
        <v>3495751.71</v>
      </c>
      <c r="J3975" s="1399">
        <v>3495751.71</v>
      </c>
    </row>
    <row r="3976" spans="2:12">
      <c r="B3976" s="1297"/>
      <c r="C3976" s="1297"/>
      <c r="D3976" s="1297"/>
      <c r="E3976" s="1297" t="s">
        <v>908</v>
      </c>
      <c r="G3976" s="1399">
        <v>26849.7</v>
      </c>
      <c r="J3976" s="1399">
        <v>26849.7</v>
      </c>
    </row>
    <row r="3977" spans="2:12">
      <c r="B3977" s="1297"/>
      <c r="C3977" s="1297"/>
      <c r="D3977" s="1297"/>
      <c r="E3977" s="1297" t="s">
        <v>1034</v>
      </c>
      <c r="H3977" s="1399">
        <v>12085.37</v>
      </c>
      <c r="J3977" s="1399">
        <v>12085.37</v>
      </c>
    </row>
    <row r="3978" spans="2:12">
      <c r="B3978" s="1297"/>
      <c r="C3978" s="1297"/>
      <c r="D3978" s="1297"/>
      <c r="E3978" s="1297" t="s">
        <v>1035</v>
      </c>
      <c r="H3978" s="1399">
        <v>387436.16</v>
      </c>
      <c r="J3978" s="1399">
        <v>387436.16</v>
      </c>
    </row>
    <row r="3979" spans="2:12">
      <c r="B3979" s="1297"/>
      <c r="C3979" s="1297"/>
      <c r="D3979" s="1297"/>
      <c r="E3979" s="1297" t="s">
        <v>1037</v>
      </c>
      <c r="H3979" s="1399">
        <v>16003.98</v>
      </c>
      <c r="J3979" s="1399">
        <v>16003.98</v>
      </c>
    </row>
    <row r="3980" spans="2:12">
      <c r="B3980" s="1297"/>
      <c r="C3980" s="1297"/>
      <c r="D3980" s="1297"/>
      <c r="E3980" s="1297" t="s">
        <v>1039</v>
      </c>
      <c r="H3980" s="1399">
        <v>118183.03</v>
      </c>
      <c r="J3980" s="1399">
        <v>118183.03</v>
      </c>
    </row>
    <row r="3981" spans="2:12">
      <c r="B3981" s="1297"/>
      <c r="C3981" s="1297"/>
      <c r="D3981" s="1297"/>
      <c r="E3981" s="1297" t="s">
        <v>1040</v>
      </c>
      <c r="H3981" s="1399">
        <v>248971.26</v>
      </c>
      <c r="J3981" s="1399">
        <v>248971.26</v>
      </c>
    </row>
    <row r="3982" spans="2:12">
      <c r="B3982" s="1297"/>
      <c r="C3982" s="1297"/>
      <c r="D3982" s="1297"/>
      <c r="E3982" s="1297" t="s">
        <v>1041</v>
      </c>
      <c r="H3982" s="1399">
        <v>37259.300000000003</v>
      </c>
      <c r="J3982" s="1399">
        <v>37259.300000000003</v>
      </c>
    </row>
    <row r="3983" spans="2:12">
      <c r="B3983" s="1297"/>
      <c r="C3983" s="1297"/>
      <c r="D3983" s="1297"/>
      <c r="E3983" s="1297" t="s">
        <v>1042</v>
      </c>
      <c r="H3983" s="1399">
        <v>31063.13</v>
      </c>
      <c r="J3983" s="1399">
        <v>31063.13</v>
      </c>
    </row>
    <row r="3984" spans="2:12">
      <c r="B3984" s="1297"/>
      <c r="C3984" s="1297"/>
      <c r="D3984" s="1297"/>
      <c r="E3984" s="1297" t="s">
        <v>1043</v>
      </c>
      <c r="H3984" s="1399">
        <v>14400</v>
      </c>
      <c r="J3984" s="1399">
        <v>14400</v>
      </c>
    </row>
    <row r="3985" spans="5:10" s="1297" customFormat="1">
      <c r="E3985" s="1297" t="s">
        <v>986</v>
      </c>
      <c r="F3985" s="1399"/>
      <c r="G3985" s="1399"/>
      <c r="H3985" s="1399">
        <v>2570</v>
      </c>
      <c r="I3985" s="1399"/>
      <c r="J3985" s="1399">
        <v>2570</v>
      </c>
    </row>
    <row r="3986" spans="5:10" s="1297" customFormat="1">
      <c r="E3986" s="1297" t="s">
        <v>1045</v>
      </c>
      <c r="F3986" s="1399"/>
      <c r="G3986" s="1399"/>
      <c r="H3986" s="1399">
        <v>1143704.33</v>
      </c>
      <c r="I3986" s="1399"/>
      <c r="J3986" s="1399">
        <v>1143704.33</v>
      </c>
    </row>
    <row r="3987" spans="5:10" s="1297" customFormat="1">
      <c r="E3987" s="1297" t="s">
        <v>1046</v>
      </c>
      <c r="F3987" s="1399"/>
      <c r="G3987" s="1399"/>
      <c r="H3987" s="1399"/>
      <c r="I3987" s="1399">
        <v>18913250</v>
      </c>
      <c r="J3987" s="1399">
        <v>18913250</v>
      </c>
    </row>
    <row r="3988" spans="5:10" s="1297" customFormat="1">
      <c r="E3988" s="1297" t="s">
        <v>1047</v>
      </c>
      <c r="F3988" s="1399"/>
      <c r="G3988" s="1399"/>
      <c r="H3988" s="1399"/>
      <c r="I3988" s="1399">
        <v>-1585748</v>
      </c>
      <c r="J3988" s="1399">
        <v>-1585748</v>
      </c>
    </row>
    <row r="3989" spans="5:10" s="1297" customFormat="1">
      <c r="E3989" s="1297" t="s">
        <v>1048</v>
      </c>
      <c r="F3989" s="1399"/>
      <c r="G3989" s="1399"/>
      <c r="H3989" s="1399"/>
      <c r="I3989" s="1399">
        <v>-4444824</v>
      </c>
      <c r="J3989" s="1399">
        <v>-4444824</v>
      </c>
    </row>
    <row r="3990" spans="5:10" s="1297" customFormat="1">
      <c r="E3990" s="1404" t="s">
        <v>955</v>
      </c>
      <c r="F3990" s="1405"/>
      <c r="G3990" s="1405"/>
      <c r="H3990" s="1405"/>
      <c r="I3990" s="1405">
        <v>417209.28</v>
      </c>
      <c r="J3990" s="1405">
        <v>417209.28</v>
      </c>
    </row>
    <row r="3991" spans="5:10" s="1297" customFormat="1">
      <c r="E3991" s="1297" t="s">
        <v>934</v>
      </c>
      <c r="F3991" s="1399"/>
      <c r="G3991" s="1399"/>
      <c r="H3991" s="1399"/>
      <c r="I3991" s="1399">
        <v>47178</v>
      </c>
      <c r="J3991" s="1399">
        <v>47178</v>
      </c>
    </row>
    <row r="3992" spans="5:10" s="1297" customFormat="1">
      <c r="E3992" s="1297" t="s">
        <v>935</v>
      </c>
      <c r="F3992" s="1399"/>
      <c r="G3992" s="1399"/>
      <c r="H3992" s="1399"/>
      <c r="I3992" s="1399">
        <v>130541.68</v>
      </c>
      <c r="J3992" s="1399">
        <v>130541.68</v>
      </c>
    </row>
    <row r="3993" spans="5:10" s="1297" customFormat="1">
      <c r="E3993" s="1297" t="s">
        <v>936</v>
      </c>
      <c r="F3993" s="1399"/>
      <c r="G3993" s="1399"/>
      <c r="H3993" s="1399"/>
      <c r="I3993" s="1399">
        <v>59175.44</v>
      </c>
      <c r="J3993" s="1399">
        <v>59175.44</v>
      </c>
    </row>
    <row r="3994" spans="5:10" s="1297" customFormat="1">
      <c r="E3994" s="1297" t="s">
        <v>938</v>
      </c>
      <c r="F3994" s="1399"/>
      <c r="G3994" s="1399"/>
      <c r="H3994" s="1399"/>
      <c r="I3994" s="1399">
        <v>15909</v>
      </c>
      <c r="J3994" s="1399">
        <v>15909</v>
      </c>
    </row>
    <row r="3995" spans="5:10" s="1297" customFormat="1">
      <c r="E3995" s="1297" t="s">
        <v>939</v>
      </c>
      <c r="F3995" s="1399"/>
      <c r="G3995" s="1399"/>
      <c r="H3995" s="1399"/>
      <c r="I3995" s="1399">
        <v>45876.38</v>
      </c>
      <c r="J3995" s="1399">
        <v>45876.38</v>
      </c>
    </row>
    <row r="3996" spans="5:10" s="1297" customFormat="1">
      <c r="E3996" s="1297" t="s">
        <v>1131</v>
      </c>
      <c r="F3996" s="1399">
        <v>58204.03</v>
      </c>
      <c r="G3996" s="1399"/>
      <c r="H3996" s="1399"/>
      <c r="I3996" s="1399"/>
      <c r="J3996" s="1399">
        <v>58204.03</v>
      </c>
    </row>
    <row r="3997" spans="5:10" s="1297" customFormat="1">
      <c r="E3997" s="1297" t="s">
        <v>940</v>
      </c>
      <c r="F3997" s="1399">
        <v>675985</v>
      </c>
      <c r="G3997" s="1399"/>
      <c r="H3997" s="1399"/>
      <c r="I3997" s="1399"/>
      <c r="J3997" s="1399">
        <v>675985</v>
      </c>
    </row>
    <row r="3998" spans="5:10" s="1297" customFormat="1">
      <c r="E3998" s="1297" t="s">
        <v>941</v>
      </c>
      <c r="F3998" s="1399">
        <v>236067.62</v>
      </c>
      <c r="G3998" s="1399"/>
      <c r="H3998" s="1399"/>
      <c r="I3998" s="1399"/>
      <c r="J3998" s="1399">
        <v>236067.62</v>
      </c>
    </row>
    <row r="3999" spans="5:10" s="1297" customFormat="1">
      <c r="E3999" s="1297" t="s">
        <v>944</v>
      </c>
      <c r="F3999" s="1399">
        <v>1547171.24</v>
      </c>
      <c r="G3999" s="1399"/>
      <c r="H3999" s="1399"/>
      <c r="I3999" s="1399"/>
      <c r="J3999" s="1399">
        <v>1547171.24</v>
      </c>
    </row>
    <row r="4000" spans="5:10" s="1297" customFormat="1">
      <c r="E4000" s="1297" t="s">
        <v>945</v>
      </c>
      <c r="F4000" s="1399">
        <v>1191719.45</v>
      </c>
      <c r="G4000" s="1399"/>
      <c r="H4000" s="1399"/>
      <c r="I4000" s="1399"/>
      <c r="J4000" s="1399">
        <v>1191719.45</v>
      </c>
    </row>
    <row r="4001" spans="2:12">
      <c r="B4001" s="1297"/>
      <c r="C4001" s="1297"/>
      <c r="D4001" s="1297"/>
      <c r="E4001" s="1297" t="s">
        <v>946</v>
      </c>
      <c r="F4001" s="1399">
        <v>-8.6</v>
      </c>
      <c r="J4001" s="1399">
        <v>-8.6</v>
      </c>
    </row>
    <row r="4002" spans="2:12">
      <c r="B4002" s="1297"/>
      <c r="C4002" s="1297"/>
      <c r="D4002" s="1297"/>
      <c r="E4002" s="1297" t="s">
        <v>947</v>
      </c>
      <c r="F4002" s="1399">
        <v>53108.869999999995</v>
      </c>
      <c r="J4002" s="1399">
        <v>53108.869999999995</v>
      </c>
    </row>
    <row r="4003" spans="2:12">
      <c r="B4003" s="1297"/>
      <c r="C4003" s="1297"/>
      <c r="D4003" s="1297"/>
      <c r="E4003" s="1404" t="s">
        <v>948</v>
      </c>
      <c r="F4003" s="1405"/>
      <c r="G4003" s="1405"/>
      <c r="H4003" s="1405">
        <v>49983.43</v>
      </c>
      <c r="I4003" s="1405"/>
      <c r="J4003" s="1405">
        <v>49983.43</v>
      </c>
    </row>
    <row r="4004" spans="2:12">
      <c r="B4004" s="1297"/>
      <c r="C4004" s="1297"/>
      <c r="D4004" s="1400" t="s">
        <v>1264</v>
      </c>
      <c r="E4004" s="1400"/>
      <c r="F4004" s="1401">
        <f>SUM(F3973:F4003)</f>
        <v>3762247.61</v>
      </c>
      <c r="G4004" s="1401">
        <f>SUM(G3973:G4003)</f>
        <v>15659964.25</v>
      </c>
      <c r="H4004" s="1401">
        <f>SUM(H3973:H4003)-H4003</f>
        <v>2011676.56</v>
      </c>
      <c r="I4004" s="1401">
        <f>SUM(I3973:I4003)-I3990</f>
        <v>13181358.5</v>
      </c>
      <c r="J4004" s="1401">
        <f>SUM(J3973:J4003)</f>
        <v>35082439.630000003</v>
      </c>
      <c r="K4004" s="1401">
        <f>SUM(F4004:I4004)</f>
        <v>34615246.920000002</v>
      </c>
      <c r="L4004" s="1408">
        <f>K4004/C3973</f>
        <v>10592.180820073439</v>
      </c>
    </row>
    <row r="4005" spans="2:12">
      <c r="B4005" s="1297" t="s">
        <v>1265</v>
      </c>
      <c r="C4005" s="1297">
        <v>7294</v>
      </c>
      <c r="D4005" s="1297" t="s">
        <v>1266</v>
      </c>
      <c r="E4005" s="1297" t="s">
        <v>906</v>
      </c>
      <c r="G4005" s="1399">
        <v>12903302.01</v>
      </c>
      <c r="J4005" s="1399">
        <v>12903302.01</v>
      </c>
    </row>
    <row r="4006" spans="2:12">
      <c r="B4006" s="1297"/>
      <c r="C4006" s="1297"/>
      <c r="D4006" s="1297"/>
      <c r="E4006" s="1297" t="s">
        <v>907</v>
      </c>
      <c r="G4006" s="1399">
        <v>4337977.45</v>
      </c>
      <c r="J4006" s="1399">
        <v>4337977.45</v>
      </c>
    </row>
    <row r="4007" spans="2:12">
      <c r="B4007" s="1297"/>
      <c r="C4007" s="1297"/>
      <c r="D4007" s="1297"/>
      <c r="E4007" s="1297" t="s">
        <v>1034</v>
      </c>
      <c r="H4007" s="1399">
        <v>29823.759999999998</v>
      </c>
      <c r="J4007" s="1399">
        <v>29823.759999999998</v>
      </c>
    </row>
    <row r="4008" spans="2:12">
      <c r="B4008" s="1297"/>
      <c r="C4008" s="1297"/>
      <c r="D4008" s="1297"/>
      <c r="E4008" s="1297" t="s">
        <v>1035</v>
      </c>
      <c r="H4008" s="1399">
        <v>1168169.44</v>
      </c>
      <c r="J4008" s="1399">
        <v>1168169.44</v>
      </c>
    </row>
    <row r="4009" spans="2:12">
      <c r="B4009" s="1297"/>
      <c r="C4009" s="1297"/>
      <c r="D4009" s="1297"/>
      <c r="E4009" s="1297" t="s">
        <v>1036</v>
      </c>
      <c r="H4009" s="1399">
        <v>289463</v>
      </c>
      <c r="J4009" s="1399">
        <v>289463</v>
      </c>
    </row>
    <row r="4010" spans="2:12">
      <c r="B4010" s="1297"/>
      <c r="C4010" s="1297"/>
      <c r="D4010" s="1297"/>
      <c r="E4010" s="1297" t="s">
        <v>1039</v>
      </c>
      <c r="H4010" s="1399">
        <v>92087.93</v>
      </c>
      <c r="J4010" s="1399">
        <v>92087.93</v>
      </c>
    </row>
    <row r="4011" spans="2:12">
      <c r="B4011" s="1297"/>
      <c r="C4011" s="1297"/>
      <c r="D4011" s="1297"/>
      <c r="E4011" s="1297" t="s">
        <v>1040</v>
      </c>
      <c r="H4011" s="1399">
        <v>559841.34</v>
      </c>
      <c r="J4011" s="1399">
        <v>559841.34</v>
      </c>
    </row>
    <row r="4012" spans="2:12">
      <c r="B4012" s="1297"/>
      <c r="C4012" s="1297"/>
      <c r="D4012" s="1297"/>
      <c r="E4012" s="1297" t="s">
        <v>1041</v>
      </c>
      <c r="H4012" s="1399">
        <v>107423.83</v>
      </c>
      <c r="J4012" s="1399">
        <v>107423.83</v>
      </c>
    </row>
    <row r="4013" spans="2:12">
      <c r="B4013" s="1297"/>
      <c r="C4013" s="1297"/>
      <c r="D4013" s="1297"/>
      <c r="E4013" s="1297" t="s">
        <v>1042</v>
      </c>
      <c r="H4013" s="1399">
        <v>68858.86</v>
      </c>
      <c r="J4013" s="1399">
        <v>68858.86</v>
      </c>
    </row>
    <row r="4014" spans="2:12">
      <c r="B4014" s="1297"/>
      <c r="C4014" s="1297"/>
      <c r="D4014" s="1297"/>
      <c r="E4014" s="1297" t="s">
        <v>953</v>
      </c>
      <c r="H4014" s="1399">
        <v>37518</v>
      </c>
      <c r="J4014" s="1399">
        <v>37518</v>
      </c>
    </row>
    <row r="4015" spans="2:12">
      <c r="B4015" s="1297"/>
      <c r="C4015" s="1297"/>
      <c r="D4015" s="1297"/>
      <c r="E4015" s="1297" t="s">
        <v>1044</v>
      </c>
      <c r="F4015" s="1399">
        <v>101827</v>
      </c>
      <c r="J4015" s="1399">
        <v>101827</v>
      </c>
    </row>
    <row r="4016" spans="2:12">
      <c r="B4016" s="1297"/>
      <c r="C4016" s="1297"/>
      <c r="D4016" s="1297"/>
      <c r="E4016" s="1297" t="s">
        <v>1045</v>
      </c>
      <c r="H4016" s="1399">
        <v>1396028.09</v>
      </c>
      <c r="J4016" s="1399">
        <v>1396028.09</v>
      </c>
    </row>
    <row r="4017" spans="5:10" s="1297" customFormat="1">
      <c r="E4017" s="1297" t="s">
        <v>1046</v>
      </c>
      <c r="F4017" s="1399"/>
      <c r="G4017" s="1399"/>
      <c r="H4017" s="1399"/>
      <c r="I4017" s="1399">
        <v>35419884</v>
      </c>
      <c r="J4017" s="1399">
        <v>35419884</v>
      </c>
    </row>
    <row r="4018" spans="5:10" s="1297" customFormat="1">
      <c r="E4018" s="1297" t="s">
        <v>1047</v>
      </c>
      <c r="F4018" s="1399"/>
      <c r="G4018" s="1399"/>
      <c r="H4018" s="1399"/>
      <c r="I4018" s="1399">
        <v>796431</v>
      </c>
      <c r="J4018" s="1399">
        <v>796431</v>
      </c>
    </row>
    <row r="4019" spans="5:10" s="1297" customFormat="1">
      <c r="E4019" s="1297" t="s">
        <v>1048</v>
      </c>
      <c r="F4019" s="1399"/>
      <c r="G4019" s="1399"/>
      <c r="H4019" s="1399"/>
      <c r="I4019" s="1399">
        <v>-4461425</v>
      </c>
      <c r="J4019" s="1399">
        <v>-4461425</v>
      </c>
    </row>
    <row r="4020" spans="5:10" s="1297" customFormat="1">
      <c r="E4020" s="1297" t="s">
        <v>932</v>
      </c>
      <c r="F4020" s="1399"/>
      <c r="G4020" s="1399"/>
      <c r="H4020" s="1399"/>
      <c r="I4020" s="1399">
        <v>4668008</v>
      </c>
      <c r="J4020" s="1399">
        <v>4668008</v>
      </c>
    </row>
    <row r="4021" spans="5:10" s="1297" customFormat="1">
      <c r="E4021" s="1297" t="s">
        <v>933</v>
      </c>
      <c r="F4021" s="1399"/>
      <c r="G4021" s="1399"/>
      <c r="H4021" s="1399"/>
      <c r="I4021" s="1399">
        <v>1724496.16</v>
      </c>
      <c r="J4021" s="1399">
        <v>1724496.16</v>
      </c>
    </row>
    <row r="4022" spans="5:10" s="1297" customFormat="1">
      <c r="E4022" s="1297" t="s">
        <v>934</v>
      </c>
      <c r="F4022" s="1399"/>
      <c r="G4022" s="1399"/>
      <c r="H4022" s="1399"/>
      <c r="I4022" s="1399">
        <v>132316</v>
      </c>
      <c r="J4022" s="1399">
        <v>132316</v>
      </c>
    </row>
    <row r="4023" spans="5:10" s="1297" customFormat="1">
      <c r="E4023" s="1297" t="s">
        <v>1130</v>
      </c>
      <c r="F4023" s="1399"/>
      <c r="G4023" s="1399"/>
      <c r="H4023" s="1399"/>
      <c r="I4023" s="1399">
        <v>984905.9</v>
      </c>
      <c r="J4023" s="1399">
        <v>984905.9</v>
      </c>
    </row>
    <row r="4024" spans="5:10" s="1297" customFormat="1">
      <c r="E4024" s="1297" t="s">
        <v>935</v>
      </c>
      <c r="F4024" s="1399"/>
      <c r="G4024" s="1399"/>
      <c r="H4024" s="1399"/>
      <c r="I4024" s="1399">
        <v>745891.4</v>
      </c>
      <c r="J4024" s="1399">
        <v>745891.4</v>
      </c>
    </row>
    <row r="4025" spans="5:10" s="1297" customFormat="1">
      <c r="E4025" s="1297" t="s">
        <v>936</v>
      </c>
      <c r="F4025" s="1399"/>
      <c r="G4025" s="1399"/>
      <c r="H4025" s="1399"/>
      <c r="I4025" s="1399">
        <v>123603.14</v>
      </c>
      <c r="J4025" s="1399">
        <v>123603.14</v>
      </c>
    </row>
    <row r="4026" spans="5:10" s="1297" customFormat="1">
      <c r="E4026" s="1297" t="s">
        <v>937</v>
      </c>
      <c r="F4026" s="1399"/>
      <c r="G4026" s="1399"/>
      <c r="H4026" s="1399"/>
      <c r="I4026" s="1399">
        <v>21879.88</v>
      </c>
      <c r="J4026" s="1399">
        <v>21879.88</v>
      </c>
    </row>
    <row r="4027" spans="5:10" s="1297" customFormat="1">
      <c r="E4027" s="1297" t="s">
        <v>938</v>
      </c>
      <c r="F4027" s="1399"/>
      <c r="G4027" s="1399"/>
      <c r="H4027" s="1399"/>
      <c r="I4027" s="1399">
        <v>42672</v>
      </c>
      <c r="J4027" s="1399">
        <v>42672</v>
      </c>
    </row>
    <row r="4028" spans="5:10" s="1297" customFormat="1">
      <c r="E4028" s="1297" t="s">
        <v>940</v>
      </c>
      <c r="F4028" s="1399">
        <v>2270447.6800000002</v>
      </c>
      <c r="G4028" s="1399"/>
      <c r="H4028" s="1399"/>
      <c r="I4028" s="1399"/>
      <c r="J4028" s="1399">
        <v>2270447.6800000002</v>
      </c>
    </row>
    <row r="4029" spans="5:10" s="1297" customFormat="1">
      <c r="E4029" s="1297" t="s">
        <v>941</v>
      </c>
      <c r="F4029" s="1399">
        <v>970244.66</v>
      </c>
      <c r="G4029" s="1399"/>
      <c r="H4029" s="1399"/>
      <c r="I4029" s="1399"/>
      <c r="J4029" s="1399">
        <v>970244.66</v>
      </c>
    </row>
    <row r="4030" spans="5:10" s="1297" customFormat="1">
      <c r="E4030" s="1297" t="s">
        <v>943</v>
      </c>
      <c r="F4030" s="1399">
        <v>38064.86</v>
      </c>
      <c r="G4030" s="1399"/>
      <c r="H4030" s="1399"/>
      <c r="I4030" s="1399"/>
      <c r="J4030" s="1399">
        <v>38064.86</v>
      </c>
    </row>
    <row r="4031" spans="5:10" s="1297" customFormat="1">
      <c r="E4031" s="1297" t="s">
        <v>944</v>
      </c>
      <c r="F4031" s="1399">
        <v>3605384.1199999996</v>
      </c>
      <c r="G4031" s="1399"/>
      <c r="H4031" s="1399"/>
      <c r="I4031" s="1399"/>
      <c r="J4031" s="1399">
        <v>3605384.1199999996</v>
      </c>
    </row>
    <row r="4032" spans="5:10" s="1297" customFormat="1">
      <c r="E4032" s="1297" t="s">
        <v>945</v>
      </c>
      <c r="F4032" s="1399">
        <v>2937168.5500000003</v>
      </c>
      <c r="G4032" s="1399"/>
      <c r="H4032" s="1399"/>
      <c r="I4032" s="1399"/>
      <c r="J4032" s="1399">
        <v>2937168.5500000003</v>
      </c>
    </row>
    <row r="4033" spans="2:12">
      <c r="B4033" s="1297"/>
      <c r="C4033" s="1297"/>
      <c r="D4033" s="1297"/>
      <c r="E4033" s="1297" t="s">
        <v>946</v>
      </c>
      <c r="F4033" s="1399">
        <v>114946.43</v>
      </c>
      <c r="J4033" s="1399">
        <v>114946.43</v>
      </c>
    </row>
    <row r="4034" spans="2:12">
      <c r="B4034" s="1297"/>
      <c r="C4034" s="1297"/>
      <c r="D4034" s="1297"/>
      <c r="E4034" s="1297" t="s">
        <v>1214</v>
      </c>
      <c r="F4034" s="1399">
        <v>536152.5</v>
      </c>
      <c r="J4034" s="1399">
        <v>536152.5</v>
      </c>
    </row>
    <row r="4035" spans="2:12">
      <c r="B4035" s="1297"/>
      <c r="C4035" s="1297"/>
      <c r="D4035" s="1297"/>
      <c r="E4035" s="1297" t="s">
        <v>947</v>
      </c>
      <c r="F4035" s="1399">
        <v>273313.55</v>
      </c>
      <c r="J4035" s="1399">
        <v>273313.55</v>
      </c>
    </row>
    <row r="4036" spans="2:12">
      <c r="B4036" s="1297"/>
      <c r="C4036" s="1297"/>
      <c r="D4036" s="1297"/>
      <c r="E4036" s="1404" t="s">
        <v>948</v>
      </c>
      <c r="F4036" s="1405"/>
      <c r="G4036" s="1405"/>
      <c r="H4036" s="1405">
        <v>17000792.529999997</v>
      </c>
      <c r="I4036" s="1405"/>
      <c r="J4036" s="1405">
        <v>17000792.529999997</v>
      </c>
    </row>
    <row r="4037" spans="2:12">
      <c r="B4037" s="1297"/>
      <c r="C4037" s="1297"/>
      <c r="D4037" s="1400" t="s">
        <v>1267</v>
      </c>
      <c r="E4037" s="1400"/>
      <c r="F4037" s="1401">
        <f>SUM(F4005:F4036)</f>
        <v>10847549.350000001</v>
      </c>
      <c r="G4037" s="1401">
        <f>SUM(G4005:G4036)</f>
        <v>17241279.460000001</v>
      </c>
      <c r="H4037" s="1401">
        <f>SUM(H4005:H4036)-H4036</f>
        <v>3749214.25</v>
      </c>
      <c r="I4037" s="1401">
        <f>SUM(I4005:I4036)</f>
        <v>40198662.479999997</v>
      </c>
      <c r="J4037" s="1401">
        <f>SUM(J4005:J4036)</f>
        <v>89037498.069999993</v>
      </c>
      <c r="K4037" s="1401">
        <f>SUM(F4037:I4037)</f>
        <v>72036705.539999992</v>
      </c>
      <c r="L4037" s="1408">
        <f>K4037/C4005</f>
        <v>9876.1592459555795</v>
      </c>
    </row>
    <row r="4038" spans="2:12">
      <c r="B4038" s="1297" t="s">
        <v>1268</v>
      </c>
      <c r="C4038" s="1297">
        <v>30758</v>
      </c>
      <c r="D4038" s="1297" t="s">
        <v>1269</v>
      </c>
      <c r="E4038" s="1297" t="s">
        <v>906</v>
      </c>
      <c r="G4038" s="1399">
        <v>94808157.799999997</v>
      </c>
      <c r="J4038" s="1399">
        <v>94808157.799999997</v>
      </c>
    </row>
    <row r="4039" spans="2:12">
      <c r="B4039" s="1297"/>
      <c r="C4039" s="1297"/>
      <c r="D4039" s="1297"/>
      <c r="E4039" s="1297" t="s">
        <v>952</v>
      </c>
      <c r="G4039" s="1399">
        <v>115532.71</v>
      </c>
      <c r="J4039" s="1399">
        <v>115532.71</v>
      </c>
    </row>
    <row r="4040" spans="2:12">
      <c r="B4040" s="1297"/>
      <c r="C4040" s="1297"/>
      <c r="D4040" s="1297"/>
      <c r="E4040" s="1297" t="s">
        <v>907</v>
      </c>
      <c r="G4040" s="1399">
        <v>36286562.030000001</v>
      </c>
      <c r="J4040" s="1399">
        <v>36286562.030000001</v>
      </c>
    </row>
    <row r="4041" spans="2:12">
      <c r="B4041" s="1297"/>
      <c r="C4041" s="1297"/>
      <c r="D4041" s="1297"/>
      <c r="E4041" s="1297" t="s">
        <v>908</v>
      </c>
      <c r="G4041" s="1399">
        <v>133632.60999999999</v>
      </c>
      <c r="J4041" s="1399">
        <v>133632.60999999999</v>
      </c>
    </row>
    <row r="4042" spans="2:12">
      <c r="B4042" s="1297"/>
      <c r="C4042" s="1297"/>
      <c r="D4042" s="1297"/>
      <c r="E4042" s="1297" t="s">
        <v>909</v>
      </c>
      <c r="H4042" s="1399">
        <v>97205.540000000008</v>
      </c>
      <c r="J4042" s="1399">
        <v>97205.540000000008</v>
      </c>
    </row>
    <row r="4043" spans="2:12">
      <c r="B4043" s="1297"/>
      <c r="C4043" s="1297"/>
      <c r="D4043" s="1297"/>
      <c r="E4043" s="1297" t="s">
        <v>910</v>
      </c>
      <c r="H4043" s="1399">
        <v>1149305.1100000001</v>
      </c>
      <c r="J4043" s="1399">
        <v>1149305.1100000001</v>
      </c>
    </row>
    <row r="4044" spans="2:12">
      <c r="B4044" s="1297"/>
      <c r="C4044" s="1297"/>
      <c r="D4044" s="1297"/>
      <c r="E4044" s="1297" t="s">
        <v>1034</v>
      </c>
      <c r="H4044" s="1399">
        <v>518886.19000000006</v>
      </c>
      <c r="J4044" s="1399">
        <v>518886.19000000006</v>
      </c>
    </row>
    <row r="4045" spans="2:12">
      <c r="B4045" s="1297"/>
      <c r="C4045" s="1297"/>
      <c r="D4045" s="1297"/>
      <c r="E4045" s="1297" t="s">
        <v>1035</v>
      </c>
      <c r="H4045" s="1399">
        <v>1491212.9599999997</v>
      </c>
      <c r="J4045" s="1399">
        <v>1491212.9599999997</v>
      </c>
    </row>
    <row r="4046" spans="2:12">
      <c r="B4046" s="1297"/>
      <c r="C4046" s="1297"/>
      <c r="D4046" s="1297"/>
      <c r="E4046" s="1297" t="s">
        <v>1036</v>
      </c>
      <c r="H4046" s="1399">
        <v>640637.00000000012</v>
      </c>
      <c r="J4046" s="1399">
        <v>640637.00000000012</v>
      </c>
    </row>
    <row r="4047" spans="2:12">
      <c r="B4047" s="1297"/>
      <c r="C4047" s="1297"/>
      <c r="D4047" s="1297"/>
      <c r="E4047" s="1297" t="s">
        <v>1037</v>
      </c>
      <c r="H4047" s="1399">
        <v>365595.72</v>
      </c>
      <c r="J4047" s="1399">
        <v>365595.72</v>
      </c>
    </row>
    <row r="4048" spans="2:12">
      <c r="B4048" s="1297"/>
      <c r="C4048" s="1297"/>
      <c r="D4048" s="1297"/>
      <c r="E4048" s="1297" t="s">
        <v>1038</v>
      </c>
      <c r="H4048" s="1399">
        <v>54558</v>
      </c>
      <c r="J4048" s="1399">
        <v>54558</v>
      </c>
    </row>
    <row r="4049" spans="5:10" s="1297" customFormat="1">
      <c r="E4049" s="1297" t="s">
        <v>1003</v>
      </c>
      <c r="F4049" s="1399"/>
      <c r="G4049" s="1399"/>
      <c r="H4049" s="1399">
        <v>704195.51</v>
      </c>
      <c r="I4049" s="1399"/>
      <c r="J4049" s="1399">
        <v>704195.51</v>
      </c>
    </row>
    <row r="4050" spans="5:10" s="1297" customFormat="1">
      <c r="E4050" s="1297" t="s">
        <v>1039</v>
      </c>
      <c r="F4050" s="1399"/>
      <c r="G4050" s="1399"/>
      <c r="H4050" s="1399">
        <v>372295.01</v>
      </c>
      <c r="I4050" s="1399"/>
      <c r="J4050" s="1399">
        <v>372295.01</v>
      </c>
    </row>
    <row r="4051" spans="5:10" s="1297" customFormat="1">
      <c r="E4051" s="1297" t="s">
        <v>1040</v>
      </c>
      <c r="F4051" s="1399"/>
      <c r="G4051" s="1399"/>
      <c r="H4051" s="1399">
        <v>2281296.4099999997</v>
      </c>
      <c r="I4051" s="1399"/>
      <c r="J4051" s="1399">
        <v>2281296.4099999997</v>
      </c>
    </row>
    <row r="4052" spans="5:10" s="1297" customFormat="1">
      <c r="E4052" s="1297" t="s">
        <v>1127</v>
      </c>
      <c r="F4052" s="1399"/>
      <c r="G4052" s="1399"/>
      <c r="H4052" s="1399">
        <v>19500.200000000004</v>
      </c>
      <c r="I4052" s="1399"/>
      <c r="J4052" s="1399">
        <v>19500.200000000004</v>
      </c>
    </row>
    <row r="4053" spans="5:10" s="1297" customFormat="1">
      <c r="E4053" s="1297" t="s">
        <v>1207</v>
      </c>
      <c r="F4053" s="1399"/>
      <c r="G4053" s="1399"/>
      <c r="H4053" s="1399">
        <v>-299.97000000000003</v>
      </c>
      <c r="I4053" s="1399"/>
      <c r="J4053" s="1399">
        <v>-299.97000000000003</v>
      </c>
    </row>
    <row r="4054" spans="5:10" s="1297" customFormat="1">
      <c r="E4054" s="1297" t="s">
        <v>1041</v>
      </c>
      <c r="F4054" s="1399"/>
      <c r="G4054" s="1399"/>
      <c r="H4054" s="1399">
        <v>910288.74999999977</v>
      </c>
      <c r="I4054" s="1399"/>
      <c r="J4054" s="1399">
        <v>910288.74999999977</v>
      </c>
    </row>
    <row r="4055" spans="5:10" s="1297" customFormat="1">
      <c r="E4055" s="1297" t="s">
        <v>1042</v>
      </c>
      <c r="F4055" s="1399"/>
      <c r="G4055" s="1399"/>
      <c r="H4055" s="1399">
        <v>506364.04</v>
      </c>
      <c r="I4055" s="1399"/>
      <c r="J4055" s="1399">
        <v>506364.04</v>
      </c>
    </row>
    <row r="4056" spans="5:10" s="1297" customFormat="1">
      <c r="E4056" s="1297" t="s">
        <v>953</v>
      </c>
      <c r="F4056" s="1399"/>
      <c r="G4056" s="1399"/>
      <c r="H4056" s="1399">
        <v>44928.75</v>
      </c>
      <c r="I4056" s="1399"/>
      <c r="J4056" s="1399">
        <v>44928.75</v>
      </c>
    </row>
    <row r="4057" spans="5:10" s="1297" customFormat="1">
      <c r="E4057" s="1297" t="s">
        <v>1043</v>
      </c>
      <c r="F4057" s="1399"/>
      <c r="G4057" s="1399"/>
      <c r="H4057" s="1399">
        <v>74068.600000000006</v>
      </c>
      <c r="I4057" s="1399"/>
      <c r="J4057" s="1399">
        <v>74068.600000000006</v>
      </c>
    </row>
    <row r="4058" spans="5:10" s="1297" customFormat="1">
      <c r="E4058" s="1297" t="s">
        <v>1203</v>
      </c>
      <c r="F4058" s="1399"/>
      <c r="G4058" s="1399"/>
      <c r="H4058" s="1399">
        <v>765</v>
      </c>
      <c r="I4058" s="1399"/>
      <c r="J4058" s="1399">
        <v>765</v>
      </c>
    </row>
    <row r="4059" spans="5:10" s="1297" customFormat="1">
      <c r="E4059" s="1297" t="s">
        <v>996</v>
      </c>
      <c r="F4059" s="1399"/>
      <c r="G4059" s="1399"/>
      <c r="H4059" s="1399">
        <v>212480.23</v>
      </c>
      <c r="I4059" s="1399"/>
      <c r="J4059" s="1399">
        <v>212480.23</v>
      </c>
    </row>
    <row r="4060" spans="5:10" s="1297" customFormat="1">
      <c r="E4060" s="1297" t="s">
        <v>1044</v>
      </c>
      <c r="F4060" s="1399">
        <v>2104606.09</v>
      </c>
      <c r="G4060" s="1399"/>
      <c r="H4060" s="1399"/>
      <c r="I4060" s="1399"/>
      <c r="J4060" s="1399">
        <v>2104606.09</v>
      </c>
    </row>
    <row r="4061" spans="5:10" s="1297" customFormat="1">
      <c r="E4061" s="1297" t="s">
        <v>1045</v>
      </c>
      <c r="F4061" s="1399"/>
      <c r="G4061" s="1399"/>
      <c r="H4061" s="1399">
        <v>3283916.3400000026</v>
      </c>
      <c r="I4061" s="1399"/>
      <c r="J4061" s="1399">
        <v>3283916.3400000026</v>
      </c>
    </row>
    <row r="4062" spans="5:10" s="1297" customFormat="1">
      <c r="E4062" s="1297" t="s">
        <v>1046</v>
      </c>
      <c r="F4062" s="1399"/>
      <c r="G4062" s="1399"/>
      <c r="H4062" s="1399"/>
      <c r="I4062" s="1399">
        <v>179903346</v>
      </c>
      <c r="J4062" s="1399">
        <v>179903346</v>
      </c>
    </row>
    <row r="4063" spans="5:10" s="1297" customFormat="1">
      <c r="E4063" s="1297" t="s">
        <v>1048</v>
      </c>
      <c r="F4063" s="1399"/>
      <c r="G4063" s="1399"/>
      <c r="H4063" s="1399"/>
      <c r="I4063" s="1399">
        <v>-20738833</v>
      </c>
      <c r="J4063" s="1399">
        <v>-20738833</v>
      </c>
    </row>
    <row r="4064" spans="5:10" s="1297" customFormat="1">
      <c r="E4064" s="1404" t="s">
        <v>955</v>
      </c>
      <c r="F4064" s="1405"/>
      <c r="G4064" s="1405"/>
      <c r="H4064" s="1405"/>
      <c r="I4064" s="1405">
        <v>5035782.76</v>
      </c>
      <c r="J4064" s="1405">
        <v>5035782.76</v>
      </c>
    </row>
    <row r="4065" spans="5:10" s="1297" customFormat="1">
      <c r="E4065" s="1297" t="s">
        <v>934</v>
      </c>
      <c r="F4065" s="1399"/>
      <c r="G4065" s="1399"/>
      <c r="H4065" s="1399"/>
      <c r="I4065" s="1399">
        <v>498856</v>
      </c>
      <c r="J4065" s="1399">
        <v>498856</v>
      </c>
    </row>
    <row r="4066" spans="5:10" s="1297" customFormat="1">
      <c r="E4066" s="1297" t="s">
        <v>1130</v>
      </c>
      <c r="F4066" s="1399"/>
      <c r="G4066" s="1399"/>
      <c r="H4066" s="1399"/>
      <c r="I4066" s="1399">
        <v>3275373.18</v>
      </c>
      <c r="J4066" s="1399">
        <v>3275373.18</v>
      </c>
    </row>
    <row r="4067" spans="5:10" s="1297" customFormat="1">
      <c r="E4067" s="1297" t="s">
        <v>935</v>
      </c>
      <c r="F4067" s="1399"/>
      <c r="G4067" s="1399"/>
      <c r="H4067" s="1399"/>
      <c r="I4067" s="1399">
        <v>3094177.43</v>
      </c>
      <c r="J4067" s="1399">
        <v>3094177.43</v>
      </c>
    </row>
    <row r="4068" spans="5:10" s="1297" customFormat="1">
      <c r="E4068" s="1297" t="s">
        <v>936</v>
      </c>
      <c r="F4068" s="1399"/>
      <c r="G4068" s="1399"/>
      <c r="H4068" s="1399"/>
      <c r="I4068" s="1399">
        <v>645295.93000000005</v>
      </c>
      <c r="J4068" s="1399">
        <v>645295.93000000005</v>
      </c>
    </row>
    <row r="4069" spans="5:10" s="1297" customFormat="1">
      <c r="E4069" s="1297" t="s">
        <v>937</v>
      </c>
      <c r="F4069" s="1399"/>
      <c r="G4069" s="1399"/>
      <c r="H4069" s="1399"/>
      <c r="I4069" s="1399">
        <v>120992.79000000001</v>
      </c>
      <c r="J4069" s="1399">
        <v>120992.79000000001</v>
      </c>
    </row>
    <row r="4070" spans="5:10" s="1297" customFormat="1">
      <c r="E4070" s="1297" t="s">
        <v>938</v>
      </c>
      <c r="F4070" s="1399"/>
      <c r="G4070" s="1399"/>
      <c r="H4070" s="1399"/>
      <c r="I4070" s="1399">
        <v>189030</v>
      </c>
      <c r="J4070" s="1399">
        <v>189030</v>
      </c>
    </row>
    <row r="4071" spans="5:10" s="1297" customFormat="1">
      <c r="E4071" s="1297" t="s">
        <v>939</v>
      </c>
      <c r="F4071" s="1399"/>
      <c r="G4071" s="1399"/>
      <c r="H4071" s="1399"/>
      <c r="I4071" s="1399">
        <v>242677.38000000006</v>
      </c>
      <c r="J4071" s="1399">
        <v>242677.38000000006</v>
      </c>
    </row>
    <row r="4072" spans="5:10" s="1297" customFormat="1">
      <c r="E4072" s="1297" t="s">
        <v>1131</v>
      </c>
      <c r="F4072" s="1399">
        <v>605481.6</v>
      </c>
      <c r="G4072" s="1399"/>
      <c r="H4072" s="1399"/>
      <c r="I4072" s="1399"/>
      <c r="J4072" s="1399">
        <v>605481.6</v>
      </c>
    </row>
    <row r="4073" spans="5:10" s="1297" customFormat="1">
      <c r="E4073" s="1297" t="s">
        <v>940</v>
      </c>
      <c r="F4073" s="1399">
        <v>8914072.4400000013</v>
      </c>
      <c r="G4073" s="1399"/>
      <c r="H4073" s="1399"/>
      <c r="I4073" s="1399"/>
      <c r="J4073" s="1399">
        <v>8914072.4400000013</v>
      </c>
    </row>
    <row r="4074" spans="5:10" s="1297" customFormat="1">
      <c r="E4074" s="1297" t="s">
        <v>941</v>
      </c>
      <c r="F4074" s="1399">
        <v>2679966.6800000002</v>
      </c>
      <c r="G4074" s="1399"/>
      <c r="H4074" s="1399"/>
      <c r="I4074" s="1399"/>
      <c r="J4074" s="1399">
        <v>2679966.6800000002</v>
      </c>
    </row>
    <row r="4075" spans="5:10" s="1297" customFormat="1">
      <c r="E4075" s="1297" t="s">
        <v>943</v>
      </c>
      <c r="F4075" s="1399">
        <v>46941.159999999996</v>
      </c>
      <c r="G4075" s="1399"/>
      <c r="H4075" s="1399"/>
      <c r="I4075" s="1399"/>
      <c r="J4075" s="1399">
        <v>46941.159999999996</v>
      </c>
    </row>
    <row r="4076" spans="5:10" s="1297" customFormat="1">
      <c r="E4076" s="1297" t="s">
        <v>944</v>
      </c>
      <c r="F4076" s="1399">
        <v>23128175.350000005</v>
      </c>
      <c r="G4076" s="1399"/>
      <c r="H4076" s="1399"/>
      <c r="I4076" s="1399"/>
      <c r="J4076" s="1399">
        <v>23128175.350000005</v>
      </c>
    </row>
    <row r="4077" spans="5:10" s="1297" customFormat="1">
      <c r="E4077" s="1297" t="s">
        <v>945</v>
      </c>
      <c r="F4077" s="1399">
        <v>21091744.500000004</v>
      </c>
      <c r="G4077" s="1399"/>
      <c r="H4077" s="1399"/>
      <c r="I4077" s="1399"/>
      <c r="J4077" s="1399">
        <v>21091744.500000004</v>
      </c>
    </row>
    <row r="4078" spans="5:10" s="1297" customFormat="1">
      <c r="E4078" s="1297" t="s">
        <v>946</v>
      </c>
      <c r="F4078" s="1399">
        <v>1769827.79</v>
      </c>
      <c r="G4078" s="1399"/>
      <c r="H4078" s="1399"/>
      <c r="I4078" s="1399"/>
      <c r="J4078" s="1399">
        <v>1769827.79</v>
      </c>
    </row>
    <row r="4079" spans="5:10" s="1297" customFormat="1">
      <c r="E4079" s="1297" t="s">
        <v>978</v>
      </c>
      <c r="F4079" s="1399">
        <v>536235.04</v>
      </c>
      <c r="G4079" s="1399"/>
      <c r="H4079" s="1399"/>
      <c r="I4079" s="1399"/>
      <c r="J4079" s="1399">
        <v>536235.04</v>
      </c>
    </row>
    <row r="4080" spans="5:10" s="1297" customFormat="1">
      <c r="E4080" s="1297" t="s">
        <v>1006</v>
      </c>
      <c r="F4080" s="1399">
        <v>1579998.22</v>
      </c>
      <c r="G4080" s="1399"/>
      <c r="H4080" s="1399"/>
      <c r="I4080" s="1399"/>
      <c r="J4080" s="1399">
        <v>1579998.22</v>
      </c>
    </row>
    <row r="4081" spans="2:12">
      <c r="B4081" s="1297"/>
      <c r="C4081" s="1297"/>
      <c r="D4081" s="1297"/>
      <c r="E4081" s="1297" t="s">
        <v>947</v>
      </c>
      <c r="F4081" s="1399">
        <v>431615.82000000007</v>
      </c>
      <c r="J4081" s="1399">
        <v>431615.82000000007</v>
      </c>
    </row>
    <row r="4082" spans="2:12">
      <c r="B4082" s="1297"/>
      <c r="C4082" s="1297"/>
      <c r="D4082" s="1297"/>
      <c r="E4082" s="1297" t="s">
        <v>1115</v>
      </c>
      <c r="F4082" s="1399">
        <v>131971.23000000001</v>
      </c>
      <c r="J4082" s="1399">
        <v>131971.23000000001</v>
      </c>
    </row>
    <row r="4083" spans="2:12">
      <c r="B4083" s="1297"/>
      <c r="C4083" s="1297"/>
      <c r="D4083" s="1297"/>
      <c r="E4083" s="1404" t="s">
        <v>1116</v>
      </c>
      <c r="F4083" s="1405"/>
      <c r="G4083" s="1405"/>
      <c r="H4083" s="1405">
        <v>17984610</v>
      </c>
      <c r="I4083" s="1405"/>
      <c r="J4083" s="1405">
        <v>17984610</v>
      </c>
    </row>
    <row r="4084" spans="2:12">
      <c r="B4084" s="1297"/>
      <c r="C4084" s="1297"/>
      <c r="D4084" s="1297"/>
      <c r="E4084" s="1297" t="s">
        <v>1117</v>
      </c>
      <c r="H4084" s="1399">
        <v>1321139.05</v>
      </c>
      <c r="J4084" s="1399">
        <v>1321139.05</v>
      </c>
    </row>
    <row r="4085" spans="2:12">
      <c r="B4085" s="1297"/>
      <c r="C4085" s="1297"/>
      <c r="D4085" s="1297"/>
      <c r="E4085" s="1404" t="s">
        <v>948</v>
      </c>
      <c r="F4085" s="1405"/>
      <c r="G4085" s="1405"/>
      <c r="H4085" s="1405">
        <v>27923395.34</v>
      </c>
      <c r="I4085" s="1405"/>
      <c r="J4085" s="1405">
        <v>27923395.34</v>
      </c>
    </row>
    <row r="4086" spans="2:12">
      <c r="B4086" s="1297"/>
      <c r="C4086" s="1297"/>
      <c r="D4086" s="1297"/>
      <c r="E4086" s="1297" t="s">
        <v>956</v>
      </c>
      <c r="H4086" s="1399">
        <v>177317.77</v>
      </c>
      <c r="J4086" s="1399">
        <v>177317.77</v>
      </c>
    </row>
    <row r="4087" spans="2:12">
      <c r="B4087" s="1297"/>
      <c r="C4087" s="1297"/>
      <c r="D4087" s="1297"/>
      <c r="E4087" s="1297" t="s">
        <v>1118</v>
      </c>
      <c r="H4087" s="1399">
        <v>79143.48</v>
      </c>
      <c r="J4087" s="1399">
        <v>79143.48</v>
      </c>
    </row>
    <row r="4088" spans="2:12">
      <c r="B4088" s="1297"/>
      <c r="C4088" s="1297"/>
      <c r="D4088" s="1297"/>
      <c r="E4088" s="1297" t="s">
        <v>1270</v>
      </c>
      <c r="H4088" s="1399">
        <v>16</v>
      </c>
      <c r="J4088" s="1399">
        <v>16</v>
      </c>
    </row>
    <row r="4089" spans="2:12">
      <c r="B4089" s="1297"/>
      <c r="C4089" s="1297"/>
      <c r="D4089" s="1297"/>
      <c r="E4089" s="1297" t="s">
        <v>1271</v>
      </c>
      <c r="H4089" s="1399">
        <v>11960.04</v>
      </c>
      <c r="J4089" s="1399">
        <v>11960.04</v>
      </c>
    </row>
    <row r="4090" spans="2:12">
      <c r="B4090" s="1297"/>
      <c r="C4090" s="1297"/>
      <c r="D4090" s="1400" t="s">
        <v>1272</v>
      </c>
      <c r="E4090" s="1400"/>
      <c r="F4090" s="1401">
        <f>SUM(F4038:F4089)</f>
        <v>63020635.920000002</v>
      </c>
      <c r="G4090" s="1401">
        <f>SUM(G4038:G4089)</f>
        <v>131343885.14999999</v>
      </c>
      <c r="H4090" s="1401">
        <f>SUM(H4038:H4089)-(H4083+H4085)</f>
        <v>14316775.729999997</v>
      </c>
      <c r="I4090" s="1401">
        <f>SUM(I4038:I4089)-I4064</f>
        <v>167230915.71000001</v>
      </c>
      <c r="J4090" s="1401">
        <f>SUM(J4038:J4089)</f>
        <v>426856000.61000013</v>
      </c>
      <c r="K4090" s="1401">
        <f>SUM(F4090:I4090)</f>
        <v>375912212.50999999</v>
      </c>
      <c r="L4090" s="1408">
        <f>K4090/C4038</f>
        <v>12221.607793419598</v>
      </c>
    </row>
    <row r="4091" spans="2:12">
      <c r="B4091" s="1297" t="s">
        <v>1273</v>
      </c>
      <c r="C4091" s="1297">
        <v>18522</v>
      </c>
      <c r="D4091" s="1297" t="s">
        <v>1274</v>
      </c>
      <c r="E4091" s="1297" t="s">
        <v>906</v>
      </c>
      <c r="G4091" s="1399">
        <v>47120046.18</v>
      </c>
      <c r="J4091" s="1399">
        <v>47120046.18</v>
      </c>
    </row>
    <row r="4092" spans="2:12">
      <c r="B4092" s="1297"/>
      <c r="C4092" s="1297"/>
      <c r="D4092" s="1297"/>
      <c r="E4092" s="1297" t="s">
        <v>952</v>
      </c>
      <c r="G4092" s="1399">
        <v>451338.95</v>
      </c>
      <c r="J4092" s="1399">
        <v>451338.95</v>
      </c>
    </row>
    <row r="4093" spans="2:12">
      <c r="B4093" s="1297"/>
      <c r="C4093" s="1297"/>
      <c r="D4093" s="1297"/>
      <c r="E4093" s="1297" t="s">
        <v>907</v>
      </c>
      <c r="G4093" s="1399">
        <v>9893666.2200000007</v>
      </c>
      <c r="J4093" s="1399">
        <v>9893666.2200000007</v>
      </c>
    </row>
    <row r="4094" spans="2:12">
      <c r="B4094" s="1297"/>
      <c r="C4094" s="1297"/>
      <c r="D4094" s="1297"/>
      <c r="E4094" s="1297" t="s">
        <v>908</v>
      </c>
      <c r="G4094" s="1399">
        <v>23227.22</v>
      </c>
      <c r="J4094" s="1399">
        <v>23227.22</v>
      </c>
    </row>
    <row r="4095" spans="2:12">
      <c r="B4095" s="1297"/>
      <c r="C4095" s="1297"/>
      <c r="D4095" s="1297"/>
      <c r="E4095" s="1297" t="s">
        <v>1039</v>
      </c>
      <c r="H4095" s="1399">
        <v>95292.27</v>
      </c>
      <c r="J4095" s="1399">
        <v>95292.27</v>
      </c>
    </row>
    <row r="4096" spans="2:12">
      <c r="B4096" s="1297"/>
      <c r="C4096" s="1297"/>
      <c r="D4096" s="1297"/>
      <c r="E4096" s="1297" t="s">
        <v>1040</v>
      </c>
      <c r="H4096" s="1399">
        <v>1593460.7299999997</v>
      </c>
      <c r="J4096" s="1399">
        <v>1593460.7299999997</v>
      </c>
    </row>
    <row r="4097" spans="5:10" s="1297" customFormat="1">
      <c r="E4097" s="1297" t="s">
        <v>1041</v>
      </c>
      <c r="F4097" s="1399"/>
      <c r="G4097" s="1399"/>
      <c r="H4097" s="1399">
        <v>563414.65000000014</v>
      </c>
      <c r="I4097" s="1399"/>
      <c r="J4097" s="1399">
        <v>563414.65000000014</v>
      </c>
    </row>
    <row r="4098" spans="5:10" s="1297" customFormat="1">
      <c r="E4098" s="1297" t="s">
        <v>1042</v>
      </c>
      <c r="F4098" s="1399"/>
      <c r="G4098" s="1399"/>
      <c r="H4098" s="1399">
        <v>200573.47</v>
      </c>
      <c r="I4098" s="1399"/>
      <c r="J4098" s="1399">
        <v>200573.47</v>
      </c>
    </row>
    <row r="4099" spans="5:10" s="1297" customFormat="1">
      <c r="E4099" s="1297" t="s">
        <v>954</v>
      </c>
      <c r="F4099" s="1399"/>
      <c r="G4099" s="1399"/>
      <c r="H4099" s="1399">
        <v>2717653.67</v>
      </c>
      <c r="I4099" s="1399"/>
      <c r="J4099" s="1399">
        <v>2717653.67</v>
      </c>
    </row>
    <row r="4100" spans="5:10" s="1297" customFormat="1">
      <c r="E4100" s="1297" t="s">
        <v>985</v>
      </c>
      <c r="F4100" s="1399"/>
      <c r="G4100" s="1399"/>
      <c r="H4100" s="1399">
        <v>699022.16</v>
      </c>
      <c r="I4100" s="1399"/>
      <c r="J4100" s="1399">
        <v>699022.16</v>
      </c>
    </row>
    <row r="4101" spans="5:10" s="1297" customFormat="1">
      <c r="E4101" s="1297" t="s">
        <v>986</v>
      </c>
      <c r="F4101" s="1399"/>
      <c r="G4101" s="1399"/>
      <c r="H4101" s="1399">
        <v>38707.589999999997</v>
      </c>
      <c r="I4101" s="1399"/>
      <c r="J4101" s="1399">
        <v>38707.589999999997</v>
      </c>
    </row>
    <row r="4102" spans="5:10" s="1297" customFormat="1">
      <c r="E4102" s="1297" t="s">
        <v>996</v>
      </c>
      <c r="F4102" s="1399"/>
      <c r="G4102" s="1399"/>
      <c r="H4102" s="1399">
        <v>5035.87</v>
      </c>
      <c r="I4102" s="1399"/>
      <c r="J4102" s="1399">
        <v>5035.87</v>
      </c>
    </row>
    <row r="4103" spans="5:10" s="1297" customFormat="1">
      <c r="E4103" s="1297" t="s">
        <v>1044</v>
      </c>
      <c r="F4103" s="1399"/>
      <c r="G4103" s="1399"/>
      <c r="H4103" s="1399">
        <v>69967.520000000004</v>
      </c>
      <c r="I4103" s="1399"/>
      <c r="J4103" s="1399">
        <v>69967.520000000004</v>
      </c>
    </row>
    <row r="4104" spans="5:10" s="1297" customFormat="1">
      <c r="E4104" s="1297" t="s">
        <v>1045</v>
      </c>
      <c r="F4104" s="1399"/>
      <c r="G4104" s="1399"/>
      <c r="H4104" s="1399">
        <v>445527.61000000004</v>
      </c>
      <c r="I4104" s="1399"/>
      <c r="J4104" s="1399">
        <v>445527.61000000004</v>
      </c>
    </row>
    <row r="4105" spans="5:10" s="1297" customFormat="1">
      <c r="E4105" s="1297" t="s">
        <v>1046</v>
      </c>
      <c r="F4105" s="1399"/>
      <c r="G4105" s="1399"/>
      <c r="H4105" s="1399"/>
      <c r="I4105" s="1399">
        <v>94627680</v>
      </c>
      <c r="J4105" s="1399">
        <v>94627680</v>
      </c>
    </row>
    <row r="4106" spans="5:10" s="1297" customFormat="1">
      <c r="E4106" s="1297" t="s">
        <v>1128</v>
      </c>
      <c r="F4106" s="1399"/>
      <c r="G4106" s="1399"/>
      <c r="H4106" s="1399"/>
      <c r="I4106" s="1399">
        <v>8329566</v>
      </c>
      <c r="J4106" s="1399">
        <v>8329566</v>
      </c>
    </row>
    <row r="4107" spans="5:10" s="1297" customFormat="1">
      <c r="E4107" s="1297" t="s">
        <v>1129</v>
      </c>
      <c r="F4107" s="1399"/>
      <c r="G4107" s="1399"/>
      <c r="H4107" s="1399"/>
      <c r="I4107" s="1399">
        <v>-13202260</v>
      </c>
      <c r="J4107" s="1399">
        <v>-13202260</v>
      </c>
    </row>
    <row r="4108" spans="5:10" s="1297" customFormat="1">
      <c r="E4108" s="1297" t="s">
        <v>1047</v>
      </c>
      <c r="F4108" s="1399"/>
      <c r="G4108" s="1399"/>
      <c r="H4108" s="1399"/>
      <c r="I4108" s="1399">
        <v>1645649</v>
      </c>
      <c r="J4108" s="1399">
        <v>1645649</v>
      </c>
    </row>
    <row r="4109" spans="5:10" s="1297" customFormat="1">
      <c r="E4109" s="1297" t="s">
        <v>1048</v>
      </c>
      <c r="F4109" s="1399"/>
      <c r="G4109" s="1399"/>
      <c r="H4109" s="1399"/>
      <c r="I4109" s="1399">
        <v>-13904941</v>
      </c>
      <c r="J4109" s="1399">
        <v>-13904941</v>
      </c>
    </row>
    <row r="4110" spans="5:10" s="1297" customFormat="1">
      <c r="E4110" s="1297" t="s">
        <v>932</v>
      </c>
      <c r="F4110" s="1399"/>
      <c r="G4110" s="1399"/>
      <c r="H4110" s="1399"/>
      <c r="I4110" s="1399">
        <v>11430913</v>
      </c>
      <c r="J4110" s="1399">
        <v>11430913</v>
      </c>
    </row>
    <row r="4111" spans="5:10" s="1297" customFormat="1">
      <c r="E4111" s="1404" t="s">
        <v>955</v>
      </c>
      <c r="F4111" s="1405"/>
      <c r="G4111" s="1405"/>
      <c r="H4111" s="1405"/>
      <c r="I4111" s="1405">
        <v>2369694.87</v>
      </c>
      <c r="J4111" s="1405">
        <v>2369694.87</v>
      </c>
    </row>
    <row r="4112" spans="5:10" s="1297" customFormat="1">
      <c r="E4112" s="1297" t="s">
        <v>934</v>
      </c>
      <c r="F4112" s="1399"/>
      <c r="G4112" s="1399"/>
      <c r="H4112" s="1399"/>
      <c r="I4112" s="1399">
        <v>292530</v>
      </c>
      <c r="J4112" s="1399">
        <v>292530</v>
      </c>
    </row>
    <row r="4113" spans="5:10" s="1297" customFormat="1">
      <c r="E4113" s="1297" t="s">
        <v>1130</v>
      </c>
      <c r="F4113" s="1399"/>
      <c r="G4113" s="1399"/>
      <c r="H4113" s="1399"/>
      <c r="I4113" s="1399">
        <v>7159652.0999999996</v>
      </c>
      <c r="J4113" s="1399">
        <v>7159652.0999999996</v>
      </c>
    </row>
    <row r="4114" spans="5:10" s="1297" customFormat="1">
      <c r="E4114" s="1297" t="s">
        <v>935</v>
      </c>
      <c r="F4114" s="1399"/>
      <c r="G4114" s="1399"/>
      <c r="H4114" s="1399"/>
      <c r="I4114" s="1399">
        <v>1632816.15</v>
      </c>
      <c r="J4114" s="1399">
        <v>1632816.15</v>
      </c>
    </row>
    <row r="4115" spans="5:10" s="1297" customFormat="1">
      <c r="E4115" s="1297" t="s">
        <v>936</v>
      </c>
      <c r="F4115" s="1399"/>
      <c r="G4115" s="1399"/>
      <c r="H4115" s="1399"/>
      <c r="I4115" s="1399">
        <v>303930.65999999997</v>
      </c>
      <c r="J4115" s="1399">
        <v>303930.65999999997</v>
      </c>
    </row>
    <row r="4116" spans="5:10" s="1297" customFormat="1">
      <c r="E4116" s="1297" t="s">
        <v>937</v>
      </c>
      <c r="F4116" s="1399"/>
      <c r="G4116" s="1399"/>
      <c r="H4116" s="1399"/>
      <c r="I4116" s="1399">
        <v>17273.8</v>
      </c>
      <c r="J4116" s="1399">
        <v>17273.8</v>
      </c>
    </row>
    <row r="4117" spans="5:10" s="1297" customFormat="1">
      <c r="E4117" s="1297" t="s">
        <v>938</v>
      </c>
      <c r="F4117" s="1399"/>
      <c r="G4117" s="1399"/>
      <c r="H4117" s="1399"/>
      <c r="I4117" s="1399">
        <v>104622</v>
      </c>
      <c r="J4117" s="1399">
        <v>104622</v>
      </c>
    </row>
    <row r="4118" spans="5:10" s="1297" customFormat="1">
      <c r="E4118" s="1297" t="s">
        <v>939</v>
      </c>
      <c r="F4118" s="1399"/>
      <c r="G4118" s="1399"/>
      <c r="H4118" s="1399"/>
      <c r="I4118" s="1399">
        <v>567222.91999999993</v>
      </c>
      <c r="J4118" s="1399">
        <v>567222.91999999993</v>
      </c>
    </row>
    <row r="4119" spans="5:10" s="1297" customFormat="1">
      <c r="E4119" s="1297" t="s">
        <v>1131</v>
      </c>
      <c r="F4119" s="1399">
        <v>60783.22</v>
      </c>
      <c r="G4119" s="1399"/>
      <c r="H4119" s="1399"/>
      <c r="I4119" s="1399"/>
      <c r="J4119" s="1399">
        <v>60783.22</v>
      </c>
    </row>
    <row r="4120" spans="5:10" s="1297" customFormat="1">
      <c r="E4120" s="1297" t="s">
        <v>940</v>
      </c>
      <c r="F4120" s="1399">
        <v>5206367.9399999995</v>
      </c>
      <c r="G4120" s="1399"/>
      <c r="H4120" s="1399"/>
      <c r="I4120" s="1399"/>
      <c r="J4120" s="1399">
        <v>5206367.9399999995</v>
      </c>
    </row>
    <row r="4121" spans="5:10" s="1297" customFormat="1">
      <c r="E4121" s="1297" t="s">
        <v>941</v>
      </c>
      <c r="F4121" s="1399">
        <v>1759267.8399999996</v>
      </c>
      <c r="G4121" s="1399"/>
      <c r="H4121" s="1399"/>
      <c r="I4121" s="1399"/>
      <c r="J4121" s="1399">
        <v>1759267.8399999996</v>
      </c>
    </row>
    <row r="4122" spans="5:10" s="1297" customFormat="1">
      <c r="E4122" s="1297" t="s">
        <v>943</v>
      </c>
      <c r="F4122" s="1399">
        <v>69289.899999999994</v>
      </c>
      <c r="G4122" s="1399"/>
      <c r="H4122" s="1399"/>
      <c r="I4122" s="1399"/>
      <c r="J4122" s="1399">
        <v>69289.899999999994</v>
      </c>
    </row>
    <row r="4123" spans="5:10" s="1297" customFormat="1">
      <c r="E4123" s="1297" t="s">
        <v>944</v>
      </c>
      <c r="F4123" s="1399">
        <v>9351672.0999999996</v>
      </c>
      <c r="G4123" s="1399"/>
      <c r="H4123" s="1399"/>
      <c r="I4123" s="1399"/>
      <c r="J4123" s="1399">
        <v>9351672.0999999996</v>
      </c>
    </row>
    <row r="4124" spans="5:10" s="1297" customFormat="1">
      <c r="E4124" s="1297" t="s">
        <v>945</v>
      </c>
      <c r="F4124" s="1399">
        <v>8162431.9699999997</v>
      </c>
      <c r="G4124" s="1399"/>
      <c r="H4124" s="1399"/>
      <c r="I4124" s="1399"/>
      <c r="J4124" s="1399">
        <v>8162431.9699999997</v>
      </c>
    </row>
    <row r="4125" spans="5:10" s="1297" customFormat="1">
      <c r="E4125" s="1297" t="s">
        <v>978</v>
      </c>
      <c r="F4125" s="1399">
        <v>3596.52</v>
      </c>
      <c r="G4125" s="1399"/>
      <c r="H4125" s="1399"/>
      <c r="I4125" s="1399"/>
      <c r="J4125" s="1399">
        <v>3596.52</v>
      </c>
    </row>
    <row r="4126" spans="5:10" s="1297" customFormat="1">
      <c r="E4126" s="1297" t="s">
        <v>947</v>
      </c>
      <c r="F4126" s="1399">
        <v>292556.5</v>
      </c>
      <c r="G4126" s="1399"/>
      <c r="H4126" s="1399"/>
      <c r="I4126" s="1399"/>
      <c r="J4126" s="1399">
        <v>292556.5</v>
      </c>
    </row>
    <row r="4127" spans="5:10" s="1297" customFormat="1">
      <c r="E4127" s="1297" t="s">
        <v>1115</v>
      </c>
      <c r="F4127" s="1399">
        <v>460229.99</v>
      </c>
      <c r="G4127" s="1399"/>
      <c r="H4127" s="1399"/>
      <c r="I4127" s="1399"/>
      <c r="J4127" s="1399">
        <v>460229.99</v>
      </c>
    </row>
    <row r="4128" spans="5:10" s="1297" customFormat="1">
      <c r="E4128" s="1404" t="s">
        <v>1116</v>
      </c>
      <c r="F4128" s="1405"/>
      <c r="G4128" s="1405"/>
      <c r="H4128" s="1405">
        <v>24942763.190000001</v>
      </c>
      <c r="I4128" s="1405"/>
      <c r="J4128" s="1405">
        <v>24942763.190000001</v>
      </c>
    </row>
    <row r="4129" spans="2:12">
      <c r="B4129" s="1297"/>
      <c r="C4129" s="1297"/>
      <c r="D4129" s="1297"/>
      <c r="E4129" s="1404" t="s">
        <v>948</v>
      </c>
      <c r="F4129" s="1405"/>
      <c r="G4129" s="1405"/>
      <c r="H4129" s="1405">
        <v>17405434.600000001</v>
      </c>
      <c r="I4129" s="1405"/>
      <c r="J4129" s="1405">
        <v>17405434.600000001</v>
      </c>
    </row>
    <row r="4130" spans="2:12">
      <c r="B4130" s="1297"/>
      <c r="C4130" s="1297"/>
      <c r="D4130" s="1297"/>
      <c r="E4130" s="1297" t="s">
        <v>956</v>
      </c>
      <c r="H4130" s="1399">
        <v>2810.14</v>
      </c>
      <c r="J4130" s="1399">
        <v>2810.14</v>
      </c>
    </row>
    <row r="4131" spans="2:12">
      <c r="B4131" s="1297"/>
      <c r="C4131" s="1297"/>
      <c r="D4131" s="1400" t="s">
        <v>1275</v>
      </c>
      <c r="E4131" s="1400"/>
      <c r="F4131" s="1401">
        <f>SUM(F4091:F4130)</f>
        <v>25366195.979999997</v>
      </c>
      <c r="G4131" s="1401">
        <f>SUM(G4091:G4130)</f>
        <v>57488278.57</v>
      </c>
      <c r="H4131" s="1401">
        <f>SUM(H4091:H4130)-(H4128+H4129)</f>
        <v>6431465.6799999923</v>
      </c>
      <c r="I4131" s="1401">
        <f>SUM(I4091:I4130)-I4111</f>
        <v>99004654.629999995</v>
      </c>
      <c r="J4131" s="1401">
        <f>SUM(J4091:J4130)</f>
        <v>233008487.52000001</v>
      </c>
      <c r="K4131" s="1401">
        <f>SUM(F4131:I4131)</f>
        <v>188290594.85999998</v>
      </c>
      <c r="L4131" s="1408">
        <f>K4131/C4091</f>
        <v>10165.780955620343</v>
      </c>
    </row>
    <row r="4132" spans="2:12">
      <c r="B4132" s="1297" t="s">
        <v>1276</v>
      </c>
      <c r="C4132" s="1297">
        <v>6368</v>
      </c>
      <c r="D4132" s="1297" t="s">
        <v>1277</v>
      </c>
      <c r="E4132" s="1297" t="s">
        <v>906</v>
      </c>
      <c r="G4132" s="1399">
        <v>27047234.119999997</v>
      </c>
      <c r="J4132" s="1399">
        <v>27047234.119999997</v>
      </c>
    </row>
    <row r="4133" spans="2:12">
      <c r="B4133" s="1297"/>
      <c r="C4133" s="1297"/>
      <c r="D4133" s="1297"/>
      <c r="E4133" s="1297" t="s">
        <v>952</v>
      </c>
      <c r="G4133" s="1399">
        <v>390401.43000000005</v>
      </c>
      <c r="J4133" s="1399">
        <v>390401.43000000005</v>
      </c>
    </row>
    <row r="4134" spans="2:12">
      <c r="B4134" s="1297"/>
      <c r="C4134" s="1297"/>
      <c r="D4134" s="1297"/>
      <c r="E4134" s="1297" t="s">
        <v>907</v>
      </c>
      <c r="G4134" s="1399">
        <v>4724154.33</v>
      </c>
      <c r="J4134" s="1399">
        <v>4724154.33</v>
      </c>
    </row>
    <row r="4135" spans="2:12">
      <c r="B4135" s="1297"/>
      <c r="C4135" s="1297"/>
      <c r="D4135" s="1297"/>
      <c r="E4135" s="1297" t="s">
        <v>908</v>
      </c>
      <c r="G4135" s="1399">
        <v>11817.1</v>
      </c>
      <c r="J4135" s="1399">
        <v>11817.1</v>
      </c>
    </row>
    <row r="4136" spans="2:12">
      <c r="B4136" s="1297"/>
      <c r="C4136" s="1297"/>
      <c r="D4136" s="1297"/>
      <c r="E4136" s="1297" t="s">
        <v>909</v>
      </c>
      <c r="H4136" s="1399">
        <v>188477.72</v>
      </c>
      <c r="J4136" s="1399">
        <v>188477.72</v>
      </c>
    </row>
    <row r="4137" spans="2:12">
      <c r="B4137" s="1297"/>
      <c r="C4137" s="1297"/>
      <c r="D4137" s="1297"/>
      <c r="E4137" s="1297" t="s">
        <v>1034</v>
      </c>
      <c r="H4137" s="1399">
        <v>812477.72</v>
      </c>
      <c r="J4137" s="1399">
        <v>812477.72</v>
      </c>
    </row>
    <row r="4138" spans="2:12">
      <c r="B4138" s="1297"/>
      <c r="C4138" s="1297"/>
      <c r="D4138" s="1297"/>
      <c r="E4138" s="1297" t="s">
        <v>1035</v>
      </c>
      <c r="H4138" s="1399">
        <v>958810.82</v>
      </c>
      <c r="J4138" s="1399">
        <v>958810.82</v>
      </c>
    </row>
    <row r="4139" spans="2:12">
      <c r="B4139" s="1297"/>
      <c r="C4139" s="1297"/>
      <c r="D4139" s="1297"/>
      <c r="E4139" s="1297" t="s">
        <v>1036</v>
      </c>
      <c r="H4139" s="1399">
        <v>325314.58</v>
      </c>
      <c r="J4139" s="1399">
        <v>325314.58</v>
      </c>
    </row>
    <row r="4140" spans="2:12">
      <c r="B4140" s="1297"/>
      <c r="C4140" s="1297"/>
      <c r="D4140" s="1297"/>
      <c r="E4140" s="1297" t="s">
        <v>1037</v>
      </c>
      <c r="H4140" s="1399">
        <v>57823.88</v>
      </c>
      <c r="J4140" s="1399">
        <v>57823.88</v>
      </c>
    </row>
    <row r="4141" spans="2:12">
      <c r="B4141" s="1297"/>
      <c r="C4141" s="1297"/>
      <c r="D4141" s="1297"/>
      <c r="E4141" s="1297" t="s">
        <v>1039</v>
      </c>
      <c r="H4141" s="1399">
        <v>82241.909999999989</v>
      </c>
      <c r="J4141" s="1399">
        <v>82241.909999999989</v>
      </c>
    </row>
    <row r="4142" spans="2:12">
      <c r="B4142" s="1297"/>
      <c r="C4142" s="1297"/>
      <c r="D4142" s="1297"/>
      <c r="E4142" s="1297" t="s">
        <v>1040</v>
      </c>
      <c r="H4142" s="1399">
        <v>1006725.05</v>
      </c>
      <c r="J4142" s="1399">
        <v>1006725.05</v>
      </c>
    </row>
    <row r="4143" spans="2:12">
      <c r="B4143" s="1297"/>
      <c r="C4143" s="1297"/>
      <c r="D4143" s="1297"/>
      <c r="E4143" s="1297" t="s">
        <v>1041</v>
      </c>
      <c r="H4143" s="1399">
        <v>108286.13</v>
      </c>
      <c r="J4143" s="1399">
        <v>108286.13</v>
      </c>
    </row>
    <row r="4144" spans="2:12">
      <c r="B4144" s="1297"/>
      <c r="C4144" s="1297"/>
      <c r="D4144" s="1297"/>
      <c r="E4144" s="1297" t="s">
        <v>1042</v>
      </c>
      <c r="H4144" s="1399">
        <v>66070.73</v>
      </c>
      <c r="J4144" s="1399">
        <v>66070.73</v>
      </c>
    </row>
    <row r="4145" spans="5:10" s="1297" customFormat="1">
      <c r="E4145" s="1297" t="s">
        <v>1043</v>
      </c>
      <c r="F4145" s="1399"/>
      <c r="G4145" s="1399"/>
      <c r="H4145" s="1399">
        <v>2950</v>
      </c>
      <c r="I4145" s="1399"/>
      <c r="J4145" s="1399">
        <v>2950</v>
      </c>
    </row>
    <row r="4146" spans="5:10" s="1297" customFormat="1">
      <c r="E4146" s="1297" t="s">
        <v>996</v>
      </c>
      <c r="F4146" s="1399"/>
      <c r="G4146" s="1399"/>
      <c r="H4146" s="1399">
        <v>1800</v>
      </c>
      <c r="I4146" s="1399"/>
      <c r="J4146" s="1399">
        <v>1800</v>
      </c>
    </row>
    <row r="4147" spans="5:10" s="1297" customFormat="1">
      <c r="E4147" s="1297" t="s">
        <v>1045</v>
      </c>
      <c r="F4147" s="1399"/>
      <c r="G4147" s="1399"/>
      <c r="H4147" s="1399">
        <v>8829.4000000000015</v>
      </c>
      <c r="I4147" s="1399"/>
      <c r="J4147" s="1399">
        <v>8829.4000000000015</v>
      </c>
    </row>
    <row r="4148" spans="5:10" s="1297" customFormat="1">
      <c r="E4148" s="1297" t="s">
        <v>1046</v>
      </c>
      <c r="F4148" s="1399"/>
      <c r="G4148" s="1399"/>
      <c r="H4148" s="1399"/>
      <c r="I4148" s="1399">
        <v>34427963</v>
      </c>
      <c r="J4148" s="1399">
        <v>34427963</v>
      </c>
    </row>
    <row r="4149" spans="5:10" s="1297" customFormat="1">
      <c r="E4149" s="1297" t="s">
        <v>1128</v>
      </c>
      <c r="F4149" s="1399"/>
      <c r="G4149" s="1399"/>
      <c r="H4149" s="1399"/>
      <c r="I4149" s="1399">
        <v>2757373</v>
      </c>
      <c r="J4149" s="1399">
        <v>2757373</v>
      </c>
    </row>
    <row r="4150" spans="5:10" s="1297" customFormat="1">
      <c r="E4150" s="1297" t="s">
        <v>1129</v>
      </c>
      <c r="F4150" s="1399"/>
      <c r="G4150" s="1399"/>
      <c r="H4150" s="1399"/>
      <c r="I4150" s="1399">
        <v>-4577069</v>
      </c>
      <c r="J4150" s="1399">
        <v>-4577069</v>
      </c>
    </row>
    <row r="4151" spans="5:10" s="1297" customFormat="1">
      <c r="E4151" s="1297" t="s">
        <v>1047</v>
      </c>
      <c r="F4151" s="1399"/>
      <c r="G4151" s="1399"/>
      <c r="H4151" s="1399"/>
      <c r="I4151" s="1399">
        <v>809988</v>
      </c>
      <c r="J4151" s="1399">
        <v>809988</v>
      </c>
    </row>
    <row r="4152" spans="5:10" s="1297" customFormat="1">
      <c r="E4152" s="1297" t="s">
        <v>1048</v>
      </c>
      <c r="F4152" s="1399"/>
      <c r="G4152" s="1399"/>
      <c r="H4152" s="1399"/>
      <c r="I4152" s="1399">
        <v>-7334148</v>
      </c>
      <c r="J4152" s="1399">
        <v>-7334148</v>
      </c>
    </row>
    <row r="4153" spans="5:10" s="1297" customFormat="1">
      <c r="E4153" s="1297" t="s">
        <v>934</v>
      </c>
      <c r="F4153" s="1399"/>
      <c r="G4153" s="1399"/>
      <c r="H4153" s="1399"/>
      <c r="I4153" s="1399">
        <v>80172</v>
      </c>
      <c r="J4153" s="1399">
        <v>80172</v>
      </c>
    </row>
    <row r="4154" spans="5:10" s="1297" customFormat="1">
      <c r="E4154" s="1297" t="s">
        <v>935</v>
      </c>
      <c r="F4154" s="1399"/>
      <c r="G4154" s="1399"/>
      <c r="H4154" s="1399"/>
      <c r="I4154" s="1399">
        <v>504989.19</v>
      </c>
      <c r="J4154" s="1399">
        <v>504989.19</v>
      </c>
    </row>
    <row r="4155" spans="5:10" s="1297" customFormat="1">
      <c r="E4155" s="1297" t="s">
        <v>936</v>
      </c>
      <c r="F4155" s="1399"/>
      <c r="G4155" s="1399"/>
      <c r="H4155" s="1399"/>
      <c r="I4155" s="1399">
        <v>105395.31</v>
      </c>
      <c r="J4155" s="1399">
        <v>105395.31</v>
      </c>
    </row>
    <row r="4156" spans="5:10" s="1297" customFormat="1">
      <c r="E4156" s="1297" t="s">
        <v>937</v>
      </c>
      <c r="F4156" s="1399"/>
      <c r="G4156" s="1399"/>
      <c r="H4156" s="1399"/>
      <c r="I4156" s="1399">
        <v>30389.14</v>
      </c>
      <c r="J4156" s="1399">
        <v>30389.14</v>
      </c>
    </row>
    <row r="4157" spans="5:10" s="1297" customFormat="1">
      <c r="E4157" s="1297" t="s">
        <v>938</v>
      </c>
      <c r="F4157" s="1399"/>
      <c r="G4157" s="1399"/>
      <c r="H4157" s="1399"/>
      <c r="I4157" s="1399">
        <v>36309</v>
      </c>
      <c r="J4157" s="1399">
        <v>36309</v>
      </c>
    </row>
    <row r="4158" spans="5:10" s="1297" customFormat="1">
      <c r="E4158" s="1297" t="s">
        <v>1131</v>
      </c>
      <c r="F4158" s="1399">
        <v>108.84</v>
      </c>
      <c r="G4158" s="1399"/>
      <c r="H4158" s="1399"/>
      <c r="I4158" s="1399"/>
      <c r="J4158" s="1399">
        <v>108.84</v>
      </c>
    </row>
    <row r="4159" spans="5:10" s="1297" customFormat="1">
      <c r="E4159" s="1297" t="s">
        <v>940</v>
      </c>
      <c r="F4159" s="1399">
        <v>640383.72</v>
      </c>
      <c r="G4159" s="1399"/>
      <c r="H4159" s="1399"/>
      <c r="I4159" s="1399"/>
      <c r="J4159" s="1399">
        <v>640383.72</v>
      </c>
    </row>
    <row r="4160" spans="5:10" s="1297" customFormat="1">
      <c r="E4160" s="1297" t="s">
        <v>941</v>
      </c>
      <c r="F4160" s="1399">
        <v>120190.44</v>
      </c>
      <c r="G4160" s="1399"/>
      <c r="H4160" s="1399"/>
      <c r="I4160" s="1399"/>
      <c r="J4160" s="1399">
        <v>120190.44</v>
      </c>
    </row>
    <row r="4161" spans="2:12">
      <c r="B4161" s="1297"/>
      <c r="C4161" s="1297"/>
      <c r="D4161" s="1297"/>
      <c r="E4161" s="1297" t="s">
        <v>944</v>
      </c>
      <c r="F4161" s="1399">
        <v>3724449.9000000004</v>
      </c>
      <c r="J4161" s="1399">
        <v>3724449.9000000004</v>
      </c>
    </row>
    <row r="4162" spans="2:12">
      <c r="B4162" s="1297"/>
      <c r="C4162" s="1297"/>
      <c r="D4162" s="1297"/>
      <c r="E4162" s="1297" t="s">
        <v>947</v>
      </c>
      <c r="F4162" s="1399">
        <v>157771.07</v>
      </c>
      <c r="J4162" s="1399">
        <v>157771.07</v>
      </c>
    </row>
    <row r="4163" spans="2:12">
      <c r="B4163" s="1297"/>
      <c r="C4163" s="1297"/>
      <c r="D4163" s="1297"/>
      <c r="E4163" s="1404" t="s">
        <v>948</v>
      </c>
      <c r="F4163" s="1405"/>
      <c r="G4163" s="1405"/>
      <c r="H4163" s="1405">
        <v>795929.3</v>
      </c>
      <c r="I4163" s="1405"/>
      <c r="J4163" s="1405">
        <v>795929.3</v>
      </c>
    </row>
    <row r="4164" spans="2:12">
      <c r="B4164" s="1297"/>
      <c r="C4164" s="1297"/>
      <c r="D4164" s="1297"/>
      <c r="E4164" s="1297" t="s">
        <v>956</v>
      </c>
      <c r="H4164" s="1399">
        <v>11767</v>
      </c>
      <c r="J4164" s="1399">
        <v>11767</v>
      </c>
    </row>
    <row r="4165" spans="2:12">
      <c r="B4165" s="1297"/>
      <c r="C4165" s="1297"/>
      <c r="D4165" s="1297"/>
      <c r="E4165" s="1297" t="s">
        <v>1118</v>
      </c>
      <c r="H4165" s="1399">
        <v>350</v>
      </c>
      <c r="J4165" s="1399">
        <v>350</v>
      </c>
    </row>
    <row r="4166" spans="2:12">
      <c r="B4166" s="1297"/>
      <c r="C4166" s="1297"/>
      <c r="D4166" s="1400" t="s">
        <v>1278</v>
      </c>
      <c r="E4166" s="1400"/>
      <c r="F4166" s="1401">
        <f>SUM(F4132:F4165)</f>
        <v>4642903.9700000007</v>
      </c>
      <c r="G4166" s="1401">
        <f>SUM(G4132:G4165)</f>
        <v>32173606.979999997</v>
      </c>
      <c r="H4166" s="1401">
        <f>SUM(H4132:H4165)-H4163</f>
        <v>3631924.9399999995</v>
      </c>
      <c r="I4166" s="1401">
        <f>SUM(I4132:I4165)</f>
        <v>26841361.640000001</v>
      </c>
      <c r="J4166" s="1401">
        <f>SUM(J4132:J4165)</f>
        <v>68085726.829999983</v>
      </c>
      <c r="K4166" s="1401">
        <f>SUM(F4166:I4166)</f>
        <v>67289797.530000001</v>
      </c>
      <c r="L4166" s="1408">
        <f>K4166/C4132</f>
        <v>10566.865190012562</v>
      </c>
    </row>
    <row r="4167" spans="2:12">
      <c r="B4167" s="1297" t="s">
        <v>1279</v>
      </c>
      <c r="C4167" s="1297">
        <v>2320</v>
      </c>
      <c r="D4167" s="1297" t="s">
        <v>1280</v>
      </c>
      <c r="E4167" s="1297" t="s">
        <v>906</v>
      </c>
      <c r="G4167" s="1399">
        <v>8144053.0899999999</v>
      </c>
      <c r="J4167" s="1399">
        <v>8144053.0899999999</v>
      </c>
    </row>
    <row r="4168" spans="2:12">
      <c r="B4168" s="1297"/>
      <c r="C4168" s="1297"/>
      <c r="D4168" s="1297"/>
      <c r="E4168" s="1297" t="s">
        <v>952</v>
      </c>
      <c r="G4168" s="1399">
        <v>65663.45</v>
      </c>
      <c r="J4168" s="1399">
        <v>65663.45</v>
      </c>
    </row>
    <row r="4169" spans="2:12">
      <c r="B4169" s="1297"/>
      <c r="C4169" s="1297"/>
      <c r="D4169" s="1297"/>
      <c r="E4169" s="1297" t="s">
        <v>907</v>
      </c>
      <c r="G4169" s="1399">
        <v>745971.07</v>
      </c>
      <c r="J4169" s="1399">
        <v>745971.07</v>
      </c>
    </row>
    <row r="4170" spans="2:12">
      <c r="B4170" s="1297"/>
      <c r="C4170" s="1297"/>
      <c r="D4170" s="1297"/>
      <c r="E4170" s="1297" t="s">
        <v>908</v>
      </c>
      <c r="G4170" s="1399">
        <v>0</v>
      </c>
      <c r="J4170" s="1399">
        <v>0</v>
      </c>
    </row>
    <row r="4171" spans="2:12">
      <c r="B4171" s="1297"/>
      <c r="C4171" s="1297"/>
      <c r="D4171" s="1297"/>
      <c r="E4171" s="1297" t="s">
        <v>910</v>
      </c>
      <c r="H4171" s="1399">
        <v>217.35</v>
      </c>
      <c r="J4171" s="1399">
        <v>217.35</v>
      </c>
    </row>
    <row r="4172" spans="2:12">
      <c r="B4172" s="1297"/>
      <c r="C4172" s="1297"/>
      <c r="D4172" s="1297"/>
      <c r="E4172" s="1297" t="s">
        <v>1034</v>
      </c>
      <c r="H4172" s="1399">
        <v>8089.19</v>
      </c>
      <c r="J4172" s="1399">
        <v>8089.19</v>
      </c>
    </row>
    <row r="4173" spans="2:12">
      <c r="B4173" s="1297"/>
      <c r="C4173" s="1297"/>
      <c r="D4173" s="1297"/>
      <c r="E4173" s="1297" t="s">
        <v>1035</v>
      </c>
      <c r="H4173" s="1399">
        <v>204267.51</v>
      </c>
      <c r="J4173" s="1399">
        <v>204267.51</v>
      </c>
    </row>
    <row r="4174" spans="2:12">
      <c r="B4174" s="1297"/>
      <c r="C4174" s="1297"/>
      <c r="D4174" s="1297"/>
      <c r="E4174" s="1297" t="s">
        <v>1036</v>
      </c>
      <c r="H4174" s="1399">
        <v>65053.65</v>
      </c>
      <c r="J4174" s="1399">
        <v>65053.65</v>
      </c>
    </row>
    <row r="4175" spans="2:12">
      <c r="B4175" s="1297"/>
      <c r="C4175" s="1297"/>
      <c r="D4175" s="1297"/>
      <c r="E4175" s="1297" t="s">
        <v>1037</v>
      </c>
      <c r="H4175" s="1399">
        <v>9058.8799999999992</v>
      </c>
      <c r="J4175" s="1399">
        <v>9058.8799999999992</v>
      </c>
    </row>
    <row r="4176" spans="2:12">
      <c r="B4176" s="1297"/>
      <c r="C4176" s="1297"/>
      <c r="D4176" s="1297"/>
      <c r="E4176" s="1297" t="s">
        <v>1105</v>
      </c>
      <c r="H4176" s="1399">
        <v>0</v>
      </c>
      <c r="J4176" s="1399">
        <v>0</v>
      </c>
    </row>
    <row r="4177" spans="5:10" s="1297" customFormat="1">
      <c r="E4177" s="1297" t="s">
        <v>1039</v>
      </c>
      <c r="F4177" s="1399"/>
      <c r="G4177" s="1399"/>
      <c r="H4177" s="1399">
        <v>43671.79</v>
      </c>
      <c r="I4177" s="1399"/>
      <c r="J4177" s="1399">
        <v>43671.79</v>
      </c>
    </row>
    <row r="4178" spans="5:10" s="1297" customFormat="1">
      <c r="E4178" s="1297" t="s">
        <v>1040</v>
      </c>
      <c r="F4178" s="1399"/>
      <c r="G4178" s="1399"/>
      <c r="H4178" s="1399">
        <v>181823.26</v>
      </c>
      <c r="I4178" s="1399"/>
      <c r="J4178" s="1399">
        <v>181823.26</v>
      </c>
    </row>
    <row r="4179" spans="5:10" s="1297" customFormat="1">
      <c r="E4179" s="1297" t="s">
        <v>1041</v>
      </c>
      <c r="F4179" s="1399"/>
      <c r="G4179" s="1399"/>
      <c r="H4179" s="1399">
        <v>13733.8</v>
      </c>
      <c r="I4179" s="1399"/>
      <c r="J4179" s="1399">
        <v>13733.8</v>
      </c>
    </row>
    <row r="4180" spans="5:10" s="1297" customFormat="1">
      <c r="E4180" s="1297" t="s">
        <v>1042</v>
      </c>
      <c r="F4180" s="1399"/>
      <c r="G4180" s="1399"/>
      <c r="H4180" s="1399">
        <v>29920.73</v>
      </c>
      <c r="I4180" s="1399"/>
      <c r="J4180" s="1399">
        <v>29920.73</v>
      </c>
    </row>
    <row r="4181" spans="5:10" s="1297" customFormat="1">
      <c r="E4181" s="1297" t="s">
        <v>996</v>
      </c>
      <c r="F4181" s="1399"/>
      <c r="G4181" s="1399"/>
      <c r="H4181" s="1399">
        <v>75</v>
      </c>
      <c r="I4181" s="1399"/>
      <c r="J4181" s="1399">
        <v>75</v>
      </c>
    </row>
    <row r="4182" spans="5:10" s="1297" customFormat="1">
      <c r="E4182" s="1297" t="s">
        <v>1045</v>
      </c>
      <c r="F4182" s="1399"/>
      <c r="G4182" s="1399"/>
      <c r="H4182" s="1399">
        <v>105479.93</v>
      </c>
      <c r="I4182" s="1399"/>
      <c r="J4182" s="1399">
        <v>105479.93</v>
      </c>
    </row>
    <row r="4183" spans="5:10" s="1297" customFormat="1">
      <c r="E4183" s="1297" t="s">
        <v>1046</v>
      </c>
      <c r="F4183" s="1399"/>
      <c r="G4183" s="1399"/>
      <c r="H4183" s="1399"/>
      <c r="I4183" s="1399">
        <v>12258700</v>
      </c>
      <c r="J4183" s="1399">
        <v>12258700</v>
      </c>
    </row>
    <row r="4184" spans="5:10" s="1297" customFormat="1">
      <c r="E4184" s="1297" t="s">
        <v>1047</v>
      </c>
      <c r="F4184" s="1399"/>
      <c r="G4184" s="1399"/>
      <c r="H4184" s="1399"/>
      <c r="I4184" s="1399">
        <v>474335</v>
      </c>
      <c r="J4184" s="1399">
        <v>474335</v>
      </c>
    </row>
    <row r="4185" spans="5:10" s="1297" customFormat="1">
      <c r="E4185" s="1297" t="s">
        <v>1048</v>
      </c>
      <c r="F4185" s="1399"/>
      <c r="G4185" s="1399"/>
      <c r="H4185" s="1399"/>
      <c r="I4185" s="1399">
        <v>-1910373</v>
      </c>
      <c r="J4185" s="1399">
        <v>-1910373</v>
      </c>
    </row>
    <row r="4186" spans="5:10" s="1297" customFormat="1">
      <c r="E4186" s="1297" t="s">
        <v>932</v>
      </c>
      <c r="F4186" s="1399"/>
      <c r="G4186" s="1399"/>
      <c r="H4186" s="1399"/>
      <c r="I4186" s="1399">
        <v>1136879</v>
      </c>
      <c r="J4186" s="1399">
        <v>1136879</v>
      </c>
    </row>
    <row r="4187" spans="5:10" s="1297" customFormat="1">
      <c r="E4187" s="1404" t="s">
        <v>955</v>
      </c>
      <c r="F4187" s="1405"/>
      <c r="G4187" s="1405"/>
      <c r="H4187" s="1405"/>
      <c r="I4187" s="1405">
        <v>93262.71</v>
      </c>
      <c r="J4187" s="1405">
        <v>93262.71</v>
      </c>
    </row>
    <row r="4188" spans="5:10" s="1297" customFormat="1">
      <c r="E4188" s="1297" t="s">
        <v>934</v>
      </c>
      <c r="F4188" s="1399"/>
      <c r="G4188" s="1399"/>
      <c r="H4188" s="1399"/>
      <c r="I4188" s="1399">
        <v>34310</v>
      </c>
      <c r="J4188" s="1399">
        <v>34310</v>
      </c>
    </row>
    <row r="4189" spans="5:10" s="1297" customFormat="1">
      <c r="E4189" s="1297" t="s">
        <v>1130</v>
      </c>
      <c r="F4189" s="1399"/>
      <c r="G4189" s="1399"/>
      <c r="H4189" s="1399"/>
      <c r="I4189" s="1399">
        <v>335054.01</v>
      </c>
      <c r="J4189" s="1399">
        <v>335054.01</v>
      </c>
    </row>
    <row r="4190" spans="5:10" s="1297" customFormat="1">
      <c r="E4190" s="1297" t="s">
        <v>935</v>
      </c>
      <c r="F4190" s="1399"/>
      <c r="G4190" s="1399"/>
      <c r="H4190" s="1399"/>
      <c r="I4190" s="1399">
        <v>424121.76</v>
      </c>
      <c r="J4190" s="1399">
        <v>424121.76</v>
      </c>
    </row>
    <row r="4191" spans="5:10" s="1297" customFormat="1">
      <c r="E4191" s="1297" t="s">
        <v>936</v>
      </c>
      <c r="F4191" s="1399"/>
      <c r="G4191" s="1399"/>
      <c r="H4191" s="1399"/>
      <c r="I4191" s="1399">
        <v>40967.61</v>
      </c>
      <c r="J4191" s="1399">
        <v>40967.61</v>
      </c>
    </row>
    <row r="4192" spans="5:10" s="1297" customFormat="1">
      <c r="E4192" s="1297" t="s">
        <v>937</v>
      </c>
      <c r="F4192" s="1399"/>
      <c r="G4192" s="1399"/>
      <c r="H4192" s="1399"/>
      <c r="I4192" s="1399">
        <v>29406.400000000001</v>
      </c>
      <c r="J4192" s="1399">
        <v>29406.400000000001</v>
      </c>
    </row>
    <row r="4193" spans="2:12">
      <c r="B4193" s="1297"/>
      <c r="C4193" s="1297"/>
      <c r="D4193" s="1297"/>
      <c r="E4193" s="1297" t="s">
        <v>938</v>
      </c>
      <c r="I4193" s="1399">
        <v>11417</v>
      </c>
      <c r="J4193" s="1399">
        <v>11417</v>
      </c>
    </row>
    <row r="4194" spans="2:12">
      <c r="B4194" s="1297"/>
      <c r="C4194" s="1297"/>
      <c r="D4194" s="1297"/>
      <c r="E4194" s="1297" t="s">
        <v>939</v>
      </c>
      <c r="I4194" s="1399">
        <v>129037.08</v>
      </c>
      <c r="J4194" s="1399">
        <v>129037.08</v>
      </c>
    </row>
    <row r="4195" spans="2:12">
      <c r="B4195" s="1297"/>
      <c r="C4195" s="1297"/>
      <c r="D4195" s="1297"/>
      <c r="E4195" s="1297" t="s">
        <v>940</v>
      </c>
      <c r="F4195" s="1399">
        <v>542145.93999999994</v>
      </c>
      <c r="J4195" s="1399">
        <v>542145.93999999994</v>
      </c>
    </row>
    <row r="4196" spans="2:12">
      <c r="B4196" s="1297"/>
      <c r="C4196" s="1297"/>
      <c r="D4196" s="1297"/>
      <c r="E4196" s="1297" t="s">
        <v>941</v>
      </c>
      <c r="F4196" s="1399">
        <v>174965.64</v>
      </c>
      <c r="J4196" s="1399">
        <v>174965.64</v>
      </c>
    </row>
    <row r="4197" spans="2:12">
      <c r="B4197" s="1297"/>
      <c r="C4197" s="1297"/>
      <c r="D4197" s="1297"/>
      <c r="E4197" s="1297" t="s">
        <v>943</v>
      </c>
      <c r="F4197" s="1399">
        <v>1519.96</v>
      </c>
      <c r="J4197" s="1399">
        <v>1519.96</v>
      </c>
    </row>
    <row r="4198" spans="2:12">
      <c r="B4198" s="1297"/>
      <c r="C4198" s="1297"/>
      <c r="D4198" s="1297"/>
      <c r="E4198" s="1297" t="s">
        <v>944</v>
      </c>
      <c r="F4198" s="1399">
        <v>1058192.74</v>
      </c>
      <c r="J4198" s="1399">
        <v>1058192.74</v>
      </c>
    </row>
    <row r="4199" spans="2:12">
      <c r="B4199" s="1297"/>
      <c r="C4199" s="1297"/>
      <c r="D4199" s="1297"/>
      <c r="E4199" s="1297" t="s">
        <v>945</v>
      </c>
      <c r="F4199" s="1399">
        <v>638587.42000000004</v>
      </c>
      <c r="J4199" s="1399">
        <v>638587.42000000004</v>
      </c>
    </row>
    <row r="4200" spans="2:12">
      <c r="B4200" s="1297"/>
      <c r="C4200" s="1297"/>
      <c r="D4200" s="1297"/>
      <c r="E4200" s="1297" t="s">
        <v>1214</v>
      </c>
      <c r="F4200" s="1399">
        <v>6266.06</v>
      </c>
      <c r="J4200" s="1399">
        <v>6266.06</v>
      </c>
    </row>
    <row r="4201" spans="2:12">
      <c r="B4201" s="1297"/>
      <c r="C4201" s="1297"/>
      <c r="D4201" s="1297"/>
      <c r="E4201" s="1297" t="s">
        <v>947</v>
      </c>
      <c r="F4201" s="1399">
        <v>71998.63</v>
      </c>
      <c r="J4201" s="1399">
        <v>71998.63</v>
      </c>
    </row>
    <row r="4202" spans="2:12">
      <c r="B4202" s="1297"/>
      <c r="C4202" s="1297"/>
      <c r="D4202" s="1297"/>
      <c r="E4202" s="1404" t="s">
        <v>948</v>
      </c>
      <c r="F4202" s="1405"/>
      <c r="G4202" s="1405"/>
      <c r="H4202" s="1405">
        <v>5760138.4299999997</v>
      </c>
      <c r="I4202" s="1405"/>
      <c r="J4202" s="1405">
        <v>5760138.4299999997</v>
      </c>
    </row>
    <row r="4203" spans="2:12">
      <c r="B4203" s="1297"/>
      <c r="C4203" s="1297"/>
      <c r="D4203" s="1297"/>
      <c r="E4203" s="1297" t="s">
        <v>956</v>
      </c>
      <c r="H4203" s="1399">
        <v>1165.01</v>
      </c>
      <c r="J4203" s="1399">
        <v>1165.01</v>
      </c>
    </row>
    <row r="4204" spans="2:12">
      <c r="B4204" s="1297"/>
      <c r="C4204" s="1297"/>
      <c r="D4204" s="1297"/>
      <c r="E4204" s="1297" t="s">
        <v>1118</v>
      </c>
      <c r="H4204" s="1399">
        <v>4985.93</v>
      </c>
      <c r="J4204" s="1399">
        <v>4985.93</v>
      </c>
    </row>
    <row r="4205" spans="2:12">
      <c r="B4205" s="1297"/>
      <c r="C4205" s="1297"/>
      <c r="D4205" s="1400" t="s">
        <v>1281</v>
      </c>
      <c r="E4205" s="1400"/>
      <c r="F4205" s="1401">
        <f>SUM(F4167:F4204)</f>
        <v>2493676.3899999997</v>
      </c>
      <c r="G4205" s="1401">
        <f>SUM(G4167:G4204)</f>
        <v>8955687.6099999994</v>
      </c>
      <c r="H4205" s="1401">
        <f>SUM(H4167:H4204)-H4202</f>
        <v>667542.02999999933</v>
      </c>
      <c r="I4205" s="1401">
        <f>SUM(I4167:I4204)-I4187</f>
        <v>12963854.859999999</v>
      </c>
      <c r="J4205" s="1401">
        <f>SUM(J4167:J4204)</f>
        <v>30934162.030000001</v>
      </c>
      <c r="K4205" s="1401">
        <f>SUM(F4205:I4205)</f>
        <v>25080760.890000001</v>
      </c>
      <c r="L4205" s="1408">
        <f>K4205/C4167</f>
        <v>10810.672797413794</v>
      </c>
    </row>
    <row r="4206" spans="2:12">
      <c r="B4206" s="1297" t="s">
        <v>1282</v>
      </c>
      <c r="C4206" s="1297">
        <v>27997</v>
      </c>
      <c r="D4206" s="1297" t="s">
        <v>1283</v>
      </c>
      <c r="E4206" s="1297" t="s">
        <v>906</v>
      </c>
      <c r="G4206" s="1399">
        <v>69188197.659999996</v>
      </c>
      <c r="J4206" s="1399">
        <v>69188197.659999996</v>
      </c>
    </row>
    <row r="4207" spans="2:12">
      <c r="B4207" s="1297"/>
      <c r="C4207" s="1297"/>
      <c r="D4207" s="1297"/>
      <c r="E4207" s="1297" t="s">
        <v>952</v>
      </c>
      <c r="G4207" s="1399">
        <v>961309.7</v>
      </c>
      <c r="J4207" s="1399">
        <v>961309.7</v>
      </c>
    </row>
    <row r="4208" spans="2:12">
      <c r="B4208" s="1297"/>
      <c r="C4208" s="1297"/>
      <c r="D4208" s="1297"/>
      <c r="E4208" s="1297" t="s">
        <v>907</v>
      </c>
      <c r="G4208" s="1399">
        <v>13845161.07</v>
      </c>
      <c r="J4208" s="1399">
        <v>13845161.07</v>
      </c>
    </row>
    <row r="4209" spans="5:10" s="1297" customFormat="1">
      <c r="E4209" s="1297" t="s">
        <v>908</v>
      </c>
      <c r="F4209" s="1399"/>
      <c r="G4209" s="1399">
        <v>23729.05</v>
      </c>
      <c r="H4209" s="1399"/>
      <c r="I4209" s="1399"/>
      <c r="J4209" s="1399">
        <v>23729.05</v>
      </c>
    </row>
    <row r="4210" spans="5:10" s="1297" customFormat="1">
      <c r="E4210" s="1297" t="s">
        <v>1038</v>
      </c>
      <c r="F4210" s="1399"/>
      <c r="G4210" s="1399"/>
      <c r="H4210" s="1399">
        <v>875</v>
      </c>
      <c r="I4210" s="1399"/>
      <c r="J4210" s="1399">
        <v>875</v>
      </c>
    </row>
    <row r="4211" spans="5:10" s="1297" customFormat="1">
      <c r="E4211" s="1297" t="s">
        <v>1039</v>
      </c>
      <c r="F4211" s="1399"/>
      <c r="G4211" s="1399"/>
      <c r="H4211" s="1399">
        <v>84030.909999999989</v>
      </c>
      <c r="I4211" s="1399"/>
      <c r="J4211" s="1399">
        <v>84030.909999999989</v>
      </c>
    </row>
    <row r="4212" spans="5:10" s="1297" customFormat="1">
      <c r="E4212" s="1297" t="s">
        <v>1040</v>
      </c>
      <c r="F4212" s="1399"/>
      <c r="G4212" s="1399"/>
      <c r="H4212" s="1399">
        <v>3537218.52</v>
      </c>
      <c r="I4212" s="1399"/>
      <c r="J4212" s="1399">
        <v>3537218.52</v>
      </c>
    </row>
    <row r="4213" spans="5:10" s="1297" customFormat="1">
      <c r="E4213" s="1297" t="s">
        <v>1041</v>
      </c>
      <c r="F4213" s="1399"/>
      <c r="G4213" s="1399"/>
      <c r="H4213" s="1399">
        <v>1126345.4099999999</v>
      </c>
      <c r="I4213" s="1399"/>
      <c r="J4213" s="1399">
        <v>1126345.4099999999</v>
      </c>
    </row>
    <row r="4214" spans="5:10" s="1297" customFormat="1">
      <c r="E4214" s="1297" t="s">
        <v>1042</v>
      </c>
      <c r="F4214" s="1399"/>
      <c r="G4214" s="1399"/>
      <c r="H4214" s="1399">
        <v>257770.63</v>
      </c>
      <c r="I4214" s="1399"/>
      <c r="J4214" s="1399">
        <v>257770.63</v>
      </c>
    </row>
    <row r="4215" spans="5:10" s="1297" customFormat="1">
      <c r="E4215" s="1297" t="s">
        <v>954</v>
      </c>
      <c r="F4215" s="1399"/>
      <c r="G4215" s="1399"/>
      <c r="H4215" s="1399">
        <v>4507252.0199999996</v>
      </c>
      <c r="I4215" s="1399"/>
      <c r="J4215" s="1399">
        <v>4507252.0199999996</v>
      </c>
    </row>
    <row r="4216" spans="5:10" s="1297" customFormat="1">
      <c r="E4216" s="1297" t="s">
        <v>985</v>
      </c>
      <c r="F4216" s="1399"/>
      <c r="G4216" s="1399"/>
      <c r="H4216" s="1399">
        <v>-13842.119999999999</v>
      </c>
      <c r="I4216" s="1399"/>
      <c r="J4216" s="1399">
        <v>-13842.119999999999</v>
      </c>
    </row>
    <row r="4217" spans="5:10" s="1297" customFormat="1">
      <c r="E4217" s="1297" t="s">
        <v>1203</v>
      </c>
      <c r="F4217" s="1399"/>
      <c r="G4217" s="1399"/>
      <c r="H4217" s="1399">
        <v>1000</v>
      </c>
      <c r="I4217" s="1399"/>
      <c r="J4217" s="1399">
        <v>1000</v>
      </c>
    </row>
    <row r="4218" spans="5:10" s="1297" customFormat="1">
      <c r="E4218" s="1297" t="s">
        <v>1044</v>
      </c>
      <c r="F4218" s="1399">
        <v>102463.22</v>
      </c>
      <c r="G4218" s="1399"/>
      <c r="H4218" s="1399"/>
      <c r="I4218" s="1399"/>
      <c r="J4218" s="1399">
        <v>102463.22</v>
      </c>
    </row>
    <row r="4219" spans="5:10" s="1297" customFormat="1">
      <c r="E4219" s="1297" t="s">
        <v>1045</v>
      </c>
      <c r="F4219" s="1399"/>
      <c r="G4219" s="1399"/>
      <c r="H4219" s="1399">
        <v>1077255.94</v>
      </c>
      <c r="I4219" s="1399"/>
      <c r="J4219" s="1399">
        <v>1077255.94</v>
      </c>
    </row>
    <row r="4220" spans="5:10" s="1297" customFormat="1">
      <c r="E4220" s="1297" t="s">
        <v>1046</v>
      </c>
      <c r="F4220" s="1399"/>
      <c r="G4220" s="1399"/>
      <c r="H4220" s="1399"/>
      <c r="I4220" s="1399">
        <v>136875437</v>
      </c>
      <c r="J4220" s="1399">
        <v>136875437</v>
      </c>
    </row>
    <row r="4221" spans="5:10" s="1297" customFormat="1">
      <c r="E4221" s="1297" t="s">
        <v>1128</v>
      </c>
      <c r="F4221" s="1399"/>
      <c r="G4221" s="1399"/>
      <c r="H4221" s="1399"/>
      <c r="I4221" s="1399">
        <v>12306029</v>
      </c>
      <c r="J4221" s="1399">
        <v>12306029</v>
      </c>
    </row>
    <row r="4222" spans="5:10" s="1297" customFormat="1">
      <c r="E4222" s="1297" t="s">
        <v>1129</v>
      </c>
      <c r="F4222" s="1399"/>
      <c r="G4222" s="1399"/>
      <c r="H4222" s="1399"/>
      <c r="I4222" s="1399">
        <v>-18943395</v>
      </c>
      <c r="J4222" s="1399">
        <v>-18943395</v>
      </c>
    </row>
    <row r="4223" spans="5:10" s="1297" customFormat="1">
      <c r="E4223" s="1297" t="s">
        <v>1047</v>
      </c>
      <c r="F4223" s="1399"/>
      <c r="G4223" s="1399"/>
      <c r="H4223" s="1399"/>
      <c r="I4223" s="1399">
        <v>1833807</v>
      </c>
      <c r="J4223" s="1399">
        <v>1833807</v>
      </c>
    </row>
    <row r="4224" spans="5:10" s="1297" customFormat="1">
      <c r="E4224" s="1297" t="s">
        <v>1048</v>
      </c>
      <c r="F4224" s="1399"/>
      <c r="G4224" s="1399"/>
      <c r="H4224" s="1399"/>
      <c r="I4224" s="1399">
        <v>-19279417</v>
      </c>
      <c r="J4224" s="1399">
        <v>-19279417</v>
      </c>
    </row>
    <row r="4225" spans="5:10" s="1297" customFormat="1">
      <c r="E4225" s="1297" t="s">
        <v>932</v>
      </c>
      <c r="F4225" s="1399"/>
      <c r="G4225" s="1399"/>
      <c r="H4225" s="1399"/>
      <c r="I4225" s="1399">
        <v>17276058</v>
      </c>
      <c r="J4225" s="1399">
        <v>17276058</v>
      </c>
    </row>
    <row r="4226" spans="5:10" s="1297" customFormat="1">
      <c r="E4226" s="1297" t="s">
        <v>934</v>
      </c>
      <c r="F4226" s="1399"/>
      <c r="G4226" s="1399"/>
      <c r="H4226" s="1399"/>
      <c r="I4226" s="1399">
        <v>392426</v>
      </c>
      <c r="J4226" s="1399">
        <v>392426</v>
      </c>
    </row>
    <row r="4227" spans="5:10" s="1297" customFormat="1">
      <c r="E4227" s="1297" t="s">
        <v>1130</v>
      </c>
      <c r="F4227" s="1399"/>
      <c r="G4227" s="1399"/>
      <c r="H4227" s="1399"/>
      <c r="I4227" s="1399">
        <v>2557081.6000000001</v>
      </c>
      <c r="J4227" s="1399">
        <v>2557081.6000000001</v>
      </c>
    </row>
    <row r="4228" spans="5:10" s="1297" customFormat="1">
      <c r="E4228" s="1297" t="s">
        <v>935</v>
      </c>
      <c r="F4228" s="1399"/>
      <c r="G4228" s="1399"/>
      <c r="H4228" s="1399"/>
      <c r="I4228" s="1399">
        <v>1562425.01</v>
      </c>
      <c r="J4228" s="1399">
        <v>1562425.01</v>
      </c>
    </row>
    <row r="4229" spans="5:10" s="1297" customFormat="1">
      <c r="E4229" s="1297" t="s">
        <v>936</v>
      </c>
      <c r="F4229" s="1399"/>
      <c r="G4229" s="1399"/>
      <c r="H4229" s="1399"/>
      <c r="I4229" s="1399">
        <v>385865.89</v>
      </c>
      <c r="J4229" s="1399">
        <v>385865.89</v>
      </c>
    </row>
    <row r="4230" spans="5:10" s="1297" customFormat="1">
      <c r="E4230" s="1297" t="s">
        <v>937</v>
      </c>
      <c r="F4230" s="1399"/>
      <c r="G4230" s="1399"/>
      <c r="H4230" s="1399"/>
      <c r="I4230" s="1399">
        <v>94948.65</v>
      </c>
      <c r="J4230" s="1399">
        <v>94948.65</v>
      </c>
    </row>
    <row r="4231" spans="5:10" s="1297" customFormat="1">
      <c r="E4231" s="1297" t="s">
        <v>938</v>
      </c>
      <c r="F4231" s="1399"/>
      <c r="G4231" s="1399"/>
      <c r="H4231" s="1399"/>
      <c r="I4231" s="1399">
        <v>124461</v>
      </c>
      <c r="J4231" s="1399">
        <v>124461</v>
      </c>
    </row>
    <row r="4232" spans="5:10" s="1297" customFormat="1">
      <c r="E4232" s="1297" t="s">
        <v>939</v>
      </c>
      <c r="F4232" s="1399"/>
      <c r="G4232" s="1399"/>
      <c r="H4232" s="1399"/>
      <c r="I4232" s="1399">
        <v>41922.06</v>
      </c>
      <c r="J4232" s="1399">
        <v>41922.06</v>
      </c>
    </row>
    <row r="4233" spans="5:10" s="1297" customFormat="1">
      <c r="E4233" s="1297" t="s">
        <v>1131</v>
      </c>
      <c r="F4233" s="1399">
        <v>222268.04</v>
      </c>
      <c r="G4233" s="1399"/>
      <c r="H4233" s="1399"/>
      <c r="I4233" s="1399"/>
      <c r="J4233" s="1399">
        <v>222268.04</v>
      </c>
    </row>
    <row r="4234" spans="5:10" s="1297" customFormat="1">
      <c r="E4234" s="1297" t="s">
        <v>940</v>
      </c>
      <c r="F4234" s="1399">
        <v>4868925.76</v>
      </c>
      <c r="G4234" s="1399"/>
      <c r="H4234" s="1399"/>
      <c r="I4234" s="1399"/>
      <c r="J4234" s="1399">
        <v>4868925.76</v>
      </c>
    </row>
    <row r="4235" spans="5:10" s="1297" customFormat="1">
      <c r="E4235" s="1297" t="s">
        <v>941</v>
      </c>
      <c r="F4235" s="1399">
        <v>1245370.78</v>
      </c>
      <c r="G4235" s="1399"/>
      <c r="H4235" s="1399"/>
      <c r="I4235" s="1399"/>
      <c r="J4235" s="1399">
        <v>1245370.78</v>
      </c>
    </row>
    <row r="4236" spans="5:10" s="1297" customFormat="1">
      <c r="E4236" s="1297" t="s">
        <v>943</v>
      </c>
      <c r="F4236" s="1399">
        <v>55925.79</v>
      </c>
      <c r="G4236" s="1399"/>
      <c r="H4236" s="1399"/>
      <c r="I4236" s="1399"/>
      <c r="J4236" s="1399">
        <v>55925.79</v>
      </c>
    </row>
    <row r="4237" spans="5:10" s="1297" customFormat="1">
      <c r="E4237" s="1297" t="s">
        <v>944</v>
      </c>
      <c r="F4237" s="1399">
        <v>7912228.5699999984</v>
      </c>
      <c r="G4237" s="1399"/>
      <c r="H4237" s="1399"/>
      <c r="I4237" s="1399"/>
      <c r="J4237" s="1399">
        <v>7912228.5699999984</v>
      </c>
    </row>
    <row r="4238" spans="5:10" s="1297" customFormat="1">
      <c r="E4238" s="1297" t="s">
        <v>945</v>
      </c>
      <c r="F4238" s="1399">
        <v>9045195.0600000005</v>
      </c>
      <c r="G4238" s="1399"/>
      <c r="H4238" s="1399"/>
      <c r="I4238" s="1399"/>
      <c r="J4238" s="1399">
        <v>9045195.0600000005</v>
      </c>
    </row>
    <row r="4239" spans="5:10" s="1297" customFormat="1">
      <c r="E4239" s="1297" t="s">
        <v>947</v>
      </c>
      <c r="F4239" s="1399">
        <v>429335.13</v>
      </c>
      <c r="G4239" s="1399"/>
      <c r="H4239" s="1399"/>
      <c r="I4239" s="1399"/>
      <c r="J4239" s="1399">
        <v>429335.13</v>
      </c>
    </row>
    <row r="4240" spans="5:10" s="1297" customFormat="1">
      <c r="E4240" s="1404" t="s">
        <v>948</v>
      </c>
      <c r="F4240" s="1405"/>
      <c r="G4240" s="1405"/>
      <c r="H4240" s="1405">
        <v>24639599.23</v>
      </c>
      <c r="I4240" s="1405"/>
      <c r="J4240" s="1405">
        <v>24639599.23</v>
      </c>
    </row>
    <row r="4241" spans="2:12">
      <c r="B4241" s="1297"/>
      <c r="C4241" s="1297"/>
      <c r="D4241" s="1297"/>
      <c r="E4241" s="1297" t="s">
        <v>956</v>
      </c>
      <c r="H4241" s="1399">
        <v>31397</v>
      </c>
      <c r="J4241" s="1399">
        <v>31397</v>
      </c>
    </row>
    <row r="4242" spans="2:12">
      <c r="B4242" s="1297"/>
      <c r="C4242" s="1297"/>
      <c r="D4242" s="1400" t="s">
        <v>1284</v>
      </c>
      <c r="E4242" s="1400"/>
      <c r="F4242" s="1401">
        <f>SUM(F4206:F4241)</f>
        <v>23881712.349999998</v>
      </c>
      <c r="G4242" s="1401">
        <f>SUM(G4206:G4241)</f>
        <v>84018397.480000004</v>
      </c>
      <c r="H4242" s="1401">
        <f>SUM(H4206:H4241)-H4240</f>
        <v>10609303.309999999</v>
      </c>
      <c r="I4242" s="1401">
        <f>SUM(I4206:I4241)</f>
        <v>135227649.20999998</v>
      </c>
      <c r="J4242" s="1401">
        <f>SUM(J4206:J4241)</f>
        <v>278376661.57999992</v>
      </c>
      <c r="K4242" s="1401">
        <f>SUM(F4242:I4242)</f>
        <v>253737062.34999996</v>
      </c>
      <c r="L4242" s="1408">
        <f>K4242/C4206</f>
        <v>9063.0089777476151</v>
      </c>
    </row>
    <row r="4243" spans="2:12">
      <c r="B4243" s="1297" t="s">
        <v>1285</v>
      </c>
      <c r="C4243" s="1297">
        <v>3911</v>
      </c>
      <c r="D4243" s="1297" t="s">
        <v>1286</v>
      </c>
      <c r="E4243" s="1297" t="s">
        <v>906</v>
      </c>
      <c r="G4243" s="1399">
        <v>10572262.5</v>
      </c>
      <c r="J4243" s="1399">
        <v>10572262.5</v>
      </c>
    </row>
    <row r="4244" spans="2:12">
      <c r="B4244" s="1297"/>
      <c r="C4244" s="1297"/>
      <c r="D4244" s="1297"/>
      <c r="E4244" s="1297" t="s">
        <v>952</v>
      </c>
      <c r="G4244" s="1399">
        <v>110583.93</v>
      </c>
      <c r="J4244" s="1399">
        <v>110583.93</v>
      </c>
    </row>
    <row r="4245" spans="2:12">
      <c r="B4245" s="1297"/>
      <c r="C4245" s="1297"/>
      <c r="D4245" s="1297"/>
      <c r="E4245" s="1297" t="s">
        <v>907</v>
      </c>
      <c r="G4245" s="1399">
        <v>4060444.12</v>
      </c>
      <c r="J4245" s="1399">
        <v>4060444.12</v>
      </c>
    </row>
    <row r="4246" spans="2:12">
      <c r="B4246" s="1297"/>
      <c r="C4246" s="1297"/>
      <c r="D4246" s="1297"/>
      <c r="E4246" s="1297" t="s">
        <v>908</v>
      </c>
      <c r="G4246" s="1399">
        <v>54918.7</v>
      </c>
      <c r="J4246" s="1399">
        <v>54918.7</v>
      </c>
    </row>
    <row r="4247" spans="2:12">
      <c r="B4247" s="1297"/>
      <c r="C4247" s="1297"/>
      <c r="D4247" s="1297"/>
      <c r="E4247" s="1297" t="s">
        <v>909</v>
      </c>
      <c r="H4247" s="1399">
        <v>79251.929999999993</v>
      </c>
      <c r="J4247" s="1399">
        <v>79251.929999999993</v>
      </c>
    </row>
    <row r="4248" spans="2:12">
      <c r="B4248" s="1297"/>
      <c r="C4248" s="1297"/>
      <c r="D4248" s="1297"/>
      <c r="E4248" s="1297" t="s">
        <v>910</v>
      </c>
      <c r="H4248" s="1399">
        <v>135725.91</v>
      </c>
      <c r="J4248" s="1399">
        <v>135725.91</v>
      </c>
    </row>
    <row r="4249" spans="2:12">
      <c r="B4249" s="1297"/>
      <c r="C4249" s="1297"/>
      <c r="D4249" s="1297"/>
      <c r="E4249" s="1297" t="s">
        <v>1034</v>
      </c>
      <c r="H4249" s="1399">
        <v>93556.93</v>
      </c>
      <c r="J4249" s="1399">
        <v>93556.93</v>
      </c>
    </row>
    <row r="4250" spans="2:12">
      <c r="B4250" s="1297"/>
      <c r="C4250" s="1297"/>
      <c r="D4250" s="1297"/>
      <c r="E4250" s="1297" t="s">
        <v>1035</v>
      </c>
      <c r="H4250" s="1399">
        <v>374834.98</v>
      </c>
      <c r="J4250" s="1399">
        <v>374834.98</v>
      </c>
    </row>
    <row r="4251" spans="2:12">
      <c r="B4251" s="1297"/>
      <c r="C4251" s="1297"/>
      <c r="D4251" s="1297"/>
      <c r="E4251" s="1297" t="s">
        <v>1036</v>
      </c>
      <c r="H4251" s="1399">
        <v>235375</v>
      </c>
      <c r="J4251" s="1399">
        <v>235375</v>
      </c>
    </row>
    <row r="4252" spans="2:12">
      <c r="B4252" s="1297"/>
      <c r="C4252" s="1297"/>
      <c r="D4252" s="1297"/>
      <c r="E4252" s="1297" t="s">
        <v>1037</v>
      </c>
      <c r="H4252" s="1399">
        <v>31840.400000000001</v>
      </c>
      <c r="J4252" s="1399">
        <v>31840.400000000001</v>
      </c>
    </row>
    <row r="4253" spans="2:12">
      <c r="B4253" s="1297"/>
      <c r="C4253" s="1297"/>
      <c r="D4253" s="1297"/>
      <c r="E4253" s="1297" t="s">
        <v>1039</v>
      </c>
      <c r="H4253" s="1399">
        <v>10592.24</v>
      </c>
      <c r="J4253" s="1399">
        <v>10592.24</v>
      </c>
    </row>
    <row r="4254" spans="2:12">
      <c r="B4254" s="1297"/>
      <c r="C4254" s="1297"/>
      <c r="D4254" s="1297"/>
      <c r="E4254" s="1297" t="s">
        <v>1040</v>
      </c>
      <c r="H4254" s="1399">
        <v>177368.11</v>
      </c>
      <c r="J4254" s="1399">
        <v>177368.11</v>
      </c>
    </row>
    <row r="4255" spans="2:12">
      <c r="B4255" s="1297"/>
      <c r="C4255" s="1297"/>
      <c r="D4255" s="1297"/>
      <c r="E4255" s="1297" t="s">
        <v>1127</v>
      </c>
      <c r="H4255" s="1399">
        <v>71872.639999999999</v>
      </c>
      <c r="J4255" s="1399">
        <v>71872.639999999999</v>
      </c>
    </row>
    <row r="4256" spans="2:12">
      <c r="B4256" s="1297"/>
      <c r="C4256" s="1297"/>
      <c r="D4256" s="1297"/>
      <c r="E4256" s="1297" t="s">
        <v>1041</v>
      </c>
      <c r="H4256" s="1399">
        <v>36384.410000000003</v>
      </c>
      <c r="J4256" s="1399">
        <v>36384.410000000003</v>
      </c>
    </row>
    <row r="4257" spans="5:10" s="1297" customFormat="1">
      <c r="E4257" s="1297" t="s">
        <v>1042</v>
      </c>
      <c r="F4257" s="1399"/>
      <c r="G4257" s="1399"/>
      <c r="H4257" s="1399">
        <v>52554.85</v>
      </c>
      <c r="I4257" s="1399"/>
      <c r="J4257" s="1399">
        <v>52554.85</v>
      </c>
    </row>
    <row r="4258" spans="5:10" s="1297" customFormat="1">
      <c r="E4258" s="1297" t="s">
        <v>1045</v>
      </c>
      <c r="F4258" s="1399"/>
      <c r="G4258" s="1399"/>
      <c r="H4258" s="1399">
        <v>45587.49</v>
      </c>
      <c r="I4258" s="1399"/>
      <c r="J4258" s="1399">
        <v>45587.49</v>
      </c>
    </row>
    <row r="4259" spans="5:10" s="1297" customFormat="1">
      <c r="E4259" s="1297" t="s">
        <v>1046</v>
      </c>
      <c r="F4259" s="1399"/>
      <c r="G4259" s="1399"/>
      <c r="H4259" s="1399"/>
      <c r="I4259" s="1399">
        <v>19231700</v>
      </c>
      <c r="J4259" s="1399">
        <v>19231700</v>
      </c>
    </row>
    <row r="4260" spans="5:10" s="1297" customFormat="1">
      <c r="E4260" s="1297" t="s">
        <v>1128</v>
      </c>
      <c r="F4260" s="1399"/>
      <c r="G4260" s="1399"/>
      <c r="H4260" s="1399"/>
      <c r="I4260" s="1399">
        <v>1688569</v>
      </c>
      <c r="J4260" s="1399">
        <v>1688569</v>
      </c>
    </row>
    <row r="4261" spans="5:10" s="1297" customFormat="1">
      <c r="E4261" s="1297" t="s">
        <v>1129</v>
      </c>
      <c r="F4261" s="1399"/>
      <c r="G4261" s="1399"/>
      <c r="H4261" s="1399"/>
      <c r="I4261" s="1399">
        <v>-2811397</v>
      </c>
      <c r="J4261" s="1399">
        <v>-2811397</v>
      </c>
    </row>
    <row r="4262" spans="5:10" s="1297" customFormat="1">
      <c r="E4262" s="1297" t="s">
        <v>1047</v>
      </c>
      <c r="F4262" s="1399"/>
      <c r="G4262" s="1399"/>
      <c r="H4262" s="1399"/>
      <c r="I4262" s="1399">
        <v>636422</v>
      </c>
      <c r="J4262" s="1399">
        <v>636422</v>
      </c>
    </row>
    <row r="4263" spans="5:10" s="1297" customFormat="1">
      <c r="E4263" s="1297" t="s">
        <v>1048</v>
      </c>
      <c r="F4263" s="1399"/>
      <c r="G4263" s="1399"/>
      <c r="H4263" s="1399"/>
      <c r="I4263" s="1399">
        <v>-2623520</v>
      </c>
      <c r="J4263" s="1399">
        <v>-2623520</v>
      </c>
    </row>
    <row r="4264" spans="5:10" s="1297" customFormat="1">
      <c r="E4264" s="1297" t="s">
        <v>932</v>
      </c>
      <c r="F4264" s="1399"/>
      <c r="G4264" s="1399"/>
      <c r="H4264" s="1399"/>
      <c r="I4264" s="1399">
        <v>2061836</v>
      </c>
      <c r="J4264" s="1399">
        <v>2061836</v>
      </c>
    </row>
    <row r="4265" spans="5:10" s="1297" customFormat="1">
      <c r="E4265" s="1297" t="s">
        <v>934</v>
      </c>
      <c r="F4265" s="1399"/>
      <c r="G4265" s="1399"/>
      <c r="H4265" s="1399"/>
      <c r="I4265" s="1399">
        <v>72628</v>
      </c>
      <c r="J4265" s="1399">
        <v>72628</v>
      </c>
    </row>
    <row r="4266" spans="5:10" s="1297" customFormat="1">
      <c r="E4266" s="1297" t="s">
        <v>935</v>
      </c>
      <c r="F4266" s="1399"/>
      <c r="G4266" s="1399"/>
      <c r="H4266" s="1399"/>
      <c r="I4266" s="1399">
        <v>135159.63</v>
      </c>
      <c r="J4266" s="1399">
        <v>135159.63</v>
      </c>
    </row>
    <row r="4267" spans="5:10" s="1297" customFormat="1">
      <c r="E4267" s="1297" t="s">
        <v>936</v>
      </c>
      <c r="F4267" s="1399"/>
      <c r="G4267" s="1399"/>
      <c r="H4267" s="1399"/>
      <c r="I4267" s="1399">
        <v>63377.25</v>
      </c>
      <c r="J4267" s="1399">
        <v>63377.25</v>
      </c>
    </row>
    <row r="4268" spans="5:10" s="1297" customFormat="1">
      <c r="E4268" s="1297" t="s">
        <v>937</v>
      </c>
      <c r="F4268" s="1399"/>
      <c r="G4268" s="1399"/>
      <c r="H4268" s="1399"/>
      <c r="I4268" s="1399">
        <v>27851.759999999998</v>
      </c>
      <c r="J4268" s="1399">
        <v>27851.759999999998</v>
      </c>
    </row>
    <row r="4269" spans="5:10" s="1297" customFormat="1">
      <c r="E4269" s="1297" t="s">
        <v>938</v>
      </c>
      <c r="F4269" s="1399"/>
      <c r="G4269" s="1399"/>
      <c r="H4269" s="1399"/>
      <c r="I4269" s="1399">
        <v>25266.01</v>
      </c>
      <c r="J4269" s="1399">
        <v>25266.01</v>
      </c>
    </row>
    <row r="4270" spans="5:10" s="1297" customFormat="1">
      <c r="E4270" s="1297" t="s">
        <v>1131</v>
      </c>
      <c r="F4270" s="1399">
        <v>32888.53</v>
      </c>
      <c r="G4270" s="1399"/>
      <c r="H4270" s="1399"/>
      <c r="I4270" s="1399"/>
      <c r="J4270" s="1399">
        <v>32888.53</v>
      </c>
    </row>
    <row r="4271" spans="5:10" s="1297" customFormat="1">
      <c r="E4271" s="1297" t="s">
        <v>940</v>
      </c>
      <c r="F4271" s="1399">
        <v>1075854.1000000001</v>
      </c>
      <c r="G4271" s="1399"/>
      <c r="H4271" s="1399"/>
      <c r="I4271" s="1399"/>
      <c r="J4271" s="1399">
        <v>1075854.1000000001</v>
      </c>
    </row>
    <row r="4272" spans="5:10" s="1297" customFormat="1">
      <c r="E4272" s="1297" t="s">
        <v>941</v>
      </c>
      <c r="F4272" s="1399">
        <v>380643.34</v>
      </c>
      <c r="G4272" s="1399"/>
      <c r="H4272" s="1399"/>
      <c r="I4272" s="1399"/>
      <c r="J4272" s="1399">
        <v>380643.34</v>
      </c>
    </row>
    <row r="4273" spans="2:12">
      <c r="B4273" s="1297"/>
      <c r="C4273" s="1297"/>
      <c r="D4273" s="1297"/>
      <c r="E4273" s="1297" t="s">
        <v>943</v>
      </c>
      <c r="F4273" s="1399">
        <v>45568.46</v>
      </c>
      <c r="J4273" s="1399">
        <v>45568.46</v>
      </c>
    </row>
    <row r="4274" spans="2:12">
      <c r="B4274" s="1297"/>
      <c r="C4274" s="1297"/>
      <c r="D4274" s="1297"/>
      <c r="E4274" s="1297" t="s">
        <v>944</v>
      </c>
      <c r="F4274" s="1399">
        <v>3280585.4999999995</v>
      </c>
      <c r="J4274" s="1399">
        <v>3280585.4999999995</v>
      </c>
    </row>
    <row r="4275" spans="2:12">
      <c r="B4275" s="1297"/>
      <c r="C4275" s="1297"/>
      <c r="D4275" s="1297"/>
      <c r="E4275" s="1297" t="s">
        <v>945</v>
      </c>
      <c r="F4275" s="1399">
        <v>3818245.1</v>
      </c>
      <c r="J4275" s="1399">
        <v>3818245.1</v>
      </c>
    </row>
    <row r="4276" spans="2:12">
      <c r="B4276" s="1297"/>
      <c r="C4276" s="1297"/>
      <c r="D4276" s="1297"/>
      <c r="E4276" s="1297" t="s">
        <v>946</v>
      </c>
      <c r="F4276" s="1399">
        <v>14718.42</v>
      </c>
      <c r="J4276" s="1399">
        <v>14718.42</v>
      </c>
    </row>
    <row r="4277" spans="2:12">
      <c r="B4277" s="1297"/>
      <c r="C4277" s="1297"/>
      <c r="D4277" s="1297"/>
      <c r="E4277" s="1297" t="s">
        <v>947</v>
      </c>
      <c r="F4277" s="1399">
        <v>169587.11</v>
      </c>
      <c r="J4277" s="1399">
        <v>169587.11</v>
      </c>
    </row>
    <row r="4278" spans="2:12">
      <c r="B4278" s="1297"/>
      <c r="C4278" s="1297"/>
      <c r="D4278" s="1297"/>
      <c r="E4278" s="1404" t="s">
        <v>948</v>
      </c>
      <c r="F4278" s="1405"/>
      <c r="G4278" s="1405"/>
      <c r="H4278" s="1405">
        <v>4160865.8099999996</v>
      </c>
      <c r="I4278" s="1405"/>
      <c r="J4278" s="1405">
        <v>4160865.8099999996</v>
      </c>
    </row>
    <row r="4279" spans="2:12">
      <c r="B4279" s="1297"/>
      <c r="C4279" s="1297"/>
      <c r="D4279" s="1400" t="s">
        <v>1287</v>
      </c>
      <c r="E4279" s="1400"/>
      <c r="F4279" s="1401">
        <f>SUM(F4243:F4278)</f>
        <v>8818090.5599999987</v>
      </c>
      <c r="G4279" s="1401">
        <f>SUM(G4243:G4278)</f>
        <v>14798209.25</v>
      </c>
      <c r="H4279" s="1401">
        <f>SUM(H4243:H4278)-H4278</f>
        <v>1344944.8899999997</v>
      </c>
      <c r="I4279" s="1401">
        <f>SUM(I4243:I4278)</f>
        <v>18507892.650000002</v>
      </c>
      <c r="J4279" s="1401">
        <f>SUM(J4243:J4278)</f>
        <v>47630003.160000011</v>
      </c>
      <c r="K4279" s="1401">
        <f>SUM(F4279:I4279)</f>
        <v>43469137.350000001</v>
      </c>
      <c r="L4279" s="1408">
        <f>K4279/C4243</f>
        <v>11114.58382766556</v>
      </c>
    </row>
    <row r="4280" spans="2:12">
      <c r="B4280" s="1297" t="s">
        <v>1288</v>
      </c>
      <c r="C4280" s="1297">
        <v>4375</v>
      </c>
      <c r="D4280" s="1297" t="s">
        <v>1289</v>
      </c>
      <c r="E4280" s="1297" t="s">
        <v>906</v>
      </c>
      <c r="G4280" s="1399">
        <v>22268941.670000002</v>
      </c>
      <c r="J4280" s="1399">
        <v>22268941.670000002</v>
      </c>
    </row>
    <row r="4281" spans="2:12">
      <c r="B4281" s="1297"/>
      <c r="C4281" s="1297"/>
      <c r="D4281" s="1297"/>
      <c r="E4281" s="1297" t="s">
        <v>952</v>
      </c>
      <c r="G4281" s="1399">
        <v>355901.11</v>
      </c>
      <c r="J4281" s="1399">
        <v>355901.11</v>
      </c>
    </row>
    <row r="4282" spans="2:12">
      <c r="B4282" s="1297"/>
      <c r="C4282" s="1297"/>
      <c r="D4282" s="1297"/>
      <c r="E4282" s="1297" t="s">
        <v>907</v>
      </c>
      <c r="G4282" s="1399">
        <v>3915978.81</v>
      </c>
      <c r="J4282" s="1399">
        <v>3915978.81</v>
      </c>
    </row>
    <row r="4283" spans="2:12">
      <c r="B4283" s="1297"/>
      <c r="C4283" s="1297"/>
      <c r="D4283" s="1297"/>
      <c r="E4283" s="1297" t="s">
        <v>1145</v>
      </c>
      <c r="G4283" s="1399">
        <v>23538.23</v>
      </c>
      <c r="J4283" s="1399">
        <v>23538.23</v>
      </c>
    </row>
    <row r="4284" spans="2:12">
      <c r="B4284" s="1297"/>
      <c r="C4284" s="1297"/>
      <c r="D4284" s="1297"/>
      <c r="E4284" s="1297" t="s">
        <v>908</v>
      </c>
      <c r="G4284" s="1399">
        <v>13902.27</v>
      </c>
      <c r="J4284" s="1399">
        <v>13902.27</v>
      </c>
    </row>
    <row r="4285" spans="2:12">
      <c r="B4285" s="1297"/>
      <c r="C4285" s="1297"/>
      <c r="D4285" s="1297"/>
      <c r="E4285" s="1297" t="s">
        <v>909</v>
      </c>
      <c r="H4285" s="1399">
        <v>4711.76</v>
      </c>
      <c r="J4285" s="1399">
        <v>4711.76</v>
      </c>
    </row>
    <row r="4286" spans="2:12">
      <c r="B4286" s="1297"/>
      <c r="C4286" s="1297"/>
      <c r="D4286" s="1297"/>
      <c r="E4286" s="1297" t="s">
        <v>910</v>
      </c>
      <c r="H4286" s="1399">
        <v>108960.1</v>
      </c>
      <c r="J4286" s="1399">
        <v>108960.1</v>
      </c>
    </row>
    <row r="4287" spans="2:12">
      <c r="B4287" s="1297"/>
      <c r="C4287" s="1297"/>
      <c r="D4287" s="1297"/>
      <c r="E4287" s="1297" t="s">
        <v>1034</v>
      </c>
      <c r="H4287" s="1399">
        <v>89635.77</v>
      </c>
      <c r="J4287" s="1399">
        <v>89635.77</v>
      </c>
    </row>
    <row r="4288" spans="2:12">
      <c r="B4288" s="1297"/>
      <c r="C4288" s="1297"/>
      <c r="D4288" s="1297"/>
      <c r="E4288" s="1297" t="s">
        <v>1035</v>
      </c>
      <c r="H4288" s="1399">
        <v>462072.88000000006</v>
      </c>
      <c r="J4288" s="1399">
        <v>462072.88000000006</v>
      </c>
    </row>
    <row r="4289" spans="5:10" s="1297" customFormat="1">
      <c r="E4289" s="1297" t="s">
        <v>1036</v>
      </c>
      <c r="F4289" s="1399"/>
      <c r="G4289" s="1399"/>
      <c r="H4289" s="1399">
        <v>166763.15</v>
      </c>
      <c r="I4289" s="1399"/>
      <c r="J4289" s="1399">
        <v>166763.15</v>
      </c>
    </row>
    <row r="4290" spans="5:10" s="1297" customFormat="1">
      <c r="E4290" s="1297" t="s">
        <v>1037</v>
      </c>
      <c r="F4290" s="1399"/>
      <c r="G4290" s="1399"/>
      <c r="H4290" s="1399">
        <v>2813.01</v>
      </c>
      <c r="I4290" s="1399"/>
      <c r="J4290" s="1399">
        <v>2813.01</v>
      </c>
    </row>
    <row r="4291" spans="5:10" s="1297" customFormat="1">
      <c r="E4291" s="1297" t="s">
        <v>1039</v>
      </c>
      <c r="F4291" s="1399"/>
      <c r="G4291" s="1399"/>
      <c r="H4291" s="1399">
        <v>121685.17</v>
      </c>
      <c r="I4291" s="1399"/>
      <c r="J4291" s="1399">
        <v>121685.17</v>
      </c>
    </row>
    <row r="4292" spans="5:10" s="1297" customFormat="1">
      <c r="E4292" s="1297" t="s">
        <v>1040</v>
      </c>
      <c r="F4292" s="1399"/>
      <c r="G4292" s="1399"/>
      <c r="H4292" s="1399">
        <v>496655.01000000007</v>
      </c>
      <c r="I4292" s="1399"/>
      <c r="J4292" s="1399">
        <v>496655.01000000007</v>
      </c>
    </row>
    <row r="4293" spans="5:10" s="1297" customFormat="1">
      <c r="E4293" s="1297" t="s">
        <v>1041</v>
      </c>
      <c r="F4293" s="1399"/>
      <c r="G4293" s="1399"/>
      <c r="H4293" s="1399">
        <v>116034.52</v>
      </c>
      <c r="I4293" s="1399"/>
      <c r="J4293" s="1399">
        <v>116034.52</v>
      </c>
    </row>
    <row r="4294" spans="5:10" s="1297" customFormat="1">
      <c r="E4294" s="1297" t="s">
        <v>1042</v>
      </c>
      <c r="F4294" s="1399"/>
      <c r="G4294" s="1399"/>
      <c r="H4294" s="1399">
        <v>77083.580000000016</v>
      </c>
      <c r="I4294" s="1399"/>
      <c r="J4294" s="1399">
        <v>77083.580000000016</v>
      </c>
    </row>
    <row r="4295" spans="5:10" s="1297" customFormat="1">
      <c r="E4295" s="1297" t="s">
        <v>985</v>
      </c>
      <c r="F4295" s="1399"/>
      <c r="G4295" s="1399"/>
      <c r="H4295" s="1399">
        <v>101633.25</v>
      </c>
      <c r="I4295" s="1399"/>
      <c r="J4295" s="1399">
        <v>101633.25</v>
      </c>
    </row>
    <row r="4296" spans="5:10" s="1297" customFormat="1">
      <c r="E4296" s="1297" t="s">
        <v>986</v>
      </c>
      <c r="F4296" s="1399"/>
      <c r="G4296" s="1399"/>
      <c r="H4296" s="1399">
        <v>63115.56</v>
      </c>
      <c r="I4296" s="1399"/>
      <c r="J4296" s="1399">
        <v>63115.56</v>
      </c>
    </row>
    <row r="4297" spans="5:10" s="1297" customFormat="1">
      <c r="E4297" s="1297" t="s">
        <v>1045</v>
      </c>
      <c r="F4297" s="1399"/>
      <c r="G4297" s="1399"/>
      <c r="H4297" s="1399">
        <v>387991.60000000009</v>
      </c>
      <c r="I4297" s="1399"/>
      <c r="J4297" s="1399">
        <v>387991.60000000009</v>
      </c>
    </row>
    <row r="4298" spans="5:10" s="1297" customFormat="1">
      <c r="E4298" s="1297" t="s">
        <v>1046</v>
      </c>
      <c r="F4298" s="1399"/>
      <c r="G4298" s="1399"/>
      <c r="H4298" s="1399"/>
      <c r="I4298" s="1399">
        <v>23426971</v>
      </c>
      <c r="J4298" s="1399">
        <v>23426971</v>
      </c>
    </row>
    <row r="4299" spans="5:10" s="1297" customFormat="1">
      <c r="E4299" s="1297" t="s">
        <v>1128</v>
      </c>
      <c r="F4299" s="1399"/>
      <c r="G4299" s="1399"/>
      <c r="H4299" s="1399"/>
      <c r="I4299" s="1399">
        <v>2008545</v>
      </c>
      <c r="J4299" s="1399">
        <v>2008545</v>
      </c>
    </row>
    <row r="4300" spans="5:10" s="1297" customFormat="1">
      <c r="E4300" s="1297" t="s">
        <v>1129</v>
      </c>
      <c r="F4300" s="1399"/>
      <c r="G4300" s="1399"/>
      <c r="H4300" s="1399"/>
      <c r="I4300" s="1399">
        <v>-2884836</v>
      </c>
      <c r="J4300" s="1399">
        <v>-2884836</v>
      </c>
    </row>
    <row r="4301" spans="5:10" s="1297" customFormat="1">
      <c r="E4301" s="1297" t="s">
        <v>1047</v>
      </c>
      <c r="F4301" s="1399"/>
      <c r="G4301" s="1399"/>
      <c r="H4301" s="1399"/>
      <c r="I4301" s="1399">
        <v>622353</v>
      </c>
      <c r="J4301" s="1399">
        <v>622353</v>
      </c>
    </row>
    <row r="4302" spans="5:10" s="1297" customFormat="1">
      <c r="E4302" s="1297" t="s">
        <v>1048</v>
      </c>
      <c r="F4302" s="1399"/>
      <c r="G4302" s="1399"/>
      <c r="H4302" s="1399"/>
      <c r="I4302" s="1399">
        <v>-6361774</v>
      </c>
      <c r="J4302" s="1399">
        <v>-6361774</v>
      </c>
    </row>
    <row r="4303" spans="5:10" s="1297" customFormat="1">
      <c r="E4303" s="1297" t="s">
        <v>933</v>
      </c>
      <c r="F4303" s="1399"/>
      <c r="G4303" s="1399"/>
      <c r="H4303" s="1399"/>
      <c r="I4303" s="1399">
        <v>163582.71</v>
      </c>
      <c r="J4303" s="1399">
        <v>163582.71</v>
      </c>
    </row>
    <row r="4304" spans="5:10" s="1297" customFormat="1">
      <c r="E4304" s="1297" t="s">
        <v>934</v>
      </c>
      <c r="F4304" s="1399"/>
      <c r="G4304" s="1399"/>
      <c r="H4304" s="1399"/>
      <c r="I4304" s="1399">
        <v>73272.800000000003</v>
      </c>
      <c r="J4304" s="1399">
        <v>73272.800000000003</v>
      </c>
    </row>
    <row r="4305" spans="2:12">
      <c r="B4305" s="1297"/>
      <c r="C4305" s="1297"/>
      <c r="D4305" s="1297"/>
      <c r="E4305" s="1297" t="s">
        <v>1130</v>
      </c>
      <c r="I4305" s="1399">
        <v>116566</v>
      </c>
      <c r="J4305" s="1399">
        <v>116566</v>
      </c>
    </row>
    <row r="4306" spans="2:12">
      <c r="B4306" s="1297"/>
      <c r="C4306" s="1297"/>
      <c r="D4306" s="1297"/>
      <c r="E4306" s="1297" t="s">
        <v>935</v>
      </c>
      <c r="I4306" s="1399">
        <v>493438.53</v>
      </c>
      <c r="J4306" s="1399">
        <v>493438.53</v>
      </c>
    </row>
    <row r="4307" spans="2:12">
      <c r="B4307" s="1297"/>
      <c r="C4307" s="1297"/>
      <c r="D4307" s="1297"/>
      <c r="E4307" s="1297" t="s">
        <v>936</v>
      </c>
      <c r="I4307" s="1399">
        <v>104344.86</v>
      </c>
      <c r="J4307" s="1399">
        <v>104344.86</v>
      </c>
    </row>
    <row r="4308" spans="2:12">
      <c r="B4308" s="1297"/>
      <c r="C4308" s="1297"/>
      <c r="D4308" s="1297"/>
      <c r="E4308" s="1297" t="s">
        <v>937</v>
      </c>
      <c r="I4308" s="1399">
        <v>8577.2800000000007</v>
      </c>
      <c r="J4308" s="1399">
        <v>8577.2800000000007</v>
      </c>
    </row>
    <row r="4309" spans="2:12">
      <c r="B4309" s="1297"/>
      <c r="C4309" s="1297"/>
      <c r="D4309" s="1297"/>
      <c r="E4309" s="1297" t="s">
        <v>938</v>
      </c>
      <c r="I4309" s="1399">
        <v>29197</v>
      </c>
      <c r="J4309" s="1399">
        <v>29197</v>
      </c>
    </row>
    <row r="4310" spans="2:12">
      <c r="B4310" s="1297"/>
      <c r="C4310" s="1297"/>
      <c r="D4310" s="1297"/>
      <c r="E4310" s="1297" t="s">
        <v>940</v>
      </c>
      <c r="F4310" s="1399">
        <v>977362.10000000009</v>
      </c>
      <c r="J4310" s="1399">
        <v>977362.10000000009</v>
      </c>
    </row>
    <row r="4311" spans="2:12">
      <c r="B4311" s="1297"/>
      <c r="C4311" s="1297"/>
      <c r="D4311" s="1297"/>
      <c r="E4311" s="1297" t="s">
        <v>941</v>
      </c>
      <c r="F4311" s="1399">
        <v>300211.40000000002</v>
      </c>
      <c r="J4311" s="1399">
        <v>300211.40000000002</v>
      </c>
    </row>
    <row r="4312" spans="2:12">
      <c r="B4312" s="1297"/>
      <c r="C4312" s="1297"/>
      <c r="D4312" s="1297"/>
      <c r="E4312" s="1297" t="s">
        <v>944</v>
      </c>
      <c r="F4312" s="1399">
        <v>2540660.8699999996</v>
      </c>
      <c r="J4312" s="1399">
        <v>2540660.8699999996</v>
      </c>
    </row>
    <row r="4313" spans="2:12">
      <c r="B4313" s="1297"/>
      <c r="C4313" s="1297"/>
      <c r="D4313" s="1297"/>
      <c r="E4313" s="1297" t="s">
        <v>945</v>
      </c>
      <c r="F4313" s="1399">
        <v>1502731.17</v>
      </c>
      <c r="J4313" s="1399">
        <v>1502731.17</v>
      </c>
    </row>
    <row r="4314" spans="2:12">
      <c r="B4314" s="1297"/>
      <c r="C4314" s="1297"/>
      <c r="D4314" s="1297"/>
      <c r="E4314" s="1297" t="s">
        <v>946</v>
      </c>
      <c r="F4314" s="1399">
        <v>633577.63</v>
      </c>
      <c r="J4314" s="1399">
        <v>633577.63</v>
      </c>
    </row>
    <row r="4315" spans="2:12">
      <c r="B4315" s="1297"/>
      <c r="C4315" s="1297"/>
      <c r="D4315" s="1297"/>
      <c r="E4315" s="1297" t="s">
        <v>947</v>
      </c>
      <c r="F4315" s="1399">
        <v>142256.83000000002</v>
      </c>
      <c r="J4315" s="1399">
        <v>142256.83000000002</v>
      </c>
    </row>
    <row r="4316" spans="2:12">
      <c r="B4316" s="1297"/>
      <c r="C4316" s="1297"/>
      <c r="D4316" s="1297"/>
      <c r="E4316" s="1404" t="s">
        <v>948</v>
      </c>
      <c r="F4316" s="1405"/>
      <c r="G4316" s="1405"/>
      <c r="H4316" s="1405">
        <v>4248676.8999999994</v>
      </c>
      <c r="I4316" s="1405"/>
      <c r="J4316" s="1405">
        <v>4248676.8999999994</v>
      </c>
    </row>
    <row r="4317" spans="2:12">
      <c r="B4317" s="1297"/>
      <c r="C4317" s="1297"/>
      <c r="D4317" s="1400" t="s">
        <v>1290</v>
      </c>
      <c r="E4317" s="1400"/>
      <c r="F4317" s="1401">
        <f>SUM(F4280:F4316)</f>
        <v>6096799.9999999991</v>
      </c>
      <c r="G4317" s="1401">
        <f>SUM(G4280:G4316)</f>
        <v>26578262.09</v>
      </c>
      <c r="H4317" s="1401">
        <f>SUM(H4280:H4316)-H4316</f>
        <v>2199155.3600000003</v>
      </c>
      <c r="I4317" s="1401">
        <f>SUM(I4280:I4316)</f>
        <v>17800238.180000003</v>
      </c>
      <c r="J4317" s="1401">
        <f>SUM(J4280:J4316)</f>
        <v>56923132.530000001</v>
      </c>
      <c r="K4317" s="1401">
        <f>SUM(F4317:I4317)</f>
        <v>52674455.63000001</v>
      </c>
      <c r="L4317" s="1408">
        <f>K4317/C4280</f>
        <v>12039.875572571431</v>
      </c>
    </row>
    <row r="4318" spans="2:12">
      <c r="B4318" s="1297" t="s">
        <v>1483</v>
      </c>
      <c r="C4318" s="1297">
        <v>3423</v>
      </c>
      <c r="D4318" s="1297" t="s">
        <v>1484</v>
      </c>
      <c r="E4318" s="1297" t="s">
        <v>906</v>
      </c>
      <c r="G4318" s="1399">
        <v>6026007.6100000003</v>
      </c>
      <c r="J4318" s="1399">
        <v>6026007.6100000003</v>
      </c>
    </row>
    <row r="4319" spans="2:12">
      <c r="B4319" s="1297"/>
      <c r="C4319" s="1297"/>
      <c r="D4319" s="1297"/>
      <c r="E4319" s="1297" t="s">
        <v>907</v>
      </c>
      <c r="G4319" s="1399">
        <v>1661818.14</v>
      </c>
      <c r="J4319" s="1399">
        <v>1661818.14</v>
      </c>
    </row>
    <row r="4320" spans="2:12">
      <c r="B4320" s="1297"/>
      <c r="C4320" s="1297"/>
      <c r="D4320" s="1297"/>
      <c r="E4320" s="1297" t="s">
        <v>908</v>
      </c>
      <c r="G4320" s="1399">
        <v>67827.199999999997</v>
      </c>
      <c r="J4320" s="1399">
        <v>67827.199999999997</v>
      </c>
    </row>
    <row r="4321" spans="5:10" s="1297" customFormat="1">
      <c r="E4321" s="1297" t="s">
        <v>909</v>
      </c>
      <c r="F4321" s="1399"/>
      <c r="G4321" s="1399"/>
      <c r="H4321" s="1399">
        <v>30394.43</v>
      </c>
      <c r="I4321" s="1399"/>
      <c r="J4321" s="1399">
        <v>30394.43</v>
      </c>
    </row>
    <row r="4322" spans="5:10" s="1297" customFormat="1">
      <c r="E4322" s="1297" t="s">
        <v>910</v>
      </c>
      <c r="F4322" s="1399"/>
      <c r="G4322" s="1399"/>
      <c r="H4322" s="1399">
        <v>475</v>
      </c>
      <c r="I4322" s="1399"/>
      <c r="J4322" s="1399">
        <v>475</v>
      </c>
    </row>
    <row r="4323" spans="5:10" s="1297" customFormat="1">
      <c r="E4323" s="1297" t="s">
        <v>1034</v>
      </c>
      <c r="F4323" s="1399"/>
      <c r="G4323" s="1399"/>
      <c r="H4323" s="1399">
        <v>74624.2</v>
      </c>
      <c r="I4323" s="1399"/>
      <c r="J4323" s="1399">
        <v>74624.2</v>
      </c>
    </row>
    <row r="4324" spans="5:10" s="1297" customFormat="1">
      <c r="E4324" s="1297" t="s">
        <v>1035</v>
      </c>
      <c r="F4324" s="1399"/>
      <c r="G4324" s="1399"/>
      <c r="H4324" s="1399">
        <v>617997.48</v>
      </c>
      <c r="I4324" s="1399"/>
      <c r="J4324" s="1399">
        <v>617997.48</v>
      </c>
    </row>
    <row r="4325" spans="5:10" s="1297" customFormat="1">
      <c r="E4325" s="1297" t="s">
        <v>1036</v>
      </c>
      <c r="F4325" s="1399"/>
      <c r="G4325" s="1399"/>
      <c r="H4325" s="1399">
        <v>140392.03</v>
      </c>
      <c r="I4325" s="1399"/>
      <c r="J4325" s="1399">
        <v>140392.03</v>
      </c>
    </row>
    <row r="4326" spans="5:10" s="1297" customFormat="1">
      <c r="E4326" s="1297" t="s">
        <v>1037</v>
      </c>
      <c r="F4326" s="1399"/>
      <c r="G4326" s="1399"/>
      <c r="H4326" s="1399">
        <v>1464</v>
      </c>
      <c r="I4326" s="1399"/>
      <c r="J4326" s="1399">
        <v>1464</v>
      </c>
    </row>
    <row r="4327" spans="5:10" s="1297" customFormat="1">
      <c r="E4327" s="1297" t="s">
        <v>1039</v>
      </c>
      <c r="F4327" s="1399"/>
      <c r="G4327" s="1399"/>
      <c r="H4327" s="1399">
        <v>8999.3100000000013</v>
      </c>
      <c r="I4327" s="1399"/>
      <c r="J4327" s="1399">
        <v>8999.3100000000013</v>
      </c>
    </row>
    <row r="4328" spans="5:10" s="1297" customFormat="1">
      <c r="E4328" s="1297" t="s">
        <v>1040</v>
      </c>
      <c r="F4328" s="1399"/>
      <c r="G4328" s="1399"/>
      <c r="H4328" s="1399">
        <v>259674.91</v>
      </c>
      <c r="I4328" s="1399"/>
      <c r="J4328" s="1399">
        <v>259674.91</v>
      </c>
    </row>
    <row r="4329" spans="5:10" s="1297" customFormat="1">
      <c r="E4329" s="1297" t="s">
        <v>1041</v>
      </c>
      <c r="F4329" s="1399"/>
      <c r="G4329" s="1399"/>
      <c r="H4329" s="1399">
        <v>28123.56</v>
      </c>
      <c r="I4329" s="1399"/>
      <c r="J4329" s="1399">
        <v>28123.56</v>
      </c>
    </row>
    <row r="4330" spans="5:10" s="1297" customFormat="1">
      <c r="E4330" s="1297" t="s">
        <v>1042</v>
      </c>
      <c r="F4330" s="1399"/>
      <c r="G4330" s="1399"/>
      <c r="H4330" s="1399">
        <v>65355.19</v>
      </c>
      <c r="I4330" s="1399"/>
      <c r="J4330" s="1399">
        <v>65355.19</v>
      </c>
    </row>
    <row r="4331" spans="5:10" s="1297" customFormat="1">
      <c r="E4331" s="1297" t="s">
        <v>953</v>
      </c>
      <c r="F4331" s="1399"/>
      <c r="G4331" s="1399"/>
      <c r="H4331" s="1399">
        <v>50946.85</v>
      </c>
      <c r="I4331" s="1399"/>
      <c r="J4331" s="1399">
        <v>50946.85</v>
      </c>
    </row>
    <row r="4332" spans="5:10" s="1297" customFormat="1">
      <c r="E4332" s="1297" t="s">
        <v>986</v>
      </c>
      <c r="F4332" s="1399"/>
      <c r="G4332" s="1399"/>
      <c r="H4332" s="1399">
        <v>238756.52</v>
      </c>
      <c r="I4332" s="1399"/>
      <c r="J4332" s="1399">
        <v>238756.52</v>
      </c>
    </row>
    <row r="4333" spans="5:10" s="1297" customFormat="1">
      <c r="E4333" s="1297" t="s">
        <v>1045</v>
      </c>
      <c r="F4333" s="1399"/>
      <c r="G4333" s="1399"/>
      <c r="H4333" s="1399">
        <v>349728.34</v>
      </c>
      <c r="I4333" s="1399"/>
      <c r="J4333" s="1399">
        <v>349728.34</v>
      </c>
    </row>
    <row r="4334" spans="5:10" s="1297" customFormat="1">
      <c r="E4334" s="1297" t="s">
        <v>1046</v>
      </c>
      <c r="F4334" s="1399"/>
      <c r="G4334" s="1399"/>
      <c r="H4334" s="1399"/>
      <c r="I4334" s="1399">
        <v>20584123</v>
      </c>
      <c r="J4334" s="1399">
        <v>20584123</v>
      </c>
    </row>
    <row r="4335" spans="5:10" s="1297" customFormat="1">
      <c r="E4335" s="1297" t="s">
        <v>1129</v>
      </c>
      <c r="F4335" s="1399"/>
      <c r="G4335" s="1399"/>
      <c r="H4335" s="1399"/>
      <c r="I4335" s="1399">
        <v>-2604349</v>
      </c>
      <c r="J4335" s="1399">
        <v>-2604349</v>
      </c>
    </row>
    <row r="4336" spans="5:10" s="1297" customFormat="1">
      <c r="E4336" s="1297" t="s">
        <v>1047</v>
      </c>
      <c r="F4336" s="1399"/>
      <c r="G4336" s="1399"/>
      <c r="H4336" s="1399"/>
      <c r="I4336" s="1399">
        <v>503004</v>
      </c>
      <c r="J4336" s="1399">
        <v>503004</v>
      </c>
    </row>
    <row r="4337" spans="5:10" s="1297" customFormat="1">
      <c r="E4337" s="1297" t="s">
        <v>1048</v>
      </c>
      <c r="F4337" s="1399"/>
      <c r="G4337" s="1399"/>
      <c r="H4337" s="1399"/>
      <c r="I4337" s="1399">
        <v>-1959993</v>
      </c>
      <c r="J4337" s="1399">
        <v>-1959993</v>
      </c>
    </row>
    <row r="4338" spans="5:10" s="1297" customFormat="1">
      <c r="E4338" s="1297" t="s">
        <v>932</v>
      </c>
      <c r="F4338" s="1399"/>
      <c r="G4338" s="1399"/>
      <c r="H4338" s="1399"/>
      <c r="I4338" s="1399">
        <v>2105559</v>
      </c>
      <c r="J4338" s="1399">
        <v>2105559</v>
      </c>
    </row>
    <row r="4339" spans="5:10" s="1297" customFormat="1">
      <c r="E4339" s="1404" t="s">
        <v>955</v>
      </c>
      <c r="F4339" s="1405"/>
      <c r="G4339" s="1405"/>
      <c r="H4339" s="1405"/>
      <c r="I4339" s="1405">
        <v>699791.24</v>
      </c>
      <c r="J4339" s="1405">
        <v>699791.24</v>
      </c>
    </row>
    <row r="4340" spans="5:10" s="1297" customFormat="1">
      <c r="E4340" s="1297" t="s">
        <v>934</v>
      </c>
      <c r="F4340" s="1399"/>
      <c r="G4340" s="1399"/>
      <c r="H4340" s="1399"/>
      <c r="I4340" s="1399">
        <v>57911.4</v>
      </c>
      <c r="J4340" s="1399">
        <v>57911.4</v>
      </c>
    </row>
    <row r="4341" spans="5:10" s="1297" customFormat="1">
      <c r="E4341" s="1297" t="s">
        <v>935</v>
      </c>
      <c r="F4341" s="1399"/>
      <c r="G4341" s="1399"/>
      <c r="H4341" s="1399"/>
      <c r="I4341" s="1399">
        <v>273056.07</v>
      </c>
      <c r="J4341" s="1399">
        <v>273056.07</v>
      </c>
    </row>
    <row r="4342" spans="5:10" s="1297" customFormat="1">
      <c r="E4342" s="1297" t="s">
        <v>936</v>
      </c>
      <c r="F4342" s="1399"/>
      <c r="G4342" s="1399"/>
      <c r="H4342" s="1399"/>
      <c r="I4342" s="1399">
        <v>46570.02</v>
      </c>
      <c r="J4342" s="1399">
        <v>46570.02</v>
      </c>
    </row>
    <row r="4343" spans="5:10" s="1297" customFormat="1">
      <c r="E4343" s="1297" t="s">
        <v>937</v>
      </c>
      <c r="F4343" s="1399"/>
      <c r="G4343" s="1399"/>
      <c r="H4343" s="1399"/>
      <c r="I4343" s="1399">
        <v>30130.42</v>
      </c>
      <c r="J4343" s="1399">
        <v>30130.42</v>
      </c>
    </row>
    <row r="4344" spans="5:10" s="1297" customFormat="1">
      <c r="E4344" s="1297" t="s">
        <v>938</v>
      </c>
      <c r="F4344" s="1399"/>
      <c r="G4344" s="1399"/>
      <c r="H4344" s="1399"/>
      <c r="I4344" s="1399">
        <v>14973</v>
      </c>
      <c r="J4344" s="1399">
        <v>14973</v>
      </c>
    </row>
    <row r="4345" spans="5:10" s="1297" customFormat="1">
      <c r="E4345" s="1297" t="s">
        <v>940</v>
      </c>
      <c r="F4345" s="1399">
        <v>855387.08</v>
      </c>
      <c r="G4345" s="1399"/>
      <c r="H4345" s="1399"/>
      <c r="I4345" s="1399"/>
      <c r="J4345" s="1399">
        <v>855387.08</v>
      </c>
    </row>
    <row r="4346" spans="5:10" s="1297" customFormat="1">
      <c r="E4346" s="1297" t="s">
        <v>941</v>
      </c>
      <c r="F4346" s="1399">
        <v>284477.65999999997</v>
      </c>
      <c r="G4346" s="1399"/>
      <c r="H4346" s="1399"/>
      <c r="I4346" s="1399"/>
      <c r="J4346" s="1399">
        <v>284477.65999999997</v>
      </c>
    </row>
    <row r="4347" spans="5:10" s="1297" customFormat="1">
      <c r="E4347" s="1297" t="s">
        <v>942</v>
      </c>
      <c r="F4347" s="1399">
        <v>6454.44</v>
      </c>
      <c r="G4347" s="1399"/>
      <c r="H4347" s="1399"/>
      <c r="I4347" s="1399"/>
      <c r="J4347" s="1399">
        <v>6454.44</v>
      </c>
    </row>
    <row r="4348" spans="5:10" s="1297" customFormat="1">
      <c r="E4348" s="1297" t="s">
        <v>944</v>
      </c>
      <c r="F4348" s="1399">
        <v>2012288.4199999997</v>
      </c>
      <c r="G4348" s="1399"/>
      <c r="H4348" s="1399"/>
      <c r="I4348" s="1399"/>
      <c r="J4348" s="1399">
        <v>2012288.4199999997</v>
      </c>
    </row>
    <row r="4349" spans="5:10" s="1297" customFormat="1">
      <c r="E4349" s="1297" t="s">
        <v>945</v>
      </c>
      <c r="F4349" s="1399">
        <v>1392565.69</v>
      </c>
      <c r="G4349" s="1399"/>
      <c r="H4349" s="1399"/>
      <c r="I4349" s="1399"/>
      <c r="J4349" s="1399">
        <v>1392565.69</v>
      </c>
    </row>
    <row r="4350" spans="5:10" s="1297" customFormat="1">
      <c r="E4350" s="1297" t="s">
        <v>946</v>
      </c>
      <c r="F4350" s="1399">
        <v>153434.53</v>
      </c>
      <c r="G4350" s="1399"/>
      <c r="H4350" s="1399"/>
      <c r="I4350" s="1399"/>
      <c r="J4350" s="1399">
        <v>153434.53</v>
      </c>
    </row>
    <row r="4351" spans="5:10" s="1297" customFormat="1">
      <c r="E4351" s="1297" t="s">
        <v>947</v>
      </c>
      <c r="F4351" s="1399">
        <v>129644.74</v>
      </c>
      <c r="G4351" s="1399"/>
      <c r="H4351" s="1399"/>
      <c r="I4351" s="1399"/>
      <c r="J4351" s="1399">
        <v>129644.74</v>
      </c>
    </row>
    <row r="4352" spans="5:10" s="1297" customFormat="1">
      <c r="E4352" s="1404" t="s">
        <v>948</v>
      </c>
      <c r="F4352" s="1405"/>
      <c r="G4352" s="1405"/>
      <c r="H4352" s="1405">
        <v>4391493.26</v>
      </c>
      <c r="I4352" s="1405"/>
      <c r="J4352" s="1405">
        <v>4391493.26</v>
      </c>
    </row>
    <row r="4353" spans="2:12">
      <c r="B4353" s="1297"/>
      <c r="C4353" s="1297"/>
      <c r="D4353" s="1400" t="s">
        <v>1485</v>
      </c>
      <c r="E4353" s="1400"/>
      <c r="F4353" s="1401">
        <f>SUM(F4318:F4352)</f>
        <v>4834252.5599999996</v>
      </c>
      <c r="G4353" s="1401">
        <f>SUM(G4318:G4352)</f>
        <v>7755652.9500000002</v>
      </c>
      <c r="H4353" s="1401">
        <f>SUM(H4318:H4352)-H4352</f>
        <v>1866931.8200000003</v>
      </c>
      <c r="I4353" s="1401">
        <f>SUM(I4318:I4352)-I4339</f>
        <v>19050984.91</v>
      </c>
      <c r="J4353" s="1401">
        <f>SUM(J4318:J4352)</f>
        <v>38599106.739999995</v>
      </c>
      <c r="K4353" s="1401">
        <f>SUM(F4353:I4353)</f>
        <v>33507822.240000002</v>
      </c>
      <c r="L4353" s="1408">
        <f>K4353/C4318</f>
        <v>9789.0219807186677</v>
      </c>
    </row>
    <row r="4354" spans="2:12">
      <c r="B4354" s="1297" t="s">
        <v>1486</v>
      </c>
      <c r="C4354" s="1297">
        <v>3394</v>
      </c>
      <c r="D4354" s="1297" t="s">
        <v>1487</v>
      </c>
      <c r="E4354" s="1297" t="s">
        <v>906</v>
      </c>
      <c r="G4354" s="1399">
        <v>7566994.3800000008</v>
      </c>
      <c r="J4354" s="1399">
        <v>7566994.3800000008</v>
      </c>
    </row>
    <row r="4355" spans="2:12">
      <c r="B4355" s="1297"/>
      <c r="C4355" s="1297"/>
      <c r="D4355" s="1297"/>
      <c r="E4355" s="1297" t="s">
        <v>952</v>
      </c>
      <c r="G4355" s="1399">
        <v>77916.149999999994</v>
      </c>
      <c r="J4355" s="1399">
        <v>77916.149999999994</v>
      </c>
    </row>
    <row r="4356" spans="2:12">
      <c r="B4356" s="1297"/>
      <c r="C4356" s="1297"/>
      <c r="D4356" s="1297"/>
      <c r="E4356" s="1297" t="s">
        <v>907</v>
      </c>
      <c r="G4356" s="1399">
        <v>860973.8</v>
      </c>
      <c r="J4356" s="1399">
        <v>860973.8</v>
      </c>
    </row>
    <row r="4357" spans="2:12">
      <c r="B4357" s="1297"/>
      <c r="C4357" s="1297"/>
      <c r="D4357" s="1297"/>
      <c r="E4357" s="1297" t="s">
        <v>909</v>
      </c>
      <c r="H4357" s="1399">
        <v>49705.9</v>
      </c>
      <c r="J4357" s="1399">
        <v>49705.9</v>
      </c>
    </row>
    <row r="4358" spans="2:12">
      <c r="B4358" s="1297"/>
      <c r="C4358" s="1297"/>
      <c r="D4358" s="1297"/>
      <c r="E4358" s="1297" t="s">
        <v>910</v>
      </c>
      <c r="H4358" s="1399">
        <v>236152.63</v>
      </c>
      <c r="J4358" s="1399">
        <v>236152.63</v>
      </c>
    </row>
    <row r="4359" spans="2:12">
      <c r="B4359" s="1297"/>
      <c r="C4359" s="1297"/>
      <c r="D4359" s="1297"/>
      <c r="E4359" s="1297" t="s">
        <v>1034</v>
      </c>
      <c r="H4359" s="1399">
        <v>28868.1</v>
      </c>
      <c r="J4359" s="1399">
        <v>28868.1</v>
      </c>
    </row>
    <row r="4360" spans="2:12">
      <c r="B4360" s="1297"/>
      <c r="C4360" s="1297"/>
      <c r="D4360" s="1297"/>
      <c r="E4360" s="1297" t="s">
        <v>1035</v>
      </c>
      <c r="H4360" s="1399">
        <v>633266.1</v>
      </c>
      <c r="J4360" s="1399">
        <v>633266.1</v>
      </c>
    </row>
    <row r="4361" spans="2:12">
      <c r="B4361" s="1297"/>
      <c r="C4361" s="1297"/>
      <c r="D4361" s="1297"/>
      <c r="E4361" s="1297" t="s">
        <v>1036</v>
      </c>
      <c r="H4361" s="1399">
        <v>179719.45</v>
      </c>
      <c r="J4361" s="1399">
        <v>179719.45</v>
      </c>
    </row>
    <row r="4362" spans="2:12">
      <c r="B4362" s="1297"/>
      <c r="C4362" s="1297"/>
      <c r="D4362" s="1297"/>
      <c r="E4362" s="1297" t="s">
        <v>1039</v>
      </c>
      <c r="H4362" s="1399">
        <v>11061.79</v>
      </c>
      <c r="J4362" s="1399">
        <v>11061.79</v>
      </c>
    </row>
    <row r="4363" spans="2:12">
      <c r="B4363" s="1297"/>
      <c r="C4363" s="1297"/>
      <c r="D4363" s="1297"/>
      <c r="E4363" s="1297" t="s">
        <v>1040</v>
      </c>
      <c r="H4363" s="1399">
        <v>354924.99</v>
      </c>
      <c r="J4363" s="1399">
        <v>354924.99</v>
      </c>
    </row>
    <row r="4364" spans="2:12">
      <c r="B4364" s="1297"/>
      <c r="C4364" s="1297"/>
      <c r="D4364" s="1297"/>
      <c r="E4364" s="1297" t="s">
        <v>1041</v>
      </c>
      <c r="H4364" s="1399">
        <v>2215.65</v>
      </c>
      <c r="J4364" s="1399">
        <v>2215.65</v>
      </c>
    </row>
    <row r="4365" spans="2:12">
      <c r="B4365" s="1297"/>
      <c r="C4365" s="1297"/>
      <c r="D4365" s="1297"/>
      <c r="E4365" s="1297" t="s">
        <v>1042</v>
      </c>
      <c r="H4365" s="1399">
        <v>29242.35</v>
      </c>
      <c r="J4365" s="1399">
        <v>29242.35</v>
      </c>
    </row>
    <row r="4366" spans="2:12">
      <c r="B4366" s="1297"/>
      <c r="C4366" s="1297"/>
      <c r="D4366" s="1297"/>
      <c r="E4366" s="1297" t="s">
        <v>1045</v>
      </c>
      <c r="H4366" s="1399">
        <v>112397.94</v>
      </c>
      <c r="J4366" s="1399">
        <v>112397.94</v>
      </c>
    </row>
    <row r="4367" spans="2:12">
      <c r="B4367" s="1297"/>
      <c r="C4367" s="1297"/>
      <c r="D4367" s="1297"/>
      <c r="E4367" s="1297" t="s">
        <v>1046</v>
      </c>
      <c r="I4367" s="1399">
        <v>16959826</v>
      </c>
      <c r="J4367" s="1399">
        <v>16959826</v>
      </c>
    </row>
    <row r="4368" spans="2:12">
      <c r="B4368" s="1297"/>
      <c r="C4368" s="1297"/>
      <c r="D4368" s="1297"/>
      <c r="E4368" s="1297" t="s">
        <v>1129</v>
      </c>
      <c r="I4368" s="1399">
        <v>-2179109</v>
      </c>
      <c r="J4368" s="1399">
        <v>-2179109</v>
      </c>
    </row>
    <row r="4369" spans="5:10" s="1297" customFormat="1">
      <c r="E4369" s="1297" t="s">
        <v>1047</v>
      </c>
      <c r="F4369" s="1399"/>
      <c r="G4369" s="1399"/>
      <c r="H4369" s="1399"/>
      <c r="I4369" s="1399">
        <v>428933</v>
      </c>
      <c r="J4369" s="1399">
        <v>428933</v>
      </c>
    </row>
    <row r="4370" spans="5:10" s="1297" customFormat="1">
      <c r="E4370" s="1297" t="s">
        <v>1048</v>
      </c>
      <c r="F4370" s="1399"/>
      <c r="G4370" s="1399"/>
      <c r="H4370" s="1399"/>
      <c r="I4370" s="1399">
        <v>-2379175</v>
      </c>
      <c r="J4370" s="1399">
        <v>-2379175</v>
      </c>
    </row>
    <row r="4371" spans="5:10" s="1297" customFormat="1">
      <c r="E4371" s="1297" t="s">
        <v>932</v>
      </c>
      <c r="F4371" s="1399"/>
      <c r="G4371" s="1399"/>
      <c r="H4371" s="1399"/>
      <c r="I4371" s="1399">
        <v>1238078</v>
      </c>
      <c r="J4371" s="1399">
        <v>1238078</v>
      </c>
    </row>
    <row r="4372" spans="5:10" s="1297" customFormat="1">
      <c r="E4372" s="1404" t="s">
        <v>955</v>
      </c>
      <c r="F4372" s="1405"/>
      <c r="G4372" s="1405"/>
      <c r="H4372" s="1405"/>
      <c r="I4372" s="1405">
        <v>398725.31</v>
      </c>
      <c r="J4372" s="1405">
        <v>398725.31</v>
      </c>
    </row>
    <row r="4373" spans="5:10" s="1297" customFormat="1">
      <c r="E4373" s="1297" t="s">
        <v>934</v>
      </c>
      <c r="F4373" s="1399"/>
      <c r="G4373" s="1399"/>
      <c r="H4373" s="1399"/>
      <c r="I4373" s="1399">
        <v>45492</v>
      </c>
      <c r="J4373" s="1399">
        <v>45492</v>
      </c>
    </row>
    <row r="4374" spans="5:10" s="1297" customFormat="1">
      <c r="E4374" s="1297" t="s">
        <v>935</v>
      </c>
      <c r="F4374" s="1399"/>
      <c r="G4374" s="1399"/>
      <c r="H4374" s="1399"/>
      <c r="I4374" s="1399">
        <v>209951.89</v>
      </c>
      <c r="J4374" s="1399">
        <v>209951.89</v>
      </c>
    </row>
    <row r="4375" spans="5:10" s="1297" customFormat="1">
      <c r="E4375" s="1297" t="s">
        <v>936</v>
      </c>
      <c r="F4375" s="1399"/>
      <c r="G4375" s="1399"/>
      <c r="H4375" s="1399"/>
      <c r="I4375" s="1399">
        <v>53573.03</v>
      </c>
      <c r="J4375" s="1399">
        <v>53573.03</v>
      </c>
    </row>
    <row r="4376" spans="5:10" s="1297" customFormat="1">
      <c r="E4376" s="1297" t="s">
        <v>937</v>
      </c>
      <c r="F4376" s="1399"/>
      <c r="G4376" s="1399"/>
      <c r="H4376" s="1399"/>
      <c r="I4376" s="1399">
        <v>22962.28</v>
      </c>
      <c r="J4376" s="1399">
        <v>22962.28</v>
      </c>
    </row>
    <row r="4377" spans="5:10" s="1297" customFormat="1">
      <c r="E4377" s="1297" t="s">
        <v>938</v>
      </c>
      <c r="F4377" s="1399"/>
      <c r="G4377" s="1399"/>
      <c r="H4377" s="1399"/>
      <c r="I4377" s="1399">
        <v>19652</v>
      </c>
      <c r="J4377" s="1399">
        <v>19652</v>
      </c>
    </row>
    <row r="4378" spans="5:10" s="1297" customFormat="1">
      <c r="E4378" s="1297" t="s">
        <v>939</v>
      </c>
      <c r="F4378" s="1399"/>
      <c r="G4378" s="1399"/>
      <c r="H4378" s="1399"/>
      <c r="I4378" s="1399">
        <v>84671.56</v>
      </c>
      <c r="J4378" s="1399">
        <v>84671.56</v>
      </c>
    </row>
    <row r="4379" spans="5:10" s="1297" customFormat="1">
      <c r="E4379" s="1297" t="s">
        <v>940</v>
      </c>
      <c r="F4379" s="1399">
        <v>585170.38</v>
      </c>
      <c r="G4379" s="1399"/>
      <c r="H4379" s="1399"/>
      <c r="I4379" s="1399"/>
      <c r="J4379" s="1399">
        <v>585170.38</v>
      </c>
    </row>
    <row r="4380" spans="5:10" s="1297" customFormat="1">
      <c r="E4380" s="1297" t="s">
        <v>941</v>
      </c>
      <c r="F4380" s="1399">
        <v>171869.86</v>
      </c>
      <c r="G4380" s="1399"/>
      <c r="H4380" s="1399"/>
      <c r="I4380" s="1399"/>
      <c r="J4380" s="1399">
        <v>171869.86</v>
      </c>
    </row>
    <row r="4381" spans="5:10" s="1297" customFormat="1">
      <c r="E4381" s="1297" t="s">
        <v>944</v>
      </c>
      <c r="F4381" s="1399">
        <v>1230649.1299999999</v>
      </c>
      <c r="G4381" s="1399"/>
      <c r="H4381" s="1399"/>
      <c r="I4381" s="1399"/>
      <c r="J4381" s="1399">
        <v>1230649.1299999999</v>
      </c>
    </row>
    <row r="4382" spans="5:10" s="1297" customFormat="1">
      <c r="E4382" s="1297" t="s">
        <v>945</v>
      </c>
      <c r="F4382" s="1399">
        <v>904425.49</v>
      </c>
      <c r="G4382" s="1399"/>
      <c r="H4382" s="1399"/>
      <c r="I4382" s="1399"/>
      <c r="J4382" s="1399">
        <v>904425.49</v>
      </c>
    </row>
    <row r="4383" spans="5:10" s="1297" customFormat="1">
      <c r="E4383" s="1297" t="s">
        <v>947</v>
      </c>
      <c r="F4383" s="1399">
        <v>95368.86</v>
      </c>
      <c r="G4383" s="1399"/>
      <c r="H4383" s="1399"/>
      <c r="I4383" s="1399"/>
      <c r="J4383" s="1399">
        <v>95368.86</v>
      </c>
    </row>
    <row r="4384" spans="5:10" s="1297" customFormat="1">
      <c r="E4384" s="1404" t="s">
        <v>948</v>
      </c>
      <c r="F4384" s="1405"/>
      <c r="G4384" s="1405"/>
      <c r="H4384" s="1405">
        <v>3053540.72</v>
      </c>
      <c r="I4384" s="1405"/>
      <c r="J4384" s="1405">
        <v>3053540.72</v>
      </c>
    </row>
    <row r="4385" spans="2:12">
      <c r="B4385" s="1297"/>
      <c r="C4385" s="1297"/>
      <c r="D4385" s="1297"/>
      <c r="E4385" s="1297" t="s">
        <v>1118</v>
      </c>
      <c r="H4385" s="1399">
        <v>0</v>
      </c>
      <c r="J4385" s="1399">
        <v>0</v>
      </c>
    </row>
    <row r="4386" spans="2:12">
      <c r="B4386" s="1297"/>
      <c r="C4386" s="1297"/>
      <c r="D4386" s="1400" t="s">
        <v>1488</v>
      </c>
      <c r="E4386" s="1400"/>
      <c r="F4386" s="1401">
        <f>SUM(F4354:F4385)</f>
        <v>2987483.7199999997</v>
      </c>
      <c r="G4386" s="1401">
        <f>SUM(G4354:G4385)</f>
        <v>8505884.3300000019</v>
      </c>
      <c r="H4386" s="1401">
        <f>SUM(H4354:H4385)-H4384</f>
        <v>1637554.9</v>
      </c>
      <c r="I4386" s="1401">
        <f>SUM(I4354:I4385)-I4372</f>
        <v>14504855.76</v>
      </c>
      <c r="J4386" s="1401">
        <f>SUM(J4354:J4385)</f>
        <v>31088044.739999995</v>
      </c>
      <c r="K4386" s="1401">
        <f>SUM(F4386:I4386)</f>
        <v>27635778.710000001</v>
      </c>
      <c r="L4386" s="1408">
        <f>K4386/C4354</f>
        <v>8142.5393959929288</v>
      </c>
    </row>
    <row r="4387" spans="2:12">
      <c r="B4387" s="1297" t="s">
        <v>1489</v>
      </c>
      <c r="C4387" s="1297">
        <v>7240</v>
      </c>
      <c r="D4387" s="1297" t="s">
        <v>1490</v>
      </c>
      <c r="E4387" s="1297" t="s">
        <v>906</v>
      </c>
      <c r="G4387" s="1399">
        <v>13461314.66</v>
      </c>
      <c r="J4387" s="1399">
        <v>13461314.66</v>
      </c>
    </row>
    <row r="4388" spans="2:12">
      <c r="B4388" s="1297"/>
      <c r="C4388" s="1297"/>
      <c r="D4388" s="1297"/>
      <c r="E4388" s="1297" t="s">
        <v>952</v>
      </c>
      <c r="G4388" s="1399">
        <v>116876.44</v>
      </c>
      <c r="J4388" s="1399">
        <v>116876.44</v>
      </c>
    </row>
    <row r="4389" spans="2:12">
      <c r="B4389" s="1297"/>
      <c r="C4389" s="1297"/>
      <c r="D4389" s="1297"/>
      <c r="E4389" s="1297" t="s">
        <v>907</v>
      </c>
      <c r="G4389" s="1399">
        <v>3980639.36</v>
      </c>
      <c r="J4389" s="1399">
        <v>3980639.36</v>
      </c>
    </row>
    <row r="4390" spans="2:12">
      <c r="B4390" s="1297"/>
      <c r="C4390" s="1297"/>
      <c r="D4390" s="1297"/>
      <c r="E4390" s="1297" t="s">
        <v>908</v>
      </c>
      <c r="G4390" s="1399">
        <v>40490.519999999997</v>
      </c>
      <c r="J4390" s="1399">
        <v>40490.519999999997</v>
      </c>
    </row>
    <row r="4391" spans="2:12">
      <c r="B4391" s="1297"/>
      <c r="C4391" s="1297"/>
      <c r="D4391" s="1297"/>
      <c r="E4391" s="1297" t="s">
        <v>1037</v>
      </c>
      <c r="H4391" s="1399">
        <v>9031</v>
      </c>
      <c r="J4391" s="1399">
        <v>9031</v>
      </c>
    </row>
    <row r="4392" spans="2:12">
      <c r="B4392" s="1297"/>
      <c r="C4392" s="1297"/>
      <c r="D4392" s="1297"/>
      <c r="E4392" s="1297" t="s">
        <v>1039</v>
      </c>
      <c r="H4392" s="1399">
        <v>23702.800000000003</v>
      </c>
      <c r="J4392" s="1399">
        <v>23702.800000000003</v>
      </c>
    </row>
    <row r="4393" spans="2:12">
      <c r="B4393" s="1297"/>
      <c r="C4393" s="1297"/>
      <c r="D4393" s="1297"/>
      <c r="E4393" s="1297" t="s">
        <v>1040</v>
      </c>
      <c r="H4393" s="1399">
        <v>325992.67999999993</v>
      </c>
      <c r="J4393" s="1399">
        <v>325992.67999999993</v>
      </c>
    </row>
    <row r="4394" spans="2:12">
      <c r="B4394" s="1297"/>
      <c r="C4394" s="1297"/>
      <c r="D4394" s="1297"/>
      <c r="E4394" s="1297" t="s">
        <v>1127</v>
      </c>
      <c r="H4394" s="1399">
        <v>68546.599999999991</v>
      </c>
      <c r="J4394" s="1399">
        <v>68546.599999999991</v>
      </c>
    </row>
    <row r="4395" spans="2:12">
      <c r="B4395" s="1297"/>
      <c r="C4395" s="1297"/>
      <c r="D4395" s="1297"/>
      <c r="E4395" s="1297" t="s">
        <v>1041</v>
      </c>
      <c r="H4395" s="1399">
        <v>22753.379999999997</v>
      </c>
      <c r="J4395" s="1399">
        <v>22753.379999999997</v>
      </c>
    </row>
    <row r="4396" spans="2:12">
      <c r="B4396" s="1297"/>
      <c r="C4396" s="1297"/>
      <c r="D4396" s="1297"/>
      <c r="E4396" s="1297" t="s">
        <v>1042</v>
      </c>
      <c r="H4396" s="1399">
        <v>37222.6</v>
      </c>
      <c r="J4396" s="1399">
        <v>37222.6</v>
      </c>
    </row>
    <row r="4397" spans="2:12">
      <c r="B4397" s="1297"/>
      <c r="C4397" s="1297"/>
      <c r="D4397" s="1297"/>
      <c r="E4397" s="1297" t="s">
        <v>954</v>
      </c>
      <c r="H4397" s="1399">
        <v>1976726.35</v>
      </c>
      <c r="J4397" s="1399">
        <v>1976726.35</v>
      </c>
    </row>
    <row r="4398" spans="2:12">
      <c r="B4398" s="1297"/>
      <c r="C4398" s="1297"/>
      <c r="D4398" s="1297"/>
      <c r="E4398" s="1297" t="s">
        <v>986</v>
      </c>
      <c r="H4398" s="1399">
        <v>189950</v>
      </c>
      <c r="J4398" s="1399">
        <v>189950</v>
      </c>
    </row>
    <row r="4399" spans="2:12">
      <c r="B4399" s="1297"/>
      <c r="C4399" s="1297"/>
      <c r="D4399" s="1297"/>
      <c r="E4399" s="1297" t="s">
        <v>991</v>
      </c>
      <c r="H4399" s="1399">
        <v>26155.69</v>
      </c>
      <c r="J4399" s="1399">
        <v>26155.69</v>
      </c>
    </row>
    <row r="4400" spans="2:12">
      <c r="B4400" s="1297"/>
      <c r="C4400" s="1297"/>
      <c r="D4400" s="1297"/>
      <c r="E4400" s="1297" t="s">
        <v>1044</v>
      </c>
      <c r="F4400" s="1399">
        <v>19654.900000000001</v>
      </c>
      <c r="J4400" s="1399">
        <v>19654.900000000001</v>
      </c>
    </row>
    <row r="4401" spans="5:10" s="1297" customFormat="1">
      <c r="E4401" s="1297" t="s">
        <v>1045</v>
      </c>
      <c r="F4401" s="1399"/>
      <c r="G4401" s="1399"/>
      <c r="H4401" s="1399">
        <v>204669.27</v>
      </c>
      <c r="I4401" s="1399"/>
      <c r="J4401" s="1399">
        <v>204669.27</v>
      </c>
    </row>
    <row r="4402" spans="5:10" s="1297" customFormat="1">
      <c r="E4402" s="1297" t="s">
        <v>1046</v>
      </c>
      <c r="F4402" s="1399"/>
      <c r="G4402" s="1399"/>
      <c r="H4402" s="1399"/>
      <c r="I4402" s="1399">
        <v>38924528</v>
      </c>
      <c r="J4402" s="1399">
        <v>38924528</v>
      </c>
    </row>
    <row r="4403" spans="5:10" s="1297" customFormat="1">
      <c r="E4403" s="1297" t="s">
        <v>1128</v>
      </c>
      <c r="F4403" s="1399"/>
      <c r="G4403" s="1399"/>
      <c r="H4403" s="1399"/>
      <c r="I4403" s="1399">
        <v>3254275</v>
      </c>
      <c r="J4403" s="1399">
        <v>3254275</v>
      </c>
    </row>
    <row r="4404" spans="5:10" s="1297" customFormat="1">
      <c r="E4404" s="1297" t="s">
        <v>1129</v>
      </c>
      <c r="F4404" s="1399"/>
      <c r="G4404" s="1399"/>
      <c r="H4404" s="1399"/>
      <c r="I4404" s="1399">
        <v>-5536380</v>
      </c>
      <c r="J4404" s="1399">
        <v>-5536380</v>
      </c>
    </row>
    <row r="4405" spans="5:10" s="1297" customFormat="1">
      <c r="E4405" s="1297" t="s">
        <v>1047</v>
      </c>
      <c r="F4405" s="1399"/>
      <c r="G4405" s="1399"/>
      <c r="H4405" s="1399"/>
      <c r="I4405" s="1399">
        <v>930419</v>
      </c>
      <c r="J4405" s="1399">
        <v>930419</v>
      </c>
    </row>
    <row r="4406" spans="5:10" s="1297" customFormat="1">
      <c r="E4406" s="1297" t="s">
        <v>1048</v>
      </c>
      <c r="F4406" s="1399"/>
      <c r="G4406" s="1399"/>
      <c r="H4406" s="1399"/>
      <c r="I4406" s="1399">
        <v>-4302218</v>
      </c>
      <c r="J4406" s="1399">
        <v>-4302218</v>
      </c>
    </row>
    <row r="4407" spans="5:10" s="1297" customFormat="1">
      <c r="E4407" s="1297" t="s">
        <v>932</v>
      </c>
      <c r="F4407" s="1399"/>
      <c r="G4407" s="1399"/>
      <c r="H4407" s="1399"/>
      <c r="I4407" s="1399">
        <v>5041825</v>
      </c>
      <c r="J4407" s="1399">
        <v>5041825</v>
      </c>
    </row>
    <row r="4408" spans="5:10" s="1297" customFormat="1">
      <c r="E4408" s="1404" t="s">
        <v>955</v>
      </c>
      <c r="F4408" s="1405"/>
      <c r="G4408" s="1405"/>
      <c r="H4408" s="1405"/>
      <c r="I4408" s="1405">
        <v>1281598.6599999999</v>
      </c>
      <c r="J4408" s="1405">
        <v>1281598.6599999999</v>
      </c>
    </row>
    <row r="4409" spans="5:10" s="1297" customFormat="1">
      <c r="E4409" s="1297" t="s">
        <v>934</v>
      </c>
      <c r="F4409" s="1399"/>
      <c r="G4409" s="1399"/>
      <c r="H4409" s="1399"/>
      <c r="I4409" s="1399">
        <v>115036</v>
      </c>
      <c r="J4409" s="1399">
        <v>115036</v>
      </c>
    </row>
    <row r="4410" spans="5:10" s="1297" customFormat="1">
      <c r="E4410" s="1297" t="s">
        <v>1130</v>
      </c>
      <c r="F4410" s="1399"/>
      <c r="G4410" s="1399"/>
      <c r="H4410" s="1399"/>
      <c r="I4410" s="1399">
        <v>42279.51</v>
      </c>
      <c r="J4410" s="1399">
        <v>42279.51</v>
      </c>
    </row>
    <row r="4411" spans="5:10" s="1297" customFormat="1">
      <c r="E4411" s="1297" t="s">
        <v>935</v>
      </c>
      <c r="F4411" s="1399"/>
      <c r="G4411" s="1399"/>
      <c r="H4411" s="1399"/>
      <c r="I4411" s="1399">
        <v>893755.31</v>
      </c>
      <c r="J4411" s="1399">
        <v>893755.31</v>
      </c>
    </row>
    <row r="4412" spans="5:10" s="1297" customFormat="1">
      <c r="E4412" s="1297" t="s">
        <v>936</v>
      </c>
      <c r="F4412" s="1399"/>
      <c r="G4412" s="1399"/>
      <c r="H4412" s="1399"/>
      <c r="I4412" s="1399">
        <v>98042.15</v>
      </c>
      <c r="J4412" s="1399">
        <v>98042.15</v>
      </c>
    </row>
    <row r="4413" spans="5:10" s="1297" customFormat="1">
      <c r="E4413" s="1297" t="s">
        <v>937</v>
      </c>
      <c r="F4413" s="1399"/>
      <c r="G4413" s="1399"/>
      <c r="H4413" s="1399"/>
      <c r="I4413" s="1399">
        <v>42127.13</v>
      </c>
      <c r="J4413" s="1399">
        <v>42127.13</v>
      </c>
    </row>
    <row r="4414" spans="5:10" s="1297" customFormat="1">
      <c r="E4414" s="1297" t="s">
        <v>938</v>
      </c>
      <c r="F4414" s="1399"/>
      <c r="G4414" s="1399"/>
      <c r="H4414" s="1399"/>
      <c r="I4414" s="1399">
        <v>30694</v>
      </c>
      <c r="J4414" s="1399">
        <v>30694</v>
      </c>
    </row>
    <row r="4415" spans="5:10" s="1297" customFormat="1">
      <c r="E4415" s="1297" t="s">
        <v>940</v>
      </c>
      <c r="F4415" s="1399">
        <v>1825991.84</v>
      </c>
      <c r="G4415" s="1399"/>
      <c r="H4415" s="1399"/>
      <c r="I4415" s="1399"/>
      <c r="J4415" s="1399">
        <v>1825991.84</v>
      </c>
    </row>
    <row r="4416" spans="5:10" s="1297" customFormat="1">
      <c r="E4416" s="1297" t="s">
        <v>941</v>
      </c>
      <c r="F4416" s="1399">
        <v>624613.79999999993</v>
      </c>
      <c r="G4416" s="1399"/>
      <c r="H4416" s="1399"/>
      <c r="I4416" s="1399"/>
      <c r="J4416" s="1399">
        <v>624613.79999999993</v>
      </c>
    </row>
    <row r="4417" spans="2:12">
      <c r="B4417" s="1297"/>
      <c r="C4417" s="1297"/>
      <c r="D4417" s="1297"/>
      <c r="E4417" s="1297" t="s">
        <v>943</v>
      </c>
      <c r="F4417" s="1399">
        <v>10824.720000000003</v>
      </c>
      <c r="J4417" s="1399">
        <v>10824.720000000003</v>
      </c>
    </row>
    <row r="4418" spans="2:12">
      <c r="B4418" s="1297"/>
      <c r="C4418" s="1297"/>
      <c r="D4418" s="1297"/>
      <c r="E4418" s="1297" t="s">
        <v>944</v>
      </c>
      <c r="F4418" s="1399">
        <v>5294627.8</v>
      </c>
      <c r="J4418" s="1399">
        <v>5294627.8</v>
      </c>
    </row>
    <row r="4419" spans="2:12">
      <c r="B4419" s="1297"/>
      <c r="C4419" s="1297"/>
      <c r="D4419" s="1297"/>
      <c r="E4419" s="1297" t="s">
        <v>945</v>
      </c>
      <c r="F4419" s="1399">
        <v>2870219.0900000003</v>
      </c>
      <c r="J4419" s="1399">
        <v>2870219.0900000003</v>
      </c>
    </row>
    <row r="4420" spans="2:12">
      <c r="B4420" s="1297"/>
      <c r="C4420" s="1297"/>
      <c r="D4420" s="1297"/>
      <c r="E4420" s="1297" t="s">
        <v>946</v>
      </c>
      <c r="F4420" s="1399">
        <v>14749.36</v>
      </c>
      <c r="J4420" s="1399">
        <v>14749.36</v>
      </c>
    </row>
    <row r="4421" spans="2:12">
      <c r="B4421" s="1297"/>
      <c r="C4421" s="1297"/>
      <c r="D4421" s="1297"/>
      <c r="E4421" s="1297" t="s">
        <v>947</v>
      </c>
      <c r="F4421" s="1399">
        <v>145029.32</v>
      </c>
      <c r="J4421" s="1399">
        <v>145029.32</v>
      </c>
    </row>
    <row r="4422" spans="2:12">
      <c r="B4422" s="1297"/>
      <c r="C4422" s="1297"/>
      <c r="D4422" s="1297"/>
      <c r="E4422" s="1297" t="s">
        <v>1115</v>
      </c>
      <c r="F4422" s="1399">
        <v>4259.24</v>
      </c>
      <c r="J4422" s="1399">
        <v>4259.24</v>
      </c>
    </row>
    <row r="4423" spans="2:12">
      <c r="B4423" s="1297"/>
      <c r="C4423" s="1297"/>
      <c r="D4423" s="1297"/>
      <c r="E4423" s="1404" t="s">
        <v>948</v>
      </c>
      <c r="F4423" s="1405"/>
      <c r="G4423" s="1405"/>
      <c r="H4423" s="1405">
        <v>2234954.67</v>
      </c>
      <c r="I4423" s="1405"/>
      <c r="J4423" s="1405">
        <v>2234954.67</v>
      </c>
    </row>
    <row r="4424" spans="2:12">
      <c r="B4424" s="1297"/>
      <c r="C4424" s="1297"/>
      <c r="D4424" s="1297"/>
      <c r="E4424" s="1297" t="s">
        <v>956</v>
      </c>
      <c r="H4424" s="1399">
        <v>8075</v>
      </c>
      <c r="J4424" s="1399">
        <v>8075</v>
      </c>
    </row>
    <row r="4425" spans="2:12">
      <c r="B4425" s="1297"/>
      <c r="C4425" s="1297"/>
      <c r="D4425" s="1400" t="s">
        <v>1491</v>
      </c>
      <c r="E4425" s="1400"/>
      <c r="F4425" s="1401">
        <f>SUM(F4387:F4424)</f>
        <v>10809970.07</v>
      </c>
      <c r="G4425" s="1401">
        <f>SUM(G4387:G4424)</f>
        <v>17599320.98</v>
      </c>
      <c r="H4425" s="1401">
        <f>SUM(H4387:H4424)-H4423</f>
        <v>2892825.37</v>
      </c>
      <c r="I4425" s="1401">
        <f>SUM(I4387:I4424)-I4408</f>
        <v>39534383.100000001</v>
      </c>
      <c r="J4425" s="1401">
        <f>SUM(J4387:J4424)</f>
        <v>74353052.849999994</v>
      </c>
      <c r="K4425" s="1401">
        <f>SUM(F4425:I4425)</f>
        <v>70836499.520000011</v>
      </c>
      <c r="L4425" s="1408">
        <f>K4425/C4387</f>
        <v>9784.0468950276263</v>
      </c>
    </row>
    <row r="4426" spans="2:12">
      <c r="B4426" s="1297" t="s">
        <v>1492</v>
      </c>
      <c r="C4426" s="1297">
        <v>1346</v>
      </c>
      <c r="D4426" s="1297" t="s">
        <v>1493</v>
      </c>
      <c r="E4426" s="1297" t="s">
        <v>906</v>
      </c>
      <c r="G4426" s="1399">
        <v>3179807.46</v>
      </c>
      <c r="J4426" s="1399">
        <v>3179807.46</v>
      </c>
    </row>
    <row r="4427" spans="2:12">
      <c r="B4427" s="1297"/>
      <c r="C4427" s="1297"/>
      <c r="D4427" s="1297"/>
      <c r="E4427" s="1297" t="s">
        <v>952</v>
      </c>
      <c r="G4427" s="1399">
        <v>31509.49</v>
      </c>
      <c r="J4427" s="1399">
        <v>31509.49</v>
      </c>
    </row>
    <row r="4428" spans="2:12">
      <c r="B4428" s="1297"/>
      <c r="C4428" s="1297"/>
      <c r="D4428" s="1297"/>
      <c r="E4428" s="1297" t="s">
        <v>907</v>
      </c>
      <c r="G4428" s="1399">
        <v>913603.98</v>
      </c>
      <c r="J4428" s="1399">
        <v>913603.98</v>
      </c>
    </row>
    <row r="4429" spans="2:12">
      <c r="B4429" s="1297"/>
      <c r="C4429" s="1297"/>
      <c r="D4429" s="1297"/>
      <c r="E4429" s="1297" t="s">
        <v>909</v>
      </c>
      <c r="H4429" s="1399">
        <v>66679.760000000009</v>
      </c>
      <c r="J4429" s="1399">
        <v>66679.760000000009</v>
      </c>
    </row>
    <row r="4430" spans="2:12">
      <c r="B4430" s="1297"/>
      <c r="C4430" s="1297"/>
      <c r="D4430" s="1297"/>
      <c r="E4430" s="1297" t="s">
        <v>910</v>
      </c>
      <c r="H4430" s="1399">
        <v>34521.69</v>
      </c>
      <c r="J4430" s="1399">
        <v>34521.69</v>
      </c>
    </row>
    <row r="4431" spans="2:12">
      <c r="B4431" s="1297"/>
      <c r="C4431" s="1297"/>
      <c r="D4431" s="1297"/>
      <c r="E4431" s="1297" t="s">
        <v>1034</v>
      </c>
      <c r="H4431" s="1399">
        <v>26933.919999999998</v>
      </c>
      <c r="J4431" s="1399">
        <v>26933.919999999998</v>
      </c>
    </row>
    <row r="4432" spans="2:12">
      <c r="B4432" s="1297"/>
      <c r="C4432" s="1297"/>
      <c r="D4432" s="1297"/>
      <c r="E4432" s="1297" t="s">
        <v>1035</v>
      </c>
      <c r="H4432" s="1399">
        <v>136196.72</v>
      </c>
      <c r="J4432" s="1399">
        <v>136196.72</v>
      </c>
    </row>
    <row r="4433" spans="5:10" s="1297" customFormat="1">
      <c r="E4433" s="1297" t="s">
        <v>1036</v>
      </c>
      <c r="F4433" s="1399"/>
      <c r="G4433" s="1399"/>
      <c r="H4433" s="1399">
        <v>69362.179999999993</v>
      </c>
      <c r="I4433" s="1399"/>
      <c r="J4433" s="1399">
        <v>69362.179999999993</v>
      </c>
    </row>
    <row r="4434" spans="5:10" s="1297" customFormat="1">
      <c r="E4434" s="1297" t="s">
        <v>1039</v>
      </c>
      <c r="F4434" s="1399"/>
      <c r="G4434" s="1399"/>
      <c r="H4434" s="1399">
        <v>35325.819999999992</v>
      </c>
      <c r="I4434" s="1399"/>
      <c r="J4434" s="1399">
        <v>35325.819999999992</v>
      </c>
    </row>
    <row r="4435" spans="5:10" s="1297" customFormat="1">
      <c r="E4435" s="1297" t="s">
        <v>1040</v>
      </c>
      <c r="F4435" s="1399"/>
      <c r="G4435" s="1399"/>
      <c r="H4435" s="1399">
        <v>87932.31</v>
      </c>
      <c r="I4435" s="1399"/>
      <c r="J4435" s="1399">
        <v>87932.31</v>
      </c>
    </row>
    <row r="4436" spans="5:10" s="1297" customFormat="1">
      <c r="E4436" s="1297" t="s">
        <v>1041</v>
      </c>
      <c r="F4436" s="1399"/>
      <c r="G4436" s="1399"/>
      <c r="H4436" s="1399">
        <v>3947.38</v>
      </c>
      <c r="I4436" s="1399"/>
      <c r="J4436" s="1399">
        <v>3947.38</v>
      </c>
    </row>
    <row r="4437" spans="5:10" s="1297" customFormat="1">
      <c r="E4437" s="1297" t="s">
        <v>1042</v>
      </c>
      <c r="F4437" s="1399"/>
      <c r="G4437" s="1399"/>
      <c r="H4437" s="1399">
        <v>24642</v>
      </c>
      <c r="I4437" s="1399"/>
      <c r="J4437" s="1399">
        <v>24642</v>
      </c>
    </row>
    <row r="4438" spans="5:10" s="1297" customFormat="1">
      <c r="E4438" s="1297" t="s">
        <v>1044</v>
      </c>
      <c r="F4438" s="1399">
        <v>90214.87</v>
      </c>
      <c r="G4438" s="1399"/>
      <c r="H4438" s="1399"/>
      <c r="I4438" s="1399"/>
      <c r="J4438" s="1399">
        <v>90214.87</v>
      </c>
    </row>
    <row r="4439" spans="5:10" s="1297" customFormat="1">
      <c r="E4439" s="1297" t="s">
        <v>1045</v>
      </c>
      <c r="F4439" s="1399"/>
      <c r="G4439" s="1399"/>
      <c r="H4439" s="1399">
        <v>212528.8</v>
      </c>
      <c r="I4439" s="1399"/>
      <c r="J4439" s="1399">
        <v>212528.8</v>
      </c>
    </row>
    <row r="4440" spans="5:10" s="1297" customFormat="1">
      <c r="E4440" s="1297" t="s">
        <v>1046</v>
      </c>
      <c r="F4440" s="1399"/>
      <c r="G4440" s="1399"/>
      <c r="H4440" s="1399"/>
      <c r="I4440" s="1399">
        <v>7109019</v>
      </c>
      <c r="J4440" s="1399">
        <v>7109019</v>
      </c>
    </row>
    <row r="4441" spans="5:10" s="1297" customFormat="1">
      <c r="E4441" s="1297" t="s">
        <v>1128</v>
      </c>
      <c r="F4441" s="1399"/>
      <c r="G4441" s="1399"/>
      <c r="H4441" s="1399"/>
      <c r="I4441" s="1399">
        <v>572948</v>
      </c>
      <c r="J4441" s="1399">
        <v>572948</v>
      </c>
    </row>
    <row r="4442" spans="5:10" s="1297" customFormat="1">
      <c r="E4442" s="1297" t="s">
        <v>1047</v>
      </c>
      <c r="F4442" s="1399"/>
      <c r="G4442" s="1399"/>
      <c r="H4442" s="1399"/>
      <c r="I4442" s="1399">
        <v>277101</v>
      </c>
      <c r="J4442" s="1399">
        <v>277101</v>
      </c>
    </row>
    <row r="4443" spans="5:10" s="1297" customFormat="1">
      <c r="E4443" s="1297" t="s">
        <v>1048</v>
      </c>
      <c r="F4443" s="1399"/>
      <c r="G4443" s="1399"/>
      <c r="H4443" s="1399"/>
      <c r="I4443" s="1399">
        <v>-1041936</v>
      </c>
      <c r="J4443" s="1399">
        <v>-1041936</v>
      </c>
    </row>
    <row r="4444" spans="5:10" s="1297" customFormat="1">
      <c r="E4444" s="1297" t="s">
        <v>932</v>
      </c>
      <c r="F4444" s="1399"/>
      <c r="G4444" s="1399"/>
      <c r="H4444" s="1399"/>
      <c r="I4444" s="1399">
        <v>562230</v>
      </c>
      <c r="J4444" s="1399">
        <v>562230</v>
      </c>
    </row>
    <row r="4445" spans="5:10" s="1297" customFormat="1">
      <c r="E4445" s="1404" t="s">
        <v>955</v>
      </c>
      <c r="F4445" s="1405"/>
      <c r="G4445" s="1405"/>
      <c r="H4445" s="1405"/>
      <c r="I4445" s="1405">
        <v>446935.55</v>
      </c>
      <c r="J4445" s="1405">
        <v>446935.55</v>
      </c>
    </row>
    <row r="4446" spans="5:10" s="1297" customFormat="1">
      <c r="E4446" s="1297" t="s">
        <v>934</v>
      </c>
      <c r="F4446" s="1399"/>
      <c r="G4446" s="1399"/>
      <c r="H4446" s="1399"/>
      <c r="I4446" s="1399">
        <v>25918</v>
      </c>
      <c r="J4446" s="1399">
        <v>25918</v>
      </c>
    </row>
    <row r="4447" spans="5:10" s="1297" customFormat="1">
      <c r="E4447" s="1297" t="s">
        <v>935</v>
      </c>
      <c r="F4447" s="1399"/>
      <c r="G4447" s="1399"/>
      <c r="H4447" s="1399"/>
      <c r="I4447" s="1399">
        <v>43038.66</v>
      </c>
      <c r="J4447" s="1399">
        <v>43038.66</v>
      </c>
    </row>
    <row r="4448" spans="5:10" s="1297" customFormat="1">
      <c r="E4448" s="1297" t="s">
        <v>936</v>
      </c>
      <c r="F4448" s="1399"/>
      <c r="G4448" s="1399"/>
      <c r="H4448" s="1399"/>
      <c r="I4448" s="1399">
        <v>23810.240000000002</v>
      </c>
      <c r="J4448" s="1399">
        <v>23810.240000000002</v>
      </c>
    </row>
    <row r="4449" spans="2:12">
      <c r="B4449" s="1297"/>
      <c r="C4449" s="1297"/>
      <c r="D4449" s="1297"/>
      <c r="E4449" s="1297" t="s">
        <v>938</v>
      </c>
      <c r="I4449" s="1399">
        <v>9171</v>
      </c>
      <c r="J4449" s="1399">
        <v>9171</v>
      </c>
    </row>
    <row r="4450" spans="2:12">
      <c r="B4450" s="1297"/>
      <c r="C4450" s="1297"/>
      <c r="D4450" s="1297"/>
      <c r="E4450" s="1297" t="s">
        <v>939</v>
      </c>
      <c r="I4450" s="1399">
        <v>47052.69</v>
      </c>
      <c r="J4450" s="1399">
        <v>47052.69</v>
      </c>
    </row>
    <row r="4451" spans="2:12">
      <c r="B4451" s="1297"/>
      <c r="C4451" s="1297"/>
      <c r="D4451" s="1297"/>
      <c r="E4451" s="1297" t="s">
        <v>940</v>
      </c>
      <c r="F4451" s="1399">
        <v>401945.86</v>
      </c>
      <c r="J4451" s="1399">
        <v>401945.86</v>
      </c>
    </row>
    <row r="4452" spans="2:12">
      <c r="B4452" s="1297"/>
      <c r="C4452" s="1297"/>
      <c r="D4452" s="1297"/>
      <c r="E4452" s="1297" t="s">
        <v>941</v>
      </c>
      <c r="F4452" s="1399">
        <v>153869.48000000001</v>
      </c>
      <c r="J4452" s="1399">
        <v>153869.48000000001</v>
      </c>
    </row>
    <row r="4453" spans="2:12">
      <c r="B4453" s="1297"/>
      <c r="C4453" s="1297"/>
      <c r="D4453" s="1297"/>
      <c r="E4453" s="1297" t="s">
        <v>943</v>
      </c>
      <c r="F4453" s="1399">
        <v>9110.14</v>
      </c>
      <c r="J4453" s="1399">
        <v>9110.14</v>
      </c>
    </row>
    <row r="4454" spans="2:12">
      <c r="B4454" s="1297"/>
      <c r="C4454" s="1297"/>
      <c r="D4454" s="1297"/>
      <c r="E4454" s="1297" t="s">
        <v>944</v>
      </c>
      <c r="F4454" s="1399">
        <v>1512054.17</v>
      </c>
      <c r="J4454" s="1399">
        <v>1512054.17</v>
      </c>
    </row>
    <row r="4455" spans="2:12">
      <c r="B4455" s="1297"/>
      <c r="C4455" s="1297"/>
      <c r="D4455" s="1297"/>
      <c r="E4455" s="1297" t="s">
        <v>945</v>
      </c>
      <c r="F4455" s="1399">
        <v>1517882.78</v>
      </c>
      <c r="J4455" s="1399">
        <v>1517882.78</v>
      </c>
    </row>
    <row r="4456" spans="2:12">
      <c r="B4456" s="1297"/>
      <c r="C4456" s="1297"/>
      <c r="D4456" s="1297"/>
      <c r="E4456" s="1297" t="s">
        <v>947</v>
      </c>
      <c r="F4456" s="1399">
        <v>64808.43</v>
      </c>
      <c r="J4456" s="1399">
        <v>64808.43</v>
      </c>
    </row>
    <row r="4457" spans="2:12">
      <c r="B4457" s="1297"/>
      <c r="C4457" s="1297"/>
      <c r="D4457" s="1297"/>
      <c r="E4457" s="1404" t="s">
        <v>948</v>
      </c>
      <c r="F4457" s="1405"/>
      <c r="G4457" s="1405"/>
      <c r="H4457" s="1405">
        <v>1393540.9000000001</v>
      </c>
      <c r="I4457" s="1405"/>
      <c r="J4457" s="1405">
        <v>1393540.9000000001</v>
      </c>
    </row>
    <row r="4458" spans="2:12">
      <c r="B4458" s="1297"/>
      <c r="C4458" s="1297"/>
      <c r="D4458" s="1297"/>
      <c r="E4458" s="1297" t="s">
        <v>956</v>
      </c>
      <c r="H4458" s="1399">
        <v>41651.870000000003</v>
      </c>
      <c r="J4458" s="1399">
        <v>41651.870000000003</v>
      </c>
    </row>
    <row r="4459" spans="2:12">
      <c r="B4459" s="1297"/>
      <c r="C4459" s="1297"/>
      <c r="D4459" s="1400" t="s">
        <v>1494</v>
      </c>
      <c r="E4459" s="1400"/>
      <c r="F4459" s="1401">
        <f>SUM(F4426:F4458)</f>
        <v>3749885.73</v>
      </c>
      <c r="G4459" s="1401">
        <f>SUM(G4426:G4458)</f>
        <v>4124920.93</v>
      </c>
      <c r="H4459" s="1401">
        <f>SUM(H4426:H4458)-H4457</f>
        <v>739722.45</v>
      </c>
      <c r="I4459" s="1401">
        <f>SUM(I4426:I4458)-I4445</f>
        <v>7628352.5900000008</v>
      </c>
      <c r="J4459" s="1401">
        <f>SUM(J4426:J4458)</f>
        <v>18083358.149999999</v>
      </c>
      <c r="K4459" s="1401">
        <f>SUM(F4459:I4459)</f>
        <v>16242881.699999999</v>
      </c>
      <c r="L4459" s="1408">
        <f>K4459/C4426</f>
        <v>12067.519836552749</v>
      </c>
    </row>
    <row r="4460" spans="2:12">
      <c r="B4460" s="1297" t="s">
        <v>1495</v>
      </c>
      <c r="C4460" s="1297">
        <v>2629</v>
      </c>
      <c r="D4460" s="1297" t="s">
        <v>1496</v>
      </c>
      <c r="E4460" s="1297" t="s">
        <v>906</v>
      </c>
      <c r="G4460" s="1399">
        <v>16290518.720000001</v>
      </c>
      <c r="J4460" s="1399">
        <v>16290518.720000001</v>
      </c>
    </row>
    <row r="4461" spans="2:12">
      <c r="B4461" s="1297"/>
      <c r="C4461" s="1297"/>
      <c r="D4461" s="1297"/>
      <c r="E4461" s="1297" t="s">
        <v>952</v>
      </c>
      <c r="G4461" s="1399">
        <v>292829.63</v>
      </c>
      <c r="J4461" s="1399">
        <v>292829.63</v>
      </c>
    </row>
    <row r="4462" spans="2:12">
      <c r="B4462" s="1297"/>
      <c r="C4462" s="1297"/>
      <c r="D4462" s="1297"/>
      <c r="E4462" s="1297" t="s">
        <v>907</v>
      </c>
      <c r="G4462" s="1399">
        <v>4324840.42</v>
      </c>
      <c r="J4462" s="1399">
        <v>4324840.42</v>
      </c>
    </row>
    <row r="4463" spans="2:12">
      <c r="B4463" s="1297"/>
      <c r="C4463" s="1297"/>
      <c r="D4463" s="1297"/>
      <c r="E4463" s="1297" t="s">
        <v>1034</v>
      </c>
      <c r="H4463" s="1399">
        <v>2105</v>
      </c>
      <c r="J4463" s="1399">
        <v>2105</v>
      </c>
    </row>
    <row r="4464" spans="2:12">
      <c r="B4464" s="1297"/>
      <c r="C4464" s="1297"/>
      <c r="D4464" s="1297"/>
      <c r="E4464" s="1297" t="s">
        <v>1037</v>
      </c>
      <c r="H4464" s="1399">
        <v>14050</v>
      </c>
      <c r="J4464" s="1399">
        <v>14050</v>
      </c>
    </row>
    <row r="4465" spans="5:10" s="1297" customFormat="1">
      <c r="E4465" s="1297" t="s">
        <v>1038</v>
      </c>
      <c r="F4465" s="1399"/>
      <c r="G4465" s="1399"/>
      <c r="H4465" s="1399">
        <v>4800</v>
      </c>
      <c r="I4465" s="1399"/>
      <c r="J4465" s="1399">
        <v>4800</v>
      </c>
    </row>
    <row r="4466" spans="5:10" s="1297" customFormat="1">
      <c r="E4466" s="1297" t="s">
        <v>1039</v>
      </c>
      <c r="F4466" s="1399"/>
      <c r="G4466" s="1399"/>
      <c r="H4466" s="1399">
        <v>39414.389999999992</v>
      </c>
      <c r="I4466" s="1399"/>
      <c r="J4466" s="1399">
        <v>39414.389999999992</v>
      </c>
    </row>
    <row r="4467" spans="5:10" s="1297" customFormat="1">
      <c r="E4467" s="1297" t="s">
        <v>1040</v>
      </c>
      <c r="F4467" s="1399"/>
      <c r="G4467" s="1399"/>
      <c r="H4467" s="1399">
        <v>117294.81</v>
      </c>
      <c r="I4467" s="1399"/>
      <c r="J4467" s="1399">
        <v>117294.81</v>
      </c>
    </row>
    <row r="4468" spans="5:10" s="1297" customFormat="1">
      <c r="E4468" s="1297" t="s">
        <v>1041</v>
      </c>
      <c r="F4468" s="1399"/>
      <c r="G4468" s="1399"/>
      <c r="H4468" s="1399">
        <v>62122.020000000004</v>
      </c>
      <c r="I4468" s="1399"/>
      <c r="J4468" s="1399">
        <v>62122.020000000004</v>
      </c>
    </row>
    <row r="4469" spans="5:10" s="1297" customFormat="1">
      <c r="E4469" s="1297" t="s">
        <v>1042</v>
      </c>
      <c r="F4469" s="1399"/>
      <c r="G4469" s="1399"/>
      <c r="H4469" s="1399">
        <v>49758.45</v>
      </c>
      <c r="I4469" s="1399"/>
      <c r="J4469" s="1399">
        <v>49758.45</v>
      </c>
    </row>
    <row r="4470" spans="5:10" s="1297" customFormat="1">
      <c r="E4470" s="1297" t="s">
        <v>954</v>
      </c>
      <c r="F4470" s="1399"/>
      <c r="G4470" s="1399"/>
      <c r="H4470" s="1399">
        <v>772540.02</v>
      </c>
      <c r="I4470" s="1399"/>
      <c r="J4470" s="1399">
        <v>772540.02</v>
      </c>
    </row>
    <row r="4471" spans="5:10" s="1297" customFormat="1">
      <c r="E4471" s="1297" t="s">
        <v>986</v>
      </c>
      <c r="F4471" s="1399"/>
      <c r="G4471" s="1399"/>
      <c r="H4471" s="1399">
        <v>-873.78</v>
      </c>
      <c r="I4471" s="1399"/>
      <c r="J4471" s="1399">
        <v>-873.78</v>
      </c>
    </row>
    <row r="4472" spans="5:10" s="1297" customFormat="1">
      <c r="E4472" s="1297" t="s">
        <v>1044</v>
      </c>
      <c r="F4472" s="1399">
        <v>32737.5</v>
      </c>
      <c r="G4472" s="1399"/>
      <c r="H4472" s="1399"/>
      <c r="I4472" s="1399"/>
      <c r="J4472" s="1399">
        <v>32737.5</v>
      </c>
    </row>
    <row r="4473" spans="5:10" s="1297" customFormat="1">
      <c r="E4473" s="1297" t="s">
        <v>1045</v>
      </c>
      <c r="F4473" s="1399"/>
      <c r="G4473" s="1399"/>
      <c r="H4473" s="1399">
        <v>682536.8</v>
      </c>
      <c r="I4473" s="1399"/>
      <c r="J4473" s="1399">
        <v>682536.8</v>
      </c>
    </row>
    <row r="4474" spans="5:10" s="1297" customFormat="1">
      <c r="E4474" s="1297" t="s">
        <v>1046</v>
      </c>
      <c r="F4474" s="1399"/>
      <c r="G4474" s="1399"/>
      <c r="H4474" s="1399"/>
      <c r="I4474" s="1399">
        <v>15244768</v>
      </c>
      <c r="J4474" s="1399">
        <v>15244768</v>
      </c>
    </row>
    <row r="4475" spans="5:10" s="1297" customFormat="1">
      <c r="E4475" s="1297" t="s">
        <v>1128</v>
      </c>
      <c r="F4475" s="1399"/>
      <c r="G4475" s="1399"/>
      <c r="H4475" s="1399"/>
      <c r="I4475" s="1399">
        <v>1167545</v>
      </c>
      <c r="J4475" s="1399">
        <v>1167545</v>
      </c>
    </row>
    <row r="4476" spans="5:10" s="1297" customFormat="1">
      <c r="E4476" s="1297" t="s">
        <v>1129</v>
      </c>
      <c r="F4476" s="1399"/>
      <c r="G4476" s="1399"/>
      <c r="H4476" s="1399"/>
      <c r="I4476" s="1399">
        <v>-1344051</v>
      </c>
      <c r="J4476" s="1399">
        <v>-1344051</v>
      </c>
    </row>
    <row r="4477" spans="5:10" s="1297" customFormat="1">
      <c r="E4477" s="1297" t="s">
        <v>1047</v>
      </c>
      <c r="F4477" s="1399"/>
      <c r="G4477" s="1399"/>
      <c r="H4477" s="1399"/>
      <c r="I4477" s="1399">
        <v>406315</v>
      </c>
      <c r="J4477" s="1399">
        <v>406315</v>
      </c>
    </row>
    <row r="4478" spans="5:10" s="1297" customFormat="1">
      <c r="E4478" s="1297" t="s">
        <v>1048</v>
      </c>
      <c r="F4478" s="1399"/>
      <c r="G4478" s="1399"/>
      <c r="H4478" s="1399"/>
      <c r="I4478" s="1399">
        <v>-7014086</v>
      </c>
      <c r="J4478" s="1399">
        <v>-7014086</v>
      </c>
    </row>
    <row r="4479" spans="5:10" s="1297" customFormat="1">
      <c r="E4479" s="1404" t="s">
        <v>955</v>
      </c>
      <c r="F4479" s="1405"/>
      <c r="G4479" s="1405"/>
      <c r="H4479" s="1405"/>
      <c r="I4479" s="1405">
        <v>760873.19</v>
      </c>
      <c r="J4479" s="1405">
        <v>760873.19</v>
      </c>
    </row>
    <row r="4480" spans="5:10" s="1297" customFormat="1">
      <c r="E4480" s="1297" t="s">
        <v>934</v>
      </c>
      <c r="F4480" s="1399"/>
      <c r="G4480" s="1399"/>
      <c r="H4480" s="1399"/>
      <c r="I4480" s="1399">
        <v>47698</v>
      </c>
      <c r="J4480" s="1399">
        <v>47698</v>
      </c>
    </row>
    <row r="4481" spans="5:10" s="1297" customFormat="1">
      <c r="E4481" s="1297" t="s">
        <v>935</v>
      </c>
      <c r="F4481" s="1399"/>
      <c r="G4481" s="1399"/>
      <c r="H4481" s="1399"/>
      <c r="I4481" s="1399">
        <v>400597.05999999994</v>
      </c>
      <c r="J4481" s="1399">
        <v>400597.05999999994</v>
      </c>
    </row>
    <row r="4482" spans="5:10" s="1297" customFormat="1">
      <c r="E4482" s="1297" t="s">
        <v>936</v>
      </c>
      <c r="F4482" s="1399"/>
      <c r="G4482" s="1399"/>
      <c r="H4482" s="1399"/>
      <c r="I4482" s="1399">
        <v>75282.37</v>
      </c>
      <c r="J4482" s="1399">
        <v>75282.37</v>
      </c>
    </row>
    <row r="4483" spans="5:10" s="1297" customFormat="1">
      <c r="E4483" s="1297" t="s">
        <v>937</v>
      </c>
      <c r="F4483" s="1399"/>
      <c r="G4483" s="1399"/>
      <c r="H4483" s="1399"/>
      <c r="I4483" s="1399">
        <v>11163.98</v>
      </c>
      <c r="J4483" s="1399">
        <v>11163.98</v>
      </c>
    </row>
    <row r="4484" spans="5:10" s="1297" customFormat="1">
      <c r="E4484" s="1297" t="s">
        <v>938</v>
      </c>
      <c r="F4484" s="1399"/>
      <c r="G4484" s="1399"/>
      <c r="H4484" s="1399"/>
      <c r="I4484" s="1399">
        <v>20962</v>
      </c>
      <c r="J4484" s="1399">
        <v>20962</v>
      </c>
    </row>
    <row r="4485" spans="5:10" s="1297" customFormat="1">
      <c r="E4485" s="1297" t="s">
        <v>939</v>
      </c>
      <c r="F4485" s="1399"/>
      <c r="G4485" s="1399"/>
      <c r="H4485" s="1399"/>
      <c r="I4485" s="1399">
        <v>61065.04</v>
      </c>
      <c r="J4485" s="1399">
        <v>61065.04</v>
      </c>
    </row>
    <row r="4486" spans="5:10" s="1297" customFormat="1">
      <c r="E4486" s="1297" t="s">
        <v>1131</v>
      </c>
      <c r="F4486" s="1399">
        <v>1244538.71</v>
      </c>
      <c r="G4486" s="1399"/>
      <c r="H4486" s="1399"/>
      <c r="I4486" s="1399"/>
      <c r="J4486" s="1399">
        <v>1244538.71</v>
      </c>
    </row>
    <row r="4487" spans="5:10" s="1297" customFormat="1">
      <c r="E4487" s="1297" t="s">
        <v>940</v>
      </c>
      <c r="F4487" s="1399">
        <v>939295.24</v>
      </c>
      <c r="G4487" s="1399"/>
      <c r="H4487" s="1399"/>
      <c r="I4487" s="1399"/>
      <c r="J4487" s="1399">
        <v>939295.24</v>
      </c>
    </row>
    <row r="4488" spans="5:10" s="1297" customFormat="1">
      <c r="E4488" s="1297" t="s">
        <v>941</v>
      </c>
      <c r="F4488" s="1399">
        <v>377040.44</v>
      </c>
      <c r="G4488" s="1399"/>
      <c r="H4488" s="1399"/>
      <c r="I4488" s="1399"/>
      <c r="J4488" s="1399">
        <v>377040.44</v>
      </c>
    </row>
    <row r="4489" spans="5:10" s="1297" customFormat="1">
      <c r="E4489" s="1297" t="s">
        <v>943</v>
      </c>
      <c r="F4489" s="1399">
        <v>1840.38</v>
      </c>
      <c r="G4489" s="1399"/>
      <c r="H4489" s="1399"/>
      <c r="I4489" s="1399"/>
      <c r="J4489" s="1399">
        <v>1840.38</v>
      </c>
    </row>
    <row r="4490" spans="5:10" s="1297" customFormat="1">
      <c r="E4490" s="1297" t="s">
        <v>944</v>
      </c>
      <c r="F4490" s="1399">
        <v>2158051.39</v>
      </c>
      <c r="G4490" s="1399"/>
      <c r="H4490" s="1399"/>
      <c r="I4490" s="1399"/>
      <c r="J4490" s="1399">
        <v>2158051.39</v>
      </c>
    </row>
    <row r="4491" spans="5:10" s="1297" customFormat="1">
      <c r="E4491" s="1297" t="s">
        <v>945</v>
      </c>
      <c r="F4491" s="1399">
        <v>1096464.31</v>
      </c>
      <c r="G4491" s="1399"/>
      <c r="H4491" s="1399"/>
      <c r="I4491" s="1399"/>
      <c r="J4491" s="1399">
        <v>1096464.31</v>
      </c>
    </row>
    <row r="4492" spans="5:10" s="1297" customFormat="1">
      <c r="E4492" s="1297" t="s">
        <v>946</v>
      </c>
      <c r="F4492" s="1399">
        <v>3243</v>
      </c>
      <c r="G4492" s="1399"/>
      <c r="H4492" s="1399"/>
      <c r="I4492" s="1399"/>
      <c r="J4492" s="1399">
        <v>3243</v>
      </c>
    </row>
    <row r="4493" spans="5:10" s="1297" customFormat="1">
      <c r="E4493" s="1297" t="s">
        <v>978</v>
      </c>
      <c r="F4493" s="1399">
        <v>4080.92</v>
      </c>
      <c r="G4493" s="1399"/>
      <c r="H4493" s="1399"/>
      <c r="I4493" s="1399"/>
      <c r="J4493" s="1399">
        <v>4080.92</v>
      </c>
    </row>
    <row r="4494" spans="5:10" s="1297" customFormat="1">
      <c r="E4494" s="1297" t="s">
        <v>1214</v>
      </c>
      <c r="F4494" s="1399">
        <v>46798.42</v>
      </c>
      <c r="G4494" s="1399"/>
      <c r="H4494" s="1399"/>
      <c r="I4494" s="1399"/>
      <c r="J4494" s="1399">
        <v>46798.42</v>
      </c>
    </row>
    <row r="4495" spans="5:10" s="1297" customFormat="1">
      <c r="E4495" s="1297" t="s">
        <v>947</v>
      </c>
      <c r="F4495" s="1399">
        <v>110632.59</v>
      </c>
      <c r="G4495" s="1399"/>
      <c r="H4495" s="1399"/>
      <c r="I4495" s="1399"/>
      <c r="J4495" s="1399">
        <v>110632.59</v>
      </c>
    </row>
    <row r="4496" spans="5:10" s="1297" customFormat="1">
      <c r="E4496" s="1404" t="s">
        <v>948</v>
      </c>
      <c r="F4496" s="1405"/>
      <c r="G4496" s="1405"/>
      <c r="H4496" s="1405">
        <v>21947810.109999996</v>
      </c>
      <c r="I4496" s="1405"/>
      <c r="J4496" s="1405">
        <v>21947810.109999996</v>
      </c>
    </row>
    <row r="4497" spans="2:12">
      <c r="B4497" s="1297"/>
      <c r="C4497" s="1297"/>
      <c r="D4497" s="1297"/>
      <c r="E4497" s="1297" t="s">
        <v>1118</v>
      </c>
      <c r="H4497" s="1399">
        <v>3275.68</v>
      </c>
      <c r="J4497" s="1399">
        <v>3275.68</v>
      </c>
    </row>
    <row r="4498" spans="2:12">
      <c r="B4498" s="1297"/>
      <c r="C4498" s="1297"/>
      <c r="D4498" s="1400" t="s">
        <v>1497</v>
      </c>
      <c r="E4498" s="1400"/>
      <c r="F4498" s="1401">
        <f>SUM(F4460:F4497)</f>
        <v>6014722.9000000004</v>
      </c>
      <c r="G4498" s="1401">
        <f>SUM(G4460:G4497)</f>
        <v>20908188.770000003</v>
      </c>
      <c r="H4498" s="1401">
        <f>SUM(H4460:H4497)-H4496</f>
        <v>1747023.3900000006</v>
      </c>
      <c r="I4498" s="1401">
        <f>SUM(I4460:I4497)-I4479</f>
        <v>9077259.4499999993</v>
      </c>
      <c r="J4498" s="1401">
        <f>SUM(J4460:J4497)</f>
        <v>60455877.81000001</v>
      </c>
      <c r="K4498" s="1401">
        <f>SUM(F4498:I4498)</f>
        <v>37747194.510000005</v>
      </c>
      <c r="L4498" s="1408">
        <f>K4498/C4460</f>
        <v>14358.004758463296</v>
      </c>
    </row>
    <row r="4499" spans="2:12">
      <c r="B4499" s="1297" t="s">
        <v>1498</v>
      </c>
      <c r="C4499" s="1297">
        <v>343</v>
      </c>
      <c r="D4499" s="1297" t="s">
        <v>1499</v>
      </c>
      <c r="E4499" s="1297" t="s">
        <v>906</v>
      </c>
      <c r="G4499" s="1399">
        <v>1315143.4000000001</v>
      </c>
      <c r="J4499" s="1399">
        <v>1315143.4000000001</v>
      </c>
    </row>
    <row r="4500" spans="2:12">
      <c r="B4500" s="1297"/>
      <c r="C4500" s="1297"/>
      <c r="D4500" s="1297"/>
      <c r="E4500" s="1297" t="s">
        <v>952</v>
      </c>
      <c r="G4500" s="1399">
        <v>12998.34</v>
      </c>
      <c r="J4500" s="1399">
        <v>12998.34</v>
      </c>
    </row>
    <row r="4501" spans="2:12">
      <c r="B4501" s="1297"/>
      <c r="C4501" s="1297"/>
      <c r="D4501" s="1297"/>
      <c r="E4501" s="1297" t="s">
        <v>907</v>
      </c>
      <c r="G4501" s="1399">
        <v>96099.85</v>
      </c>
      <c r="J4501" s="1399">
        <v>96099.85</v>
      </c>
    </row>
    <row r="4502" spans="2:12">
      <c r="B4502" s="1297"/>
      <c r="C4502" s="1297"/>
      <c r="D4502" s="1297"/>
      <c r="E4502" s="1297" t="s">
        <v>908</v>
      </c>
      <c r="G4502" s="1399">
        <v>9285.26</v>
      </c>
      <c r="J4502" s="1399">
        <v>9285.26</v>
      </c>
    </row>
    <row r="4503" spans="2:12">
      <c r="B4503" s="1297"/>
      <c r="C4503" s="1297"/>
      <c r="D4503" s="1297"/>
      <c r="E4503" s="1297" t="s">
        <v>909</v>
      </c>
      <c r="H4503" s="1399">
        <v>9807.5</v>
      </c>
      <c r="J4503" s="1399">
        <v>9807.5</v>
      </c>
    </row>
    <row r="4504" spans="2:12">
      <c r="B4504" s="1297"/>
      <c r="C4504" s="1297"/>
      <c r="D4504" s="1297"/>
      <c r="E4504" s="1297" t="s">
        <v>910</v>
      </c>
      <c r="H4504" s="1399">
        <v>5353.3600000000006</v>
      </c>
      <c r="J4504" s="1399">
        <v>5353.3600000000006</v>
      </c>
    </row>
    <row r="4505" spans="2:12">
      <c r="B4505" s="1297"/>
      <c r="C4505" s="1297"/>
      <c r="D4505" s="1297"/>
      <c r="E4505" s="1297" t="s">
        <v>1034</v>
      </c>
      <c r="H4505" s="1399">
        <v>3767.46</v>
      </c>
      <c r="J4505" s="1399">
        <v>3767.46</v>
      </c>
    </row>
    <row r="4506" spans="2:12">
      <c r="B4506" s="1297"/>
      <c r="C4506" s="1297"/>
      <c r="D4506" s="1297"/>
      <c r="E4506" s="1297" t="s">
        <v>1035</v>
      </c>
      <c r="H4506" s="1399">
        <v>22350.59</v>
      </c>
      <c r="J4506" s="1399">
        <v>22350.59</v>
      </c>
    </row>
    <row r="4507" spans="2:12">
      <c r="B4507" s="1297"/>
      <c r="C4507" s="1297"/>
      <c r="D4507" s="1297"/>
      <c r="E4507" s="1297" t="s">
        <v>1036</v>
      </c>
      <c r="H4507" s="1399">
        <v>11414.76</v>
      </c>
      <c r="J4507" s="1399">
        <v>11414.76</v>
      </c>
    </row>
    <row r="4508" spans="2:12">
      <c r="B4508" s="1297"/>
      <c r="C4508" s="1297"/>
      <c r="D4508" s="1297"/>
      <c r="E4508" s="1297" t="s">
        <v>1003</v>
      </c>
      <c r="H4508" s="1399">
        <v>944</v>
      </c>
      <c r="J4508" s="1399">
        <v>944</v>
      </c>
    </row>
    <row r="4509" spans="2:12">
      <c r="B4509" s="1297"/>
      <c r="C4509" s="1297"/>
      <c r="D4509" s="1297"/>
      <c r="E4509" s="1297" t="s">
        <v>1039</v>
      </c>
      <c r="H4509" s="1399">
        <v>3394.1900000000005</v>
      </c>
      <c r="J4509" s="1399">
        <v>3394.1900000000005</v>
      </c>
    </row>
    <row r="4510" spans="2:12">
      <c r="B4510" s="1297"/>
      <c r="C4510" s="1297"/>
      <c r="D4510" s="1297"/>
      <c r="E4510" s="1297" t="s">
        <v>1042</v>
      </c>
      <c r="H4510" s="1399">
        <v>5497.35</v>
      </c>
      <c r="J4510" s="1399">
        <v>5497.35</v>
      </c>
    </row>
    <row r="4511" spans="2:12">
      <c r="B4511" s="1297"/>
      <c r="C4511" s="1297"/>
      <c r="D4511" s="1297"/>
      <c r="E4511" s="1297" t="s">
        <v>996</v>
      </c>
      <c r="H4511" s="1399">
        <v>138</v>
      </c>
      <c r="J4511" s="1399">
        <v>138</v>
      </c>
    </row>
    <row r="4512" spans="2:12">
      <c r="B4512" s="1297"/>
      <c r="C4512" s="1297"/>
      <c r="D4512" s="1297"/>
      <c r="E4512" s="1297" t="s">
        <v>1045</v>
      </c>
      <c r="H4512" s="1399">
        <v>54463.49</v>
      </c>
      <c r="J4512" s="1399">
        <v>54463.49</v>
      </c>
    </row>
    <row r="4513" spans="5:10" s="1297" customFormat="1">
      <c r="E4513" s="1297" t="s">
        <v>1046</v>
      </c>
      <c r="F4513" s="1399"/>
      <c r="G4513" s="1399"/>
      <c r="H4513" s="1399"/>
      <c r="I4513" s="1399">
        <v>2238162</v>
      </c>
      <c r="J4513" s="1399">
        <v>2238162</v>
      </c>
    </row>
    <row r="4514" spans="5:10" s="1297" customFormat="1">
      <c r="E4514" s="1297" t="s">
        <v>1047</v>
      </c>
      <c r="F4514" s="1399"/>
      <c r="G4514" s="1399"/>
      <c r="H4514" s="1399"/>
      <c r="I4514" s="1399">
        <v>222495</v>
      </c>
      <c r="J4514" s="1399">
        <v>222495</v>
      </c>
    </row>
    <row r="4515" spans="5:10" s="1297" customFormat="1">
      <c r="E4515" s="1297" t="s">
        <v>1048</v>
      </c>
      <c r="F4515" s="1399"/>
      <c r="G4515" s="1399"/>
      <c r="H4515" s="1399"/>
      <c r="I4515" s="1399">
        <v>-402003</v>
      </c>
      <c r="J4515" s="1399">
        <v>-402003</v>
      </c>
    </row>
    <row r="4516" spans="5:10" s="1297" customFormat="1">
      <c r="E4516" s="1404" t="s">
        <v>955</v>
      </c>
      <c r="F4516" s="1405"/>
      <c r="G4516" s="1405"/>
      <c r="H4516" s="1405"/>
      <c r="I4516" s="1405">
        <v>138448.42000000001</v>
      </c>
      <c r="J4516" s="1405">
        <v>138448.42000000001</v>
      </c>
    </row>
    <row r="4517" spans="5:10" s="1297" customFormat="1">
      <c r="E4517" s="1297" t="s">
        <v>934</v>
      </c>
      <c r="F4517" s="1399"/>
      <c r="G4517" s="1399"/>
      <c r="H4517" s="1399"/>
      <c r="I4517" s="1399">
        <v>6858</v>
      </c>
      <c r="J4517" s="1399">
        <v>6858</v>
      </c>
    </row>
    <row r="4518" spans="5:10" s="1297" customFormat="1">
      <c r="E4518" s="1297" t="s">
        <v>935</v>
      </c>
      <c r="F4518" s="1399"/>
      <c r="G4518" s="1399"/>
      <c r="H4518" s="1399"/>
      <c r="I4518" s="1399">
        <v>10711.86</v>
      </c>
      <c r="J4518" s="1399">
        <v>10711.86</v>
      </c>
    </row>
    <row r="4519" spans="5:10" s="1297" customFormat="1">
      <c r="E4519" s="1297" t="s">
        <v>936</v>
      </c>
      <c r="F4519" s="1399"/>
      <c r="G4519" s="1399"/>
      <c r="H4519" s="1399"/>
      <c r="I4519" s="1399">
        <v>8753.76</v>
      </c>
      <c r="J4519" s="1399">
        <v>8753.76</v>
      </c>
    </row>
    <row r="4520" spans="5:10" s="1297" customFormat="1">
      <c r="E4520" s="1297" t="s">
        <v>937</v>
      </c>
      <c r="F4520" s="1399"/>
      <c r="G4520" s="1399"/>
      <c r="H4520" s="1399"/>
      <c r="I4520" s="1399">
        <v>4825.58</v>
      </c>
      <c r="J4520" s="1399">
        <v>4825.58</v>
      </c>
    </row>
    <row r="4521" spans="5:10" s="1297" customFormat="1">
      <c r="E4521" s="1297" t="s">
        <v>938</v>
      </c>
      <c r="F4521" s="1399"/>
      <c r="G4521" s="1399"/>
      <c r="H4521" s="1399"/>
      <c r="I4521" s="1399">
        <v>1872</v>
      </c>
      <c r="J4521" s="1399">
        <v>1872</v>
      </c>
    </row>
    <row r="4522" spans="5:10" s="1297" customFormat="1">
      <c r="E4522" s="1297" t="s">
        <v>939</v>
      </c>
      <c r="F4522" s="1399"/>
      <c r="G4522" s="1399"/>
      <c r="H4522" s="1399"/>
      <c r="I4522" s="1399">
        <v>15672.12</v>
      </c>
      <c r="J4522" s="1399">
        <v>15672.12</v>
      </c>
    </row>
    <row r="4523" spans="5:10" s="1297" customFormat="1">
      <c r="E4523" s="1297" t="s">
        <v>940</v>
      </c>
      <c r="F4523" s="1399">
        <v>180150.12</v>
      </c>
      <c r="G4523" s="1399"/>
      <c r="H4523" s="1399"/>
      <c r="I4523" s="1399"/>
      <c r="J4523" s="1399">
        <v>180150.12</v>
      </c>
    </row>
    <row r="4524" spans="5:10" s="1297" customFormat="1">
      <c r="E4524" s="1297" t="s">
        <v>941</v>
      </c>
      <c r="F4524" s="1399">
        <v>85065.600000000006</v>
      </c>
      <c r="G4524" s="1399"/>
      <c r="H4524" s="1399"/>
      <c r="I4524" s="1399"/>
      <c r="J4524" s="1399">
        <v>85065.600000000006</v>
      </c>
    </row>
    <row r="4525" spans="5:10" s="1297" customFormat="1">
      <c r="E4525" s="1297" t="s">
        <v>943</v>
      </c>
      <c r="F4525" s="1399">
        <v>6488.32</v>
      </c>
      <c r="G4525" s="1399"/>
      <c r="H4525" s="1399"/>
      <c r="I4525" s="1399"/>
      <c r="J4525" s="1399">
        <v>6488.32</v>
      </c>
    </row>
    <row r="4526" spans="5:10" s="1297" customFormat="1">
      <c r="E4526" s="1297" t="s">
        <v>944</v>
      </c>
      <c r="F4526" s="1399">
        <v>493900.67</v>
      </c>
      <c r="G4526" s="1399"/>
      <c r="H4526" s="1399"/>
      <c r="I4526" s="1399"/>
      <c r="J4526" s="1399">
        <v>493900.67</v>
      </c>
    </row>
    <row r="4527" spans="5:10" s="1297" customFormat="1">
      <c r="E4527" s="1297" t="s">
        <v>945</v>
      </c>
      <c r="F4527" s="1399">
        <v>164011.21000000002</v>
      </c>
      <c r="G4527" s="1399"/>
      <c r="H4527" s="1399"/>
      <c r="I4527" s="1399"/>
      <c r="J4527" s="1399">
        <v>164011.21000000002</v>
      </c>
    </row>
    <row r="4528" spans="5:10" s="1297" customFormat="1">
      <c r="E4528" s="1297" t="s">
        <v>946</v>
      </c>
      <c r="F4528" s="1399">
        <v>284130.90000000002</v>
      </c>
      <c r="G4528" s="1399"/>
      <c r="H4528" s="1399"/>
      <c r="I4528" s="1399"/>
      <c r="J4528" s="1399">
        <v>284130.90000000002</v>
      </c>
    </row>
    <row r="4529" spans="2:12">
      <c r="B4529" s="1297"/>
      <c r="C4529" s="1297"/>
      <c r="D4529" s="1297"/>
      <c r="E4529" s="1297" t="s">
        <v>947</v>
      </c>
      <c r="F4529" s="1399">
        <v>18567.82</v>
      </c>
      <c r="J4529" s="1399">
        <v>18567.82</v>
      </c>
    </row>
    <row r="4530" spans="2:12">
      <c r="B4530" s="1297"/>
      <c r="C4530" s="1297"/>
      <c r="D4530" s="1297"/>
      <c r="E4530" s="1404" t="s">
        <v>948</v>
      </c>
      <c r="F4530" s="1405"/>
      <c r="G4530" s="1405"/>
      <c r="H4530" s="1405">
        <v>480960.86</v>
      </c>
      <c r="I4530" s="1405"/>
      <c r="J4530" s="1405">
        <v>480960.86</v>
      </c>
    </row>
    <row r="4531" spans="2:12">
      <c r="B4531" s="1297"/>
      <c r="C4531" s="1297"/>
      <c r="D4531" s="1297"/>
      <c r="E4531" s="1297" t="s">
        <v>1118</v>
      </c>
      <c r="H4531" s="1399">
        <v>236</v>
      </c>
      <c r="J4531" s="1399">
        <v>236</v>
      </c>
    </row>
    <row r="4532" spans="2:12">
      <c r="B4532" s="1297"/>
      <c r="C4532" s="1297"/>
      <c r="D4532" s="1400" t="s">
        <v>1500</v>
      </c>
      <c r="E4532" s="1400"/>
      <c r="F4532" s="1401">
        <f>SUM(F4499:F4531)</f>
        <v>1232314.6399999999</v>
      </c>
      <c r="G4532" s="1401">
        <f>SUM(G4499:G4531)</f>
        <v>1433526.8500000003</v>
      </c>
      <c r="H4532" s="1401">
        <f>SUM(H4499:H4531)-H4530</f>
        <v>117366.70000000007</v>
      </c>
      <c r="I4532" s="1401">
        <f>SUM(I4499:I4531)-I4516</f>
        <v>2107347.3199999998</v>
      </c>
      <c r="J4532" s="1401">
        <f>SUM(J4499:J4531)</f>
        <v>5509964.7900000019</v>
      </c>
      <c r="K4532" s="1401">
        <f>SUM(F4532:I4532)</f>
        <v>4890555.51</v>
      </c>
      <c r="L4532" s="1408">
        <f>K4532/C4499</f>
        <v>14258.179329446064</v>
      </c>
    </row>
    <row r="4533" spans="2:12">
      <c r="B4533" s="1297" t="s">
        <v>1501</v>
      </c>
      <c r="C4533" s="1297">
        <v>2240</v>
      </c>
      <c r="D4533" s="1297" t="s">
        <v>1502</v>
      </c>
      <c r="E4533" s="1297" t="s">
        <v>906</v>
      </c>
      <c r="G4533" s="1399">
        <v>15059820.5</v>
      </c>
      <c r="J4533" s="1399">
        <v>15059820.5</v>
      </c>
    </row>
    <row r="4534" spans="2:12">
      <c r="B4534" s="1297"/>
      <c r="C4534" s="1297"/>
      <c r="D4534" s="1297"/>
      <c r="E4534" s="1297" t="s">
        <v>1126</v>
      </c>
      <c r="G4534" s="1399">
        <v>2814433.83</v>
      </c>
      <c r="J4534" s="1399">
        <v>2814433.83</v>
      </c>
    </row>
    <row r="4535" spans="2:12">
      <c r="B4535" s="1297"/>
      <c r="C4535" s="1297"/>
      <c r="D4535" s="1297"/>
      <c r="E4535" s="1297" t="s">
        <v>952</v>
      </c>
      <c r="G4535" s="1399">
        <v>211802.35</v>
      </c>
      <c r="J4535" s="1399">
        <v>211802.35</v>
      </c>
    </row>
    <row r="4536" spans="2:12">
      <c r="B4536" s="1297"/>
      <c r="C4536" s="1297"/>
      <c r="D4536" s="1297"/>
      <c r="E4536" s="1297" t="s">
        <v>907</v>
      </c>
      <c r="G4536" s="1399">
        <v>2814367.52</v>
      </c>
      <c r="J4536" s="1399">
        <v>2814367.52</v>
      </c>
    </row>
    <row r="4537" spans="2:12">
      <c r="B4537" s="1297"/>
      <c r="C4537" s="1297"/>
      <c r="D4537" s="1297"/>
      <c r="E4537" s="1297" t="s">
        <v>910</v>
      </c>
      <c r="H4537" s="1399">
        <v>6387.5</v>
      </c>
      <c r="J4537" s="1399">
        <v>6387.5</v>
      </c>
    </row>
    <row r="4538" spans="2:12">
      <c r="B4538" s="1297"/>
      <c r="C4538" s="1297"/>
      <c r="D4538" s="1297"/>
      <c r="E4538" s="1297" t="s">
        <v>1034</v>
      </c>
      <c r="H4538" s="1399">
        <v>58906.49</v>
      </c>
      <c r="J4538" s="1399">
        <v>58906.49</v>
      </c>
    </row>
    <row r="4539" spans="2:12">
      <c r="B4539" s="1297"/>
      <c r="C4539" s="1297"/>
      <c r="D4539" s="1297"/>
      <c r="E4539" s="1297" t="s">
        <v>1035</v>
      </c>
      <c r="H4539" s="1399">
        <v>474541.48000000004</v>
      </c>
      <c r="J4539" s="1399">
        <v>474541.48000000004</v>
      </c>
    </row>
    <row r="4540" spans="2:12">
      <c r="B4540" s="1297"/>
      <c r="C4540" s="1297"/>
      <c r="D4540" s="1297"/>
      <c r="E4540" s="1297" t="s">
        <v>1036</v>
      </c>
      <c r="H4540" s="1399">
        <v>118762.44</v>
      </c>
      <c r="J4540" s="1399">
        <v>118762.44</v>
      </c>
    </row>
    <row r="4541" spans="2:12">
      <c r="B4541" s="1297"/>
      <c r="C4541" s="1297"/>
      <c r="D4541" s="1297"/>
      <c r="E4541" s="1297" t="s">
        <v>1039</v>
      </c>
      <c r="H4541" s="1399">
        <v>20859.619999999995</v>
      </c>
      <c r="J4541" s="1399">
        <v>20859.619999999995</v>
      </c>
    </row>
    <row r="4542" spans="2:12">
      <c r="B4542" s="1297"/>
      <c r="C4542" s="1297"/>
      <c r="D4542" s="1297"/>
      <c r="E4542" s="1297" t="s">
        <v>1040</v>
      </c>
      <c r="H4542" s="1399">
        <v>208201.5</v>
      </c>
      <c r="J4542" s="1399">
        <v>208201.5</v>
      </c>
    </row>
    <row r="4543" spans="2:12">
      <c r="B4543" s="1297"/>
      <c r="C4543" s="1297"/>
      <c r="D4543" s="1297"/>
      <c r="E4543" s="1297" t="s">
        <v>1041</v>
      </c>
      <c r="H4543" s="1399">
        <v>97129.95</v>
      </c>
      <c r="J4543" s="1399">
        <v>97129.95</v>
      </c>
    </row>
    <row r="4544" spans="2:12">
      <c r="B4544" s="1297"/>
      <c r="C4544" s="1297"/>
      <c r="D4544" s="1297"/>
      <c r="E4544" s="1297" t="s">
        <v>1042</v>
      </c>
      <c r="H4544" s="1399">
        <v>44408.34</v>
      </c>
      <c r="J4544" s="1399">
        <v>44408.34</v>
      </c>
    </row>
    <row r="4545" spans="5:10" s="1297" customFormat="1">
      <c r="E4545" s="1297" t="s">
        <v>986</v>
      </c>
      <c r="F4545" s="1399"/>
      <c r="G4545" s="1399"/>
      <c r="H4545" s="1399">
        <v>45601</v>
      </c>
      <c r="I4545" s="1399"/>
      <c r="J4545" s="1399">
        <v>45601</v>
      </c>
    </row>
    <row r="4546" spans="5:10" s="1297" customFormat="1">
      <c r="E4546" s="1297" t="s">
        <v>1045</v>
      </c>
      <c r="F4546" s="1399"/>
      <c r="G4546" s="1399"/>
      <c r="H4546" s="1399">
        <v>130609.65999999999</v>
      </c>
      <c r="I4546" s="1399"/>
      <c r="J4546" s="1399">
        <v>130609.65999999999</v>
      </c>
    </row>
    <row r="4547" spans="5:10" s="1297" customFormat="1">
      <c r="E4547" s="1297" t="s">
        <v>1046</v>
      </c>
      <c r="F4547" s="1399"/>
      <c r="G4547" s="1399"/>
      <c r="H4547" s="1399"/>
      <c r="I4547" s="1399">
        <v>13633820</v>
      </c>
      <c r="J4547" s="1399">
        <v>13633820</v>
      </c>
    </row>
    <row r="4548" spans="5:10" s="1297" customFormat="1">
      <c r="E4548" s="1297" t="s">
        <v>1048</v>
      </c>
      <c r="F4548" s="1399"/>
      <c r="G4548" s="1399"/>
      <c r="H4548" s="1399"/>
      <c r="I4548" s="1399">
        <v>-7331655</v>
      </c>
      <c r="J4548" s="1399">
        <v>-7331655</v>
      </c>
    </row>
    <row r="4549" spans="5:10" s="1297" customFormat="1">
      <c r="E4549" s="1404" t="s">
        <v>955</v>
      </c>
      <c r="F4549" s="1405"/>
      <c r="G4549" s="1405"/>
      <c r="H4549" s="1405"/>
      <c r="I4549" s="1405">
        <v>153583.67000000001</v>
      </c>
      <c r="J4549" s="1405">
        <v>153583.67000000001</v>
      </c>
    </row>
    <row r="4550" spans="5:10" s="1297" customFormat="1">
      <c r="E4550" s="1297" t="s">
        <v>934</v>
      </c>
      <c r="F4550" s="1399"/>
      <c r="G4550" s="1399"/>
      <c r="H4550" s="1399"/>
      <c r="I4550" s="1399">
        <v>38866</v>
      </c>
      <c r="J4550" s="1399">
        <v>38866</v>
      </c>
    </row>
    <row r="4551" spans="5:10" s="1297" customFormat="1">
      <c r="E4551" s="1297" t="s">
        <v>935</v>
      </c>
      <c r="F4551" s="1399"/>
      <c r="G4551" s="1399"/>
      <c r="H4551" s="1399"/>
      <c r="I4551" s="1399">
        <v>242060.29</v>
      </c>
      <c r="J4551" s="1399">
        <v>242060.29</v>
      </c>
    </row>
    <row r="4552" spans="5:10" s="1297" customFormat="1">
      <c r="E4552" s="1297" t="s">
        <v>936</v>
      </c>
      <c r="F4552" s="1399"/>
      <c r="G4552" s="1399"/>
      <c r="H4552" s="1399"/>
      <c r="I4552" s="1399">
        <v>60926.19</v>
      </c>
      <c r="J4552" s="1399">
        <v>60926.19</v>
      </c>
    </row>
    <row r="4553" spans="5:10" s="1297" customFormat="1">
      <c r="E4553" s="1297" t="s">
        <v>937</v>
      </c>
      <c r="F4553" s="1399"/>
      <c r="G4553" s="1399"/>
      <c r="H4553" s="1399"/>
      <c r="I4553" s="1399">
        <v>35249.85</v>
      </c>
      <c r="J4553" s="1399">
        <v>35249.85</v>
      </c>
    </row>
    <row r="4554" spans="5:10" s="1297" customFormat="1">
      <c r="E4554" s="1297" t="s">
        <v>938</v>
      </c>
      <c r="F4554" s="1399"/>
      <c r="G4554" s="1399"/>
      <c r="H4554" s="1399"/>
      <c r="I4554" s="1399">
        <v>15721</v>
      </c>
      <c r="J4554" s="1399">
        <v>15721</v>
      </c>
    </row>
    <row r="4555" spans="5:10" s="1297" customFormat="1">
      <c r="E4555" s="1297" t="s">
        <v>940</v>
      </c>
      <c r="F4555" s="1399">
        <v>626727.68000000005</v>
      </c>
      <c r="G4555" s="1399"/>
      <c r="H4555" s="1399"/>
      <c r="I4555" s="1399"/>
      <c r="J4555" s="1399">
        <v>626727.68000000005</v>
      </c>
    </row>
    <row r="4556" spans="5:10" s="1297" customFormat="1">
      <c r="E4556" s="1297" t="s">
        <v>941</v>
      </c>
      <c r="F4556" s="1399">
        <v>245713.9</v>
      </c>
      <c r="G4556" s="1399"/>
      <c r="H4556" s="1399"/>
      <c r="I4556" s="1399"/>
      <c r="J4556" s="1399">
        <v>245713.9</v>
      </c>
    </row>
    <row r="4557" spans="5:10" s="1297" customFormat="1">
      <c r="E4557" s="1297" t="s">
        <v>943</v>
      </c>
      <c r="F4557" s="1399">
        <v>20953.84</v>
      </c>
      <c r="G4557" s="1399"/>
      <c r="H4557" s="1399"/>
      <c r="I4557" s="1399"/>
      <c r="J4557" s="1399">
        <v>20953.84</v>
      </c>
    </row>
    <row r="4558" spans="5:10" s="1297" customFormat="1">
      <c r="E4558" s="1297" t="s">
        <v>944</v>
      </c>
      <c r="F4558" s="1399">
        <v>1908409.03</v>
      </c>
      <c r="G4558" s="1399"/>
      <c r="H4558" s="1399"/>
      <c r="I4558" s="1399"/>
      <c r="J4558" s="1399">
        <v>1908409.03</v>
      </c>
    </row>
    <row r="4559" spans="5:10" s="1297" customFormat="1">
      <c r="E4559" s="1297" t="s">
        <v>945</v>
      </c>
      <c r="F4559" s="1399">
        <v>839478.22</v>
      </c>
      <c r="G4559" s="1399"/>
      <c r="H4559" s="1399"/>
      <c r="I4559" s="1399"/>
      <c r="J4559" s="1399">
        <v>839478.22</v>
      </c>
    </row>
    <row r="4560" spans="5:10" s="1297" customFormat="1">
      <c r="E4560" s="1297" t="s">
        <v>1214</v>
      </c>
      <c r="F4560" s="1399">
        <v>108264.3</v>
      </c>
      <c r="G4560" s="1399"/>
      <c r="H4560" s="1399"/>
      <c r="I4560" s="1399"/>
      <c r="J4560" s="1399">
        <v>108264.3</v>
      </c>
    </row>
    <row r="4561" spans="2:12">
      <c r="B4561" s="1297"/>
      <c r="C4561" s="1297"/>
      <c r="D4561" s="1297"/>
      <c r="E4561" s="1297" t="s">
        <v>947</v>
      </c>
      <c r="F4561" s="1399">
        <v>59432.73</v>
      </c>
      <c r="J4561" s="1399">
        <v>59432.73</v>
      </c>
    </row>
    <row r="4562" spans="2:12">
      <c r="B4562" s="1297"/>
      <c r="C4562" s="1297"/>
      <c r="D4562" s="1297"/>
      <c r="E4562" s="1297" t="s">
        <v>1115</v>
      </c>
      <c r="F4562" s="1399">
        <v>351333.33</v>
      </c>
      <c r="J4562" s="1399">
        <v>351333.33</v>
      </c>
    </row>
    <row r="4563" spans="2:12">
      <c r="B4563" s="1297"/>
      <c r="C4563" s="1297"/>
      <c r="D4563" s="1297"/>
      <c r="E4563" s="1404" t="s">
        <v>1116</v>
      </c>
      <c r="F4563" s="1405"/>
      <c r="G4563" s="1405"/>
      <c r="H4563" s="1405">
        <v>15904000</v>
      </c>
      <c r="I4563" s="1405"/>
      <c r="J4563" s="1405">
        <v>15904000</v>
      </c>
    </row>
    <row r="4564" spans="2:12">
      <c r="B4564" s="1297"/>
      <c r="C4564" s="1297"/>
      <c r="D4564" s="1297"/>
      <c r="E4564" s="1404" t="s">
        <v>948</v>
      </c>
      <c r="F4564" s="1405"/>
      <c r="G4564" s="1405"/>
      <c r="H4564" s="1405">
        <v>1152630.1200000001</v>
      </c>
      <c r="I4564" s="1405"/>
      <c r="J4564" s="1405">
        <v>1152630.1200000001</v>
      </c>
    </row>
    <row r="4565" spans="2:12">
      <c r="B4565" s="1297"/>
      <c r="C4565" s="1297"/>
      <c r="D4565" s="1297"/>
      <c r="E4565" s="1297" t="s">
        <v>956</v>
      </c>
      <c r="H4565" s="1399">
        <v>20000</v>
      </c>
      <c r="J4565" s="1399">
        <v>20000</v>
      </c>
    </row>
    <row r="4566" spans="2:12">
      <c r="B4566" s="1297"/>
      <c r="C4566" s="1297"/>
      <c r="D4566" s="1297"/>
      <c r="E4566" s="1297" t="s">
        <v>1118</v>
      </c>
      <c r="H4566" s="1399">
        <v>3189957.92</v>
      </c>
      <c r="J4566" s="1399">
        <v>3189957.92</v>
      </c>
    </row>
    <row r="4567" spans="2:12">
      <c r="B4567" s="1297"/>
      <c r="C4567" s="1297"/>
      <c r="D4567" s="1400" t="s">
        <v>1503</v>
      </c>
      <c r="E4567" s="1400"/>
      <c r="F4567" s="1401">
        <f>SUM(F4533:F4566)</f>
        <v>4160313.03</v>
      </c>
      <c r="G4567" s="1401">
        <f>SUM(G4533:G4566)</f>
        <v>20900424.199999999</v>
      </c>
      <c r="H4567" s="1401">
        <f>SUM(H4533:H4566)-(H4563+H4564)</f>
        <v>4415365.9000000022</v>
      </c>
      <c r="I4567" s="1401">
        <f>SUM(I4533:I4566)-I4549</f>
        <v>6694988.3300000001</v>
      </c>
      <c r="J4567" s="1401">
        <f>SUM(J4533:J4566)</f>
        <v>53381305.25</v>
      </c>
      <c r="K4567" s="1401">
        <f>SUM(F4567:I4567)</f>
        <v>36171091.460000001</v>
      </c>
      <c r="L4567" s="1408">
        <f>K4567/C4533</f>
        <v>16147.808687500001</v>
      </c>
    </row>
    <row r="4568" spans="2:12">
      <c r="B4568" s="1297" t="s">
        <v>1504</v>
      </c>
      <c r="C4568" s="1297">
        <v>1059</v>
      </c>
      <c r="D4568" s="1297" t="s">
        <v>1505</v>
      </c>
      <c r="E4568" s="1297" t="s">
        <v>906</v>
      </c>
      <c r="G4568" s="1399">
        <v>2666496.0699999998</v>
      </c>
      <c r="J4568" s="1399">
        <v>2666496.0699999998</v>
      </c>
    </row>
    <row r="4569" spans="2:12">
      <c r="B4569" s="1297"/>
      <c r="C4569" s="1297"/>
      <c r="D4569" s="1297"/>
      <c r="E4569" s="1297" t="s">
        <v>952</v>
      </c>
      <c r="G4569" s="1399">
        <v>2684.95</v>
      </c>
      <c r="J4569" s="1399">
        <v>2684.95</v>
      </c>
    </row>
    <row r="4570" spans="2:12">
      <c r="B4570" s="1297"/>
      <c r="C4570" s="1297"/>
      <c r="D4570" s="1297"/>
      <c r="E4570" s="1297" t="s">
        <v>907</v>
      </c>
      <c r="G4570" s="1399">
        <v>779948.48</v>
      </c>
      <c r="J4570" s="1399">
        <v>779948.48</v>
      </c>
    </row>
    <row r="4571" spans="2:12">
      <c r="B4571" s="1297"/>
      <c r="C4571" s="1297"/>
      <c r="D4571" s="1297"/>
      <c r="E4571" s="1297" t="s">
        <v>1122</v>
      </c>
      <c r="H4571" s="1399">
        <v>-134949</v>
      </c>
      <c r="J4571" s="1399">
        <v>-134949</v>
      </c>
    </row>
    <row r="4572" spans="2:12">
      <c r="B4572" s="1297"/>
      <c r="C4572" s="1297"/>
      <c r="D4572" s="1297"/>
      <c r="E4572" s="1297" t="s">
        <v>1034</v>
      </c>
      <c r="H4572" s="1399">
        <v>3658.2</v>
      </c>
      <c r="J4572" s="1399">
        <v>3658.2</v>
      </c>
    </row>
    <row r="4573" spans="2:12">
      <c r="B4573" s="1297"/>
      <c r="C4573" s="1297"/>
      <c r="D4573" s="1297"/>
      <c r="E4573" s="1297" t="s">
        <v>1105</v>
      </c>
      <c r="H4573" s="1399">
        <v>178516.8</v>
      </c>
      <c r="J4573" s="1399">
        <v>178516.8</v>
      </c>
    </row>
    <row r="4574" spans="2:12">
      <c r="B4574" s="1297"/>
      <c r="C4574" s="1297"/>
      <c r="D4574" s="1297"/>
      <c r="E4574" s="1297" t="s">
        <v>1038</v>
      </c>
      <c r="H4574" s="1399">
        <v>1485.86</v>
      </c>
      <c r="J4574" s="1399">
        <v>1485.86</v>
      </c>
    </row>
    <row r="4575" spans="2:12">
      <c r="B4575" s="1297"/>
      <c r="C4575" s="1297"/>
      <c r="D4575" s="1297"/>
      <c r="E4575" s="1297" t="s">
        <v>1039</v>
      </c>
      <c r="H4575" s="1399">
        <v>441.11</v>
      </c>
      <c r="J4575" s="1399">
        <v>441.11</v>
      </c>
    </row>
    <row r="4576" spans="2:12">
      <c r="B4576" s="1297"/>
      <c r="C4576" s="1297"/>
      <c r="D4576" s="1297"/>
      <c r="E4576" s="1297" t="s">
        <v>1042</v>
      </c>
      <c r="H4576" s="1399">
        <v>50584.3</v>
      </c>
      <c r="J4576" s="1399">
        <v>50584.3</v>
      </c>
    </row>
    <row r="4577" spans="5:10" s="1297" customFormat="1">
      <c r="E4577" s="1297" t="s">
        <v>953</v>
      </c>
      <c r="F4577" s="1399"/>
      <c r="G4577" s="1399"/>
      <c r="H4577" s="1399">
        <v>42035.09</v>
      </c>
      <c r="I4577" s="1399"/>
      <c r="J4577" s="1399">
        <v>42035.09</v>
      </c>
    </row>
    <row r="4578" spans="5:10" s="1297" customFormat="1">
      <c r="E4578" s="1297" t="s">
        <v>985</v>
      </c>
      <c r="F4578" s="1399"/>
      <c r="G4578" s="1399"/>
      <c r="H4578" s="1399">
        <v>1439</v>
      </c>
      <c r="I4578" s="1399"/>
      <c r="J4578" s="1399">
        <v>1439</v>
      </c>
    </row>
    <row r="4579" spans="5:10" s="1297" customFormat="1">
      <c r="E4579" s="1297" t="s">
        <v>996</v>
      </c>
      <c r="F4579" s="1399"/>
      <c r="G4579" s="1399"/>
      <c r="H4579" s="1399">
        <v>36698</v>
      </c>
      <c r="I4579" s="1399"/>
      <c r="J4579" s="1399">
        <v>36698</v>
      </c>
    </row>
    <row r="4580" spans="5:10" s="1297" customFormat="1">
      <c r="E4580" s="1297" t="s">
        <v>1044</v>
      </c>
      <c r="F4580" s="1399">
        <v>46483.33</v>
      </c>
      <c r="G4580" s="1399"/>
      <c r="H4580" s="1399"/>
      <c r="I4580" s="1399"/>
      <c r="J4580" s="1399">
        <v>46483.33</v>
      </c>
    </row>
    <row r="4581" spans="5:10" s="1297" customFormat="1">
      <c r="E4581" s="1297" t="s">
        <v>1045</v>
      </c>
      <c r="F4581" s="1399"/>
      <c r="G4581" s="1399"/>
      <c r="H4581" s="1399">
        <v>23466.400000000001</v>
      </c>
      <c r="I4581" s="1399"/>
      <c r="J4581" s="1399">
        <v>23466.400000000001</v>
      </c>
    </row>
    <row r="4582" spans="5:10" s="1297" customFormat="1">
      <c r="E4582" s="1297" t="s">
        <v>1046</v>
      </c>
      <c r="F4582" s="1399"/>
      <c r="G4582" s="1399"/>
      <c r="H4582" s="1399"/>
      <c r="I4582" s="1399">
        <v>6827308</v>
      </c>
      <c r="J4582" s="1399">
        <v>6827308</v>
      </c>
    </row>
    <row r="4583" spans="5:10" s="1297" customFormat="1">
      <c r="E4583" s="1297" t="s">
        <v>1047</v>
      </c>
      <c r="F4583" s="1399"/>
      <c r="G4583" s="1399"/>
      <c r="H4583" s="1399"/>
      <c r="I4583" s="1399">
        <v>-529840</v>
      </c>
      <c r="J4583" s="1399">
        <v>-529840</v>
      </c>
    </row>
    <row r="4584" spans="5:10" s="1297" customFormat="1">
      <c r="E4584" s="1297" t="s">
        <v>1048</v>
      </c>
      <c r="F4584" s="1399"/>
      <c r="G4584" s="1399"/>
      <c r="H4584" s="1399"/>
      <c r="I4584" s="1399">
        <v>-1036531</v>
      </c>
      <c r="J4584" s="1399">
        <v>-1036531</v>
      </c>
    </row>
    <row r="4585" spans="5:10" s="1297" customFormat="1">
      <c r="E4585" s="1297" t="s">
        <v>932</v>
      </c>
      <c r="F4585" s="1399"/>
      <c r="G4585" s="1399"/>
      <c r="H4585" s="1399"/>
      <c r="I4585" s="1399">
        <v>398697</v>
      </c>
      <c r="J4585" s="1399">
        <v>398697</v>
      </c>
    </row>
    <row r="4586" spans="5:10" s="1297" customFormat="1">
      <c r="E4586" s="1404" t="s">
        <v>955</v>
      </c>
      <c r="F4586" s="1405"/>
      <c r="G4586" s="1405"/>
      <c r="H4586" s="1405"/>
      <c r="I4586" s="1405">
        <v>154251.82999999999</v>
      </c>
      <c r="J4586" s="1405">
        <v>154251.82999999999</v>
      </c>
    </row>
    <row r="4587" spans="5:10" s="1297" customFormat="1">
      <c r="E4587" s="1297" t="s">
        <v>934</v>
      </c>
      <c r="F4587" s="1399"/>
      <c r="G4587" s="1399"/>
      <c r="H4587" s="1399"/>
      <c r="I4587" s="1399">
        <v>26250</v>
      </c>
      <c r="J4587" s="1399">
        <v>26250</v>
      </c>
    </row>
    <row r="4588" spans="5:10" s="1297" customFormat="1">
      <c r="E4588" s="1297" t="s">
        <v>935</v>
      </c>
      <c r="F4588" s="1399"/>
      <c r="G4588" s="1399"/>
      <c r="H4588" s="1399"/>
      <c r="I4588" s="1399">
        <v>126403.33</v>
      </c>
      <c r="J4588" s="1399">
        <v>126403.33</v>
      </c>
    </row>
    <row r="4589" spans="5:10" s="1297" customFormat="1">
      <c r="E4589" s="1297" t="s">
        <v>936</v>
      </c>
      <c r="F4589" s="1399"/>
      <c r="G4589" s="1399"/>
      <c r="H4589" s="1399"/>
      <c r="I4589" s="1399">
        <v>35715.35</v>
      </c>
      <c r="J4589" s="1399">
        <v>35715.35</v>
      </c>
    </row>
    <row r="4590" spans="5:10" s="1297" customFormat="1">
      <c r="E4590" s="1297" t="s">
        <v>937</v>
      </c>
      <c r="F4590" s="1399"/>
      <c r="G4590" s="1399"/>
      <c r="H4590" s="1399"/>
      <c r="I4590" s="1399">
        <v>7638.97</v>
      </c>
      <c r="J4590" s="1399">
        <v>7638.97</v>
      </c>
    </row>
    <row r="4591" spans="5:10" s="1297" customFormat="1">
      <c r="E4591" s="1297" t="s">
        <v>938</v>
      </c>
      <c r="F4591" s="1399"/>
      <c r="G4591" s="1399"/>
      <c r="H4591" s="1399"/>
      <c r="I4591" s="1399">
        <v>10668</v>
      </c>
      <c r="J4591" s="1399">
        <v>10668</v>
      </c>
    </row>
    <row r="4592" spans="5:10" s="1297" customFormat="1">
      <c r="E4592" s="1297" t="s">
        <v>940</v>
      </c>
      <c r="F4592" s="1399">
        <v>0</v>
      </c>
      <c r="G4592" s="1399"/>
      <c r="H4592" s="1399"/>
      <c r="I4592" s="1399"/>
      <c r="J4592" s="1399">
        <v>0</v>
      </c>
    </row>
    <row r="4593" spans="2:12">
      <c r="B4593" s="1297"/>
      <c r="C4593" s="1297"/>
      <c r="D4593" s="1297"/>
      <c r="E4593" s="1297" t="s">
        <v>941</v>
      </c>
      <c r="F4593" s="1399">
        <v>487503.7</v>
      </c>
      <c r="J4593" s="1399">
        <v>487503.7</v>
      </c>
    </row>
    <row r="4594" spans="2:12">
      <c r="B4594" s="1297"/>
      <c r="C4594" s="1297"/>
      <c r="D4594" s="1297"/>
      <c r="E4594" s="1297" t="s">
        <v>942</v>
      </c>
      <c r="F4594" s="1399">
        <v>317985.40000000002</v>
      </c>
      <c r="J4594" s="1399">
        <v>317985.40000000002</v>
      </c>
    </row>
    <row r="4595" spans="2:12">
      <c r="B4595" s="1297"/>
      <c r="C4595" s="1297"/>
      <c r="D4595" s="1297"/>
      <c r="E4595" s="1297" t="s">
        <v>943</v>
      </c>
      <c r="F4595" s="1399">
        <v>15531.86</v>
      </c>
      <c r="J4595" s="1399">
        <v>15531.86</v>
      </c>
    </row>
    <row r="4596" spans="2:12">
      <c r="B4596" s="1297"/>
      <c r="C4596" s="1297"/>
      <c r="D4596" s="1297"/>
      <c r="E4596" s="1297" t="s">
        <v>944</v>
      </c>
      <c r="F4596" s="1399">
        <v>1677517.0999999996</v>
      </c>
      <c r="J4596" s="1399">
        <v>1677517.0999999996</v>
      </c>
    </row>
    <row r="4597" spans="2:12">
      <c r="B4597" s="1297"/>
      <c r="C4597" s="1297"/>
      <c r="D4597" s="1297"/>
      <c r="E4597" s="1297" t="s">
        <v>945</v>
      </c>
      <c r="F4597" s="1399">
        <v>685340.51</v>
      </c>
      <c r="J4597" s="1399">
        <v>685340.51</v>
      </c>
    </row>
    <row r="4598" spans="2:12">
      <c r="B4598" s="1297"/>
      <c r="C4598" s="1297"/>
      <c r="D4598" s="1297"/>
      <c r="E4598" s="1297" t="s">
        <v>946</v>
      </c>
      <c r="F4598" s="1399">
        <v>912265.5</v>
      </c>
      <c r="J4598" s="1399">
        <v>912265.5</v>
      </c>
    </row>
    <row r="4599" spans="2:12">
      <c r="B4599" s="1297"/>
      <c r="C4599" s="1297"/>
      <c r="D4599" s="1297"/>
      <c r="E4599" s="1297" t="s">
        <v>947</v>
      </c>
      <c r="F4599" s="1399">
        <v>59552.01</v>
      </c>
      <c r="J4599" s="1399">
        <v>59552.01</v>
      </c>
    </row>
    <row r="4600" spans="2:12">
      <c r="B4600" s="1297"/>
      <c r="C4600" s="1297"/>
      <c r="D4600" s="1297"/>
      <c r="E4600" s="1297" t="s">
        <v>1115</v>
      </c>
      <c r="F4600" s="1399">
        <v>10211.1</v>
      </c>
      <c r="J4600" s="1399">
        <v>10211.1</v>
      </c>
    </row>
    <row r="4601" spans="2:12">
      <c r="B4601" s="1297"/>
      <c r="C4601" s="1297"/>
      <c r="D4601" s="1297"/>
      <c r="E4601" s="1404" t="s">
        <v>1116</v>
      </c>
      <c r="F4601" s="1405"/>
      <c r="G4601" s="1405"/>
      <c r="H4601" s="1405">
        <v>3350000</v>
      </c>
      <c r="I4601" s="1405"/>
      <c r="J4601" s="1405">
        <v>3350000</v>
      </c>
    </row>
    <row r="4602" spans="2:12">
      <c r="B4602" s="1297"/>
      <c r="C4602" s="1297"/>
      <c r="D4602" s="1297"/>
      <c r="E4602" s="1404" t="s">
        <v>948</v>
      </c>
      <c r="F4602" s="1405"/>
      <c r="G4602" s="1405"/>
      <c r="H4602" s="1405">
        <v>776770.39</v>
      </c>
      <c r="I4602" s="1405"/>
      <c r="J4602" s="1405">
        <v>776770.39</v>
      </c>
    </row>
    <row r="4603" spans="2:12">
      <c r="B4603" s="1297"/>
      <c r="C4603" s="1297"/>
      <c r="D4603" s="1297"/>
      <c r="E4603" s="1297" t="s">
        <v>1118</v>
      </c>
      <c r="H4603" s="1399">
        <v>40572.82</v>
      </c>
      <c r="J4603" s="1399">
        <v>40572.82</v>
      </c>
    </row>
    <row r="4604" spans="2:12">
      <c r="B4604" s="1297"/>
      <c r="C4604" s="1297"/>
      <c r="D4604" s="1400" t="s">
        <v>1506</v>
      </c>
      <c r="E4604" s="1400"/>
      <c r="F4604" s="1401">
        <f>SUM(F4568:F4603)</f>
        <v>4212390.5099999988</v>
      </c>
      <c r="G4604" s="1401">
        <f>SUM(G4568:G4603)</f>
        <v>3449129.5</v>
      </c>
      <c r="H4604" s="1401">
        <f>SUM(H4568:H4603)-(H4601+H4602)</f>
        <v>243948.57999999961</v>
      </c>
      <c r="I4604" s="1401">
        <f>SUM(I4568:I4603)-I4586</f>
        <v>5866309.6499999994</v>
      </c>
      <c r="J4604" s="1401">
        <f>SUM(J4568:J4603)</f>
        <v>18052800.460000001</v>
      </c>
      <c r="K4604" s="1401">
        <f>SUM(F4604:I4604)</f>
        <v>13771778.239999998</v>
      </c>
      <c r="L4604" s="1408">
        <f>K4604/C4568</f>
        <v>13004.512030217185</v>
      </c>
    </row>
    <row r="4605" spans="2:12">
      <c r="B4605" s="1297" t="s">
        <v>1507</v>
      </c>
      <c r="C4605" s="1297">
        <v>30779</v>
      </c>
      <c r="D4605" s="1297" t="s">
        <v>1508</v>
      </c>
      <c r="E4605" s="1297" t="s">
        <v>906</v>
      </c>
      <c r="G4605" s="1399">
        <v>80086368.629999995</v>
      </c>
      <c r="J4605" s="1399">
        <v>80086368.629999995</v>
      </c>
    </row>
    <row r="4606" spans="2:12">
      <c r="B4606" s="1297"/>
      <c r="C4606" s="1297"/>
      <c r="D4606" s="1297"/>
      <c r="E4606" s="1297" t="s">
        <v>952</v>
      </c>
      <c r="G4606" s="1399">
        <v>1043490.25</v>
      </c>
      <c r="J4606" s="1399">
        <v>1043490.25</v>
      </c>
    </row>
    <row r="4607" spans="2:12">
      <c r="B4607" s="1297"/>
      <c r="C4607" s="1297"/>
      <c r="D4607" s="1297"/>
      <c r="E4607" s="1297" t="s">
        <v>907</v>
      </c>
      <c r="G4607" s="1399">
        <v>37232391.659999996</v>
      </c>
      <c r="J4607" s="1399">
        <v>37232391.659999996</v>
      </c>
    </row>
    <row r="4608" spans="2:12">
      <c r="B4608" s="1297"/>
      <c r="C4608" s="1297"/>
      <c r="D4608" s="1297"/>
      <c r="E4608" s="1297" t="s">
        <v>910</v>
      </c>
      <c r="H4608" s="1399">
        <v>2835</v>
      </c>
      <c r="J4608" s="1399">
        <v>2835</v>
      </c>
    </row>
    <row r="4609" spans="5:10" s="1297" customFormat="1">
      <c r="E4609" s="1297" t="s">
        <v>1034</v>
      </c>
      <c r="F4609" s="1399"/>
      <c r="G4609" s="1399"/>
      <c r="H4609" s="1399">
        <v>206581.43</v>
      </c>
      <c r="I4609" s="1399"/>
      <c r="J4609" s="1399">
        <v>206581.43</v>
      </c>
    </row>
    <row r="4610" spans="5:10" s="1297" customFormat="1">
      <c r="E4610" s="1297" t="s">
        <v>1035</v>
      </c>
      <c r="F4610" s="1399"/>
      <c r="G4610" s="1399"/>
      <c r="H4610" s="1399">
        <v>3086756.6999999997</v>
      </c>
      <c r="I4610" s="1399"/>
      <c r="J4610" s="1399">
        <v>3086756.6999999997</v>
      </c>
    </row>
    <row r="4611" spans="5:10" s="1297" customFormat="1">
      <c r="E4611" s="1297" t="s">
        <v>1037</v>
      </c>
      <c r="F4611" s="1399"/>
      <c r="G4611" s="1399"/>
      <c r="H4611" s="1399">
        <v>12012</v>
      </c>
      <c r="I4611" s="1399"/>
      <c r="J4611" s="1399">
        <v>12012</v>
      </c>
    </row>
    <row r="4612" spans="5:10" s="1297" customFormat="1">
      <c r="E4612" s="1297" t="s">
        <v>1038</v>
      </c>
      <c r="F4612" s="1399"/>
      <c r="G4612" s="1399"/>
      <c r="H4612" s="1399">
        <v>116905</v>
      </c>
      <c r="I4612" s="1399"/>
      <c r="J4612" s="1399">
        <v>116905</v>
      </c>
    </row>
    <row r="4613" spans="5:10" s="1297" customFormat="1">
      <c r="E4613" s="1297" t="s">
        <v>1039</v>
      </c>
      <c r="F4613" s="1399"/>
      <c r="G4613" s="1399"/>
      <c r="H4613" s="1399">
        <v>2136124.6100000008</v>
      </c>
      <c r="I4613" s="1399"/>
      <c r="J4613" s="1399">
        <v>2136124.6100000008</v>
      </c>
    </row>
    <row r="4614" spans="5:10" s="1297" customFormat="1">
      <c r="E4614" s="1297" t="s">
        <v>1040</v>
      </c>
      <c r="F4614" s="1399"/>
      <c r="G4614" s="1399"/>
      <c r="H4614" s="1399">
        <v>1191027.3400000001</v>
      </c>
      <c r="I4614" s="1399"/>
      <c r="J4614" s="1399">
        <v>1191027.3400000001</v>
      </c>
    </row>
    <row r="4615" spans="5:10" s="1297" customFormat="1">
      <c r="E4615" s="1297" t="s">
        <v>1041</v>
      </c>
      <c r="F4615" s="1399"/>
      <c r="G4615" s="1399"/>
      <c r="H4615" s="1399">
        <v>329181.80999999994</v>
      </c>
      <c r="I4615" s="1399"/>
      <c r="J4615" s="1399">
        <v>329181.80999999994</v>
      </c>
    </row>
    <row r="4616" spans="5:10" s="1297" customFormat="1">
      <c r="E4616" s="1297" t="s">
        <v>1042</v>
      </c>
      <c r="F4616" s="1399"/>
      <c r="G4616" s="1399"/>
      <c r="H4616" s="1399">
        <v>202173.26999999996</v>
      </c>
      <c r="I4616" s="1399"/>
      <c r="J4616" s="1399">
        <v>202173.26999999996</v>
      </c>
    </row>
    <row r="4617" spans="5:10" s="1297" customFormat="1">
      <c r="E4617" s="1297" t="s">
        <v>954</v>
      </c>
      <c r="F4617" s="1399"/>
      <c r="G4617" s="1399"/>
      <c r="H4617" s="1399">
        <v>416248.43</v>
      </c>
      <c r="I4617" s="1399"/>
      <c r="J4617" s="1399">
        <v>416248.43</v>
      </c>
    </row>
    <row r="4618" spans="5:10" s="1297" customFormat="1">
      <c r="E4618" s="1297" t="s">
        <v>986</v>
      </c>
      <c r="F4618" s="1399"/>
      <c r="G4618" s="1399"/>
      <c r="H4618" s="1399">
        <v>570</v>
      </c>
      <c r="I4618" s="1399"/>
      <c r="J4618" s="1399">
        <v>570</v>
      </c>
    </row>
    <row r="4619" spans="5:10" s="1297" customFormat="1">
      <c r="E4619" s="1297" t="s">
        <v>1044</v>
      </c>
      <c r="F4619" s="1399">
        <v>1614820.44</v>
      </c>
      <c r="G4619" s="1399"/>
      <c r="H4619" s="1399"/>
      <c r="I4619" s="1399"/>
      <c r="J4619" s="1399">
        <v>1614820.44</v>
      </c>
    </row>
    <row r="4620" spans="5:10" s="1297" customFormat="1">
      <c r="E4620" s="1297" t="s">
        <v>1045</v>
      </c>
      <c r="F4620" s="1399"/>
      <c r="G4620" s="1399"/>
      <c r="H4620" s="1399">
        <v>852706.07999999973</v>
      </c>
      <c r="I4620" s="1399"/>
      <c r="J4620" s="1399">
        <v>852706.07999999973</v>
      </c>
    </row>
    <row r="4621" spans="5:10" s="1297" customFormat="1">
      <c r="E4621" s="1297" t="s">
        <v>1046</v>
      </c>
      <c r="F4621" s="1399"/>
      <c r="G4621" s="1399"/>
      <c r="H4621" s="1399"/>
      <c r="I4621" s="1399">
        <v>158332046</v>
      </c>
      <c r="J4621" s="1399">
        <v>158332046</v>
      </c>
    </row>
    <row r="4622" spans="5:10" s="1297" customFormat="1">
      <c r="E4622" s="1297" t="s">
        <v>1128</v>
      </c>
      <c r="F4622" s="1399"/>
      <c r="G4622" s="1399"/>
      <c r="H4622" s="1399"/>
      <c r="I4622" s="1399">
        <v>13228259</v>
      </c>
      <c r="J4622" s="1399">
        <v>13228259</v>
      </c>
    </row>
    <row r="4623" spans="5:10" s="1297" customFormat="1">
      <c r="E4623" s="1297" t="s">
        <v>1129</v>
      </c>
      <c r="F4623" s="1399"/>
      <c r="G4623" s="1399"/>
      <c r="H4623" s="1399"/>
      <c r="I4623" s="1399">
        <v>-22570214</v>
      </c>
      <c r="J4623" s="1399">
        <v>-22570214</v>
      </c>
    </row>
    <row r="4624" spans="5:10" s="1297" customFormat="1">
      <c r="E4624" s="1297" t="s">
        <v>1047</v>
      </c>
      <c r="F4624" s="1399"/>
      <c r="G4624" s="1399"/>
      <c r="H4624" s="1399"/>
      <c r="I4624" s="1399">
        <v>3084815</v>
      </c>
      <c r="J4624" s="1399">
        <v>3084815</v>
      </c>
    </row>
    <row r="4625" spans="5:10" s="1297" customFormat="1">
      <c r="E4625" s="1297" t="s">
        <v>1048</v>
      </c>
      <c r="F4625" s="1399"/>
      <c r="G4625" s="1399"/>
      <c r="H4625" s="1399"/>
      <c r="I4625" s="1399">
        <v>-22844202</v>
      </c>
      <c r="J4625" s="1399">
        <v>-22844202</v>
      </c>
    </row>
    <row r="4626" spans="5:10" s="1297" customFormat="1">
      <c r="E4626" s="1297" t="s">
        <v>932</v>
      </c>
      <c r="F4626" s="1399"/>
      <c r="G4626" s="1399"/>
      <c r="H4626" s="1399"/>
      <c r="I4626" s="1399">
        <v>15509262</v>
      </c>
      <c r="J4626" s="1399">
        <v>15509262</v>
      </c>
    </row>
    <row r="4627" spans="5:10" s="1297" customFormat="1">
      <c r="E4627" s="1404" t="s">
        <v>955</v>
      </c>
      <c r="F4627" s="1405"/>
      <c r="G4627" s="1405"/>
      <c r="H4627" s="1405"/>
      <c r="I4627" s="1405">
        <v>5397668.7199999997</v>
      </c>
      <c r="J4627" s="1405">
        <v>5397668.7199999997</v>
      </c>
    </row>
    <row r="4628" spans="5:10" s="1297" customFormat="1">
      <c r="E4628" s="1297" t="s">
        <v>934</v>
      </c>
      <c r="F4628" s="1399"/>
      <c r="G4628" s="1399"/>
      <c r="H4628" s="1399"/>
      <c r="I4628" s="1399">
        <v>499340</v>
      </c>
      <c r="J4628" s="1399">
        <v>499340</v>
      </c>
    </row>
    <row r="4629" spans="5:10" s="1297" customFormat="1">
      <c r="E4629" s="1297" t="s">
        <v>1130</v>
      </c>
      <c r="F4629" s="1399"/>
      <c r="G4629" s="1399"/>
      <c r="H4629" s="1399"/>
      <c r="I4629" s="1399">
        <v>3924418.3000000003</v>
      </c>
      <c r="J4629" s="1399">
        <v>3924418.3000000003</v>
      </c>
    </row>
    <row r="4630" spans="5:10" s="1297" customFormat="1">
      <c r="E4630" s="1297" t="s">
        <v>935</v>
      </c>
      <c r="F4630" s="1399"/>
      <c r="G4630" s="1399"/>
      <c r="H4630" s="1399"/>
      <c r="I4630" s="1399">
        <v>3305853.74</v>
      </c>
      <c r="J4630" s="1399">
        <v>3305853.74</v>
      </c>
    </row>
    <row r="4631" spans="5:10" s="1297" customFormat="1">
      <c r="E4631" s="1297" t="s">
        <v>936</v>
      </c>
      <c r="F4631" s="1399"/>
      <c r="G4631" s="1399"/>
      <c r="H4631" s="1399"/>
      <c r="I4631" s="1399">
        <v>482507.44</v>
      </c>
      <c r="J4631" s="1399">
        <v>482507.44</v>
      </c>
    </row>
    <row r="4632" spans="5:10" s="1297" customFormat="1">
      <c r="E4632" s="1297" t="s">
        <v>937</v>
      </c>
      <c r="F4632" s="1399"/>
      <c r="G4632" s="1399"/>
      <c r="H4632" s="1399"/>
      <c r="I4632" s="1399">
        <v>169495.82</v>
      </c>
      <c r="J4632" s="1399">
        <v>169495.82</v>
      </c>
    </row>
    <row r="4633" spans="5:10" s="1297" customFormat="1">
      <c r="E4633" s="1297" t="s">
        <v>938</v>
      </c>
      <c r="F4633" s="1399"/>
      <c r="G4633" s="1399"/>
      <c r="H4633" s="1399"/>
      <c r="I4633" s="1399">
        <v>187346</v>
      </c>
      <c r="J4633" s="1399">
        <v>187346</v>
      </c>
    </row>
    <row r="4634" spans="5:10" s="1297" customFormat="1">
      <c r="E4634" s="1297" t="s">
        <v>939</v>
      </c>
      <c r="F4634" s="1399"/>
      <c r="G4634" s="1399"/>
      <c r="H4634" s="1399"/>
      <c r="I4634" s="1399">
        <v>1055.55</v>
      </c>
      <c r="J4634" s="1399">
        <v>1055.55</v>
      </c>
    </row>
    <row r="4635" spans="5:10" s="1297" customFormat="1">
      <c r="E4635" s="1297" t="s">
        <v>1131</v>
      </c>
      <c r="F4635" s="1399">
        <v>1121477.19</v>
      </c>
      <c r="G4635" s="1399"/>
      <c r="H4635" s="1399"/>
      <c r="I4635" s="1399"/>
      <c r="J4635" s="1399">
        <v>1121477.19</v>
      </c>
    </row>
    <row r="4636" spans="5:10" s="1297" customFormat="1">
      <c r="E4636" s="1297" t="s">
        <v>940</v>
      </c>
      <c r="F4636" s="1399">
        <v>9356462.1199999992</v>
      </c>
      <c r="G4636" s="1399"/>
      <c r="H4636" s="1399"/>
      <c r="I4636" s="1399"/>
      <c r="J4636" s="1399">
        <v>9356462.1199999992</v>
      </c>
    </row>
    <row r="4637" spans="5:10" s="1297" customFormat="1">
      <c r="E4637" s="1297" t="s">
        <v>941</v>
      </c>
      <c r="F4637" s="1399">
        <v>3532478.7</v>
      </c>
      <c r="G4637" s="1399"/>
      <c r="H4637" s="1399"/>
      <c r="I4637" s="1399"/>
      <c r="J4637" s="1399">
        <v>3532478.7</v>
      </c>
    </row>
    <row r="4638" spans="5:10" s="1297" customFormat="1">
      <c r="E4638" s="1297" t="s">
        <v>943</v>
      </c>
      <c r="F4638" s="1399">
        <v>113496.75999999998</v>
      </c>
      <c r="G4638" s="1399"/>
      <c r="H4638" s="1399"/>
      <c r="I4638" s="1399"/>
      <c r="J4638" s="1399">
        <v>113496.75999999998</v>
      </c>
    </row>
    <row r="4639" spans="5:10" s="1297" customFormat="1">
      <c r="E4639" s="1297" t="s">
        <v>944</v>
      </c>
      <c r="F4639" s="1399">
        <v>29109836.169999994</v>
      </c>
      <c r="G4639" s="1399"/>
      <c r="H4639" s="1399"/>
      <c r="I4639" s="1399"/>
      <c r="J4639" s="1399">
        <v>29109836.169999994</v>
      </c>
    </row>
    <row r="4640" spans="5:10" s="1297" customFormat="1">
      <c r="E4640" s="1297" t="s">
        <v>945</v>
      </c>
      <c r="F4640" s="1399">
        <v>17644171.310000002</v>
      </c>
      <c r="G4640" s="1399"/>
      <c r="H4640" s="1399"/>
      <c r="I4640" s="1399"/>
      <c r="J4640" s="1399">
        <v>17644171.310000002</v>
      </c>
    </row>
    <row r="4641" spans="2:12">
      <c r="B4641" s="1297"/>
      <c r="C4641" s="1297"/>
      <c r="D4641" s="1297"/>
      <c r="E4641" s="1297" t="s">
        <v>946</v>
      </c>
      <c r="F4641" s="1399">
        <v>9000</v>
      </c>
      <c r="J4641" s="1399">
        <v>9000</v>
      </c>
    </row>
    <row r="4642" spans="2:12">
      <c r="B4642" s="1297"/>
      <c r="C4642" s="1297"/>
      <c r="D4642" s="1297"/>
      <c r="E4642" s="1297" t="s">
        <v>978</v>
      </c>
      <c r="F4642" s="1399">
        <v>4134.8</v>
      </c>
      <c r="J4642" s="1399">
        <v>4134.8</v>
      </c>
    </row>
    <row r="4643" spans="2:12">
      <c r="B4643" s="1297"/>
      <c r="C4643" s="1297"/>
      <c r="D4643" s="1297"/>
      <c r="E4643" s="1297" t="s">
        <v>1006</v>
      </c>
      <c r="F4643" s="1399">
        <v>1208987.25</v>
      </c>
      <c r="J4643" s="1399">
        <v>1208987.25</v>
      </c>
    </row>
    <row r="4644" spans="2:12">
      <c r="B4644" s="1297"/>
      <c r="C4644" s="1297"/>
      <c r="D4644" s="1297"/>
      <c r="E4644" s="1297" t="s">
        <v>947</v>
      </c>
      <c r="F4644" s="1399">
        <v>1002023.9000000003</v>
      </c>
      <c r="J4644" s="1399">
        <v>1002023.9000000003</v>
      </c>
    </row>
    <row r="4645" spans="2:12">
      <c r="B4645" s="1297"/>
      <c r="C4645" s="1297"/>
      <c r="D4645" s="1297"/>
      <c r="E4645" s="1404" t="s">
        <v>948</v>
      </c>
      <c r="F4645" s="1405"/>
      <c r="G4645" s="1405"/>
      <c r="H4645" s="1405">
        <v>29746278.699999999</v>
      </c>
      <c r="I4645" s="1405"/>
      <c r="J4645" s="1405">
        <v>29746278.699999999</v>
      </c>
    </row>
    <row r="4646" spans="2:12">
      <c r="B4646" s="1297"/>
      <c r="C4646" s="1297"/>
      <c r="D4646" s="1297"/>
      <c r="E4646" s="1297" t="s">
        <v>956</v>
      </c>
      <c r="H4646" s="1399">
        <v>6653.94</v>
      </c>
      <c r="J4646" s="1399">
        <v>6653.94</v>
      </c>
    </row>
    <row r="4647" spans="2:12">
      <c r="B4647" s="1297"/>
      <c r="C4647" s="1297"/>
      <c r="D4647" s="1400" t="s">
        <v>1509</v>
      </c>
      <c r="E4647" s="1400"/>
      <c r="F4647" s="1401">
        <f>SUM(F4605:F4646)</f>
        <v>64716888.639999993</v>
      </c>
      <c r="G4647" s="1401">
        <f>SUM(G4605:G4646)</f>
        <v>118362250.53999999</v>
      </c>
      <c r="H4647" s="1401">
        <f>SUM(H4605:H4646)-H4645</f>
        <v>8559775.6099999957</v>
      </c>
      <c r="I4647" s="1401">
        <f>SUM(I4605:I4646)-I4627</f>
        <v>153309982.85000002</v>
      </c>
      <c r="J4647" s="1401">
        <f>SUM(J4605:J4646)</f>
        <v>380092845.06</v>
      </c>
      <c r="K4647" s="1401">
        <f>SUM(F4647:I4647)</f>
        <v>344948897.63999999</v>
      </c>
      <c r="L4647" s="1408">
        <f>K4647/C4605</f>
        <v>11207.280861626434</v>
      </c>
    </row>
    <row r="4648" spans="2:12">
      <c r="B4648" s="1297" t="s">
        <v>1510</v>
      </c>
      <c r="C4648" s="1297">
        <v>15413</v>
      </c>
      <c r="D4648" s="1297" t="s">
        <v>1511</v>
      </c>
      <c r="E4648" s="1297" t="s">
        <v>906</v>
      </c>
      <c r="G4648" s="1399">
        <v>57963851.620000005</v>
      </c>
      <c r="J4648" s="1399">
        <v>57963851.620000005</v>
      </c>
    </row>
    <row r="4649" spans="2:12">
      <c r="B4649" s="1297"/>
      <c r="C4649" s="1297"/>
      <c r="D4649" s="1297"/>
      <c r="E4649" s="1297" t="s">
        <v>952</v>
      </c>
      <c r="G4649" s="1399">
        <v>431638.16</v>
      </c>
      <c r="J4649" s="1399">
        <v>431638.16</v>
      </c>
    </row>
    <row r="4650" spans="2:12">
      <c r="B4650" s="1297"/>
      <c r="C4650" s="1297"/>
      <c r="D4650" s="1297"/>
      <c r="E4650" s="1297" t="s">
        <v>907</v>
      </c>
      <c r="G4650" s="1399">
        <v>12505322.380000001</v>
      </c>
      <c r="J4650" s="1399">
        <v>12505322.380000001</v>
      </c>
    </row>
    <row r="4651" spans="2:12">
      <c r="B4651" s="1297"/>
      <c r="C4651" s="1297"/>
      <c r="D4651" s="1297"/>
      <c r="E4651" s="1297" t="s">
        <v>908</v>
      </c>
      <c r="G4651" s="1399">
        <v>9236.0499999999993</v>
      </c>
      <c r="J4651" s="1399">
        <v>9236.0499999999993</v>
      </c>
    </row>
    <row r="4652" spans="2:12">
      <c r="B4652" s="1297"/>
      <c r="C4652" s="1297"/>
      <c r="D4652" s="1297"/>
      <c r="E4652" s="1297" t="s">
        <v>1037</v>
      </c>
      <c r="H4652" s="1399">
        <v>104411.7</v>
      </c>
      <c r="J4652" s="1399">
        <v>104411.7</v>
      </c>
    </row>
    <row r="4653" spans="2:12">
      <c r="B4653" s="1297"/>
      <c r="C4653" s="1297"/>
      <c r="D4653" s="1297"/>
      <c r="E4653" s="1297" t="s">
        <v>1064</v>
      </c>
      <c r="H4653" s="1399">
        <v>2625.52</v>
      </c>
      <c r="J4653" s="1399">
        <v>2625.52</v>
      </c>
    </row>
    <row r="4654" spans="2:12">
      <c r="B4654" s="1297"/>
      <c r="C4654" s="1297"/>
      <c r="D4654" s="1297"/>
      <c r="E4654" s="1297" t="s">
        <v>1039</v>
      </c>
      <c r="H4654" s="1399">
        <v>98730.12999999999</v>
      </c>
      <c r="J4654" s="1399">
        <v>98730.12999999999</v>
      </c>
    </row>
    <row r="4655" spans="2:12">
      <c r="B4655" s="1297"/>
      <c r="C4655" s="1297"/>
      <c r="D4655" s="1297"/>
      <c r="E4655" s="1297" t="s">
        <v>1040</v>
      </c>
      <c r="H4655" s="1399">
        <v>1539996.65</v>
      </c>
      <c r="J4655" s="1399">
        <v>1539996.65</v>
      </c>
    </row>
    <row r="4656" spans="2:12">
      <c r="B4656" s="1297"/>
      <c r="C4656" s="1297"/>
      <c r="D4656" s="1297"/>
      <c r="E4656" s="1297" t="s">
        <v>1041</v>
      </c>
      <c r="H4656" s="1399">
        <v>752015.46</v>
      </c>
      <c r="J4656" s="1399">
        <v>752015.46</v>
      </c>
    </row>
    <row r="4657" spans="5:10" s="1297" customFormat="1">
      <c r="E4657" s="1297" t="s">
        <v>1042</v>
      </c>
      <c r="F4657" s="1399"/>
      <c r="G4657" s="1399"/>
      <c r="H4657" s="1399">
        <v>262750.03999999998</v>
      </c>
      <c r="I4657" s="1399"/>
      <c r="J4657" s="1399">
        <v>262750.03999999998</v>
      </c>
    </row>
    <row r="4658" spans="5:10" s="1297" customFormat="1">
      <c r="E4658" s="1297" t="s">
        <v>986</v>
      </c>
      <c r="F4658" s="1399"/>
      <c r="G4658" s="1399"/>
      <c r="H4658" s="1399">
        <v>10815.45</v>
      </c>
      <c r="I4658" s="1399"/>
      <c r="J4658" s="1399">
        <v>10815.45</v>
      </c>
    </row>
    <row r="4659" spans="5:10" s="1297" customFormat="1">
      <c r="E4659" s="1297" t="s">
        <v>996</v>
      </c>
      <c r="F4659" s="1399"/>
      <c r="G4659" s="1399"/>
      <c r="H4659" s="1399">
        <v>32905.949999999997</v>
      </c>
      <c r="I4659" s="1399"/>
      <c r="J4659" s="1399">
        <v>32905.949999999997</v>
      </c>
    </row>
    <row r="4660" spans="5:10" s="1297" customFormat="1">
      <c r="E4660" s="1297" t="s">
        <v>1044</v>
      </c>
      <c r="F4660" s="1399">
        <v>410689.88</v>
      </c>
      <c r="G4660" s="1399"/>
      <c r="H4660" s="1399"/>
      <c r="I4660" s="1399"/>
      <c r="J4660" s="1399">
        <v>410689.88</v>
      </c>
    </row>
    <row r="4661" spans="5:10" s="1297" customFormat="1">
      <c r="E4661" s="1297" t="s">
        <v>1045</v>
      </c>
      <c r="F4661" s="1399"/>
      <c r="G4661" s="1399"/>
      <c r="H4661" s="1399">
        <v>10113423.630000001</v>
      </c>
      <c r="I4661" s="1399"/>
      <c r="J4661" s="1399">
        <v>10113423.630000001</v>
      </c>
    </row>
    <row r="4662" spans="5:10" s="1297" customFormat="1">
      <c r="E4662" s="1297" t="s">
        <v>1046</v>
      </c>
      <c r="F4662" s="1399"/>
      <c r="G4662" s="1399"/>
      <c r="H4662" s="1399"/>
      <c r="I4662" s="1399">
        <v>74181709</v>
      </c>
      <c r="J4662" s="1399">
        <v>74181709</v>
      </c>
    </row>
    <row r="4663" spans="5:10" s="1297" customFormat="1">
      <c r="E4663" s="1297" t="s">
        <v>1048</v>
      </c>
      <c r="F4663" s="1399"/>
      <c r="G4663" s="1399"/>
      <c r="H4663" s="1399"/>
      <c r="I4663" s="1399">
        <v>-13695372</v>
      </c>
      <c r="J4663" s="1399">
        <v>-13695372</v>
      </c>
    </row>
    <row r="4664" spans="5:10" s="1297" customFormat="1">
      <c r="E4664" s="1297" t="s">
        <v>932</v>
      </c>
      <c r="F4664" s="1399"/>
      <c r="G4664" s="1399"/>
      <c r="H4664" s="1399"/>
      <c r="I4664" s="1399">
        <v>3771181</v>
      </c>
      <c r="J4664" s="1399">
        <v>3771181</v>
      </c>
    </row>
    <row r="4665" spans="5:10" s="1297" customFormat="1">
      <c r="E4665" s="1404" t="s">
        <v>955</v>
      </c>
      <c r="F4665" s="1405"/>
      <c r="G4665" s="1405"/>
      <c r="H4665" s="1405"/>
      <c r="I4665" s="1405">
        <v>1216851.1200000001</v>
      </c>
      <c r="J4665" s="1405">
        <v>1216851.1200000001</v>
      </c>
    </row>
    <row r="4666" spans="5:10" s="1297" customFormat="1">
      <c r="E4666" s="1297" t="s">
        <v>934</v>
      </c>
      <c r="F4666" s="1399"/>
      <c r="G4666" s="1399"/>
      <c r="H4666" s="1399"/>
      <c r="I4666" s="1399">
        <v>239478</v>
      </c>
      <c r="J4666" s="1399">
        <v>239478</v>
      </c>
    </row>
    <row r="4667" spans="5:10" s="1297" customFormat="1">
      <c r="E4667" s="1297" t="s">
        <v>1130</v>
      </c>
      <c r="F4667" s="1399"/>
      <c r="G4667" s="1399"/>
      <c r="H4667" s="1399"/>
      <c r="I4667" s="1399">
        <v>1921881.4</v>
      </c>
      <c r="J4667" s="1399">
        <v>1921881.4</v>
      </c>
    </row>
    <row r="4668" spans="5:10" s="1297" customFormat="1">
      <c r="E4668" s="1297" t="s">
        <v>935</v>
      </c>
      <c r="F4668" s="1399"/>
      <c r="G4668" s="1399"/>
      <c r="H4668" s="1399"/>
      <c r="I4668" s="1399">
        <v>513390.11</v>
      </c>
      <c r="J4668" s="1399">
        <v>513390.11</v>
      </c>
    </row>
    <row r="4669" spans="5:10" s="1297" customFormat="1">
      <c r="E4669" s="1297" t="s">
        <v>936</v>
      </c>
      <c r="F4669" s="1399"/>
      <c r="G4669" s="1399"/>
      <c r="H4669" s="1399"/>
      <c r="I4669" s="1399">
        <v>280120.43</v>
      </c>
      <c r="J4669" s="1399">
        <v>280120.43</v>
      </c>
    </row>
    <row r="4670" spans="5:10" s="1297" customFormat="1">
      <c r="E4670" s="1297" t="s">
        <v>937</v>
      </c>
      <c r="F4670" s="1399"/>
      <c r="G4670" s="1399"/>
      <c r="H4670" s="1399"/>
      <c r="I4670" s="1399">
        <v>240705.41</v>
      </c>
      <c r="J4670" s="1399">
        <v>240705.41</v>
      </c>
    </row>
    <row r="4671" spans="5:10" s="1297" customFormat="1">
      <c r="E4671" s="1297" t="s">
        <v>938</v>
      </c>
      <c r="F4671" s="1399"/>
      <c r="G4671" s="1399"/>
      <c r="H4671" s="1399"/>
      <c r="I4671" s="1399">
        <v>92831</v>
      </c>
      <c r="J4671" s="1399">
        <v>92831</v>
      </c>
    </row>
    <row r="4672" spans="5:10" s="1297" customFormat="1">
      <c r="E4672" s="1297" t="s">
        <v>1131</v>
      </c>
      <c r="F4672" s="1399">
        <v>193756.95</v>
      </c>
      <c r="G4672" s="1399"/>
      <c r="H4672" s="1399"/>
      <c r="I4672" s="1399"/>
      <c r="J4672" s="1399">
        <v>193756.95</v>
      </c>
    </row>
    <row r="4673" spans="2:12">
      <c r="B4673" s="1297"/>
      <c r="C4673" s="1297"/>
      <c r="D4673" s="1297"/>
      <c r="E4673" s="1297" t="s">
        <v>940</v>
      </c>
      <c r="F4673" s="1399">
        <v>4255617.26</v>
      </c>
      <c r="J4673" s="1399">
        <v>4255617.26</v>
      </c>
    </row>
    <row r="4674" spans="2:12">
      <c r="B4674" s="1297"/>
      <c r="C4674" s="1297"/>
      <c r="D4674" s="1297"/>
      <c r="E4674" s="1297" t="s">
        <v>941</v>
      </c>
      <c r="F4674" s="1399">
        <v>1500496.72</v>
      </c>
      <c r="J4674" s="1399">
        <v>1500496.72</v>
      </c>
    </row>
    <row r="4675" spans="2:12">
      <c r="B4675" s="1297"/>
      <c r="C4675" s="1297"/>
      <c r="D4675" s="1297"/>
      <c r="E4675" s="1297" t="s">
        <v>943</v>
      </c>
      <c r="F4675" s="1399">
        <v>64239.4</v>
      </c>
      <c r="J4675" s="1399">
        <v>64239.4</v>
      </c>
    </row>
    <row r="4676" spans="2:12">
      <c r="B4676" s="1297"/>
      <c r="C4676" s="1297"/>
      <c r="D4676" s="1297"/>
      <c r="E4676" s="1297" t="s">
        <v>944</v>
      </c>
      <c r="F4676" s="1399">
        <v>8349820.5699999994</v>
      </c>
      <c r="J4676" s="1399">
        <v>8349820.5699999994</v>
      </c>
    </row>
    <row r="4677" spans="2:12">
      <c r="B4677" s="1297"/>
      <c r="C4677" s="1297"/>
      <c r="D4677" s="1297"/>
      <c r="E4677" s="1297" t="s">
        <v>945</v>
      </c>
      <c r="F4677" s="1399">
        <v>5520830.0499999998</v>
      </c>
      <c r="J4677" s="1399">
        <v>5520830.0499999998</v>
      </c>
    </row>
    <row r="4678" spans="2:12">
      <c r="B4678" s="1297"/>
      <c r="C4678" s="1297"/>
      <c r="D4678" s="1297"/>
      <c r="E4678" s="1297" t="s">
        <v>946</v>
      </c>
      <c r="F4678" s="1399">
        <v>1385998.06</v>
      </c>
      <c r="J4678" s="1399">
        <v>1385998.06</v>
      </c>
    </row>
    <row r="4679" spans="2:12">
      <c r="B4679" s="1297"/>
      <c r="C4679" s="1297"/>
      <c r="D4679" s="1297"/>
      <c r="E4679" s="1297" t="s">
        <v>978</v>
      </c>
      <c r="F4679" s="1399">
        <v>10658.92</v>
      </c>
      <c r="J4679" s="1399">
        <v>10658.92</v>
      </c>
    </row>
    <row r="4680" spans="2:12">
      <c r="B4680" s="1297"/>
      <c r="C4680" s="1297"/>
      <c r="D4680" s="1297"/>
      <c r="E4680" s="1297" t="s">
        <v>947</v>
      </c>
      <c r="F4680" s="1399">
        <v>429705.34</v>
      </c>
      <c r="J4680" s="1399">
        <v>429705.34</v>
      </c>
    </row>
    <row r="4681" spans="2:12">
      <c r="B4681" s="1297"/>
      <c r="C4681" s="1297"/>
      <c r="D4681" s="1297"/>
      <c r="E4681" s="1404" t="s">
        <v>948</v>
      </c>
      <c r="F4681" s="1405"/>
      <c r="G4681" s="1405"/>
      <c r="H4681" s="1405">
        <v>2987587.9999999995</v>
      </c>
      <c r="I4681" s="1405"/>
      <c r="J4681" s="1405">
        <v>2987587.9999999995</v>
      </c>
    </row>
    <row r="4682" spans="2:12">
      <c r="B4682" s="1297"/>
      <c r="C4682" s="1297"/>
      <c r="D4682" s="1400" t="s">
        <v>1512</v>
      </c>
      <c r="E4682" s="1400"/>
      <c r="F4682" s="1401">
        <f>SUM(F4648:F4681)</f>
        <v>22121813.149999999</v>
      </c>
      <c r="G4682" s="1401">
        <f>SUM(G4648:G4681)</f>
        <v>70910048.209999993</v>
      </c>
      <c r="H4682" s="1401">
        <f>SUM(H4648:H4681)-H4681</f>
        <v>12917674.530000001</v>
      </c>
      <c r="I4682" s="1401">
        <f>SUM(I4648:I4681)-I4665</f>
        <v>67545924.349999994</v>
      </c>
      <c r="J4682" s="1401">
        <f>SUM(J4648:J4681)</f>
        <v>177699899.36000001</v>
      </c>
      <c r="K4682" s="1401">
        <f>SUM(F4682:I4682)</f>
        <v>173495460.23999998</v>
      </c>
      <c r="L4682" s="1408">
        <f>K4682/C4648</f>
        <v>11256.43678972296</v>
      </c>
    </row>
    <row r="4683" spans="2:12">
      <c r="B4683" s="1297" t="s">
        <v>1513</v>
      </c>
      <c r="C4683" s="1297">
        <v>1314</v>
      </c>
      <c r="D4683" s="1297" t="s">
        <v>1514</v>
      </c>
      <c r="E4683" s="1297" t="s">
        <v>906</v>
      </c>
      <c r="G4683" s="1399">
        <v>2073563.32</v>
      </c>
      <c r="J4683" s="1399">
        <v>2073563.32</v>
      </c>
    </row>
    <row r="4684" spans="2:12">
      <c r="B4684" s="1297"/>
      <c r="C4684" s="1297"/>
      <c r="D4684" s="1297"/>
      <c r="E4684" s="1297" t="s">
        <v>952</v>
      </c>
      <c r="G4684" s="1399">
        <v>15363.73</v>
      </c>
      <c r="J4684" s="1399">
        <v>15363.73</v>
      </c>
    </row>
    <row r="4685" spans="2:12">
      <c r="B4685" s="1297"/>
      <c r="C4685" s="1297"/>
      <c r="D4685" s="1297"/>
      <c r="E4685" s="1297" t="s">
        <v>907</v>
      </c>
      <c r="G4685" s="1399">
        <v>257748.6</v>
      </c>
      <c r="J4685" s="1399">
        <v>257748.6</v>
      </c>
    </row>
    <row r="4686" spans="2:12">
      <c r="B4686" s="1297"/>
      <c r="C4686" s="1297"/>
      <c r="D4686" s="1297"/>
      <c r="E4686" s="1297" t="s">
        <v>908</v>
      </c>
      <c r="G4686" s="1399">
        <v>11462.41</v>
      </c>
      <c r="J4686" s="1399">
        <v>11462.41</v>
      </c>
    </row>
    <row r="4687" spans="2:12">
      <c r="B4687" s="1297"/>
      <c r="C4687" s="1297"/>
      <c r="D4687" s="1297"/>
      <c r="E4687" s="1297" t="s">
        <v>909</v>
      </c>
      <c r="H4687" s="1399">
        <v>21174.03</v>
      </c>
      <c r="J4687" s="1399">
        <v>21174.03</v>
      </c>
    </row>
    <row r="4688" spans="2:12">
      <c r="B4688" s="1297"/>
      <c r="C4688" s="1297"/>
      <c r="D4688" s="1297"/>
      <c r="E4688" s="1297" t="s">
        <v>910</v>
      </c>
      <c r="H4688" s="1399">
        <v>5851</v>
      </c>
      <c r="J4688" s="1399">
        <v>5851</v>
      </c>
    </row>
    <row r="4689" spans="5:10" s="1297" customFormat="1">
      <c r="E4689" s="1297" t="s">
        <v>1034</v>
      </c>
      <c r="F4689" s="1399"/>
      <c r="G4689" s="1399"/>
      <c r="H4689" s="1399">
        <v>20159</v>
      </c>
      <c r="I4689" s="1399"/>
      <c r="J4689" s="1399">
        <v>20159</v>
      </c>
    </row>
    <row r="4690" spans="5:10" s="1297" customFormat="1">
      <c r="E4690" s="1297" t="s">
        <v>1035</v>
      </c>
      <c r="F4690" s="1399"/>
      <c r="G4690" s="1399"/>
      <c r="H4690" s="1399">
        <v>335745.08</v>
      </c>
      <c r="I4690" s="1399"/>
      <c r="J4690" s="1399">
        <v>335745.08</v>
      </c>
    </row>
    <row r="4691" spans="5:10" s="1297" customFormat="1">
      <c r="E4691" s="1297" t="s">
        <v>1036</v>
      </c>
      <c r="F4691" s="1399"/>
      <c r="G4691" s="1399"/>
      <c r="H4691" s="1399">
        <v>61743.02</v>
      </c>
      <c r="I4691" s="1399"/>
      <c r="J4691" s="1399">
        <v>61743.02</v>
      </c>
    </row>
    <row r="4692" spans="5:10" s="1297" customFormat="1">
      <c r="E4692" s="1297" t="s">
        <v>1037</v>
      </c>
      <c r="F4692" s="1399"/>
      <c r="G4692" s="1399"/>
      <c r="H4692" s="1399">
        <v>535290.79999999993</v>
      </c>
      <c r="I4692" s="1399"/>
      <c r="J4692" s="1399">
        <v>535290.79999999993</v>
      </c>
    </row>
    <row r="4693" spans="5:10" s="1297" customFormat="1">
      <c r="E4693" s="1297" t="s">
        <v>1039</v>
      </c>
      <c r="F4693" s="1399"/>
      <c r="G4693" s="1399"/>
      <c r="H4693" s="1399">
        <v>5622.369999999999</v>
      </c>
      <c r="I4693" s="1399"/>
      <c r="J4693" s="1399">
        <v>5622.369999999999</v>
      </c>
    </row>
    <row r="4694" spans="5:10" s="1297" customFormat="1">
      <c r="E4694" s="1297" t="s">
        <v>1040</v>
      </c>
      <c r="F4694" s="1399"/>
      <c r="G4694" s="1399"/>
      <c r="H4694" s="1399">
        <v>135425.54999999999</v>
      </c>
      <c r="I4694" s="1399"/>
      <c r="J4694" s="1399">
        <v>135425.54999999999</v>
      </c>
    </row>
    <row r="4695" spans="5:10" s="1297" customFormat="1">
      <c r="E4695" s="1297" t="s">
        <v>1041</v>
      </c>
      <c r="F4695" s="1399"/>
      <c r="G4695" s="1399"/>
      <c r="H4695" s="1399">
        <v>58082.55</v>
      </c>
      <c r="I4695" s="1399"/>
      <c r="J4695" s="1399">
        <v>58082.55</v>
      </c>
    </row>
    <row r="4696" spans="5:10" s="1297" customFormat="1">
      <c r="E4696" s="1297" t="s">
        <v>1042</v>
      </c>
      <c r="F4696" s="1399"/>
      <c r="G4696" s="1399"/>
      <c r="H4696" s="1399">
        <v>17484.5</v>
      </c>
      <c r="I4696" s="1399"/>
      <c r="J4696" s="1399">
        <v>17484.5</v>
      </c>
    </row>
    <row r="4697" spans="5:10" s="1297" customFormat="1">
      <c r="E4697" s="1297" t="s">
        <v>953</v>
      </c>
      <c r="F4697" s="1399"/>
      <c r="G4697" s="1399"/>
      <c r="H4697" s="1399">
        <v>1555</v>
      </c>
      <c r="I4697" s="1399"/>
      <c r="J4697" s="1399">
        <v>1555</v>
      </c>
    </row>
    <row r="4698" spans="5:10" s="1297" customFormat="1">
      <c r="E4698" s="1297" t="s">
        <v>1045</v>
      </c>
      <c r="F4698" s="1399"/>
      <c r="G4698" s="1399"/>
      <c r="H4698" s="1399">
        <v>19085.829999999998</v>
      </c>
      <c r="I4698" s="1399"/>
      <c r="J4698" s="1399">
        <v>19085.829999999998</v>
      </c>
    </row>
    <row r="4699" spans="5:10" s="1297" customFormat="1">
      <c r="E4699" s="1297" t="s">
        <v>1046</v>
      </c>
      <c r="F4699" s="1399"/>
      <c r="G4699" s="1399"/>
      <c r="H4699" s="1399"/>
      <c r="I4699" s="1399">
        <v>6414892</v>
      </c>
      <c r="J4699" s="1399">
        <v>6414892</v>
      </c>
    </row>
    <row r="4700" spans="5:10" s="1297" customFormat="1">
      <c r="E4700" s="1297" t="s">
        <v>1047</v>
      </c>
      <c r="F4700" s="1399"/>
      <c r="G4700" s="1399"/>
      <c r="H4700" s="1399"/>
      <c r="I4700" s="1399">
        <v>281173</v>
      </c>
      <c r="J4700" s="1399">
        <v>281173</v>
      </c>
    </row>
    <row r="4701" spans="5:10" s="1297" customFormat="1">
      <c r="E4701" s="1297" t="s">
        <v>1048</v>
      </c>
      <c r="F4701" s="1399"/>
      <c r="G4701" s="1399"/>
      <c r="H4701" s="1399"/>
      <c r="I4701" s="1399">
        <v>-574189</v>
      </c>
      <c r="J4701" s="1399">
        <v>-574189</v>
      </c>
    </row>
    <row r="4702" spans="5:10" s="1297" customFormat="1">
      <c r="E4702" s="1297" t="s">
        <v>932</v>
      </c>
      <c r="F4702" s="1399"/>
      <c r="G4702" s="1399"/>
      <c r="H4702" s="1399"/>
      <c r="I4702" s="1399">
        <v>465006</v>
      </c>
      <c r="J4702" s="1399">
        <v>465006</v>
      </c>
    </row>
    <row r="4703" spans="5:10" s="1297" customFormat="1">
      <c r="E4703" s="1297" t="s">
        <v>933</v>
      </c>
      <c r="F4703" s="1399"/>
      <c r="G4703" s="1399"/>
      <c r="H4703" s="1399"/>
      <c r="I4703" s="1399">
        <v>427052</v>
      </c>
      <c r="J4703" s="1399">
        <v>427052</v>
      </c>
    </row>
    <row r="4704" spans="5:10" s="1297" customFormat="1">
      <c r="E4704" s="1297" t="s">
        <v>934</v>
      </c>
      <c r="F4704" s="1399"/>
      <c r="G4704" s="1399"/>
      <c r="H4704" s="1399"/>
      <c r="I4704" s="1399">
        <v>22172</v>
      </c>
      <c r="J4704" s="1399">
        <v>22172</v>
      </c>
    </row>
    <row r="4705" spans="2:12">
      <c r="B4705" s="1297"/>
      <c r="C4705" s="1297"/>
      <c r="D4705" s="1297"/>
      <c r="E4705" s="1297" t="s">
        <v>935</v>
      </c>
      <c r="I4705" s="1399">
        <v>27905.16</v>
      </c>
      <c r="J4705" s="1399">
        <v>27905.16</v>
      </c>
    </row>
    <row r="4706" spans="2:12">
      <c r="B4706" s="1297"/>
      <c r="C4706" s="1297"/>
      <c r="D4706" s="1297"/>
      <c r="E4706" s="1297" t="s">
        <v>936</v>
      </c>
      <c r="I4706" s="1399">
        <v>17157.38</v>
      </c>
      <c r="J4706" s="1399">
        <v>17157.38</v>
      </c>
    </row>
    <row r="4707" spans="2:12">
      <c r="B4707" s="1297"/>
      <c r="C4707" s="1297"/>
      <c r="D4707" s="1297"/>
      <c r="E4707" s="1297" t="s">
        <v>938</v>
      </c>
      <c r="I4707" s="1399">
        <v>4866</v>
      </c>
      <c r="J4707" s="1399">
        <v>4866</v>
      </c>
    </row>
    <row r="4708" spans="2:12">
      <c r="B4708" s="1297"/>
      <c r="C4708" s="1297"/>
      <c r="D4708" s="1297"/>
      <c r="E4708" s="1297" t="s">
        <v>939</v>
      </c>
      <c r="I4708" s="1399">
        <v>4007.1099999999997</v>
      </c>
      <c r="J4708" s="1399">
        <v>4007.1099999999997</v>
      </c>
    </row>
    <row r="4709" spans="2:12">
      <c r="B4709" s="1297"/>
      <c r="C4709" s="1297"/>
      <c r="D4709" s="1297"/>
      <c r="E4709" s="1297" t="s">
        <v>940</v>
      </c>
      <c r="F4709" s="1399">
        <v>320493.80000000005</v>
      </c>
      <c r="J4709" s="1399">
        <v>320493.80000000005</v>
      </c>
    </row>
    <row r="4710" spans="2:12">
      <c r="B4710" s="1297"/>
      <c r="C4710" s="1297"/>
      <c r="D4710" s="1297"/>
      <c r="E4710" s="1297" t="s">
        <v>941</v>
      </c>
      <c r="F4710" s="1399">
        <v>122588.4</v>
      </c>
      <c r="J4710" s="1399">
        <v>122588.4</v>
      </c>
    </row>
    <row r="4711" spans="2:12">
      <c r="B4711" s="1297"/>
      <c r="C4711" s="1297"/>
      <c r="D4711" s="1297"/>
      <c r="E4711" s="1297" t="s">
        <v>943</v>
      </c>
      <c r="F4711" s="1399">
        <v>251.99</v>
      </c>
      <c r="J4711" s="1399">
        <v>251.99</v>
      </c>
    </row>
    <row r="4712" spans="2:12">
      <c r="B4712" s="1297"/>
      <c r="C4712" s="1297"/>
      <c r="D4712" s="1297"/>
      <c r="E4712" s="1297" t="s">
        <v>944</v>
      </c>
      <c r="F4712" s="1399">
        <v>559301.81000000006</v>
      </c>
      <c r="J4712" s="1399">
        <v>559301.81000000006</v>
      </c>
    </row>
    <row r="4713" spans="2:12">
      <c r="B4713" s="1297"/>
      <c r="C4713" s="1297"/>
      <c r="D4713" s="1297"/>
      <c r="E4713" s="1297" t="s">
        <v>945</v>
      </c>
      <c r="F4713" s="1399">
        <v>622681.46</v>
      </c>
      <c r="J4713" s="1399">
        <v>622681.46</v>
      </c>
    </row>
    <row r="4714" spans="2:12">
      <c r="B4714" s="1297"/>
      <c r="C4714" s="1297"/>
      <c r="D4714" s="1297"/>
      <c r="E4714" s="1297" t="s">
        <v>947</v>
      </c>
      <c r="F4714" s="1399">
        <v>52186.45</v>
      </c>
      <c r="J4714" s="1399">
        <v>52186.45</v>
      </c>
    </row>
    <row r="4715" spans="2:12">
      <c r="B4715" s="1297"/>
      <c r="C4715" s="1297"/>
      <c r="D4715" s="1297"/>
      <c r="E4715" s="1404" t="s">
        <v>948</v>
      </c>
      <c r="F4715" s="1405"/>
      <c r="G4715" s="1405"/>
      <c r="H4715" s="1405">
        <v>180086</v>
      </c>
      <c r="I4715" s="1405"/>
      <c r="J4715" s="1405">
        <v>180086</v>
      </c>
    </row>
    <row r="4716" spans="2:12">
      <c r="B4716" s="1297"/>
      <c r="C4716" s="1297"/>
      <c r="D4716" s="1297"/>
      <c r="E4716" s="1297" t="s">
        <v>1118</v>
      </c>
      <c r="H4716" s="1399">
        <v>26466.75</v>
      </c>
      <c r="J4716" s="1399">
        <v>26466.75</v>
      </c>
    </row>
    <row r="4717" spans="2:12">
      <c r="B4717" s="1297"/>
      <c r="C4717" s="1297"/>
      <c r="D4717" s="1400" t="s">
        <v>1515</v>
      </c>
      <c r="E4717" s="1400"/>
      <c r="F4717" s="1401">
        <f>SUM(F4683:F4716)</f>
        <v>1677503.91</v>
      </c>
      <c r="G4717" s="1401">
        <f>SUM(G4683:G4716)</f>
        <v>2358138.06</v>
      </c>
      <c r="H4717" s="1401">
        <f>SUM(H4683:H4716)-H4715</f>
        <v>1243685.48</v>
      </c>
      <c r="I4717" s="1401">
        <f>SUM(I4683:I4716)</f>
        <v>7090041.6500000004</v>
      </c>
      <c r="J4717" s="1401">
        <f>SUM(J4683:J4716)</f>
        <v>12549455.100000001</v>
      </c>
      <c r="K4717" s="1401">
        <f>SUM(F4717:I4717)</f>
        <v>12369369.1</v>
      </c>
      <c r="L4717" s="1408">
        <f>K4717/C4683</f>
        <v>9413.5229071537287</v>
      </c>
    </row>
    <row r="4718" spans="2:12">
      <c r="B4718" s="1297" t="s">
        <v>1516</v>
      </c>
      <c r="C4718" s="1297">
        <v>2397</v>
      </c>
      <c r="D4718" s="1297" t="s">
        <v>1324</v>
      </c>
      <c r="E4718" s="1297" t="s">
        <v>906</v>
      </c>
      <c r="G4718" s="1399">
        <v>5047032.55</v>
      </c>
      <c r="J4718" s="1399">
        <v>5047032.55</v>
      </c>
    </row>
    <row r="4719" spans="2:12">
      <c r="B4719" s="1297"/>
      <c r="C4719" s="1297"/>
      <c r="D4719" s="1297"/>
      <c r="E4719" s="1297" t="s">
        <v>952</v>
      </c>
      <c r="G4719" s="1399">
        <v>22158.17</v>
      </c>
      <c r="J4719" s="1399">
        <v>22158.17</v>
      </c>
    </row>
    <row r="4720" spans="2:12">
      <c r="B4720" s="1297"/>
      <c r="C4720" s="1297"/>
      <c r="D4720" s="1297"/>
      <c r="E4720" s="1297" t="s">
        <v>907</v>
      </c>
      <c r="G4720" s="1399">
        <v>1436585.18</v>
      </c>
      <c r="J4720" s="1399">
        <v>1436585.18</v>
      </c>
    </row>
    <row r="4721" spans="5:10" s="1297" customFormat="1">
      <c r="E4721" s="1297" t="s">
        <v>908</v>
      </c>
      <c r="F4721" s="1399"/>
      <c r="G4721" s="1399">
        <v>26320.46</v>
      </c>
      <c r="H4721" s="1399"/>
      <c r="I4721" s="1399"/>
      <c r="J4721" s="1399">
        <v>26320.46</v>
      </c>
    </row>
    <row r="4722" spans="5:10" s="1297" customFormat="1">
      <c r="E4722" s="1297" t="s">
        <v>1122</v>
      </c>
      <c r="F4722" s="1399"/>
      <c r="G4722" s="1399"/>
      <c r="H4722" s="1399">
        <v>-3275</v>
      </c>
      <c r="I4722" s="1399"/>
      <c r="J4722" s="1399">
        <v>-3275</v>
      </c>
    </row>
    <row r="4723" spans="5:10" s="1297" customFormat="1">
      <c r="E4723" s="1297" t="s">
        <v>909</v>
      </c>
      <c r="F4723" s="1399"/>
      <c r="G4723" s="1399"/>
      <c r="H4723" s="1399">
        <v>17262.239999999998</v>
      </c>
      <c r="I4723" s="1399"/>
      <c r="J4723" s="1399">
        <v>17262.239999999998</v>
      </c>
    </row>
    <row r="4724" spans="5:10" s="1297" customFormat="1">
      <c r="E4724" s="1297" t="s">
        <v>910</v>
      </c>
      <c r="F4724" s="1399"/>
      <c r="G4724" s="1399"/>
      <c r="H4724" s="1399">
        <v>63719.77</v>
      </c>
      <c r="I4724" s="1399"/>
      <c r="J4724" s="1399">
        <v>63719.77</v>
      </c>
    </row>
    <row r="4725" spans="5:10" s="1297" customFormat="1">
      <c r="E4725" s="1297" t="s">
        <v>1034</v>
      </c>
      <c r="F4725" s="1399"/>
      <c r="G4725" s="1399"/>
      <c r="H4725" s="1399">
        <v>88054.07</v>
      </c>
      <c r="I4725" s="1399"/>
      <c r="J4725" s="1399">
        <v>88054.07</v>
      </c>
    </row>
    <row r="4726" spans="5:10" s="1297" customFormat="1">
      <c r="E4726" s="1297" t="s">
        <v>1035</v>
      </c>
      <c r="F4726" s="1399"/>
      <c r="G4726" s="1399"/>
      <c r="H4726" s="1399">
        <v>188395.06</v>
      </c>
      <c r="I4726" s="1399"/>
      <c r="J4726" s="1399">
        <v>188395.06</v>
      </c>
    </row>
    <row r="4727" spans="5:10" s="1297" customFormat="1">
      <c r="E4727" s="1297" t="s">
        <v>1036</v>
      </c>
      <c r="F4727" s="1399"/>
      <c r="G4727" s="1399"/>
      <c r="H4727" s="1399">
        <v>61353.16</v>
      </c>
      <c r="I4727" s="1399"/>
      <c r="J4727" s="1399">
        <v>61353.16</v>
      </c>
    </row>
    <row r="4728" spans="5:10" s="1297" customFormat="1">
      <c r="E4728" s="1297" t="s">
        <v>1003</v>
      </c>
      <c r="F4728" s="1399"/>
      <c r="G4728" s="1399"/>
      <c r="H4728" s="1399">
        <v>21929.75</v>
      </c>
      <c r="I4728" s="1399"/>
      <c r="J4728" s="1399">
        <v>21929.75</v>
      </c>
    </row>
    <row r="4729" spans="5:10" s="1297" customFormat="1">
      <c r="E4729" s="1297" t="s">
        <v>1039</v>
      </c>
      <c r="F4729" s="1399"/>
      <c r="G4729" s="1399"/>
      <c r="H4729" s="1399">
        <v>31053.600000000002</v>
      </c>
      <c r="I4729" s="1399"/>
      <c r="J4729" s="1399">
        <v>31053.600000000002</v>
      </c>
    </row>
    <row r="4730" spans="5:10" s="1297" customFormat="1">
      <c r="E4730" s="1297" t="s">
        <v>1041</v>
      </c>
      <c r="F4730" s="1399"/>
      <c r="G4730" s="1399"/>
      <c r="H4730" s="1399">
        <v>205.25</v>
      </c>
      <c r="I4730" s="1399"/>
      <c r="J4730" s="1399">
        <v>205.25</v>
      </c>
    </row>
    <row r="4731" spans="5:10" s="1297" customFormat="1">
      <c r="E4731" s="1297" t="s">
        <v>1042</v>
      </c>
      <c r="F4731" s="1399"/>
      <c r="G4731" s="1399"/>
      <c r="H4731" s="1399">
        <v>33951.199999999997</v>
      </c>
      <c r="I4731" s="1399"/>
      <c r="J4731" s="1399">
        <v>33951.199999999997</v>
      </c>
    </row>
    <row r="4732" spans="5:10" s="1297" customFormat="1">
      <c r="E4732" s="1297" t="s">
        <v>985</v>
      </c>
      <c r="F4732" s="1399"/>
      <c r="G4732" s="1399"/>
      <c r="H4732" s="1399">
        <v>30818</v>
      </c>
      <c r="I4732" s="1399"/>
      <c r="J4732" s="1399">
        <v>30818</v>
      </c>
    </row>
    <row r="4733" spans="5:10" s="1297" customFormat="1">
      <c r="E4733" s="1297" t="s">
        <v>1045</v>
      </c>
      <c r="F4733" s="1399"/>
      <c r="G4733" s="1399"/>
      <c r="H4733" s="1399">
        <v>605699.55000000005</v>
      </c>
      <c r="I4733" s="1399"/>
      <c r="J4733" s="1399">
        <v>605699.55000000005</v>
      </c>
    </row>
    <row r="4734" spans="5:10" s="1297" customFormat="1">
      <c r="E4734" s="1297" t="s">
        <v>1046</v>
      </c>
      <c r="F4734" s="1399"/>
      <c r="G4734" s="1399"/>
      <c r="H4734" s="1399"/>
      <c r="I4734" s="1399">
        <v>14142214</v>
      </c>
      <c r="J4734" s="1399">
        <v>14142214</v>
      </c>
    </row>
    <row r="4735" spans="5:10" s="1297" customFormat="1">
      <c r="E4735" s="1297" t="s">
        <v>1129</v>
      </c>
      <c r="F4735" s="1399"/>
      <c r="G4735" s="1399"/>
      <c r="H4735" s="1399"/>
      <c r="I4735" s="1399">
        <v>-1908604</v>
      </c>
      <c r="J4735" s="1399">
        <v>-1908604</v>
      </c>
    </row>
    <row r="4736" spans="5:10" s="1297" customFormat="1">
      <c r="E4736" s="1297" t="s">
        <v>1047</v>
      </c>
      <c r="F4736" s="1399"/>
      <c r="G4736" s="1399"/>
      <c r="H4736" s="1399"/>
      <c r="I4736" s="1399">
        <v>653389</v>
      </c>
      <c r="J4736" s="1399">
        <v>653389</v>
      </c>
    </row>
    <row r="4737" spans="2:12">
      <c r="B4737" s="1297"/>
      <c r="C4737" s="1297"/>
      <c r="D4737" s="1297"/>
      <c r="E4737" s="1297" t="s">
        <v>1048</v>
      </c>
      <c r="I4737" s="1399">
        <v>-1715358</v>
      </c>
      <c r="J4737" s="1399">
        <v>-1715358</v>
      </c>
    </row>
    <row r="4738" spans="2:12">
      <c r="B4738" s="1297"/>
      <c r="C4738" s="1297"/>
      <c r="D4738" s="1297"/>
      <c r="E4738" s="1297" t="s">
        <v>932</v>
      </c>
      <c r="I4738" s="1399">
        <v>1107023</v>
      </c>
      <c r="J4738" s="1399">
        <v>1107023</v>
      </c>
    </row>
    <row r="4739" spans="2:12">
      <c r="B4739" s="1297"/>
      <c r="C4739" s="1297"/>
      <c r="D4739" s="1297"/>
      <c r="E4739" s="1404" t="s">
        <v>955</v>
      </c>
      <c r="F4739" s="1405"/>
      <c r="G4739" s="1405"/>
      <c r="H4739" s="1405"/>
      <c r="I4739" s="1405">
        <v>472715.86</v>
      </c>
      <c r="J4739" s="1405">
        <v>472715.86</v>
      </c>
    </row>
    <row r="4740" spans="2:12">
      <c r="B4740" s="1297"/>
      <c r="C4740" s="1297"/>
      <c r="D4740" s="1297"/>
      <c r="E4740" s="1297" t="s">
        <v>934</v>
      </c>
      <c r="I4740" s="1399">
        <v>42788</v>
      </c>
      <c r="J4740" s="1399">
        <v>42788</v>
      </c>
    </row>
    <row r="4741" spans="2:12">
      <c r="B4741" s="1297"/>
      <c r="C4741" s="1297"/>
      <c r="D4741" s="1297"/>
      <c r="E4741" s="1297" t="s">
        <v>935</v>
      </c>
      <c r="I4741" s="1399">
        <v>372815.98</v>
      </c>
      <c r="J4741" s="1399">
        <v>372815.98</v>
      </c>
    </row>
    <row r="4742" spans="2:12">
      <c r="B4742" s="1297"/>
      <c r="C4742" s="1297"/>
      <c r="D4742" s="1297"/>
      <c r="E4742" s="1297" t="s">
        <v>936</v>
      </c>
      <c r="I4742" s="1399">
        <v>37115.96</v>
      </c>
      <c r="J4742" s="1399">
        <v>37115.96</v>
      </c>
    </row>
    <row r="4743" spans="2:12">
      <c r="B4743" s="1297"/>
      <c r="C4743" s="1297"/>
      <c r="D4743" s="1297"/>
      <c r="E4743" s="1297" t="s">
        <v>938</v>
      </c>
      <c r="I4743" s="1399">
        <v>14973.01</v>
      </c>
      <c r="J4743" s="1399">
        <v>14973.01</v>
      </c>
    </row>
    <row r="4744" spans="2:12">
      <c r="B4744" s="1297"/>
      <c r="C4744" s="1297"/>
      <c r="D4744" s="1297"/>
      <c r="E4744" s="1297" t="s">
        <v>939</v>
      </c>
      <c r="I4744" s="1399">
        <v>49238.93</v>
      </c>
      <c r="J4744" s="1399">
        <v>49238.93</v>
      </c>
    </row>
    <row r="4745" spans="2:12">
      <c r="B4745" s="1297"/>
      <c r="C4745" s="1297"/>
      <c r="D4745" s="1297"/>
      <c r="E4745" s="1297" t="s">
        <v>940</v>
      </c>
      <c r="F4745" s="1399">
        <v>772991.62</v>
      </c>
      <c r="J4745" s="1399">
        <v>772991.62</v>
      </c>
    </row>
    <row r="4746" spans="2:12">
      <c r="B4746" s="1297"/>
      <c r="C4746" s="1297"/>
      <c r="D4746" s="1297"/>
      <c r="E4746" s="1297" t="s">
        <v>941</v>
      </c>
      <c r="F4746" s="1399">
        <v>502036.83999999997</v>
      </c>
      <c r="J4746" s="1399">
        <v>502036.83999999997</v>
      </c>
    </row>
    <row r="4747" spans="2:12">
      <c r="B4747" s="1297"/>
      <c r="C4747" s="1297"/>
      <c r="D4747" s="1297"/>
      <c r="E4747" s="1297" t="s">
        <v>944</v>
      </c>
      <c r="F4747" s="1399">
        <v>2103989.1799999997</v>
      </c>
      <c r="J4747" s="1399">
        <v>2103989.1799999997</v>
      </c>
    </row>
    <row r="4748" spans="2:12">
      <c r="B4748" s="1297"/>
      <c r="C4748" s="1297"/>
      <c r="D4748" s="1297"/>
      <c r="E4748" s="1297" t="s">
        <v>945</v>
      </c>
      <c r="F4748" s="1399">
        <v>1098071.4099999999</v>
      </c>
      <c r="J4748" s="1399">
        <v>1098071.4099999999</v>
      </c>
    </row>
    <row r="4749" spans="2:12">
      <c r="B4749" s="1297"/>
      <c r="C4749" s="1297"/>
      <c r="D4749" s="1297"/>
      <c r="E4749" s="1297" t="s">
        <v>947</v>
      </c>
      <c r="F4749" s="1399">
        <v>98150.05</v>
      </c>
      <c r="J4749" s="1399">
        <v>98150.05</v>
      </c>
    </row>
    <row r="4750" spans="2:12">
      <c r="B4750" s="1297"/>
      <c r="C4750" s="1297"/>
      <c r="D4750" s="1297"/>
      <c r="E4750" s="1404" t="s">
        <v>948</v>
      </c>
      <c r="F4750" s="1405"/>
      <c r="G4750" s="1405"/>
      <c r="H4750" s="1405">
        <v>326260</v>
      </c>
      <c r="I4750" s="1405"/>
      <c r="J4750" s="1405">
        <v>326260</v>
      </c>
    </row>
    <row r="4751" spans="2:12">
      <c r="B4751" s="1297"/>
      <c r="C4751" s="1297"/>
      <c r="D4751" s="1297"/>
      <c r="E4751" s="1297" t="s">
        <v>1118</v>
      </c>
      <c r="H4751" s="1399">
        <v>4493.74</v>
      </c>
      <c r="J4751" s="1399">
        <v>4493.74</v>
      </c>
    </row>
    <row r="4752" spans="2:12">
      <c r="B4752" s="1297"/>
      <c r="C4752" s="1297"/>
      <c r="D4752" s="1400" t="s">
        <v>1325</v>
      </c>
      <c r="E4752" s="1400"/>
      <c r="F4752" s="1401">
        <f>SUM(F4718:F4751)</f>
        <v>4575239.0999999996</v>
      </c>
      <c r="G4752" s="1401">
        <f>SUM(G4718:G4751)</f>
        <v>6532096.3599999994</v>
      </c>
      <c r="H4752" s="1401">
        <f>SUM(H4718:H4751)-H4750</f>
        <v>1143660.3900000001</v>
      </c>
      <c r="I4752" s="1401">
        <f>SUM(I4718:I4751)-I4739</f>
        <v>12795595.880000001</v>
      </c>
      <c r="J4752" s="1401">
        <f>SUM(J4718:J4751)</f>
        <v>25845567.59</v>
      </c>
      <c r="K4752" s="1401">
        <f>SUM(F4752:I4752)</f>
        <v>25046591.73</v>
      </c>
      <c r="L4752" s="1408">
        <f>K4752/C4718</f>
        <v>10449.141314142678</v>
      </c>
    </row>
    <row r="4753" spans="2:10" s="1297" customFormat="1">
      <c r="B4753" s="1297" t="s">
        <v>1326</v>
      </c>
      <c r="C4753" s="1297">
        <v>1544</v>
      </c>
      <c r="D4753" s="1297" t="s">
        <v>1327</v>
      </c>
      <c r="E4753" s="1297" t="s">
        <v>906</v>
      </c>
      <c r="F4753" s="1399"/>
      <c r="G4753" s="1399">
        <v>3916094.25</v>
      </c>
      <c r="H4753" s="1399"/>
      <c r="I4753" s="1399"/>
      <c r="J4753" s="1399">
        <v>3916094.25</v>
      </c>
    </row>
    <row r="4754" spans="2:10" s="1297" customFormat="1">
      <c r="E4754" s="1297" t="s">
        <v>952</v>
      </c>
      <c r="F4754" s="1399"/>
      <c r="G4754" s="1399">
        <v>20569.599999999999</v>
      </c>
      <c r="H4754" s="1399"/>
      <c r="I4754" s="1399"/>
      <c r="J4754" s="1399">
        <v>20569.599999999999</v>
      </c>
    </row>
    <row r="4755" spans="2:10" s="1297" customFormat="1">
      <c r="E4755" s="1297" t="s">
        <v>907</v>
      </c>
      <c r="F4755" s="1399"/>
      <c r="G4755" s="1399">
        <v>1199668.6100000001</v>
      </c>
      <c r="H4755" s="1399"/>
      <c r="I4755" s="1399"/>
      <c r="J4755" s="1399">
        <v>1199668.6100000001</v>
      </c>
    </row>
    <row r="4756" spans="2:10" s="1297" customFormat="1">
      <c r="E4756" s="1297" t="s">
        <v>908</v>
      </c>
      <c r="F4756" s="1399"/>
      <c r="G4756" s="1399">
        <v>206294.72</v>
      </c>
      <c r="H4756" s="1399"/>
      <c r="I4756" s="1399"/>
      <c r="J4756" s="1399">
        <v>206294.72</v>
      </c>
    </row>
    <row r="4757" spans="2:10" s="1297" customFormat="1">
      <c r="E4757" s="1297" t="s">
        <v>1034</v>
      </c>
      <c r="F4757" s="1399"/>
      <c r="G4757" s="1399"/>
      <c r="H4757" s="1399">
        <v>14063.43</v>
      </c>
      <c r="I4757" s="1399"/>
      <c r="J4757" s="1399">
        <v>14063.43</v>
      </c>
    </row>
    <row r="4758" spans="2:10" s="1297" customFormat="1">
      <c r="E4758" s="1297" t="s">
        <v>1038</v>
      </c>
      <c r="F4758" s="1399"/>
      <c r="G4758" s="1399"/>
      <c r="H4758" s="1399">
        <v>24000</v>
      </c>
      <c r="I4758" s="1399"/>
      <c r="J4758" s="1399">
        <v>24000</v>
      </c>
    </row>
    <row r="4759" spans="2:10" s="1297" customFormat="1">
      <c r="E4759" s="1297" t="s">
        <v>1003</v>
      </c>
      <c r="F4759" s="1399"/>
      <c r="G4759" s="1399"/>
      <c r="H4759" s="1399">
        <v>1401.26</v>
      </c>
      <c r="I4759" s="1399"/>
      <c r="J4759" s="1399">
        <v>1401.26</v>
      </c>
    </row>
    <row r="4760" spans="2:10" s="1297" customFormat="1">
      <c r="E4760" s="1297" t="s">
        <v>1039</v>
      </c>
      <c r="F4760" s="1399"/>
      <c r="G4760" s="1399"/>
      <c r="H4760" s="1399">
        <v>62178.69</v>
      </c>
      <c r="I4760" s="1399"/>
      <c r="J4760" s="1399">
        <v>62178.69</v>
      </c>
    </row>
    <row r="4761" spans="2:10" s="1297" customFormat="1">
      <c r="E4761" s="1297" t="s">
        <v>1040</v>
      </c>
      <c r="F4761" s="1399"/>
      <c r="G4761" s="1399"/>
      <c r="H4761" s="1399">
        <v>73415.58</v>
      </c>
      <c r="I4761" s="1399"/>
      <c r="J4761" s="1399">
        <v>73415.58</v>
      </c>
    </row>
    <row r="4762" spans="2:10" s="1297" customFormat="1">
      <c r="E4762" s="1297" t="s">
        <v>1041</v>
      </c>
      <c r="F4762" s="1399"/>
      <c r="G4762" s="1399"/>
      <c r="H4762" s="1399">
        <v>4965.26</v>
      </c>
      <c r="I4762" s="1399"/>
      <c r="J4762" s="1399">
        <v>4965.26</v>
      </c>
    </row>
    <row r="4763" spans="2:10" s="1297" customFormat="1">
      <c r="E4763" s="1297" t="s">
        <v>1042</v>
      </c>
      <c r="F4763" s="1399"/>
      <c r="G4763" s="1399"/>
      <c r="H4763" s="1399">
        <v>31330.82</v>
      </c>
      <c r="I4763" s="1399"/>
      <c r="J4763" s="1399">
        <v>31330.82</v>
      </c>
    </row>
    <row r="4764" spans="2:10" s="1297" customFormat="1">
      <c r="E4764" s="1297" t="s">
        <v>954</v>
      </c>
      <c r="F4764" s="1399"/>
      <c r="G4764" s="1399"/>
      <c r="H4764" s="1399">
        <v>489619.54</v>
      </c>
      <c r="I4764" s="1399"/>
      <c r="J4764" s="1399">
        <v>489619.54</v>
      </c>
    </row>
    <row r="4765" spans="2:10" s="1297" customFormat="1">
      <c r="E4765" s="1297" t="s">
        <v>986</v>
      </c>
      <c r="F4765" s="1399"/>
      <c r="G4765" s="1399"/>
      <c r="H4765" s="1399">
        <v>9143.48</v>
      </c>
      <c r="I4765" s="1399"/>
      <c r="J4765" s="1399">
        <v>9143.48</v>
      </c>
    </row>
    <row r="4766" spans="2:10" s="1297" customFormat="1">
      <c r="E4766" s="1297" t="s">
        <v>1044</v>
      </c>
      <c r="F4766" s="1399">
        <v>17235</v>
      </c>
      <c r="G4766" s="1399"/>
      <c r="H4766" s="1399"/>
      <c r="I4766" s="1399"/>
      <c r="J4766" s="1399">
        <v>17235</v>
      </c>
    </row>
    <row r="4767" spans="2:10" s="1297" customFormat="1">
      <c r="E4767" s="1297" t="s">
        <v>1045</v>
      </c>
      <c r="F4767" s="1399"/>
      <c r="G4767" s="1399"/>
      <c r="H4767" s="1399">
        <v>45573.9</v>
      </c>
      <c r="I4767" s="1399"/>
      <c r="J4767" s="1399">
        <v>45573.9</v>
      </c>
    </row>
    <row r="4768" spans="2:10" s="1297" customFormat="1">
      <c r="E4768" s="1297" t="s">
        <v>1046</v>
      </c>
      <c r="F4768" s="1399"/>
      <c r="G4768" s="1399"/>
      <c r="H4768" s="1399"/>
      <c r="I4768" s="1399">
        <v>8310985</v>
      </c>
      <c r="J4768" s="1399">
        <v>8310985</v>
      </c>
    </row>
    <row r="4769" spans="5:10" s="1297" customFormat="1">
      <c r="E4769" s="1297" t="s">
        <v>1128</v>
      </c>
      <c r="F4769" s="1399"/>
      <c r="G4769" s="1399"/>
      <c r="H4769" s="1399"/>
      <c r="I4769" s="1399">
        <v>654642</v>
      </c>
      <c r="J4769" s="1399">
        <v>654642</v>
      </c>
    </row>
    <row r="4770" spans="5:10" s="1297" customFormat="1">
      <c r="E4770" s="1297" t="s">
        <v>1129</v>
      </c>
      <c r="F4770" s="1399"/>
      <c r="G4770" s="1399"/>
      <c r="H4770" s="1399"/>
      <c r="I4770" s="1399">
        <v>-1167734</v>
      </c>
      <c r="J4770" s="1399">
        <v>-1167734</v>
      </c>
    </row>
    <row r="4771" spans="5:10" s="1297" customFormat="1">
      <c r="E4771" s="1297" t="s">
        <v>1047</v>
      </c>
      <c r="F4771" s="1399"/>
      <c r="G4771" s="1399"/>
      <c r="H4771" s="1399"/>
      <c r="I4771" s="1399">
        <v>351993</v>
      </c>
      <c r="J4771" s="1399">
        <v>351993</v>
      </c>
    </row>
    <row r="4772" spans="5:10" s="1297" customFormat="1">
      <c r="E4772" s="1297" t="s">
        <v>1048</v>
      </c>
      <c r="F4772" s="1399"/>
      <c r="G4772" s="1399"/>
      <c r="H4772" s="1399"/>
      <c r="I4772" s="1399">
        <v>-1140262</v>
      </c>
      <c r="J4772" s="1399">
        <v>-1140262</v>
      </c>
    </row>
    <row r="4773" spans="5:10" s="1297" customFormat="1">
      <c r="E4773" s="1297" t="s">
        <v>932</v>
      </c>
      <c r="F4773" s="1399"/>
      <c r="G4773" s="1399"/>
      <c r="H4773" s="1399"/>
      <c r="I4773" s="1399">
        <v>464091</v>
      </c>
      <c r="J4773" s="1399">
        <v>464091</v>
      </c>
    </row>
    <row r="4774" spans="5:10" s="1297" customFormat="1">
      <c r="E4774" s="1404" t="s">
        <v>955</v>
      </c>
      <c r="F4774" s="1405"/>
      <c r="G4774" s="1405"/>
      <c r="H4774" s="1405"/>
      <c r="I4774" s="1405">
        <v>313095.26</v>
      </c>
      <c r="J4774" s="1405">
        <v>313095.26</v>
      </c>
    </row>
    <row r="4775" spans="5:10" s="1297" customFormat="1">
      <c r="E4775" s="1297" t="s">
        <v>934</v>
      </c>
      <c r="F4775" s="1399"/>
      <c r="G4775" s="1399"/>
      <c r="H4775" s="1399"/>
      <c r="I4775" s="1399">
        <v>29396</v>
      </c>
      <c r="J4775" s="1399">
        <v>29396</v>
      </c>
    </row>
    <row r="4776" spans="5:10" s="1297" customFormat="1">
      <c r="E4776" s="1297" t="s">
        <v>935</v>
      </c>
      <c r="F4776" s="1399"/>
      <c r="G4776" s="1399"/>
      <c r="H4776" s="1399"/>
      <c r="I4776" s="1399">
        <v>289066.95</v>
      </c>
      <c r="J4776" s="1399">
        <v>289066.95</v>
      </c>
    </row>
    <row r="4777" spans="5:10" s="1297" customFormat="1">
      <c r="E4777" s="1297" t="s">
        <v>936</v>
      </c>
      <c r="F4777" s="1399"/>
      <c r="G4777" s="1399"/>
      <c r="H4777" s="1399"/>
      <c r="I4777" s="1399">
        <v>30813.25</v>
      </c>
      <c r="J4777" s="1399">
        <v>30813.25</v>
      </c>
    </row>
    <row r="4778" spans="5:10" s="1297" customFormat="1">
      <c r="E4778" s="1297" t="s">
        <v>937</v>
      </c>
      <c r="F4778" s="1399"/>
      <c r="G4778" s="1399"/>
      <c r="H4778" s="1399"/>
      <c r="I4778" s="1399">
        <v>13358.89</v>
      </c>
      <c r="J4778" s="1399">
        <v>13358.89</v>
      </c>
    </row>
    <row r="4779" spans="5:10" s="1297" customFormat="1">
      <c r="E4779" s="1297" t="s">
        <v>938</v>
      </c>
      <c r="F4779" s="1399"/>
      <c r="G4779" s="1399"/>
      <c r="H4779" s="1399"/>
      <c r="I4779" s="1399">
        <v>8984</v>
      </c>
      <c r="J4779" s="1399">
        <v>8984</v>
      </c>
    </row>
    <row r="4780" spans="5:10" s="1297" customFormat="1">
      <c r="E4780" s="1297" t="s">
        <v>940</v>
      </c>
      <c r="F4780" s="1399">
        <v>557928.34</v>
      </c>
      <c r="G4780" s="1399"/>
      <c r="H4780" s="1399"/>
      <c r="I4780" s="1399"/>
      <c r="J4780" s="1399">
        <v>557928.34</v>
      </c>
    </row>
    <row r="4781" spans="5:10" s="1297" customFormat="1">
      <c r="E4781" s="1297" t="s">
        <v>941</v>
      </c>
      <c r="F4781" s="1399">
        <v>248590.4</v>
      </c>
      <c r="G4781" s="1399"/>
      <c r="H4781" s="1399"/>
      <c r="I4781" s="1399"/>
      <c r="J4781" s="1399">
        <v>248590.4</v>
      </c>
    </row>
    <row r="4782" spans="5:10" s="1297" customFormat="1">
      <c r="E4782" s="1297" t="s">
        <v>943</v>
      </c>
      <c r="F4782" s="1399">
        <v>2678.8</v>
      </c>
      <c r="G4782" s="1399"/>
      <c r="H4782" s="1399"/>
      <c r="I4782" s="1399"/>
      <c r="J4782" s="1399">
        <v>2678.8</v>
      </c>
    </row>
    <row r="4783" spans="5:10" s="1297" customFormat="1">
      <c r="E4783" s="1297" t="s">
        <v>944</v>
      </c>
      <c r="F4783" s="1399">
        <v>1635041.7200000002</v>
      </c>
      <c r="G4783" s="1399"/>
      <c r="H4783" s="1399"/>
      <c r="I4783" s="1399"/>
      <c r="J4783" s="1399">
        <v>1635041.7200000002</v>
      </c>
    </row>
    <row r="4784" spans="5:10" s="1297" customFormat="1">
      <c r="E4784" s="1297" t="s">
        <v>945</v>
      </c>
      <c r="F4784" s="1399">
        <v>770644.53</v>
      </c>
      <c r="G4784" s="1399"/>
      <c r="H4784" s="1399"/>
      <c r="I4784" s="1399"/>
      <c r="J4784" s="1399">
        <v>770644.53</v>
      </c>
    </row>
    <row r="4785" spans="2:12">
      <c r="B4785" s="1297"/>
      <c r="C4785" s="1297"/>
      <c r="D4785" s="1297"/>
      <c r="E4785" s="1297" t="s">
        <v>947</v>
      </c>
      <c r="F4785" s="1399">
        <v>39946.49</v>
      </c>
      <c r="J4785" s="1399">
        <v>39946.49</v>
      </c>
    </row>
    <row r="4786" spans="2:12">
      <c r="B4786" s="1297"/>
      <c r="C4786" s="1297"/>
      <c r="D4786" s="1297"/>
      <c r="E4786" s="1404" t="s">
        <v>948</v>
      </c>
      <c r="F4786" s="1405"/>
      <c r="G4786" s="1405"/>
      <c r="H4786" s="1405">
        <v>15973.89</v>
      </c>
      <c r="I4786" s="1405"/>
      <c r="J4786" s="1405">
        <v>15973.89</v>
      </c>
    </row>
    <row r="4787" spans="2:12">
      <c r="B4787" s="1297"/>
      <c r="C4787" s="1297"/>
      <c r="D4787" s="1297"/>
      <c r="E4787" s="1297" t="s">
        <v>1051</v>
      </c>
      <c r="H4787" s="1399">
        <v>95980.430000000008</v>
      </c>
      <c r="J4787" s="1399">
        <v>95980.430000000008</v>
      </c>
    </row>
    <row r="4788" spans="2:12">
      <c r="B4788" s="1297"/>
      <c r="C4788" s="1297"/>
      <c r="D4788" s="1400" t="s">
        <v>1328</v>
      </c>
      <c r="E4788" s="1400"/>
      <c r="F4788" s="1401">
        <f>SUM(F4754:F4787)</f>
        <v>3272065.2800000003</v>
      </c>
      <c r="G4788" s="1401">
        <f>SUM(G4754:G4787)</f>
        <v>1426532.9300000002</v>
      </c>
      <c r="H4788" s="1401">
        <f>SUM(H4754:H4787)-H4786</f>
        <v>851672.39000000013</v>
      </c>
      <c r="I4788" s="1401">
        <f>SUM(I4754:I4787)-I4774</f>
        <v>7845334.0899999999</v>
      </c>
      <c r="J4788" s="1401">
        <f>SUM(J4754:J4787)</f>
        <v>13724673.840000002</v>
      </c>
      <c r="K4788" s="1401">
        <f>SUM(F4788:I4788)</f>
        <v>13395604.690000001</v>
      </c>
      <c r="L4788" s="1408">
        <f>K4788/C4753</f>
        <v>8675.9097733160634</v>
      </c>
    </row>
    <row r="4789" spans="2:12">
      <c r="B4789" s="1297" t="s">
        <v>1329</v>
      </c>
      <c r="C4789" s="1297">
        <v>10102</v>
      </c>
      <c r="D4789" s="1297" t="s">
        <v>1330</v>
      </c>
      <c r="E4789" s="1297" t="s">
        <v>906</v>
      </c>
      <c r="G4789" s="1399">
        <v>25737356.59</v>
      </c>
      <c r="J4789" s="1399">
        <v>25737356.59</v>
      </c>
    </row>
    <row r="4790" spans="2:12">
      <c r="B4790" s="1297"/>
      <c r="C4790" s="1297"/>
      <c r="D4790" s="1297"/>
      <c r="E4790" s="1297" t="s">
        <v>907</v>
      </c>
      <c r="G4790" s="1399">
        <v>8243365.5699999994</v>
      </c>
      <c r="J4790" s="1399">
        <v>8243365.5699999994</v>
      </c>
    </row>
    <row r="4791" spans="2:12">
      <c r="B4791" s="1297"/>
      <c r="C4791" s="1297"/>
      <c r="D4791" s="1297"/>
      <c r="E4791" s="1297" t="s">
        <v>908</v>
      </c>
      <c r="G4791" s="1399">
        <v>251239.07</v>
      </c>
      <c r="J4791" s="1399">
        <v>251239.07</v>
      </c>
    </row>
    <row r="4792" spans="2:12">
      <c r="B4792" s="1297"/>
      <c r="C4792" s="1297"/>
      <c r="D4792" s="1297"/>
      <c r="E4792" s="1297" t="s">
        <v>1036</v>
      </c>
      <c r="H4792" s="1399">
        <v>219455.46</v>
      </c>
      <c r="J4792" s="1399">
        <v>219455.46</v>
      </c>
    </row>
    <row r="4793" spans="2:12">
      <c r="B4793" s="1297"/>
      <c r="C4793" s="1297"/>
      <c r="D4793" s="1297"/>
      <c r="E4793" s="1297" t="s">
        <v>1037</v>
      </c>
      <c r="H4793" s="1399">
        <v>377149</v>
      </c>
      <c r="J4793" s="1399">
        <v>377149</v>
      </c>
    </row>
    <row r="4794" spans="2:12">
      <c r="B4794" s="1297"/>
      <c r="C4794" s="1297"/>
      <c r="D4794" s="1297"/>
      <c r="E4794" s="1297" t="s">
        <v>1105</v>
      </c>
      <c r="H4794" s="1399">
        <v>32000</v>
      </c>
      <c r="J4794" s="1399">
        <v>32000</v>
      </c>
    </row>
    <row r="4795" spans="2:12">
      <c r="B4795" s="1297"/>
      <c r="C4795" s="1297"/>
      <c r="D4795" s="1297"/>
      <c r="E4795" s="1297" t="s">
        <v>1039</v>
      </c>
      <c r="H4795" s="1399">
        <v>72348.63</v>
      </c>
      <c r="J4795" s="1399">
        <v>72348.63</v>
      </c>
    </row>
    <row r="4796" spans="2:12">
      <c r="B4796" s="1297"/>
      <c r="C4796" s="1297"/>
      <c r="D4796" s="1297"/>
      <c r="E4796" s="1297" t="s">
        <v>1040</v>
      </c>
      <c r="H4796" s="1399">
        <v>557258.55000000005</v>
      </c>
      <c r="J4796" s="1399">
        <v>557258.55000000005</v>
      </c>
    </row>
    <row r="4797" spans="2:12">
      <c r="B4797" s="1297"/>
      <c r="C4797" s="1297"/>
      <c r="D4797" s="1297"/>
      <c r="E4797" s="1297" t="s">
        <v>1041</v>
      </c>
      <c r="H4797" s="1399">
        <v>15674.899999999998</v>
      </c>
      <c r="J4797" s="1399">
        <v>15674.899999999998</v>
      </c>
    </row>
    <row r="4798" spans="2:12">
      <c r="B4798" s="1297"/>
      <c r="C4798" s="1297"/>
      <c r="D4798" s="1297"/>
      <c r="E4798" s="1297" t="s">
        <v>1042</v>
      </c>
      <c r="H4798" s="1399">
        <v>119002.78</v>
      </c>
      <c r="J4798" s="1399">
        <v>119002.78</v>
      </c>
    </row>
    <row r="4799" spans="2:12">
      <c r="B4799" s="1297"/>
      <c r="C4799" s="1297"/>
      <c r="D4799" s="1297"/>
      <c r="E4799" s="1297" t="s">
        <v>953</v>
      </c>
      <c r="H4799" s="1399">
        <v>68845.81</v>
      </c>
      <c r="J4799" s="1399">
        <v>68845.81</v>
      </c>
    </row>
    <row r="4800" spans="2:12">
      <c r="B4800" s="1297"/>
      <c r="C4800" s="1297"/>
      <c r="D4800" s="1297"/>
      <c r="E4800" s="1297" t="s">
        <v>954</v>
      </c>
      <c r="H4800" s="1399">
        <v>1701566.6400000001</v>
      </c>
      <c r="J4800" s="1399">
        <v>1701566.6400000001</v>
      </c>
    </row>
    <row r="4801" spans="5:10" s="1297" customFormat="1">
      <c r="E4801" s="1297" t="s">
        <v>986</v>
      </c>
      <c r="F4801" s="1399"/>
      <c r="G4801" s="1399"/>
      <c r="H4801" s="1399">
        <v>428375.4200000001</v>
      </c>
      <c r="I4801" s="1399"/>
      <c r="J4801" s="1399">
        <v>428375.4200000001</v>
      </c>
    </row>
    <row r="4802" spans="5:10" s="1297" customFormat="1">
      <c r="E4802" s="1297" t="s">
        <v>1005</v>
      </c>
      <c r="F4802" s="1399"/>
      <c r="G4802" s="1399"/>
      <c r="H4802" s="1399">
        <v>62795</v>
      </c>
      <c r="I4802" s="1399"/>
      <c r="J4802" s="1399">
        <v>62795</v>
      </c>
    </row>
    <row r="4803" spans="5:10" s="1297" customFormat="1">
      <c r="E4803" s="1297" t="s">
        <v>1044</v>
      </c>
      <c r="F4803" s="1399">
        <v>452740</v>
      </c>
      <c r="G4803" s="1399"/>
      <c r="H4803" s="1399"/>
      <c r="I4803" s="1399"/>
      <c r="J4803" s="1399">
        <v>452740</v>
      </c>
    </row>
    <row r="4804" spans="5:10" s="1297" customFormat="1">
      <c r="E4804" s="1297" t="s">
        <v>1045</v>
      </c>
      <c r="F4804" s="1399"/>
      <c r="G4804" s="1399"/>
      <c r="H4804" s="1399">
        <v>844606.00999999989</v>
      </c>
      <c r="I4804" s="1399"/>
      <c r="J4804" s="1399">
        <v>844606.00999999989</v>
      </c>
    </row>
    <row r="4805" spans="5:10" s="1297" customFormat="1">
      <c r="E4805" s="1297" t="s">
        <v>1046</v>
      </c>
      <c r="F4805" s="1399"/>
      <c r="G4805" s="1399"/>
      <c r="H4805" s="1399"/>
      <c r="I4805" s="1399">
        <v>50950020</v>
      </c>
      <c r="J4805" s="1399">
        <v>50950020</v>
      </c>
    </row>
    <row r="4806" spans="5:10" s="1297" customFormat="1">
      <c r="E4806" s="1297" t="s">
        <v>1128</v>
      </c>
      <c r="F4806" s="1399"/>
      <c r="G4806" s="1399"/>
      <c r="H4806" s="1399"/>
      <c r="I4806" s="1399">
        <v>4305292</v>
      </c>
      <c r="J4806" s="1399">
        <v>4305292</v>
      </c>
    </row>
    <row r="4807" spans="5:10" s="1297" customFormat="1">
      <c r="E4807" s="1297" t="s">
        <v>1129</v>
      </c>
      <c r="F4807" s="1399"/>
      <c r="G4807" s="1399"/>
      <c r="H4807" s="1399"/>
      <c r="I4807" s="1399">
        <v>-7063861</v>
      </c>
      <c r="J4807" s="1399">
        <v>-7063861</v>
      </c>
    </row>
    <row r="4808" spans="5:10" s="1297" customFormat="1">
      <c r="E4808" s="1297" t="s">
        <v>1047</v>
      </c>
      <c r="F4808" s="1399"/>
      <c r="G4808" s="1399"/>
      <c r="H4808" s="1399"/>
      <c r="I4808" s="1399">
        <v>2102857</v>
      </c>
      <c r="J4808" s="1399">
        <v>2102857</v>
      </c>
    </row>
    <row r="4809" spans="5:10" s="1297" customFormat="1">
      <c r="E4809" s="1297" t="s">
        <v>1048</v>
      </c>
      <c r="F4809" s="1399"/>
      <c r="G4809" s="1399"/>
      <c r="H4809" s="1399"/>
      <c r="I4809" s="1399">
        <v>-7492688</v>
      </c>
      <c r="J4809" s="1399">
        <v>-7492688</v>
      </c>
    </row>
    <row r="4810" spans="5:10" s="1297" customFormat="1">
      <c r="E4810" s="1297" t="s">
        <v>932</v>
      </c>
      <c r="F4810" s="1399"/>
      <c r="G4810" s="1399"/>
      <c r="H4810" s="1399"/>
      <c r="I4810" s="1399">
        <v>4427870</v>
      </c>
      <c r="J4810" s="1399">
        <v>4427870</v>
      </c>
    </row>
    <row r="4811" spans="5:10" s="1297" customFormat="1">
      <c r="E4811" s="1404" t="s">
        <v>955</v>
      </c>
      <c r="F4811" s="1405"/>
      <c r="G4811" s="1405"/>
      <c r="H4811" s="1405"/>
      <c r="I4811" s="1405">
        <v>1901270.89</v>
      </c>
      <c r="J4811" s="1405">
        <v>1901270.89</v>
      </c>
    </row>
    <row r="4812" spans="5:10" s="1297" customFormat="1">
      <c r="E4812" s="1297" t="s">
        <v>934</v>
      </c>
      <c r="F4812" s="1399"/>
      <c r="G4812" s="1399"/>
      <c r="H4812" s="1399"/>
      <c r="I4812" s="1399">
        <v>167362.00000000006</v>
      </c>
      <c r="J4812" s="1399">
        <v>167362.00000000006</v>
      </c>
    </row>
    <row r="4813" spans="5:10" s="1297" customFormat="1">
      <c r="E4813" s="1297" t="s">
        <v>935</v>
      </c>
      <c r="F4813" s="1399"/>
      <c r="G4813" s="1399"/>
      <c r="H4813" s="1399"/>
      <c r="I4813" s="1399">
        <v>3655957.82</v>
      </c>
      <c r="J4813" s="1399">
        <v>3655957.82</v>
      </c>
    </row>
    <row r="4814" spans="5:10" s="1297" customFormat="1">
      <c r="E4814" s="1297" t="s">
        <v>936</v>
      </c>
      <c r="F4814" s="1399"/>
      <c r="G4814" s="1399"/>
      <c r="H4814" s="1399"/>
      <c r="I4814" s="1399">
        <v>196084.3</v>
      </c>
      <c r="J4814" s="1399">
        <v>196084.3</v>
      </c>
    </row>
    <row r="4815" spans="5:10" s="1297" customFormat="1">
      <c r="E4815" s="1297" t="s">
        <v>937</v>
      </c>
      <c r="F4815" s="1399"/>
      <c r="G4815" s="1399"/>
      <c r="H4815" s="1399"/>
      <c r="I4815" s="1399">
        <v>22792.98</v>
      </c>
      <c r="J4815" s="1399">
        <v>22792.98</v>
      </c>
    </row>
    <row r="4816" spans="5:10" s="1297" customFormat="1">
      <c r="E4816" s="1297" t="s">
        <v>938</v>
      </c>
      <c r="F4816" s="1399"/>
      <c r="G4816" s="1399"/>
      <c r="H4816" s="1399"/>
      <c r="I4816" s="1399">
        <v>69249</v>
      </c>
      <c r="J4816" s="1399">
        <v>69249</v>
      </c>
    </row>
    <row r="4817" spans="2:12">
      <c r="B4817" s="1297"/>
      <c r="C4817" s="1297"/>
      <c r="D4817" s="1297"/>
      <c r="E4817" s="1297" t="s">
        <v>1131</v>
      </c>
      <c r="F4817" s="1399">
        <v>250599.04000000001</v>
      </c>
      <c r="J4817" s="1399">
        <v>250599.04000000001</v>
      </c>
    </row>
    <row r="4818" spans="2:12">
      <c r="B4818" s="1297"/>
      <c r="C4818" s="1297"/>
      <c r="D4818" s="1297"/>
      <c r="E4818" s="1297" t="s">
        <v>940</v>
      </c>
      <c r="F4818" s="1399">
        <v>3179680.42</v>
      </c>
      <c r="J4818" s="1399">
        <v>3179680.42</v>
      </c>
    </row>
    <row r="4819" spans="2:12">
      <c r="B4819" s="1297"/>
      <c r="C4819" s="1297"/>
      <c r="D4819" s="1297"/>
      <c r="E4819" s="1297" t="s">
        <v>941</v>
      </c>
      <c r="F4819" s="1399">
        <v>1168191.4800000002</v>
      </c>
      <c r="J4819" s="1399">
        <v>1168191.4800000002</v>
      </c>
    </row>
    <row r="4820" spans="2:12">
      <c r="B4820" s="1297"/>
      <c r="C4820" s="1297"/>
      <c r="D4820" s="1297"/>
      <c r="E4820" s="1297" t="s">
        <v>943</v>
      </c>
      <c r="F4820" s="1399">
        <v>35341.460000000006</v>
      </c>
      <c r="J4820" s="1399">
        <v>35341.460000000006</v>
      </c>
    </row>
    <row r="4821" spans="2:12">
      <c r="B4821" s="1297"/>
      <c r="C4821" s="1297"/>
      <c r="D4821" s="1297"/>
      <c r="E4821" s="1297" t="s">
        <v>944</v>
      </c>
      <c r="F4821" s="1399">
        <v>7625847.8399999999</v>
      </c>
      <c r="J4821" s="1399">
        <v>7625847.8399999999</v>
      </c>
    </row>
    <row r="4822" spans="2:12">
      <c r="B4822" s="1297"/>
      <c r="C4822" s="1297"/>
      <c r="D4822" s="1297"/>
      <c r="E4822" s="1297" t="s">
        <v>945</v>
      </c>
      <c r="F4822" s="1399">
        <v>4226466.91</v>
      </c>
      <c r="J4822" s="1399">
        <v>4226466.91</v>
      </c>
    </row>
    <row r="4823" spans="2:12">
      <c r="B4823" s="1297"/>
      <c r="C4823" s="1297"/>
      <c r="D4823" s="1297"/>
      <c r="E4823" s="1297" t="s">
        <v>978</v>
      </c>
      <c r="F4823" s="1399">
        <v>949.58</v>
      </c>
      <c r="J4823" s="1399">
        <v>949.58</v>
      </c>
    </row>
    <row r="4824" spans="2:12">
      <c r="B4824" s="1297"/>
      <c r="C4824" s="1297"/>
      <c r="D4824" s="1297"/>
      <c r="E4824" s="1297" t="s">
        <v>1006</v>
      </c>
      <c r="F4824" s="1399">
        <v>10309.64</v>
      </c>
      <c r="J4824" s="1399">
        <v>10309.64</v>
      </c>
    </row>
    <row r="4825" spans="2:12">
      <c r="B4825" s="1297"/>
      <c r="C4825" s="1297"/>
      <c r="D4825" s="1297"/>
      <c r="E4825" s="1297" t="s">
        <v>947</v>
      </c>
      <c r="F4825" s="1399">
        <v>191021.86000000002</v>
      </c>
      <c r="J4825" s="1399">
        <v>191021.86000000002</v>
      </c>
    </row>
    <row r="4826" spans="2:12">
      <c r="B4826" s="1297"/>
      <c r="C4826" s="1297"/>
      <c r="D4826" s="1297"/>
      <c r="E4826" s="1297" t="s">
        <v>1115</v>
      </c>
      <c r="F4826" s="1399">
        <v>13813.09</v>
      </c>
      <c r="J4826" s="1399">
        <v>13813.09</v>
      </c>
    </row>
    <row r="4827" spans="2:12">
      <c r="B4827" s="1297"/>
      <c r="C4827" s="1297"/>
      <c r="D4827" s="1297"/>
      <c r="E4827" s="1404" t="s">
        <v>948</v>
      </c>
      <c r="F4827" s="1405"/>
      <c r="G4827" s="1405"/>
      <c r="H4827" s="1405">
        <v>5691869.8999999994</v>
      </c>
      <c r="I4827" s="1405"/>
      <c r="J4827" s="1405">
        <v>5691869.8999999994</v>
      </c>
    </row>
    <row r="4828" spans="2:12">
      <c r="B4828" s="1297"/>
      <c r="C4828" s="1297"/>
      <c r="D4828" s="1297"/>
      <c r="E4828" s="1297" t="s">
        <v>956</v>
      </c>
      <c r="H4828" s="1399">
        <v>70828.33</v>
      </c>
      <c r="J4828" s="1399">
        <v>70828.33</v>
      </c>
    </row>
    <row r="4829" spans="2:12">
      <c r="B4829" s="1297"/>
      <c r="C4829" s="1297"/>
      <c r="D4829" s="1400" t="s">
        <v>1331</v>
      </c>
      <c r="E4829" s="1400"/>
      <c r="F4829" s="1401">
        <f>SUM(F4789:F4828)</f>
        <v>17154961.319999997</v>
      </c>
      <c r="G4829" s="1401">
        <f>SUM(G4789:G4828)</f>
        <v>34231961.229999997</v>
      </c>
      <c r="H4829" s="1401">
        <f>SUM(H4789:H4828)-H4827</f>
        <v>4569906.53</v>
      </c>
      <c r="I4829" s="1401">
        <f>SUM(I4789:I4828)-I4811</f>
        <v>51340936.099999994</v>
      </c>
      <c r="J4829" s="1401">
        <f>SUM(J4789:J4828)</f>
        <v>114890905.97000001</v>
      </c>
      <c r="K4829" s="1401">
        <f>SUM(F4829:I4829)</f>
        <v>107297765.17999999</v>
      </c>
      <c r="L4829" s="1408">
        <f>K4829/C4789</f>
        <v>10621.437851910512</v>
      </c>
    </row>
    <row r="4830" spans="2:12">
      <c r="B4830" s="1297" t="s">
        <v>1332</v>
      </c>
      <c r="C4830" s="1297">
        <v>3910</v>
      </c>
      <c r="D4830" s="1297" t="s">
        <v>1333</v>
      </c>
      <c r="E4830" s="1297" t="s">
        <v>906</v>
      </c>
      <c r="G4830" s="1399">
        <v>12405408.859999999</v>
      </c>
      <c r="J4830" s="1399">
        <v>12405408.859999999</v>
      </c>
    </row>
    <row r="4831" spans="2:12">
      <c r="B4831" s="1297"/>
      <c r="C4831" s="1297"/>
      <c r="D4831" s="1297"/>
      <c r="E4831" s="1297" t="s">
        <v>907</v>
      </c>
      <c r="G4831" s="1399">
        <v>3033153.78</v>
      </c>
      <c r="J4831" s="1399">
        <v>3033153.78</v>
      </c>
    </row>
    <row r="4832" spans="2:12">
      <c r="B4832" s="1297"/>
      <c r="C4832" s="1297"/>
      <c r="D4832" s="1297"/>
      <c r="E4832" s="1297" t="s">
        <v>908</v>
      </c>
      <c r="G4832" s="1399">
        <v>101874.16</v>
      </c>
      <c r="J4832" s="1399">
        <v>101874.16</v>
      </c>
    </row>
    <row r="4833" spans="5:10" s="1297" customFormat="1">
      <c r="E4833" s="1297" t="s">
        <v>909</v>
      </c>
      <c r="F4833" s="1399"/>
      <c r="G4833" s="1399"/>
      <c r="H4833" s="1399">
        <v>126093.63</v>
      </c>
      <c r="I4833" s="1399"/>
      <c r="J4833" s="1399">
        <v>126093.63</v>
      </c>
    </row>
    <row r="4834" spans="5:10" s="1297" customFormat="1">
      <c r="E4834" s="1297" t="s">
        <v>910</v>
      </c>
      <c r="F4834" s="1399"/>
      <c r="G4834" s="1399"/>
      <c r="H4834" s="1399">
        <v>162718.07</v>
      </c>
      <c r="I4834" s="1399"/>
      <c r="J4834" s="1399">
        <v>162718.07</v>
      </c>
    </row>
    <row r="4835" spans="5:10" s="1297" customFormat="1">
      <c r="E4835" s="1297" t="s">
        <v>1034</v>
      </c>
      <c r="F4835" s="1399"/>
      <c r="G4835" s="1399"/>
      <c r="H4835" s="1399">
        <v>80227.12</v>
      </c>
      <c r="I4835" s="1399"/>
      <c r="J4835" s="1399">
        <v>80227.12</v>
      </c>
    </row>
    <row r="4836" spans="5:10" s="1297" customFormat="1">
      <c r="E4836" s="1297" t="s">
        <v>1035</v>
      </c>
      <c r="F4836" s="1399"/>
      <c r="G4836" s="1399"/>
      <c r="H4836" s="1399">
        <v>456440.69999999995</v>
      </c>
      <c r="I4836" s="1399"/>
      <c r="J4836" s="1399">
        <v>456440.69999999995</v>
      </c>
    </row>
    <row r="4837" spans="5:10" s="1297" customFormat="1">
      <c r="E4837" s="1297" t="s">
        <v>1036</v>
      </c>
      <c r="F4837" s="1399"/>
      <c r="G4837" s="1399"/>
      <c r="H4837" s="1399">
        <v>128333.39</v>
      </c>
      <c r="I4837" s="1399"/>
      <c r="J4837" s="1399">
        <v>128333.39</v>
      </c>
    </row>
    <row r="4838" spans="5:10" s="1297" customFormat="1">
      <c r="E4838" s="1297" t="s">
        <v>1037</v>
      </c>
      <c r="F4838" s="1399"/>
      <c r="G4838" s="1399"/>
      <c r="H4838" s="1399">
        <v>280.39999999999998</v>
      </c>
      <c r="I4838" s="1399"/>
      <c r="J4838" s="1399">
        <v>280.39999999999998</v>
      </c>
    </row>
    <row r="4839" spans="5:10" s="1297" customFormat="1">
      <c r="E4839" s="1297" t="s">
        <v>1039</v>
      </c>
      <c r="F4839" s="1399"/>
      <c r="G4839" s="1399"/>
      <c r="H4839" s="1399">
        <v>63266.590000000011</v>
      </c>
      <c r="I4839" s="1399"/>
      <c r="J4839" s="1399">
        <v>63266.590000000011</v>
      </c>
    </row>
    <row r="4840" spans="5:10" s="1297" customFormat="1">
      <c r="E4840" s="1297" t="s">
        <v>1040</v>
      </c>
      <c r="F4840" s="1399"/>
      <c r="G4840" s="1399"/>
      <c r="H4840" s="1399">
        <v>324275.49</v>
      </c>
      <c r="I4840" s="1399"/>
      <c r="J4840" s="1399">
        <v>324275.49</v>
      </c>
    </row>
    <row r="4841" spans="5:10" s="1297" customFormat="1">
      <c r="E4841" s="1297" t="s">
        <v>1041</v>
      </c>
      <c r="F4841" s="1399"/>
      <c r="G4841" s="1399"/>
      <c r="H4841" s="1399">
        <v>19237.310000000001</v>
      </c>
      <c r="I4841" s="1399"/>
      <c r="J4841" s="1399">
        <v>19237.310000000001</v>
      </c>
    </row>
    <row r="4842" spans="5:10" s="1297" customFormat="1">
      <c r="E4842" s="1297" t="s">
        <v>1042</v>
      </c>
      <c r="F4842" s="1399"/>
      <c r="G4842" s="1399"/>
      <c r="H4842" s="1399">
        <v>79265.22</v>
      </c>
      <c r="I4842" s="1399"/>
      <c r="J4842" s="1399">
        <v>79265.22</v>
      </c>
    </row>
    <row r="4843" spans="5:10" s="1297" customFormat="1">
      <c r="E4843" s="1297" t="s">
        <v>985</v>
      </c>
      <c r="F4843" s="1399"/>
      <c r="G4843" s="1399"/>
      <c r="H4843" s="1399">
        <v>74146.39</v>
      </c>
      <c r="I4843" s="1399"/>
      <c r="J4843" s="1399">
        <v>74146.39</v>
      </c>
    </row>
    <row r="4844" spans="5:10" s="1297" customFormat="1">
      <c r="E4844" s="1297" t="s">
        <v>986</v>
      </c>
      <c r="F4844" s="1399"/>
      <c r="G4844" s="1399"/>
      <c r="H4844" s="1399">
        <v>6500</v>
      </c>
      <c r="I4844" s="1399"/>
      <c r="J4844" s="1399">
        <v>6500</v>
      </c>
    </row>
    <row r="4845" spans="5:10" s="1297" customFormat="1">
      <c r="E4845" s="1297" t="s">
        <v>1045</v>
      </c>
      <c r="F4845" s="1399"/>
      <c r="G4845" s="1399"/>
      <c r="H4845" s="1399">
        <v>934590.47000000009</v>
      </c>
      <c r="I4845" s="1399"/>
      <c r="J4845" s="1399">
        <v>934590.47000000009</v>
      </c>
    </row>
    <row r="4846" spans="5:10" s="1297" customFormat="1">
      <c r="E4846" s="1297" t="s">
        <v>1046</v>
      </c>
      <c r="F4846" s="1399"/>
      <c r="G4846" s="1399"/>
      <c r="H4846" s="1399"/>
      <c r="I4846" s="1399">
        <v>23458285</v>
      </c>
      <c r="J4846" s="1399">
        <v>23458285</v>
      </c>
    </row>
    <row r="4847" spans="5:10" s="1297" customFormat="1">
      <c r="E4847" s="1297" t="s">
        <v>1128</v>
      </c>
      <c r="F4847" s="1399"/>
      <c r="G4847" s="1399"/>
      <c r="H4847" s="1399"/>
      <c r="I4847" s="1399">
        <v>1759983</v>
      </c>
      <c r="J4847" s="1399">
        <v>1759983</v>
      </c>
    </row>
    <row r="4848" spans="5:10" s="1297" customFormat="1">
      <c r="E4848" s="1297" t="s">
        <v>1129</v>
      </c>
      <c r="F4848" s="1399"/>
      <c r="G4848" s="1399"/>
      <c r="H4848" s="1399"/>
      <c r="I4848" s="1399">
        <v>-3259905</v>
      </c>
      <c r="J4848" s="1399">
        <v>-3259905</v>
      </c>
    </row>
    <row r="4849" spans="5:10" s="1297" customFormat="1">
      <c r="E4849" s="1297" t="s">
        <v>1047</v>
      </c>
      <c r="F4849" s="1399"/>
      <c r="G4849" s="1399"/>
      <c r="H4849" s="1399"/>
      <c r="I4849" s="1399">
        <v>695859</v>
      </c>
      <c r="J4849" s="1399">
        <v>695859</v>
      </c>
    </row>
    <row r="4850" spans="5:10" s="1297" customFormat="1">
      <c r="E4850" s="1297" t="s">
        <v>1048</v>
      </c>
      <c r="F4850" s="1399"/>
      <c r="G4850" s="1399"/>
      <c r="H4850" s="1399"/>
      <c r="I4850" s="1399">
        <v>-3650444</v>
      </c>
      <c r="J4850" s="1399">
        <v>-3650444</v>
      </c>
    </row>
    <row r="4851" spans="5:10" s="1297" customFormat="1">
      <c r="E4851" s="1297" t="s">
        <v>932</v>
      </c>
      <c r="F4851" s="1399"/>
      <c r="G4851" s="1399"/>
      <c r="H4851" s="1399"/>
      <c r="I4851" s="1399">
        <v>1267022</v>
      </c>
      <c r="J4851" s="1399">
        <v>1267022</v>
      </c>
    </row>
    <row r="4852" spans="5:10" s="1297" customFormat="1">
      <c r="E4852" s="1404" t="s">
        <v>955</v>
      </c>
      <c r="F4852" s="1405"/>
      <c r="G4852" s="1405"/>
      <c r="H4852" s="1405"/>
      <c r="I4852" s="1405">
        <v>467378.39</v>
      </c>
      <c r="J4852" s="1399">
        <v>467378.39</v>
      </c>
    </row>
    <row r="4853" spans="5:10" s="1297" customFormat="1">
      <c r="E4853" s="1297" t="s">
        <v>934</v>
      </c>
      <c r="F4853" s="1399"/>
      <c r="G4853" s="1399"/>
      <c r="H4853" s="1399"/>
      <c r="I4853" s="1399">
        <v>70062</v>
      </c>
      <c r="J4853" s="1399">
        <v>70062</v>
      </c>
    </row>
    <row r="4854" spans="5:10" s="1297" customFormat="1">
      <c r="E4854" s="1297" t="s">
        <v>1130</v>
      </c>
      <c r="F4854" s="1399"/>
      <c r="G4854" s="1399"/>
      <c r="H4854" s="1399"/>
      <c r="I4854" s="1399">
        <v>6802260.9400000004</v>
      </c>
      <c r="J4854" s="1399">
        <v>6802260.9400000004</v>
      </c>
    </row>
    <row r="4855" spans="5:10" s="1297" customFormat="1">
      <c r="E4855" s="1297" t="s">
        <v>935</v>
      </c>
      <c r="F4855" s="1399"/>
      <c r="G4855" s="1399"/>
      <c r="H4855" s="1399"/>
      <c r="I4855" s="1399">
        <v>474019.17</v>
      </c>
      <c r="J4855" s="1399">
        <v>474019.17</v>
      </c>
    </row>
    <row r="4856" spans="5:10" s="1297" customFormat="1">
      <c r="E4856" s="1297" t="s">
        <v>936</v>
      </c>
      <c r="F4856" s="1399"/>
      <c r="G4856" s="1399"/>
      <c r="H4856" s="1399"/>
      <c r="I4856" s="1399">
        <v>91039.14</v>
      </c>
      <c r="J4856" s="1399">
        <v>91039.14</v>
      </c>
    </row>
    <row r="4857" spans="5:10" s="1297" customFormat="1">
      <c r="E4857" s="1297" t="s">
        <v>937</v>
      </c>
      <c r="F4857" s="1399"/>
      <c r="G4857" s="1399"/>
      <c r="H4857" s="1399"/>
      <c r="I4857" s="1399">
        <v>4396.8999999999996</v>
      </c>
      <c r="J4857" s="1399">
        <v>4396.8999999999996</v>
      </c>
    </row>
    <row r="4858" spans="5:10" s="1297" customFormat="1">
      <c r="E4858" s="1297" t="s">
        <v>938</v>
      </c>
      <c r="F4858" s="1399"/>
      <c r="G4858" s="1399"/>
      <c r="H4858" s="1399"/>
      <c r="I4858" s="1399">
        <v>26951</v>
      </c>
      <c r="J4858" s="1399">
        <v>26951</v>
      </c>
    </row>
    <row r="4859" spans="5:10" s="1297" customFormat="1">
      <c r="E4859" s="1297" t="s">
        <v>939</v>
      </c>
      <c r="F4859" s="1399"/>
      <c r="G4859" s="1399"/>
      <c r="H4859" s="1399"/>
      <c r="I4859" s="1399">
        <v>84561.1</v>
      </c>
      <c r="J4859" s="1399">
        <v>84561.1</v>
      </c>
    </row>
    <row r="4860" spans="5:10" s="1297" customFormat="1">
      <c r="E4860" s="1297" t="s">
        <v>940</v>
      </c>
      <c r="F4860" s="1399">
        <v>950252.74</v>
      </c>
      <c r="G4860" s="1399"/>
      <c r="H4860" s="1399"/>
      <c r="I4860" s="1399"/>
      <c r="J4860" s="1399">
        <v>950252.74</v>
      </c>
    </row>
    <row r="4861" spans="5:10" s="1297" customFormat="1">
      <c r="E4861" s="1297" t="s">
        <v>941</v>
      </c>
      <c r="F4861" s="1399">
        <v>286747.21999999997</v>
      </c>
      <c r="G4861" s="1399"/>
      <c r="H4861" s="1399"/>
      <c r="I4861" s="1399"/>
      <c r="J4861" s="1399">
        <v>286747.21999999997</v>
      </c>
    </row>
    <row r="4862" spans="5:10" s="1297" customFormat="1">
      <c r="E4862" s="1297" t="s">
        <v>943</v>
      </c>
      <c r="F4862" s="1399">
        <v>13616.43</v>
      </c>
      <c r="G4862" s="1399"/>
      <c r="H4862" s="1399"/>
      <c r="I4862" s="1399"/>
      <c r="J4862" s="1399">
        <v>13616.43</v>
      </c>
    </row>
    <row r="4863" spans="5:10" s="1297" customFormat="1">
      <c r="E4863" s="1297" t="s">
        <v>944</v>
      </c>
      <c r="F4863" s="1399">
        <v>3967404.7899999996</v>
      </c>
      <c r="G4863" s="1399"/>
      <c r="H4863" s="1399"/>
      <c r="I4863" s="1399"/>
      <c r="J4863" s="1399">
        <v>3967404.7899999996</v>
      </c>
    </row>
    <row r="4864" spans="5:10" s="1297" customFormat="1">
      <c r="E4864" s="1297" t="s">
        <v>945</v>
      </c>
      <c r="F4864" s="1399">
        <v>901495</v>
      </c>
      <c r="G4864" s="1399"/>
      <c r="H4864" s="1399"/>
      <c r="I4864" s="1399"/>
      <c r="J4864" s="1399">
        <v>901495</v>
      </c>
    </row>
    <row r="4865" spans="2:12">
      <c r="B4865" s="1297"/>
      <c r="C4865" s="1297"/>
      <c r="D4865" s="1297"/>
      <c r="E4865" s="1297" t="s">
        <v>1214</v>
      </c>
      <c r="F4865" s="1399">
        <v>20306.900000000001</v>
      </c>
      <c r="J4865" s="1399">
        <v>20306.900000000001</v>
      </c>
    </row>
    <row r="4866" spans="2:12">
      <c r="B4866" s="1297"/>
      <c r="C4866" s="1297"/>
      <c r="D4866" s="1297"/>
      <c r="E4866" s="1297" t="s">
        <v>947</v>
      </c>
      <c r="F4866" s="1399">
        <v>116533.17</v>
      </c>
      <c r="J4866" s="1399">
        <v>116533.17</v>
      </c>
    </row>
    <row r="4867" spans="2:12">
      <c r="B4867" s="1297"/>
      <c r="C4867" s="1297"/>
      <c r="D4867" s="1297"/>
      <c r="E4867" s="1404" t="s">
        <v>1116</v>
      </c>
      <c r="F4867" s="1405"/>
      <c r="G4867" s="1405"/>
      <c r="H4867" s="1405">
        <v>1690000</v>
      </c>
      <c r="I4867" s="1405"/>
      <c r="J4867" s="1405">
        <v>1690000</v>
      </c>
    </row>
    <row r="4868" spans="2:12">
      <c r="B4868" s="1297"/>
      <c r="C4868" s="1297"/>
      <c r="D4868" s="1297"/>
      <c r="E4868" s="1404" t="s">
        <v>948</v>
      </c>
      <c r="F4868" s="1405"/>
      <c r="G4868" s="1405"/>
      <c r="H4868" s="1405">
        <v>17776290.880000003</v>
      </c>
      <c r="I4868" s="1405"/>
      <c r="J4868" s="1405">
        <v>17776290.880000003</v>
      </c>
    </row>
    <row r="4869" spans="2:12">
      <c r="B4869" s="1297"/>
      <c r="C4869" s="1297"/>
      <c r="D4869" s="1400" t="s">
        <v>1334</v>
      </c>
      <c r="E4869" s="1400"/>
      <c r="F4869" s="1401">
        <f>SUM(F4830:F4868)</f>
        <v>6256356.25</v>
      </c>
      <c r="G4869" s="1401">
        <f>SUM(G4830:G4868)</f>
        <v>15540436.799999999</v>
      </c>
      <c r="H4869" s="1401">
        <f>SUM(H4830:H4868)-(H4867+H4868)</f>
        <v>2455374.7800000012</v>
      </c>
      <c r="I4869" s="1401">
        <f>SUM(I4830:I4868)-I4852</f>
        <v>27824090.250000004</v>
      </c>
      <c r="J4869" s="1401">
        <f>SUM(J4830:J4868)</f>
        <v>72009927.349999994</v>
      </c>
      <c r="K4869" s="1401">
        <f>SUM(F4869:I4869)</f>
        <v>52076258.079999998</v>
      </c>
      <c r="L4869" s="1408">
        <f>K4869/C4830</f>
        <v>13318.736081841431</v>
      </c>
    </row>
    <row r="4870" spans="2:12">
      <c r="B4870" s="1297" t="s">
        <v>1335</v>
      </c>
      <c r="C4870" s="1297">
        <v>503</v>
      </c>
      <c r="D4870" s="1297" t="s">
        <v>1336</v>
      </c>
      <c r="E4870" s="1297" t="s">
        <v>906</v>
      </c>
      <c r="G4870" s="1399">
        <v>1738030.93</v>
      </c>
      <c r="J4870" s="1399">
        <v>1738030.93</v>
      </c>
    </row>
    <row r="4871" spans="2:12">
      <c r="B4871" s="1297"/>
      <c r="C4871" s="1297"/>
      <c r="D4871" s="1297"/>
      <c r="E4871" s="1297" t="s">
        <v>907</v>
      </c>
      <c r="G4871" s="1399">
        <v>389371.05</v>
      </c>
      <c r="J4871" s="1399">
        <v>389371.05</v>
      </c>
    </row>
    <row r="4872" spans="2:12">
      <c r="B4872" s="1297"/>
      <c r="C4872" s="1297"/>
      <c r="D4872" s="1297"/>
      <c r="E4872" s="1297" t="s">
        <v>908</v>
      </c>
      <c r="G4872" s="1399">
        <v>9071.2800000000007</v>
      </c>
      <c r="J4872" s="1399">
        <v>9071.2800000000007</v>
      </c>
    </row>
    <row r="4873" spans="2:12">
      <c r="B4873" s="1297"/>
      <c r="C4873" s="1297"/>
      <c r="D4873" s="1297"/>
      <c r="E4873" s="1297" t="s">
        <v>909</v>
      </c>
      <c r="H4873" s="1399">
        <v>25290.55</v>
      </c>
      <c r="J4873" s="1399">
        <v>25290.55</v>
      </c>
    </row>
    <row r="4874" spans="2:12">
      <c r="B4874" s="1297"/>
      <c r="C4874" s="1297"/>
      <c r="D4874" s="1297"/>
      <c r="E4874" s="1297" t="s">
        <v>910</v>
      </c>
      <c r="H4874" s="1399">
        <v>23966.06</v>
      </c>
      <c r="J4874" s="1399">
        <v>23966.06</v>
      </c>
    </row>
    <row r="4875" spans="2:12">
      <c r="B4875" s="1297"/>
      <c r="C4875" s="1297"/>
      <c r="D4875" s="1297"/>
      <c r="E4875" s="1297" t="s">
        <v>1034</v>
      </c>
      <c r="H4875" s="1399">
        <v>5993.96</v>
      </c>
      <c r="J4875" s="1399">
        <v>5993.96</v>
      </c>
    </row>
    <row r="4876" spans="2:12">
      <c r="B4876" s="1297"/>
      <c r="C4876" s="1297"/>
      <c r="D4876" s="1297"/>
      <c r="E4876" s="1297" t="s">
        <v>1035</v>
      </c>
      <c r="H4876" s="1399">
        <v>15110.990000000002</v>
      </c>
      <c r="J4876" s="1399">
        <v>15110.990000000002</v>
      </c>
    </row>
    <row r="4877" spans="2:12">
      <c r="B4877" s="1297"/>
      <c r="C4877" s="1297"/>
      <c r="D4877" s="1297"/>
      <c r="E4877" s="1297" t="s">
        <v>1036</v>
      </c>
      <c r="H4877" s="1399">
        <v>19234.259999999998</v>
      </c>
      <c r="J4877" s="1399">
        <v>19234.259999999998</v>
      </c>
    </row>
    <row r="4878" spans="2:12">
      <c r="B4878" s="1297"/>
      <c r="C4878" s="1297"/>
      <c r="D4878" s="1297"/>
      <c r="E4878" s="1297" t="s">
        <v>1039</v>
      </c>
      <c r="H4878" s="1399">
        <v>5116.8599999999997</v>
      </c>
      <c r="J4878" s="1399">
        <v>5116.8599999999997</v>
      </c>
    </row>
    <row r="4879" spans="2:12">
      <c r="B4879" s="1297"/>
      <c r="C4879" s="1297"/>
      <c r="D4879" s="1297"/>
      <c r="E4879" s="1297" t="s">
        <v>1041</v>
      </c>
      <c r="H4879" s="1399">
        <v>2215.25</v>
      </c>
      <c r="J4879" s="1399">
        <v>2215.25</v>
      </c>
    </row>
    <row r="4880" spans="2:12">
      <c r="B4880" s="1297"/>
      <c r="C4880" s="1297"/>
      <c r="D4880" s="1297"/>
      <c r="E4880" s="1297" t="s">
        <v>1042</v>
      </c>
      <c r="H4880" s="1399">
        <v>19893.349999999999</v>
      </c>
      <c r="J4880" s="1399">
        <v>19893.349999999999</v>
      </c>
    </row>
    <row r="4881" spans="5:10" s="1297" customFormat="1">
      <c r="E4881" s="1297" t="s">
        <v>953</v>
      </c>
      <c r="F4881" s="1399"/>
      <c r="G4881" s="1399"/>
      <c r="H4881" s="1399">
        <v>11303.7</v>
      </c>
      <c r="I4881" s="1399"/>
      <c r="J4881" s="1399">
        <v>11303.7</v>
      </c>
    </row>
    <row r="4882" spans="5:10" s="1297" customFormat="1">
      <c r="E4882" s="1297" t="s">
        <v>1044</v>
      </c>
      <c r="F4882" s="1399">
        <v>35291</v>
      </c>
      <c r="G4882" s="1399"/>
      <c r="H4882" s="1399"/>
      <c r="I4882" s="1399"/>
      <c r="J4882" s="1399">
        <v>35291</v>
      </c>
    </row>
    <row r="4883" spans="5:10" s="1297" customFormat="1">
      <c r="E4883" s="1297" t="s">
        <v>1045</v>
      </c>
      <c r="F4883" s="1399"/>
      <c r="G4883" s="1399"/>
      <c r="H4883" s="1399">
        <v>53905.14</v>
      </c>
      <c r="I4883" s="1399"/>
      <c r="J4883" s="1399">
        <v>53905.14</v>
      </c>
    </row>
    <row r="4884" spans="5:10" s="1297" customFormat="1">
      <c r="E4884" s="1297" t="s">
        <v>1046</v>
      </c>
      <c r="F4884" s="1399"/>
      <c r="G4884" s="1399"/>
      <c r="H4884" s="1399"/>
      <c r="I4884" s="1399">
        <v>2677114</v>
      </c>
      <c r="J4884" s="1399">
        <v>2677114</v>
      </c>
    </row>
    <row r="4885" spans="5:10" s="1297" customFormat="1">
      <c r="E4885" s="1297" t="s">
        <v>1047</v>
      </c>
      <c r="F4885" s="1399"/>
      <c r="G4885" s="1399"/>
      <c r="H4885" s="1399"/>
      <c r="I4885" s="1399">
        <v>405316</v>
      </c>
      <c r="J4885" s="1399">
        <v>405316</v>
      </c>
    </row>
    <row r="4886" spans="5:10" s="1297" customFormat="1">
      <c r="E4886" s="1297" t="s">
        <v>1048</v>
      </c>
      <c r="F4886" s="1399"/>
      <c r="G4886" s="1399"/>
      <c r="H4886" s="1399"/>
      <c r="I4886" s="1399">
        <v>-697267</v>
      </c>
      <c r="J4886" s="1399">
        <v>-697267</v>
      </c>
    </row>
    <row r="4887" spans="5:10" s="1297" customFormat="1">
      <c r="E4887" s="1404" t="s">
        <v>955</v>
      </c>
      <c r="F4887" s="1405"/>
      <c r="G4887" s="1405"/>
      <c r="H4887" s="1405"/>
      <c r="I4887" s="1405">
        <v>257439.1</v>
      </c>
      <c r="J4887" s="1405">
        <v>257439.1</v>
      </c>
    </row>
    <row r="4888" spans="5:10" s="1297" customFormat="1">
      <c r="E4888" s="1297" t="s">
        <v>934</v>
      </c>
      <c r="F4888" s="1399"/>
      <c r="G4888" s="1399"/>
      <c r="H4888" s="1399"/>
      <c r="I4888" s="1399">
        <v>12578</v>
      </c>
      <c r="J4888" s="1399">
        <v>12578</v>
      </c>
    </row>
    <row r="4889" spans="5:10" s="1297" customFormat="1">
      <c r="E4889" s="1297" t="s">
        <v>935</v>
      </c>
      <c r="F4889" s="1399"/>
      <c r="G4889" s="1399"/>
      <c r="H4889" s="1399"/>
      <c r="I4889" s="1399">
        <v>21404.62</v>
      </c>
      <c r="J4889" s="1399">
        <v>21404.62</v>
      </c>
    </row>
    <row r="4890" spans="5:10" s="1297" customFormat="1">
      <c r="E4890" s="1297" t="s">
        <v>936</v>
      </c>
      <c r="F4890" s="1399"/>
      <c r="G4890" s="1399"/>
      <c r="H4890" s="1399"/>
      <c r="I4890" s="1399">
        <v>16106.92</v>
      </c>
      <c r="J4890" s="1399">
        <v>16106.92</v>
      </c>
    </row>
    <row r="4891" spans="5:10" s="1297" customFormat="1">
      <c r="E4891" s="1297" t="s">
        <v>937</v>
      </c>
      <c r="F4891" s="1399"/>
      <c r="G4891" s="1399"/>
      <c r="H4891" s="1399"/>
      <c r="I4891" s="1399">
        <v>4552.33</v>
      </c>
      <c r="J4891" s="1399">
        <v>4552.33</v>
      </c>
    </row>
    <row r="4892" spans="5:10" s="1297" customFormat="1">
      <c r="E4892" s="1297" t="s">
        <v>938</v>
      </c>
      <c r="F4892" s="1399"/>
      <c r="G4892" s="1399"/>
      <c r="H4892" s="1399"/>
      <c r="I4892" s="1399">
        <v>5428</v>
      </c>
      <c r="J4892" s="1399">
        <v>5428</v>
      </c>
    </row>
    <row r="4893" spans="5:10" s="1297" customFormat="1">
      <c r="E4893" s="1297" t="s">
        <v>939</v>
      </c>
      <c r="F4893" s="1399"/>
      <c r="G4893" s="1399"/>
      <c r="H4893" s="1399"/>
      <c r="I4893" s="1399">
        <v>57120.409999999996</v>
      </c>
      <c r="J4893" s="1399">
        <v>57120.409999999996</v>
      </c>
    </row>
    <row r="4894" spans="5:10" s="1297" customFormat="1">
      <c r="E4894" s="1297" t="s">
        <v>1131</v>
      </c>
      <c r="F4894" s="1399">
        <v>38175.879999999997</v>
      </c>
      <c r="G4894" s="1399"/>
      <c r="H4894" s="1399"/>
      <c r="I4894" s="1399"/>
      <c r="J4894" s="1399">
        <v>38175.879999999997</v>
      </c>
    </row>
    <row r="4895" spans="5:10" s="1297" customFormat="1">
      <c r="E4895" s="1297" t="s">
        <v>940</v>
      </c>
      <c r="F4895" s="1399">
        <v>231740.7</v>
      </c>
      <c r="G4895" s="1399"/>
      <c r="H4895" s="1399"/>
      <c r="I4895" s="1399"/>
      <c r="J4895" s="1399">
        <v>231740.7</v>
      </c>
    </row>
    <row r="4896" spans="5:10" s="1297" customFormat="1">
      <c r="E4896" s="1297" t="s">
        <v>941</v>
      </c>
      <c r="F4896" s="1399">
        <v>137871.04000000001</v>
      </c>
      <c r="G4896" s="1399"/>
      <c r="H4896" s="1399"/>
      <c r="I4896" s="1399"/>
      <c r="J4896" s="1399">
        <v>137871.04000000001</v>
      </c>
    </row>
    <row r="4897" spans="2:12">
      <c r="B4897" s="1297"/>
      <c r="C4897" s="1297"/>
      <c r="D4897" s="1297"/>
      <c r="E4897" s="1297" t="s">
        <v>944</v>
      </c>
      <c r="F4897" s="1399">
        <v>783327.58000000007</v>
      </c>
      <c r="J4897" s="1399">
        <v>783327.58000000007</v>
      </c>
    </row>
    <row r="4898" spans="2:12">
      <c r="B4898" s="1297"/>
      <c r="C4898" s="1297"/>
      <c r="D4898" s="1297"/>
      <c r="E4898" s="1297" t="s">
        <v>945</v>
      </c>
      <c r="F4898" s="1399">
        <v>878428.05</v>
      </c>
      <c r="J4898" s="1399">
        <v>878428.05</v>
      </c>
    </row>
    <row r="4899" spans="2:12">
      <c r="B4899" s="1297"/>
      <c r="C4899" s="1297"/>
      <c r="D4899" s="1297"/>
      <c r="E4899" s="1297" t="s">
        <v>947</v>
      </c>
      <c r="F4899" s="1399">
        <v>26238</v>
      </c>
      <c r="J4899" s="1399">
        <v>26238</v>
      </c>
    </row>
    <row r="4900" spans="2:12">
      <c r="B4900" s="1297"/>
      <c r="C4900" s="1297"/>
      <c r="D4900" s="1297"/>
      <c r="E4900" s="1297" t="s">
        <v>1115</v>
      </c>
      <c r="F4900" s="1399">
        <v>9319.1200000000008</v>
      </c>
      <c r="J4900" s="1399">
        <v>9319.1200000000008</v>
      </c>
    </row>
    <row r="4901" spans="2:12">
      <c r="B4901" s="1297"/>
      <c r="C4901" s="1297"/>
      <c r="D4901" s="1297"/>
      <c r="E4901" s="1404" t="s">
        <v>948</v>
      </c>
      <c r="F4901" s="1405"/>
      <c r="G4901" s="1405"/>
      <c r="H4901" s="1405">
        <v>25627.25</v>
      </c>
      <c r="I4901" s="1405"/>
      <c r="J4901" s="1405">
        <v>25627.25</v>
      </c>
    </row>
    <row r="4902" spans="2:12">
      <c r="B4902" s="1297"/>
      <c r="C4902" s="1297"/>
      <c r="D4902" s="1400" t="s">
        <v>1337</v>
      </c>
      <c r="E4902" s="1400"/>
      <c r="F4902" s="1401">
        <f>SUM(F4870:F4901)</f>
        <v>2140391.37</v>
      </c>
      <c r="G4902" s="1401">
        <f>SUM(G4870:G4901)</f>
        <v>2136473.2599999998</v>
      </c>
      <c r="H4902" s="1401">
        <f>SUM(H4870:H4901)-H4901</f>
        <v>182030.12</v>
      </c>
      <c r="I4902" s="1401">
        <f>SUM(I4870:I4901)-I4887</f>
        <v>2502353.2800000003</v>
      </c>
      <c r="J4902" s="1401">
        <f>SUM(J4870:J4901)</f>
        <v>7244314.3799999999</v>
      </c>
      <c r="K4902" s="1401">
        <f>SUM(F4902:I4902)</f>
        <v>6961248.0300000003</v>
      </c>
      <c r="L4902" s="1408">
        <f>K4902/C4870</f>
        <v>13839.45930417495</v>
      </c>
    </row>
    <row r="4903" spans="2:12">
      <c r="B4903" s="1297" t="s">
        <v>1338</v>
      </c>
      <c r="C4903" s="1297">
        <v>4667</v>
      </c>
      <c r="D4903" s="1297" t="s">
        <v>1339</v>
      </c>
      <c r="E4903" s="1297" t="s">
        <v>906</v>
      </c>
      <c r="G4903" s="1399">
        <v>12667686.99</v>
      </c>
      <c r="J4903" s="1399">
        <v>12667686.99</v>
      </c>
    </row>
    <row r="4904" spans="2:12">
      <c r="B4904" s="1297"/>
      <c r="C4904" s="1297"/>
      <c r="D4904" s="1297"/>
      <c r="E4904" s="1297" t="s">
        <v>952</v>
      </c>
      <c r="G4904" s="1399">
        <v>91111.06</v>
      </c>
      <c r="J4904" s="1399">
        <v>91111.06</v>
      </c>
    </row>
    <row r="4905" spans="2:12">
      <c r="B4905" s="1297"/>
      <c r="C4905" s="1297"/>
      <c r="D4905" s="1297"/>
      <c r="E4905" s="1297" t="s">
        <v>907</v>
      </c>
      <c r="G4905" s="1399">
        <v>4352377.2</v>
      </c>
      <c r="J4905" s="1399">
        <v>4352377.2</v>
      </c>
    </row>
    <row r="4906" spans="2:12">
      <c r="B4906" s="1297"/>
      <c r="C4906" s="1297"/>
      <c r="D4906" s="1297"/>
      <c r="E4906" s="1297" t="s">
        <v>908</v>
      </c>
      <c r="G4906" s="1399">
        <v>44364.28</v>
      </c>
      <c r="J4906" s="1399">
        <v>44364.28</v>
      </c>
    </row>
    <row r="4907" spans="2:12">
      <c r="B4907" s="1297"/>
      <c r="C4907" s="1297"/>
      <c r="D4907" s="1297"/>
      <c r="E4907" s="1297" t="s">
        <v>909</v>
      </c>
      <c r="H4907" s="1399">
        <v>22687.75</v>
      </c>
      <c r="J4907" s="1399">
        <v>22687.75</v>
      </c>
    </row>
    <row r="4908" spans="2:12">
      <c r="B4908" s="1297"/>
      <c r="C4908" s="1297"/>
      <c r="D4908" s="1297"/>
      <c r="E4908" s="1297" t="s">
        <v>910</v>
      </c>
      <c r="H4908" s="1399">
        <v>740</v>
      </c>
      <c r="J4908" s="1399">
        <v>740</v>
      </c>
    </row>
    <row r="4909" spans="2:12">
      <c r="B4909" s="1297"/>
      <c r="C4909" s="1297"/>
      <c r="D4909" s="1297"/>
      <c r="E4909" s="1297" t="s">
        <v>1034</v>
      </c>
      <c r="H4909" s="1399">
        <v>24536.44</v>
      </c>
      <c r="J4909" s="1399">
        <v>24536.44</v>
      </c>
    </row>
    <row r="4910" spans="2:12">
      <c r="B4910" s="1297"/>
      <c r="C4910" s="1297"/>
      <c r="D4910" s="1297"/>
      <c r="E4910" s="1297" t="s">
        <v>1035</v>
      </c>
      <c r="H4910" s="1399">
        <v>738522.87</v>
      </c>
      <c r="J4910" s="1399">
        <v>738522.87</v>
      </c>
    </row>
    <row r="4911" spans="2:12">
      <c r="B4911" s="1297"/>
      <c r="C4911" s="1297"/>
      <c r="D4911" s="1297"/>
      <c r="E4911" s="1297" t="s">
        <v>1036</v>
      </c>
      <c r="H4911" s="1399">
        <v>29523.94</v>
      </c>
      <c r="J4911" s="1399">
        <v>29523.94</v>
      </c>
    </row>
    <row r="4912" spans="2:12">
      <c r="B4912" s="1297"/>
      <c r="C4912" s="1297"/>
      <c r="D4912" s="1297"/>
      <c r="E4912" s="1297" t="s">
        <v>1037</v>
      </c>
      <c r="H4912" s="1399">
        <v>3250</v>
      </c>
      <c r="J4912" s="1399">
        <v>3250</v>
      </c>
    </row>
    <row r="4913" spans="5:10" s="1297" customFormat="1">
      <c r="E4913" s="1297" t="s">
        <v>1039</v>
      </c>
      <c r="F4913" s="1399"/>
      <c r="G4913" s="1399"/>
      <c r="H4913" s="1399">
        <v>12206.02</v>
      </c>
      <c r="I4913" s="1399"/>
      <c r="J4913" s="1399">
        <v>12206.02</v>
      </c>
    </row>
    <row r="4914" spans="5:10" s="1297" customFormat="1">
      <c r="E4914" s="1297" t="s">
        <v>1041</v>
      </c>
      <c r="F4914" s="1399"/>
      <c r="G4914" s="1399"/>
      <c r="H4914" s="1399">
        <v>39737.760000000002</v>
      </c>
      <c r="I4914" s="1399"/>
      <c r="J4914" s="1399">
        <v>39737.760000000002</v>
      </c>
    </row>
    <row r="4915" spans="5:10" s="1297" customFormat="1">
      <c r="E4915" s="1297" t="s">
        <v>1042</v>
      </c>
      <c r="F4915" s="1399"/>
      <c r="G4915" s="1399"/>
      <c r="H4915" s="1399">
        <v>95143.5</v>
      </c>
      <c r="I4915" s="1399"/>
      <c r="J4915" s="1399">
        <v>95143.5</v>
      </c>
    </row>
    <row r="4916" spans="5:10" s="1297" customFormat="1">
      <c r="E4916" s="1297" t="s">
        <v>953</v>
      </c>
      <c r="F4916" s="1399"/>
      <c r="G4916" s="1399"/>
      <c r="H4916" s="1399">
        <v>6794.11</v>
      </c>
      <c r="I4916" s="1399"/>
      <c r="J4916" s="1399">
        <v>6794.11</v>
      </c>
    </row>
    <row r="4917" spans="5:10" s="1297" customFormat="1">
      <c r="E4917" s="1297" t="s">
        <v>985</v>
      </c>
      <c r="F4917" s="1399"/>
      <c r="G4917" s="1399"/>
      <c r="H4917" s="1399">
        <v>130707</v>
      </c>
      <c r="I4917" s="1399"/>
      <c r="J4917" s="1399">
        <v>130707</v>
      </c>
    </row>
    <row r="4918" spans="5:10" s="1297" customFormat="1">
      <c r="E4918" s="1297" t="s">
        <v>986</v>
      </c>
      <c r="F4918" s="1399"/>
      <c r="G4918" s="1399"/>
      <c r="H4918" s="1399">
        <v>800</v>
      </c>
      <c r="I4918" s="1399"/>
      <c r="J4918" s="1399">
        <v>800</v>
      </c>
    </row>
    <row r="4919" spans="5:10" s="1297" customFormat="1">
      <c r="E4919" s="1297" t="s">
        <v>1044</v>
      </c>
      <c r="F4919" s="1399">
        <v>131003.24</v>
      </c>
      <c r="G4919" s="1399"/>
      <c r="H4919" s="1399"/>
      <c r="I4919" s="1399"/>
      <c r="J4919" s="1399">
        <v>131003.24</v>
      </c>
    </row>
    <row r="4920" spans="5:10" s="1297" customFormat="1">
      <c r="E4920" s="1297" t="s">
        <v>1045</v>
      </c>
      <c r="F4920" s="1399"/>
      <c r="G4920" s="1399"/>
      <c r="H4920" s="1399">
        <v>524607.36</v>
      </c>
      <c r="I4920" s="1399"/>
      <c r="J4920" s="1399">
        <v>524607.36</v>
      </c>
    </row>
    <row r="4921" spans="5:10" s="1297" customFormat="1">
      <c r="E4921" s="1297" t="s">
        <v>1046</v>
      </c>
      <c r="F4921" s="1399"/>
      <c r="G4921" s="1399"/>
      <c r="H4921" s="1399"/>
      <c r="I4921" s="1399">
        <v>22368237</v>
      </c>
      <c r="J4921" s="1399">
        <v>22368237</v>
      </c>
    </row>
    <row r="4922" spans="5:10" s="1297" customFormat="1">
      <c r="E4922" s="1297" t="s">
        <v>1047</v>
      </c>
      <c r="F4922" s="1399"/>
      <c r="G4922" s="1399"/>
      <c r="H4922" s="1399"/>
      <c r="I4922" s="1399">
        <v>886724</v>
      </c>
      <c r="J4922" s="1399">
        <v>886724</v>
      </c>
    </row>
    <row r="4923" spans="5:10" s="1297" customFormat="1">
      <c r="E4923" s="1297" t="s">
        <v>1048</v>
      </c>
      <c r="F4923" s="1399"/>
      <c r="G4923" s="1399"/>
      <c r="H4923" s="1399"/>
      <c r="I4923" s="1399">
        <v>-3372466</v>
      </c>
      <c r="J4923" s="1399">
        <v>-3372466</v>
      </c>
    </row>
    <row r="4924" spans="5:10" s="1297" customFormat="1">
      <c r="E4924" s="1297" t="s">
        <v>932</v>
      </c>
      <c r="F4924" s="1399"/>
      <c r="G4924" s="1399"/>
      <c r="H4924" s="1399"/>
      <c r="I4924" s="1399">
        <v>2510005</v>
      </c>
      <c r="J4924" s="1399">
        <v>2510005</v>
      </c>
    </row>
    <row r="4925" spans="5:10" s="1297" customFormat="1">
      <c r="E4925" s="1404" t="s">
        <v>955</v>
      </c>
      <c r="F4925" s="1405"/>
      <c r="G4925" s="1405"/>
      <c r="H4925" s="1405"/>
      <c r="I4925" s="1405">
        <v>1208352.23</v>
      </c>
      <c r="J4925" s="1405">
        <v>1208352.23</v>
      </c>
    </row>
    <row r="4926" spans="5:10" s="1297" customFormat="1">
      <c r="E4926" s="1297" t="s">
        <v>934</v>
      </c>
      <c r="F4926" s="1399"/>
      <c r="G4926" s="1399"/>
      <c r="H4926" s="1399"/>
      <c r="I4926" s="1399">
        <v>98536</v>
      </c>
      <c r="J4926" s="1399">
        <v>98536</v>
      </c>
    </row>
    <row r="4927" spans="5:10" s="1297" customFormat="1">
      <c r="E4927" s="1297" t="s">
        <v>935</v>
      </c>
      <c r="F4927" s="1399"/>
      <c r="G4927" s="1399"/>
      <c r="H4927" s="1399"/>
      <c r="I4927" s="1399">
        <v>180300.76</v>
      </c>
      <c r="J4927" s="1399">
        <v>180300.76</v>
      </c>
    </row>
    <row r="4928" spans="5:10" s="1297" customFormat="1">
      <c r="E4928" s="1297" t="s">
        <v>936</v>
      </c>
      <c r="F4928" s="1399"/>
      <c r="G4928" s="1399"/>
      <c r="H4928" s="1399"/>
      <c r="I4928" s="1399">
        <v>89988.69</v>
      </c>
      <c r="J4928" s="1399">
        <v>89988.69</v>
      </c>
    </row>
    <row r="4929" spans="2:12">
      <c r="B4929" s="1297"/>
      <c r="C4929" s="1297"/>
      <c r="D4929" s="1297"/>
      <c r="E4929" s="1297" t="s">
        <v>937</v>
      </c>
      <c r="I4929" s="1399">
        <v>27850.33</v>
      </c>
      <c r="J4929" s="1399">
        <v>27850.33</v>
      </c>
    </row>
    <row r="4930" spans="2:12">
      <c r="B4930" s="1297"/>
      <c r="C4930" s="1297"/>
      <c r="D4930" s="1297"/>
      <c r="E4930" s="1297" t="s">
        <v>938</v>
      </c>
      <c r="I4930" s="1399">
        <v>34437</v>
      </c>
      <c r="J4930" s="1399">
        <v>34437</v>
      </c>
    </row>
    <row r="4931" spans="2:12">
      <c r="B4931" s="1297"/>
      <c r="C4931" s="1297"/>
      <c r="D4931" s="1297"/>
      <c r="E4931" s="1297" t="s">
        <v>939</v>
      </c>
      <c r="I4931" s="1399">
        <v>255920.52999999997</v>
      </c>
      <c r="J4931" s="1399">
        <v>255920.52999999997</v>
      </c>
    </row>
    <row r="4932" spans="2:12">
      <c r="B4932" s="1297"/>
      <c r="C4932" s="1297"/>
      <c r="D4932" s="1297"/>
      <c r="E4932" s="1297" t="s">
        <v>940</v>
      </c>
      <c r="F4932" s="1399">
        <v>1892313.36</v>
      </c>
      <c r="J4932" s="1399">
        <v>1892313.36</v>
      </c>
    </row>
    <row r="4933" spans="2:12">
      <c r="B4933" s="1297"/>
      <c r="C4933" s="1297"/>
      <c r="D4933" s="1297"/>
      <c r="E4933" s="1297" t="s">
        <v>941</v>
      </c>
      <c r="F4933" s="1399">
        <v>1156986.3400000001</v>
      </c>
      <c r="J4933" s="1399">
        <v>1156986.3400000001</v>
      </c>
    </row>
    <row r="4934" spans="2:12">
      <c r="B4934" s="1297"/>
      <c r="C4934" s="1297"/>
      <c r="D4934" s="1297"/>
      <c r="E4934" s="1297" t="s">
        <v>943</v>
      </c>
      <c r="F4934" s="1399">
        <v>41474.78</v>
      </c>
      <c r="J4934" s="1399">
        <v>41474.78</v>
      </c>
    </row>
    <row r="4935" spans="2:12">
      <c r="B4935" s="1297"/>
      <c r="C4935" s="1297"/>
      <c r="D4935" s="1297"/>
      <c r="E4935" s="1297" t="s">
        <v>944</v>
      </c>
      <c r="F4935" s="1399">
        <v>5621960.3700000001</v>
      </c>
      <c r="J4935" s="1399">
        <v>5621960.3700000001</v>
      </c>
    </row>
    <row r="4936" spans="2:12">
      <c r="B4936" s="1297"/>
      <c r="C4936" s="1297"/>
      <c r="D4936" s="1297"/>
      <c r="E4936" s="1297" t="s">
        <v>945</v>
      </c>
      <c r="F4936" s="1399">
        <v>2395850.2200000002</v>
      </c>
      <c r="J4936" s="1399">
        <v>2395850.2200000002</v>
      </c>
    </row>
    <row r="4937" spans="2:12">
      <c r="B4937" s="1297"/>
      <c r="C4937" s="1297"/>
      <c r="D4937" s="1297"/>
      <c r="E4937" s="1297" t="s">
        <v>978</v>
      </c>
      <c r="F4937" s="1399">
        <v>14400</v>
      </c>
      <c r="J4937" s="1399">
        <v>14400</v>
      </c>
    </row>
    <row r="4938" spans="2:12">
      <c r="B4938" s="1297"/>
      <c r="C4938" s="1297"/>
      <c r="D4938" s="1297"/>
      <c r="E4938" s="1297" t="s">
        <v>947</v>
      </c>
      <c r="F4938" s="1399">
        <v>228613.80000000002</v>
      </c>
      <c r="J4938" s="1399">
        <v>228613.80000000002</v>
      </c>
    </row>
    <row r="4939" spans="2:12">
      <c r="B4939" s="1297"/>
      <c r="C4939" s="1297"/>
      <c r="D4939" s="1297"/>
      <c r="E4939" s="1404" t="s">
        <v>1116</v>
      </c>
      <c r="F4939" s="1405"/>
      <c r="G4939" s="1405"/>
      <c r="H4939" s="1405">
        <v>15695618.68</v>
      </c>
      <c r="I4939" s="1405"/>
      <c r="J4939" s="1405">
        <v>15695618.68</v>
      </c>
    </row>
    <row r="4940" spans="2:12">
      <c r="B4940" s="1297"/>
      <c r="C4940" s="1297"/>
      <c r="D4940" s="1297"/>
      <c r="E4940" s="1404" t="s">
        <v>948</v>
      </c>
      <c r="F4940" s="1405"/>
      <c r="G4940" s="1405"/>
      <c r="H4940" s="1405">
        <v>1073741.4099999999</v>
      </c>
      <c r="I4940" s="1405"/>
      <c r="J4940" s="1405">
        <v>1073741.4099999999</v>
      </c>
    </row>
    <row r="4941" spans="2:12">
      <c r="B4941" s="1297"/>
      <c r="C4941" s="1297"/>
      <c r="D4941" s="1400" t="s">
        <v>1340</v>
      </c>
      <c r="E4941" s="1400"/>
      <c r="F4941" s="1401">
        <f>SUM(F4903:F4940)</f>
        <v>11482602.110000001</v>
      </c>
      <c r="G4941" s="1401">
        <f>SUM(G4903:G4940)</f>
        <v>17155539.530000001</v>
      </c>
      <c r="H4941" s="1401">
        <f>SUM(H4903:H4940)-(H4939+H4940)</f>
        <v>1629256.75</v>
      </c>
      <c r="I4941" s="1401">
        <f>SUM(I4903:I4940)-I4925</f>
        <v>23079533.310000002</v>
      </c>
      <c r="J4941" s="1401">
        <f>SUM(J4903:J4940)</f>
        <v>71324644.019999981</v>
      </c>
      <c r="K4941" s="1401">
        <f>SUM(F4941:I4941)</f>
        <v>53346931.700000003</v>
      </c>
      <c r="L4941" s="1408">
        <f>K4941/C4903</f>
        <v>11430.668887936577</v>
      </c>
    </row>
    <row r="4942" spans="2:12">
      <c r="B4942" s="1297" t="s">
        <v>1341</v>
      </c>
      <c r="C4942" s="1297">
        <v>564</v>
      </c>
      <c r="D4942" s="1297" t="s">
        <v>1342</v>
      </c>
      <c r="E4942" s="1297" t="s">
        <v>906</v>
      </c>
      <c r="G4942" s="1399">
        <v>2986501.3600000003</v>
      </c>
      <c r="J4942" s="1399">
        <v>2986501.3600000003</v>
      </c>
    </row>
    <row r="4943" spans="2:12">
      <c r="B4943" s="1297"/>
      <c r="C4943" s="1297"/>
      <c r="D4943" s="1297"/>
      <c r="E4943" s="1297" t="s">
        <v>907</v>
      </c>
      <c r="G4943" s="1399">
        <v>618536.06000000006</v>
      </c>
      <c r="J4943" s="1399">
        <v>618536.06000000006</v>
      </c>
    </row>
    <row r="4944" spans="2:12">
      <c r="B4944" s="1297"/>
      <c r="C4944" s="1297"/>
      <c r="D4944" s="1297"/>
      <c r="E4944" s="1297" t="s">
        <v>908</v>
      </c>
      <c r="G4944" s="1399">
        <v>0</v>
      </c>
      <c r="J4944" s="1399">
        <v>0</v>
      </c>
    </row>
    <row r="4945" spans="5:10" s="1297" customFormat="1">
      <c r="E4945" s="1297" t="s">
        <v>909</v>
      </c>
      <c r="F4945" s="1399"/>
      <c r="G4945" s="1399"/>
      <c r="H4945" s="1399">
        <v>9704.5</v>
      </c>
      <c r="I4945" s="1399"/>
      <c r="J4945" s="1399">
        <v>9704.5</v>
      </c>
    </row>
    <row r="4946" spans="5:10" s="1297" customFormat="1">
      <c r="E4946" s="1297" t="s">
        <v>1035</v>
      </c>
      <c r="F4946" s="1399"/>
      <c r="G4946" s="1399"/>
      <c r="H4946" s="1399">
        <v>14587.62</v>
      </c>
      <c r="I4946" s="1399"/>
      <c r="J4946" s="1399">
        <v>14587.62</v>
      </c>
    </row>
    <row r="4947" spans="5:10" s="1297" customFormat="1">
      <c r="E4947" s="1297" t="s">
        <v>1039</v>
      </c>
      <c r="F4947" s="1399"/>
      <c r="G4947" s="1399"/>
      <c r="H4947" s="1399">
        <v>11687.609999999999</v>
      </c>
      <c r="I4947" s="1399"/>
      <c r="J4947" s="1399">
        <v>11687.609999999999</v>
      </c>
    </row>
    <row r="4948" spans="5:10" s="1297" customFormat="1">
      <c r="E4948" s="1297" t="s">
        <v>1041</v>
      </c>
      <c r="F4948" s="1399"/>
      <c r="G4948" s="1399"/>
      <c r="H4948" s="1399">
        <v>7359.2</v>
      </c>
      <c r="I4948" s="1399"/>
      <c r="J4948" s="1399">
        <v>7359.2</v>
      </c>
    </row>
    <row r="4949" spans="5:10" s="1297" customFormat="1">
      <c r="E4949" s="1297" t="s">
        <v>1042</v>
      </c>
      <c r="F4949" s="1399"/>
      <c r="G4949" s="1399"/>
      <c r="H4949" s="1399">
        <v>21406.45</v>
      </c>
      <c r="I4949" s="1399"/>
      <c r="J4949" s="1399">
        <v>21406.45</v>
      </c>
    </row>
    <row r="4950" spans="5:10" s="1297" customFormat="1">
      <c r="E4950" s="1297" t="s">
        <v>986</v>
      </c>
      <c r="F4950" s="1399"/>
      <c r="G4950" s="1399"/>
      <c r="H4950" s="1399">
        <v>15005.62</v>
      </c>
      <c r="I4950" s="1399"/>
      <c r="J4950" s="1399">
        <v>15005.62</v>
      </c>
    </row>
    <row r="4951" spans="5:10" s="1297" customFormat="1">
      <c r="E4951" s="1297" t="s">
        <v>1044</v>
      </c>
      <c r="F4951" s="1399">
        <v>7363</v>
      </c>
      <c r="G4951" s="1399"/>
      <c r="H4951" s="1399"/>
      <c r="I4951" s="1399"/>
      <c r="J4951" s="1399">
        <v>7363</v>
      </c>
    </row>
    <row r="4952" spans="5:10" s="1297" customFormat="1">
      <c r="E4952" s="1297" t="s">
        <v>1045</v>
      </c>
      <c r="F4952" s="1399"/>
      <c r="G4952" s="1399"/>
      <c r="H4952" s="1399">
        <v>90790.27</v>
      </c>
      <c r="I4952" s="1399"/>
      <c r="J4952" s="1399">
        <v>90790.27</v>
      </c>
    </row>
    <row r="4953" spans="5:10" s="1297" customFormat="1">
      <c r="E4953" s="1297" t="s">
        <v>1046</v>
      </c>
      <c r="F4953" s="1399"/>
      <c r="G4953" s="1399"/>
      <c r="H4953" s="1399"/>
      <c r="I4953" s="1399">
        <v>3720945</v>
      </c>
      <c r="J4953" s="1399">
        <v>3720945</v>
      </c>
    </row>
    <row r="4954" spans="5:10" s="1297" customFormat="1">
      <c r="E4954" s="1297" t="s">
        <v>1047</v>
      </c>
      <c r="F4954" s="1399"/>
      <c r="G4954" s="1399"/>
      <c r="H4954" s="1399"/>
      <c r="I4954" s="1399">
        <v>14692</v>
      </c>
      <c r="J4954" s="1399">
        <v>14692</v>
      </c>
    </row>
    <row r="4955" spans="5:10" s="1297" customFormat="1">
      <c r="E4955" s="1297" t="s">
        <v>1048</v>
      </c>
      <c r="F4955" s="1399"/>
      <c r="G4955" s="1399"/>
      <c r="H4955" s="1399"/>
      <c r="I4955" s="1399">
        <v>-1049638</v>
      </c>
      <c r="J4955" s="1399">
        <v>-1049638</v>
      </c>
    </row>
    <row r="4956" spans="5:10" s="1297" customFormat="1">
      <c r="E4956" s="1404" t="s">
        <v>955</v>
      </c>
      <c r="F4956" s="1405"/>
      <c r="G4956" s="1405"/>
      <c r="H4956" s="1405"/>
      <c r="I4956" s="1405">
        <v>123309.84</v>
      </c>
      <c r="J4956" s="1405">
        <v>123309.84</v>
      </c>
    </row>
    <row r="4957" spans="5:10" s="1297" customFormat="1">
      <c r="E4957" s="1297" t="s">
        <v>934</v>
      </c>
      <c r="F4957" s="1399"/>
      <c r="G4957" s="1399"/>
      <c r="H4957" s="1399"/>
      <c r="I4957" s="1399">
        <v>13860</v>
      </c>
      <c r="J4957" s="1399">
        <v>13860</v>
      </c>
    </row>
    <row r="4958" spans="5:10" s="1297" customFormat="1">
      <c r="E4958" s="1297" t="s">
        <v>935</v>
      </c>
      <c r="F4958" s="1399"/>
      <c r="G4958" s="1399"/>
      <c r="H4958" s="1399"/>
      <c r="I4958" s="1399">
        <v>26657</v>
      </c>
      <c r="J4958" s="1399">
        <v>26657</v>
      </c>
    </row>
    <row r="4959" spans="5:10" s="1297" customFormat="1">
      <c r="E4959" s="1297" t="s">
        <v>936</v>
      </c>
      <c r="F4959" s="1399"/>
      <c r="G4959" s="1399"/>
      <c r="H4959" s="1399"/>
      <c r="I4959" s="1399">
        <v>12605.42</v>
      </c>
      <c r="J4959" s="1399">
        <v>12605.42</v>
      </c>
    </row>
    <row r="4960" spans="5:10" s="1297" customFormat="1">
      <c r="E4960" s="1297" t="s">
        <v>938</v>
      </c>
      <c r="F4960" s="1399"/>
      <c r="G4960" s="1399"/>
      <c r="H4960" s="1399"/>
      <c r="I4960" s="1399">
        <v>5240</v>
      </c>
      <c r="J4960" s="1399">
        <v>5240</v>
      </c>
    </row>
    <row r="4961" spans="2:12">
      <c r="B4961" s="1297"/>
      <c r="C4961" s="1297"/>
      <c r="D4961" s="1297"/>
      <c r="E4961" s="1297" t="s">
        <v>939</v>
      </c>
      <c r="I4961" s="1399">
        <v>0</v>
      </c>
      <c r="J4961" s="1399">
        <v>0</v>
      </c>
    </row>
    <row r="4962" spans="2:12">
      <c r="B4962" s="1297"/>
      <c r="C4962" s="1297"/>
      <c r="D4962" s="1297"/>
      <c r="E4962" s="1297" t="s">
        <v>1131</v>
      </c>
      <c r="F4962" s="1399">
        <v>51169.97</v>
      </c>
      <c r="J4962" s="1399">
        <v>51169.97</v>
      </c>
    </row>
    <row r="4963" spans="2:12">
      <c r="B4963" s="1297"/>
      <c r="C4963" s="1297"/>
      <c r="D4963" s="1297"/>
      <c r="E4963" s="1297" t="s">
        <v>940</v>
      </c>
      <c r="F4963" s="1399">
        <v>216229.92</v>
      </c>
      <c r="J4963" s="1399">
        <v>216229.92</v>
      </c>
    </row>
    <row r="4964" spans="2:12">
      <c r="B4964" s="1297"/>
      <c r="C4964" s="1297"/>
      <c r="D4964" s="1297"/>
      <c r="E4964" s="1297" t="s">
        <v>941</v>
      </c>
      <c r="F4964" s="1399">
        <v>112795.52</v>
      </c>
      <c r="J4964" s="1399">
        <v>112795.52</v>
      </c>
    </row>
    <row r="4965" spans="2:12">
      <c r="B4965" s="1297"/>
      <c r="C4965" s="1297"/>
      <c r="D4965" s="1297"/>
      <c r="E4965" s="1297" t="s">
        <v>943</v>
      </c>
      <c r="F4965" s="1399">
        <v>2773.52</v>
      </c>
      <c r="J4965" s="1399">
        <v>2773.52</v>
      </c>
    </row>
    <row r="4966" spans="2:12">
      <c r="B4966" s="1297"/>
      <c r="C4966" s="1297"/>
      <c r="D4966" s="1297"/>
      <c r="E4966" s="1297" t="s">
        <v>944</v>
      </c>
      <c r="F4966" s="1399">
        <v>980371.7699999999</v>
      </c>
      <c r="J4966" s="1399">
        <v>980371.7699999999</v>
      </c>
    </row>
    <row r="4967" spans="2:12">
      <c r="B4967" s="1297"/>
      <c r="C4967" s="1297"/>
      <c r="D4967" s="1297"/>
      <c r="E4967" s="1297" t="s">
        <v>945</v>
      </c>
      <c r="F4967" s="1399">
        <v>324147</v>
      </c>
      <c r="J4967" s="1399">
        <v>324147</v>
      </c>
    </row>
    <row r="4968" spans="2:12">
      <c r="B4968" s="1297"/>
      <c r="C4968" s="1297"/>
      <c r="D4968" s="1297"/>
      <c r="E4968" s="1297" t="s">
        <v>947</v>
      </c>
      <c r="F4968" s="1399">
        <v>26196.51</v>
      </c>
      <c r="J4968" s="1399">
        <v>26196.51</v>
      </c>
    </row>
    <row r="4969" spans="2:12">
      <c r="B4969" s="1297"/>
      <c r="C4969" s="1297"/>
      <c r="D4969" s="1297"/>
      <c r="E4969" s="1404" t="s">
        <v>948</v>
      </c>
      <c r="F4969" s="1405"/>
      <c r="G4969" s="1405"/>
      <c r="H4969" s="1405">
        <v>155106.96</v>
      </c>
      <c r="I4969" s="1405"/>
      <c r="J4969" s="1405">
        <v>155106.96</v>
      </c>
    </row>
    <row r="4970" spans="2:12">
      <c r="B4970" s="1297"/>
      <c r="C4970" s="1297"/>
      <c r="D4970" s="1400" t="s">
        <v>1343</v>
      </c>
      <c r="E4970" s="1400"/>
      <c r="F4970" s="1401">
        <f>SUM(F4942:F4969)</f>
        <v>1721047.21</v>
      </c>
      <c r="G4970" s="1401">
        <f>SUM(G4942:G4969)</f>
        <v>3605037.4200000004</v>
      </c>
      <c r="H4970" s="1401">
        <f>SUM(H4942:H4969)-H4969</f>
        <v>170541.27</v>
      </c>
      <c r="I4970" s="1401">
        <f>SUM(I4942:I4969)-I4956</f>
        <v>2744361.42</v>
      </c>
      <c r="J4970" s="1401">
        <f>SUM(J4942:J4969)</f>
        <v>8519404.1199999992</v>
      </c>
      <c r="K4970" s="1401">
        <f>SUM(F4970:I4970)</f>
        <v>8240987.3200000003</v>
      </c>
      <c r="L4970" s="1408">
        <f>K4970/C4942</f>
        <v>14611.679645390072</v>
      </c>
    </row>
    <row r="4971" spans="2:12">
      <c r="B4971" s="1297" t="s">
        <v>1344</v>
      </c>
      <c r="C4971" s="1297">
        <v>192</v>
      </c>
      <c r="D4971" s="1297" t="s">
        <v>1345</v>
      </c>
      <c r="E4971" s="1297" t="s">
        <v>906</v>
      </c>
      <c r="G4971" s="1399">
        <v>1277195.69</v>
      </c>
      <c r="J4971" s="1399">
        <v>1277195.69</v>
      </c>
    </row>
    <row r="4972" spans="2:12">
      <c r="B4972" s="1297"/>
      <c r="C4972" s="1297"/>
      <c r="D4972" s="1297"/>
      <c r="E4972" s="1297" t="s">
        <v>952</v>
      </c>
      <c r="G4972" s="1399">
        <v>3876.81</v>
      </c>
      <c r="J4972" s="1399">
        <v>3876.81</v>
      </c>
    </row>
    <row r="4973" spans="2:12">
      <c r="B4973" s="1297"/>
      <c r="C4973" s="1297"/>
      <c r="D4973" s="1297"/>
      <c r="E4973" s="1297" t="s">
        <v>907</v>
      </c>
      <c r="G4973" s="1399">
        <v>88189.41</v>
      </c>
      <c r="J4973" s="1399">
        <v>88189.41</v>
      </c>
    </row>
    <row r="4974" spans="2:12">
      <c r="B4974" s="1297"/>
      <c r="C4974" s="1297"/>
      <c r="D4974" s="1297"/>
      <c r="E4974" s="1297" t="s">
        <v>908</v>
      </c>
      <c r="G4974" s="1399">
        <v>13453.93</v>
      </c>
      <c r="J4974" s="1399">
        <v>13453.93</v>
      </c>
    </row>
    <row r="4975" spans="2:12">
      <c r="B4975" s="1297"/>
      <c r="C4975" s="1297"/>
      <c r="D4975" s="1297"/>
      <c r="E4975" s="1297" t="s">
        <v>909</v>
      </c>
      <c r="H4975" s="1399">
        <v>9909.64</v>
      </c>
      <c r="J4975" s="1399">
        <v>9909.64</v>
      </c>
    </row>
    <row r="4976" spans="2:12">
      <c r="B4976" s="1297"/>
      <c r="C4976" s="1297"/>
      <c r="D4976" s="1297"/>
      <c r="E4976" s="1297" t="s">
        <v>910</v>
      </c>
      <c r="H4976" s="1399">
        <v>11770.8</v>
      </c>
      <c r="J4976" s="1399">
        <v>11770.8</v>
      </c>
    </row>
    <row r="4977" spans="5:10" s="1297" customFormat="1">
      <c r="E4977" s="1297" t="s">
        <v>1034</v>
      </c>
      <c r="F4977" s="1399"/>
      <c r="G4977" s="1399"/>
      <c r="H4977" s="1399">
        <v>1366.2</v>
      </c>
      <c r="I4977" s="1399"/>
      <c r="J4977" s="1399">
        <v>1366.2</v>
      </c>
    </row>
    <row r="4978" spans="5:10" s="1297" customFormat="1">
      <c r="E4978" s="1297" t="s">
        <v>1035</v>
      </c>
      <c r="F4978" s="1399"/>
      <c r="G4978" s="1399"/>
      <c r="H4978" s="1399">
        <v>27904.33</v>
      </c>
      <c r="I4978" s="1399"/>
      <c r="J4978" s="1399">
        <v>27904.33</v>
      </c>
    </row>
    <row r="4979" spans="5:10" s="1297" customFormat="1">
      <c r="E4979" s="1297" t="s">
        <v>1036</v>
      </c>
      <c r="F4979" s="1399"/>
      <c r="G4979" s="1399"/>
      <c r="H4979" s="1399">
        <v>16832</v>
      </c>
      <c r="I4979" s="1399"/>
      <c r="J4979" s="1399">
        <v>16832</v>
      </c>
    </row>
    <row r="4980" spans="5:10" s="1297" customFormat="1">
      <c r="E4980" s="1297" t="s">
        <v>1039</v>
      </c>
      <c r="F4980" s="1399"/>
      <c r="G4980" s="1399"/>
      <c r="H4980" s="1399">
        <v>8762.49</v>
      </c>
      <c r="I4980" s="1399"/>
      <c r="J4980" s="1399">
        <v>8762.49</v>
      </c>
    </row>
    <row r="4981" spans="5:10" s="1297" customFormat="1">
      <c r="E4981" s="1297" t="s">
        <v>1041</v>
      </c>
      <c r="F4981" s="1399"/>
      <c r="G4981" s="1399"/>
      <c r="H4981" s="1399">
        <v>161.5</v>
      </c>
      <c r="I4981" s="1399"/>
      <c r="J4981" s="1399">
        <v>161.5</v>
      </c>
    </row>
    <row r="4982" spans="5:10" s="1297" customFormat="1">
      <c r="E4982" s="1297" t="s">
        <v>1042</v>
      </c>
      <c r="F4982" s="1399"/>
      <c r="G4982" s="1399"/>
      <c r="H4982" s="1399">
        <v>6565</v>
      </c>
      <c r="I4982" s="1399"/>
      <c r="J4982" s="1399">
        <v>6565</v>
      </c>
    </row>
    <row r="4983" spans="5:10" s="1297" customFormat="1">
      <c r="E4983" s="1297" t="s">
        <v>1045</v>
      </c>
      <c r="F4983" s="1399"/>
      <c r="G4983" s="1399"/>
      <c r="H4983" s="1399">
        <v>61633.14</v>
      </c>
      <c r="I4983" s="1399"/>
      <c r="J4983" s="1399">
        <v>61633.14</v>
      </c>
    </row>
    <row r="4984" spans="5:10" s="1297" customFormat="1">
      <c r="E4984" s="1297" t="s">
        <v>1046</v>
      </c>
      <c r="F4984" s="1399"/>
      <c r="G4984" s="1399"/>
      <c r="H4984" s="1399"/>
      <c r="I4984" s="1399">
        <v>1255535</v>
      </c>
      <c r="J4984" s="1399">
        <v>1255535</v>
      </c>
    </row>
    <row r="4985" spans="5:10" s="1297" customFormat="1">
      <c r="E4985" s="1297" t="s">
        <v>1047</v>
      </c>
      <c r="F4985" s="1399"/>
      <c r="G4985" s="1399"/>
      <c r="H4985" s="1399"/>
      <c r="I4985" s="1399">
        <v>286317</v>
      </c>
      <c r="J4985" s="1399">
        <v>286317</v>
      </c>
    </row>
    <row r="4986" spans="5:10" s="1297" customFormat="1">
      <c r="E4986" s="1297" t="s">
        <v>1048</v>
      </c>
      <c r="F4986" s="1399"/>
      <c r="G4986" s="1399"/>
      <c r="H4986" s="1399"/>
      <c r="I4986" s="1399">
        <v>-388965.5</v>
      </c>
      <c r="J4986" s="1399">
        <v>-388965.5</v>
      </c>
    </row>
    <row r="4987" spans="5:10" s="1297" customFormat="1">
      <c r="E4987" s="1297" t="s">
        <v>934</v>
      </c>
      <c r="F4987" s="1399"/>
      <c r="G4987" s="1399"/>
      <c r="H4987" s="1399"/>
      <c r="I4987" s="1399">
        <v>3896</v>
      </c>
      <c r="J4987" s="1399">
        <v>3896</v>
      </c>
    </row>
    <row r="4988" spans="5:10" s="1297" customFormat="1">
      <c r="E4988" s="1297" t="s">
        <v>935</v>
      </c>
      <c r="F4988" s="1399"/>
      <c r="G4988" s="1399"/>
      <c r="H4988" s="1399"/>
      <c r="I4988" s="1399">
        <v>242279.32</v>
      </c>
      <c r="J4988" s="1399">
        <v>242279.32</v>
      </c>
    </row>
    <row r="4989" spans="5:10" s="1297" customFormat="1">
      <c r="E4989" s="1297" t="s">
        <v>936</v>
      </c>
      <c r="F4989" s="1399"/>
      <c r="G4989" s="1399"/>
      <c r="H4989" s="1399"/>
      <c r="I4989" s="1399">
        <v>4902.1099999999997</v>
      </c>
      <c r="J4989" s="1399">
        <v>4902.1099999999997</v>
      </c>
    </row>
    <row r="4990" spans="5:10" s="1297" customFormat="1">
      <c r="E4990" s="1297" t="s">
        <v>938</v>
      </c>
      <c r="F4990" s="1399"/>
      <c r="G4990" s="1399"/>
      <c r="H4990" s="1399"/>
      <c r="I4990" s="1399">
        <v>2433</v>
      </c>
      <c r="J4990" s="1399">
        <v>2433</v>
      </c>
    </row>
    <row r="4991" spans="5:10" s="1297" customFormat="1">
      <c r="E4991" s="1297" t="s">
        <v>940</v>
      </c>
      <c r="F4991" s="1399">
        <v>83163.28</v>
      </c>
      <c r="G4991" s="1399"/>
      <c r="H4991" s="1399"/>
      <c r="I4991" s="1399"/>
      <c r="J4991" s="1399">
        <v>83163.28</v>
      </c>
    </row>
    <row r="4992" spans="5:10" s="1297" customFormat="1">
      <c r="E4992" s="1297" t="s">
        <v>941</v>
      </c>
      <c r="F4992" s="1399">
        <v>48602.720000000001</v>
      </c>
      <c r="G4992" s="1399"/>
      <c r="H4992" s="1399"/>
      <c r="I4992" s="1399"/>
      <c r="J4992" s="1399">
        <v>48602.720000000001</v>
      </c>
    </row>
    <row r="4993" spans="2:12">
      <c r="B4993" s="1297"/>
      <c r="C4993" s="1297"/>
      <c r="D4993" s="1297"/>
      <c r="E4993" s="1297" t="s">
        <v>943</v>
      </c>
      <c r="F4993" s="1399">
        <v>2251.8200000000002</v>
      </c>
      <c r="J4993" s="1399">
        <v>2251.8200000000002</v>
      </c>
    </row>
    <row r="4994" spans="2:12">
      <c r="B4994" s="1297"/>
      <c r="C4994" s="1297"/>
      <c r="D4994" s="1297"/>
      <c r="E4994" s="1297" t="s">
        <v>944</v>
      </c>
      <c r="F4994" s="1399">
        <v>248877.83</v>
      </c>
      <c r="J4994" s="1399">
        <v>248877.83</v>
      </c>
    </row>
    <row r="4995" spans="2:12">
      <c r="B4995" s="1297"/>
      <c r="C4995" s="1297"/>
      <c r="D4995" s="1297"/>
      <c r="E4995" s="1297" t="s">
        <v>945</v>
      </c>
      <c r="F4995" s="1399">
        <v>120632</v>
      </c>
      <c r="J4995" s="1399">
        <v>120632</v>
      </c>
    </row>
    <row r="4996" spans="2:12">
      <c r="B4996" s="1297"/>
      <c r="C4996" s="1297"/>
      <c r="D4996" s="1297"/>
      <c r="E4996" s="1297" t="s">
        <v>978</v>
      </c>
      <c r="F4996" s="1399">
        <v>1200</v>
      </c>
      <c r="J4996" s="1399">
        <v>1200</v>
      </c>
    </row>
    <row r="4997" spans="2:12">
      <c r="B4997" s="1297"/>
      <c r="C4997" s="1297"/>
      <c r="D4997" s="1297"/>
      <c r="E4997" s="1297" t="s">
        <v>947</v>
      </c>
      <c r="F4997" s="1399">
        <v>6900.13</v>
      </c>
      <c r="J4997" s="1399">
        <v>6900.13</v>
      </c>
    </row>
    <row r="4998" spans="2:12">
      <c r="B4998" s="1297"/>
      <c r="C4998" s="1297"/>
      <c r="D4998" s="1297"/>
      <c r="E4998" s="1404" t="s">
        <v>948</v>
      </c>
      <c r="F4998" s="1405"/>
      <c r="G4998" s="1405"/>
      <c r="H4998" s="1405">
        <v>3864.3799999999997</v>
      </c>
      <c r="I4998" s="1405"/>
      <c r="J4998" s="1405">
        <v>3864.3799999999997</v>
      </c>
    </row>
    <row r="4999" spans="2:12">
      <c r="B4999" s="1297"/>
      <c r="C4999" s="1297"/>
      <c r="D4999" s="1400" t="s">
        <v>1346</v>
      </c>
      <c r="E4999" s="1400"/>
      <c r="F4999" s="1401">
        <f>SUM(F4971:F4998)</f>
        <v>511627.78</v>
      </c>
      <c r="G4999" s="1401">
        <f>SUM(G4971:G4998)</f>
        <v>1382715.8399999999</v>
      </c>
      <c r="H4999" s="1401">
        <f>SUM(H4971:H4998)-H4998</f>
        <v>144905.1</v>
      </c>
      <c r="I4999" s="1401">
        <f>SUM(I4971:I4998)</f>
        <v>1406396.9300000002</v>
      </c>
      <c r="J4999" s="1401">
        <f>SUM(J4971:J4998)</f>
        <v>3449510.0299999989</v>
      </c>
      <c r="K4999" s="1401">
        <f>SUM(F4999:I4999)</f>
        <v>3445645.6500000004</v>
      </c>
      <c r="L4999" s="1408">
        <f>K4999/C4971</f>
        <v>17946.071093750001</v>
      </c>
    </row>
    <row r="5000" spans="2:12">
      <c r="B5000" s="1297" t="s">
        <v>1347</v>
      </c>
      <c r="C5000" s="1297">
        <v>3371</v>
      </c>
      <c r="D5000" s="1297" t="s">
        <v>1348</v>
      </c>
      <c r="E5000" s="1297" t="s">
        <v>906</v>
      </c>
      <c r="G5000" s="1399">
        <v>5374781.54</v>
      </c>
      <c r="J5000" s="1399">
        <v>5374781.54</v>
      </c>
    </row>
    <row r="5001" spans="2:12">
      <c r="B5001" s="1297"/>
      <c r="C5001" s="1297"/>
      <c r="D5001" s="1297"/>
      <c r="E5001" s="1297" t="s">
        <v>952</v>
      </c>
      <c r="G5001" s="1399">
        <v>45346.51</v>
      </c>
      <c r="J5001" s="1399">
        <v>45346.51</v>
      </c>
    </row>
    <row r="5002" spans="2:12">
      <c r="B5002" s="1297"/>
      <c r="C5002" s="1297"/>
      <c r="D5002" s="1297"/>
      <c r="E5002" s="1297" t="s">
        <v>907</v>
      </c>
      <c r="G5002" s="1399">
        <v>1903932.14</v>
      </c>
      <c r="J5002" s="1399">
        <v>1903932.14</v>
      </c>
    </row>
    <row r="5003" spans="2:12">
      <c r="B5003" s="1297"/>
      <c r="C5003" s="1297"/>
      <c r="D5003" s="1297"/>
      <c r="E5003" s="1297" t="s">
        <v>908</v>
      </c>
      <c r="G5003" s="1399">
        <v>5953.33</v>
      </c>
      <c r="J5003" s="1399">
        <v>5953.33</v>
      </c>
    </row>
    <row r="5004" spans="2:12">
      <c r="B5004" s="1297"/>
      <c r="C5004" s="1297"/>
      <c r="D5004" s="1297"/>
      <c r="E5004" s="1297" t="s">
        <v>909</v>
      </c>
      <c r="H5004" s="1399">
        <v>107274.58</v>
      </c>
      <c r="J5004" s="1399">
        <v>107274.58</v>
      </c>
    </row>
    <row r="5005" spans="2:12">
      <c r="B5005" s="1297"/>
      <c r="C5005" s="1297"/>
      <c r="D5005" s="1297"/>
      <c r="E5005" s="1297" t="s">
        <v>910</v>
      </c>
      <c r="H5005" s="1399">
        <v>47128.3</v>
      </c>
      <c r="J5005" s="1399">
        <v>47128.3</v>
      </c>
    </row>
    <row r="5006" spans="2:12">
      <c r="B5006" s="1297"/>
      <c r="C5006" s="1297"/>
      <c r="D5006" s="1297"/>
      <c r="E5006" s="1297" t="s">
        <v>1034</v>
      </c>
      <c r="H5006" s="1399">
        <v>59329.79</v>
      </c>
      <c r="J5006" s="1399">
        <v>59329.79</v>
      </c>
    </row>
    <row r="5007" spans="2:12">
      <c r="B5007" s="1297"/>
      <c r="C5007" s="1297"/>
      <c r="D5007" s="1297"/>
      <c r="E5007" s="1297" t="s">
        <v>1035</v>
      </c>
      <c r="H5007" s="1399">
        <v>363447.95999999996</v>
      </c>
      <c r="J5007" s="1399">
        <v>363447.95999999996</v>
      </c>
    </row>
    <row r="5008" spans="2:12">
      <c r="B5008" s="1297"/>
      <c r="C5008" s="1297"/>
      <c r="D5008" s="1297"/>
      <c r="E5008" s="1297" t="s">
        <v>1036</v>
      </c>
      <c r="H5008" s="1399">
        <v>141519.54</v>
      </c>
      <c r="J5008" s="1399">
        <v>141519.54</v>
      </c>
    </row>
    <row r="5009" spans="5:10" s="1297" customFormat="1">
      <c r="E5009" s="1297" t="s">
        <v>1039</v>
      </c>
      <c r="F5009" s="1399"/>
      <c r="G5009" s="1399"/>
      <c r="H5009" s="1399">
        <v>147009.94</v>
      </c>
      <c r="I5009" s="1399"/>
      <c r="J5009" s="1399">
        <v>147009.94</v>
      </c>
    </row>
    <row r="5010" spans="5:10" s="1297" customFormat="1">
      <c r="E5010" s="1297" t="s">
        <v>1040</v>
      </c>
      <c r="F5010" s="1399"/>
      <c r="G5010" s="1399"/>
      <c r="H5010" s="1399">
        <v>175129.85</v>
      </c>
      <c r="I5010" s="1399"/>
      <c r="J5010" s="1399">
        <v>175129.85</v>
      </c>
    </row>
    <row r="5011" spans="5:10" s="1297" customFormat="1">
      <c r="E5011" s="1297" t="s">
        <v>1041</v>
      </c>
      <c r="F5011" s="1399"/>
      <c r="G5011" s="1399"/>
      <c r="H5011" s="1399">
        <v>89593.05</v>
      </c>
      <c r="I5011" s="1399"/>
      <c r="J5011" s="1399">
        <v>89593.05</v>
      </c>
    </row>
    <row r="5012" spans="5:10" s="1297" customFormat="1">
      <c r="E5012" s="1297" t="s">
        <v>1042</v>
      </c>
      <c r="F5012" s="1399"/>
      <c r="G5012" s="1399"/>
      <c r="H5012" s="1399">
        <v>71041.75</v>
      </c>
      <c r="I5012" s="1399"/>
      <c r="J5012" s="1399">
        <v>71041.75</v>
      </c>
    </row>
    <row r="5013" spans="5:10" s="1297" customFormat="1">
      <c r="E5013" s="1297" t="s">
        <v>985</v>
      </c>
      <c r="F5013" s="1399"/>
      <c r="G5013" s="1399"/>
      <c r="H5013" s="1399">
        <v>70172.87</v>
      </c>
      <c r="I5013" s="1399"/>
      <c r="J5013" s="1399">
        <v>70172.87</v>
      </c>
    </row>
    <row r="5014" spans="5:10" s="1297" customFormat="1">
      <c r="E5014" s="1297" t="s">
        <v>1044</v>
      </c>
      <c r="F5014" s="1399">
        <v>34809.760000000002</v>
      </c>
      <c r="G5014" s="1399"/>
      <c r="H5014" s="1399"/>
      <c r="I5014" s="1399"/>
      <c r="J5014" s="1399">
        <v>34809.760000000002</v>
      </c>
    </row>
    <row r="5015" spans="5:10" s="1297" customFormat="1">
      <c r="E5015" s="1297" t="s">
        <v>1045</v>
      </c>
      <c r="F5015" s="1399"/>
      <c r="G5015" s="1399"/>
      <c r="H5015" s="1399">
        <v>391034.9</v>
      </c>
      <c r="I5015" s="1399"/>
      <c r="J5015" s="1399">
        <v>391034.9</v>
      </c>
    </row>
    <row r="5016" spans="5:10" s="1297" customFormat="1">
      <c r="E5016" s="1297" t="s">
        <v>1046</v>
      </c>
      <c r="F5016" s="1399"/>
      <c r="G5016" s="1399"/>
      <c r="H5016" s="1399"/>
      <c r="I5016" s="1399">
        <v>17424169</v>
      </c>
      <c r="J5016" s="1399">
        <v>17424169</v>
      </c>
    </row>
    <row r="5017" spans="5:10" s="1297" customFormat="1">
      <c r="E5017" s="1297" t="s">
        <v>1047</v>
      </c>
      <c r="F5017" s="1399"/>
      <c r="G5017" s="1399"/>
      <c r="H5017" s="1399"/>
      <c r="I5017" s="1399">
        <v>594847</v>
      </c>
      <c r="J5017" s="1399">
        <v>594847</v>
      </c>
    </row>
    <row r="5018" spans="5:10" s="1297" customFormat="1">
      <c r="E5018" s="1297" t="s">
        <v>1048</v>
      </c>
      <c r="F5018" s="1399"/>
      <c r="G5018" s="1399"/>
      <c r="H5018" s="1399"/>
      <c r="I5018" s="1399">
        <v>-1782286</v>
      </c>
      <c r="J5018" s="1399">
        <v>-1782286</v>
      </c>
    </row>
    <row r="5019" spans="5:10" s="1297" customFormat="1">
      <c r="E5019" s="1297" t="s">
        <v>932</v>
      </c>
      <c r="F5019" s="1399"/>
      <c r="G5019" s="1399"/>
      <c r="H5019" s="1399"/>
      <c r="I5019" s="1399">
        <v>1670361</v>
      </c>
      <c r="J5019" s="1399">
        <v>1670361</v>
      </c>
    </row>
    <row r="5020" spans="5:10" s="1297" customFormat="1">
      <c r="E5020" s="1404" t="s">
        <v>955</v>
      </c>
      <c r="F5020" s="1405"/>
      <c r="G5020" s="1405"/>
      <c r="H5020" s="1405"/>
      <c r="I5020" s="1405">
        <v>956148.5</v>
      </c>
      <c r="J5020" s="1405">
        <v>956148.5</v>
      </c>
    </row>
    <row r="5021" spans="5:10" s="1297" customFormat="1">
      <c r="E5021" s="1297" t="s">
        <v>934</v>
      </c>
      <c r="F5021" s="1399"/>
      <c r="G5021" s="1399"/>
      <c r="H5021" s="1399"/>
      <c r="I5021" s="1399">
        <v>57732</v>
      </c>
      <c r="J5021" s="1399">
        <v>57732</v>
      </c>
    </row>
    <row r="5022" spans="5:10" s="1297" customFormat="1">
      <c r="E5022" s="1297" t="s">
        <v>935</v>
      </c>
      <c r="F5022" s="1399"/>
      <c r="G5022" s="1399"/>
      <c r="H5022" s="1399"/>
      <c r="I5022" s="1399">
        <v>432381.18000000005</v>
      </c>
      <c r="J5022" s="1399">
        <v>432381.18000000005</v>
      </c>
    </row>
    <row r="5023" spans="5:10" s="1297" customFormat="1">
      <c r="E5023" s="1297" t="s">
        <v>936</v>
      </c>
      <c r="F5023" s="1399"/>
      <c r="G5023" s="1399"/>
      <c r="H5023" s="1399"/>
      <c r="I5023" s="1399">
        <v>60926.19</v>
      </c>
      <c r="J5023" s="1399">
        <v>60926.19</v>
      </c>
    </row>
    <row r="5024" spans="5:10" s="1297" customFormat="1">
      <c r="E5024" s="1297" t="s">
        <v>937</v>
      </c>
      <c r="F5024" s="1399"/>
      <c r="G5024" s="1399"/>
      <c r="H5024" s="1399"/>
      <c r="I5024" s="1399">
        <v>12061.58</v>
      </c>
      <c r="J5024" s="1399">
        <v>12061.58</v>
      </c>
    </row>
    <row r="5025" spans="2:12">
      <c r="B5025" s="1297"/>
      <c r="C5025" s="1297"/>
      <c r="D5025" s="1297"/>
      <c r="E5025" s="1297" t="s">
        <v>938</v>
      </c>
      <c r="I5025" s="1399">
        <v>20775</v>
      </c>
      <c r="J5025" s="1399">
        <v>20775</v>
      </c>
    </row>
    <row r="5026" spans="2:12">
      <c r="B5026" s="1297"/>
      <c r="C5026" s="1297"/>
      <c r="D5026" s="1297"/>
      <c r="E5026" s="1297" t="s">
        <v>940</v>
      </c>
      <c r="F5026" s="1399">
        <v>1106491.26</v>
      </c>
      <c r="J5026" s="1399">
        <v>1106491.26</v>
      </c>
    </row>
    <row r="5027" spans="2:12">
      <c r="B5027" s="1297"/>
      <c r="C5027" s="1297"/>
      <c r="D5027" s="1297"/>
      <c r="E5027" s="1297" t="s">
        <v>941</v>
      </c>
      <c r="F5027" s="1399">
        <v>419711.74</v>
      </c>
      <c r="J5027" s="1399">
        <v>419711.74</v>
      </c>
    </row>
    <row r="5028" spans="2:12">
      <c r="B5028" s="1297"/>
      <c r="C5028" s="1297"/>
      <c r="D5028" s="1297"/>
      <c r="E5028" s="1297" t="s">
        <v>942</v>
      </c>
      <c r="F5028" s="1399">
        <v>15719.6</v>
      </c>
      <c r="J5028" s="1399">
        <v>15719.6</v>
      </c>
    </row>
    <row r="5029" spans="2:12">
      <c r="B5029" s="1297"/>
      <c r="C5029" s="1297"/>
      <c r="D5029" s="1297"/>
      <c r="E5029" s="1297" t="s">
        <v>943</v>
      </c>
      <c r="F5029" s="1399">
        <v>3013.28</v>
      </c>
      <c r="J5029" s="1399">
        <v>3013.28</v>
      </c>
    </row>
    <row r="5030" spans="2:12">
      <c r="B5030" s="1297"/>
      <c r="C5030" s="1297"/>
      <c r="D5030" s="1297"/>
      <c r="E5030" s="1297" t="s">
        <v>944</v>
      </c>
      <c r="F5030" s="1399">
        <v>3000108.3799999994</v>
      </c>
      <c r="J5030" s="1399">
        <v>3000108.3799999994</v>
      </c>
    </row>
    <row r="5031" spans="2:12">
      <c r="B5031" s="1297"/>
      <c r="C5031" s="1297"/>
      <c r="D5031" s="1297"/>
      <c r="E5031" s="1297" t="s">
        <v>945</v>
      </c>
      <c r="F5031" s="1399">
        <v>1627079.61</v>
      </c>
      <c r="J5031" s="1399">
        <v>1627079.61</v>
      </c>
    </row>
    <row r="5032" spans="2:12">
      <c r="B5032" s="1297"/>
      <c r="C5032" s="1297"/>
      <c r="D5032" s="1297"/>
      <c r="E5032" s="1297" t="s">
        <v>946</v>
      </c>
      <c r="F5032" s="1399">
        <v>407241.64999999997</v>
      </c>
      <c r="J5032" s="1399">
        <v>407241.64999999997</v>
      </c>
    </row>
    <row r="5033" spans="2:12">
      <c r="B5033" s="1297"/>
      <c r="C5033" s="1297"/>
      <c r="D5033" s="1297"/>
      <c r="E5033" s="1297" t="s">
        <v>978</v>
      </c>
      <c r="F5033" s="1399">
        <v>1200</v>
      </c>
      <c r="J5033" s="1399">
        <v>1200</v>
      </c>
    </row>
    <row r="5034" spans="2:12">
      <c r="B5034" s="1297"/>
      <c r="C5034" s="1297"/>
      <c r="D5034" s="1297"/>
      <c r="E5034" s="1297" t="s">
        <v>947</v>
      </c>
      <c r="F5034" s="1399">
        <v>159426.62</v>
      </c>
      <c r="J5034" s="1399">
        <v>159426.62</v>
      </c>
    </row>
    <row r="5035" spans="2:12">
      <c r="B5035" s="1297"/>
      <c r="C5035" s="1297"/>
      <c r="D5035" s="1297"/>
      <c r="E5035" s="1404" t="s">
        <v>948</v>
      </c>
      <c r="F5035" s="1405"/>
      <c r="G5035" s="1405"/>
      <c r="H5035" s="1405">
        <v>481085.66000000009</v>
      </c>
      <c r="I5035" s="1405"/>
      <c r="J5035" s="1405">
        <v>481085.66000000009</v>
      </c>
    </row>
    <row r="5036" spans="2:12">
      <c r="B5036" s="1297"/>
      <c r="C5036" s="1297"/>
      <c r="D5036" s="1400" t="s">
        <v>1349</v>
      </c>
      <c r="E5036" s="1400"/>
      <c r="F5036" s="1401">
        <f>SUM(F5000:F5035)</f>
        <v>6774801.9000000004</v>
      </c>
      <c r="G5036" s="1401">
        <f>SUM(G5000:G5035)</f>
        <v>7330013.5199999996</v>
      </c>
      <c r="H5036" s="1401">
        <f>SUM(H5000:H5035)-H5035</f>
        <v>1662682.5299999998</v>
      </c>
      <c r="I5036" s="1401">
        <f>SUM(I5000:I5035)-I5020</f>
        <v>18490966.949999999</v>
      </c>
      <c r="J5036" s="1401">
        <f>SUM(J5000:J5035)</f>
        <v>35695699.059999995</v>
      </c>
      <c r="K5036" s="1401">
        <f>SUM(F5036:I5036)</f>
        <v>34258464.899999999</v>
      </c>
      <c r="L5036" s="1408">
        <f>K5036/C5000</f>
        <v>10162.700949273212</v>
      </c>
    </row>
    <row r="5037" spans="2:12">
      <c r="B5037" s="1297" t="s">
        <v>1350</v>
      </c>
      <c r="C5037" s="1297">
        <v>1502</v>
      </c>
      <c r="D5037" s="1297" t="s">
        <v>1351</v>
      </c>
      <c r="E5037" s="1297" t="s">
        <v>906</v>
      </c>
      <c r="G5037" s="1399">
        <v>2884862.53</v>
      </c>
      <c r="J5037" s="1399">
        <v>2884862.53</v>
      </c>
    </row>
    <row r="5038" spans="2:12">
      <c r="B5038" s="1297"/>
      <c r="C5038" s="1297"/>
      <c r="D5038" s="1297"/>
      <c r="E5038" s="1297" t="s">
        <v>952</v>
      </c>
      <c r="G5038" s="1399">
        <v>3958.28</v>
      </c>
      <c r="J5038" s="1399">
        <v>3958.28</v>
      </c>
    </row>
    <row r="5039" spans="2:12">
      <c r="B5039" s="1297"/>
      <c r="C5039" s="1297"/>
      <c r="D5039" s="1297"/>
      <c r="E5039" s="1297" t="s">
        <v>907</v>
      </c>
      <c r="G5039" s="1399">
        <v>781035.6</v>
      </c>
      <c r="J5039" s="1399">
        <v>781035.6</v>
      </c>
    </row>
    <row r="5040" spans="2:12">
      <c r="B5040" s="1297"/>
      <c r="C5040" s="1297"/>
      <c r="D5040" s="1297"/>
      <c r="E5040" s="1297" t="s">
        <v>908</v>
      </c>
      <c r="G5040" s="1399">
        <v>23463.89</v>
      </c>
      <c r="J5040" s="1399">
        <v>23463.89</v>
      </c>
    </row>
    <row r="5041" spans="5:10" s="1297" customFormat="1">
      <c r="E5041" s="1297" t="s">
        <v>910</v>
      </c>
      <c r="F5041" s="1399"/>
      <c r="G5041" s="1399"/>
      <c r="H5041" s="1399">
        <v>63555.44</v>
      </c>
      <c r="I5041" s="1399"/>
      <c r="J5041" s="1399">
        <v>63555.44</v>
      </c>
    </row>
    <row r="5042" spans="5:10" s="1297" customFormat="1">
      <c r="E5042" s="1297" t="s">
        <v>1035</v>
      </c>
      <c r="F5042" s="1399"/>
      <c r="G5042" s="1399"/>
      <c r="H5042" s="1399">
        <v>262713.86</v>
      </c>
      <c r="I5042" s="1399"/>
      <c r="J5042" s="1399">
        <v>262713.86</v>
      </c>
    </row>
    <row r="5043" spans="5:10" s="1297" customFormat="1">
      <c r="E5043" s="1297" t="s">
        <v>1036</v>
      </c>
      <c r="F5043" s="1399"/>
      <c r="G5043" s="1399"/>
      <c r="H5043" s="1399">
        <v>101886.37</v>
      </c>
      <c r="I5043" s="1399"/>
      <c r="J5043" s="1399">
        <v>101886.37</v>
      </c>
    </row>
    <row r="5044" spans="5:10" s="1297" customFormat="1">
      <c r="E5044" s="1297" t="s">
        <v>1037</v>
      </c>
      <c r="F5044" s="1399"/>
      <c r="G5044" s="1399"/>
      <c r="H5044" s="1399">
        <v>34456.019999999997</v>
      </c>
      <c r="I5044" s="1399"/>
      <c r="J5044" s="1399">
        <v>34456.019999999997</v>
      </c>
    </row>
    <row r="5045" spans="5:10" s="1297" customFormat="1">
      <c r="E5045" s="1297" t="s">
        <v>1039</v>
      </c>
      <c r="F5045" s="1399"/>
      <c r="G5045" s="1399"/>
      <c r="H5045" s="1399">
        <v>3007.9600000000005</v>
      </c>
      <c r="I5045" s="1399"/>
      <c r="J5045" s="1399">
        <v>3007.9600000000005</v>
      </c>
    </row>
    <row r="5046" spans="5:10" s="1297" customFormat="1">
      <c r="E5046" s="1297" t="s">
        <v>1040</v>
      </c>
      <c r="F5046" s="1399"/>
      <c r="G5046" s="1399"/>
      <c r="H5046" s="1399">
        <v>96615.11</v>
      </c>
      <c r="I5046" s="1399"/>
      <c r="J5046" s="1399">
        <v>96615.11</v>
      </c>
    </row>
    <row r="5047" spans="5:10" s="1297" customFormat="1">
      <c r="E5047" s="1297" t="s">
        <v>1041</v>
      </c>
      <c r="F5047" s="1399"/>
      <c r="G5047" s="1399"/>
      <c r="H5047" s="1399">
        <v>48221.75</v>
      </c>
      <c r="I5047" s="1399"/>
      <c r="J5047" s="1399">
        <v>48221.75</v>
      </c>
    </row>
    <row r="5048" spans="5:10" s="1297" customFormat="1">
      <c r="E5048" s="1297" t="s">
        <v>1042</v>
      </c>
      <c r="F5048" s="1399"/>
      <c r="G5048" s="1399"/>
      <c r="H5048" s="1399">
        <v>22280.959999999999</v>
      </c>
      <c r="I5048" s="1399"/>
      <c r="J5048" s="1399">
        <v>22280.959999999999</v>
      </c>
    </row>
    <row r="5049" spans="5:10" s="1297" customFormat="1">
      <c r="E5049" s="1297" t="s">
        <v>953</v>
      </c>
      <c r="F5049" s="1399"/>
      <c r="G5049" s="1399"/>
      <c r="H5049" s="1399">
        <v>48865.71</v>
      </c>
      <c r="I5049" s="1399"/>
      <c r="J5049" s="1399">
        <v>48865.71</v>
      </c>
    </row>
    <row r="5050" spans="5:10" s="1297" customFormat="1">
      <c r="E5050" s="1297" t="s">
        <v>1045</v>
      </c>
      <c r="F5050" s="1399"/>
      <c r="G5050" s="1399"/>
      <c r="H5050" s="1399">
        <v>143606.89000000001</v>
      </c>
      <c r="I5050" s="1399"/>
      <c r="J5050" s="1399">
        <v>143606.89000000001</v>
      </c>
    </row>
    <row r="5051" spans="5:10" s="1297" customFormat="1">
      <c r="E5051" s="1297" t="s">
        <v>1046</v>
      </c>
      <c r="F5051" s="1399"/>
      <c r="G5051" s="1399"/>
      <c r="H5051" s="1399"/>
      <c r="I5051" s="1399">
        <v>7755266</v>
      </c>
      <c r="J5051" s="1399">
        <v>7755266</v>
      </c>
    </row>
    <row r="5052" spans="5:10" s="1297" customFormat="1">
      <c r="E5052" s="1297" t="s">
        <v>1047</v>
      </c>
      <c r="F5052" s="1399"/>
      <c r="G5052" s="1399"/>
      <c r="H5052" s="1399"/>
      <c r="I5052" s="1399">
        <v>386013.53</v>
      </c>
      <c r="J5052" s="1399">
        <v>386013.53</v>
      </c>
    </row>
    <row r="5053" spans="5:10" s="1297" customFormat="1">
      <c r="E5053" s="1297" t="s">
        <v>1048</v>
      </c>
      <c r="F5053" s="1399"/>
      <c r="G5053" s="1399"/>
      <c r="H5053" s="1399"/>
      <c r="I5053" s="1399">
        <v>-944738</v>
      </c>
      <c r="J5053" s="1399">
        <v>-944738</v>
      </c>
    </row>
    <row r="5054" spans="5:10" s="1297" customFormat="1">
      <c r="E5054" s="1297" t="s">
        <v>932</v>
      </c>
      <c r="F5054" s="1399"/>
      <c r="G5054" s="1399"/>
      <c r="H5054" s="1399"/>
      <c r="I5054" s="1399">
        <v>711152</v>
      </c>
      <c r="J5054" s="1399">
        <v>711152</v>
      </c>
    </row>
    <row r="5055" spans="5:10" s="1297" customFormat="1">
      <c r="E5055" s="1404" t="s">
        <v>955</v>
      </c>
      <c r="F5055" s="1405"/>
      <c r="G5055" s="1405"/>
      <c r="H5055" s="1405"/>
      <c r="I5055" s="1405">
        <v>436921.78</v>
      </c>
      <c r="J5055" s="1405">
        <v>436921.78</v>
      </c>
    </row>
    <row r="5056" spans="5:10" s="1297" customFormat="1">
      <c r="E5056" s="1297" t="s">
        <v>934</v>
      </c>
      <c r="F5056" s="1399"/>
      <c r="G5056" s="1399"/>
      <c r="H5056" s="1399"/>
      <c r="I5056" s="1399">
        <v>26920</v>
      </c>
      <c r="J5056" s="1399">
        <v>26920</v>
      </c>
    </row>
    <row r="5057" spans="2:12">
      <c r="B5057" s="1297"/>
      <c r="C5057" s="1297"/>
      <c r="D5057" s="1297"/>
      <c r="E5057" s="1297" t="s">
        <v>935</v>
      </c>
      <c r="I5057" s="1399">
        <v>485725.00999999995</v>
      </c>
      <c r="J5057" s="1399">
        <v>485725.00999999995</v>
      </c>
    </row>
    <row r="5058" spans="2:12">
      <c r="B5058" s="1297"/>
      <c r="C5058" s="1297"/>
      <c r="D5058" s="1297"/>
      <c r="E5058" s="1297" t="s">
        <v>936</v>
      </c>
      <c r="I5058" s="1399">
        <v>33964.6</v>
      </c>
      <c r="J5058" s="1399">
        <v>33964.6</v>
      </c>
    </row>
    <row r="5059" spans="2:12">
      <c r="B5059" s="1297"/>
      <c r="C5059" s="1297"/>
      <c r="D5059" s="1297"/>
      <c r="E5059" s="1297" t="s">
        <v>938</v>
      </c>
      <c r="I5059" s="1399">
        <v>9919</v>
      </c>
      <c r="J5059" s="1399">
        <v>9919</v>
      </c>
    </row>
    <row r="5060" spans="2:12">
      <c r="B5060" s="1297"/>
      <c r="C5060" s="1297"/>
      <c r="D5060" s="1297"/>
      <c r="E5060" s="1297" t="s">
        <v>1131</v>
      </c>
      <c r="F5060" s="1399">
        <v>547325.94000000006</v>
      </c>
      <c r="J5060" s="1399">
        <v>547325.94000000006</v>
      </c>
    </row>
    <row r="5061" spans="2:12">
      <c r="B5061" s="1297"/>
      <c r="C5061" s="1297"/>
      <c r="D5061" s="1297"/>
      <c r="E5061" s="1297" t="s">
        <v>940</v>
      </c>
      <c r="F5061" s="1399">
        <v>444806.74</v>
      </c>
      <c r="J5061" s="1399">
        <v>444806.74</v>
      </c>
    </row>
    <row r="5062" spans="2:12">
      <c r="B5062" s="1297"/>
      <c r="C5062" s="1297"/>
      <c r="D5062" s="1297"/>
      <c r="E5062" s="1297" t="s">
        <v>941</v>
      </c>
      <c r="F5062" s="1399">
        <v>187889.8</v>
      </c>
      <c r="J5062" s="1399">
        <v>187889.8</v>
      </c>
    </row>
    <row r="5063" spans="2:12">
      <c r="B5063" s="1297"/>
      <c r="C5063" s="1297"/>
      <c r="D5063" s="1297"/>
      <c r="E5063" s="1297" t="s">
        <v>943</v>
      </c>
      <c r="F5063" s="1399">
        <v>8330.18</v>
      </c>
      <c r="J5063" s="1399">
        <v>8330.18</v>
      </c>
    </row>
    <row r="5064" spans="2:12">
      <c r="B5064" s="1297"/>
      <c r="C5064" s="1297"/>
      <c r="D5064" s="1297"/>
      <c r="E5064" s="1297" t="s">
        <v>944</v>
      </c>
      <c r="F5064" s="1399">
        <v>1969207.1300000001</v>
      </c>
      <c r="J5064" s="1399">
        <v>1969207.1300000001</v>
      </c>
    </row>
    <row r="5065" spans="2:12">
      <c r="B5065" s="1297"/>
      <c r="C5065" s="1297"/>
      <c r="D5065" s="1297"/>
      <c r="E5065" s="1297" t="s">
        <v>945</v>
      </c>
      <c r="F5065" s="1399">
        <v>735181.58000000007</v>
      </c>
      <c r="J5065" s="1399">
        <v>735181.58000000007</v>
      </c>
    </row>
    <row r="5066" spans="2:12">
      <c r="B5066" s="1297"/>
      <c r="C5066" s="1297"/>
      <c r="D5066" s="1297"/>
      <c r="E5066" s="1297" t="s">
        <v>978</v>
      </c>
      <c r="F5066" s="1399">
        <v>1200</v>
      </c>
      <c r="J5066" s="1399">
        <v>1200</v>
      </c>
    </row>
    <row r="5067" spans="2:12">
      <c r="B5067" s="1297"/>
      <c r="C5067" s="1297"/>
      <c r="D5067" s="1297"/>
      <c r="E5067" s="1297" t="s">
        <v>947</v>
      </c>
      <c r="F5067" s="1399">
        <v>51066.53</v>
      </c>
      <c r="J5067" s="1399">
        <v>51066.53</v>
      </c>
    </row>
    <row r="5068" spans="2:12">
      <c r="B5068" s="1297"/>
      <c r="C5068" s="1297"/>
      <c r="D5068" s="1297"/>
      <c r="E5068" s="1404" t="s">
        <v>948</v>
      </c>
      <c r="F5068" s="1405"/>
      <c r="G5068" s="1405"/>
      <c r="H5068" s="1405">
        <v>444256.26</v>
      </c>
      <c r="I5068" s="1405"/>
      <c r="J5068" s="1405">
        <v>444256.26</v>
      </c>
    </row>
    <row r="5069" spans="2:12">
      <c r="B5069" s="1297"/>
      <c r="C5069" s="1297"/>
      <c r="D5069" s="1297"/>
      <c r="E5069" s="1297" t="s">
        <v>1118</v>
      </c>
      <c r="H5069" s="1399">
        <v>5966.78</v>
      </c>
      <c r="J5069" s="1399">
        <v>5966.78</v>
      </c>
    </row>
    <row r="5070" spans="2:12">
      <c r="B5070" s="1297"/>
      <c r="C5070" s="1297"/>
      <c r="D5070" s="1400" t="s">
        <v>1352</v>
      </c>
      <c r="E5070" s="1400"/>
      <c r="F5070" s="1401">
        <f>SUM(F5037:F5069)</f>
        <v>3945007.9</v>
      </c>
      <c r="G5070" s="1401">
        <f>SUM(G5037:G5069)</f>
        <v>3693320.3</v>
      </c>
      <c r="H5070" s="1401">
        <f>SUM(H5037:H5069)-H5068</f>
        <v>831176.85000000009</v>
      </c>
      <c r="I5070" s="1401">
        <f>SUM(I5037:I5069)-I5055</f>
        <v>8464222.1400000006</v>
      </c>
      <c r="J5070" s="1401">
        <f>SUM(J5037:J5069)</f>
        <v>17814905.23</v>
      </c>
      <c r="K5070" s="1401">
        <f>SUM(F5070:I5070)</f>
        <v>16933727.189999998</v>
      </c>
      <c r="L5070" s="1408">
        <f>K5070/C5037</f>
        <v>11274.119300932089</v>
      </c>
    </row>
    <row r="5071" spans="2:12">
      <c r="B5071" s="1297" t="s">
        <v>1353</v>
      </c>
      <c r="C5071" s="1297">
        <v>1652</v>
      </c>
      <c r="D5071" s="1297" t="s">
        <v>1354</v>
      </c>
      <c r="E5071" s="1297" t="s">
        <v>906</v>
      </c>
      <c r="G5071" s="1399">
        <v>4106445.6</v>
      </c>
      <c r="J5071" s="1399">
        <v>4106445.6</v>
      </c>
    </row>
    <row r="5072" spans="2:12">
      <c r="B5072" s="1297"/>
      <c r="C5072" s="1297"/>
      <c r="D5072" s="1297"/>
      <c r="E5072" s="1297" t="s">
        <v>952</v>
      </c>
      <c r="G5072" s="1399">
        <v>14143.53</v>
      </c>
      <c r="J5072" s="1399">
        <v>14143.53</v>
      </c>
    </row>
    <row r="5073" spans="5:10" s="1297" customFormat="1">
      <c r="E5073" s="1297" t="s">
        <v>907</v>
      </c>
      <c r="F5073" s="1399"/>
      <c r="G5073" s="1399">
        <v>1145725.8500000001</v>
      </c>
      <c r="H5073" s="1399"/>
      <c r="I5073" s="1399"/>
      <c r="J5073" s="1399">
        <v>1145725.8500000001</v>
      </c>
    </row>
    <row r="5074" spans="5:10" s="1297" customFormat="1">
      <c r="E5074" s="1297" t="s">
        <v>908</v>
      </c>
      <c r="F5074" s="1399"/>
      <c r="G5074" s="1399">
        <v>20589.2</v>
      </c>
      <c r="H5074" s="1399"/>
      <c r="I5074" s="1399"/>
      <c r="J5074" s="1399">
        <v>20589.2</v>
      </c>
    </row>
    <row r="5075" spans="5:10" s="1297" customFormat="1">
      <c r="E5075" s="1297" t="s">
        <v>909</v>
      </c>
      <c r="F5075" s="1399"/>
      <c r="G5075" s="1399"/>
      <c r="H5075" s="1399">
        <v>58149.1</v>
      </c>
      <c r="I5075" s="1399"/>
      <c r="J5075" s="1399">
        <v>58149.1</v>
      </c>
    </row>
    <row r="5076" spans="5:10" s="1297" customFormat="1">
      <c r="E5076" s="1297" t="s">
        <v>910</v>
      </c>
      <c r="F5076" s="1399"/>
      <c r="G5076" s="1399"/>
      <c r="H5076" s="1399">
        <v>53485.98</v>
      </c>
      <c r="I5076" s="1399"/>
      <c r="J5076" s="1399">
        <v>53485.98</v>
      </c>
    </row>
    <row r="5077" spans="5:10" s="1297" customFormat="1">
      <c r="E5077" s="1297" t="s">
        <v>1035</v>
      </c>
      <c r="F5077" s="1399"/>
      <c r="G5077" s="1399"/>
      <c r="H5077" s="1399">
        <v>184711.44</v>
      </c>
      <c r="I5077" s="1399"/>
      <c r="J5077" s="1399">
        <v>184711.44</v>
      </c>
    </row>
    <row r="5078" spans="5:10" s="1297" customFormat="1">
      <c r="E5078" s="1297" t="s">
        <v>1036</v>
      </c>
      <c r="F5078" s="1399"/>
      <c r="G5078" s="1399"/>
      <c r="H5078" s="1399">
        <v>42994.6</v>
      </c>
      <c r="I5078" s="1399"/>
      <c r="J5078" s="1399">
        <v>42994.6</v>
      </c>
    </row>
    <row r="5079" spans="5:10" s="1297" customFormat="1">
      <c r="E5079" s="1297" t="s">
        <v>1039</v>
      </c>
      <c r="F5079" s="1399"/>
      <c r="G5079" s="1399"/>
      <c r="H5079" s="1399">
        <v>8781.0199999999986</v>
      </c>
      <c r="I5079" s="1399"/>
      <c r="J5079" s="1399">
        <v>8781.0199999999986</v>
      </c>
    </row>
    <row r="5080" spans="5:10" s="1297" customFormat="1">
      <c r="E5080" s="1297" t="s">
        <v>1040</v>
      </c>
      <c r="F5080" s="1399"/>
      <c r="G5080" s="1399"/>
      <c r="H5080" s="1399">
        <v>0</v>
      </c>
      <c r="I5080" s="1399"/>
      <c r="J5080" s="1399">
        <v>0</v>
      </c>
    </row>
    <row r="5081" spans="5:10" s="1297" customFormat="1">
      <c r="E5081" s="1297" t="s">
        <v>1041</v>
      </c>
      <c r="F5081" s="1399"/>
      <c r="G5081" s="1399"/>
      <c r="H5081" s="1399">
        <v>29018.050000000003</v>
      </c>
      <c r="I5081" s="1399"/>
      <c r="J5081" s="1399">
        <v>29018.050000000003</v>
      </c>
    </row>
    <row r="5082" spans="5:10" s="1297" customFormat="1">
      <c r="E5082" s="1297" t="s">
        <v>1042</v>
      </c>
      <c r="F5082" s="1399"/>
      <c r="G5082" s="1399"/>
      <c r="H5082" s="1399">
        <v>22978.25</v>
      </c>
      <c r="I5082" s="1399"/>
      <c r="J5082" s="1399">
        <v>22978.25</v>
      </c>
    </row>
    <row r="5083" spans="5:10" s="1297" customFormat="1">
      <c r="E5083" s="1297" t="s">
        <v>953</v>
      </c>
      <c r="F5083" s="1399"/>
      <c r="G5083" s="1399"/>
      <c r="H5083" s="1399">
        <v>20232.27</v>
      </c>
      <c r="I5083" s="1399"/>
      <c r="J5083" s="1399">
        <v>20232.27</v>
      </c>
    </row>
    <row r="5084" spans="5:10" s="1297" customFormat="1">
      <c r="E5084" s="1297" t="s">
        <v>1044</v>
      </c>
      <c r="F5084" s="1399">
        <v>3000</v>
      </c>
      <c r="G5084" s="1399"/>
      <c r="H5084" s="1399"/>
      <c r="I5084" s="1399"/>
      <c r="J5084" s="1399">
        <v>3000</v>
      </c>
    </row>
    <row r="5085" spans="5:10" s="1297" customFormat="1">
      <c r="E5085" s="1297" t="s">
        <v>1045</v>
      </c>
      <c r="F5085" s="1399"/>
      <c r="G5085" s="1399"/>
      <c r="H5085" s="1399">
        <v>75360.650000000009</v>
      </c>
      <c r="I5085" s="1399"/>
      <c r="J5085" s="1399">
        <v>75360.650000000009</v>
      </c>
    </row>
    <row r="5086" spans="5:10" s="1297" customFormat="1">
      <c r="E5086" s="1297" t="s">
        <v>1046</v>
      </c>
      <c r="F5086" s="1399"/>
      <c r="G5086" s="1399"/>
      <c r="H5086" s="1399"/>
      <c r="I5086" s="1399">
        <v>8455039</v>
      </c>
      <c r="J5086" s="1399">
        <v>8455039</v>
      </c>
    </row>
    <row r="5087" spans="5:10" s="1297" customFormat="1">
      <c r="E5087" s="1297" t="s">
        <v>1047</v>
      </c>
      <c r="F5087" s="1399"/>
      <c r="G5087" s="1399"/>
      <c r="H5087" s="1399"/>
      <c r="I5087" s="1399">
        <v>373737</v>
      </c>
      <c r="J5087" s="1399">
        <v>373737</v>
      </c>
    </row>
    <row r="5088" spans="5:10" s="1297" customFormat="1">
      <c r="E5088" s="1297" t="s">
        <v>1048</v>
      </c>
      <c r="F5088" s="1399"/>
      <c r="G5088" s="1399"/>
      <c r="H5088" s="1399"/>
      <c r="I5088" s="1399">
        <v>-1407869</v>
      </c>
      <c r="J5088" s="1399">
        <v>-1407869</v>
      </c>
    </row>
    <row r="5089" spans="2:12">
      <c r="B5089" s="1297"/>
      <c r="C5089" s="1297"/>
      <c r="D5089" s="1297"/>
      <c r="E5089" s="1297" t="s">
        <v>932</v>
      </c>
      <c r="I5089" s="1399">
        <v>531227</v>
      </c>
      <c r="J5089" s="1399">
        <v>531227</v>
      </c>
    </row>
    <row r="5090" spans="2:12">
      <c r="B5090" s="1297"/>
      <c r="C5090" s="1297"/>
      <c r="D5090" s="1297"/>
      <c r="E5090" s="1404" t="s">
        <v>955</v>
      </c>
      <c r="F5090" s="1405"/>
      <c r="G5090" s="1405"/>
      <c r="H5090" s="1405"/>
      <c r="I5090" s="1405">
        <v>447508.28</v>
      </c>
      <c r="J5090" s="1405">
        <v>447508.28</v>
      </c>
    </row>
    <row r="5091" spans="2:12">
      <c r="B5091" s="1297"/>
      <c r="C5091" s="1297"/>
      <c r="D5091" s="1297"/>
      <c r="E5091" s="1297" t="s">
        <v>934</v>
      </c>
      <c r="I5091" s="1399">
        <v>29846</v>
      </c>
      <c r="J5091" s="1399">
        <v>29846</v>
      </c>
    </row>
    <row r="5092" spans="2:12">
      <c r="B5092" s="1297"/>
      <c r="C5092" s="1297"/>
      <c r="D5092" s="1297"/>
      <c r="E5092" s="1297" t="s">
        <v>935</v>
      </c>
      <c r="I5092" s="1399">
        <v>122484.77</v>
      </c>
      <c r="J5092" s="1399">
        <v>122484.77</v>
      </c>
    </row>
    <row r="5093" spans="2:12">
      <c r="B5093" s="1297"/>
      <c r="C5093" s="1297"/>
      <c r="D5093" s="1297"/>
      <c r="E5093" s="1297" t="s">
        <v>936</v>
      </c>
      <c r="I5093" s="1399">
        <v>32564</v>
      </c>
      <c r="J5093" s="1399">
        <v>32564</v>
      </c>
    </row>
    <row r="5094" spans="2:12">
      <c r="B5094" s="1297"/>
      <c r="C5094" s="1297"/>
      <c r="D5094" s="1297"/>
      <c r="E5094" s="1297" t="s">
        <v>937</v>
      </c>
      <c r="I5094" s="1399">
        <v>28849.759999999998</v>
      </c>
      <c r="J5094" s="1399">
        <v>28849.759999999998</v>
      </c>
    </row>
    <row r="5095" spans="2:12">
      <c r="B5095" s="1297"/>
      <c r="C5095" s="1297"/>
      <c r="D5095" s="1297"/>
      <c r="E5095" s="1297" t="s">
        <v>938</v>
      </c>
      <c r="I5095" s="1399">
        <v>6925</v>
      </c>
      <c r="J5095" s="1399">
        <v>6925</v>
      </c>
    </row>
    <row r="5096" spans="2:12">
      <c r="B5096" s="1297"/>
      <c r="C5096" s="1297"/>
      <c r="D5096" s="1297"/>
      <c r="E5096" s="1297" t="s">
        <v>939</v>
      </c>
      <c r="I5096" s="1399">
        <v>75580.160000000003</v>
      </c>
      <c r="J5096" s="1399">
        <v>75580.160000000003</v>
      </c>
    </row>
    <row r="5097" spans="2:12">
      <c r="B5097" s="1297"/>
      <c r="C5097" s="1297"/>
      <c r="D5097" s="1297"/>
      <c r="E5097" s="1297" t="s">
        <v>940</v>
      </c>
      <c r="F5097" s="1399">
        <v>571372.04</v>
      </c>
      <c r="J5097" s="1399">
        <v>571372.04</v>
      </c>
    </row>
    <row r="5098" spans="2:12">
      <c r="B5098" s="1297"/>
      <c r="C5098" s="1297"/>
      <c r="D5098" s="1297"/>
      <c r="E5098" s="1297" t="s">
        <v>941</v>
      </c>
      <c r="F5098" s="1399">
        <v>248554.46000000002</v>
      </c>
      <c r="J5098" s="1399">
        <v>248554.46000000002</v>
      </c>
    </row>
    <row r="5099" spans="2:12">
      <c r="B5099" s="1297"/>
      <c r="C5099" s="1297"/>
      <c r="D5099" s="1297"/>
      <c r="E5099" s="1297" t="s">
        <v>944</v>
      </c>
      <c r="F5099" s="1399">
        <v>1484689.6500000001</v>
      </c>
      <c r="J5099" s="1399">
        <v>1484689.6500000001</v>
      </c>
    </row>
    <row r="5100" spans="2:12">
      <c r="B5100" s="1297"/>
      <c r="C5100" s="1297"/>
      <c r="D5100" s="1297"/>
      <c r="E5100" s="1297" t="s">
        <v>945</v>
      </c>
      <c r="F5100" s="1399">
        <v>1036712.47</v>
      </c>
      <c r="J5100" s="1399">
        <v>1036712.47</v>
      </c>
    </row>
    <row r="5101" spans="2:12">
      <c r="B5101" s="1297"/>
      <c r="C5101" s="1297"/>
      <c r="D5101" s="1297"/>
      <c r="E5101" s="1297" t="s">
        <v>946</v>
      </c>
      <c r="F5101" s="1399">
        <v>261270.37</v>
      </c>
      <c r="J5101" s="1399">
        <v>261270.37</v>
      </c>
    </row>
    <row r="5102" spans="2:12">
      <c r="B5102" s="1297"/>
      <c r="C5102" s="1297"/>
      <c r="D5102" s="1297"/>
      <c r="E5102" s="1297" t="s">
        <v>947</v>
      </c>
      <c r="F5102" s="1399">
        <v>75575.350000000006</v>
      </c>
      <c r="J5102" s="1399">
        <v>75575.350000000006</v>
      </c>
    </row>
    <row r="5103" spans="2:12">
      <c r="B5103" s="1297"/>
      <c r="C5103" s="1297"/>
      <c r="D5103" s="1297"/>
      <c r="E5103" s="1404" t="s">
        <v>948</v>
      </c>
      <c r="F5103" s="1405"/>
      <c r="G5103" s="1405"/>
      <c r="H5103" s="1405">
        <v>153078.98000000001</v>
      </c>
      <c r="I5103" s="1405"/>
      <c r="J5103" s="1405">
        <v>153078.98000000001</v>
      </c>
    </row>
    <row r="5104" spans="2:12">
      <c r="B5104" s="1297"/>
      <c r="C5104" s="1297"/>
      <c r="D5104" s="1400" t="s">
        <v>1355</v>
      </c>
      <c r="E5104" s="1400"/>
      <c r="F5104" s="1401">
        <f>SUM(F5071:F5103)</f>
        <v>3681174.3400000003</v>
      </c>
      <c r="G5104" s="1401">
        <f>SUM(G5071:G5103)</f>
        <v>5286904.1800000006</v>
      </c>
      <c r="H5104" s="1401">
        <f>SUM(H5071:H5103)-H5103</f>
        <v>495711.3600000001</v>
      </c>
      <c r="I5104" s="1401">
        <f>SUM(I5071:I5103)-I5090</f>
        <v>8248383.6899999985</v>
      </c>
      <c r="J5104" s="1401">
        <f>SUM(J5071:J5103)</f>
        <v>18312760.829999998</v>
      </c>
      <c r="K5104" s="1401">
        <f>SUM(F5104:I5104)</f>
        <v>17712173.57</v>
      </c>
      <c r="L5104" s="1408">
        <f>K5104/C5071</f>
        <v>10721.654703389831</v>
      </c>
    </row>
    <row r="5105" spans="2:10" s="1297" customFormat="1">
      <c r="B5105" s="1297" t="s">
        <v>1356</v>
      </c>
      <c r="C5105" s="1297">
        <v>1406</v>
      </c>
      <c r="D5105" s="1297" t="s">
        <v>1357</v>
      </c>
      <c r="E5105" s="1297" t="s">
        <v>906</v>
      </c>
      <c r="F5105" s="1399"/>
      <c r="G5105" s="1399">
        <v>3832908.73</v>
      </c>
      <c r="H5105" s="1399"/>
      <c r="I5105" s="1399"/>
      <c r="J5105" s="1399">
        <v>3832908.73</v>
      </c>
    </row>
    <row r="5106" spans="2:10" s="1297" customFormat="1">
      <c r="E5106" s="1297" t="s">
        <v>952</v>
      </c>
      <c r="F5106" s="1399"/>
      <c r="G5106" s="1399">
        <v>25608.94</v>
      </c>
      <c r="H5106" s="1399"/>
      <c r="I5106" s="1399"/>
      <c r="J5106" s="1399">
        <v>25608.94</v>
      </c>
    </row>
    <row r="5107" spans="2:10" s="1297" customFormat="1">
      <c r="E5107" s="1297" t="s">
        <v>907</v>
      </c>
      <c r="F5107" s="1399"/>
      <c r="G5107" s="1399">
        <v>864491.59</v>
      </c>
      <c r="H5107" s="1399"/>
      <c r="I5107" s="1399"/>
      <c r="J5107" s="1399">
        <v>864491.59</v>
      </c>
    </row>
    <row r="5108" spans="2:10" s="1297" customFormat="1">
      <c r="E5108" s="1297" t="s">
        <v>908</v>
      </c>
      <c r="F5108" s="1399"/>
      <c r="G5108" s="1399">
        <v>15576.61</v>
      </c>
      <c r="H5108" s="1399"/>
      <c r="I5108" s="1399"/>
      <c r="J5108" s="1399">
        <v>15576.61</v>
      </c>
    </row>
    <row r="5109" spans="2:10" s="1297" customFormat="1">
      <c r="E5109" s="1297" t="s">
        <v>1034</v>
      </c>
      <c r="F5109" s="1399"/>
      <c r="G5109" s="1399"/>
      <c r="H5109" s="1399">
        <v>500</v>
      </c>
      <c r="I5109" s="1399"/>
      <c r="J5109" s="1399">
        <v>500</v>
      </c>
    </row>
    <row r="5110" spans="2:10" s="1297" customFormat="1">
      <c r="E5110" s="1297" t="s">
        <v>1037</v>
      </c>
      <c r="F5110" s="1399"/>
      <c r="G5110" s="1399"/>
      <c r="H5110" s="1399">
        <v>0</v>
      </c>
      <c r="I5110" s="1399"/>
      <c r="J5110" s="1399">
        <v>0</v>
      </c>
    </row>
    <row r="5111" spans="2:10" s="1297" customFormat="1">
      <c r="E5111" s="1297" t="s">
        <v>1038</v>
      </c>
      <c r="F5111" s="1399"/>
      <c r="G5111" s="1399"/>
      <c r="H5111" s="1399">
        <v>750</v>
      </c>
      <c r="I5111" s="1399"/>
      <c r="J5111" s="1399">
        <v>750</v>
      </c>
    </row>
    <row r="5112" spans="2:10" s="1297" customFormat="1">
      <c r="E5112" s="1297" t="s">
        <v>1039</v>
      </c>
      <c r="F5112" s="1399"/>
      <c r="G5112" s="1399"/>
      <c r="H5112" s="1399">
        <v>35045.630000000005</v>
      </c>
      <c r="I5112" s="1399"/>
      <c r="J5112" s="1399">
        <v>35045.630000000005</v>
      </c>
    </row>
    <row r="5113" spans="2:10" s="1297" customFormat="1">
      <c r="E5113" s="1297" t="s">
        <v>1041</v>
      </c>
      <c r="F5113" s="1399"/>
      <c r="G5113" s="1399"/>
      <c r="H5113" s="1399">
        <v>377.86</v>
      </c>
      <c r="I5113" s="1399"/>
      <c r="J5113" s="1399">
        <v>377.86</v>
      </c>
    </row>
    <row r="5114" spans="2:10" s="1297" customFormat="1">
      <c r="E5114" s="1297" t="s">
        <v>1042</v>
      </c>
      <c r="F5114" s="1399"/>
      <c r="G5114" s="1399"/>
      <c r="H5114" s="1399">
        <v>14851.8</v>
      </c>
      <c r="I5114" s="1399"/>
      <c r="J5114" s="1399">
        <v>14851.8</v>
      </c>
    </row>
    <row r="5115" spans="2:10" s="1297" customFormat="1">
      <c r="E5115" s="1297" t="s">
        <v>953</v>
      </c>
      <c r="F5115" s="1399"/>
      <c r="G5115" s="1399"/>
      <c r="H5115" s="1399">
        <v>23348</v>
      </c>
      <c r="I5115" s="1399"/>
      <c r="J5115" s="1399">
        <v>23348</v>
      </c>
    </row>
    <row r="5116" spans="2:10" s="1297" customFormat="1">
      <c r="E5116" s="1297" t="s">
        <v>986</v>
      </c>
      <c r="F5116" s="1399"/>
      <c r="G5116" s="1399"/>
      <c r="H5116" s="1399">
        <v>2025</v>
      </c>
      <c r="I5116" s="1399"/>
      <c r="J5116" s="1399">
        <v>2025</v>
      </c>
    </row>
    <row r="5117" spans="2:10" s="1297" customFormat="1">
      <c r="E5117" s="1297" t="s">
        <v>996</v>
      </c>
      <c r="F5117" s="1399"/>
      <c r="G5117" s="1399"/>
      <c r="H5117" s="1399">
        <v>2100</v>
      </c>
      <c r="I5117" s="1399"/>
      <c r="J5117" s="1399">
        <v>2100</v>
      </c>
    </row>
    <row r="5118" spans="2:10" s="1297" customFormat="1">
      <c r="E5118" s="1297" t="s">
        <v>1044</v>
      </c>
      <c r="F5118" s="1399">
        <v>22322.33</v>
      </c>
      <c r="G5118" s="1399"/>
      <c r="H5118" s="1399"/>
      <c r="I5118" s="1399"/>
      <c r="J5118" s="1399">
        <v>22322.33</v>
      </c>
    </row>
    <row r="5119" spans="2:10" s="1297" customFormat="1">
      <c r="E5119" s="1297" t="s">
        <v>1045</v>
      </c>
      <c r="F5119" s="1399"/>
      <c r="G5119" s="1399"/>
      <c r="H5119" s="1399">
        <v>130694.13999999998</v>
      </c>
      <c r="I5119" s="1399"/>
      <c r="J5119" s="1399">
        <v>130694.13999999998</v>
      </c>
    </row>
    <row r="5120" spans="2:10" s="1297" customFormat="1">
      <c r="E5120" s="1297" t="s">
        <v>1046</v>
      </c>
      <c r="F5120" s="1399"/>
      <c r="G5120" s="1399"/>
      <c r="H5120" s="1399"/>
      <c r="I5120" s="1399">
        <v>7502711</v>
      </c>
      <c r="J5120" s="1399">
        <v>7502711</v>
      </c>
    </row>
    <row r="5121" spans="5:10" s="1297" customFormat="1">
      <c r="E5121" s="1297" t="s">
        <v>1047</v>
      </c>
      <c r="F5121" s="1399"/>
      <c r="G5121" s="1399"/>
      <c r="H5121" s="1399"/>
      <c r="I5121" s="1399">
        <v>304309</v>
      </c>
      <c r="J5121" s="1399">
        <v>304309</v>
      </c>
    </row>
    <row r="5122" spans="5:10" s="1297" customFormat="1">
      <c r="E5122" s="1297" t="s">
        <v>1048</v>
      </c>
      <c r="F5122" s="1399"/>
      <c r="G5122" s="1399"/>
      <c r="H5122" s="1399"/>
      <c r="I5122" s="1399">
        <v>-1085451</v>
      </c>
      <c r="J5122" s="1399">
        <v>-1085451</v>
      </c>
    </row>
    <row r="5123" spans="5:10" s="1297" customFormat="1">
      <c r="E5123" s="1297" t="s">
        <v>932</v>
      </c>
      <c r="F5123" s="1399"/>
      <c r="G5123" s="1399"/>
      <c r="H5123" s="1399"/>
      <c r="I5123" s="1399">
        <v>630869</v>
      </c>
      <c r="J5123" s="1399">
        <v>630869</v>
      </c>
    </row>
    <row r="5124" spans="5:10" s="1297" customFormat="1">
      <c r="E5124" s="1404" t="s">
        <v>955</v>
      </c>
      <c r="F5124" s="1405"/>
      <c r="G5124" s="1405"/>
      <c r="H5124" s="1405"/>
      <c r="I5124" s="1405">
        <v>449371.1</v>
      </c>
      <c r="J5124" s="1405">
        <v>449371.1</v>
      </c>
    </row>
    <row r="5125" spans="5:10" s="1297" customFormat="1">
      <c r="E5125" s="1297" t="s">
        <v>934</v>
      </c>
      <c r="F5125" s="1399"/>
      <c r="G5125" s="1399"/>
      <c r="H5125" s="1399"/>
      <c r="I5125" s="1399">
        <v>30946</v>
      </c>
      <c r="J5125" s="1399">
        <v>30946</v>
      </c>
    </row>
    <row r="5126" spans="5:10" s="1297" customFormat="1">
      <c r="E5126" s="1297" t="s">
        <v>935</v>
      </c>
      <c r="F5126" s="1399"/>
      <c r="G5126" s="1399"/>
      <c r="H5126" s="1399"/>
      <c r="I5126" s="1399">
        <v>81283.61</v>
      </c>
      <c r="J5126" s="1399">
        <v>81283.61</v>
      </c>
    </row>
    <row r="5127" spans="5:10" s="1297" customFormat="1">
      <c r="E5127" s="1297" t="s">
        <v>936</v>
      </c>
      <c r="F5127" s="1399"/>
      <c r="G5127" s="1399"/>
      <c r="H5127" s="1399"/>
      <c r="I5127" s="1399">
        <v>31513.55</v>
      </c>
      <c r="J5127" s="1399">
        <v>31513.55</v>
      </c>
    </row>
    <row r="5128" spans="5:10" s="1297" customFormat="1">
      <c r="E5128" s="1297" t="s">
        <v>937</v>
      </c>
      <c r="F5128" s="1399"/>
      <c r="G5128" s="1399"/>
      <c r="H5128" s="1399"/>
      <c r="I5128" s="1399">
        <v>3373.96</v>
      </c>
      <c r="J5128" s="1399">
        <v>3373.96</v>
      </c>
    </row>
    <row r="5129" spans="5:10" s="1297" customFormat="1">
      <c r="E5129" s="1297" t="s">
        <v>938</v>
      </c>
      <c r="F5129" s="1399"/>
      <c r="G5129" s="1399"/>
      <c r="H5129" s="1399"/>
      <c r="I5129" s="1399">
        <v>8796</v>
      </c>
      <c r="J5129" s="1399">
        <v>8796</v>
      </c>
    </row>
    <row r="5130" spans="5:10" s="1297" customFormat="1">
      <c r="E5130" s="1297" t="s">
        <v>939</v>
      </c>
      <c r="F5130" s="1399"/>
      <c r="G5130" s="1399"/>
      <c r="H5130" s="1399"/>
      <c r="I5130" s="1399">
        <v>0</v>
      </c>
      <c r="J5130" s="1399">
        <v>0</v>
      </c>
    </row>
    <row r="5131" spans="5:10" s="1297" customFormat="1">
      <c r="E5131" s="1297" t="s">
        <v>940</v>
      </c>
      <c r="F5131" s="1399">
        <v>497395.78</v>
      </c>
      <c r="G5131" s="1399"/>
      <c r="H5131" s="1399"/>
      <c r="I5131" s="1399"/>
      <c r="J5131" s="1399">
        <v>497395.78</v>
      </c>
    </row>
    <row r="5132" spans="5:10" s="1297" customFormat="1">
      <c r="E5132" s="1297" t="s">
        <v>941</v>
      </c>
      <c r="F5132" s="1399">
        <v>201976.7</v>
      </c>
      <c r="G5132" s="1399"/>
      <c r="H5132" s="1399"/>
      <c r="I5132" s="1399"/>
      <c r="J5132" s="1399">
        <v>201976.7</v>
      </c>
    </row>
    <row r="5133" spans="5:10" s="1297" customFormat="1">
      <c r="E5133" s="1297" t="s">
        <v>943</v>
      </c>
      <c r="F5133" s="1399">
        <v>14549.88</v>
      </c>
      <c r="G5133" s="1399"/>
      <c r="H5133" s="1399"/>
      <c r="I5133" s="1399"/>
      <c r="J5133" s="1399">
        <v>14549.88</v>
      </c>
    </row>
    <row r="5134" spans="5:10" s="1297" customFormat="1">
      <c r="E5134" s="1297" t="s">
        <v>944</v>
      </c>
      <c r="F5134" s="1399">
        <v>1989576.8600000003</v>
      </c>
      <c r="G5134" s="1399"/>
      <c r="H5134" s="1399"/>
      <c r="I5134" s="1399"/>
      <c r="J5134" s="1399">
        <v>1989576.8600000003</v>
      </c>
    </row>
    <row r="5135" spans="5:10" s="1297" customFormat="1">
      <c r="E5135" s="1297" t="s">
        <v>945</v>
      </c>
      <c r="F5135" s="1399">
        <v>928489.05999999994</v>
      </c>
      <c r="G5135" s="1399"/>
      <c r="H5135" s="1399"/>
      <c r="I5135" s="1399"/>
      <c r="J5135" s="1399">
        <v>928489.05999999994</v>
      </c>
    </row>
    <row r="5136" spans="5:10" s="1297" customFormat="1">
      <c r="E5136" s="1297" t="s">
        <v>946</v>
      </c>
      <c r="F5136" s="1399">
        <v>62617.89</v>
      </c>
      <c r="G5136" s="1399"/>
      <c r="H5136" s="1399"/>
      <c r="I5136" s="1399"/>
      <c r="J5136" s="1399">
        <v>62617.89</v>
      </c>
    </row>
    <row r="5137" spans="2:12">
      <c r="B5137" s="1297"/>
      <c r="C5137" s="1297"/>
      <c r="D5137" s="1297"/>
      <c r="E5137" s="1297" t="s">
        <v>978</v>
      </c>
      <c r="F5137" s="1399">
        <v>0</v>
      </c>
      <c r="J5137" s="1399">
        <v>0</v>
      </c>
    </row>
    <row r="5138" spans="2:12">
      <c r="B5138" s="1297"/>
      <c r="C5138" s="1297"/>
      <c r="D5138" s="1297"/>
      <c r="E5138" s="1297" t="s">
        <v>947</v>
      </c>
      <c r="F5138" s="1399">
        <v>26094.02</v>
      </c>
      <c r="J5138" s="1399">
        <v>26094.02</v>
      </c>
    </row>
    <row r="5139" spans="2:12">
      <c r="B5139" s="1297"/>
      <c r="C5139" s="1297"/>
      <c r="D5139" s="1297"/>
      <c r="E5139" s="1297" t="s">
        <v>1115</v>
      </c>
      <c r="F5139" s="1399">
        <v>22844</v>
      </c>
      <c r="J5139" s="1399">
        <v>22844</v>
      </c>
    </row>
    <row r="5140" spans="2:12">
      <c r="B5140" s="1297"/>
      <c r="C5140" s="1297"/>
      <c r="D5140" s="1297"/>
      <c r="E5140" s="1404" t="s">
        <v>948</v>
      </c>
      <c r="F5140" s="1405"/>
      <c r="G5140" s="1405"/>
      <c r="H5140" s="1405">
        <v>19938.38</v>
      </c>
      <c r="I5140" s="1405"/>
      <c r="J5140" s="1405">
        <v>19938.38</v>
      </c>
    </row>
    <row r="5141" spans="2:12">
      <c r="B5141" s="1297"/>
      <c r="C5141" s="1297"/>
      <c r="D5141" s="1400" t="s">
        <v>1358</v>
      </c>
      <c r="E5141" s="1400"/>
      <c r="F5141" s="1401">
        <f>SUM(F5105:F5140)</f>
        <v>3765866.5200000005</v>
      </c>
      <c r="G5141" s="1401">
        <f>SUM(G5105:G5140)</f>
        <v>4738585.87</v>
      </c>
      <c r="H5141" s="1401">
        <f>SUM(H5105:H5140)-H5140</f>
        <v>209692.43</v>
      </c>
      <c r="I5141" s="1401">
        <f>SUM(I5105:I5140)-I5124</f>
        <v>7508351.1200000001</v>
      </c>
      <c r="J5141" s="1401">
        <f>SUM(J5105:J5140)</f>
        <v>16691805.420000002</v>
      </c>
      <c r="K5141" s="1401">
        <f>SUM(F5141:I5141)</f>
        <v>16222495.940000001</v>
      </c>
      <c r="L5141" s="1408">
        <f>K5141/C5105</f>
        <v>11538.048321479375</v>
      </c>
    </row>
    <row r="5142" spans="2:12">
      <c r="B5142" s="1297" t="s">
        <v>1359</v>
      </c>
      <c r="C5142" s="1297">
        <v>4928</v>
      </c>
      <c r="D5142" s="1297" t="s">
        <v>1360</v>
      </c>
      <c r="E5142" s="1297" t="s">
        <v>906</v>
      </c>
      <c r="G5142" s="1399">
        <v>11052332.74</v>
      </c>
      <c r="J5142" s="1399">
        <v>11052332.74</v>
      </c>
    </row>
    <row r="5143" spans="2:12">
      <c r="B5143" s="1297"/>
      <c r="C5143" s="1297"/>
      <c r="D5143" s="1297"/>
      <c r="E5143" s="1297" t="s">
        <v>952</v>
      </c>
      <c r="G5143" s="1399">
        <v>147169.04</v>
      </c>
      <c r="J5143" s="1399">
        <v>147169.04</v>
      </c>
    </row>
    <row r="5144" spans="2:12">
      <c r="B5144" s="1297"/>
      <c r="C5144" s="1297"/>
      <c r="D5144" s="1297"/>
      <c r="E5144" s="1297" t="s">
        <v>907</v>
      </c>
      <c r="G5144" s="1399">
        <v>4863744.0299999993</v>
      </c>
      <c r="J5144" s="1399">
        <v>4863744.0299999993</v>
      </c>
    </row>
    <row r="5145" spans="2:12">
      <c r="B5145" s="1297"/>
      <c r="C5145" s="1297"/>
      <c r="D5145" s="1297"/>
      <c r="E5145" s="1297" t="s">
        <v>908</v>
      </c>
      <c r="G5145" s="1399">
        <v>27643.86</v>
      </c>
      <c r="J5145" s="1399">
        <v>27643.86</v>
      </c>
    </row>
    <row r="5146" spans="2:12">
      <c r="B5146" s="1297"/>
      <c r="C5146" s="1297"/>
      <c r="D5146" s="1297"/>
      <c r="E5146" s="1297" t="s">
        <v>909</v>
      </c>
      <c r="H5146" s="1399">
        <v>17222.68</v>
      </c>
      <c r="J5146" s="1399">
        <v>17222.68</v>
      </c>
    </row>
    <row r="5147" spans="2:12">
      <c r="B5147" s="1297"/>
      <c r="C5147" s="1297"/>
      <c r="D5147" s="1297"/>
      <c r="E5147" s="1297" t="s">
        <v>910</v>
      </c>
      <c r="H5147" s="1399">
        <v>229897.93</v>
      </c>
      <c r="J5147" s="1399">
        <v>229897.93</v>
      </c>
    </row>
    <row r="5148" spans="2:12">
      <c r="B5148" s="1297"/>
      <c r="C5148" s="1297"/>
      <c r="D5148" s="1297"/>
      <c r="E5148" s="1297" t="s">
        <v>1034</v>
      </c>
      <c r="H5148" s="1399">
        <v>64276.409999999996</v>
      </c>
      <c r="J5148" s="1399">
        <v>64276.409999999996</v>
      </c>
    </row>
    <row r="5149" spans="2:12">
      <c r="B5149" s="1297"/>
      <c r="C5149" s="1297"/>
      <c r="D5149" s="1297"/>
      <c r="E5149" s="1297" t="s">
        <v>1035</v>
      </c>
      <c r="H5149" s="1399">
        <v>266357.65000000002</v>
      </c>
      <c r="J5149" s="1399">
        <v>266357.65000000002</v>
      </c>
    </row>
    <row r="5150" spans="2:12">
      <c r="B5150" s="1297"/>
      <c r="C5150" s="1297"/>
      <c r="D5150" s="1297"/>
      <c r="E5150" s="1297" t="s">
        <v>1036</v>
      </c>
      <c r="H5150" s="1399">
        <v>202328.16999999998</v>
      </c>
      <c r="J5150" s="1399">
        <v>202328.16999999998</v>
      </c>
    </row>
    <row r="5151" spans="2:12">
      <c r="B5151" s="1297"/>
      <c r="C5151" s="1297"/>
      <c r="D5151" s="1297"/>
      <c r="E5151" s="1297" t="s">
        <v>1037</v>
      </c>
      <c r="H5151" s="1399">
        <v>97896.58</v>
      </c>
      <c r="J5151" s="1399">
        <v>97896.58</v>
      </c>
    </row>
    <row r="5152" spans="2:12">
      <c r="B5152" s="1297"/>
      <c r="C5152" s="1297"/>
      <c r="D5152" s="1297"/>
      <c r="E5152" s="1297" t="s">
        <v>1039</v>
      </c>
      <c r="H5152" s="1399">
        <v>240642.54000000004</v>
      </c>
      <c r="J5152" s="1399">
        <v>240642.54000000004</v>
      </c>
    </row>
    <row r="5153" spans="5:10" s="1297" customFormat="1">
      <c r="E5153" s="1297" t="s">
        <v>1040</v>
      </c>
      <c r="F5153" s="1399"/>
      <c r="G5153" s="1399"/>
      <c r="H5153" s="1399">
        <v>361436.24</v>
      </c>
      <c r="I5153" s="1399"/>
      <c r="J5153" s="1399">
        <v>361436.24</v>
      </c>
    </row>
    <row r="5154" spans="5:10" s="1297" customFormat="1">
      <c r="E5154" s="1297" t="s">
        <v>1041</v>
      </c>
      <c r="F5154" s="1399"/>
      <c r="G5154" s="1399"/>
      <c r="H5154" s="1399">
        <v>45923.89</v>
      </c>
      <c r="I5154" s="1399"/>
      <c r="J5154" s="1399">
        <v>45923.89</v>
      </c>
    </row>
    <row r="5155" spans="5:10" s="1297" customFormat="1">
      <c r="E5155" s="1297" t="s">
        <v>1042</v>
      </c>
      <c r="F5155" s="1399"/>
      <c r="G5155" s="1399"/>
      <c r="H5155" s="1399">
        <v>81351.929999999993</v>
      </c>
      <c r="I5155" s="1399"/>
      <c r="J5155" s="1399">
        <v>81351.929999999993</v>
      </c>
    </row>
    <row r="5156" spans="5:10" s="1297" customFormat="1">
      <c r="E5156" s="1297" t="s">
        <v>986</v>
      </c>
      <c r="F5156" s="1399"/>
      <c r="G5156" s="1399"/>
      <c r="H5156" s="1399">
        <v>251425</v>
      </c>
      <c r="I5156" s="1399"/>
      <c r="J5156" s="1399">
        <v>251425</v>
      </c>
    </row>
    <row r="5157" spans="5:10" s="1297" customFormat="1">
      <c r="E5157" s="1297" t="s">
        <v>1044</v>
      </c>
      <c r="F5157" s="1399">
        <v>85400.06</v>
      </c>
      <c r="G5157" s="1399"/>
      <c r="H5157" s="1399"/>
      <c r="I5157" s="1399"/>
      <c r="J5157" s="1399">
        <v>85400.06</v>
      </c>
    </row>
    <row r="5158" spans="5:10" s="1297" customFormat="1">
      <c r="E5158" s="1297" t="s">
        <v>1045</v>
      </c>
      <c r="F5158" s="1399"/>
      <c r="G5158" s="1399"/>
      <c r="H5158" s="1399">
        <v>425367.86</v>
      </c>
      <c r="I5158" s="1399"/>
      <c r="J5158" s="1399">
        <v>425367.86</v>
      </c>
    </row>
    <row r="5159" spans="5:10" s="1297" customFormat="1">
      <c r="E5159" s="1297" t="s">
        <v>1046</v>
      </c>
      <c r="F5159" s="1399"/>
      <c r="G5159" s="1399"/>
      <c r="H5159" s="1399"/>
      <c r="I5159" s="1399">
        <v>26483478</v>
      </c>
      <c r="J5159" s="1399">
        <v>26483478</v>
      </c>
    </row>
    <row r="5160" spans="5:10" s="1297" customFormat="1">
      <c r="E5160" s="1297" t="s">
        <v>1128</v>
      </c>
      <c r="F5160" s="1399"/>
      <c r="G5160" s="1399"/>
      <c r="H5160" s="1399"/>
      <c r="I5160" s="1399">
        <v>2122023</v>
      </c>
      <c r="J5160" s="1399">
        <v>2122023</v>
      </c>
    </row>
    <row r="5161" spans="5:10" s="1297" customFormat="1">
      <c r="E5161" s="1297" t="s">
        <v>1129</v>
      </c>
      <c r="F5161" s="1399"/>
      <c r="G5161" s="1399"/>
      <c r="H5161" s="1399"/>
      <c r="I5161" s="1399">
        <v>-3701488</v>
      </c>
      <c r="J5161" s="1399">
        <v>-3701488</v>
      </c>
    </row>
    <row r="5162" spans="5:10" s="1297" customFormat="1">
      <c r="E5162" s="1297" t="s">
        <v>1047</v>
      </c>
      <c r="F5162" s="1399"/>
      <c r="G5162" s="1399"/>
      <c r="H5162" s="1399"/>
      <c r="I5162" s="1399">
        <v>909050</v>
      </c>
      <c r="J5162" s="1399">
        <v>909050</v>
      </c>
    </row>
    <row r="5163" spans="5:10" s="1297" customFormat="1">
      <c r="E5163" s="1297" t="s">
        <v>1048</v>
      </c>
      <c r="F5163" s="1399"/>
      <c r="G5163" s="1399"/>
      <c r="H5163" s="1399"/>
      <c r="I5163" s="1399">
        <v>-3984653</v>
      </c>
      <c r="J5163" s="1399">
        <v>-3984653</v>
      </c>
    </row>
    <row r="5164" spans="5:10" s="1297" customFormat="1">
      <c r="E5164" s="1297" t="s">
        <v>932</v>
      </c>
      <c r="F5164" s="1399"/>
      <c r="G5164" s="1399"/>
      <c r="H5164" s="1399"/>
      <c r="I5164" s="1399">
        <v>1570864</v>
      </c>
      <c r="J5164" s="1399">
        <v>1570864</v>
      </c>
    </row>
    <row r="5165" spans="5:10" s="1297" customFormat="1">
      <c r="E5165" s="1297" t="s">
        <v>933</v>
      </c>
      <c r="F5165" s="1399"/>
      <c r="G5165" s="1399"/>
      <c r="H5165" s="1399"/>
      <c r="I5165" s="1399">
        <v>1046005.15</v>
      </c>
      <c r="J5165" s="1399">
        <v>1046005.15</v>
      </c>
    </row>
    <row r="5166" spans="5:10" s="1297" customFormat="1">
      <c r="E5166" s="1297" t="s">
        <v>934</v>
      </c>
      <c r="F5166" s="1399"/>
      <c r="G5166" s="1399"/>
      <c r="H5166" s="1399"/>
      <c r="I5166" s="1399">
        <v>87802</v>
      </c>
      <c r="J5166" s="1399">
        <v>87802</v>
      </c>
    </row>
    <row r="5167" spans="5:10" s="1297" customFormat="1">
      <c r="E5167" s="1297" t="s">
        <v>1130</v>
      </c>
      <c r="F5167" s="1399"/>
      <c r="G5167" s="1399"/>
      <c r="H5167" s="1399"/>
      <c r="I5167" s="1399">
        <v>169706.9</v>
      </c>
      <c r="J5167" s="1399">
        <v>169706.9</v>
      </c>
    </row>
    <row r="5168" spans="5:10" s="1297" customFormat="1">
      <c r="E5168" s="1297" t="s">
        <v>935</v>
      </c>
      <c r="F5168" s="1399"/>
      <c r="G5168" s="1399"/>
      <c r="H5168" s="1399"/>
      <c r="I5168" s="1399">
        <v>2646370.11</v>
      </c>
      <c r="J5168" s="1399">
        <v>2646370.11</v>
      </c>
    </row>
    <row r="5169" spans="2:12">
      <c r="B5169" s="1297"/>
      <c r="C5169" s="1297"/>
      <c r="D5169" s="1297"/>
      <c r="E5169" s="1297" t="s">
        <v>936</v>
      </c>
      <c r="I5169" s="1399">
        <v>80184.47</v>
      </c>
      <c r="J5169" s="1399">
        <v>80184.47</v>
      </c>
    </row>
    <row r="5170" spans="2:12">
      <c r="B5170" s="1297"/>
      <c r="C5170" s="1297"/>
      <c r="D5170" s="1297"/>
      <c r="E5170" s="1297" t="s">
        <v>937</v>
      </c>
      <c r="I5170" s="1399">
        <v>28055.81</v>
      </c>
      <c r="J5170" s="1399">
        <v>28055.81</v>
      </c>
    </row>
    <row r="5171" spans="2:12">
      <c r="B5171" s="1297"/>
      <c r="C5171" s="1297"/>
      <c r="D5171" s="1297"/>
      <c r="E5171" s="1297" t="s">
        <v>938</v>
      </c>
      <c r="I5171" s="1399">
        <v>20962</v>
      </c>
      <c r="J5171" s="1399">
        <v>20962</v>
      </c>
    </row>
    <row r="5172" spans="2:12">
      <c r="B5172" s="1297"/>
      <c r="C5172" s="1297"/>
      <c r="D5172" s="1297"/>
      <c r="E5172" s="1297" t="s">
        <v>940</v>
      </c>
      <c r="F5172" s="1399">
        <v>1369287.9</v>
      </c>
      <c r="J5172" s="1399">
        <v>1369287.9</v>
      </c>
    </row>
    <row r="5173" spans="2:12">
      <c r="B5173" s="1297"/>
      <c r="C5173" s="1297"/>
      <c r="D5173" s="1297"/>
      <c r="E5173" s="1297" t="s">
        <v>941</v>
      </c>
      <c r="F5173" s="1399">
        <v>726157.36</v>
      </c>
      <c r="J5173" s="1399">
        <v>726157.36</v>
      </c>
    </row>
    <row r="5174" spans="2:12">
      <c r="B5174" s="1297"/>
      <c r="C5174" s="1297"/>
      <c r="D5174" s="1297"/>
      <c r="E5174" s="1297" t="s">
        <v>943</v>
      </c>
      <c r="F5174" s="1399">
        <v>4938.0200000000004</v>
      </c>
      <c r="J5174" s="1399">
        <v>4938.0200000000004</v>
      </c>
    </row>
    <row r="5175" spans="2:12">
      <c r="B5175" s="1297"/>
      <c r="C5175" s="1297"/>
      <c r="D5175" s="1297"/>
      <c r="E5175" s="1297" t="s">
        <v>944</v>
      </c>
      <c r="F5175" s="1399">
        <v>3587058.52</v>
      </c>
      <c r="J5175" s="1399">
        <v>3587058.52</v>
      </c>
    </row>
    <row r="5176" spans="2:12">
      <c r="B5176" s="1297"/>
      <c r="C5176" s="1297"/>
      <c r="D5176" s="1297"/>
      <c r="E5176" s="1297" t="s">
        <v>945</v>
      </c>
      <c r="F5176" s="1399">
        <v>2090976.3299999998</v>
      </c>
      <c r="J5176" s="1399">
        <v>2090976.3299999998</v>
      </c>
    </row>
    <row r="5177" spans="2:12">
      <c r="B5177" s="1297"/>
      <c r="C5177" s="1297"/>
      <c r="D5177" s="1297"/>
      <c r="E5177" s="1297" t="s">
        <v>947</v>
      </c>
      <c r="F5177" s="1399">
        <v>145756.12</v>
      </c>
      <c r="J5177" s="1399">
        <v>145756.12</v>
      </c>
    </row>
    <row r="5178" spans="2:12">
      <c r="B5178" s="1297"/>
      <c r="C5178" s="1297"/>
      <c r="D5178" s="1297"/>
      <c r="E5178" s="1404" t="s">
        <v>948</v>
      </c>
      <c r="F5178" s="1405"/>
      <c r="G5178" s="1405"/>
      <c r="H5178" s="1405">
        <v>1247652.1200000001</v>
      </c>
      <c r="I5178" s="1405"/>
      <c r="J5178" s="1405">
        <v>1247652.1200000001</v>
      </c>
    </row>
    <row r="5179" spans="2:12">
      <c r="B5179" s="1297"/>
      <c r="C5179" s="1297"/>
      <c r="D5179" s="1297"/>
      <c r="E5179" s="1297" t="s">
        <v>956</v>
      </c>
      <c r="H5179" s="1399">
        <v>499750</v>
      </c>
      <c r="J5179" s="1399">
        <v>499750</v>
      </c>
    </row>
    <row r="5180" spans="2:12">
      <c r="B5180" s="1297"/>
      <c r="C5180" s="1297"/>
      <c r="D5180" s="1400" t="s">
        <v>1361</v>
      </c>
      <c r="E5180" s="1400"/>
      <c r="F5180" s="1401">
        <f>SUM(F5142:F5179)</f>
        <v>8009574.3099999996</v>
      </c>
      <c r="G5180" s="1401">
        <f>SUM(G5142:G5179)</f>
        <v>16090889.669999998</v>
      </c>
      <c r="H5180" s="1401">
        <f>SUM(H5142:H5179)-H5178</f>
        <v>2783876.88</v>
      </c>
      <c r="I5180" s="1401">
        <f>SUM(I5142:I5179)</f>
        <v>27478360.439999994</v>
      </c>
      <c r="J5180" s="1401">
        <f>SUM(J5142:J5179)</f>
        <v>55610353.419999987</v>
      </c>
      <c r="K5180" s="1401">
        <f>SUM(F5180:I5180)</f>
        <v>54362701.29999999</v>
      </c>
      <c r="L5180" s="1408">
        <f>K5180/C5142</f>
        <v>11031.392309253244</v>
      </c>
    </row>
    <row r="5181" spans="2:12">
      <c r="B5181" s="1297" t="s">
        <v>1362</v>
      </c>
      <c r="C5181" s="1297">
        <v>7678</v>
      </c>
      <c r="D5181" s="1297" t="s">
        <v>1363</v>
      </c>
      <c r="E5181" s="1297" t="s">
        <v>906</v>
      </c>
      <c r="G5181" s="1399">
        <v>14196217.390000001</v>
      </c>
      <c r="J5181" s="1399">
        <v>14196217.390000001</v>
      </c>
    </row>
    <row r="5182" spans="2:12">
      <c r="B5182" s="1297"/>
      <c r="C5182" s="1297"/>
      <c r="D5182" s="1297"/>
      <c r="E5182" s="1297" t="s">
        <v>952</v>
      </c>
      <c r="G5182" s="1399">
        <v>161979.07</v>
      </c>
      <c r="J5182" s="1399">
        <v>161979.07</v>
      </c>
    </row>
    <row r="5183" spans="2:12">
      <c r="B5183" s="1297"/>
      <c r="C5183" s="1297"/>
      <c r="D5183" s="1297"/>
      <c r="E5183" s="1297" t="s">
        <v>907</v>
      </c>
      <c r="G5183" s="1399">
        <v>8008850.21</v>
      </c>
      <c r="J5183" s="1399">
        <v>8008850.21</v>
      </c>
    </row>
    <row r="5184" spans="2:12">
      <c r="B5184" s="1297"/>
      <c r="C5184" s="1297"/>
      <c r="D5184" s="1297"/>
      <c r="E5184" s="1297" t="s">
        <v>908</v>
      </c>
      <c r="G5184" s="1399">
        <v>16666.8</v>
      </c>
      <c r="J5184" s="1399">
        <v>16666.8</v>
      </c>
    </row>
    <row r="5185" spans="5:10" s="1297" customFormat="1">
      <c r="E5185" s="1297" t="s">
        <v>909</v>
      </c>
      <c r="F5185" s="1399"/>
      <c r="G5185" s="1399"/>
      <c r="H5185" s="1399">
        <v>16934.3</v>
      </c>
      <c r="I5185" s="1399"/>
      <c r="J5185" s="1399">
        <v>16934.3</v>
      </c>
    </row>
    <row r="5186" spans="5:10" s="1297" customFormat="1">
      <c r="E5186" s="1297" t="s">
        <v>910</v>
      </c>
      <c r="F5186" s="1399"/>
      <c r="G5186" s="1399"/>
      <c r="H5186" s="1399">
        <v>38305</v>
      </c>
      <c r="I5186" s="1399"/>
      <c r="J5186" s="1399">
        <v>38305</v>
      </c>
    </row>
    <row r="5187" spans="5:10" s="1297" customFormat="1">
      <c r="E5187" s="1297" t="s">
        <v>1034</v>
      </c>
      <c r="F5187" s="1399"/>
      <c r="G5187" s="1399"/>
      <c r="H5187" s="1399">
        <v>13260.8</v>
      </c>
      <c r="I5187" s="1399"/>
      <c r="J5187" s="1399">
        <v>13260.8</v>
      </c>
    </row>
    <row r="5188" spans="5:10" s="1297" customFormat="1">
      <c r="E5188" s="1297" t="s">
        <v>1035</v>
      </c>
      <c r="F5188" s="1399"/>
      <c r="G5188" s="1399"/>
      <c r="H5188" s="1399">
        <v>1146694.99</v>
      </c>
      <c r="I5188" s="1399"/>
      <c r="J5188" s="1399">
        <v>1146694.99</v>
      </c>
    </row>
    <row r="5189" spans="5:10" s="1297" customFormat="1">
      <c r="E5189" s="1297" t="s">
        <v>1036</v>
      </c>
      <c r="F5189" s="1399"/>
      <c r="G5189" s="1399"/>
      <c r="H5189" s="1399">
        <v>320151.27</v>
      </c>
      <c r="I5189" s="1399"/>
      <c r="J5189" s="1399">
        <v>320151.27</v>
      </c>
    </row>
    <row r="5190" spans="5:10" s="1297" customFormat="1">
      <c r="E5190" s="1297" t="s">
        <v>1003</v>
      </c>
      <c r="F5190" s="1399"/>
      <c r="G5190" s="1399"/>
      <c r="H5190" s="1399">
        <v>8778</v>
      </c>
      <c r="I5190" s="1399"/>
      <c r="J5190" s="1399">
        <v>8778</v>
      </c>
    </row>
    <row r="5191" spans="5:10" s="1297" customFormat="1">
      <c r="E5191" s="1297" t="s">
        <v>1039</v>
      </c>
      <c r="F5191" s="1399"/>
      <c r="G5191" s="1399"/>
      <c r="H5191" s="1399">
        <v>13749.26</v>
      </c>
      <c r="I5191" s="1399"/>
      <c r="J5191" s="1399">
        <v>13749.26</v>
      </c>
    </row>
    <row r="5192" spans="5:10" s="1297" customFormat="1">
      <c r="E5192" s="1297" t="s">
        <v>1040</v>
      </c>
      <c r="F5192" s="1399"/>
      <c r="G5192" s="1399"/>
      <c r="H5192" s="1399">
        <v>234071.84</v>
      </c>
      <c r="I5192" s="1399"/>
      <c r="J5192" s="1399">
        <v>234071.84</v>
      </c>
    </row>
    <row r="5193" spans="5:10" s="1297" customFormat="1">
      <c r="E5193" s="1297" t="s">
        <v>1127</v>
      </c>
      <c r="F5193" s="1399"/>
      <c r="G5193" s="1399"/>
      <c r="H5193" s="1399">
        <v>33465.759999999995</v>
      </c>
      <c r="I5193" s="1399"/>
      <c r="J5193" s="1399">
        <v>33465.759999999995</v>
      </c>
    </row>
    <row r="5194" spans="5:10" s="1297" customFormat="1">
      <c r="E5194" s="1297" t="s">
        <v>1041</v>
      </c>
      <c r="F5194" s="1399"/>
      <c r="G5194" s="1399"/>
      <c r="H5194" s="1399">
        <v>35672.719999999994</v>
      </c>
      <c r="I5194" s="1399"/>
      <c r="J5194" s="1399">
        <v>35672.719999999994</v>
      </c>
    </row>
    <row r="5195" spans="5:10" s="1297" customFormat="1">
      <c r="E5195" s="1297" t="s">
        <v>1042</v>
      </c>
      <c r="F5195" s="1399"/>
      <c r="G5195" s="1399"/>
      <c r="H5195" s="1399">
        <v>94087.930000000008</v>
      </c>
      <c r="I5195" s="1399"/>
      <c r="J5195" s="1399">
        <v>94087.930000000008</v>
      </c>
    </row>
    <row r="5196" spans="5:10" s="1297" customFormat="1">
      <c r="E5196" s="1297" t="s">
        <v>953</v>
      </c>
      <c r="F5196" s="1399"/>
      <c r="G5196" s="1399"/>
      <c r="H5196" s="1399">
        <v>3812.91</v>
      </c>
      <c r="I5196" s="1399"/>
      <c r="J5196" s="1399">
        <v>3812.91</v>
      </c>
    </row>
    <row r="5197" spans="5:10" s="1297" customFormat="1">
      <c r="E5197" s="1297" t="s">
        <v>1043</v>
      </c>
      <c r="F5197" s="1399"/>
      <c r="G5197" s="1399"/>
      <c r="H5197" s="1399">
        <v>26653.1</v>
      </c>
      <c r="I5197" s="1399"/>
      <c r="J5197" s="1399">
        <v>26653.1</v>
      </c>
    </row>
    <row r="5198" spans="5:10" s="1297" customFormat="1">
      <c r="E5198" s="1297" t="s">
        <v>986</v>
      </c>
      <c r="F5198" s="1399"/>
      <c r="G5198" s="1399"/>
      <c r="H5198" s="1399">
        <v>38091</v>
      </c>
      <c r="I5198" s="1399"/>
      <c r="J5198" s="1399">
        <v>38091</v>
      </c>
    </row>
    <row r="5199" spans="5:10" s="1297" customFormat="1">
      <c r="E5199" s="1297" t="s">
        <v>996</v>
      </c>
      <c r="F5199" s="1399"/>
      <c r="G5199" s="1399"/>
      <c r="H5199" s="1399">
        <v>1402.23</v>
      </c>
      <c r="I5199" s="1399"/>
      <c r="J5199" s="1399">
        <v>1402.23</v>
      </c>
    </row>
    <row r="5200" spans="5:10" s="1297" customFormat="1">
      <c r="E5200" s="1297" t="s">
        <v>1044</v>
      </c>
      <c r="F5200" s="1399">
        <v>63747.93</v>
      </c>
      <c r="G5200" s="1399"/>
      <c r="H5200" s="1399"/>
      <c r="I5200" s="1399"/>
      <c r="J5200" s="1399">
        <v>63747.93</v>
      </c>
    </row>
    <row r="5201" spans="5:10" s="1297" customFormat="1">
      <c r="E5201" s="1297" t="s">
        <v>1045</v>
      </c>
      <c r="F5201" s="1399"/>
      <c r="G5201" s="1399"/>
      <c r="H5201" s="1399">
        <v>419100.89999999991</v>
      </c>
      <c r="I5201" s="1399"/>
      <c r="J5201" s="1399">
        <v>419100.89999999991</v>
      </c>
    </row>
    <row r="5202" spans="5:10" s="1297" customFormat="1">
      <c r="E5202" s="1297" t="s">
        <v>1046</v>
      </c>
      <c r="F5202" s="1399"/>
      <c r="G5202" s="1399"/>
      <c r="H5202" s="1399"/>
      <c r="I5202" s="1399">
        <v>36882634</v>
      </c>
      <c r="J5202" s="1399">
        <v>36882634</v>
      </c>
    </row>
    <row r="5203" spans="5:10" s="1297" customFormat="1">
      <c r="E5203" s="1297" t="s">
        <v>1047</v>
      </c>
      <c r="F5203" s="1399"/>
      <c r="G5203" s="1399"/>
      <c r="H5203" s="1399"/>
      <c r="I5203" s="1399">
        <v>808412</v>
      </c>
      <c r="J5203" s="1399">
        <v>808412</v>
      </c>
    </row>
    <row r="5204" spans="5:10" s="1297" customFormat="1">
      <c r="E5204" s="1297" t="s">
        <v>1048</v>
      </c>
      <c r="F5204" s="1399"/>
      <c r="G5204" s="1399"/>
      <c r="H5204" s="1399"/>
      <c r="I5204" s="1399">
        <v>-4691522</v>
      </c>
      <c r="J5204" s="1399">
        <v>-4691522</v>
      </c>
    </row>
    <row r="5205" spans="5:10" s="1297" customFormat="1">
      <c r="E5205" s="1297" t="s">
        <v>932</v>
      </c>
      <c r="F5205" s="1399"/>
      <c r="G5205" s="1399"/>
      <c r="H5205" s="1399"/>
      <c r="I5205" s="1399">
        <v>3906251</v>
      </c>
      <c r="J5205" s="1399">
        <v>3906251</v>
      </c>
    </row>
    <row r="5206" spans="5:10" s="1297" customFormat="1">
      <c r="E5206" s="1404" t="s">
        <v>955</v>
      </c>
      <c r="F5206" s="1405"/>
      <c r="G5206" s="1405"/>
      <c r="H5206" s="1405"/>
      <c r="I5206" s="1405">
        <v>1341644.44</v>
      </c>
      <c r="J5206" s="1405">
        <v>1341644.44</v>
      </c>
    </row>
    <row r="5207" spans="5:10" s="1297" customFormat="1">
      <c r="E5207" s="1297" t="s">
        <v>934</v>
      </c>
      <c r="F5207" s="1399"/>
      <c r="G5207" s="1399"/>
      <c r="H5207" s="1399"/>
      <c r="I5207" s="1399">
        <v>123498</v>
      </c>
      <c r="J5207" s="1399">
        <v>123498</v>
      </c>
    </row>
    <row r="5208" spans="5:10" s="1297" customFormat="1">
      <c r="E5208" s="1297" t="s">
        <v>1130</v>
      </c>
      <c r="F5208" s="1399"/>
      <c r="G5208" s="1399"/>
      <c r="H5208" s="1399"/>
      <c r="I5208" s="1399">
        <v>101026.8</v>
      </c>
      <c r="J5208" s="1399">
        <v>101026.8</v>
      </c>
    </row>
    <row r="5209" spans="5:10" s="1297" customFormat="1">
      <c r="E5209" s="1297" t="s">
        <v>935</v>
      </c>
      <c r="F5209" s="1399"/>
      <c r="G5209" s="1399"/>
      <c r="H5209" s="1399"/>
      <c r="I5209" s="1399">
        <v>685603.53</v>
      </c>
      <c r="J5209" s="1399">
        <v>685603.53</v>
      </c>
    </row>
    <row r="5210" spans="5:10" s="1297" customFormat="1">
      <c r="E5210" s="1297" t="s">
        <v>936</v>
      </c>
      <c r="F5210" s="1399"/>
      <c r="G5210" s="1399"/>
      <c r="H5210" s="1399"/>
      <c r="I5210" s="1399">
        <v>100143.05</v>
      </c>
      <c r="J5210" s="1399">
        <v>100143.05</v>
      </c>
    </row>
    <row r="5211" spans="5:10" s="1297" customFormat="1">
      <c r="E5211" s="1297" t="s">
        <v>937</v>
      </c>
      <c r="F5211" s="1399"/>
      <c r="G5211" s="1399"/>
      <c r="H5211" s="1399"/>
      <c r="I5211" s="1399">
        <v>69433.62</v>
      </c>
      <c r="J5211" s="1399">
        <v>69433.62</v>
      </c>
    </row>
    <row r="5212" spans="5:10" s="1297" customFormat="1">
      <c r="E5212" s="1297" t="s">
        <v>938</v>
      </c>
      <c r="F5212" s="1399"/>
      <c r="G5212" s="1399"/>
      <c r="H5212" s="1399"/>
      <c r="I5212" s="1399">
        <v>26202</v>
      </c>
      <c r="J5212" s="1399">
        <v>26202</v>
      </c>
    </row>
    <row r="5213" spans="5:10" s="1297" customFormat="1">
      <c r="E5213" s="1297" t="s">
        <v>1131</v>
      </c>
      <c r="F5213" s="1399">
        <v>88538.46</v>
      </c>
      <c r="G5213" s="1399"/>
      <c r="H5213" s="1399"/>
      <c r="I5213" s="1399"/>
      <c r="J5213" s="1399">
        <v>88538.46</v>
      </c>
    </row>
    <row r="5214" spans="5:10" s="1297" customFormat="1">
      <c r="E5214" s="1297" t="s">
        <v>940</v>
      </c>
      <c r="F5214" s="1399">
        <v>2228891.2200000002</v>
      </c>
      <c r="G5214" s="1399"/>
      <c r="H5214" s="1399"/>
      <c r="I5214" s="1399"/>
      <c r="J5214" s="1399">
        <v>2228891.2200000002</v>
      </c>
    </row>
    <row r="5215" spans="5:10" s="1297" customFormat="1">
      <c r="E5215" s="1297" t="s">
        <v>941</v>
      </c>
      <c r="F5215" s="1399">
        <v>761862.24</v>
      </c>
      <c r="G5215" s="1399"/>
      <c r="H5215" s="1399"/>
      <c r="I5215" s="1399"/>
      <c r="J5215" s="1399">
        <v>761862.24</v>
      </c>
    </row>
    <row r="5216" spans="5:10" s="1297" customFormat="1">
      <c r="E5216" s="1297" t="s">
        <v>943</v>
      </c>
      <c r="F5216" s="1399">
        <v>39019.460000000006</v>
      </c>
      <c r="G5216" s="1399"/>
      <c r="H5216" s="1399"/>
      <c r="I5216" s="1399"/>
      <c r="J5216" s="1399">
        <v>39019.460000000006</v>
      </c>
    </row>
    <row r="5217" spans="2:12">
      <c r="B5217" s="1297"/>
      <c r="C5217" s="1297"/>
      <c r="D5217" s="1297"/>
      <c r="E5217" s="1297" t="s">
        <v>944</v>
      </c>
      <c r="F5217" s="1399">
        <v>6962582.2800000012</v>
      </c>
      <c r="J5217" s="1399">
        <v>6962582.2800000012</v>
      </c>
    </row>
    <row r="5218" spans="2:12">
      <c r="B5218" s="1297"/>
      <c r="C5218" s="1297"/>
      <c r="D5218" s="1297"/>
      <c r="E5218" s="1297" t="s">
        <v>945</v>
      </c>
      <c r="F5218" s="1399">
        <v>4753976.4400000004</v>
      </c>
      <c r="J5218" s="1399">
        <v>4753976.4400000004</v>
      </c>
    </row>
    <row r="5219" spans="2:12">
      <c r="B5219" s="1297"/>
      <c r="C5219" s="1297"/>
      <c r="D5219" s="1297"/>
      <c r="E5219" s="1297" t="s">
        <v>947</v>
      </c>
      <c r="F5219" s="1399">
        <v>208363.61000000002</v>
      </c>
      <c r="J5219" s="1399">
        <v>208363.61000000002</v>
      </c>
    </row>
    <row r="5220" spans="2:12">
      <c r="B5220" s="1297"/>
      <c r="C5220" s="1297"/>
      <c r="D5220" s="1297"/>
      <c r="E5220" s="1297" t="s">
        <v>1115</v>
      </c>
      <c r="F5220" s="1399">
        <v>20</v>
      </c>
      <c r="J5220" s="1399">
        <v>20</v>
      </c>
    </row>
    <row r="5221" spans="2:12">
      <c r="B5221" s="1297"/>
      <c r="C5221" s="1297"/>
      <c r="D5221" s="1297"/>
      <c r="E5221" s="1404" t="s">
        <v>948</v>
      </c>
      <c r="F5221" s="1405"/>
      <c r="G5221" s="1405"/>
      <c r="H5221" s="1405">
        <v>646226.12999999989</v>
      </c>
      <c r="I5221" s="1405"/>
      <c r="J5221" s="1405">
        <v>646226.12999999989</v>
      </c>
    </row>
    <row r="5222" spans="2:12">
      <c r="B5222" s="1297"/>
      <c r="C5222" s="1297"/>
      <c r="D5222" s="1297"/>
      <c r="E5222" s="1297" t="s">
        <v>956</v>
      </c>
      <c r="H5222" s="1399">
        <v>17650</v>
      </c>
      <c r="J5222" s="1399">
        <v>17650</v>
      </c>
    </row>
    <row r="5223" spans="2:12">
      <c r="B5223" s="1297"/>
      <c r="C5223" s="1297"/>
      <c r="D5223" s="1400" t="s">
        <v>1364</v>
      </c>
      <c r="E5223" s="1400"/>
      <c r="F5223" s="1401">
        <f>SUM(F5181:F5222)</f>
        <v>15107001.640000001</v>
      </c>
      <c r="G5223" s="1401">
        <f>SUM(G5181:G5222)</f>
        <v>22383713.470000003</v>
      </c>
      <c r="H5223" s="1401">
        <f>SUM(H5181:H5222)-H5221</f>
        <v>2461882.0099999998</v>
      </c>
      <c r="I5223" s="1401">
        <f>SUM(I5181:I5222)-I5206</f>
        <v>38011681.999999993</v>
      </c>
      <c r="J5223" s="1401">
        <f>SUM(J5181:J5222)</f>
        <v>79952149.689999983</v>
      </c>
      <c r="K5223" s="1401">
        <f>SUM(F5223:I5223)</f>
        <v>77964279.11999999</v>
      </c>
      <c r="L5223" s="1408">
        <f>K5223/C5181</f>
        <v>10154.243177910914</v>
      </c>
    </row>
    <row r="5224" spans="2:12">
      <c r="B5224" s="1297" t="s">
        <v>1365</v>
      </c>
      <c r="C5224" s="1297">
        <v>2818</v>
      </c>
      <c r="D5224" s="1297" t="s">
        <v>1366</v>
      </c>
      <c r="E5224" s="1297" t="s">
        <v>906</v>
      </c>
      <c r="G5224" s="1399">
        <v>3564532.1</v>
      </c>
      <c r="J5224" s="1399">
        <v>3564532.1</v>
      </c>
    </row>
    <row r="5225" spans="2:12">
      <c r="B5225" s="1297"/>
      <c r="C5225" s="1297"/>
      <c r="D5225" s="1297"/>
      <c r="E5225" s="1297" t="s">
        <v>907</v>
      </c>
      <c r="G5225" s="1399">
        <v>2346518.0299999998</v>
      </c>
      <c r="J5225" s="1399">
        <v>2346518.0299999998</v>
      </c>
    </row>
    <row r="5226" spans="2:12">
      <c r="B5226" s="1297"/>
      <c r="C5226" s="1297"/>
      <c r="D5226" s="1297"/>
      <c r="E5226" s="1297" t="s">
        <v>908</v>
      </c>
      <c r="G5226" s="1399">
        <v>39036.720000000001</v>
      </c>
      <c r="J5226" s="1399">
        <v>39036.720000000001</v>
      </c>
    </row>
    <row r="5227" spans="2:12">
      <c r="B5227" s="1297"/>
      <c r="C5227" s="1297"/>
      <c r="D5227" s="1297"/>
      <c r="E5227" s="1297" t="s">
        <v>909</v>
      </c>
      <c r="H5227" s="1399">
        <v>21846.12</v>
      </c>
      <c r="J5227" s="1399">
        <v>21846.12</v>
      </c>
    </row>
    <row r="5228" spans="2:12">
      <c r="B5228" s="1297"/>
      <c r="C5228" s="1297"/>
      <c r="D5228" s="1297"/>
      <c r="E5228" s="1297" t="s">
        <v>910</v>
      </c>
      <c r="H5228" s="1399">
        <v>36057.800000000003</v>
      </c>
      <c r="J5228" s="1399">
        <v>36057.800000000003</v>
      </c>
    </row>
    <row r="5229" spans="2:12">
      <c r="B5229" s="1297"/>
      <c r="C5229" s="1297"/>
      <c r="D5229" s="1297"/>
      <c r="E5229" s="1297" t="s">
        <v>1034</v>
      </c>
      <c r="H5229" s="1399">
        <v>62523</v>
      </c>
      <c r="J5229" s="1399">
        <v>62523</v>
      </c>
    </row>
    <row r="5230" spans="2:12">
      <c r="B5230" s="1297"/>
      <c r="C5230" s="1297"/>
      <c r="D5230" s="1297"/>
      <c r="E5230" s="1297" t="s">
        <v>1035</v>
      </c>
      <c r="H5230" s="1399">
        <v>269364.45</v>
      </c>
      <c r="J5230" s="1399">
        <v>269364.45</v>
      </c>
    </row>
    <row r="5231" spans="2:12">
      <c r="B5231" s="1297"/>
      <c r="C5231" s="1297"/>
      <c r="D5231" s="1297"/>
      <c r="E5231" s="1297" t="s">
        <v>1036</v>
      </c>
      <c r="H5231" s="1399">
        <v>107049.23</v>
      </c>
      <c r="J5231" s="1399">
        <v>107049.23</v>
      </c>
    </row>
    <row r="5232" spans="2:12">
      <c r="B5232" s="1297"/>
      <c r="C5232" s="1297"/>
      <c r="D5232" s="1297"/>
      <c r="E5232" s="1297" t="s">
        <v>1039</v>
      </c>
      <c r="H5232" s="1399">
        <v>20919.04</v>
      </c>
      <c r="J5232" s="1399">
        <v>20919.04</v>
      </c>
    </row>
    <row r="5233" spans="5:10" s="1297" customFormat="1">
      <c r="E5233" s="1297" t="s">
        <v>1040</v>
      </c>
      <c r="F5233" s="1399"/>
      <c r="G5233" s="1399"/>
      <c r="H5233" s="1399">
        <v>213983.46000000002</v>
      </c>
      <c r="I5233" s="1399"/>
      <c r="J5233" s="1399">
        <v>213983.46000000002</v>
      </c>
    </row>
    <row r="5234" spans="5:10" s="1297" customFormat="1">
      <c r="E5234" s="1297" t="s">
        <v>1041</v>
      </c>
      <c r="F5234" s="1399"/>
      <c r="G5234" s="1399"/>
      <c r="H5234" s="1399">
        <v>13253.619999999999</v>
      </c>
      <c r="I5234" s="1399"/>
      <c r="J5234" s="1399">
        <v>13253.619999999999</v>
      </c>
    </row>
    <row r="5235" spans="5:10" s="1297" customFormat="1">
      <c r="E5235" s="1297" t="s">
        <v>1042</v>
      </c>
      <c r="F5235" s="1399"/>
      <c r="G5235" s="1399"/>
      <c r="H5235" s="1399">
        <v>69353.03</v>
      </c>
      <c r="I5235" s="1399"/>
      <c r="J5235" s="1399">
        <v>69353.03</v>
      </c>
    </row>
    <row r="5236" spans="5:10" s="1297" customFormat="1">
      <c r="E5236" s="1297" t="s">
        <v>1044</v>
      </c>
      <c r="F5236" s="1399">
        <v>16291.76</v>
      </c>
      <c r="G5236" s="1399"/>
      <c r="H5236" s="1399"/>
      <c r="I5236" s="1399"/>
      <c r="J5236" s="1399">
        <v>16291.76</v>
      </c>
    </row>
    <row r="5237" spans="5:10" s="1297" customFormat="1">
      <c r="E5237" s="1297" t="s">
        <v>1045</v>
      </c>
      <c r="F5237" s="1399"/>
      <c r="G5237" s="1399"/>
      <c r="H5237" s="1399">
        <v>431322.26</v>
      </c>
      <c r="I5237" s="1399"/>
      <c r="J5237" s="1399">
        <v>431322.26</v>
      </c>
    </row>
    <row r="5238" spans="5:10" s="1297" customFormat="1">
      <c r="E5238" s="1297" t="s">
        <v>1046</v>
      </c>
      <c r="F5238" s="1399"/>
      <c r="G5238" s="1399"/>
      <c r="H5238" s="1399"/>
      <c r="I5238" s="1399">
        <v>14373324</v>
      </c>
      <c r="J5238" s="1399">
        <v>14373324</v>
      </c>
    </row>
    <row r="5239" spans="5:10" s="1297" customFormat="1">
      <c r="E5239" s="1297" t="s">
        <v>1047</v>
      </c>
      <c r="F5239" s="1399"/>
      <c r="G5239" s="1399"/>
      <c r="H5239" s="1399"/>
      <c r="I5239" s="1399">
        <v>524358</v>
      </c>
      <c r="J5239" s="1399">
        <v>524358</v>
      </c>
    </row>
    <row r="5240" spans="5:10" s="1297" customFormat="1">
      <c r="E5240" s="1297" t="s">
        <v>1048</v>
      </c>
      <c r="F5240" s="1399"/>
      <c r="G5240" s="1399"/>
      <c r="H5240" s="1399"/>
      <c r="I5240" s="1399">
        <v>-1354789</v>
      </c>
      <c r="J5240" s="1399">
        <v>-1354789</v>
      </c>
    </row>
    <row r="5241" spans="5:10" s="1297" customFormat="1">
      <c r="E5241" s="1297" t="s">
        <v>932</v>
      </c>
      <c r="F5241" s="1399"/>
      <c r="G5241" s="1399"/>
      <c r="H5241" s="1399"/>
      <c r="I5241" s="1399">
        <v>1564709</v>
      </c>
      <c r="J5241" s="1399">
        <v>1564709</v>
      </c>
    </row>
    <row r="5242" spans="5:10" s="1297" customFormat="1">
      <c r="E5242" s="1404" t="s">
        <v>955</v>
      </c>
      <c r="F5242" s="1405"/>
      <c r="G5242" s="1405"/>
      <c r="H5242" s="1405"/>
      <c r="I5242" s="1405">
        <v>950175.51</v>
      </c>
      <c r="J5242" s="1405">
        <v>950175.51</v>
      </c>
    </row>
    <row r="5243" spans="5:10" s="1297" customFormat="1">
      <c r="E5243" s="1297" t="s">
        <v>934</v>
      </c>
      <c r="F5243" s="1399"/>
      <c r="G5243" s="1399"/>
      <c r="H5243" s="1399"/>
      <c r="I5243" s="1399">
        <v>54868</v>
      </c>
      <c r="J5243" s="1399">
        <v>54868</v>
      </c>
    </row>
    <row r="5244" spans="5:10" s="1297" customFormat="1">
      <c r="E5244" s="1297" t="s">
        <v>935</v>
      </c>
      <c r="F5244" s="1399"/>
      <c r="G5244" s="1399"/>
      <c r="H5244" s="1399"/>
      <c r="I5244" s="1399">
        <v>324687.94</v>
      </c>
      <c r="J5244" s="1399">
        <v>324687.94</v>
      </c>
    </row>
    <row r="5245" spans="5:10" s="1297" customFormat="1">
      <c r="E5245" s="1297" t="s">
        <v>936</v>
      </c>
      <c r="F5245" s="1399"/>
      <c r="G5245" s="1399"/>
      <c r="H5245" s="1399"/>
      <c r="I5245" s="1399">
        <v>36765.81</v>
      </c>
      <c r="J5245" s="1399">
        <v>36765.81</v>
      </c>
    </row>
    <row r="5246" spans="5:10" s="1297" customFormat="1">
      <c r="E5246" s="1297" t="s">
        <v>938</v>
      </c>
      <c r="F5246" s="1399"/>
      <c r="G5246" s="1399"/>
      <c r="H5246" s="1399"/>
      <c r="I5246" s="1399">
        <v>17406</v>
      </c>
      <c r="J5246" s="1399">
        <v>17406</v>
      </c>
    </row>
    <row r="5247" spans="5:10" s="1297" customFormat="1">
      <c r="E5247" s="1297" t="s">
        <v>940</v>
      </c>
      <c r="F5247" s="1399">
        <v>943207.83000000007</v>
      </c>
      <c r="G5247" s="1399"/>
      <c r="H5247" s="1399"/>
      <c r="I5247" s="1399"/>
      <c r="J5247" s="1399">
        <v>943207.83000000007</v>
      </c>
    </row>
    <row r="5248" spans="5:10" s="1297" customFormat="1">
      <c r="E5248" s="1297" t="s">
        <v>941</v>
      </c>
      <c r="F5248" s="1399">
        <v>315420.45999999996</v>
      </c>
      <c r="G5248" s="1399"/>
      <c r="H5248" s="1399"/>
      <c r="I5248" s="1399"/>
      <c r="J5248" s="1399">
        <v>315420.45999999996</v>
      </c>
    </row>
    <row r="5249" spans="2:12">
      <c r="B5249" s="1297"/>
      <c r="C5249" s="1297"/>
      <c r="D5249" s="1297"/>
      <c r="E5249" s="1297" t="s">
        <v>942</v>
      </c>
      <c r="F5249" s="1399">
        <v>13478.900000000001</v>
      </c>
      <c r="J5249" s="1399">
        <v>13478.900000000001</v>
      </c>
    </row>
    <row r="5250" spans="2:12">
      <c r="B5250" s="1297"/>
      <c r="C5250" s="1297"/>
      <c r="D5250" s="1297"/>
      <c r="E5250" s="1297" t="s">
        <v>943</v>
      </c>
      <c r="F5250" s="1399">
        <v>8267.2799999999988</v>
      </c>
      <c r="J5250" s="1399">
        <v>8267.2799999999988</v>
      </c>
    </row>
    <row r="5251" spans="2:12">
      <c r="B5251" s="1297"/>
      <c r="C5251" s="1297"/>
      <c r="D5251" s="1297"/>
      <c r="E5251" s="1297" t="s">
        <v>944</v>
      </c>
      <c r="F5251" s="1399">
        <v>2534343.8200000003</v>
      </c>
      <c r="J5251" s="1399">
        <v>2534343.8200000003</v>
      </c>
    </row>
    <row r="5252" spans="2:12">
      <c r="B5252" s="1297"/>
      <c r="C5252" s="1297"/>
      <c r="D5252" s="1297"/>
      <c r="E5252" s="1297" t="s">
        <v>945</v>
      </c>
      <c r="F5252" s="1399">
        <v>1858148.13</v>
      </c>
      <c r="J5252" s="1399">
        <v>1858148.13</v>
      </c>
    </row>
    <row r="5253" spans="2:12">
      <c r="B5253" s="1297"/>
      <c r="C5253" s="1297"/>
      <c r="D5253" s="1297"/>
      <c r="E5253" s="1297" t="s">
        <v>947</v>
      </c>
      <c r="F5253" s="1399">
        <v>122181.10999999999</v>
      </c>
      <c r="J5253" s="1399">
        <v>122181.10999999999</v>
      </c>
    </row>
    <row r="5254" spans="2:12">
      <c r="B5254" s="1297"/>
      <c r="C5254" s="1297"/>
      <c r="D5254" s="1297"/>
      <c r="E5254" s="1404" t="s">
        <v>948</v>
      </c>
      <c r="F5254" s="1405"/>
      <c r="G5254" s="1405"/>
      <c r="H5254" s="1405">
        <v>-436616.36000000004</v>
      </c>
      <c r="I5254" s="1405"/>
      <c r="J5254" s="1405">
        <v>-436616.36000000004</v>
      </c>
    </row>
    <row r="5255" spans="2:12">
      <c r="B5255" s="1297"/>
      <c r="C5255" s="1297"/>
      <c r="D5255" s="1297"/>
      <c r="E5255" s="1297" t="s">
        <v>1118</v>
      </c>
      <c r="H5255" s="1399">
        <v>3691.68</v>
      </c>
      <c r="J5255" s="1399">
        <v>3691.68</v>
      </c>
    </row>
    <row r="5256" spans="2:12">
      <c r="B5256" s="1297"/>
      <c r="C5256" s="1297"/>
      <c r="D5256" s="1400" t="s">
        <v>1367</v>
      </c>
      <c r="E5256" s="1400"/>
      <c r="F5256" s="1401">
        <f>SUM(F5224:F5255)</f>
        <v>5811339.29</v>
      </c>
      <c r="G5256" s="1401">
        <f>SUM(G5224:G5255)</f>
        <v>5950086.8499999996</v>
      </c>
      <c r="H5256" s="1401">
        <f>SUM(H5224:H5255)-H5254</f>
        <v>1249363.69</v>
      </c>
      <c r="I5256" s="1401">
        <f>SUM(I5224:I5255)-I5242</f>
        <v>15541329.75</v>
      </c>
      <c r="J5256" s="1401">
        <f>SUM(J5224:J5255)</f>
        <v>29065678.73</v>
      </c>
      <c r="K5256" s="1401">
        <f>SUM(F5256:I5256)</f>
        <v>28552119.579999998</v>
      </c>
      <c r="L5256" s="1408">
        <f>K5256/C5224</f>
        <v>10132.050951029098</v>
      </c>
    </row>
    <row r="5257" spans="2:12">
      <c r="B5257" s="1297" t="s">
        <v>1368</v>
      </c>
      <c r="C5257" s="1297">
        <v>1133</v>
      </c>
      <c r="D5257" s="1297" t="s">
        <v>1369</v>
      </c>
      <c r="E5257" s="1297" t="s">
        <v>906</v>
      </c>
      <c r="G5257" s="1399">
        <v>4442201.47</v>
      </c>
      <c r="J5257" s="1399">
        <v>4442201.47</v>
      </c>
    </row>
    <row r="5258" spans="2:12">
      <c r="B5258" s="1297"/>
      <c r="C5258" s="1297"/>
      <c r="D5258" s="1297"/>
      <c r="E5258" s="1297" t="s">
        <v>1126</v>
      </c>
      <c r="G5258" s="1399">
        <v>1694378.07</v>
      </c>
      <c r="J5258" s="1399">
        <v>1694378.07</v>
      </c>
    </row>
    <row r="5259" spans="2:12">
      <c r="B5259" s="1297"/>
      <c r="C5259" s="1297"/>
      <c r="D5259" s="1297"/>
      <c r="E5259" s="1297" t="s">
        <v>952</v>
      </c>
      <c r="G5259" s="1399">
        <v>38573.08</v>
      </c>
      <c r="J5259" s="1399">
        <v>38573.08</v>
      </c>
    </row>
    <row r="5260" spans="2:12">
      <c r="B5260" s="1297"/>
      <c r="C5260" s="1297"/>
      <c r="D5260" s="1297"/>
      <c r="E5260" s="1297" t="s">
        <v>907</v>
      </c>
      <c r="G5260" s="1399">
        <v>1690529.77</v>
      </c>
      <c r="J5260" s="1399">
        <v>1690529.77</v>
      </c>
    </row>
    <row r="5261" spans="2:12">
      <c r="B5261" s="1297"/>
      <c r="C5261" s="1297"/>
      <c r="D5261" s="1297"/>
      <c r="E5261" s="1297" t="s">
        <v>909</v>
      </c>
      <c r="H5261" s="1399">
        <v>7439.07</v>
      </c>
      <c r="J5261" s="1399">
        <v>7439.07</v>
      </c>
    </row>
    <row r="5262" spans="2:12">
      <c r="B5262" s="1297"/>
      <c r="C5262" s="1297"/>
      <c r="D5262" s="1297"/>
      <c r="E5262" s="1297" t="s">
        <v>910</v>
      </c>
      <c r="H5262" s="1399">
        <v>35189.68</v>
      </c>
      <c r="J5262" s="1399">
        <v>35189.68</v>
      </c>
    </row>
    <row r="5263" spans="2:12">
      <c r="B5263" s="1297"/>
      <c r="C5263" s="1297"/>
      <c r="D5263" s="1297"/>
      <c r="E5263" s="1297" t="s">
        <v>1034</v>
      </c>
      <c r="H5263" s="1399">
        <v>57261.06</v>
      </c>
      <c r="J5263" s="1399">
        <v>57261.06</v>
      </c>
    </row>
    <row r="5264" spans="2:12">
      <c r="B5264" s="1297"/>
      <c r="C5264" s="1297"/>
      <c r="D5264" s="1297"/>
      <c r="E5264" s="1297" t="s">
        <v>1035</v>
      </c>
      <c r="H5264" s="1399">
        <v>264626.69999999995</v>
      </c>
      <c r="J5264" s="1399">
        <v>264626.69999999995</v>
      </c>
    </row>
    <row r="5265" spans="5:10" s="1297" customFormat="1">
      <c r="E5265" s="1297" t="s">
        <v>1036</v>
      </c>
      <c r="F5265" s="1399"/>
      <c r="G5265" s="1399"/>
      <c r="H5265" s="1399">
        <v>63634.21</v>
      </c>
      <c r="I5265" s="1399"/>
      <c r="J5265" s="1399">
        <v>63634.21</v>
      </c>
    </row>
    <row r="5266" spans="5:10" s="1297" customFormat="1">
      <c r="E5266" s="1297" t="s">
        <v>1039</v>
      </c>
      <c r="F5266" s="1399"/>
      <c r="G5266" s="1399"/>
      <c r="H5266" s="1399">
        <v>15071.720000000001</v>
      </c>
      <c r="I5266" s="1399"/>
      <c r="J5266" s="1399">
        <v>15071.720000000001</v>
      </c>
    </row>
    <row r="5267" spans="5:10" s="1297" customFormat="1">
      <c r="E5267" s="1297" t="s">
        <v>1040</v>
      </c>
      <c r="F5267" s="1399"/>
      <c r="G5267" s="1399"/>
      <c r="H5267" s="1399">
        <v>121405.47</v>
      </c>
      <c r="I5267" s="1399"/>
      <c r="J5267" s="1399">
        <v>121405.47</v>
      </c>
    </row>
    <row r="5268" spans="5:10" s="1297" customFormat="1">
      <c r="E5268" s="1297" t="s">
        <v>1041</v>
      </c>
      <c r="F5268" s="1399"/>
      <c r="G5268" s="1399"/>
      <c r="H5268" s="1399">
        <v>51721.45</v>
      </c>
      <c r="I5268" s="1399"/>
      <c r="J5268" s="1399">
        <v>51721.45</v>
      </c>
    </row>
    <row r="5269" spans="5:10" s="1297" customFormat="1">
      <c r="E5269" s="1297" t="s">
        <v>1042</v>
      </c>
      <c r="F5269" s="1399"/>
      <c r="G5269" s="1399"/>
      <c r="H5269" s="1399">
        <v>32074.75</v>
      </c>
      <c r="I5269" s="1399"/>
      <c r="J5269" s="1399">
        <v>32074.75</v>
      </c>
    </row>
    <row r="5270" spans="5:10" s="1297" customFormat="1">
      <c r="E5270" s="1297" t="s">
        <v>985</v>
      </c>
      <c r="F5270" s="1399"/>
      <c r="G5270" s="1399"/>
      <c r="H5270" s="1399">
        <v>17108</v>
      </c>
      <c r="I5270" s="1399"/>
      <c r="J5270" s="1399">
        <v>17108</v>
      </c>
    </row>
    <row r="5271" spans="5:10" s="1297" customFormat="1">
      <c r="E5271" s="1297" t="s">
        <v>996</v>
      </c>
      <c r="F5271" s="1399"/>
      <c r="G5271" s="1399"/>
      <c r="H5271" s="1399">
        <v>168680.38</v>
      </c>
      <c r="I5271" s="1399"/>
      <c r="J5271" s="1399">
        <v>168680.38</v>
      </c>
    </row>
    <row r="5272" spans="5:10" s="1297" customFormat="1">
      <c r="E5272" s="1297" t="s">
        <v>1004</v>
      </c>
      <c r="F5272" s="1399"/>
      <c r="G5272" s="1399"/>
      <c r="H5272" s="1399">
        <v>-29447.31</v>
      </c>
      <c r="I5272" s="1399"/>
      <c r="J5272" s="1399">
        <v>-29447.31</v>
      </c>
    </row>
    <row r="5273" spans="5:10" s="1297" customFormat="1">
      <c r="E5273" s="1297" t="s">
        <v>1045</v>
      </c>
      <c r="F5273" s="1399"/>
      <c r="G5273" s="1399"/>
      <c r="H5273" s="1399">
        <v>275972.04000000004</v>
      </c>
      <c r="I5273" s="1399"/>
      <c r="J5273" s="1399">
        <v>275972.04000000004</v>
      </c>
    </row>
    <row r="5274" spans="5:10" s="1297" customFormat="1">
      <c r="E5274" s="1297" t="s">
        <v>1046</v>
      </c>
      <c r="F5274" s="1399"/>
      <c r="G5274" s="1399"/>
      <c r="H5274" s="1399"/>
      <c r="I5274" s="1399">
        <v>7016113</v>
      </c>
      <c r="J5274" s="1399">
        <v>7016113</v>
      </c>
    </row>
    <row r="5275" spans="5:10" s="1297" customFormat="1">
      <c r="E5275" s="1297" t="s">
        <v>1047</v>
      </c>
      <c r="F5275" s="1399"/>
      <c r="G5275" s="1399"/>
      <c r="H5275" s="1399"/>
      <c r="I5275" s="1399">
        <v>269911</v>
      </c>
      <c r="J5275" s="1399">
        <v>269911</v>
      </c>
    </row>
    <row r="5276" spans="5:10" s="1297" customFormat="1">
      <c r="E5276" s="1297" t="s">
        <v>1048</v>
      </c>
      <c r="F5276" s="1399"/>
      <c r="G5276" s="1399"/>
      <c r="H5276" s="1399"/>
      <c r="I5276" s="1399">
        <v>-3973801</v>
      </c>
      <c r="J5276" s="1399">
        <v>-3973801</v>
      </c>
    </row>
    <row r="5277" spans="5:10" s="1297" customFormat="1">
      <c r="E5277" s="1297" t="s">
        <v>934</v>
      </c>
      <c r="F5277" s="1399"/>
      <c r="G5277" s="1399"/>
      <c r="H5277" s="1399"/>
      <c r="I5277" s="1399">
        <v>18476</v>
      </c>
      <c r="J5277" s="1399">
        <v>18476</v>
      </c>
    </row>
    <row r="5278" spans="5:10" s="1297" customFormat="1">
      <c r="E5278" s="1297" t="s">
        <v>935</v>
      </c>
      <c r="F5278" s="1399"/>
      <c r="G5278" s="1399"/>
      <c r="H5278" s="1399"/>
      <c r="I5278" s="1399">
        <v>243788.1</v>
      </c>
      <c r="J5278" s="1399">
        <v>243788.1</v>
      </c>
    </row>
    <row r="5279" spans="5:10" s="1297" customFormat="1">
      <c r="E5279" s="1297" t="s">
        <v>936</v>
      </c>
      <c r="F5279" s="1399"/>
      <c r="G5279" s="1399"/>
      <c r="H5279" s="1399"/>
      <c r="I5279" s="1399">
        <v>30463.1</v>
      </c>
      <c r="J5279" s="1399">
        <v>30463.1</v>
      </c>
    </row>
    <row r="5280" spans="5:10" s="1297" customFormat="1">
      <c r="E5280" s="1297" t="s">
        <v>937</v>
      </c>
      <c r="F5280" s="1399"/>
      <c r="G5280" s="1399"/>
      <c r="H5280" s="1399"/>
      <c r="I5280" s="1399">
        <v>9932.1</v>
      </c>
      <c r="J5280" s="1399">
        <v>9932.1</v>
      </c>
    </row>
    <row r="5281" spans="2:12">
      <c r="B5281" s="1297"/>
      <c r="C5281" s="1297"/>
      <c r="D5281" s="1297"/>
      <c r="E5281" s="1297" t="s">
        <v>938</v>
      </c>
      <c r="I5281" s="1399">
        <v>7486</v>
      </c>
      <c r="J5281" s="1399">
        <v>7486</v>
      </c>
    </row>
    <row r="5282" spans="2:12">
      <c r="B5282" s="1297"/>
      <c r="C5282" s="1297"/>
      <c r="D5282" s="1297"/>
      <c r="E5282" s="1297" t="s">
        <v>939</v>
      </c>
      <c r="I5282" s="1399">
        <v>100756.62000000001</v>
      </c>
      <c r="J5282" s="1399">
        <v>100756.62000000001</v>
      </c>
    </row>
    <row r="5283" spans="2:12">
      <c r="B5283" s="1297"/>
      <c r="C5283" s="1297"/>
      <c r="D5283" s="1297"/>
      <c r="E5283" s="1297" t="s">
        <v>940</v>
      </c>
      <c r="F5283" s="1399">
        <v>283442.52</v>
      </c>
      <c r="J5283" s="1399">
        <v>283442.52</v>
      </c>
    </row>
    <row r="5284" spans="2:12">
      <c r="B5284" s="1297"/>
      <c r="C5284" s="1297"/>
      <c r="D5284" s="1297"/>
      <c r="E5284" s="1297" t="s">
        <v>941</v>
      </c>
      <c r="F5284" s="1399">
        <v>107797</v>
      </c>
      <c r="J5284" s="1399">
        <v>107797</v>
      </c>
    </row>
    <row r="5285" spans="2:12">
      <c r="B5285" s="1297"/>
      <c r="C5285" s="1297"/>
      <c r="D5285" s="1297"/>
      <c r="E5285" s="1297" t="s">
        <v>943</v>
      </c>
      <c r="F5285" s="1399">
        <v>8231.76</v>
      </c>
      <c r="J5285" s="1399">
        <v>8231.76</v>
      </c>
    </row>
    <row r="5286" spans="2:12">
      <c r="B5286" s="1297"/>
      <c r="C5286" s="1297"/>
      <c r="D5286" s="1297"/>
      <c r="E5286" s="1297" t="s">
        <v>944</v>
      </c>
      <c r="F5286" s="1399">
        <v>892917.24</v>
      </c>
      <c r="J5286" s="1399">
        <v>892917.24</v>
      </c>
    </row>
    <row r="5287" spans="2:12">
      <c r="B5287" s="1297"/>
      <c r="C5287" s="1297"/>
      <c r="D5287" s="1297"/>
      <c r="E5287" s="1297" t="s">
        <v>945</v>
      </c>
      <c r="F5287" s="1399">
        <v>436406.5</v>
      </c>
      <c r="J5287" s="1399">
        <v>436406.5</v>
      </c>
    </row>
    <row r="5288" spans="2:12">
      <c r="B5288" s="1297"/>
      <c r="C5288" s="1297"/>
      <c r="D5288" s="1297"/>
      <c r="E5288" s="1297" t="s">
        <v>946</v>
      </c>
      <c r="F5288" s="1399">
        <v>225694.94</v>
      </c>
      <c r="J5288" s="1399">
        <v>225694.94</v>
      </c>
    </row>
    <row r="5289" spans="2:12">
      <c r="B5289" s="1297"/>
      <c r="C5289" s="1297"/>
      <c r="D5289" s="1297"/>
      <c r="E5289" s="1297" t="s">
        <v>1214</v>
      </c>
      <c r="F5289" s="1399">
        <v>30743.95</v>
      </c>
      <c r="J5289" s="1399">
        <v>30743.95</v>
      </c>
    </row>
    <row r="5290" spans="2:12">
      <c r="B5290" s="1297"/>
      <c r="C5290" s="1297"/>
      <c r="D5290" s="1297"/>
      <c r="E5290" s="1297" t="s">
        <v>947</v>
      </c>
      <c r="F5290" s="1399">
        <v>27198.03</v>
      </c>
      <c r="J5290" s="1399">
        <v>27198.03</v>
      </c>
    </row>
    <row r="5291" spans="2:12">
      <c r="B5291" s="1297"/>
      <c r="C5291" s="1297"/>
      <c r="D5291" s="1297"/>
      <c r="E5291" s="1404" t="s">
        <v>948</v>
      </c>
      <c r="F5291" s="1405"/>
      <c r="G5291" s="1405"/>
      <c r="H5291" s="1405">
        <v>3206874.97</v>
      </c>
      <c r="I5291" s="1405"/>
      <c r="J5291" s="1405">
        <v>3206874.97</v>
      </c>
    </row>
    <row r="5292" spans="2:12">
      <c r="B5292" s="1297"/>
      <c r="C5292" s="1297"/>
      <c r="D5292" s="1400" t="s">
        <v>1370</v>
      </c>
      <c r="E5292" s="1400"/>
      <c r="F5292" s="1401">
        <f>SUM(F5257:F5291)</f>
        <v>2012431.94</v>
      </c>
      <c r="G5292" s="1401">
        <f>SUM(G5257:G5291)</f>
        <v>7865682.3900000006</v>
      </c>
      <c r="H5292" s="1401">
        <f>SUM(H5257:H5291)-H5291</f>
        <v>1080737.2199999993</v>
      </c>
      <c r="I5292" s="1401">
        <f>SUM(I5257:I5291)</f>
        <v>3723124.9200000004</v>
      </c>
      <c r="J5292" s="1401">
        <f>SUM(J5257:J5291)</f>
        <v>17888851.439999994</v>
      </c>
      <c r="K5292" s="1401">
        <f>SUM(F5292:I5292)</f>
        <v>14681976.469999999</v>
      </c>
      <c r="L5292" s="1408">
        <f>K5292/C5257</f>
        <v>12958.49644307149</v>
      </c>
    </row>
    <row r="5293" spans="2:12">
      <c r="B5293" s="1297" t="s">
        <v>1371</v>
      </c>
      <c r="C5293" s="1297">
        <v>1086</v>
      </c>
      <c r="D5293" s="1297" t="s">
        <v>1372</v>
      </c>
      <c r="E5293" s="1297" t="s">
        <v>906</v>
      </c>
      <c r="G5293" s="1399">
        <v>1313123.1000000001</v>
      </c>
      <c r="J5293" s="1399">
        <v>1313123.1000000001</v>
      </c>
    </row>
    <row r="5294" spans="2:12">
      <c r="B5294" s="1297"/>
      <c r="C5294" s="1297"/>
      <c r="D5294" s="1297"/>
      <c r="E5294" s="1297" t="s">
        <v>952</v>
      </c>
      <c r="G5294" s="1399">
        <v>6403.9</v>
      </c>
      <c r="J5294" s="1399">
        <v>6403.9</v>
      </c>
    </row>
    <row r="5295" spans="2:12">
      <c r="B5295" s="1297"/>
      <c r="C5295" s="1297"/>
      <c r="D5295" s="1297"/>
      <c r="E5295" s="1297" t="s">
        <v>907</v>
      </c>
      <c r="G5295" s="1399">
        <v>465146.87</v>
      </c>
      <c r="J5295" s="1399">
        <v>465146.87</v>
      </c>
    </row>
    <row r="5296" spans="2:12">
      <c r="B5296" s="1297"/>
      <c r="C5296" s="1297"/>
      <c r="D5296" s="1297"/>
      <c r="E5296" s="1297" t="s">
        <v>908</v>
      </c>
      <c r="G5296" s="1399">
        <v>4397.13</v>
      </c>
      <c r="J5296" s="1399">
        <v>4397.13</v>
      </c>
    </row>
    <row r="5297" spans="5:10" s="1297" customFormat="1">
      <c r="E5297" s="1297" t="s">
        <v>909</v>
      </c>
      <c r="F5297" s="1399"/>
      <c r="G5297" s="1399"/>
      <c r="H5297" s="1399">
        <v>610.56999999999994</v>
      </c>
      <c r="I5297" s="1399"/>
      <c r="J5297" s="1399">
        <v>610.56999999999994</v>
      </c>
    </row>
    <row r="5298" spans="5:10" s="1297" customFormat="1">
      <c r="E5298" s="1297" t="s">
        <v>910</v>
      </c>
      <c r="F5298" s="1399"/>
      <c r="G5298" s="1399"/>
      <c r="H5298" s="1399">
        <v>55174.3</v>
      </c>
      <c r="I5298" s="1399"/>
      <c r="J5298" s="1399">
        <v>55174.3</v>
      </c>
    </row>
    <row r="5299" spans="5:10" s="1297" customFormat="1">
      <c r="E5299" s="1297" t="s">
        <v>1034</v>
      </c>
      <c r="F5299" s="1399"/>
      <c r="G5299" s="1399"/>
      <c r="H5299" s="1399">
        <v>8387.09</v>
      </c>
      <c r="I5299" s="1399"/>
      <c r="J5299" s="1399">
        <v>8387.09</v>
      </c>
    </row>
    <row r="5300" spans="5:10" s="1297" customFormat="1">
      <c r="E5300" s="1297" t="s">
        <v>1035</v>
      </c>
      <c r="F5300" s="1399"/>
      <c r="G5300" s="1399"/>
      <c r="H5300" s="1399">
        <v>209773.72</v>
      </c>
      <c r="I5300" s="1399"/>
      <c r="J5300" s="1399">
        <v>209773.72</v>
      </c>
    </row>
    <row r="5301" spans="5:10" s="1297" customFormat="1">
      <c r="E5301" s="1297" t="s">
        <v>1036</v>
      </c>
      <c r="F5301" s="1399"/>
      <c r="G5301" s="1399"/>
      <c r="H5301" s="1399">
        <v>90337.91</v>
      </c>
      <c r="I5301" s="1399"/>
      <c r="J5301" s="1399">
        <v>90337.91</v>
      </c>
    </row>
    <row r="5302" spans="5:10" s="1297" customFormat="1">
      <c r="E5302" s="1297" t="s">
        <v>1039</v>
      </c>
      <c r="F5302" s="1399"/>
      <c r="G5302" s="1399"/>
      <c r="H5302" s="1399">
        <v>4011.85</v>
      </c>
      <c r="I5302" s="1399"/>
      <c r="J5302" s="1399">
        <v>4011.85</v>
      </c>
    </row>
    <row r="5303" spans="5:10" s="1297" customFormat="1">
      <c r="E5303" s="1297" t="s">
        <v>1040</v>
      </c>
      <c r="F5303" s="1399"/>
      <c r="G5303" s="1399"/>
      <c r="H5303" s="1399">
        <v>85917.3</v>
      </c>
      <c r="I5303" s="1399"/>
      <c r="J5303" s="1399">
        <v>85917.3</v>
      </c>
    </row>
    <row r="5304" spans="5:10" s="1297" customFormat="1">
      <c r="E5304" s="1297" t="s">
        <v>1041</v>
      </c>
      <c r="F5304" s="1399"/>
      <c r="G5304" s="1399"/>
      <c r="H5304" s="1399">
        <v>21319.5</v>
      </c>
      <c r="I5304" s="1399"/>
      <c r="J5304" s="1399">
        <v>21319.5</v>
      </c>
    </row>
    <row r="5305" spans="5:10" s="1297" customFormat="1">
      <c r="E5305" s="1297" t="s">
        <v>1042</v>
      </c>
      <c r="F5305" s="1399"/>
      <c r="G5305" s="1399"/>
      <c r="H5305" s="1399">
        <v>23317.05</v>
      </c>
      <c r="I5305" s="1399"/>
      <c r="J5305" s="1399">
        <v>23317.05</v>
      </c>
    </row>
    <row r="5306" spans="5:10" s="1297" customFormat="1">
      <c r="E5306" s="1297" t="s">
        <v>1044</v>
      </c>
      <c r="F5306" s="1399">
        <v>39027.370000000003</v>
      </c>
      <c r="G5306" s="1399"/>
      <c r="H5306" s="1399"/>
      <c r="I5306" s="1399"/>
      <c r="J5306" s="1399">
        <v>39027.370000000003</v>
      </c>
    </row>
    <row r="5307" spans="5:10" s="1297" customFormat="1">
      <c r="E5307" s="1297" t="s">
        <v>1045</v>
      </c>
      <c r="F5307" s="1399"/>
      <c r="G5307" s="1399"/>
      <c r="H5307" s="1399">
        <v>80118.820000000007</v>
      </c>
      <c r="I5307" s="1399"/>
      <c r="J5307" s="1399">
        <v>80118.820000000007</v>
      </c>
    </row>
    <row r="5308" spans="5:10" s="1297" customFormat="1">
      <c r="E5308" s="1297" t="s">
        <v>1046</v>
      </c>
      <c r="F5308" s="1399"/>
      <c r="G5308" s="1399"/>
      <c r="H5308" s="1399"/>
      <c r="I5308" s="1399">
        <v>6264125</v>
      </c>
      <c r="J5308" s="1399">
        <v>6264125</v>
      </c>
    </row>
    <row r="5309" spans="5:10" s="1297" customFormat="1">
      <c r="E5309" s="1297" t="s">
        <v>1129</v>
      </c>
      <c r="F5309" s="1399"/>
      <c r="G5309" s="1399"/>
      <c r="H5309" s="1399"/>
      <c r="I5309" s="1399">
        <v>-857267</v>
      </c>
      <c r="J5309" s="1399">
        <v>-857267</v>
      </c>
    </row>
    <row r="5310" spans="5:10" s="1297" customFormat="1">
      <c r="E5310" s="1297" t="s">
        <v>1047</v>
      </c>
      <c r="F5310" s="1399"/>
      <c r="G5310" s="1399"/>
      <c r="H5310" s="1399"/>
      <c r="I5310" s="1399">
        <v>227854</v>
      </c>
      <c r="J5310" s="1399">
        <v>227854</v>
      </c>
    </row>
    <row r="5311" spans="5:10" s="1297" customFormat="1">
      <c r="E5311" s="1297" t="s">
        <v>1048</v>
      </c>
      <c r="F5311" s="1399"/>
      <c r="G5311" s="1399"/>
      <c r="H5311" s="1399"/>
      <c r="I5311" s="1399">
        <v>-601237</v>
      </c>
      <c r="J5311" s="1399">
        <v>-601237</v>
      </c>
    </row>
    <row r="5312" spans="5:10" s="1297" customFormat="1">
      <c r="E5312" s="1297" t="s">
        <v>932</v>
      </c>
      <c r="F5312" s="1399"/>
      <c r="G5312" s="1399"/>
      <c r="H5312" s="1399"/>
      <c r="I5312" s="1399">
        <v>405505</v>
      </c>
      <c r="J5312" s="1399">
        <v>405505</v>
      </c>
    </row>
    <row r="5313" spans="5:10" s="1297" customFormat="1">
      <c r="E5313" s="1404" t="s">
        <v>955</v>
      </c>
      <c r="F5313" s="1405"/>
      <c r="G5313" s="1405"/>
      <c r="H5313" s="1405"/>
      <c r="I5313" s="1405">
        <v>416223.39</v>
      </c>
      <c r="J5313" s="1405">
        <v>416223.39</v>
      </c>
    </row>
    <row r="5314" spans="5:10" s="1297" customFormat="1">
      <c r="E5314" s="1297" t="s">
        <v>934</v>
      </c>
      <c r="F5314" s="1399"/>
      <c r="G5314" s="1399"/>
      <c r="H5314" s="1399"/>
      <c r="I5314" s="1399">
        <v>22242</v>
      </c>
      <c r="J5314" s="1399">
        <v>22242</v>
      </c>
    </row>
    <row r="5315" spans="5:10" s="1297" customFormat="1">
      <c r="E5315" s="1297" t="s">
        <v>1130</v>
      </c>
      <c r="F5315" s="1399"/>
      <c r="G5315" s="1399"/>
      <c r="H5315" s="1399"/>
      <c r="I5315" s="1399">
        <v>3037109.27</v>
      </c>
      <c r="J5315" s="1399">
        <v>3037109.27</v>
      </c>
    </row>
    <row r="5316" spans="5:10" s="1297" customFormat="1">
      <c r="E5316" s="1297" t="s">
        <v>935</v>
      </c>
      <c r="F5316" s="1399"/>
      <c r="G5316" s="1399"/>
      <c r="H5316" s="1399"/>
      <c r="I5316" s="1399">
        <v>101194.04</v>
      </c>
      <c r="J5316" s="1399">
        <v>101194.04</v>
      </c>
    </row>
    <row r="5317" spans="5:10" s="1297" customFormat="1">
      <c r="E5317" s="1297" t="s">
        <v>936</v>
      </c>
      <c r="F5317" s="1399"/>
      <c r="G5317" s="1399"/>
      <c r="H5317" s="1399"/>
      <c r="I5317" s="1399">
        <v>18207.82</v>
      </c>
      <c r="J5317" s="1399">
        <v>18207.82</v>
      </c>
    </row>
    <row r="5318" spans="5:10" s="1297" customFormat="1">
      <c r="E5318" s="1297" t="s">
        <v>938</v>
      </c>
      <c r="F5318" s="1399"/>
      <c r="G5318" s="1399"/>
      <c r="H5318" s="1399"/>
      <c r="I5318" s="1399">
        <v>5989</v>
      </c>
      <c r="J5318" s="1399">
        <v>5989</v>
      </c>
    </row>
    <row r="5319" spans="5:10" s="1297" customFormat="1">
      <c r="E5319" s="1297" t="s">
        <v>940</v>
      </c>
      <c r="F5319" s="1399">
        <v>390410.34</v>
      </c>
      <c r="G5319" s="1399"/>
      <c r="H5319" s="1399"/>
      <c r="I5319" s="1399"/>
      <c r="J5319" s="1399">
        <v>390410.34</v>
      </c>
    </row>
    <row r="5320" spans="5:10" s="1297" customFormat="1">
      <c r="E5320" s="1297" t="s">
        <v>941</v>
      </c>
      <c r="F5320" s="1399">
        <v>121786.66</v>
      </c>
      <c r="G5320" s="1399"/>
      <c r="H5320" s="1399"/>
      <c r="I5320" s="1399"/>
      <c r="J5320" s="1399">
        <v>121786.66</v>
      </c>
    </row>
    <row r="5321" spans="5:10" s="1297" customFormat="1">
      <c r="E5321" s="1297" t="s">
        <v>943</v>
      </c>
      <c r="F5321" s="1399">
        <v>281.2</v>
      </c>
      <c r="G5321" s="1399"/>
      <c r="H5321" s="1399"/>
      <c r="I5321" s="1399"/>
      <c r="J5321" s="1399">
        <v>281.2</v>
      </c>
    </row>
    <row r="5322" spans="5:10" s="1297" customFormat="1">
      <c r="E5322" s="1297" t="s">
        <v>944</v>
      </c>
      <c r="F5322" s="1399">
        <v>1027760.7000000001</v>
      </c>
      <c r="G5322" s="1399"/>
      <c r="H5322" s="1399"/>
      <c r="I5322" s="1399"/>
      <c r="J5322" s="1399">
        <v>1027760.7000000001</v>
      </c>
    </row>
    <row r="5323" spans="5:10" s="1297" customFormat="1">
      <c r="E5323" s="1297" t="s">
        <v>945</v>
      </c>
      <c r="F5323" s="1399">
        <v>669817.29</v>
      </c>
      <c r="G5323" s="1399"/>
      <c r="H5323" s="1399"/>
      <c r="I5323" s="1399"/>
      <c r="J5323" s="1399">
        <v>669817.29</v>
      </c>
    </row>
    <row r="5324" spans="5:10" s="1297" customFormat="1">
      <c r="E5324" s="1297" t="s">
        <v>946</v>
      </c>
      <c r="F5324" s="1399">
        <v>-8216.93</v>
      </c>
      <c r="G5324" s="1399"/>
      <c r="H5324" s="1399"/>
      <c r="I5324" s="1399"/>
      <c r="J5324" s="1399">
        <v>-8216.93</v>
      </c>
    </row>
    <row r="5325" spans="5:10" s="1297" customFormat="1">
      <c r="E5325" s="1297" t="s">
        <v>947</v>
      </c>
      <c r="F5325" s="1399">
        <v>50741.66</v>
      </c>
      <c r="G5325" s="1399"/>
      <c r="H5325" s="1399"/>
      <c r="I5325" s="1399"/>
      <c r="J5325" s="1399">
        <v>50741.66</v>
      </c>
    </row>
    <row r="5326" spans="5:10" s="1297" customFormat="1">
      <c r="E5326" s="1297" t="s">
        <v>1115</v>
      </c>
      <c r="F5326" s="1399">
        <v>125231.83</v>
      </c>
      <c r="G5326" s="1399"/>
      <c r="H5326" s="1399"/>
      <c r="I5326" s="1399"/>
      <c r="J5326" s="1399">
        <v>125231.83</v>
      </c>
    </row>
    <row r="5327" spans="5:10" s="1297" customFormat="1">
      <c r="E5327" s="1404" t="s">
        <v>1116</v>
      </c>
      <c r="F5327" s="1405"/>
      <c r="G5327" s="1405"/>
      <c r="H5327" s="1405">
        <v>7920000</v>
      </c>
      <c r="I5327" s="1405"/>
      <c r="J5327" s="1405">
        <v>7920000</v>
      </c>
    </row>
    <row r="5328" spans="5:10" s="1297" customFormat="1">
      <c r="E5328" s="1404" t="s">
        <v>948</v>
      </c>
      <c r="F5328" s="1405"/>
      <c r="G5328" s="1405"/>
      <c r="H5328" s="1405">
        <v>4459355.5699999994</v>
      </c>
      <c r="I5328" s="1405"/>
      <c r="J5328" s="1405">
        <v>4459355.5699999994</v>
      </c>
    </row>
    <row r="5329" spans="2:12">
      <c r="B5329" s="1297"/>
      <c r="C5329" s="1297"/>
      <c r="D5329" s="1297"/>
      <c r="E5329" s="1297" t="s">
        <v>1118</v>
      </c>
      <c r="H5329" s="1399">
        <v>10</v>
      </c>
      <c r="J5329" s="1399">
        <v>10</v>
      </c>
    </row>
    <row r="5330" spans="2:12">
      <c r="B5330" s="1297"/>
      <c r="C5330" s="1297"/>
      <c r="D5330" s="1400" t="s">
        <v>1373</v>
      </c>
      <c r="E5330" s="1400"/>
      <c r="F5330" s="1401">
        <f>SUM(F5293:F5329)</f>
        <v>2416840.12</v>
      </c>
      <c r="G5330" s="1401">
        <f>SUM(G5293:G5329)</f>
        <v>1789071</v>
      </c>
      <c r="H5330" s="1401">
        <f>SUM(H5293:H5329)-(H5327+H5328)</f>
        <v>578978.1099999994</v>
      </c>
      <c r="I5330" s="1401">
        <f>SUM(I5293:I5329)-I5313</f>
        <v>8623722.129999999</v>
      </c>
      <c r="J5330" s="1401">
        <f>SUM(J5293:J5329)</f>
        <v>26204190.32</v>
      </c>
      <c r="K5330" s="1401">
        <f>SUM(F5330:I5330)</f>
        <v>13408611.359999999</v>
      </c>
      <c r="L5330" s="1408">
        <f>K5330/C5293</f>
        <v>12346.787624309392</v>
      </c>
    </row>
    <row r="5331" spans="2:12">
      <c r="B5331" s="1297" t="s">
        <v>1374</v>
      </c>
      <c r="C5331" s="1297">
        <v>12048</v>
      </c>
      <c r="D5331" s="1297" t="s">
        <v>1375</v>
      </c>
      <c r="E5331" s="1297" t="s">
        <v>906</v>
      </c>
      <c r="G5331" s="1399">
        <v>38252266.219999999</v>
      </c>
      <c r="J5331" s="1399">
        <v>38252266.219999999</v>
      </c>
    </row>
    <row r="5332" spans="2:12">
      <c r="B5332" s="1297"/>
      <c r="C5332" s="1297"/>
      <c r="D5332" s="1297"/>
      <c r="E5332" s="1297" t="s">
        <v>952</v>
      </c>
      <c r="G5332" s="1399">
        <v>338434.35</v>
      </c>
      <c r="J5332" s="1399">
        <v>338434.35</v>
      </c>
    </row>
    <row r="5333" spans="2:12">
      <c r="B5333" s="1297"/>
      <c r="C5333" s="1297"/>
      <c r="D5333" s="1297"/>
      <c r="E5333" s="1297" t="s">
        <v>907</v>
      </c>
      <c r="G5333" s="1399">
        <v>10527832.24</v>
      </c>
      <c r="J5333" s="1399">
        <v>10527832.24</v>
      </c>
    </row>
    <row r="5334" spans="2:12">
      <c r="B5334" s="1297"/>
      <c r="C5334" s="1297"/>
      <c r="D5334" s="1297"/>
      <c r="E5334" s="1297" t="s">
        <v>908</v>
      </c>
      <c r="G5334" s="1399">
        <v>90061.83</v>
      </c>
      <c r="J5334" s="1399">
        <v>90061.83</v>
      </c>
    </row>
    <row r="5335" spans="2:12">
      <c r="B5335" s="1297"/>
      <c r="C5335" s="1297"/>
      <c r="D5335" s="1297"/>
      <c r="E5335" s="1297" t="s">
        <v>909</v>
      </c>
      <c r="H5335" s="1399">
        <v>191258.87999999998</v>
      </c>
      <c r="J5335" s="1399">
        <v>191258.87999999998</v>
      </c>
    </row>
    <row r="5336" spans="2:12">
      <c r="B5336" s="1297"/>
      <c r="C5336" s="1297"/>
      <c r="D5336" s="1297"/>
      <c r="E5336" s="1297" t="s">
        <v>910</v>
      </c>
      <c r="H5336" s="1399">
        <v>447042.8600000001</v>
      </c>
      <c r="J5336" s="1399">
        <v>447042.8600000001</v>
      </c>
    </row>
    <row r="5337" spans="2:12">
      <c r="B5337" s="1297"/>
      <c r="C5337" s="1297"/>
      <c r="D5337" s="1297"/>
      <c r="E5337" s="1297" t="s">
        <v>1034</v>
      </c>
      <c r="H5337" s="1399">
        <v>247662.88</v>
      </c>
      <c r="J5337" s="1399">
        <v>247662.88</v>
      </c>
    </row>
    <row r="5338" spans="2:12">
      <c r="B5338" s="1297"/>
      <c r="C5338" s="1297"/>
      <c r="D5338" s="1297"/>
      <c r="E5338" s="1297" t="s">
        <v>1035</v>
      </c>
      <c r="H5338" s="1399">
        <v>1588946.6900000004</v>
      </c>
      <c r="J5338" s="1399">
        <v>1588946.6900000004</v>
      </c>
    </row>
    <row r="5339" spans="2:12">
      <c r="B5339" s="1297"/>
      <c r="C5339" s="1297"/>
      <c r="D5339" s="1297"/>
      <c r="E5339" s="1297" t="s">
        <v>1036</v>
      </c>
      <c r="H5339" s="1399">
        <v>390351.06000000006</v>
      </c>
      <c r="J5339" s="1399">
        <v>390351.06000000006</v>
      </c>
    </row>
    <row r="5340" spans="2:12">
      <c r="B5340" s="1297"/>
      <c r="C5340" s="1297"/>
      <c r="D5340" s="1297"/>
      <c r="E5340" s="1297" t="s">
        <v>1039</v>
      </c>
      <c r="H5340" s="1399">
        <v>-2732.849999999999</v>
      </c>
      <c r="J5340" s="1399">
        <v>-2732.849999999999</v>
      </c>
    </row>
    <row r="5341" spans="2:12">
      <c r="B5341" s="1297"/>
      <c r="C5341" s="1297"/>
      <c r="D5341" s="1297"/>
      <c r="E5341" s="1297" t="s">
        <v>1040</v>
      </c>
      <c r="H5341" s="1399">
        <v>842808.97</v>
      </c>
      <c r="J5341" s="1399">
        <v>842808.97</v>
      </c>
    </row>
    <row r="5342" spans="2:12">
      <c r="B5342" s="1297"/>
      <c r="C5342" s="1297"/>
      <c r="D5342" s="1297"/>
      <c r="E5342" s="1297" t="s">
        <v>1127</v>
      </c>
      <c r="H5342" s="1399">
        <v>103.79999999999998</v>
      </c>
      <c r="J5342" s="1399">
        <v>103.79999999999998</v>
      </c>
    </row>
    <row r="5343" spans="2:12">
      <c r="B5343" s="1297"/>
      <c r="C5343" s="1297"/>
      <c r="D5343" s="1297"/>
      <c r="E5343" s="1297" t="s">
        <v>1041</v>
      </c>
      <c r="H5343" s="1399">
        <v>26836.3</v>
      </c>
      <c r="J5343" s="1399">
        <v>26836.3</v>
      </c>
    </row>
    <row r="5344" spans="2:12">
      <c r="B5344" s="1297"/>
      <c r="C5344" s="1297"/>
      <c r="D5344" s="1297"/>
      <c r="E5344" s="1297" t="s">
        <v>1042</v>
      </c>
      <c r="H5344" s="1399">
        <v>126921.21000000005</v>
      </c>
      <c r="J5344" s="1399">
        <v>126921.21000000005</v>
      </c>
    </row>
    <row r="5345" spans="5:10" s="1297" customFormat="1">
      <c r="E5345" s="1297" t="s">
        <v>954</v>
      </c>
      <c r="F5345" s="1399"/>
      <c r="G5345" s="1399"/>
      <c r="H5345" s="1399">
        <v>146685.63</v>
      </c>
      <c r="I5345" s="1399"/>
      <c r="J5345" s="1399">
        <v>146685.63</v>
      </c>
    </row>
    <row r="5346" spans="5:10" s="1297" customFormat="1">
      <c r="E5346" s="1297" t="s">
        <v>986</v>
      </c>
      <c r="F5346" s="1399"/>
      <c r="G5346" s="1399"/>
      <c r="H5346" s="1399">
        <v>399342.57</v>
      </c>
      <c r="I5346" s="1399"/>
      <c r="J5346" s="1399">
        <v>399342.57</v>
      </c>
    </row>
    <row r="5347" spans="5:10" s="1297" customFormat="1">
      <c r="E5347" s="1297" t="s">
        <v>1044</v>
      </c>
      <c r="F5347" s="1409">
        <v>197161.36</v>
      </c>
      <c r="G5347" s="1399"/>
      <c r="H5347" s="1399"/>
      <c r="I5347" s="1399"/>
      <c r="J5347" s="1399">
        <v>197161.36</v>
      </c>
    </row>
    <row r="5348" spans="5:10" s="1297" customFormat="1">
      <c r="E5348" s="1297" t="s">
        <v>1045</v>
      </c>
      <c r="F5348" s="1399"/>
      <c r="G5348" s="1399"/>
      <c r="H5348" s="1399">
        <v>1450978.8100000003</v>
      </c>
      <c r="I5348" s="1399"/>
      <c r="J5348" s="1399">
        <v>1450978.8100000003</v>
      </c>
    </row>
    <row r="5349" spans="5:10" s="1297" customFormat="1">
      <c r="E5349" s="1297" t="s">
        <v>1046</v>
      </c>
      <c r="F5349" s="1399"/>
      <c r="G5349" s="1399"/>
      <c r="H5349" s="1399"/>
      <c r="I5349" s="1399">
        <v>62094216</v>
      </c>
      <c r="J5349" s="1399">
        <v>62094216</v>
      </c>
    </row>
    <row r="5350" spans="5:10" s="1297" customFormat="1">
      <c r="E5350" s="1297" t="s">
        <v>1128</v>
      </c>
      <c r="F5350" s="1399"/>
      <c r="G5350" s="1399"/>
      <c r="H5350" s="1399"/>
      <c r="I5350" s="1399">
        <v>5468170</v>
      </c>
      <c r="J5350" s="1399">
        <v>5468170</v>
      </c>
    </row>
    <row r="5351" spans="5:10" s="1297" customFormat="1">
      <c r="E5351" s="1297" t="s">
        <v>1129</v>
      </c>
      <c r="F5351" s="1399"/>
      <c r="G5351" s="1399"/>
      <c r="H5351" s="1399"/>
      <c r="I5351" s="1399">
        <v>-8797166</v>
      </c>
      <c r="J5351" s="1399">
        <v>-8797166</v>
      </c>
    </row>
    <row r="5352" spans="5:10" s="1297" customFormat="1">
      <c r="E5352" s="1297" t="s">
        <v>1047</v>
      </c>
      <c r="F5352" s="1399"/>
      <c r="G5352" s="1399"/>
      <c r="H5352" s="1399"/>
      <c r="I5352" s="1399">
        <v>1679402</v>
      </c>
      <c r="J5352" s="1399">
        <v>1679402</v>
      </c>
    </row>
    <row r="5353" spans="5:10" s="1297" customFormat="1">
      <c r="E5353" s="1297" t="s">
        <v>1048</v>
      </c>
      <c r="F5353" s="1399"/>
      <c r="G5353" s="1399"/>
      <c r="H5353" s="1399"/>
      <c r="I5353" s="1399">
        <v>-9094702</v>
      </c>
      <c r="J5353" s="1399">
        <v>-9094702</v>
      </c>
    </row>
    <row r="5354" spans="5:10" s="1297" customFormat="1">
      <c r="E5354" s="1297" t="s">
        <v>932</v>
      </c>
      <c r="F5354" s="1399"/>
      <c r="G5354" s="1399"/>
      <c r="H5354" s="1399"/>
      <c r="I5354" s="1399">
        <v>6097751</v>
      </c>
      <c r="J5354" s="1399">
        <v>6097751</v>
      </c>
    </row>
    <row r="5355" spans="5:10" s="1297" customFormat="1">
      <c r="E5355" s="1404" t="s">
        <v>955</v>
      </c>
      <c r="F5355" s="1405"/>
      <c r="G5355" s="1405"/>
      <c r="H5355" s="1405"/>
      <c r="I5355" s="1405">
        <v>2076627.16</v>
      </c>
      <c r="J5355" s="1405">
        <v>2076627.16</v>
      </c>
    </row>
    <row r="5356" spans="5:10" s="1297" customFormat="1">
      <c r="E5356" s="1297" t="s">
        <v>934</v>
      </c>
      <c r="F5356" s="1399"/>
      <c r="G5356" s="1399"/>
      <c r="H5356" s="1399"/>
      <c r="I5356" s="1399">
        <v>188812.56</v>
      </c>
      <c r="J5356" s="1399">
        <v>188812.56</v>
      </c>
    </row>
    <row r="5357" spans="5:10" s="1297" customFormat="1">
      <c r="E5357" s="1297" t="s">
        <v>935</v>
      </c>
      <c r="F5357" s="1399"/>
      <c r="G5357" s="1399"/>
      <c r="H5357" s="1399"/>
      <c r="I5357" s="1399">
        <v>952783.35999999999</v>
      </c>
      <c r="J5357" s="1399">
        <v>952783.35999999999</v>
      </c>
    </row>
    <row r="5358" spans="5:10" s="1297" customFormat="1">
      <c r="E5358" s="1297" t="s">
        <v>936</v>
      </c>
      <c r="F5358" s="1399"/>
      <c r="G5358" s="1399"/>
      <c r="H5358" s="1399"/>
      <c r="I5358" s="1399">
        <v>221995.44</v>
      </c>
      <c r="J5358" s="1399">
        <v>221995.44</v>
      </c>
    </row>
    <row r="5359" spans="5:10" s="1297" customFormat="1">
      <c r="E5359" s="1297" t="s">
        <v>937</v>
      </c>
      <c r="F5359" s="1399"/>
      <c r="G5359" s="1399"/>
      <c r="H5359" s="1399"/>
      <c r="I5359" s="1399">
        <v>93971.16</v>
      </c>
      <c r="J5359" s="1399">
        <v>93971.16</v>
      </c>
    </row>
    <row r="5360" spans="5:10" s="1297" customFormat="1">
      <c r="E5360" s="1297" t="s">
        <v>938</v>
      </c>
      <c r="F5360" s="1399"/>
      <c r="G5360" s="1399"/>
      <c r="H5360" s="1399"/>
      <c r="I5360" s="1399">
        <v>78981</v>
      </c>
      <c r="J5360" s="1399">
        <v>78981</v>
      </c>
    </row>
    <row r="5361" spans="2:12">
      <c r="B5361" s="1297"/>
      <c r="C5361" s="1297"/>
      <c r="D5361" s="1297"/>
      <c r="E5361" s="1297" t="s">
        <v>939</v>
      </c>
      <c r="I5361" s="1399">
        <v>39212.04</v>
      </c>
      <c r="J5361" s="1399">
        <v>39212.04</v>
      </c>
    </row>
    <row r="5362" spans="2:12">
      <c r="B5362" s="1297"/>
      <c r="C5362" s="1297"/>
      <c r="D5362" s="1297"/>
      <c r="E5362" s="1297" t="s">
        <v>940</v>
      </c>
      <c r="F5362" s="1399">
        <v>3042097.4199999995</v>
      </c>
      <c r="J5362" s="1399">
        <v>3042097.4199999995</v>
      </c>
    </row>
    <row r="5363" spans="2:12">
      <c r="B5363" s="1297"/>
      <c r="C5363" s="1297"/>
      <c r="D5363" s="1297"/>
      <c r="E5363" s="1297" t="s">
        <v>941</v>
      </c>
      <c r="F5363" s="1399">
        <v>1016209.4999999999</v>
      </c>
      <c r="J5363" s="1399">
        <v>1016209.4999999999</v>
      </c>
    </row>
    <row r="5364" spans="2:12">
      <c r="B5364" s="1297"/>
      <c r="C5364" s="1297"/>
      <c r="D5364" s="1297"/>
      <c r="E5364" s="1297" t="s">
        <v>943</v>
      </c>
      <c r="F5364" s="1399">
        <v>16352.52</v>
      </c>
      <c r="J5364" s="1399">
        <v>16352.52</v>
      </c>
    </row>
    <row r="5365" spans="2:12">
      <c r="B5365" s="1297"/>
      <c r="C5365" s="1297"/>
      <c r="D5365" s="1297"/>
      <c r="E5365" s="1297" t="s">
        <v>944</v>
      </c>
      <c r="F5365" s="1399">
        <v>8179975.1099999994</v>
      </c>
      <c r="J5365" s="1399">
        <v>8179975.1099999994</v>
      </c>
    </row>
    <row r="5366" spans="2:12">
      <c r="B5366" s="1297"/>
      <c r="C5366" s="1297"/>
      <c r="D5366" s="1297"/>
      <c r="E5366" s="1297" t="s">
        <v>945</v>
      </c>
      <c r="F5366" s="1399">
        <v>4696126.71</v>
      </c>
      <c r="J5366" s="1399">
        <v>4696126.71</v>
      </c>
    </row>
    <row r="5367" spans="2:12">
      <c r="B5367" s="1297"/>
      <c r="C5367" s="1297"/>
      <c r="D5367" s="1297"/>
      <c r="E5367" s="1297" t="s">
        <v>978</v>
      </c>
      <c r="F5367" s="1399">
        <v>1611.3899999999999</v>
      </c>
      <c r="J5367" s="1399">
        <v>1611.3899999999999</v>
      </c>
    </row>
    <row r="5368" spans="2:12">
      <c r="B5368" s="1297"/>
      <c r="C5368" s="1297"/>
      <c r="D5368" s="1297"/>
      <c r="E5368" s="1297" t="s">
        <v>947</v>
      </c>
      <c r="F5368" s="1399">
        <v>251310.88999999998</v>
      </c>
      <c r="J5368" s="1399">
        <v>251310.88999999998</v>
      </c>
    </row>
    <row r="5369" spans="2:12">
      <c r="B5369" s="1297"/>
      <c r="C5369" s="1297"/>
      <c r="D5369" s="1297"/>
      <c r="E5369" s="1297" t="s">
        <v>1115</v>
      </c>
      <c r="F5369" s="1399">
        <v>116272.41</v>
      </c>
      <c r="J5369" s="1399">
        <v>116272.41</v>
      </c>
    </row>
    <row r="5370" spans="2:12">
      <c r="B5370" s="1297"/>
      <c r="C5370" s="1297"/>
      <c r="D5370" s="1297"/>
      <c r="E5370" s="1404" t="s">
        <v>948</v>
      </c>
      <c r="F5370" s="1405"/>
      <c r="G5370" s="1405"/>
      <c r="H5370" s="1405">
        <v>2932819.1500000018</v>
      </c>
      <c r="I5370" s="1405"/>
      <c r="J5370" s="1405">
        <v>2932819.1500000018</v>
      </c>
    </row>
    <row r="5371" spans="2:12">
      <c r="B5371" s="1297"/>
      <c r="C5371" s="1297"/>
      <c r="D5371" s="1400" t="s">
        <v>1376</v>
      </c>
      <c r="E5371" s="1400"/>
      <c r="F5371" s="1401">
        <f>SUM(F5331:F5370)</f>
        <v>17517117.309999999</v>
      </c>
      <c r="G5371" s="1401">
        <f>SUM(G5331:G5370)</f>
        <v>49208594.640000001</v>
      </c>
      <c r="H5371" s="1401">
        <f>SUM(H5331:H5370)-H5370</f>
        <v>5856206.8100000005</v>
      </c>
      <c r="I5371" s="1401">
        <f>SUM(I5331:I5370)-I5355</f>
        <v>59023426.559999995</v>
      </c>
      <c r="J5371" s="1401">
        <f>SUM(J5331:J5370)</f>
        <v>136614791.63</v>
      </c>
      <c r="K5371" s="1401">
        <f>SUM(F5371:I5371)</f>
        <v>131605345.31999999</v>
      </c>
      <c r="L5371" s="1408">
        <f>K5371/C5331</f>
        <v>10923.418436254979</v>
      </c>
    </row>
    <row r="5372" spans="2:12">
      <c r="B5372" s="1297" t="s">
        <v>1377</v>
      </c>
      <c r="C5372" s="1297">
        <v>1463</v>
      </c>
      <c r="D5372" s="1297" t="s">
        <v>1378</v>
      </c>
      <c r="E5372" s="1297" t="s">
        <v>906</v>
      </c>
      <c r="G5372" s="1399">
        <v>2969448.63</v>
      </c>
      <c r="J5372" s="1399">
        <v>2969448.63</v>
      </c>
    </row>
    <row r="5373" spans="2:12">
      <c r="B5373" s="1297"/>
      <c r="C5373" s="1297"/>
      <c r="D5373" s="1297"/>
      <c r="E5373" s="1297" t="s">
        <v>952</v>
      </c>
      <c r="G5373" s="1399">
        <v>5052.38</v>
      </c>
      <c r="J5373" s="1399">
        <v>5052.38</v>
      </c>
    </row>
    <row r="5374" spans="2:12">
      <c r="B5374" s="1297"/>
      <c r="C5374" s="1297"/>
      <c r="D5374" s="1297"/>
      <c r="E5374" s="1297" t="s">
        <v>907</v>
      </c>
      <c r="G5374" s="1399">
        <v>891207.75</v>
      </c>
      <c r="J5374" s="1399">
        <v>891207.75</v>
      </c>
    </row>
    <row r="5375" spans="2:12">
      <c r="B5375" s="1297"/>
      <c r="C5375" s="1297"/>
      <c r="D5375" s="1297"/>
      <c r="E5375" s="1297" t="s">
        <v>908</v>
      </c>
      <c r="G5375" s="1399">
        <v>16837.2</v>
      </c>
      <c r="J5375" s="1399">
        <v>16837.2</v>
      </c>
    </row>
    <row r="5376" spans="2:12">
      <c r="B5376" s="1297"/>
      <c r="C5376" s="1297"/>
      <c r="D5376" s="1297"/>
      <c r="E5376" s="1297" t="s">
        <v>909</v>
      </c>
      <c r="H5376" s="1399">
        <v>64839.15</v>
      </c>
      <c r="J5376" s="1399">
        <v>64839.15</v>
      </c>
    </row>
    <row r="5377" spans="5:10" s="1297" customFormat="1">
      <c r="E5377" s="1297" t="s">
        <v>910</v>
      </c>
      <c r="F5377" s="1399"/>
      <c r="G5377" s="1399"/>
      <c r="H5377" s="1399">
        <v>5336.5</v>
      </c>
      <c r="I5377" s="1399"/>
      <c r="J5377" s="1399">
        <v>5336.5</v>
      </c>
    </row>
    <row r="5378" spans="5:10" s="1297" customFormat="1">
      <c r="E5378" s="1297" t="s">
        <v>1034</v>
      </c>
      <c r="F5378" s="1399"/>
      <c r="G5378" s="1399"/>
      <c r="H5378" s="1399">
        <v>26957.26</v>
      </c>
      <c r="I5378" s="1399"/>
      <c r="J5378" s="1399">
        <v>26957.26</v>
      </c>
    </row>
    <row r="5379" spans="5:10" s="1297" customFormat="1">
      <c r="E5379" s="1297" t="s">
        <v>1035</v>
      </c>
      <c r="F5379" s="1399"/>
      <c r="G5379" s="1399"/>
      <c r="H5379" s="1399">
        <v>198356.44999999998</v>
      </c>
      <c r="I5379" s="1399"/>
      <c r="J5379" s="1399">
        <v>198356.44999999998</v>
      </c>
    </row>
    <row r="5380" spans="5:10" s="1297" customFormat="1">
      <c r="E5380" s="1297" t="s">
        <v>1036</v>
      </c>
      <c r="F5380" s="1399"/>
      <c r="G5380" s="1399"/>
      <c r="H5380" s="1399">
        <v>30352.69</v>
      </c>
      <c r="I5380" s="1399"/>
      <c r="J5380" s="1399">
        <v>30352.69</v>
      </c>
    </row>
    <row r="5381" spans="5:10" s="1297" customFormat="1">
      <c r="E5381" s="1297" t="s">
        <v>1039</v>
      </c>
      <c r="F5381" s="1399"/>
      <c r="G5381" s="1399"/>
      <c r="H5381" s="1399">
        <v>9459.75</v>
      </c>
      <c r="I5381" s="1399"/>
      <c r="J5381" s="1399">
        <v>9459.75</v>
      </c>
    </row>
    <row r="5382" spans="5:10" s="1297" customFormat="1">
      <c r="E5382" s="1297" t="s">
        <v>1040</v>
      </c>
      <c r="F5382" s="1399"/>
      <c r="G5382" s="1399"/>
      <c r="H5382" s="1399">
        <v>32268.17</v>
      </c>
      <c r="I5382" s="1399"/>
      <c r="J5382" s="1399">
        <v>32268.17</v>
      </c>
    </row>
    <row r="5383" spans="5:10" s="1297" customFormat="1">
      <c r="E5383" s="1297" t="s">
        <v>1042</v>
      </c>
      <c r="F5383" s="1399"/>
      <c r="G5383" s="1399"/>
      <c r="H5383" s="1399">
        <v>29317.53</v>
      </c>
      <c r="I5383" s="1399"/>
      <c r="J5383" s="1399">
        <v>29317.53</v>
      </c>
    </row>
    <row r="5384" spans="5:10" s="1297" customFormat="1">
      <c r="E5384" s="1297" t="s">
        <v>1043</v>
      </c>
      <c r="F5384" s="1399"/>
      <c r="G5384" s="1399"/>
      <c r="H5384" s="1399">
        <v>8325</v>
      </c>
      <c r="I5384" s="1399"/>
      <c r="J5384" s="1399">
        <v>8325</v>
      </c>
    </row>
    <row r="5385" spans="5:10" s="1297" customFormat="1">
      <c r="E5385" s="1297" t="s">
        <v>986</v>
      </c>
      <c r="F5385" s="1399"/>
      <c r="G5385" s="1399"/>
      <c r="H5385" s="1399">
        <v>70</v>
      </c>
      <c r="I5385" s="1399"/>
      <c r="J5385" s="1399">
        <v>70</v>
      </c>
    </row>
    <row r="5386" spans="5:10" s="1297" customFormat="1">
      <c r="E5386" s="1297" t="s">
        <v>996</v>
      </c>
      <c r="F5386" s="1399"/>
      <c r="G5386" s="1399"/>
      <c r="H5386" s="1399">
        <v>39000</v>
      </c>
      <c r="I5386" s="1399"/>
      <c r="J5386" s="1399">
        <v>39000</v>
      </c>
    </row>
    <row r="5387" spans="5:10" s="1297" customFormat="1">
      <c r="E5387" s="1297" t="s">
        <v>1044</v>
      </c>
      <c r="F5387" s="1399">
        <v>30218.27</v>
      </c>
      <c r="G5387" s="1399"/>
      <c r="H5387" s="1399">
        <v>30218.27</v>
      </c>
      <c r="I5387" s="1399"/>
      <c r="J5387" s="1399">
        <v>30218.27</v>
      </c>
    </row>
    <row r="5388" spans="5:10" s="1297" customFormat="1">
      <c r="E5388" s="1297" t="s">
        <v>1045</v>
      </c>
      <c r="F5388" s="1399"/>
      <c r="G5388" s="1399"/>
      <c r="H5388" s="1399">
        <v>185765.86</v>
      </c>
      <c r="I5388" s="1399"/>
      <c r="J5388" s="1399">
        <v>185765.86</v>
      </c>
    </row>
    <row r="5389" spans="5:10" s="1297" customFormat="1">
      <c r="E5389" s="1297" t="s">
        <v>1046</v>
      </c>
      <c r="F5389" s="1399"/>
      <c r="G5389" s="1399"/>
      <c r="H5389" s="1399"/>
      <c r="I5389" s="1399">
        <v>6927707</v>
      </c>
      <c r="J5389" s="1399">
        <v>6927707</v>
      </c>
    </row>
    <row r="5390" spans="5:10" s="1297" customFormat="1">
      <c r="E5390" s="1297" t="s">
        <v>1128</v>
      </c>
      <c r="F5390" s="1399"/>
      <c r="G5390" s="1399"/>
      <c r="H5390" s="1399"/>
      <c r="I5390" s="1399">
        <v>653603</v>
      </c>
      <c r="J5390" s="1399">
        <v>653603</v>
      </c>
    </row>
    <row r="5391" spans="5:10" s="1297" customFormat="1">
      <c r="E5391" s="1297" t="s">
        <v>1047</v>
      </c>
      <c r="F5391" s="1399"/>
      <c r="G5391" s="1399"/>
      <c r="H5391" s="1399"/>
      <c r="I5391" s="1399">
        <v>291455</v>
      </c>
      <c r="J5391" s="1399">
        <v>291455</v>
      </c>
    </row>
    <row r="5392" spans="5:10" s="1297" customFormat="1">
      <c r="E5392" s="1297" t="s">
        <v>1048</v>
      </c>
      <c r="F5392" s="1399"/>
      <c r="G5392" s="1399"/>
      <c r="H5392" s="1399"/>
      <c r="I5392" s="1399">
        <v>-820130</v>
      </c>
      <c r="J5392" s="1399">
        <v>-820130</v>
      </c>
    </row>
    <row r="5393" spans="5:10" s="1297" customFormat="1">
      <c r="E5393" s="1297" t="s">
        <v>932</v>
      </c>
      <c r="F5393" s="1399"/>
      <c r="G5393" s="1399"/>
      <c r="H5393" s="1399"/>
      <c r="I5393" s="1399">
        <v>757326</v>
      </c>
      <c r="J5393" s="1399">
        <v>757326</v>
      </c>
    </row>
    <row r="5394" spans="5:10" s="1297" customFormat="1">
      <c r="E5394" s="1404" t="s">
        <v>955</v>
      </c>
      <c r="F5394" s="1405"/>
      <c r="G5394" s="1405"/>
      <c r="H5394" s="1405"/>
      <c r="I5394" s="1405">
        <v>575432.44999999995</v>
      </c>
      <c r="J5394" s="1405">
        <v>575432.44999999995</v>
      </c>
    </row>
    <row r="5395" spans="5:10" s="1297" customFormat="1">
      <c r="E5395" s="1297" t="s">
        <v>934</v>
      </c>
      <c r="F5395" s="1399"/>
      <c r="G5395" s="1399"/>
      <c r="H5395" s="1399"/>
      <c r="I5395" s="1399">
        <v>29626</v>
      </c>
      <c r="J5395" s="1399">
        <v>29626</v>
      </c>
    </row>
    <row r="5396" spans="5:10" s="1297" customFormat="1">
      <c r="E5396" s="1297" t="s">
        <v>935</v>
      </c>
      <c r="F5396" s="1399"/>
      <c r="G5396" s="1399"/>
      <c r="H5396" s="1399"/>
      <c r="I5396" s="1399">
        <v>167317.96</v>
      </c>
      <c r="J5396" s="1399">
        <v>167317.96</v>
      </c>
    </row>
    <row r="5397" spans="5:10" s="1297" customFormat="1">
      <c r="E5397" s="1297" t="s">
        <v>936</v>
      </c>
      <c r="F5397" s="1399"/>
      <c r="G5397" s="1399"/>
      <c r="H5397" s="1399"/>
      <c r="I5397" s="1399">
        <v>31163.4</v>
      </c>
      <c r="J5397" s="1399">
        <v>31163.4</v>
      </c>
    </row>
    <row r="5398" spans="5:10" s="1297" customFormat="1">
      <c r="E5398" s="1297" t="s">
        <v>937</v>
      </c>
      <c r="F5398" s="1399"/>
      <c r="G5398" s="1399"/>
      <c r="H5398" s="1399"/>
      <c r="I5398" s="1399">
        <v>4571.97</v>
      </c>
      <c r="J5398" s="1399">
        <v>4571.97</v>
      </c>
    </row>
    <row r="5399" spans="5:10" s="1297" customFormat="1">
      <c r="E5399" s="1297" t="s">
        <v>938</v>
      </c>
      <c r="F5399" s="1399"/>
      <c r="G5399" s="1399"/>
      <c r="H5399" s="1399"/>
      <c r="I5399" s="1399">
        <v>8609</v>
      </c>
      <c r="J5399" s="1399">
        <v>8609</v>
      </c>
    </row>
    <row r="5400" spans="5:10" s="1297" customFormat="1">
      <c r="E5400" s="1297" t="s">
        <v>939</v>
      </c>
      <c r="F5400" s="1399"/>
      <c r="G5400" s="1399"/>
      <c r="H5400" s="1399"/>
      <c r="I5400" s="1399">
        <v>118303.35</v>
      </c>
      <c r="J5400" s="1399">
        <v>118303.35</v>
      </c>
    </row>
    <row r="5401" spans="5:10" s="1297" customFormat="1">
      <c r="E5401" s="1297" t="s">
        <v>940</v>
      </c>
      <c r="F5401" s="1399">
        <v>503144.8</v>
      </c>
      <c r="G5401" s="1399"/>
      <c r="H5401" s="1399"/>
      <c r="I5401" s="1399"/>
      <c r="J5401" s="1399">
        <v>503144.8</v>
      </c>
    </row>
    <row r="5402" spans="5:10" s="1297" customFormat="1">
      <c r="E5402" s="1297" t="s">
        <v>941</v>
      </c>
      <c r="F5402" s="1399">
        <v>202464.92</v>
      </c>
      <c r="G5402" s="1399"/>
      <c r="H5402" s="1399"/>
      <c r="I5402" s="1399"/>
      <c r="J5402" s="1399">
        <v>202464.92</v>
      </c>
    </row>
    <row r="5403" spans="5:10" s="1297" customFormat="1">
      <c r="E5403" s="1297" t="s">
        <v>943</v>
      </c>
      <c r="F5403" s="1399">
        <v>12104.18</v>
      </c>
      <c r="G5403" s="1399"/>
      <c r="H5403" s="1399"/>
      <c r="I5403" s="1399"/>
      <c r="J5403" s="1399">
        <v>12104.18</v>
      </c>
    </row>
    <row r="5404" spans="5:10" s="1297" customFormat="1">
      <c r="E5404" s="1297" t="s">
        <v>944</v>
      </c>
      <c r="F5404" s="1399">
        <v>2065637.5499999998</v>
      </c>
      <c r="G5404" s="1399"/>
      <c r="H5404" s="1399"/>
      <c r="I5404" s="1399"/>
      <c r="J5404" s="1399">
        <v>2065637.5499999998</v>
      </c>
    </row>
    <row r="5405" spans="5:10" s="1297" customFormat="1">
      <c r="E5405" s="1297" t="s">
        <v>945</v>
      </c>
      <c r="F5405" s="1399">
        <v>961273.19</v>
      </c>
      <c r="G5405" s="1399"/>
      <c r="H5405" s="1399"/>
      <c r="I5405" s="1399"/>
      <c r="J5405" s="1399">
        <v>961273.19</v>
      </c>
    </row>
    <row r="5406" spans="5:10" s="1297" customFormat="1">
      <c r="E5406" s="1297" t="s">
        <v>946</v>
      </c>
      <c r="F5406" s="1399">
        <v>668314.22</v>
      </c>
      <c r="G5406" s="1399"/>
      <c r="H5406" s="1399"/>
      <c r="I5406" s="1399"/>
      <c r="J5406" s="1399">
        <v>668314.22</v>
      </c>
    </row>
    <row r="5407" spans="5:10" s="1297" customFormat="1">
      <c r="E5407" s="1297" t="s">
        <v>947</v>
      </c>
      <c r="F5407" s="1399">
        <v>47236.13</v>
      </c>
      <c r="G5407" s="1399"/>
      <c r="H5407" s="1399"/>
      <c r="I5407" s="1399"/>
      <c r="J5407" s="1399">
        <v>47236.13</v>
      </c>
    </row>
    <row r="5408" spans="5:10" s="1297" customFormat="1">
      <c r="E5408" s="1404" t="s">
        <v>948</v>
      </c>
      <c r="F5408" s="1405"/>
      <c r="G5408" s="1405"/>
      <c r="H5408" s="1405">
        <v>1183457.05</v>
      </c>
      <c r="I5408" s="1405"/>
      <c r="J5408" s="1405">
        <v>1183457.05</v>
      </c>
    </row>
    <row r="5409" spans="2:12">
      <c r="B5409" s="1297"/>
      <c r="C5409" s="1297"/>
      <c r="D5409" s="1297"/>
      <c r="E5409" s="1297" t="s">
        <v>956</v>
      </c>
      <c r="H5409" s="1399">
        <v>400</v>
      </c>
      <c r="J5409" s="1399">
        <v>400</v>
      </c>
    </row>
    <row r="5410" spans="2:12">
      <c r="B5410" s="1297"/>
      <c r="C5410" s="1297"/>
      <c r="D5410" s="1400" t="s">
        <v>1379</v>
      </c>
      <c r="E5410" s="1400"/>
      <c r="F5410" s="1401">
        <f>SUM(F5372:F5409)</f>
        <v>4490393.26</v>
      </c>
      <c r="G5410" s="1401">
        <f>SUM(G5372:G5409)</f>
        <v>3882545.96</v>
      </c>
      <c r="H5410" s="1401">
        <f>SUM(H5372:H5409)-H5408</f>
        <v>660666.63000000012</v>
      </c>
      <c r="I5410" s="1401">
        <f>SUM(I5372:I5409)-I5394</f>
        <v>8169552.6800000006</v>
      </c>
      <c r="J5410" s="1401">
        <f>SUM(J5372:J5409)</f>
        <v>18931829.760000002</v>
      </c>
      <c r="K5410" s="1401">
        <f>SUM(F5410:I5410)</f>
        <v>17203158.530000001</v>
      </c>
      <c r="L5410" s="1408">
        <f>K5410/C5372</f>
        <v>11758.823328776487</v>
      </c>
    </row>
    <row r="5411" spans="2:12">
      <c r="B5411" s="1297" t="s">
        <v>1380</v>
      </c>
      <c r="C5411" s="1297">
        <v>931</v>
      </c>
      <c r="D5411" s="1297" t="s">
        <v>1381</v>
      </c>
      <c r="E5411" s="1297" t="s">
        <v>906</v>
      </c>
      <c r="G5411" s="1399">
        <v>3273850.77</v>
      </c>
      <c r="J5411" s="1399">
        <v>3273850.77</v>
      </c>
    </row>
    <row r="5412" spans="2:12">
      <c r="B5412" s="1297"/>
      <c r="C5412" s="1297"/>
      <c r="D5412" s="1297"/>
      <c r="E5412" s="1297" t="s">
        <v>952</v>
      </c>
      <c r="G5412" s="1399">
        <v>22710.15</v>
      </c>
      <c r="J5412" s="1399">
        <v>22710.15</v>
      </c>
    </row>
    <row r="5413" spans="2:12">
      <c r="B5413" s="1297"/>
      <c r="C5413" s="1297"/>
      <c r="D5413" s="1297"/>
      <c r="E5413" s="1297" t="s">
        <v>907</v>
      </c>
      <c r="G5413" s="1399">
        <v>694676.94</v>
      </c>
      <c r="J5413" s="1399">
        <v>694676.94</v>
      </c>
    </row>
    <row r="5414" spans="2:12">
      <c r="B5414" s="1297"/>
      <c r="C5414" s="1297"/>
      <c r="D5414" s="1297"/>
      <c r="E5414" s="1297" t="s">
        <v>908</v>
      </c>
      <c r="G5414" s="1399">
        <v>29526.23</v>
      </c>
      <c r="J5414" s="1399">
        <v>29526.23</v>
      </c>
    </row>
    <row r="5415" spans="2:12">
      <c r="B5415" s="1297"/>
      <c r="C5415" s="1297"/>
      <c r="D5415" s="1297"/>
      <c r="E5415" s="1297" t="s">
        <v>1034</v>
      </c>
      <c r="H5415" s="1399">
        <v>675</v>
      </c>
      <c r="J5415" s="1399">
        <v>675</v>
      </c>
    </row>
    <row r="5416" spans="2:12">
      <c r="B5416" s="1297"/>
      <c r="C5416" s="1297"/>
      <c r="D5416" s="1297"/>
      <c r="E5416" s="1297" t="s">
        <v>1039</v>
      </c>
      <c r="H5416" s="1399">
        <v>12799.269999999999</v>
      </c>
      <c r="J5416" s="1399">
        <v>12799.269999999999</v>
      </c>
    </row>
    <row r="5417" spans="2:12">
      <c r="B5417" s="1297"/>
      <c r="C5417" s="1297"/>
      <c r="D5417" s="1297"/>
      <c r="E5417" s="1297" t="s">
        <v>1041</v>
      </c>
      <c r="H5417" s="1399">
        <v>14768.720000000001</v>
      </c>
      <c r="J5417" s="1399">
        <v>14768.720000000001</v>
      </c>
    </row>
    <row r="5418" spans="2:12">
      <c r="B5418" s="1297"/>
      <c r="C5418" s="1297"/>
      <c r="D5418" s="1297"/>
      <c r="E5418" s="1297" t="s">
        <v>1042</v>
      </c>
      <c r="H5418" s="1399">
        <v>21685.24</v>
      </c>
      <c r="J5418" s="1399">
        <v>21685.24</v>
      </c>
    </row>
    <row r="5419" spans="2:12">
      <c r="B5419" s="1297"/>
      <c r="C5419" s="1297"/>
      <c r="D5419" s="1297"/>
      <c r="E5419" s="1297" t="s">
        <v>953</v>
      </c>
      <c r="H5419" s="1399">
        <v>6693</v>
      </c>
      <c r="J5419" s="1399">
        <v>6693</v>
      </c>
    </row>
    <row r="5420" spans="2:12">
      <c r="B5420" s="1297"/>
      <c r="C5420" s="1297"/>
      <c r="D5420" s="1297"/>
      <c r="E5420" s="1297" t="s">
        <v>1045</v>
      </c>
      <c r="H5420" s="1399">
        <v>309646.26</v>
      </c>
      <c r="J5420" s="1399">
        <v>309646.26</v>
      </c>
    </row>
    <row r="5421" spans="2:12">
      <c r="B5421" s="1297"/>
      <c r="C5421" s="1297"/>
      <c r="D5421" s="1297"/>
      <c r="E5421" s="1297" t="s">
        <v>1046</v>
      </c>
      <c r="I5421" s="1399">
        <v>4815141</v>
      </c>
      <c r="J5421" s="1399">
        <v>4815141</v>
      </c>
    </row>
    <row r="5422" spans="2:12">
      <c r="B5422" s="1297"/>
      <c r="C5422" s="1297"/>
      <c r="D5422" s="1297"/>
      <c r="E5422" s="1297" t="s">
        <v>1047</v>
      </c>
      <c r="I5422" s="1399">
        <v>305239</v>
      </c>
      <c r="J5422" s="1399">
        <v>305239</v>
      </c>
    </row>
    <row r="5423" spans="2:12">
      <c r="B5423" s="1297"/>
      <c r="C5423" s="1297"/>
      <c r="D5423" s="1297"/>
      <c r="E5423" s="1297" t="s">
        <v>1048</v>
      </c>
      <c r="I5423" s="1399">
        <v>-978758</v>
      </c>
      <c r="J5423" s="1399">
        <v>-978758</v>
      </c>
    </row>
    <row r="5424" spans="2:12">
      <c r="B5424" s="1297"/>
      <c r="C5424" s="1297"/>
      <c r="D5424" s="1297"/>
      <c r="E5424" s="1297" t="s">
        <v>932</v>
      </c>
      <c r="I5424" s="1399">
        <v>85652</v>
      </c>
      <c r="J5424" s="1399">
        <v>85652</v>
      </c>
    </row>
    <row r="5425" spans="2:12">
      <c r="B5425" s="1297"/>
      <c r="C5425" s="1297"/>
      <c r="D5425" s="1297"/>
      <c r="E5425" s="1404" t="s">
        <v>955</v>
      </c>
      <c r="F5425" s="1405"/>
      <c r="G5425" s="1405"/>
      <c r="H5425" s="1405"/>
      <c r="I5425" s="1405">
        <v>119618.76</v>
      </c>
      <c r="J5425" s="1405">
        <v>119618.76</v>
      </c>
    </row>
    <row r="5426" spans="2:12">
      <c r="B5426" s="1297"/>
      <c r="C5426" s="1297"/>
      <c r="D5426" s="1297"/>
      <c r="E5426" s="1297" t="s">
        <v>934</v>
      </c>
      <c r="I5426" s="1399">
        <v>24092</v>
      </c>
      <c r="J5426" s="1399">
        <v>24092</v>
      </c>
    </row>
    <row r="5427" spans="2:12">
      <c r="B5427" s="1297"/>
      <c r="C5427" s="1297"/>
      <c r="D5427" s="1297"/>
      <c r="E5427" s="1297" t="s">
        <v>935</v>
      </c>
      <c r="I5427" s="1399">
        <v>231766.39</v>
      </c>
      <c r="J5427" s="1399">
        <v>231766.39</v>
      </c>
    </row>
    <row r="5428" spans="2:12">
      <c r="B5428" s="1297"/>
      <c r="C5428" s="1297"/>
      <c r="D5428" s="1297"/>
      <c r="E5428" s="1297" t="s">
        <v>936</v>
      </c>
      <c r="I5428" s="1399">
        <v>20658.88</v>
      </c>
      <c r="J5428" s="1399">
        <v>20658.88</v>
      </c>
    </row>
    <row r="5429" spans="2:12">
      <c r="B5429" s="1297"/>
      <c r="C5429" s="1297"/>
      <c r="D5429" s="1297"/>
      <c r="E5429" s="1297" t="s">
        <v>937</v>
      </c>
      <c r="I5429" s="1399">
        <v>2772.02</v>
      </c>
      <c r="J5429" s="1399">
        <v>2772.02</v>
      </c>
    </row>
    <row r="5430" spans="2:12">
      <c r="B5430" s="1297"/>
      <c r="C5430" s="1297"/>
      <c r="D5430" s="1297"/>
      <c r="E5430" s="1297" t="s">
        <v>938</v>
      </c>
      <c r="I5430" s="1399">
        <v>7674</v>
      </c>
      <c r="J5430" s="1399">
        <v>7674</v>
      </c>
    </row>
    <row r="5431" spans="2:12">
      <c r="B5431" s="1297"/>
      <c r="C5431" s="1297"/>
      <c r="D5431" s="1297"/>
      <c r="E5431" s="1297" t="s">
        <v>939</v>
      </c>
      <c r="I5431" s="1399">
        <v>11265.81</v>
      </c>
      <c r="J5431" s="1399">
        <v>11265.81</v>
      </c>
    </row>
    <row r="5432" spans="2:12">
      <c r="B5432" s="1297"/>
      <c r="C5432" s="1297"/>
      <c r="D5432" s="1297"/>
      <c r="E5432" s="1297" t="s">
        <v>1131</v>
      </c>
      <c r="F5432" s="1399">
        <v>603006.80000000005</v>
      </c>
      <c r="J5432" s="1399">
        <v>603006.80000000005</v>
      </c>
    </row>
    <row r="5433" spans="2:12">
      <c r="B5433" s="1297"/>
      <c r="C5433" s="1297"/>
      <c r="D5433" s="1297"/>
      <c r="E5433" s="1297" t="s">
        <v>940</v>
      </c>
      <c r="F5433" s="1399">
        <v>463199.48</v>
      </c>
      <c r="J5433" s="1399">
        <v>463199.48</v>
      </c>
    </row>
    <row r="5434" spans="2:12">
      <c r="B5434" s="1297"/>
      <c r="C5434" s="1297"/>
      <c r="D5434" s="1297"/>
      <c r="E5434" s="1297" t="s">
        <v>941</v>
      </c>
      <c r="F5434" s="1399">
        <v>256488.47999999998</v>
      </c>
      <c r="J5434" s="1399">
        <v>256488.47999999998</v>
      </c>
    </row>
    <row r="5435" spans="2:12">
      <c r="B5435" s="1297"/>
      <c r="C5435" s="1297"/>
      <c r="D5435" s="1297"/>
      <c r="E5435" s="1297" t="s">
        <v>943</v>
      </c>
      <c r="F5435" s="1399">
        <v>1382.32</v>
      </c>
      <c r="J5435" s="1399">
        <v>1382.32</v>
      </c>
    </row>
    <row r="5436" spans="2:12">
      <c r="B5436" s="1297"/>
      <c r="C5436" s="1297"/>
      <c r="D5436" s="1297"/>
      <c r="E5436" s="1297" t="s">
        <v>944</v>
      </c>
      <c r="F5436" s="1399">
        <v>1670942.5499999998</v>
      </c>
      <c r="J5436" s="1399">
        <v>1670942.5499999998</v>
      </c>
    </row>
    <row r="5437" spans="2:12">
      <c r="B5437" s="1297"/>
      <c r="C5437" s="1297"/>
      <c r="D5437" s="1297"/>
      <c r="E5437" s="1297" t="s">
        <v>945</v>
      </c>
      <c r="F5437" s="1399">
        <v>476035.48</v>
      </c>
      <c r="J5437" s="1399">
        <v>476035.48</v>
      </c>
    </row>
    <row r="5438" spans="2:12">
      <c r="B5438" s="1297"/>
      <c r="C5438" s="1297"/>
      <c r="D5438" s="1297"/>
      <c r="E5438" s="1297" t="s">
        <v>947</v>
      </c>
      <c r="F5438" s="1399">
        <v>47384.79</v>
      </c>
      <c r="J5438" s="1399">
        <v>47384.79</v>
      </c>
    </row>
    <row r="5439" spans="2:12">
      <c r="B5439" s="1297"/>
      <c r="C5439" s="1297"/>
      <c r="D5439" s="1297"/>
      <c r="E5439" s="1297" t="s">
        <v>956</v>
      </c>
      <c r="H5439" s="1399">
        <v>7447.36</v>
      </c>
      <c r="J5439" s="1399">
        <v>7447.36</v>
      </c>
    </row>
    <row r="5440" spans="2:12">
      <c r="B5440" s="1297"/>
      <c r="C5440" s="1297"/>
      <c r="D5440" s="1400" t="s">
        <v>1382</v>
      </c>
      <c r="E5440" s="1400"/>
      <c r="F5440" s="1401">
        <f>SUM(F5411:F5439)</f>
        <v>3518439.9</v>
      </c>
      <c r="G5440" s="1401">
        <f>SUM(G5411:G5439)</f>
        <v>4020764.09</v>
      </c>
      <c r="H5440" s="1401">
        <f>SUM(H5411:H5439)</f>
        <v>373714.85</v>
      </c>
      <c r="I5440" s="1401">
        <f>SUM(I5411:I5439)-I5425</f>
        <v>4525503.0999999987</v>
      </c>
      <c r="J5440" s="1401">
        <f>SUM(J5411:J5439)</f>
        <v>12558040.700000003</v>
      </c>
      <c r="K5440" s="1401">
        <f>SUM(F5440:I5440)</f>
        <v>12438421.939999998</v>
      </c>
      <c r="L5440" s="1408">
        <f>K5440/C5411</f>
        <v>13360.281353383456</v>
      </c>
    </row>
    <row r="5441" spans="2:10" s="1297" customFormat="1">
      <c r="B5441" s="1297" t="s">
        <v>1383</v>
      </c>
      <c r="C5441" s="1297">
        <v>2533</v>
      </c>
      <c r="D5441" s="1297" t="s">
        <v>1384</v>
      </c>
      <c r="E5441" s="1297" t="s">
        <v>906</v>
      </c>
      <c r="F5441" s="1399"/>
      <c r="G5441" s="1399">
        <v>12294955.970000001</v>
      </c>
      <c r="H5441" s="1399"/>
      <c r="I5441" s="1399"/>
      <c r="J5441" s="1399">
        <v>12294955.970000001</v>
      </c>
    </row>
    <row r="5442" spans="2:10" s="1297" customFormat="1">
      <c r="E5442" s="1297" t="s">
        <v>952</v>
      </c>
      <c r="F5442" s="1399"/>
      <c r="G5442" s="1399">
        <v>228538.55</v>
      </c>
      <c r="H5442" s="1399"/>
      <c r="I5442" s="1399"/>
      <c r="J5442" s="1399">
        <v>228538.55</v>
      </c>
    </row>
    <row r="5443" spans="2:10" s="1297" customFormat="1">
      <c r="E5443" s="1297" t="s">
        <v>907</v>
      </c>
      <c r="F5443" s="1399"/>
      <c r="G5443" s="1399">
        <v>3304962</v>
      </c>
      <c r="H5443" s="1399"/>
      <c r="I5443" s="1399"/>
      <c r="J5443" s="1399">
        <v>3304962</v>
      </c>
    </row>
    <row r="5444" spans="2:10" s="1297" customFormat="1">
      <c r="E5444" s="1297" t="s">
        <v>908</v>
      </c>
      <c r="F5444" s="1399"/>
      <c r="G5444" s="1399">
        <v>0</v>
      </c>
      <c r="H5444" s="1399"/>
      <c r="I5444" s="1399"/>
      <c r="J5444" s="1399">
        <v>0</v>
      </c>
    </row>
    <row r="5445" spans="2:10" s="1297" customFormat="1">
      <c r="E5445" s="1297" t="s">
        <v>1035</v>
      </c>
      <c r="F5445" s="1399"/>
      <c r="G5445" s="1399"/>
      <c r="H5445" s="1399">
        <v>299132.55</v>
      </c>
      <c r="I5445" s="1399"/>
      <c r="J5445" s="1399">
        <v>299132.55</v>
      </c>
    </row>
    <row r="5446" spans="2:10" s="1297" customFormat="1">
      <c r="E5446" s="1297" t="s">
        <v>1036</v>
      </c>
      <c r="F5446" s="1399"/>
      <c r="G5446" s="1399"/>
      <c r="H5446" s="1399">
        <v>85798</v>
      </c>
      <c r="I5446" s="1399"/>
      <c r="J5446" s="1399">
        <v>85798</v>
      </c>
    </row>
    <row r="5447" spans="2:10" s="1297" customFormat="1">
      <c r="E5447" s="1297" t="s">
        <v>1037</v>
      </c>
      <c r="F5447" s="1399"/>
      <c r="G5447" s="1399"/>
      <c r="H5447" s="1399">
        <v>7000</v>
      </c>
      <c r="I5447" s="1399"/>
      <c r="J5447" s="1399">
        <v>7000</v>
      </c>
    </row>
    <row r="5448" spans="2:10" s="1297" customFormat="1">
      <c r="E5448" s="1297" t="s">
        <v>1039</v>
      </c>
      <c r="F5448" s="1399"/>
      <c r="G5448" s="1399"/>
      <c r="H5448" s="1399">
        <v>71351.13</v>
      </c>
      <c r="I5448" s="1399"/>
      <c r="J5448" s="1399">
        <v>71351.13</v>
      </c>
    </row>
    <row r="5449" spans="2:10" s="1297" customFormat="1">
      <c r="E5449" s="1297" t="s">
        <v>1040</v>
      </c>
      <c r="F5449" s="1399"/>
      <c r="G5449" s="1399"/>
      <c r="H5449" s="1399">
        <v>272597.75</v>
      </c>
      <c r="I5449" s="1399"/>
      <c r="J5449" s="1399">
        <v>272597.75</v>
      </c>
    </row>
    <row r="5450" spans="2:10" s="1297" customFormat="1">
      <c r="E5450" s="1297" t="s">
        <v>1041</v>
      </c>
      <c r="F5450" s="1399"/>
      <c r="G5450" s="1399"/>
      <c r="H5450" s="1399">
        <v>44900.1</v>
      </c>
      <c r="I5450" s="1399"/>
      <c r="J5450" s="1399">
        <v>44900.1</v>
      </c>
    </row>
    <row r="5451" spans="2:10" s="1297" customFormat="1">
      <c r="E5451" s="1297" t="s">
        <v>1042</v>
      </c>
      <c r="F5451" s="1399"/>
      <c r="G5451" s="1399"/>
      <c r="H5451" s="1399">
        <v>60994.9</v>
      </c>
      <c r="I5451" s="1399"/>
      <c r="J5451" s="1399">
        <v>60994.9</v>
      </c>
    </row>
    <row r="5452" spans="2:10" s="1297" customFormat="1">
      <c r="E5452" s="1297" t="s">
        <v>954</v>
      </c>
      <c r="F5452" s="1399"/>
      <c r="G5452" s="1399"/>
      <c r="H5452" s="1399">
        <v>145556.37</v>
      </c>
      <c r="I5452" s="1399"/>
      <c r="J5452" s="1399">
        <v>145556.37</v>
      </c>
    </row>
    <row r="5453" spans="2:10" s="1297" customFormat="1">
      <c r="E5453" s="1297" t="s">
        <v>985</v>
      </c>
      <c r="F5453" s="1399"/>
      <c r="G5453" s="1399"/>
      <c r="H5453" s="1399">
        <v>73507.28</v>
      </c>
      <c r="I5453" s="1399"/>
      <c r="J5453" s="1399">
        <v>73507.28</v>
      </c>
    </row>
    <row r="5454" spans="2:10" s="1297" customFormat="1">
      <c r="E5454" s="1297" t="s">
        <v>1043</v>
      </c>
      <c r="F5454" s="1399"/>
      <c r="G5454" s="1399"/>
      <c r="H5454" s="1399">
        <v>485</v>
      </c>
      <c r="I5454" s="1399"/>
      <c r="J5454" s="1399">
        <v>485</v>
      </c>
    </row>
    <row r="5455" spans="2:10" s="1297" customFormat="1">
      <c r="E5455" s="1297" t="s">
        <v>986</v>
      </c>
      <c r="F5455" s="1399"/>
      <c r="G5455" s="1399"/>
      <c r="H5455" s="1399">
        <v>100216.42</v>
      </c>
      <c r="I5455" s="1399"/>
      <c r="J5455" s="1399">
        <v>100216.42</v>
      </c>
    </row>
    <row r="5456" spans="2:10" s="1297" customFormat="1">
      <c r="E5456" s="1297" t="s">
        <v>1045</v>
      </c>
      <c r="F5456" s="1399"/>
      <c r="G5456" s="1399"/>
      <c r="H5456" s="1399">
        <v>314375</v>
      </c>
      <c r="I5456" s="1399"/>
      <c r="J5456" s="1399">
        <v>314375</v>
      </c>
    </row>
    <row r="5457" spans="5:10" s="1297" customFormat="1">
      <c r="E5457" s="1297" t="s">
        <v>1046</v>
      </c>
      <c r="F5457" s="1399"/>
      <c r="G5457" s="1399"/>
      <c r="H5457" s="1399"/>
      <c r="I5457" s="1399">
        <v>12876844</v>
      </c>
      <c r="J5457" s="1399">
        <v>12876844</v>
      </c>
    </row>
    <row r="5458" spans="5:10" s="1297" customFormat="1">
      <c r="E5458" s="1297" t="s">
        <v>1128</v>
      </c>
      <c r="F5458" s="1399"/>
      <c r="G5458" s="1399"/>
      <c r="H5458" s="1399"/>
      <c r="I5458" s="1399">
        <v>1509138</v>
      </c>
      <c r="J5458" s="1399">
        <v>1509138</v>
      </c>
    </row>
    <row r="5459" spans="5:10" s="1297" customFormat="1">
      <c r="E5459" s="1297" t="s">
        <v>1047</v>
      </c>
      <c r="F5459" s="1399"/>
      <c r="G5459" s="1399"/>
      <c r="H5459" s="1399"/>
      <c r="I5459" s="1399">
        <v>694695</v>
      </c>
      <c r="J5459" s="1399">
        <v>694695</v>
      </c>
    </row>
    <row r="5460" spans="5:10" s="1297" customFormat="1">
      <c r="E5460" s="1297" t="s">
        <v>1048</v>
      </c>
      <c r="F5460" s="1399"/>
      <c r="G5460" s="1399"/>
      <c r="H5460" s="1399"/>
      <c r="I5460" s="1399">
        <v>-5594808</v>
      </c>
      <c r="J5460" s="1399">
        <v>-5594808</v>
      </c>
    </row>
    <row r="5461" spans="5:10" s="1297" customFormat="1">
      <c r="E5461" s="1404" t="s">
        <v>955</v>
      </c>
      <c r="F5461" s="1405"/>
      <c r="G5461" s="1405"/>
      <c r="H5461" s="1405"/>
      <c r="I5461" s="1405">
        <v>158117.01999999999</v>
      </c>
      <c r="J5461" s="1405">
        <v>158117.01999999999</v>
      </c>
    </row>
    <row r="5462" spans="5:10" s="1297" customFormat="1">
      <c r="E5462" s="1297" t="s">
        <v>934</v>
      </c>
      <c r="F5462" s="1399"/>
      <c r="G5462" s="1399"/>
      <c r="H5462" s="1399"/>
      <c r="I5462" s="1399">
        <v>44806</v>
      </c>
      <c r="J5462" s="1399">
        <v>44806</v>
      </c>
    </row>
    <row r="5463" spans="5:10" s="1297" customFormat="1">
      <c r="E5463" s="1297" t="s">
        <v>935</v>
      </c>
      <c r="F5463" s="1399"/>
      <c r="G5463" s="1399"/>
      <c r="H5463" s="1399"/>
      <c r="I5463" s="1399">
        <v>97580.25</v>
      </c>
      <c r="J5463" s="1399">
        <v>97580.25</v>
      </c>
    </row>
    <row r="5464" spans="5:10" s="1297" customFormat="1">
      <c r="E5464" s="1297" t="s">
        <v>936</v>
      </c>
      <c r="F5464" s="1399"/>
      <c r="G5464" s="1399"/>
      <c r="H5464" s="1399"/>
      <c r="I5464" s="1399">
        <v>63727.4</v>
      </c>
      <c r="J5464" s="1399">
        <v>63727.4</v>
      </c>
    </row>
    <row r="5465" spans="5:10" s="1297" customFormat="1">
      <c r="E5465" s="1297" t="s">
        <v>937</v>
      </c>
      <c r="F5465" s="1399"/>
      <c r="G5465" s="1399"/>
      <c r="H5465" s="1399"/>
      <c r="I5465" s="1399">
        <v>20699.650000000001</v>
      </c>
      <c r="J5465" s="1399">
        <v>20699.650000000001</v>
      </c>
    </row>
    <row r="5466" spans="5:10" s="1297" customFormat="1">
      <c r="E5466" s="1297" t="s">
        <v>938</v>
      </c>
      <c r="F5466" s="1399"/>
      <c r="G5466" s="1399"/>
      <c r="H5466" s="1399"/>
      <c r="I5466" s="1399">
        <v>16844</v>
      </c>
      <c r="J5466" s="1399">
        <v>16844</v>
      </c>
    </row>
    <row r="5467" spans="5:10" s="1297" customFormat="1">
      <c r="E5467" s="1297" t="s">
        <v>939</v>
      </c>
      <c r="F5467" s="1399"/>
      <c r="G5467" s="1399"/>
      <c r="H5467" s="1399"/>
      <c r="I5467" s="1399">
        <v>341421.33999999997</v>
      </c>
      <c r="J5467" s="1399">
        <v>341421.33999999997</v>
      </c>
    </row>
    <row r="5468" spans="5:10" s="1297" customFormat="1">
      <c r="E5468" s="1297" t="s">
        <v>940</v>
      </c>
      <c r="F5468" s="1399">
        <v>703093.8</v>
      </c>
      <c r="G5468" s="1399"/>
      <c r="H5468" s="1399"/>
      <c r="I5468" s="1399"/>
      <c r="J5468" s="1399">
        <v>703093.8</v>
      </c>
    </row>
    <row r="5469" spans="5:10" s="1297" customFormat="1">
      <c r="E5469" s="1297" t="s">
        <v>941</v>
      </c>
      <c r="F5469" s="1399">
        <v>262195.20000000001</v>
      </c>
      <c r="G5469" s="1399"/>
      <c r="H5469" s="1399"/>
      <c r="I5469" s="1399"/>
      <c r="J5469" s="1399">
        <v>262195.20000000001</v>
      </c>
    </row>
    <row r="5470" spans="5:10" s="1297" customFormat="1">
      <c r="E5470" s="1297" t="s">
        <v>943</v>
      </c>
      <c r="F5470" s="1399">
        <v>17098.439999999999</v>
      </c>
      <c r="G5470" s="1399"/>
      <c r="H5470" s="1399"/>
      <c r="I5470" s="1399"/>
      <c r="J5470" s="1399">
        <v>17098.439999999999</v>
      </c>
    </row>
    <row r="5471" spans="5:10" s="1297" customFormat="1">
      <c r="E5471" s="1297" t="s">
        <v>944</v>
      </c>
      <c r="F5471" s="1399">
        <v>1552330.1700000002</v>
      </c>
      <c r="G5471" s="1399"/>
      <c r="H5471" s="1399"/>
      <c r="I5471" s="1399"/>
      <c r="J5471" s="1399">
        <v>1552330.1700000002</v>
      </c>
    </row>
    <row r="5472" spans="5:10" s="1297" customFormat="1">
      <c r="E5472" s="1297" t="s">
        <v>945</v>
      </c>
      <c r="F5472" s="1399">
        <v>1093781.51</v>
      </c>
      <c r="G5472" s="1399"/>
      <c r="H5472" s="1399"/>
      <c r="I5472" s="1399"/>
      <c r="J5472" s="1399">
        <v>1093781.51</v>
      </c>
    </row>
    <row r="5473" spans="2:12">
      <c r="B5473" s="1297"/>
      <c r="C5473" s="1297"/>
      <c r="D5473" s="1297"/>
      <c r="E5473" s="1297" t="s">
        <v>1214</v>
      </c>
      <c r="F5473" s="1399">
        <v>667795.44999999995</v>
      </c>
      <c r="J5473" s="1399">
        <v>667795.44999999995</v>
      </c>
    </row>
    <row r="5474" spans="2:12">
      <c r="B5474" s="1297"/>
      <c r="C5474" s="1297"/>
      <c r="D5474" s="1297"/>
      <c r="E5474" s="1297" t="s">
        <v>947</v>
      </c>
      <c r="F5474" s="1399">
        <v>117031.9</v>
      </c>
      <c r="J5474" s="1399">
        <v>117031.9</v>
      </c>
    </row>
    <row r="5475" spans="2:12">
      <c r="B5475" s="1297"/>
      <c r="C5475" s="1297"/>
      <c r="D5475" s="1297"/>
      <c r="E5475" s="1297" t="s">
        <v>1115</v>
      </c>
      <c r="F5475" s="1399">
        <v>2873.96</v>
      </c>
      <c r="J5475" s="1399">
        <v>2873.96</v>
      </c>
    </row>
    <row r="5476" spans="2:12">
      <c r="B5476" s="1297"/>
      <c r="C5476" s="1297"/>
      <c r="D5476" s="1297"/>
      <c r="E5476" s="1404" t="s">
        <v>948</v>
      </c>
      <c r="F5476" s="1405"/>
      <c r="G5476" s="1405"/>
      <c r="H5476" s="1405">
        <v>3541752.7199999997</v>
      </c>
      <c r="I5476" s="1405"/>
      <c r="J5476" s="1405">
        <v>3541752.7199999997</v>
      </c>
    </row>
    <row r="5477" spans="2:12">
      <c r="B5477" s="1297"/>
      <c r="C5477" s="1297"/>
      <c r="D5477" s="1297"/>
      <c r="E5477" s="1297" t="s">
        <v>1118</v>
      </c>
      <c r="H5477" s="1399">
        <v>16444.29</v>
      </c>
      <c r="J5477" s="1399">
        <v>16444.29</v>
      </c>
    </row>
    <row r="5478" spans="2:12">
      <c r="B5478" s="1297"/>
      <c r="C5478" s="1297"/>
      <c r="D5478" s="1400" t="s">
        <v>1385</v>
      </c>
      <c r="E5478" s="1400"/>
      <c r="F5478" s="1401">
        <f>SUM(F5441:F5477)</f>
        <v>4416200.4300000006</v>
      </c>
      <c r="G5478" s="1401">
        <f>SUM(G5441:G5477)</f>
        <v>15828456.520000001</v>
      </c>
      <c r="H5478" s="1401">
        <f>SUM(H5441:H5477)-H5476</f>
        <v>1492358.79</v>
      </c>
      <c r="I5478" s="1401">
        <f>SUM(I5441:I5477)-I5461</f>
        <v>10070947.640000001</v>
      </c>
      <c r="J5478" s="1401">
        <f>SUM(J5441:J5477)</f>
        <v>35507833.120000005</v>
      </c>
      <c r="K5478" s="1401">
        <f>SUM(F5478:I5478)</f>
        <v>31807963.380000003</v>
      </c>
      <c r="L5478" s="1408">
        <f>K5478/C5441</f>
        <v>12557.427311488354</v>
      </c>
    </row>
    <row r="5479" spans="2:12">
      <c r="B5479" s="1297" t="s">
        <v>1386</v>
      </c>
      <c r="C5479" s="1297">
        <v>4449</v>
      </c>
      <c r="D5479" s="1297" t="s">
        <v>1387</v>
      </c>
      <c r="E5479" s="1297" t="s">
        <v>906</v>
      </c>
      <c r="G5479" s="1399">
        <v>9188035.5399999991</v>
      </c>
      <c r="J5479" s="1399">
        <v>9188035.5399999991</v>
      </c>
    </row>
    <row r="5480" spans="2:12">
      <c r="B5480" s="1297"/>
      <c r="C5480" s="1297"/>
      <c r="D5480" s="1297"/>
      <c r="E5480" s="1297" t="s">
        <v>952</v>
      </c>
      <c r="G5480" s="1399">
        <v>74922.89</v>
      </c>
      <c r="J5480" s="1399">
        <v>74922.89</v>
      </c>
    </row>
    <row r="5481" spans="2:12">
      <c r="B5481" s="1297"/>
      <c r="C5481" s="1297"/>
      <c r="D5481" s="1297"/>
      <c r="E5481" s="1297" t="s">
        <v>907</v>
      </c>
      <c r="G5481" s="1399">
        <v>3185570.43</v>
      </c>
      <c r="J5481" s="1399">
        <v>3185570.43</v>
      </c>
    </row>
    <row r="5482" spans="2:12">
      <c r="B5482" s="1297"/>
      <c r="C5482" s="1297"/>
      <c r="D5482" s="1297"/>
      <c r="E5482" s="1297" t="s">
        <v>908</v>
      </c>
      <c r="G5482" s="1399">
        <v>9031.49</v>
      </c>
      <c r="J5482" s="1399">
        <v>9031.49</v>
      </c>
    </row>
    <row r="5483" spans="2:12">
      <c r="B5483" s="1297"/>
      <c r="C5483" s="1297"/>
      <c r="D5483" s="1297"/>
      <c r="E5483" s="1297" t="s">
        <v>909</v>
      </c>
      <c r="H5483" s="1399">
        <v>28448.31</v>
      </c>
      <c r="J5483" s="1399">
        <v>28448.31</v>
      </c>
    </row>
    <row r="5484" spans="2:12">
      <c r="B5484" s="1297"/>
      <c r="C5484" s="1297"/>
      <c r="D5484" s="1297"/>
      <c r="E5484" s="1297" t="s">
        <v>910</v>
      </c>
      <c r="H5484" s="1399">
        <v>38275.81</v>
      </c>
      <c r="J5484" s="1399">
        <v>38275.81</v>
      </c>
    </row>
    <row r="5485" spans="2:12">
      <c r="B5485" s="1297"/>
      <c r="C5485" s="1297"/>
      <c r="D5485" s="1297"/>
      <c r="E5485" s="1297" t="s">
        <v>1034</v>
      </c>
      <c r="H5485" s="1399">
        <v>32139.1</v>
      </c>
      <c r="J5485" s="1399">
        <v>32139.1</v>
      </c>
    </row>
    <row r="5486" spans="2:12">
      <c r="B5486" s="1297"/>
      <c r="C5486" s="1297"/>
      <c r="D5486" s="1297"/>
      <c r="E5486" s="1297" t="s">
        <v>1035</v>
      </c>
      <c r="H5486" s="1399">
        <v>244450.08999999997</v>
      </c>
      <c r="J5486" s="1399">
        <v>244450.08999999997</v>
      </c>
    </row>
    <row r="5487" spans="2:12">
      <c r="B5487" s="1297"/>
      <c r="C5487" s="1297"/>
      <c r="D5487" s="1297"/>
      <c r="E5487" s="1297" t="s">
        <v>1036</v>
      </c>
      <c r="H5487" s="1399">
        <v>68232.81</v>
      </c>
      <c r="J5487" s="1399">
        <v>68232.81</v>
      </c>
    </row>
    <row r="5488" spans="2:12">
      <c r="B5488" s="1297"/>
      <c r="C5488" s="1297"/>
      <c r="D5488" s="1297"/>
      <c r="E5488" s="1297" t="s">
        <v>1037</v>
      </c>
      <c r="H5488" s="1399">
        <v>12200</v>
      </c>
      <c r="J5488" s="1399">
        <v>12200</v>
      </c>
    </row>
    <row r="5489" spans="5:10" s="1297" customFormat="1">
      <c r="E5489" s="1297" t="s">
        <v>1039</v>
      </c>
      <c r="F5489" s="1399"/>
      <c r="G5489" s="1399"/>
      <c r="H5489" s="1399">
        <v>28205.23</v>
      </c>
      <c r="I5489" s="1399"/>
      <c r="J5489" s="1399">
        <v>28205.23</v>
      </c>
    </row>
    <row r="5490" spans="5:10" s="1297" customFormat="1">
      <c r="E5490" s="1297" t="s">
        <v>1040</v>
      </c>
      <c r="F5490" s="1399"/>
      <c r="G5490" s="1399"/>
      <c r="H5490" s="1399">
        <v>290859.64999999997</v>
      </c>
      <c r="I5490" s="1399"/>
      <c r="J5490" s="1399">
        <v>290859.64999999997</v>
      </c>
    </row>
    <row r="5491" spans="5:10" s="1297" customFormat="1">
      <c r="E5491" s="1297" t="s">
        <v>1041</v>
      </c>
      <c r="F5491" s="1399"/>
      <c r="G5491" s="1399"/>
      <c r="H5491" s="1399">
        <v>50864.479999999996</v>
      </c>
      <c r="I5491" s="1399"/>
      <c r="J5491" s="1399">
        <v>50864.479999999996</v>
      </c>
    </row>
    <row r="5492" spans="5:10" s="1297" customFormat="1">
      <c r="E5492" s="1297" t="s">
        <v>1042</v>
      </c>
      <c r="F5492" s="1399"/>
      <c r="G5492" s="1399"/>
      <c r="H5492" s="1399">
        <v>53151.51999999999</v>
      </c>
      <c r="I5492" s="1399"/>
      <c r="J5492" s="1399">
        <v>53151.51999999999</v>
      </c>
    </row>
    <row r="5493" spans="5:10" s="1297" customFormat="1">
      <c r="E5493" s="1297" t="s">
        <v>954</v>
      </c>
      <c r="F5493" s="1399"/>
      <c r="G5493" s="1399"/>
      <c r="H5493" s="1399">
        <v>49787.48</v>
      </c>
      <c r="I5493" s="1399"/>
      <c r="J5493" s="1399">
        <v>49787.48</v>
      </c>
    </row>
    <row r="5494" spans="5:10" s="1297" customFormat="1">
      <c r="E5494" s="1297" t="s">
        <v>986</v>
      </c>
      <c r="F5494" s="1399"/>
      <c r="G5494" s="1399"/>
      <c r="H5494" s="1399">
        <v>145395.15</v>
      </c>
      <c r="I5494" s="1399"/>
      <c r="J5494" s="1399">
        <v>145395.15</v>
      </c>
    </row>
    <row r="5495" spans="5:10" s="1297" customFormat="1">
      <c r="E5495" s="1297" t="s">
        <v>996</v>
      </c>
      <c r="F5495" s="1399"/>
      <c r="G5495" s="1399"/>
      <c r="H5495" s="1399">
        <v>4094.75</v>
      </c>
      <c r="I5495" s="1399"/>
      <c r="J5495" s="1399">
        <v>4094.75</v>
      </c>
    </row>
    <row r="5496" spans="5:10" s="1297" customFormat="1">
      <c r="E5496" s="1297" t="s">
        <v>1044</v>
      </c>
      <c r="F5496" s="1409">
        <v>58563.07</v>
      </c>
      <c r="G5496" s="1399"/>
      <c r="H5496" s="1399"/>
      <c r="I5496" s="1399"/>
      <c r="J5496" s="1399">
        <v>58563.07</v>
      </c>
    </row>
    <row r="5497" spans="5:10" s="1297" customFormat="1">
      <c r="E5497" s="1297" t="s">
        <v>1045</v>
      </c>
      <c r="F5497" s="1399"/>
      <c r="G5497" s="1399"/>
      <c r="H5497" s="1399">
        <v>289766.50999999989</v>
      </c>
      <c r="I5497" s="1399"/>
      <c r="J5497" s="1399">
        <v>289766.50999999989</v>
      </c>
    </row>
    <row r="5498" spans="5:10" s="1297" customFormat="1">
      <c r="E5498" s="1297" t="s">
        <v>1046</v>
      </c>
      <c r="F5498" s="1399"/>
      <c r="G5498" s="1399"/>
      <c r="H5498" s="1399"/>
      <c r="I5498" s="1399">
        <v>22797799</v>
      </c>
      <c r="J5498" s="1399">
        <v>22797799</v>
      </c>
    </row>
    <row r="5499" spans="5:10" s="1297" customFormat="1">
      <c r="E5499" s="1297" t="s">
        <v>1128</v>
      </c>
      <c r="F5499" s="1399"/>
      <c r="G5499" s="1399"/>
      <c r="H5499" s="1399"/>
      <c r="I5499" s="1399">
        <v>1945760</v>
      </c>
      <c r="J5499" s="1399">
        <v>1945760</v>
      </c>
    </row>
    <row r="5500" spans="5:10" s="1297" customFormat="1">
      <c r="E5500" s="1297" t="s">
        <v>1129</v>
      </c>
      <c r="F5500" s="1399"/>
      <c r="G5500" s="1399"/>
      <c r="H5500" s="1399"/>
      <c r="I5500" s="1399">
        <v>-3306126</v>
      </c>
      <c r="J5500" s="1399">
        <v>-3306126</v>
      </c>
    </row>
    <row r="5501" spans="5:10" s="1297" customFormat="1">
      <c r="E5501" s="1297" t="s">
        <v>1047</v>
      </c>
      <c r="F5501" s="1399"/>
      <c r="G5501" s="1399"/>
      <c r="H5501" s="1399"/>
      <c r="I5501" s="1399">
        <v>732077</v>
      </c>
      <c r="J5501" s="1399">
        <v>732077</v>
      </c>
    </row>
    <row r="5502" spans="5:10" s="1297" customFormat="1">
      <c r="E5502" s="1297" t="s">
        <v>1048</v>
      </c>
      <c r="F5502" s="1399"/>
      <c r="G5502" s="1399"/>
      <c r="H5502" s="1399"/>
      <c r="I5502" s="1399">
        <v>-3028075</v>
      </c>
      <c r="J5502" s="1399">
        <v>-3028075</v>
      </c>
    </row>
    <row r="5503" spans="5:10" s="1297" customFormat="1">
      <c r="E5503" s="1297" t="s">
        <v>932</v>
      </c>
      <c r="F5503" s="1399"/>
      <c r="G5503" s="1399"/>
      <c r="H5503" s="1399"/>
      <c r="I5503" s="1399">
        <v>2161026</v>
      </c>
      <c r="J5503" s="1399">
        <v>2161026</v>
      </c>
    </row>
    <row r="5504" spans="5:10" s="1297" customFormat="1">
      <c r="E5504" s="1404" t="s">
        <v>955</v>
      </c>
      <c r="F5504" s="1405"/>
      <c r="G5504" s="1405"/>
      <c r="H5504" s="1405"/>
      <c r="I5504" s="1405">
        <v>541300.47999999998</v>
      </c>
      <c r="J5504" s="1405">
        <v>541300.47999999998</v>
      </c>
    </row>
    <row r="5505" spans="2:12">
      <c r="B5505" s="1297"/>
      <c r="C5505" s="1297"/>
      <c r="D5505" s="1297"/>
      <c r="E5505" s="1297" t="s">
        <v>934</v>
      </c>
      <c r="I5505" s="1399">
        <v>78090</v>
      </c>
      <c r="J5505" s="1399">
        <v>78090</v>
      </c>
    </row>
    <row r="5506" spans="2:12">
      <c r="B5506" s="1297"/>
      <c r="C5506" s="1297"/>
      <c r="D5506" s="1297"/>
      <c r="E5506" s="1297" t="s">
        <v>935</v>
      </c>
      <c r="I5506" s="1399">
        <v>135762.71</v>
      </c>
      <c r="J5506" s="1399">
        <v>135762.71</v>
      </c>
    </row>
    <row r="5507" spans="2:12">
      <c r="B5507" s="1297"/>
      <c r="C5507" s="1297"/>
      <c r="D5507" s="1297"/>
      <c r="E5507" s="1297" t="s">
        <v>936</v>
      </c>
      <c r="I5507" s="1399">
        <v>86137.03</v>
      </c>
      <c r="J5507" s="1399">
        <v>86137.03</v>
      </c>
    </row>
    <row r="5508" spans="2:12">
      <c r="B5508" s="1297"/>
      <c r="C5508" s="1297"/>
      <c r="D5508" s="1297"/>
      <c r="E5508" s="1297" t="s">
        <v>938</v>
      </c>
      <c r="I5508" s="1399">
        <v>29758</v>
      </c>
      <c r="J5508" s="1399">
        <v>29758</v>
      </c>
    </row>
    <row r="5509" spans="2:12">
      <c r="B5509" s="1297"/>
      <c r="C5509" s="1297"/>
      <c r="D5509" s="1297"/>
      <c r="E5509" s="1297" t="s">
        <v>1131</v>
      </c>
      <c r="F5509" s="1399">
        <v>140583.64000000001</v>
      </c>
      <c r="J5509" s="1399">
        <v>140583.64000000001</v>
      </c>
    </row>
    <row r="5510" spans="2:12">
      <c r="B5510" s="1297"/>
      <c r="C5510" s="1297"/>
      <c r="D5510" s="1297"/>
      <c r="E5510" s="1297" t="s">
        <v>940</v>
      </c>
      <c r="F5510" s="1399">
        <v>1301968.7400000002</v>
      </c>
      <c r="J5510" s="1399">
        <v>1301968.7400000002</v>
      </c>
    </row>
    <row r="5511" spans="2:12">
      <c r="B5511" s="1297"/>
      <c r="C5511" s="1297"/>
      <c r="D5511" s="1297"/>
      <c r="E5511" s="1297" t="s">
        <v>941</v>
      </c>
      <c r="F5511" s="1399">
        <v>524278.19000000006</v>
      </c>
      <c r="J5511" s="1399">
        <v>524278.19000000006</v>
      </c>
    </row>
    <row r="5512" spans="2:12">
      <c r="B5512" s="1297"/>
      <c r="C5512" s="1297"/>
      <c r="D5512" s="1297"/>
      <c r="E5512" s="1297" t="s">
        <v>943</v>
      </c>
      <c r="F5512" s="1399">
        <v>3669.66</v>
      </c>
      <c r="J5512" s="1399">
        <v>3669.66</v>
      </c>
    </row>
    <row r="5513" spans="2:12">
      <c r="B5513" s="1297"/>
      <c r="C5513" s="1297"/>
      <c r="D5513" s="1297"/>
      <c r="E5513" s="1297" t="s">
        <v>944</v>
      </c>
      <c r="F5513" s="1399">
        <v>3054115.8899999992</v>
      </c>
      <c r="J5513" s="1399">
        <v>3054115.8899999992</v>
      </c>
    </row>
    <row r="5514" spans="2:12">
      <c r="B5514" s="1297"/>
      <c r="C5514" s="1297"/>
      <c r="D5514" s="1297"/>
      <c r="E5514" s="1297" t="s">
        <v>945</v>
      </c>
      <c r="F5514" s="1399">
        <v>1813408.55</v>
      </c>
      <c r="J5514" s="1399">
        <v>1813408.55</v>
      </c>
    </row>
    <row r="5515" spans="2:12">
      <c r="B5515" s="1297"/>
      <c r="C5515" s="1297"/>
      <c r="D5515" s="1297"/>
      <c r="E5515" s="1297" t="s">
        <v>946</v>
      </c>
      <c r="F5515" s="1399">
        <v>208364.2</v>
      </c>
      <c r="J5515" s="1399">
        <v>208364.2</v>
      </c>
    </row>
    <row r="5516" spans="2:12">
      <c r="B5516" s="1297"/>
      <c r="C5516" s="1297"/>
      <c r="D5516" s="1297"/>
      <c r="E5516" s="1297" t="s">
        <v>947</v>
      </c>
      <c r="F5516" s="1399">
        <v>73218.44</v>
      </c>
      <c r="J5516" s="1399">
        <v>73218.44</v>
      </c>
    </row>
    <row r="5517" spans="2:12">
      <c r="B5517" s="1297"/>
      <c r="C5517" s="1297"/>
      <c r="D5517" s="1297"/>
      <c r="E5517" s="1404" t="s">
        <v>948</v>
      </c>
      <c r="F5517" s="1405"/>
      <c r="G5517" s="1405"/>
      <c r="H5517" s="1405">
        <v>42772.97</v>
      </c>
      <c r="I5517" s="1405"/>
      <c r="J5517" s="1405">
        <v>42772.97</v>
      </c>
    </row>
    <row r="5518" spans="2:12">
      <c r="B5518" s="1297"/>
      <c r="C5518" s="1297"/>
      <c r="D5518" s="1297"/>
      <c r="E5518" s="1297" t="s">
        <v>1118</v>
      </c>
      <c r="H5518" s="1399">
        <v>219.51</v>
      </c>
      <c r="J5518" s="1399">
        <v>219.51</v>
      </c>
    </row>
    <row r="5519" spans="2:12">
      <c r="B5519" s="1297"/>
      <c r="C5519" s="1297"/>
      <c r="D5519" s="1400" t="s">
        <v>1388</v>
      </c>
      <c r="E5519" s="1400"/>
      <c r="F5519" s="1401">
        <f>SUM(F5479:F5518)</f>
        <v>7178170.3799999999</v>
      </c>
      <c r="G5519" s="1401">
        <f>SUM(G5479:G5518)</f>
        <v>12457560.35</v>
      </c>
      <c r="H5519" s="1401">
        <f>SUM(H5479:H5518)-H5517</f>
        <v>1336090.3999999997</v>
      </c>
      <c r="I5519" s="1401">
        <f>SUM(I5479:I5518)-I5504</f>
        <v>21632208.740000002</v>
      </c>
      <c r="J5519" s="1401">
        <f>SUM(J5479:J5518)</f>
        <v>43188103.319999993</v>
      </c>
      <c r="K5519" s="1401">
        <f>SUM(F5519:I5519)</f>
        <v>42604029.870000005</v>
      </c>
      <c r="L5519" s="1408">
        <f>K5519/C5479</f>
        <v>9576.0912272420774</v>
      </c>
    </row>
    <row r="5520" spans="2:12">
      <c r="B5520" s="1297" t="s">
        <v>1389</v>
      </c>
      <c r="C5520" s="1297">
        <v>8863</v>
      </c>
      <c r="D5520" s="1297" t="s">
        <v>1390</v>
      </c>
      <c r="E5520" s="1297" t="s">
        <v>906</v>
      </c>
      <c r="G5520" s="1399">
        <v>21009162.129999999</v>
      </c>
      <c r="J5520" s="1399">
        <v>21009162.129999999</v>
      </c>
    </row>
    <row r="5521" spans="5:10" s="1297" customFormat="1">
      <c r="E5521" s="1297" t="s">
        <v>952</v>
      </c>
      <c r="F5521" s="1399"/>
      <c r="G5521" s="1399">
        <v>295910.33</v>
      </c>
      <c r="H5521" s="1399"/>
      <c r="I5521" s="1399"/>
      <c r="J5521" s="1399">
        <v>295910.33</v>
      </c>
    </row>
    <row r="5522" spans="5:10" s="1297" customFormat="1">
      <c r="E5522" s="1297" t="s">
        <v>907</v>
      </c>
      <c r="F5522" s="1399"/>
      <c r="G5522" s="1399">
        <v>4670277.97</v>
      </c>
      <c r="H5522" s="1399"/>
      <c r="I5522" s="1399"/>
      <c r="J5522" s="1399">
        <v>4670277.97</v>
      </c>
    </row>
    <row r="5523" spans="5:10" s="1297" customFormat="1">
      <c r="E5523" s="1297" t="s">
        <v>908</v>
      </c>
      <c r="F5523" s="1399"/>
      <c r="G5523" s="1399">
        <v>568963.83999999997</v>
      </c>
      <c r="H5523" s="1399"/>
      <c r="I5523" s="1399"/>
      <c r="J5523" s="1399">
        <v>568963.83999999997</v>
      </c>
    </row>
    <row r="5524" spans="5:10" s="1297" customFormat="1">
      <c r="E5524" s="1297" t="s">
        <v>909</v>
      </c>
      <c r="F5524" s="1399"/>
      <c r="G5524" s="1399"/>
      <c r="H5524" s="1399">
        <v>155984.49</v>
      </c>
      <c r="I5524" s="1399"/>
      <c r="J5524" s="1399">
        <v>155984.49</v>
      </c>
    </row>
    <row r="5525" spans="5:10" s="1297" customFormat="1">
      <c r="E5525" s="1297" t="s">
        <v>910</v>
      </c>
      <c r="F5525" s="1399"/>
      <c r="G5525" s="1399"/>
      <c r="H5525" s="1399">
        <v>123985.03</v>
      </c>
      <c r="I5525" s="1399"/>
      <c r="J5525" s="1399">
        <v>123985.03</v>
      </c>
    </row>
    <row r="5526" spans="5:10" s="1297" customFormat="1">
      <c r="E5526" s="1297" t="s">
        <v>1034</v>
      </c>
      <c r="F5526" s="1399"/>
      <c r="G5526" s="1399"/>
      <c r="H5526" s="1399">
        <v>389245.95</v>
      </c>
      <c r="I5526" s="1399"/>
      <c r="J5526" s="1399">
        <v>389245.95</v>
      </c>
    </row>
    <row r="5527" spans="5:10" s="1297" customFormat="1">
      <c r="E5527" s="1297" t="s">
        <v>1035</v>
      </c>
      <c r="F5527" s="1399"/>
      <c r="G5527" s="1399"/>
      <c r="H5527" s="1399">
        <v>992025.85</v>
      </c>
      <c r="I5527" s="1399"/>
      <c r="J5527" s="1399">
        <v>992025.85</v>
      </c>
    </row>
    <row r="5528" spans="5:10" s="1297" customFormat="1">
      <c r="E5528" s="1297" t="s">
        <v>1036</v>
      </c>
      <c r="F5528" s="1399"/>
      <c r="G5528" s="1399"/>
      <c r="H5528" s="1399">
        <v>254037.93000000002</v>
      </c>
      <c r="I5528" s="1399"/>
      <c r="J5528" s="1399">
        <v>254037.93000000002</v>
      </c>
    </row>
    <row r="5529" spans="5:10" s="1297" customFormat="1">
      <c r="E5529" s="1297" t="s">
        <v>1038</v>
      </c>
      <c r="F5529" s="1399"/>
      <c r="G5529" s="1399"/>
      <c r="H5529" s="1399">
        <v>4900</v>
      </c>
      <c r="I5529" s="1399"/>
      <c r="J5529" s="1399">
        <v>4900</v>
      </c>
    </row>
    <row r="5530" spans="5:10" s="1297" customFormat="1">
      <c r="E5530" s="1297" t="s">
        <v>1039</v>
      </c>
      <c r="F5530" s="1399"/>
      <c r="G5530" s="1399"/>
      <c r="H5530" s="1399">
        <v>479425.86000000004</v>
      </c>
      <c r="I5530" s="1399"/>
      <c r="J5530" s="1399">
        <v>479425.86000000004</v>
      </c>
    </row>
    <row r="5531" spans="5:10" s="1297" customFormat="1">
      <c r="E5531" s="1297" t="s">
        <v>1040</v>
      </c>
      <c r="F5531" s="1399"/>
      <c r="G5531" s="1399"/>
      <c r="H5531" s="1399">
        <v>670180.19999999995</v>
      </c>
      <c r="I5531" s="1399"/>
      <c r="J5531" s="1399">
        <v>670180.19999999995</v>
      </c>
    </row>
    <row r="5532" spans="5:10" s="1297" customFormat="1">
      <c r="E5532" s="1297" t="s">
        <v>1041</v>
      </c>
      <c r="F5532" s="1399"/>
      <c r="G5532" s="1399"/>
      <c r="H5532" s="1399">
        <v>69754.2</v>
      </c>
      <c r="I5532" s="1399"/>
      <c r="J5532" s="1399">
        <v>69754.2</v>
      </c>
    </row>
    <row r="5533" spans="5:10" s="1297" customFormat="1">
      <c r="E5533" s="1297" t="s">
        <v>1042</v>
      </c>
      <c r="F5533" s="1399"/>
      <c r="G5533" s="1399"/>
      <c r="H5533" s="1399">
        <v>134998.72</v>
      </c>
      <c r="I5533" s="1399"/>
      <c r="J5533" s="1399">
        <v>134998.72</v>
      </c>
    </row>
    <row r="5534" spans="5:10" s="1297" customFormat="1">
      <c r="E5534" s="1297" t="s">
        <v>1044</v>
      </c>
      <c r="F5534" s="1399">
        <v>120168</v>
      </c>
      <c r="G5534" s="1399"/>
      <c r="H5534" s="1399"/>
      <c r="I5534" s="1399"/>
      <c r="J5534" s="1399">
        <v>120168</v>
      </c>
    </row>
    <row r="5535" spans="5:10" s="1297" customFormat="1">
      <c r="E5535" s="1297" t="s">
        <v>1045</v>
      </c>
      <c r="F5535" s="1399"/>
      <c r="G5535" s="1399"/>
      <c r="H5535" s="1399">
        <v>1923095.3600000003</v>
      </c>
      <c r="I5535" s="1399"/>
      <c r="J5535" s="1399">
        <v>1923095.3600000003</v>
      </c>
    </row>
    <row r="5536" spans="5:10" s="1297" customFormat="1">
      <c r="E5536" s="1297" t="s">
        <v>1046</v>
      </c>
      <c r="F5536" s="1399"/>
      <c r="G5536" s="1399"/>
      <c r="H5536" s="1399"/>
      <c r="I5536" s="1399">
        <v>46472244</v>
      </c>
      <c r="J5536" s="1399">
        <v>46472244</v>
      </c>
    </row>
    <row r="5537" spans="5:10" s="1297" customFormat="1">
      <c r="E5537" s="1297" t="s">
        <v>1047</v>
      </c>
      <c r="F5537" s="1399"/>
      <c r="G5537" s="1399"/>
      <c r="H5537" s="1399"/>
      <c r="I5537" s="1399">
        <v>1132668</v>
      </c>
      <c r="J5537" s="1399">
        <v>1132668</v>
      </c>
    </row>
    <row r="5538" spans="5:10" s="1297" customFormat="1">
      <c r="E5538" s="1297" t="s">
        <v>1048</v>
      </c>
      <c r="F5538" s="1399"/>
      <c r="G5538" s="1399"/>
      <c r="H5538" s="1399"/>
      <c r="I5538" s="1399">
        <v>-5921561</v>
      </c>
      <c r="J5538" s="1399">
        <v>-5921561</v>
      </c>
    </row>
    <row r="5539" spans="5:10" s="1297" customFormat="1">
      <c r="E5539" s="1297" t="s">
        <v>932</v>
      </c>
      <c r="F5539" s="1399"/>
      <c r="G5539" s="1399"/>
      <c r="H5539" s="1399"/>
      <c r="I5539" s="1399">
        <v>6922958</v>
      </c>
      <c r="J5539" s="1399">
        <v>6922958</v>
      </c>
    </row>
    <row r="5540" spans="5:10" s="1297" customFormat="1">
      <c r="E5540" s="1404" t="s">
        <v>955</v>
      </c>
      <c r="F5540" s="1405"/>
      <c r="G5540" s="1405"/>
      <c r="H5540" s="1405"/>
      <c r="I5540" s="1405">
        <v>1281047.8700000001</v>
      </c>
      <c r="J5540" s="1405">
        <v>1281047.8700000001</v>
      </c>
    </row>
    <row r="5541" spans="5:10" s="1297" customFormat="1">
      <c r="E5541" s="1297" t="s">
        <v>934</v>
      </c>
      <c r="F5541" s="1399"/>
      <c r="G5541" s="1399"/>
      <c r="H5541" s="1399"/>
      <c r="I5541" s="1399">
        <v>152388</v>
      </c>
      <c r="J5541" s="1399">
        <v>152388</v>
      </c>
    </row>
    <row r="5542" spans="5:10" s="1297" customFormat="1">
      <c r="E5542" s="1297" t="s">
        <v>1130</v>
      </c>
      <c r="F5542" s="1399"/>
      <c r="G5542" s="1399"/>
      <c r="H5542" s="1399"/>
      <c r="I5542" s="1399">
        <v>234436.7</v>
      </c>
      <c r="J5542" s="1399">
        <v>234436.7</v>
      </c>
    </row>
    <row r="5543" spans="5:10" s="1297" customFormat="1">
      <c r="E5543" s="1297" t="s">
        <v>935</v>
      </c>
      <c r="F5543" s="1399"/>
      <c r="G5543" s="1399"/>
      <c r="H5543" s="1399"/>
      <c r="I5543" s="1399">
        <v>505641.43</v>
      </c>
      <c r="J5543" s="1399">
        <v>505641.43</v>
      </c>
    </row>
    <row r="5544" spans="5:10" s="1297" customFormat="1">
      <c r="E5544" s="1297" t="s">
        <v>936</v>
      </c>
      <c r="F5544" s="1399"/>
      <c r="G5544" s="1399"/>
      <c r="H5544" s="1399"/>
      <c r="I5544" s="1399">
        <v>171923.91</v>
      </c>
      <c r="J5544" s="1399">
        <v>171923.91</v>
      </c>
    </row>
    <row r="5545" spans="5:10" s="1297" customFormat="1">
      <c r="E5545" s="1297" t="s">
        <v>937</v>
      </c>
      <c r="F5545" s="1399"/>
      <c r="G5545" s="1399"/>
      <c r="H5545" s="1399"/>
      <c r="I5545" s="1399">
        <v>31608.61</v>
      </c>
      <c r="J5545" s="1399">
        <v>31608.61</v>
      </c>
    </row>
    <row r="5546" spans="5:10" s="1297" customFormat="1">
      <c r="E5546" s="1297" t="s">
        <v>938</v>
      </c>
      <c r="F5546" s="1399"/>
      <c r="G5546" s="1399"/>
      <c r="H5546" s="1399"/>
      <c r="I5546" s="1399">
        <v>54463</v>
      </c>
      <c r="J5546" s="1399">
        <v>54463</v>
      </c>
    </row>
    <row r="5547" spans="5:10" s="1297" customFormat="1">
      <c r="E5547" s="1297" t="s">
        <v>939</v>
      </c>
      <c r="F5547" s="1399"/>
      <c r="G5547" s="1399"/>
      <c r="H5547" s="1399"/>
      <c r="I5547" s="1399">
        <v>3000.72</v>
      </c>
      <c r="J5547" s="1399">
        <v>3000.72</v>
      </c>
    </row>
    <row r="5548" spans="5:10" s="1297" customFormat="1">
      <c r="E5548" s="1297" t="s">
        <v>1131</v>
      </c>
      <c r="F5548" s="1399">
        <v>126536.25</v>
      </c>
      <c r="G5548" s="1399"/>
      <c r="H5548" s="1399"/>
      <c r="I5548" s="1399"/>
      <c r="J5548" s="1399">
        <v>126536.25</v>
      </c>
    </row>
    <row r="5549" spans="5:10" s="1297" customFormat="1">
      <c r="E5549" s="1297" t="s">
        <v>940</v>
      </c>
      <c r="F5549" s="1399">
        <v>2393678.04</v>
      </c>
      <c r="G5549" s="1399"/>
      <c r="H5549" s="1399"/>
      <c r="I5549" s="1399"/>
      <c r="J5549" s="1399">
        <v>2393678.04</v>
      </c>
    </row>
    <row r="5550" spans="5:10" s="1297" customFormat="1">
      <c r="E5550" s="1297" t="s">
        <v>941</v>
      </c>
      <c r="F5550" s="1399">
        <v>978012.86</v>
      </c>
      <c r="G5550" s="1399"/>
      <c r="H5550" s="1399"/>
      <c r="I5550" s="1399"/>
      <c r="J5550" s="1399">
        <v>978012.86</v>
      </c>
    </row>
    <row r="5551" spans="5:10" s="1297" customFormat="1">
      <c r="E5551" s="1297" t="s">
        <v>943</v>
      </c>
      <c r="F5551" s="1399">
        <v>12868.6</v>
      </c>
      <c r="G5551" s="1399"/>
      <c r="H5551" s="1399"/>
      <c r="I5551" s="1399"/>
      <c r="J5551" s="1399">
        <v>12868.6</v>
      </c>
    </row>
    <row r="5552" spans="5:10" s="1297" customFormat="1">
      <c r="E5552" s="1297" t="s">
        <v>944</v>
      </c>
      <c r="F5552" s="1399">
        <v>5541245.3799999999</v>
      </c>
      <c r="G5552" s="1399"/>
      <c r="H5552" s="1399"/>
      <c r="I5552" s="1399"/>
      <c r="J5552" s="1399">
        <v>5541245.3799999999</v>
      </c>
    </row>
    <row r="5553" spans="2:12">
      <c r="B5553" s="1297"/>
      <c r="C5553" s="1297"/>
      <c r="D5553" s="1297"/>
      <c r="E5553" s="1297" t="s">
        <v>945</v>
      </c>
      <c r="F5553" s="1399">
        <v>5894575.6800000006</v>
      </c>
      <c r="J5553" s="1399">
        <v>5894575.6800000006</v>
      </c>
    </row>
    <row r="5554" spans="2:12">
      <c r="B5554" s="1297"/>
      <c r="C5554" s="1297"/>
      <c r="D5554" s="1297"/>
      <c r="E5554" s="1297" t="s">
        <v>978</v>
      </c>
      <c r="F5554" s="1399">
        <v>1200</v>
      </c>
      <c r="J5554" s="1399">
        <v>1200</v>
      </c>
    </row>
    <row r="5555" spans="2:12">
      <c r="B5555" s="1297"/>
      <c r="C5555" s="1297"/>
      <c r="D5555" s="1297"/>
      <c r="E5555" s="1297" t="s">
        <v>947</v>
      </c>
      <c r="F5555" s="1399">
        <v>259333.73</v>
      </c>
      <c r="J5555" s="1399">
        <v>259333.73</v>
      </c>
    </row>
    <row r="5556" spans="2:12">
      <c r="B5556" s="1297"/>
      <c r="C5556" s="1297"/>
      <c r="D5556" s="1297"/>
      <c r="E5556" s="1297" t="s">
        <v>1115</v>
      </c>
      <c r="F5556" s="1399">
        <v>99706.270000000019</v>
      </c>
      <c r="J5556" s="1399">
        <v>99706.270000000019</v>
      </c>
    </row>
    <row r="5557" spans="2:12">
      <c r="B5557" s="1297"/>
      <c r="C5557" s="1297"/>
      <c r="D5557" s="1297"/>
      <c r="E5557" s="1404" t="s">
        <v>948</v>
      </c>
      <c r="F5557" s="1405"/>
      <c r="G5557" s="1405"/>
      <c r="H5557" s="1405">
        <v>6666415.54</v>
      </c>
      <c r="I5557" s="1405"/>
      <c r="J5557" s="1405">
        <v>6666415.54</v>
      </c>
    </row>
    <row r="5558" spans="2:12">
      <c r="B5558" s="1297"/>
      <c r="C5558" s="1297"/>
      <c r="D5558" s="1400" t="s">
        <v>1391</v>
      </c>
      <c r="E5558" s="1400"/>
      <c r="F5558" s="1401">
        <f>SUM(F5520:F5557)</f>
        <v>15427324.809999999</v>
      </c>
      <c r="G5558" s="1401">
        <f>SUM(G5520:G5557)</f>
        <v>26544314.269999996</v>
      </c>
      <c r="H5558" s="1401">
        <f>SUM(H5520:H5557)-H5557</f>
        <v>5197633.5899999989</v>
      </c>
      <c r="I5558" s="1401">
        <f>SUM(I5520:I5557)-I5540</f>
        <v>49759771.369999997</v>
      </c>
      <c r="J5558" s="1401">
        <f>SUM(J5520:J5557)</f>
        <v>104876507.45</v>
      </c>
      <c r="K5558" s="1401">
        <f>SUM(F5558:I5558)</f>
        <v>96929044.039999992</v>
      </c>
      <c r="L5558" s="1408">
        <f>K5558/C5520</f>
        <v>10936.369631050433</v>
      </c>
    </row>
    <row r="5559" spans="2:12">
      <c r="B5559" s="1297" t="s">
        <v>1392</v>
      </c>
      <c r="C5559" s="1297">
        <v>12712</v>
      </c>
      <c r="D5559" s="1297" t="s">
        <v>1578</v>
      </c>
      <c r="E5559" s="1297" t="s">
        <v>906</v>
      </c>
      <c r="G5559" s="1399">
        <v>47193707.059999995</v>
      </c>
      <c r="J5559" s="1399">
        <v>47193707.059999995</v>
      </c>
    </row>
    <row r="5560" spans="2:12">
      <c r="B5560" s="1297"/>
      <c r="C5560" s="1297"/>
      <c r="D5560" s="1297"/>
      <c r="E5560" s="1297" t="s">
        <v>952</v>
      </c>
      <c r="G5560" s="1399">
        <v>583043.81999999995</v>
      </c>
      <c r="J5560" s="1399">
        <v>583043.81999999995</v>
      </c>
    </row>
    <row r="5561" spans="2:12">
      <c r="B5561" s="1297"/>
      <c r="C5561" s="1297"/>
      <c r="D5561" s="1297"/>
      <c r="E5561" s="1297" t="s">
        <v>907</v>
      </c>
      <c r="G5561" s="1399">
        <v>7783471.8899999997</v>
      </c>
      <c r="J5561" s="1399">
        <v>7783471.8899999997</v>
      </c>
    </row>
    <row r="5562" spans="2:12">
      <c r="B5562" s="1297"/>
      <c r="C5562" s="1297"/>
      <c r="D5562" s="1297"/>
      <c r="E5562" s="1297" t="s">
        <v>1145</v>
      </c>
      <c r="G5562" s="1399">
        <v>1041649.8</v>
      </c>
      <c r="J5562" s="1399">
        <v>1041649.8</v>
      </c>
    </row>
    <row r="5563" spans="2:12">
      <c r="B5563" s="1297"/>
      <c r="C5563" s="1297"/>
      <c r="D5563" s="1297"/>
      <c r="E5563" s="1297" t="s">
        <v>908</v>
      </c>
      <c r="G5563" s="1399">
        <v>10467.200000000001</v>
      </c>
      <c r="J5563" s="1399">
        <v>10467.200000000001</v>
      </c>
    </row>
    <row r="5564" spans="2:12">
      <c r="B5564" s="1297"/>
      <c r="C5564" s="1297"/>
      <c r="D5564" s="1297"/>
      <c r="E5564" s="1297" t="s">
        <v>909</v>
      </c>
      <c r="H5564" s="1399">
        <v>102.25</v>
      </c>
      <c r="J5564" s="1399">
        <v>102.25</v>
      </c>
    </row>
    <row r="5565" spans="2:12">
      <c r="B5565" s="1297"/>
      <c r="C5565" s="1297"/>
      <c r="D5565" s="1297"/>
      <c r="E5565" s="1297" t="s">
        <v>910</v>
      </c>
      <c r="H5565" s="1399">
        <v>55627.68</v>
      </c>
      <c r="J5565" s="1399">
        <v>55627.68</v>
      </c>
    </row>
    <row r="5566" spans="2:12">
      <c r="B5566" s="1297"/>
      <c r="C5566" s="1297"/>
      <c r="D5566" s="1297"/>
      <c r="E5566" s="1297" t="s">
        <v>1034</v>
      </c>
      <c r="H5566" s="1399">
        <v>132044.72</v>
      </c>
      <c r="J5566" s="1399">
        <v>132044.72</v>
      </c>
    </row>
    <row r="5567" spans="2:12">
      <c r="B5567" s="1297"/>
      <c r="C5567" s="1297"/>
      <c r="D5567" s="1297"/>
      <c r="E5567" s="1297" t="s">
        <v>1035</v>
      </c>
      <c r="H5567" s="1399">
        <v>1827423.54</v>
      </c>
      <c r="J5567" s="1399">
        <v>1827423.54</v>
      </c>
    </row>
    <row r="5568" spans="2:12">
      <c r="B5568" s="1297"/>
      <c r="C5568" s="1297"/>
      <c r="D5568" s="1297"/>
      <c r="E5568" s="1297" t="s">
        <v>1036</v>
      </c>
      <c r="H5568" s="1399">
        <v>368192.01</v>
      </c>
      <c r="J5568" s="1399">
        <v>368192.01</v>
      </c>
    </row>
    <row r="5569" spans="5:10" s="1297" customFormat="1">
      <c r="E5569" s="1297" t="s">
        <v>1038</v>
      </c>
      <c r="F5569" s="1399"/>
      <c r="G5569" s="1399"/>
      <c r="H5569" s="1399">
        <v>275</v>
      </c>
      <c r="I5569" s="1399"/>
      <c r="J5569" s="1399">
        <v>275</v>
      </c>
    </row>
    <row r="5570" spans="5:10" s="1297" customFormat="1">
      <c r="E5570" s="1297" t="s">
        <v>1039</v>
      </c>
      <c r="F5570" s="1399"/>
      <c r="G5570" s="1399"/>
      <c r="H5570" s="1399">
        <v>149263.1</v>
      </c>
      <c r="I5570" s="1399"/>
      <c r="J5570" s="1399">
        <v>149263.1</v>
      </c>
    </row>
    <row r="5571" spans="5:10" s="1297" customFormat="1">
      <c r="E5571" s="1297" t="s">
        <v>1040</v>
      </c>
      <c r="F5571" s="1399"/>
      <c r="G5571" s="1399"/>
      <c r="H5571" s="1399">
        <v>1237588.19</v>
      </c>
      <c r="I5571" s="1399"/>
      <c r="J5571" s="1399">
        <v>1237588.19</v>
      </c>
    </row>
    <row r="5572" spans="5:10" s="1297" customFormat="1">
      <c r="E5572" s="1297" t="s">
        <v>1041</v>
      </c>
      <c r="F5572" s="1399"/>
      <c r="G5572" s="1399"/>
      <c r="H5572" s="1399">
        <v>59673.69</v>
      </c>
      <c r="I5572" s="1399"/>
      <c r="J5572" s="1399">
        <v>59673.69</v>
      </c>
    </row>
    <row r="5573" spans="5:10" s="1297" customFormat="1">
      <c r="E5573" s="1297" t="s">
        <v>1042</v>
      </c>
      <c r="F5573" s="1399"/>
      <c r="G5573" s="1399"/>
      <c r="H5573" s="1399">
        <v>84889.91</v>
      </c>
      <c r="I5573" s="1399"/>
      <c r="J5573" s="1399">
        <v>84889.91</v>
      </c>
    </row>
    <row r="5574" spans="5:10" s="1297" customFormat="1">
      <c r="E5574" s="1297" t="s">
        <v>1043</v>
      </c>
      <c r="F5574" s="1399"/>
      <c r="G5574" s="1399"/>
      <c r="H5574" s="1399">
        <v>210153.40000000002</v>
      </c>
      <c r="I5574" s="1399"/>
      <c r="J5574" s="1399">
        <v>210153.40000000002</v>
      </c>
    </row>
    <row r="5575" spans="5:10" s="1297" customFormat="1">
      <c r="E5575" s="1297" t="s">
        <v>986</v>
      </c>
      <c r="F5575" s="1399"/>
      <c r="G5575" s="1399"/>
      <c r="H5575" s="1399">
        <v>3200</v>
      </c>
      <c r="I5575" s="1399"/>
      <c r="J5575" s="1399">
        <v>3200</v>
      </c>
    </row>
    <row r="5576" spans="5:10" s="1297" customFormat="1">
      <c r="E5576" s="1297" t="s">
        <v>996</v>
      </c>
      <c r="F5576" s="1399"/>
      <c r="G5576" s="1399"/>
      <c r="H5576" s="1399">
        <v>74122.55</v>
      </c>
      <c r="I5576" s="1399"/>
      <c r="J5576" s="1399">
        <v>74122.55</v>
      </c>
    </row>
    <row r="5577" spans="5:10" s="1297" customFormat="1">
      <c r="E5577" s="1297" t="s">
        <v>1004</v>
      </c>
      <c r="F5577" s="1399"/>
      <c r="G5577" s="1399"/>
      <c r="H5577" s="1399">
        <v>-68949.53</v>
      </c>
      <c r="I5577" s="1399"/>
      <c r="J5577" s="1399">
        <v>-68949.53</v>
      </c>
    </row>
    <row r="5578" spans="5:10" s="1297" customFormat="1">
      <c r="E5578" s="1297" t="s">
        <v>1005</v>
      </c>
      <c r="F5578" s="1399"/>
      <c r="G5578" s="1399"/>
      <c r="H5578" s="1399">
        <v>5711.7</v>
      </c>
      <c r="I5578" s="1399"/>
      <c r="J5578" s="1399">
        <v>5711.7</v>
      </c>
    </row>
    <row r="5579" spans="5:10" s="1297" customFormat="1">
      <c r="E5579" s="1297" t="s">
        <v>1044</v>
      </c>
      <c r="F5579" s="1399">
        <v>330247.42</v>
      </c>
      <c r="G5579" s="1399"/>
      <c r="H5579" s="1399"/>
      <c r="I5579" s="1399"/>
      <c r="J5579" s="1399">
        <v>330247.42</v>
      </c>
    </row>
    <row r="5580" spans="5:10" s="1297" customFormat="1">
      <c r="E5580" s="1297" t="s">
        <v>1045</v>
      </c>
      <c r="F5580" s="1399"/>
      <c r="G5580" s="1399"/>
      <c r="H5580" s="1399">
        <v>232578.6</v>
      </c>
      <c r="I5580" s="1399"/>
      <c r="J5580" s="1399">
        <v>232578.6</v>
      </c>
    </row>
    <row r="5581" spans="5:10" s="1297" customFormat="1">
      <c r="E5581" s="1297" t="s">
        <v>1046</v>
      </c>
      <c r="F5581" s="1399"/>
      <c r="G5581" s="1399"/>
      <c r="H5581" s="1399"/>
      <c r="I5581" s="1399">
        <v>64705465</v>
      </c>
      <c r="J5581" s="1399">
        <v>64705465</v>
      </c>
    </row>
    <row r="5582" spans="5:10" s="1297" customFormat="1">
      <c r="E5582" s="1297" t="s">
        <v>1128</v>
      </c>
      <c r="F5582" s="1399"/>
      <c r="G5582" s="1399"/>
      <c r="H5582" s="1399"/>
      <c r="I5582" s="1399">
        <v>5884220</v>
      </c>
      <c r="J5582" s="1399">
        <v>5884220</v>
      </c>
    </row>
    <row r="5583" spans="5:10" s="1297" customFormat="1">
      <c r="E5583" s="1297" t="s">
        <v>1129</v>
      </c>
      <c r="F5583" s="1399"/>
      <c r="G5583" s="1399"/>
      <c r="H5583" s="1399"/>
      <c r="I5583" s="1399">
        <v>-8613312</v>
      </c>
      <c r="J5583" s="1399">
        <v>-8613312</v>
      </c>
    </row>
    <row r="5584" spans="5:10" s="1297" customFormat="1">
      <c r="E5584" s="1297" t="s">
        <v>1047</v>
      </c>
      <c r="F5584" s="1399"/>
      <c r="G5584" s="1399"/>
      <c r="H5584" s="1399"/>
      <c r="I5584" s="1399">
        <v>1485555</v>
      </c>
      <c r="J5584" s="1399">
        <v>1485555</v>
      </c>
    </row>
    <row r="5585" spans="5:10" s="1297" customFormat="1">
      <c r="E5585" s="1297" t="s">
        <v>1048</v>
      </c>
      <c r="F5585" s="1399"/>
      <c r="G5585" s="1399"/>
      <c r="H5585" s="1399"/>
      <c r="I5585" s="1399">
        <v>-13159735</v>
      </c>
      <c r="J5585" s="1399">
        <v>-13159735</v>
      </c>
    </row>
    <row r="5586" spans="5:10" s="1297" customFormat="1">
      <c r="E5586" s="1404" t="s">
        <v>955</v>
      </c>
      <c r="F5586" s="1405"/>
      <c r="G5586" s="1405"/>
      <c r="H5586" s="1405"/>
      <c r="I5586" s="1405">
        <v>1454047.92</v>
      </c>
      <c r="J5586" s="1405">
        <v>1454047.92</v>
      </c>
    </row>
    <row r="5587" spans="5:10" s="1297" customFormat="1">
      <c r="E5587" s="1297" t="s">
        <v>934</v>
      </c>
      <c r="F5587" s="1399"/>
      <c r="G5587" s="1399"/>
      <c r="H5587" s="1399"/>
      <c r="I5587" s="1399">
        <v>164356</v>
      </c>
      <c r="J5587" s="1399">
        <v>164356</v>
      </c>
    </row>
    <row r="5588" spans="5:10" s="1297" customFormat="1">
      <c r="E5588" s="1297" t="s">
        <v>1130</v>
      </c>
      <c r="F5588" s="1399"/>
      <c r="G5588" s="1399"/>
      <c r="H5588" s="1399"/>
      <c r="I5588" s="1399">
        <v>1099581.8</v>
      </c>
      <c r="J5588" s="1399">
        <v>1099581.8</v>
      </c>
    </row>
    <row r="5589" spans="5:10" s="1297" customFormat="1">
      <c r="E5589" s="1297" t="s">
        <v>935</v>
      </c>
      <c r="F5589" s="1399"/>
      <c r="G5589" s="1399"/>
      <c r="H5589" s="1399"/>
      <c r="I5589" s="1399">
        <v>1088075.25</v>
      </c>
      <c r="J5589" s="1399">
        <v>1088075.25</v>
      </c>
    </row>
    <row r="5590" spans="5:10" s="1297" customFormat="1">
      <c r="E5590" s="1297" t="s">
        <v>936</v>
      </c>
      <c r="F5590" s="1399"/>
      <c r="G5590" s="1399"/>
      <c r="H5590" s="1399"/>
      <c r="I5590" s="1399">
        <v>184179.18</v>
      </c>
      <c r="J5590" s="1399">
        <v>184179.18</v>
      </c>
    </row>
    <row r="5591" spans="5:10" s="1297" customFormat="1">
      <c r="E5591" s="1297" t="s">
        <v>937</v>
      </c>
      <c r="F5591" s="1399"/>
      <c r="G5591" s="1399"/>
      <c r="H5591" s="1399"/>
      <c r="I5591" s="1399">
        <v>72579.990000000005</v>
      </c>
      <c r="J5591" s="1399">
        <v>72579.990000000005</v>
      </c>
    </row>
    <row r="5592" spans="5:10" s="1297" customFormat="1">
      <c r="E5592" s="1297" t="s">
        <v>938</v>
      </c>
      <c r="F5592" s="1399"/>
      <c r="G5592" s="1399"/>
      <c r="H5592" s="1399"/>
      <c r="I5592" s="1399">
        <v>62885</v>
      </c>
      <c r="J5592" s="1399">
        <v>62885</v>
      </c>
    </row>
    <row r="5593" spans="5:10" s="1297" customFormat="1">
      <c r="E5593" s="1297" t="s">
        <v>939</v>
      </c>
      <c r="F5593" s="1399"/>
      <c r="G5593" s="1399"/>
      <c r="H5593" s="1399"/>
      <c r="I5593" s="1399">
        <v>202841.52000000002</v>
      </c>
      <c r="J5593" s="1399">
        <v>202841.52000000002</v>
      </c>
    </row>
    <row r="5594" spans="5:10" s="1297" customFormat="1">
      <c r="E5594" s="1297" t="s">
        <v>1131</v>
      </c>
      <c r="F5594" s="1399">
        <v>813293.58</v>
      </c>
      <c r="G5594" s="1399"/>
      <c r="H5594" s="1399"/>
      <c r="I5594" s="1399"/>
      <c r="J5594" s="1399">
        <v>813293.58</v>
      </c>
    </row>
    <row r="5595" spans="5:10" s="1297" customFormat="1">
      <c r="E5595" s="1297" t="s">
        <v>940</v>
      </c>
      <c r="F5595" s="1399">
        <v>2336536.08</v>
      </c>
      <c r="G5595" s="1399"/>
      <c r="H5595" s="1399"/>
      <c r="I5595" s="1399"/>
      <c r="J5595" s="1399">
        <v>2336536.08</v>
      </c>
    </row>
    <row r="5596" spans="5:10" s="1297" customFormat="1">
      <c r="E5596" s="1297" t="s">
        <v>941</v>
      </c>
      <c r="F5596" s="1399">
        <v>669214.48</v>
      </c>
      <c r="G5596" s="1399"/>
      <c r="H5596" s="1399"/>
      <c r="I5596" s="1399"/>
      <c r="J5596" s="1399">
        <v>669214.48</v>
      </c>
    </row>
    <row r="5597" spans="5:10" s="1297" customFormat="1">
      <c r="E5597" s="1297" t="s">
        <v>943</v>
      </c>
      <c r="F5597" s="1399">
        <v>36464.83</v>
      </c>
      <c r="G5597" s="1399"/>
      <c r="H5597" s="1399"/>
      <c r="I5597" s="1399"/>
      <c r="J5597" s="1399">
        <v>36464.83</v>
      </c>
    </row>
    <row r="5598" spans="5:10" s="1297" customFormat="1">
      <c r="E5598" s="1297" t="s">
        <v>944</v>
      </c>
      <c r="F5598" s="1399">
        <v>7393670</v>
      </c>
      <c r="G5598" s="1399"/>
      <c r="H5598" s="1399"/>
      <c r="I5598" s="1399"/>
      <c r="J5598" s="1399">
        <v>7393670</v>
      </c>
    </row>
    <row r="5599" spans="5:10" s="1297" customFormat="1">
      <c r="E5599" s="1297" t="s">
        <v>945</v>
      </c>
      <c r="F5599" s="1399">
        <v>5384424.8199999994</v>
      </c>
      <c r="G5599" s="1399"/>
      <c r="H5599" s="1399"/>
      <c r="I5599" s="1399"/>
      <c r="J5599" s="1399">
        <v>5384424.8199999994</v>
      </c>
    </row>
    <row r="5600" spans="5:10" s="1297" customFormat="1">
      <c r="E5600" s="1297" t="s">
        <v>946</v>
      </c>
      <c r="F5600" s="1399">
        <v>65732.33</v>
      </c>
      <c r="G5600" s="1399"/>
      <c r="H5600" s="1399"/>
      <c r="I5600" s="1399"/>
      <c r="J5600" s="1399">
        <v>65732.33</v>
      </c>
    </row>
    <row r="5601" spans="2:12">
      <c r="B5601" s="1297"/>
      <c r="C5601" s="1297"/>
      <c r="D5601" s="1297"/>
      <c r="E5601" s="1297" t="s">
        <v>947</v>
      </c>
      <c r="F5601" s="1399">
        <v>531953.46</v>
      </c>
      <c r="J5601" s="1399">
        <v>531953.46</v>
      </c>
    </row>
    <row r="5602" spans="2:12">
      <c r="B5602" s="1297"/>
      <c r="C5602" s="1297"/>
      <c r="D5602" s="1297"/>
      <c r="E5602" s="1297" t="s">
        <v>1115</v>
      </c>
      <c r="F5602" s="1399">
        <v>280.75</v>
      </c>
      <c r="J5602" s="1399">
        <v>280.75</v>
      </c>
    </row>
    <row r="5603" spans="2:12">
      <c r="B5603" s="1297"/>
      <c r="C5603" s="1297"/>
      <c r="D5603" s="1297"/>
      <c r="E5603" s="1404" t="s">
        <v>948</v>
      </c>
      <c r="F5603" s="1405"/>
      <c r="G5603" s="1405"/>
      <c r="H5603" s="1405">
        <v>331340.88</v>
      </c>
      <c r="I5603" s="1405"/>
      <c r="J5603" s="1405">
        <v>331340.88</v>
      </c>
    </row>
    <row r="5604" spans="2:12">
      <c r="B5604" s="1297"/>
      <c r="C5604" s="1297"/>
      <c r="D5604" s="1297"/>
      <c r="E5604" s="1297" t="s">
        <v>956</v>
      </c>
      <c r="H5604" s="1399">
        <v>95992</v>
      </c>
      <c r="J5604" s="1399">
        <v>95992</v>
      </c>
    </row>
    <row r="5605" spans="2:12">
      <c r="B5605" s="1297"/>
      <c r="C5605" s="1297"/>
      <c r="D5605" s="1400" t="s">
        <v>1579</v>
      </c>
      <c r="E5605" s="1400"/>
      <c r="F5605" s="1401">
        <f>SUM(F5559:F5604)</f>
        <v>17561817.75</v>
      </c>
      <c r="G5605" s="1401">
        <f>SUM(G5559:G5604)</f>
        <v>56612339.769999996</v>
      </c>
      <c r="H5605" s="1401">
        <f>SUM(H5559:H5604)-H5603</f>
        <v>4467888.8100000005</v>
      </c>
      <c r="I5605" s="1401">
        <f>SUM(I5559:I5604)-I5586</f>
        <v>53176691.740000002</v>
      </c>
      <c r="J5605" s="1401">
        <f>SUM(J5559:J5604)</f>
        <v>133604126.86999996</v>
      </c>
      <c r="K5605" s="1401">
        <f>SUM(F5605:I5605)</f>
        <v>131818738.06999999</v>
      </c>
      <c r="L5605" s="1408">
        <f>K5605/C5559</f>
        <v>10369.630118785399</v>
      </c>
    </row>
    <row r="5606" spans="2:12">
      <c r="B5606" s="1297" t="s">
        <v>1580</v>
      </c>
      <c r="C5606" s="1297">
        <v>5637</v>
      </c>
      <c r="D5606" s="1297" t="s">
        <v>1581</v>
      </c>
      <c r="E5606" s="1297" t="s">
        <v>906</v>
      </c>
      <c r="G5606" s="1399">
        <v>11242022.18</v>
      </c>
      <c r="J5606" s="1399">
        <v>11242022.18</v>
      </c>
    </row>
    <row r="5607" spans="2:12">
      <c r="B5607" s="1297"/>
      <c r="C5607" s="1297"/>
      <c r="D5607" s="1297"/>
      <c r="E5607" s="1297" t="s">
        <v>952</v>
      </c>
      <c r="G5607" s="1399">
        <v>78616.81</v>
      </c>
      <c r="J5607" s="1399">
        <v>78616.81</v>
      </c>
    </row>
    <row r="5608" spans="2:12">
      <c r="B5608" s="1297"/>
      <c r="C5608" s="1297"/>
      <c r="D5608" s="1297"/>
      <c r="E5608" s="1297" t="s">
        <v>907</v>
      </c>
      <c r="G5608" s="1399">
        <v>6764782.6799999997</v>
      </c>
      <c r="J5608" s="1399">
        <v>6764782.6799999997</v>
      </c>
    </row>
    <row r="5609" spans="2:12">
      <c r="B5609" s="1297"/>
      <c r="C5609" s="1297"/>
      <c r="D5609" s="1297"/>
      <c r="E5609" s="1297" t="s">
        <v>908</v>
      </c>
      <c r="G5609" s="1399">
        <v>133184.76</v>
      </c>
      <c r="J5609" s="1399">
        <v>133184.76</v>
      </c>
    </row>
    <row r="5610" spans="2:12">
      <c r="B5610" s="1297"/>
      <c r="C5610" s="1297"/>
      <c r="D5610" s="1297"/>
      <c r="E5610" s="1297" t="s">
        <v>909</v>
      </c>
      <c r="H5610" s="1399">
        <v>37853.33</v>
      </c>
      <c r="J5610" s="1399">
        <v>37853.33</v>
      </c>
    </row>
    <row r="5611" spans="2:12">
      <c r="B5611" s="1297"/>
      <c r="C5611" s="1297"/>
      <c r="D5611" s="1297"/>
      <c r="E5611" s="1297" t="s">
        <v>910</v>
      </c>
      <c r="H5611" s="1399">
        <v>96989.55</v>
      </c>
      <c r="J5611" s="1399">
        <v>96989.55</v>
      </c>
    </row>
    <row r="5612" spans="2:12">
      <c r="B5612" s="1297"/>
      <c r="C5612" s="1297"/>
      <c r="D5612" s="1297"/>
      <c r="E5612" s="1297" t="s">
        <v>1034</v>
      </c>
      <c r="H5612" s="1399">
        <v>155018.70000000001</v>
      </c>
      <c r="J5612" s="1399">
        <v>155018.70000000001</v>
      </c>
    </row>
    <row r="5613" spans="2:12">
      <c r="B5613" s="1297"/>
      <c r="C5613" s="1297"/>
      <c r="D5613" s="1297"/>
      <c r="E5613" s="1297" t="s">
        <v>1035</v>
      </c>
      <c r="H5613" s="1399">
        <v>347961.51</v>
      </c>
      <c r="J5613" s="1399">
        <v>347961.51</v>
      </c>
    </row>
    <row r="5614" spans="2:12">
      <c r="B5614" s="1297"/>
      <c r="C5614" s="1297"/>
      <c r="D5614" s="1297"/>
      <c r="E5614" s="1297" t="s">
        <v>1036</v>
      </c>
      <c r="H5614" s="1399">
        <v>245409.86</v>
      </c>
      <c r="J5614" s="1399">
        <v>245409.86</v>
      </c>
    </row>
    <row r="5615" spans="2:12">
      <c r="B5615" s="1297"/>
      <c r="C5615" s="1297"/>
      <c r="D5615" s="1297"/>
      <c r="E5615" s="1297" t="s">
        <v>1037</v>
      </c>
      <c r="H5615" s="1399">
        <v>7920</v>
      </c>
      <c r="J5615" s="1399">
        <v>7920</v>
      </c>
    </row>
    <row r="5616" spans="2:12">
      <c r="B5616" s="1297"/>
      <c r="C5616" s="1297"/>
      <c r="D5616" s="1297"/>
      <c r="E5616" s="1297" t="s">
        <v>1038</v>
      </c>
      <c r="H5616" s="1399">
        <v>1250</v>
      </c>
      <c r="J5616" s="1399">
        <v>1250</v>
      </c>
    </row>
    <row r="5617" spans="5:10" s="1297" customFormat="1">
      <c r="E5617" s="1297" t="s">
        <v>1003</v>
      </c>
      <c r="F5617" s="1399"/>
      <c r="G5617" s="1399"/>
      <c r="H5617" s="1399">
        <v>269473.14</v>
      </c>
      <c r="I5617" s="1399"/>
      <c r="J5617" s="1399">
        <v>269473.14</v>
      </c>
    </row>
    <row r="5618" spans="5:10" s="1297" customFormat="1">
      <c r="E5618" s="1297" t="s">
        <v>1039</v>
      </c>
      <c r="F5618" s="1399"/>
      <c r="G5618" s="1399"/>
      <c r="H5618" s="1399">
        <v>38189.79</v>
      </c>
      <c r="I5618" s="1399"/>
      <c r="J5618" s="1399">
        <v>38189.79</v>
      </c>
    </row>
    <row r="5619" spans="5:10" s="1297" customFormat="1">
      <c r="E5619" s="1297" t="s">
        <v>1040</v>
      </c>
      <c r="F5619" s="1399"/>
      <c r="G5619" s="1399"/>
      <c r="H5619" s="1399">
        <v>239086.00000000003</v>
      </c>
      <c r="I5619" s="1399"/>
      <c r="J5619" s="1399">
        <v>239086.00000000003</v>
      </c>
    </row>
    <row r="5620" spans="5:10" s="1297" customFormat="1">
      <c r="E5620" s="1297" t="s">
        <v>1127</v>
      </c>
      <c r="F5620" s="1399"/>
      <c r="G5620" s="1399"/>
      <c r="H5620" s="1399">
        <v>49962.3</v>
      </c>
      <c r="I5620" s="1399"/>
      <c r="J5620" s="1399">
        <v>49962.3</v>
      </c>
    </row>
    <row r="5621" spans="5:10" s="1297" customFormat="1">
      <c r="E5621" s="1297" t="s">
        <v>1041</v>
      </c>
      <c r="F5621" s="1399"/>
      <c r="G5621" s="1399"/>
      <c r="H5621" s="1399">
        <v>130496.15000000001</v>
      </c>
      <c r="I5621" s="1399"/>
      <c r="J5621" s="1399">
        <v>130496.15000000001</v>
      </c>
    </row>
    <row r="5622" spans="5:10" s="1297" customFormat="1">
      <c r="E5622" s="1297" t="s">
        <v>1042</v>
      </c>
      <c r="F5622" s="1399"/>
      <c r="G5622" s="1399"/>
      <c r="H5622" s="1399">
        <v>89785.19</v>
      </c>
      <c r="I5622" s="1399"/>
      <c r="J5622" s="1399">
        <v>89785.19</v>
      </c>
    </row>
    <row r="5623" spans="5:10" s="1297" customFormat="1">
      <c r="E5623" s="1297" t="s">
        <v>954</v>
      </c>
      <c r="F5623" s="1399"/>
      <c r="G5623" s="1399"/>
      <c r="H5623" s="1399">
        <v>185659.3</v>
      </c>
      <c r="I5623" s="1399"/>
      <c r="J5623" s="1399">
        <v>185659.3</v>
      </c>
    </row>
    <row r="5624" spans="5:10" s="1297" customFormat="1">
      <c r="E5624" s="1297" t="s">
        <v>1043</v>
      </c>
      <c r="F5624" s="1399"/>
      <c r="G5624" s="1399"/>
      <c r="H5624" s="1399">
        <v>15010</v>
      </c>
      <c r="I5624" s="1399"/>
      <c r="J5624" s="1399">
        <v>15010</v>
      </c>
    </row>
    <row r="5625" spans="5:10" s="1297" customFormat="1">
      <c r="E5625" s="1297" t="s">
        <v>986</v>
      </c>
      <c r="F5625" s="1399"/>
      <c r="G5625" s="1399"/>
      <c r="H5625" s="1399">
        <v>14520.02</v>
      </c>
      <c r="I5625" s="1399"/>
      <c r="J5625" s="1399">
        <v>14520.02</v>
      </c>
    </row>
    <row r="5626" spans="5:10" s="1297" customFormat="1">
      <c r="E5626" s="1297" t="s">
        <v>996</v>
      </c>
      <c r="F5626" s="1399"/>
      <c r="G5626" s="1399"/>
      <c r="H5626" s="1399">
        <v>89627.89</v>
      </c>
      <c r="I5626" s="1399"/>
      <c r="J5626" s="1399">
        <v>89627.89</v>
      </c>
    </row>
    <row r="5627" spans="5:10" s="1297" customFormat="1">
      <c r="E5627" s="1297" t="s">
        <v>991</v>
      </c>
      <c r="F5627" s="1399"/>
      <c r="G5627" s="1399"/>
      <c r="H5627" s="1399">
        <v>71955.09</v>
      </c>
      <c r="I5627" s="1399"/>
      <c r="J5627" s="1399">
        <v>71955.09</v>
      </c>
    </row>
    <row r="5628" spans="5:10" s="1297" customFormat="1">
      <c r="E5628" s="1297" t="s">
        <v>1044</v>
      </c>
      <c r="F5628" s="1399">
        <v>116909.26</v>
      </c>
      <c r="G5628" s="1399"/>
      <c r="H5628" s="1399"/>
      <c r="I5628" s="1399"/>
      <c r="J5628" s="1399">
        <v>116909.26</v>
      </c>
    </row>
    <row r="5629" spans="5:10" s="1297" customFormat="1">
      <c r="E5629" s="1297" t="s">
        <v>1045</v>
      </c>
      <c r="F5629" s="1399"/>
      <c r="G5629" s="1399"/>
      <c r="H5629" s="1399">
        <v>859370.24000000011</v>
      </c>
      <c r="I5629" s="1399"/>
      <c r="J5629" s="1399">
        <v>859370.24000000011</v>
      </c>
    </row>
    <row r="5630" spans="5:10" s="1297" customFormat="1">
      <c r="E5630" s="1297" t="s">
        <v>1046</v>
      </c>
      <c r="F5630" s="1399"/>
      <c r="G5630" s="1399"/>
      <c r="H5630" s="1399"/>
      <c r="I5630" s="1399">
        <v>31738151</v>
      </c>
      <c r="J5630" s="1399">
        <v>31738151</v>
      </c>
    </row>
    <row r="5631" spans="5:10" s="1297" customFormat="1">
      <c r="E5631" s="1297" t="s">
        <v>1128</v>
      </c>
      <c r="F5631" s="1399"/>
      <c r="G5631" s="1399"/>
      <c r="H5631" s="1399"/>
      <c r="I5631" s="1399">
        <v>2445347</v>
      </c>
      <c r="J5631" s="1399">
        <v>2445347</v>
      </c>
    </row>
    <row r="5632" spans="5:10" s="1297" customFormat="1">
      <c r="E5632" s="1297" t="s">
        <v>1129</v>
      </c>
      <c r="F5632" s="1399"/>
      <c r="G5632" s="1399"/>
      <c r="H5632" s="1399"/>
      <c r="I5632" s="1399">
        <v>-4624997</v>
      </c>
      <c r="J5632" s="1399">
        <v>-4624997</v>
      </c>
    </row>
    <row r="5633" spans="5:10" s="1297" customFormat="1">
      <c r="E5633" s="1297" t="s">
        <v>1047</v>
      </c>
      <c r="F5633" s="1399"/>
      <c r="G5633" s="1399"/>
      <c r="H5633" s="1399"/>
      <c r="I5633" s="1399">
        <v>853837</v>
      </c>
      <c r="J5633" s="1399">
        <v>853837</v>
      </c>
    </row>
    <row r="5634" spans="5:10" s="1297" customFormat="1">
      <c r="E5634" s="1297" t="s">
        <v>1048</v>
      </c>
      <c r="F5634" s="1399"/>
      <c r="G5634" s="1399"/>
      <c r="H5634" s="1399"/>
      <c r="I5634" s="1399">
        <v>-3258221</v>
      </c>
      <c r="J5634" s="1399">
        <v>-3258221</v>
      </c>
    </row>
    <row r="5635" spans="5:10" s="1297" customFormat="1">
      <c r="E5635" s="1297" t="s">
        <v>932</v>
      </c>
      <c r="F5635" s="1399"/>
      <c r="G5635" s="1399"/>
      <c r="H5635" s="1399"/>
      <c r="I5635" s="1399">
        <v>3996307</v>
      </c>
      <c r="J5635" s="1399">
        <v>3996307</v>
      </c>
    </row>
    <row r="5636" spans="5:10" s="1297" customFormat="1">
      <c r="E5636" s="1404" t="s">
        <v>955</v>
      </c>
      <c r="F5636" s="1405"/>
      <c r="G5636" s="1405"/>
      <c r="H5636" s="1405"/>
      <c r="I5636" s="1405">
        <v>1433114.79</v>
      </c>
      <c r="J5636" s="1405">
        <v>1433114.79</v>
      </c>
    </row>
    <row r="5637" spans="5:10" s="1297" customFormat="1">
      <c r="E5637" s="1297" t="s">
        <v>934</v>
      </c>
      <c r="F5637" s="1399"/>
      <c r="G5637" s="1399"/>
      <c r="H5637" s="1399"/>
      <c r="I5637" s="1399">
        <v>96140</v>
      </c>
      <c r="J5637" s="1399">
        <v>96140</v>
      </c>
    </row>
    <row r="5638" spans="5:10" s="1297" customFormat="1">
      <c r="E5638" s="1297" t="s">
        <v>1130</v>
      </c>
      <c r="F5638" s="1399"/>
      <c r="G5638" s="1399"/>
      <c r="H5638" s="1399"/>
      <c r="I5638" s="1399">
        <v>136715.95000000001</v>
      </c>
      <c r="J5638" s="1399">
        <v>136715.95000000001</v>
      </c>
    </row>
    <row r="5639" spans="5:10" s="1297" customFormat="1">
      <c r="E5639" s="1297" t="s">
        <v>935</v>
      </c>
      <c r="F5639" s="1399"/>
      <c r="G5639" s="1399"/>
      <c r="H5639" s="1399"/>
      <c r="I5639" s="1399">
        <v>1089230.55</v>
      </c>
      <c r="J5639" s="1399">
        <v>1089230.55</v>
      </c>
    </row>
    <row r="5640" spans="5:10" s="1297" customFormat="1">
      <c r="E5640" s="1297" t="s">
        <v>936</v>
      </c>
      <c r="F5640" s="1399"/>
      <c r="G5640" s="1399"/>
      <c r="H5640" s="1399"/>
      <c r="I5640" s="1399">
        <v>88938.240000000005</v>
      </c>
      <c r="J5640" s="1399">
        <v>88938.240000000005</v>
      </c>
    </row>
    <row r="5641" spans="5:10" s="1297" customFormat="1">
      <c r="E5641" s="1297" t="s">
        <v>937</v>
      </c>
      <c r="F5641" s="1399"/>
      <c r="G5641" s="1399"/>
      <c r="H5641" s="1399"/>
      <c r="I5641" s="1399">
        <v>43791.93</v>
      </c>
      <c r="J5641" s="1399">
        <v>43791.93</v>
      </c>
    </row>
    <row r="5642" spans="5:10" s="1297" customFormat="1">
      <c r="E5642" s="1297" t="s">
        <v>938</v>
      </c>
      <c r="F5642" s="1399"/>
      <c r="G5642" s="1399"/>
      <c r="H5642" s="1399"/>
      <c r="I5642" s="1399">
        <v>35934</v>
      </c>
      <c r="J5642" s="1399">
        <v>35934</v>
      </c>
    </row>
    <row r="5643" spans="5:10" s="1297" customFormat="1">
      <c r="E5643" s="1297" t="s">
        <v>939</v>
      </c>
      <c r="F5643" s="1399"/>
      <c r="G5643" s="1399"/>
      <c r="H5643" s="1399"/>
      <c r="I5643" s="1399">
        <v>86748.75</v>
      </c>
      <c r="J5643" s="1399">
        <v>86748.75</v>
      </c>
    </row>
    <row r="5644" spans="5:10" s="1297" customFormat="1">
      <c r="E5644" s="1297" t="s">
        <v>1131</v>
      </c>
      <c r="F5644" s="1399">
        <v>54041.760000000002</v>
      </c>
      <c r="G5644" s="1399"/>
      <c r="H5644" s="1399"/>
      <c r="I5644" s="1399"/>
      <c r="J5644" s="1399">
        <v>54041.760000000002</v>
      </c>
    </row>
    <row r="5645" spans="5:10" s="1297" customFormat="1">
      <c r="E5645" s="1297" t="s">
        <v>940</v>
      </c>
      <c r="F5645" s="1399">
        <v>1694696.3599999999</v>
      </c>
      <c r="G5645" s="1399"/>
      <c r="H5645" s="1399"/>
      <c r="I5645" s="1399"/>
      <c r="J5645" s="1399">
        <v>1694696.3599999999</v>
      </c>
    </row>
    <row r="5646" spans="5:10" s="1297" customFormat="1">
      <c r="E5646" s="1297" t="s">
        <v>941</v>
      </c>
      <c r="F5646" s="1399">
        <v>647472.27999999991</v>
      </c>
      <c r="G5646" s="1399"/>
      <c r="H5646" s="1399"/>
      <c r="I5646" s="1399"/>
      <c r="J5646" s="1399">
        <v>647472.27999999991</v>
      </c>
    </row>
    <row r="5647" spans="5:10" s="1297" customFormat="1">
      <c r="E5647" s="1297" t="s">
        <v>942</v>
      </c>
      <c r="F5647" s="1399">
        <v>43893.73</v>
      </c>
      <c r="G5647" s="1399"/>
      <c r="H5647" s="1399"/>
      <c r="I5647" s="1399"/>
      <c r="J5647" s="1399">
        <v>43893.73</v>
      </c>
    </row>
    <row r="5648" spans="5:10" s="1297" customFormat="1">
      <c r="E5648" s="1297" t="s">
        <v>943</v>
      </c>
      <c r="F5648" s="1399">
        <v>4583.5600000000004</v>
      </c>
      <c r="G5648" s="1399"/>
      <c r="H5648" s="1399"/>
      <c r="I5648" s="1399"/>
      <c r="J5648" s="1399">
        <v>4583.5600000000004</v>
      </c>
    </row>
    <row r="5649" spans="2:12">
      <c r="B5649" s="1297"/>
      <c r="C5649" s="1297"/>
      <c r="D5649" s="1297"/>
      <c r="E5649" s="1297" t="s">
        <v>944</v>
      </c>
      <c r="F5649" s="1399">
        <v>4753029.8500000006</v>
      </c>
      <c r="J5649" s="1399">
        <v>4753029.8500000006</v>
      </c>
    </row>
    <row r="5650" spans="2:12">
      <c r="B5650" s="1297"/>
      <c r="C5650" s="1297"/>
      <c r="D5650" s="1297"/>
      <c r="E5650" s="1297" t="s">
        <v>945</v>
      </c>
      <c r="F5650" s="1399">
        <v>2688839.74</v>
      </c>
      <c r="J5650" s="1399">
        <v>2688839.74</v>
      </c>
    </row>
    <row r="5651" spans="2:12">
      <c r="B5651" s="1297"/>
      <c r="C5651" s="1297"/>
      <c r="D5651" s="1297"/>
      <c r="E5651" s="1297" t="s">
        <v>946</v>
      </c>
      <c r="F5651" s="1399">
        <v>232432.88</v>
      </c>
      <c r="J5651" s="1399">
        <v>232432.88</v>
      </c>
    </row>
    <row r="5652" spans="2:12">
      <c r="B5652" s="1297"/>
      <c r="C5652" s="1297"/>
      <c r="D5652" s="1297"/>
      <c r="E5652" s="1297" t="s">
        <v>978</v>
      </c>
      <c r="F5652" s="1399">
        <v>25005.01</v>
      </c>
      <c r="J5652" s="1399">
        <v>25005.01</v>
      </c>
    </row>
    <row r="5653" spans="2:12">
      <c r="B5653" s="1297"/>
      <c r="C5653" s="1297"/>
      <c r="D5653" s="1297"/>
      <c r="E5653" s="1297" t="s">
        <v>1214</v>
      </c>
      <c r="F5653" s="1399">
        <v>209933.95</v>
      </c>
      <c r="J5653" s="1399">
        <v>209933.95</v>
      </c>
    </row>
    <row r="5654" spans="2:12">
      <c r="B5654" s="1297"/>
      <c r="C5654" s="1297"/>
      <c r="D5654" s="1297"/>
      <c r="E5654" s="1297" t="s">
        <v>947</v>
      </c>
      <c r="F5654" s="1399">
        <v>183416.72999999998</v>
      </c>
      <c r="J5654" s="1399">
        <v>183416.72999999998</v>
      </c>
    </row>
    <row r="5655" spans="2:12">
      <c r="B5655" s="1297"/>
      <c r="C5655" s="1297"/>
      <c r="D5655" s="1297"/>
      <c r="E5655" s="1404" t="s">
        <v>948</v>
      </c>
      <c r="F5655" s="1405"/>
      <c r="G5655" s="1405"/>
      <c r="H5655" s="1405">
        <v>39470728.50999999</v>
      </c>
      <c r="I5655" s="1405"/>
      <c r="J5655" s="1405">
        <v>39470728.50999999</v>
      </c>
    </row>
    <row r="5656" spans="2:12">
      <c r="B5656" s="1297"/>
      <c r="C5656" s="1297"/>
      <c r="D5656" s="1297"/>
      <c r="E5656" s="1404" t="s">
        <v>1167</v>
      </c>
      <c r="F5656" s="1405"/>
      <c r="G5656" s="1405"/>
      <c r="H5656" s="1405">
        <v>3000</v>
      </c>
      <c r="I5656" s="1405"/>
      <c r="J5656" s="1405">
        <v>3000</v>
      </c>
    </row>
    <row r="5657" spans="2:12">
      <c r="B5657" s="1297"/>
      <c r="C5657" s="1297"/>
      <c r="D5657" s="1400" t="s">
        <v>1582</v>
      </c>
      <c r="E5657" s="1400"/>
      <c r="F5657" s="1401">
        <f>SUM(F5606:F5656)</f>
        <v>10654255.110000001</v>
      </c>
      <c r="G5657" s="1401">
        <f>SUM(G5606:G5656)</f>
        <v>18218606.430000003</v>
      </c>
      <c r="H5657" s="1401">
        <f>SUM(H5606:H5656)-(H5655+H5656)</f>
        <v>2945538.0600000024</v>
      </c>
      <c r="I5657" s="1401">
        <f>SUM(I5606:I5656)-I5636</f>
        <v>32727923.420000002</v>
      </c>
      <c r="J5657" s="1401">
        <f>SUM(J5606:J5656)</f>
        <v>105453166.31999999</v>
      </c>
      <c r="K5657" s="1401">
        <f>SUM(F5657:I5657)</f>
        <v>64546323.020000011</v>
      </c>
      <c r="L5657" s="1408">
        <f>K5657/C5606</f>
        <v>11450.474191946072</v>
      </c>
    </row>
    <row r="5658" spans="2:12">
      <c r="B5658" s="1297" t="s">
        <v>1583</v>
      </c>
      <c r="C5658" s="1297">
        <v>694</v>
      </c>
      <c r="D5658" s="1297" t="s">
        <v>1584</v>
      </c>
      <c r="E5658" s="1297" t="s">
        <v>906</v>
      </c>
      <c r="G5658" s="1399">
        <v>2944988.6999999997</v>
      </c>
      <c r="J5658" s="1399">
        <v>2944988.6999999997</v>
      </c>
    </row>
    <row r="5659" spans="2:12">
      <c r="B5659" s="1297"/>
      <c r="C5659" s="1297"/>
      <c r="D5659" s="1297"/>
      <c r="E5659" s="1297" t="s">
        <v>952</v>
      </c>
      <c r="G5659" s="1399">
        <v>7530.3899999999994</v>
      </c>
      <c r="J5659" s="1399">
        <v>7530.3899999999994</v>
      </c>
    </row>
    <row r="5660" spans="2:12">
      <c r="B5660" s="1297"/>
      <c r="C5660" s="1297"/>
      <c r="D5660" s="1297"/>
      <c r="E5660" s="1297" t="s">
        <v>907</v>
      </c>
      <c r="G5660" s="1399">
        <v>732014.62</v>
      </c>
      <c r="J5660" s="1399">
        <v>732014.62</v>
      </c>
    </row>
    <row r="5661" spans="2:12">
      <c r="B5661" s="1297"/>
      <c r="C5661" s="1297"/>
      <c r="D5661" s="1297"/>
      <c r="E5661" s="1297" t="s">
        <v>908</v>
      </c>
      <c r="G5661" s="1399">
        <v>34649.550000000003</v>
      </c>
      <c r="J5661" s="1399">
        <v>34649.550000000003</v>
      </c>
    </row>
    <row r="5662" spans="2:12">
      <c r="B5662" s="1297"/>
      <c r="C5662" s="1297"/>
      <c r="D5662" s="1297"/>
      <c r="E5662" s="1297" t="s">
        <v>1034</v>
      </c>
      <c r="H5662" s="1399">
        <v>2156.37</v>
      </c>
      <c r="J5662" s="1399">
        <v>2156.37</v>
      </c>
    </row>
    <row r="5663" spans="2:12">
      <c r="B5663" s="1297"/>
      <c r="C5663" s="1297"/>
      <c r="D5663" s="1297"/>
      <c r="E5663" s="1297" t="s">
        <v>1036</v>
      </c>
      <c r="H5663" s="1399">
        <v>38725.339999999997</v>
      </c>
      <c r="J5663" s="1399">
        <v>38725.339999999997</v>
      </c>
    </row>
    <row r="5664" spans="2:12">
      <c r="B5664" s="1297"/>
      <c r="C5664" s="1297"/>
      <c r="D5664" s="1297"/>
      <c r="E5664" s="1297" t="s">
        <v>1039</v>
      </c>
      <c r="H5664" s="1399">
        <v>4310.63</v>
      </c>
      <c r="J5664" s="1399">
        <v>4310.63</v>
      </c>
    </row>
    <row r="5665" spans="5:10" s="1297" customFormat="1">
      <c r="E5665" s="1297" t="s">
        <v>1041</v>
      </c>
      <c r="F5665" s="1399"/>
      <c r="G5665" s="1399"/>
      <c r="H5665" s="1399">
        <v>18386.3</v>
      </c>
      <c r="I5665" s="1399"/>
      <c r="J5665" s="1399">
        <v>18386.3</v>
      </c>
    </row>
    <row r="5666" spans="5:10" s="1297" customFormat="1">
      <c r="E5666" s="1297" t="s">
        <v>1042</v>
      </c>
      <c r="F5666" s="1399"/>
      <c r="G5666" s="1399"/>
      <c r="H5666" s="1399">
        <v>6695</v>
      </c>
      <c r="I5666" s="1399"/>
      <c r="J5666" s="1399">
        <v>6695</v>
      </c>
    </row>
    <row r="5667" spans="5:10" s="1297" customFormat="1">
      <c r="E5667" s="1297" t="s">
        <v>1043</v>
      </c>
      <c r="F5667" s="1399"/>
      <c r="G5667" s="1399"/>
      <c r="H5667" s="1399">
        <v>300</v>
      </c>
      <c r="I5667" s="1399"/>
      <c r="J5667" s="1399">
        <v>300</v>
      </c>
    </row>
    <row r="5668" spans="5:10" s="1297" customFormat="1">
      <c r="E5668" s="1297" t="s">
        <v>1045</v>
      </c>
      <c r="F5668" s="1399"/>
      <c r="G5668" s="1399"/>
      <c r="H5668" s="1399">
        <v>114950.33</v>
      </c>
      <c r="I5668" s="1399"/>
      <c r="J5668" s="1399">
        <v>114950.33</v>
      </c>
    </row>
    <row r="5669" spans="5:10" s="1297" customFormat="1">
      <c r="E5669" s="1297" t="s">
        <v>1046</v>
      </c>
      <c r="F5669" s="1399"/>
      <c r="G5669" s="1399"/>
      <c r="H5669" s="1399"/>
      <c r="I5669" s="1399">
        <v>3995895</v>
      </c>
      <c r="J5669" s="1399">
        <v>3995895</v>
      </c>
    </row>
    <row r="5670" spans="5:10" s="1297" customFormat="1">
      <c r="E5670" s="1297" t="s">
        <v>1129</v>
      </c>
      <c r="F5670" s="1399"/>
      <c r="G5670" s="1399"/>
      <c r="H5670" s="1399"/>
      <c r="I5670" s="1399">
        <v>-350451</v>
      </c>
      <c r="J5670" s="1399">
        <v>-350451</v>
      </c>
    </row>
    <row r="5671" spans="5:10" s="1297" customFormat="1">
      <c r="E5671" s="1297" t="s">
        <v>1047</v>
      </c>
      <c r="F5671" s="1399"/>
      <c r="G5671" s="1399"/>
      <c r="H5671" s="1399"/>
      <c r="I5671" s="1399">
        <v>375970</v>
      </c>
      <c r="J5671" s="1399">
        <v>375970</v>
      </c>
    </row>
    <row r="5672" spans="5:10" s="1297" customFormat="1">
      <c r="E5672" s="1297" t="s">
        <v>1048</v>
      </c>
      <c r="F5672" s="1399"/>
      <c r="G5672" s="1399"/>
      <c r="H5672" s="1399"/>
      <c r="I5672" s="1399">
        <v>-785060</v>
      </c>
      <c r="J5672" s="1399">
        <v>-785060</v>
      </c>
    </row>
    <row r="5673" spans="5:10" s="1297" customFormat="1">
      <c r="E5673" s="1404" t="s">
        <v>955</v>
      </c>
      <c r="F5673" s="1405"/>
      <c r="G5673" s="1405"/>
      <c r="H5673" s="1405"/>
      <c r="I5673" s="1405">
        <v>143749.68</v>
      </c>
      <c r="J5673" s="1405">
        <v>143749.68</v>
      </c>
    </row>
    <row r="5674" spans="5:10" s="1297" customFormat="1">
      <c r="E5674" s="1297" t="s">
        <v>934</v>
      </c>
      <c r="F5674" s="1399"/>
      <c r="G5674" s="1399"/>
      <c r="H5674" s="1399"/>
      <c r="I5674" s="1399">
        <v>14702</v>
      </c>
      <c r="J5674" s="1399">
        <v>14702</v>
      </c>
    </row>
    <row r="5675" spans="5:10" s="1297" customFormat="1">
      <c r="E5675" s="1297" t="s">
        <v>935</v>
      </c>
      <c r="F5675" s="1399"/>
      <c r="G5675" s="1399"/>
      <c r="H5675" s="1399"/>
      <c r="I5675" s="1399">
        <v>224803.77</v>
      </c>
      <c r="J5675" s="1399">
        <v>224803.77</v>
      </c>
    </row>
    <row r="5676" spans="5:10" s="1297" customFormat="1">
      <c r="E5676" s="1297" t="s">
        <v>936</v>
      </c>
      <c r="F5676" s="1399"/>
      <c r="G5676" s="1399"/>
      <c r="H5676" s="1399"/>
      <c r="I5676" s="1399">
        <v>11554.97</v>
      </c>
      <c r="J5676" s="1399">
        <v>11554.97</v>
      </c>
    </row>
    <row r="5677" spans="5:10" s="1297" customFormat="1">
      <c r="E5677" s="1297" t="s">
        <v>937</v>
      </c>
      <c r="F5677" s="1399"/>
      <c r="G5677" s="1399"/>
      <c r="H5677" s="1399"/>
      <c r="I5677" s="1399">
        <v>2523.85</v>
      </c>
      <c r="J5677" s="1399">
        <v>2523.85</v>
      </c>
    </row>
    <row r="5678" spans="5:10" s="1297" customFormat="1">
      <c r="E5678" s="1297" t="s">
        <v>938</v>
      </c>
      <c r="F5678" s="1399"/>
      <c r="G5678" s="1399"/>
      <c r="H5678" s="1399"/>
      <c r="I5678" s="1399">
        <v>5802</v>
      </c>
      <c r="J5678" s="1399">
        <v>5802</v>
      </c>
    </row>
    <row r="5679" spans="5:10" s="1297" customFormat="1">
      <c r="E5679" s="1297" t="s">
        <v>940</v>
      </c>
      <c r="F5679" s="1399">
        <v>276932.54000000004</v>
      </c>
      <c r="G5679" s="1399"/>
      <c r="H5679" s="1399"/>
      <c r="I5679" s="1399"/>
      <c r="J5679" s="1399">
        <v>276932.54000000004</v>
      </c>
    </row>
    <row r="5680" spans="5:10" s="1297" customFormat="1">
      <c r="E5680" s="1297" t="s">
        <v>941</v>
      </c>
      <c r="F5680" s="1399">
        <v>153494.74</v>
      </c>
      <c r="G5680" s="1399"/>
      <c r="H5680" s="1399"/>
      <c r="I5680" s="1399"/>
      <c r="J5680" s="1399">
        <v>153494.74</v>
      </c>
    </row>
    <row r="5681" spans="2:12">
      <c r="B5681" s="1297"/>
      <c r="C5681" s="1297"/>
      <c r="D5681" s="1297"/>
      <c r="E5681" s="1297" t="s">
        <v>943</v>
      </c>
      <c r="F5681" s="1399">
        <v>12988.42</v>
      </c>
      <c r="J5681" s="1399">
        <v>12988.42</v>
      </c>
    </row>
    <row r="5682" spans="2:12">
      <c r="B5682" s="1297"/>
      <c r="C5682" s="1297"/>
      <c r="D5682" s="1297"/>
      <c r="E5682" s="1297" t="s">
        <v>944</v>
      </c>
      <c r="F5682" s="1399">
        <v>1112281.5999999999</v>
      </c>
      <c r="J5682" s="1399">
        <v>1112281.5999999999</v>
      </c>
    </row>
    <row r="5683" spans="2:12">
      <c r="B5683" s="1297"/>
      <c r="C5683" s="1297"/>
      <c r="D5683" s="1297"/>
      <c r="E5683" s="1297" t="s">
        <v>945</v>
      </c>
      <c r="F5683" s="1399">
        <v>180829.36</v>
      </c>
      <c r="J5683" s="1399">
        <v>180829.36</v>
      </c>
    </row>
    <row r="5684" spans="2:12">
      <c r="B5684" s="1297"/>
      <c r="C5684" s="1297"/>
      <c r="D5684" s="1297"/>
      <c r="E5684" s="1297" t="s">
        <v>947</v>
      </c>
      <c r="F5684" s="1399">
        <v>8230.16</v>
      </c>
      <c r="J5684" s="1399">
        <v>8230.16</v>
      </c>
    </row>
    <row r="5685" spans="2:12">
      <c r="B5685" s="1297"/>
      <c r="C5685" s="1297"/>
      <c r="D5685" s="1297"/>
      <c r="E5685" s="1297" t="s">
        <v>1115</v>
      </c>
      <c r="F5685" s="1399">
        <v>42870.44</v>
      </c>
      <c r="J5685" s="1399">
        <v>42870.44</v>
      </c>
    </row>
    <row r="5686" spans="2:12">
      <c r="B5686" s="1297"/>
      <c r="C5686" s="1297"/>
      <c r="D5686" s="1297"/>
      <c r="E5686" s="1404" t="s">
        <v>948</v>
      </c>
      <c r="F5686" s="1405"/>
      <c r="G5686" s="1405"/>
      <c r="H5686" s="1405">
        <v>25368.55</v>
      </c>
      <c r="I5686" s="1405"/>
      <c r="J5686" s="1405">
        <v>25368.55</v>
      </c>
    </row>
    <row r="5687" spans="2:12">
      <c r="B5687" s="1297"/>
      <c r="C5687" s="1297"/>
      <c r="D5687" s="1297"/>
      <c r="E5687" s="1297" t="s">
        <v>1118</v>
      </c>
      <c r="H5687" s="1399">
        <v>36315.129999999997</v>
      </c>
      <c r="J5687" s="1399">
        <v>36315.129999999997</v>
      </c>
    </row>
    <row r="5688" spans="2:12">
      <c r="B5688" s="1297"/>
      <c r="C5688" s="1297"/>
      <c r="D5688" s="1400" t="s">
        <v>1585</v>
      </c>
      <c r="E5688" s="1400"/>
      <c r="F5688" s="1401">
        <f>SUM(F5658:F5687)</f>
        <v>1787627.2599999995</v>
      </c>
      <c r="G5688" s="1401">
        <f>SUM(G5658:G5687)</f>
        <v>3719183.26</v>
      </c>
      <c r="H5688" s="1401">
        <f>SUM(H5658:H5687)-H5686</f>
        <v>221839.1</v>
      </c>
      <c r="I5688" s="1401">
        <f>SUM(I5658:I5687)-I5673</f>
        <v>3495740.5900000003</v>
      </c>
      <c r="J5688" s="1401">
        <f>SUM(J5658:J5687)</f>
        <v>9393508.4399999995</v>
      </c>
      <c r="K5688" s="1401">
        <f>SUM(F5688:I5688)</f>
        <v>9224390.209999999</v>
      </c>
      <c r="L5688" s="1408">
        <f>K5688/C5658</f>
        <v>13291.628544668587</v>
      </c>
    </row>
    <row r="5689" spans="2:12">
      <c r="B5689" s="1297" t="s">
        <v>1586</v>
      </c>
      <c r="C5689" s="1297">
        <v>3080</v>
      </c>
      <c r="D5689" s="1297" t="s">
        <v>1587</v>
      </c>
      <c r="E5689" s="1297" t="s">
        <v>906</v>
      </c>
      <c r="G5689" s="1399">
        <v>12107414.76</v>
      </c>
      <c r="J5689" s="1399">
        <v>12107414.76</v>
      </c>
    </row>
    <row r="5690" spans="2:12">
      <c r="B5690" s="1297"/>
      <c r="C5690" s="1297"/>
      <c r="D5690" s="1297"/>
      <c r="E5690" s="1297" t="s">
        <v>952</v>
      </c>
      <c r="G5690" s="1399">
        <v>13418.32</v>
      </c>
      <c r="J5690" s="1399">
        <v>13418.32</v>
      </c>
    </row>
    <row r="5691" spans="2:12">
      <c r="B5691" s="1297"/>
      <c r="C5691" s="1297"/>
      <c r="D5691" s="1297"/>
      <c r="E5691" s="1297" t="s">
        <v>907</v>
      </c>
      <c r="G5691" s="1399">
        <v>2863935.14</v>
      </c>
      <c r="J5691" s="1399">
        <v>2863935.14</v>
      </c>
    </row>
    <row r="5692" spans="2:12">
      <c r="B5692" s="1297"/>
      <c r="C5692" s="1297"/>
      <c r="D5692" s="1297"/>
      <c r="E5692" s="1297" t="s">
        <v>908</v>
      </c>
      <c r="G5692" s="1399">
        <v>50245.9</v>
      </c>
      <c r="J5692" s="1399">
        <v>50245.9</v>
      </c>
    </row>
    <row r="5693" spans="2:12">
      <c r="B5693" s="1297"/>
      <c r="C5693" s="1297"/>
      <c r="D5693" s="1297"/>
      <c r="E5693" s="1297" t="s">
        <v>1036</v>
      </c>
      <c r="H5693" s="1399">
        <v>71531</v>
      </c>
      <c r="J5693" s="1399">
        <v>71531</v>
      </c>
    </row>
    <row r="5694" spans="2:12">
      <c r="B5694" s="1297"/>
      <c r="C5694" s="1297"/>
      <c r="D5694" s="1297"/>
      <c r="E5694" s="1297" t="s">
        <v>1039</v>
      </c>
      <c r="H5694" s="1399">
        <v>151087.62</v>
      </c>
      <c r="J5694" s="1399">
        <v>151087.62</v>
      </c>
    </row>
    <row r="5695" spans="2:12">
      <c r="B5695" s="1297"/>
      <c r="C5695" s="1297"/>
      <c r="D5695" s="1297"/>
      <c r="E5695" s="1297" t="s">
        <v>1041</v>
      </c>
      <c r="H5695" s="1399">
        <v>31115.86</v>
      </c>
      <c r="J5695" s="1399">
        <v>31115.86</v>
      </c>
    </row>
    <row r="5696" spans="2:12">
      <c r="B5696" s="1297"/>
      <c r="C5696" s="1297"/>
      <c r="D5696" s="1297"/>
      <c r="E5696" s="1297" t="s">
        <v>1042</v>
      </c>
      <c r="H5696" s="1399">
        <v>55794.15</v>
      </c>
      <c r="J5696" s="1399">
        <v>55794.15</v>
      </c>
    </row>
    <row r="5697" spans="5:10" s="1297" customFormat="1">
      <c r="E5697" s="1297" t="s">
        <v>954</v>
      </c>
      <c r="F5697" s="1399"/>
      <c r="G5697" s="1399"/>
      <c r="H5697" s="1399">
        <v>350834.12</v>
      </c>
      <c r="I5697" s="1399"/>
      <c r="J5697" s="1399">
        <v>350834.12</v>
      </c>
    </row>
    <row r="5698" spans="5:10" s="1297" customFormat="1">
      <c r="E5698" s="1297" t="s">
        <v>986</v>
      </c>
      <c r="F5698" s="1399"/>
      <c r="G5698" s="1399"/>
      <c r="H5698" s="1399">
        <v>31114.570000000003</v>
      </c>
      <c r="I5698" s="1399"/>
      <c r="J5698" s="1399">
        <v>31114.570000000003</v>
      </c>
    </row>
    <row r="5699" spans="5:10" s="1297" customFormat="1">
      <c r="E5699" s="1297" t="s">
        <v>1045</v>
      </c>
      <c r="F5699" s="1399"/>
      <c r="G5699" s="1399"/>
      <c r="H5699" s="1399">
        <v>656357.26000000013</v>
      </c>
      <c r="I5699" s="1399"/>
      <c r="J5699" s="1399">
        <v>656357.26000000013</v>
      </c>
    </row>
    <row r="5700" spans="5:10" s="1297" customFormat="1">
      <c r="E5700" s="1297" t="s">
        <v>1046</v>
      </c>
      <c r="F5700" s="1399"/>
      <c r="G5700" s="1399"/>
      <c r="H5700" s="1399"/>
      <c r="I5700" s="1399">
        <v>15739766</v>
      </c>
      <c r="J5700" s="1399">
        <v>15739766</v>
      </c>
    </row>
    <row r="5701" spans="5:10" s="1297" customFormat="1">
      <c r="E5701" s="1297" t="s">
        <v>1128</v>
      </c>
      <c r="F5701" s="1399"/>
      <c r="G5701" s="1399"/>
      <c r="H5701" s="1399"/>
      <c r="I5701" s="1399">
        <v>1424229</v>
      </c>
      <c r="J5701" s="1399">
        <v>1424229</v>
      </c>
    </row>
    <row r="5702" spans="5:10" s="1297" customFormat="1">
      <c r="E5702" s="1297" t="s">
        <v>1129</v>
      </c>
      <c r="F5702" s="1399"/>
      <c r="G5702" s="1399"/>
      <c r="H5702" s="1399"/>
      <c r="I5702" s="1399">
        <v>-2117800</v>
      </c>
      <c r="J5702" s="1399">
        <v>-2117800</v>
      </c>
    </row>
    <row r="5703" spans="5:10" s="1297" customFormat="1">
      <c r="E5703" s="1297" t="s">
        <v>1047</v>
      </c>
      <c r="F5703" s="1399"/>
      <c r="G5703" s="1399"/>
      <c r="H5703" s="1399"/>
      <c r="I5703" s="1399">
        <v>855415</v>
      </c>
      <c r="J5703" s="1399">
        <v>855415</v>
      </c>
    </row>
    <row r="5704" spans="5:10" s="1297" customFormat="1">
      <c r="E5704" s="1297" t="s">
        <v>1048</v>
      </c>
      <c r="F5704" s="1399"/>
      <c r="G5704" s="1399"/>
      <c r="H5704" s="1399"/>
      <c r="I5704" s="1399">
        <v>-3747202</v>
      </c>
      <c r="J5704" s="1399">
        <v>-3747202</v>
      </c>
    </row>
    <row r="5705" spans="5:10" s="1297" customFormat="1">
      <c r="E5705" s="1404" t="s">
        <v>955</v>
      </c>
      <c r="F5705" s="1405"/>
      <c r="G5705" s="1405"/>
      <c r="H5705" s="1405"/>
      <c r="I5705" s="1405">
        <v>338323.8</v>
      </c>
      <c r="J5705" s="1405">
        <v>338323.8</v>
      </c>
    </row>
    <row r="5706" spans="5:10" s="1297" customFormat="1">
      <c r="E5706" s="1297" t="s">
        <v>934</v>
      </c>
      <c r="F5706" s="1399"/>
      <c r="G5706" s="1399"/>
      <c r="H5706" s="1399"/>
      <c r="I5706" s="1399">
        <v>59310</v>
      </c>
      <c r="J5706" s="1399">
        <v>59310</v>
      </c>
    </row>
    <row r="5707" spans="5:10" s="1297" customFormat="1">
      <c r="E5707" s="1297" t="s">
        <v>935</v>
      </c>
      <c r="F5707" s="1399"/>
      <c r="G5707" s="1399"/>
      <c r="H5707" s="1399"/>
      <c r="I5707" s="1399">
        <v>354610.69</v>
      </c>
      <c r="J5707" s="1399">
        <v>354610.69</v>
      </c>
    </row>
    <row r="5708" spans="5:10" s="1297" customFormat="1">
      <c r="E5708" s="1297" t="s">
        <v>936</v>
      </c>
      <c r="F5708" s="1399"/>
      <c r="G5708" s="1399"/>
      <c r="H5708" s="1399"/>
      <c r="I5708" s="1399">
        <v>44118.97</v>
      </c>
      <c r="J5708" s="1399">
        <v>44118.97</v>
      </c>
    </row>
    <row r="5709" spans="5:10" s="1297" customFormat="1">
      <c r="E5709" s="1297" t="s">
        <v>938</v>
      </c>
      <c r="F5709" s="1399"/>
      <c r="G5709" s="1399"/>
      <c r="H5709" s="1399"/>
      <c r="I5709" s="1399">
        <v>14411</v>
      </c>
      <c r="J5709" s="1399">
        <v>14411</v>
      </c>
    </row>
    <row r="5710" spans="5:10" s="1297" customFormat="1">
      <c r="E5710" s="1297" t="s">
        <v>939</v>
      </c>
      <c r="F5710" s="1399"/>
      <c r="G5710" s="1399"/>
      <c r="H5710" s="1399"/>
      <c r="I5710" s="1399">
        <v>59250</v>
      </c>
      <c r="J5710" s="1399">
        <v>59250</v>
      </c>
    </row>
    <row r="5711" spans="5:10" s="1297" customFormat="1">
      <c r="E5711" s="1297" t="s">
        <v>1131</v>
      </c>
      <c r="F5711" s="1399">
        <v>59690.68</v>
      </c>
      <c r="G5711" s="1399"/>
      <c r="H5711" s="1399"/>
      <c r="I5711" s="1399"/>
      <c r="J5711" s="1399">
        <v>59690.68</v>
      </c>
    </row>
    <row r="5712" spans="5:10" s="1297" customFormat="1">
      <c r="E5712" s="1297" t="s">
        <v>940</v>
      </c>
      <c r="F5712" s="1399">
        <v>938953.54</v>
      </c>
      <c r="G5712" s="1399"/>
      <c r="H5712" s="1399"/>
      <c r="I5712" s="1399"/>
      <c r="J5712" s="1399">
        <v>938953.54</v>
      </c>
    </row>
    <row r="5713" spans="2:12">
      <c r="B5713" s="1297"/>
      <c r="C5713" s="1297"/>
      <c r="D5713" s="1297"/>
      <c r="E5713" s="1297" t="s">
        <v>941</v>
      </c>
      <c r="F5713" s="1399">
        <v>409353.14</v>
      </c>
      <c r="J5713" s="1399">
        <v>409353.14</v>
      </c>
    </row>
    <row r="5714" spans="2:12">
      <c r="B5714" s="1297"/>
      <c r="C5714" s="1297"/>
      <c r="D5714" s="1297"/>
      <c r="E5714" s="1297" t="s">
        <v>943</v>
      </c>
      <c r="F5714" s="1399">
        <v>2675.1</v>
      </c>
      <c r="J5714" s="1399">
        <v>2675.1</v>
      </c>
    </row>
    <row r="5715" spans="2:12">
      <c r="B5715" s="1297"/>
      <c r="C5715" s="1297"/>
      <c r="D5715" s="1297"/>
      <c r="E5715" s="1297" t="s">
        <v>944</v>
      </c>
      <c r="F5715" s="1399">
        <v>2610053.92</v>
      </c>
      <c r="J5715" s="1399">
        <v>2610053.92</v>
      </c>
    </row>
    <row r="5716" spans="2:12">
      <c r="B5716" s="1297"/>
      <c r="C5716" s="1297"/>
      <c r="D5716" s="1297"/>
      <c r="E5716" s="1297" t="s">
        <v>945</v>
      </c>
      <c r="F5716" s="1399">
        <v>2179305.58</v>
      </c>
      <c r="J5716" s="1399">
        <v>2179305.58</v>
      </c>
    </row>
    <row r="5717" spans="2:12">
      <c r="B5717" s="1297"/>
      <c r="C5717" s="1297"/>
      <c r="D5717" s="1297"/>
      <c r="E5717" s="1297" t="s">
        <v>946</v>
      </c>
      <c r="F5717" s="1399">
        <v>38303.760000000002</v>
      </c>
      <c r="J5717" s="1399">
        <v>38303.760000000002</v>
      </c>
    </row>
    <row r="5718" spans="2:12">
      <c r="B5718" s="1297"/>
      <c r="C5718" s="1297"/>
      <c r="D5718" s="1297"/>
      <c r="E5718" s="1297" t="s">
        <v>978</v>
      </c>
      <c r="F5718" s="1399">
        <v>231246.03</v>
      </c>
      <c r="J5718" s="1399">
        <v>231246.03</v>
      </c>
    </row>
    <row r="5719" spans="2:12">
      <c r="B5719" s="1297"/>
      <c r="C5719" s="1297"/>
      <c r="D5719" s="1297"/>
      <c r="E5719" s="1297" t="s">
        <v>947</v>
      </c>
      <c r="F5719" s="1399">
        <v>97371.08</v>
      </c>
      <c r="J5719" s="1399">
        <v>97371.08</v>
      </c>
    </row>
    <row r="5720" spans="2:12">
      <c r="B5720" s="1297"/>
      <c r="C5720" s="1297"/>
      <c r="D5720" s="1297"/>
      <c r="E5720" s="1404" t="s">
        <v>948</v>
      </c>
      <c r="F5720" s="1405"/>
      <c r="G5720" s="1405"/>
      <c r="H5720" s="1405">
        <v>164148.74</v>
      </c>
      <c r="I5720" s="1405"/>
      <c r="J5720" s="1405">
        <v>164148.74</v>
      </c>
    </row>
    <row r="5721" spans="2:12">
      <c r="B5721" s="1297"/>
      <c r="C5721" s="1297"/>
      <c r="D5721" s="1400" t="s">
        <v>1588</v>
      </c>
      <c r="E5721" s="1400"/>
      <c r="F5721" s="1401">
        <f>SUM(F5689:F5720)</f>
        <v>6566952.8300000001</v>
      </c>
      <c r="G5721" s="1401">
        <f>SUM(G5689:G5720)</f>
        <v>15035014.120000001</v>
      </c>
      <c r="H5721" s="1401">
        <f>SUM(H5689:H5720)-H5720</f>
        <v>1347834.58</v>
      </c>
      <c r="I5721" s="1401">
        <f>SUM(I5689:I5720)-I5705</f>
        <v>12686108.66</v>
      </c>
      <c r="J5721" s="1401">
        <f>SUM(J5689:J5720)</f>
        <v>36138382.729999997</v>
      </c>
      <c r="K5721" s="1401">
        <f>SUM(F5721:I5721)</f>
        <v>35635910.189999998</v>
      </c>
      <c r="L5721" s="1408">
        <f>K5721/C5722</f>
        <v>7017.7058270972821</v>
      </c>
    </row>
    <row r="5722" spans="2:12">
      <c r="B5722" s="1297" t="s">
        <v>1589</v>
      </c>
      <c r="C5722" s="1297">
        <v>5078</v>
      </c>
      <c r="D5722" s="1297" t="s">
        <v>1590</v>
      </c>
      <c r="E5722" s="1297" t="s">
        <v>906</v>
      </c>
      <c r="G5722" s="1399">
        <v>11318825.23</v>
      </c>
      <c r="J5722" s="1399">
        <v>11318825.23</v>
      </c>
    </row>
    <row r="5723" spans="2:12">
      <c r="B5723" s="1297"/>
      <c r="C5723" s="1297"/>
      <c r="D5723" s="1297"/>
      <c r="E5723" s="1297" t="s">
        <v>952</v>
      </c>
      <c r="G5723" s="1399">
        <v>84442.18</v>
      </c>
      <c r="J5723" s="1399">
        <v>84442.18</v>
      </c>
    </row>
    <row r="5724" spans="2:12">
      <c r="B5724" s="1297"/>
      <c r="C5724" s="1297"/>
      <c r="D5724" s="1297"/>
      <c r="E5724" s="1297" t="s">
        <v>907</v>
      </c>
      <c r="G5724" s="1399">
        <v>4264619.97</v>
      </c>
      <c r="J5724" s="1399">
        <v>4264619.97</v>
      </c>
    </row>
    <row r="5725" spans="2:12">
      <c r="B5725" s="1297"/>
      <c r="C5725" s="1297"/>
      <c r="D5725" s="1297"/>
      <c r="E5725" s="1297" t="s">
        <v>908</v>
      </c>
      <c r="G5725" s="1399">
        <v>59062.35</v>
      </c>
      <c r="J5725" s="1399">
        <v>59062.35</v>
      </c>
    </row>
    <row r="5726" spans="2:12">
      <c r="B5726" s="1297"/>
      <c r="C5726" s="1297"/>
      <c r="D5726" s="1297"/>
      <c r="E5726" s="1297" t="s">
        <v>909</v>
      </c>
      <c r="H5726" s="1399">
        <v>43084.02</v>
      </c>
      <c r="J5726" s="1399">
        <v>43084.02</v>
      </c>
    </row>
    <row r="5727" spans="2:12">
      <c r="B5727" s="1297"/>
      <c r="C5727" s="1297"/>
      <c r="D5727" s="1297"/>
      <c r="E5727" s="1297" t="s">
        <v>910</v>
      </c>
      <c r="H5727" s="1399">
        <v>49369.47</v>
      </c>
      <c r="J5727" s="1399">
        <v>49369.47</v>
      </c>
    </row>
    <row r="5728" spans="2:12">
      <c r="B5728" s="1297"/>
      <c r="C5728" s="1297"/>
      <c r="D5728" s="1297"/>
      <c r="E5728" s="1297" t="s">
        <v>1034</v>
      </c>
      <c r="H5728" s="1399">
        <v>183648.82</v>
      </c>
      <c r="J5728" s="1399">
        <v>183648.82</v>
      </c>
    </row>
    <row r="5729" spans="5:10" s="1297" customFormat="1">
      <c r="E5729" s="1297" t="s">
        <v>1035</v>
      </c>
      <c r="F5729" s="1399"/>
      <c r="G5729" s="1399"/>
      <c r="H5729" s="1399">
        <v>624024.47</v>
      </c>
      <c r="I5729" s="1399"/>
      <c r="J5729" s="1399">
        <v>624024.47</v>
      </c>
    </row>
    <row r="5730" spans="5:10" s="1297" customFormat="1">
      <c r="E5730" s="1297" t="s">
        <v>1036</v>
      </c>
      <c r="F5730" s="1399"/>
      <c r="G5730" s="1399"/>
      <c r="H5730" s="1399">
        <v>172395.11</v>
      </c>
      <c r="I5730" s="1399"/>
      <c r="J5730" s="1399">
        <v>172395.11</v>
      </c>
    </row>
    <row r="5731" spans="5:10" s="1297" customFormat="1">
      <c r="E5731" s="1297" t="s">
        <v>1037</v>
      </c>
      <c r="F5731" s="1399"/>
      <c r="G5731" s="1399"/>
      <c r="H5731" s="1399">
        <v>607.29999999999995</v>
      </c>
      <c r="I5731" s="1399"/>
      <c r="J5731" s="1399">
        <v>607.29999999999995</v>
      </c>
    </row>
    <row r="5732" spans="5:10" s="1297" customFormat="1">
      <c r="E5732" s="1297" t="s">
        <v>1038</v>
      </c>
      <c r="F5732" s="1399"/>
      <c r="G5732" s="1399"/>
      <c r="H5732" s="1399">
        <v>0</v>
      </c>
      <c r="I5732" s="1399"/>
      <c r="J5732" s="1399">
        <v>0</v>
      </c>
    </row>
    <row r="5733" spans="5:10" s="1297" customFormat="1">
      <c r="E5733" s="1297" t="s">
        <v>1039</v>
      </c>
      <c r="F5733" s="1399"/>
      <c r="G5733" s="1399"/>
      <c r="H5733" s="1399">
        <v>30682.859999999997</v>
      </c>
      <c r="I5733" s="1399"/>
      <c r="J5733" s="1399">
        <v>30682.859999999997</v>
      </c>
    </row>
    <row r="5734" spans="5:10" s="1297" customFormat="1">
      <c r="E5734" s="1297" t="s">
        <v>1040</v>
      </c>
      <c r="F5734" s="1399"/>
      <c r="G5734" s="1399"/>
      <c r="H5734" s="1399">
        <v>484868.84999999992</v>
      </c>
      <c r="I5734" s="1399"/>
      <c r="J5734" s="1399">
        <v>484868.84999999992</v>
      </c>
    </row>
    <row r="5735" spans="5:10" s="1297" customFormat="1">
      <c r="E5735" s="1297" t="s">
        <v>1041</v>
      </c>
      <c r="F5735" s="1399"/>
      <c r="G5735" s="1399"/>
      <c r="H5735" s="1399">
        <v>133814.39999999999</v>
      </c>
      <c r="I5735" s="1399"/>
      <c r="J5735" s="1399">
        <v>133814.39999999999</v>
      </c>
    </row>
    <row r="5736" spans="5:10" s="1297" customFormat="1">
      <c r="E5736" s="1297" t="s">
        <v>1042</v>
      </c>
      <c r="F5736" s="1399"/>
      <c r="G5736" s="1399"/>
      <c r="H5736" s="1399">
        <v>85772.329999999987</v>
      </c>
      <c r="I5736" s="1399"/>
      <c r="J5736" s="1399">
        <v>85772.329999999987</v>
      </c>
    </row>
    <row r="5737" spans="5:10" s="1297" customFormat="1">
      <c r="E5737" s="1297" t="s">
        <v>1043</v>
      </c>
      <c r="F5737" s="1399"/>
      <c r="G5737" s="1399"/>
      <c r="H5737" s="1399">
        <v>8789.3799999999992</v>
      </c>
      <c r="I5737" s="1399"/>
      <c r="J5737" s="1399">
        <v>8789.3799999999992</v>
      </c>
    </row>
    <row r="5738" spans="5:10" s="1297" customFormat="1">
      <c r="E5738" s="1297" t="s">
        <v>986</v>
      </c>
      <c r="F5738" s="1399"/>
      <c r="G5738" s="1399"/>
      <c r="H5738" s="1399">
        <v>9003.7999999999993</v>
      </c>
      <c r="I5738" s="1399"/>
      <c r="J5738" s="1399">
        <v>9003.7999999999993</v>
      </c>
    </row>
    <row r="5739" spans="5:10" s="1297" customFormat="1">
      <c r="E5739" s="1297" t="s">
        <v>1045</v>
      </c>
      <c r="F5739" s="1399"/>
      <c r="G5739" s="1399"/>
      <c r="H5739" s="1399">
        <v>145748.15</v>
      </c>
      <c r="I5739" s="1399"/>
      <c r="J5739" s="1399">
        <v>145748.15</v>
      </c>
    </row>
    <row r="5740" spans="5:10" s="1297" customFormat="1">
      <c r="E5740" s="1297" t="s">
        <v>1046</v>
      </c>
      <c r="F5740" s="1399"/>
      <c r="G5740" s="1399"/>
      <c r="H5740" s="1399"/>
      <c r="I5740" s="1399">
        <v>26084232</v>
      </c>
      <c r="J5740" s="1399">
        <v>26084232</v>
      </c>
    </row>
    <row r="5741" spans="5:10" s="1297" customFormat="1">
      <c r="E5741" s="1297" t="s">
        <v>1128</v>
      </c>
      <c r="F5741" s="1399"/>
      <c r="G5741" s="1399"/>
      <c r="H5741" s="1399"/>
      <c r="I5741" s="1399">
        <v>2356501</v>
      </c>
      <c r="J5741" s="1399">
        <v>2356501</v>
      </c>
    </row>
    <row r="5742" spans="5:10" s="1297" customFormat="1">
      <c r="E5742" s="1297" t="s">
        <v>1129</v>
      </c>
      <c r="F5742" s="1399"/>
      <c r="G5742" s="1399"/>
      <c r="H5742" s="1399"/>
      <c r="I5742" s="1399">
        <v>-3791707</v>
      </c>
      <c r="J5742" s="1399">
        <v>-3791707</v>
      </c>
    </row>
    <row r="5743" spans="5:10" s="1297" customFormat="1">
      <c r="E5743" s="1297" t="s">
        <v>1047</v>
      </c>
      <c r="F5743" s="1399"/>
      <c r="G5743" s="1399"/>
      <c r="H5743" s="1399"/>
      <c r="I5743" s="1399">
        <v>755392</v>
      </c>
      <c r="J5743" s="1399">
        <v>755392</v>
      </c>
    </row>
    <row r="5744" spans="5:10" s="1297" customFormat="1">
      <c r="E5744" s="1297" t="s">
        <v>1048</v>
      </c>
      <c r="F5744" s="1399"/>
      <c r="G5744" s="1399"/>
      <c r="H5744" s="1399"/>
      <c r="I5744" s="1399">
        <v>-3804959</v>
      </c>
      <c r="J5744" s="1399">
        <v>-3804959</v>
      </c>
    </row>
    <row r="5745" spans="5:10" s="1297" customFormat="1">
      <c r="E5745" s="1297" t="s">
        <v>932</v>
      </c>
      <c r="F5745" s="1399"/>
      <c r="G5745" s="1399"/>
      <c r="H5745" s="1399"/>
      <c r="I5745" s="1399">
        <v>1895689</v>
      </c>
      <c r="J5745" s="1399">
        <v>1895689</v>
      </c>
    </row>
    <row r="5746" spans="5:10" s="1297" customFormat="1">
      <c r="E5746" s="1404" t="s">
        <v>955</v>
      </c>
      <c r="F5746" s="1405"/>
      <c r="G5746" s="1405"/>
      <c r="H5746" s="1405"/>
      <c r="I5746" s="1405">
        <v>1658782.25</v>
      </c>
      <c r="J5746" s="1405">
        <v>1658782.25</v>
      </c>
    </row>
    <row r="5747" spans="5:10" s="1297" customFormat="1">
      <c r="E5747" s="1297" t="s">
        <v>934</v>
      </c>
      <c r="F5747" s="1399"/>
      <c r="G5747" s="1399"/>
      <c r="H5747" s="1399"/>
      <c r="I5747" s="1399">
        <v>88940</v>
      </c>
      <c r="J5747" s="1399">
        <v>88940</v>
      </c>
    </row>
    <row r="5748" spans="5:10" s="1297" customFormat="1">
      <c r="E5748" s="1297" t="s">
        <v>1130</v>
      </c>
      <c r="F5748" s="1399"/>
      <c r="G5748" s="1399"/>
      <c r="H5748" s="1399"/>
      <c r="I5748" s="1399">
        <v>3011303.1</v>
      </c>
      <c r="J5748" s="1399">
        <v>3011303.1</v>
      </c>
    </row>
    <row r="5749" spans="5:10" s="1297" customFormat="1">
      <c r="E5749" s="1297" t="s">
        <v>935</v>
      </c>
      <c r="F5749" s="1399"/>
      <c r="G5749" s="1399"/>
      <c r="H5749" s="1399"/>
      <c r="I5749" s="1399">
        <v>513630.05</v>
      </c>
      <c r="J5749" s="1399">
        <v>513630.05</v>
      </c>
    </row>
    <row r="5750" spans="5:10" s="1297" customFormat="1">
      <c r="E5750" s="1297" t="s">
        <v>936</v>
      </c>
      <c r="F5750" s="1399"/>
      <c r="G5750" s="1399"/>
      <c r="H5750" s="1399"/>
      <c r="I5750" s="1399">
        <v>80184.47</v>
      </c>
      <c r="J5750" s="1399">
        <v>80184.47</v>
      </c>
    </row>
    <row r="5751" spans="5:10" s="1297" customFormat="1">
      <c r="E5751" s="1297" t="s">
        <v>937</v>
      </c>
      <c r="F5751" s="1399"/>
      <c r="G5751" s="1399"/>
      <c r="H5751" s="1399"/>
      <c r="I5751" s="1399">
        <v>43887.39</v>
      </c>
      <c r="J5751" s="1399">
        <v>43887.39</v>
      </c>
    </row>
    <row r="5752" spans="5:10" s="1297" customFormat="1">
      <c r="E5752" s="1297" t="s">
        <v>938</v>
      </c>
      <c r="F5752" s="1399"/>
      <c r="G5752" s="1399"/>
      <c r="H5752" s="1399"/>
      <c r="I5752" s="1399">
        <v>30133</v>
      </c>
      <c r="J5752" s="1399">
        <v>30133</v>
      </c>
    </row>
    <row r="5753" spans="5:10" s="1297" customFormat="1">
      <c r="E5753" s="1297" t="s">
        <v>939</v>
      </c>
      <c r="F5753" s="1399"/>
      <c r="G5753" s="1399"/>
      <c r="H5753" s="1399"/>
      <c r="I5753" s="1399">
        <v>52213.52</v>
      </c>
      <c r="J5753" s="1399">
        <v>52213.52</v>
      </c>
    </row>
    <row r="5754" spans="5:10" s="1297" customFormat="1">
      <c r="E5754" s="1297" t="s">
        <v>940</v>
      </c>
      <c r="F5754" s="1399">
        <v>1581180.06</v>
      </c>
      <c r="G5754" s="1399"/>
      <c r="H5754" s="1399"/>
      <c r="I5754" s="1399"/>
      <c r="J5754" s="1399">
        <v>1581180.06</v>
      </c>
    </row>
    <row r="5755" spans="5:10" s="1297" customFormat="1">
      <c r="E5755" s="1297" t="s">
        <v>941</v>
      </c>
      <c r="F5755" s="1399">
        <v>606354.54</v>
      </c>
      <c r="G5755" s="1399"/>
      <c r="H5755" s="1399"/>
      <c r="I5755" s="1399"/>
      <c r="J5755" s="1399">
        <v>606354.54</v>
      </c>
    </row>
    <row r="5756" spans="5:10" s="1297" customFormat="1">
      <c r="E5756" s="1297" t="s">
        <v>943</v>
      </c>
      <c r="F5756" s="1399">
        <v>2643.28</v>
      </c>
      <c r="G5756" s="1399"/>
      <c r="H5756" s="1399"/>
      <c r="I5756" s="1399"/>
      <c r="J5756" s="1399">
        <v>2643.28</v>
      </c>
    </row>
    <row r="5757" spans="5:10" s="1297" customFormat="1">
      <c r="E5757" s="1297" t="s">
        <v>944</v>
      </c>
      <c r="F5757" s="1399">
        <v>3277392.91</v>
      </c>
      <c r="G5757" s="1399"/>
      <c r="H5757" s="1399"/>
      <c r="I5757" s="1399"/>
      <c r="J5757" s="1399">
        <v>3277392.91</v>
      </c>
    </row>
    <row r="5758" spans="5:10" s="1297" customFormat="1">
      <c r="E5758" s="1297" t="s">
        <v>945</v>
      </c>
      <c r="F5758" s="1399">
        <v>1936619.2300000002</v>
      </c>
      <c r="G5758" s="1399"/>
      <c r="H5758" s="1399"/>
      <c r="I5758" s="1399"/>
      <c r="J5758" s="1399">
        <v>1936619.2300000002</v>
      </c>
    </row>
    <row r="5759" spans="5:10" s="1297" customFormat="1">
      <c r="E5759" s="1297" t="s">
        <v>947</v>
      </c>
      <c r="F5759" s="1399">
        <v>131663.67999999999</v>
      </c>
      <c r="G5759" s="1399"/>
      <c r="H5759" s="1399"/>
      <c r="I5759" s="1399"/>
      <c r="J5759" s="1399">
        <v>131663.67999999999</v>
      </c>
    </row>
    <row r="5760" spans="5:10" s="1297" customFormat="1">
      <c r="E5760" s="1404" t="s">
        <v>1116</v>
      </c>
      <c r="F5760" s="1405"/>
      <c r="G5760" s="1405"/>
      <c r="H5760" s="1405">
        <v>6000000</v>
      </c>
      <c r="I5760" s="1405"/>
      <c r="J5760" s="1405">
        <v>6000000</v>
      </c>
    </row>
    <row r="5761" spans="2:12">
      <c r="B5761" s="1297"/>
      <c r="C5761" s="1297"/>
      <c r="D5761" s="1297"/>
      <c r="E5761" s="1404" t="s">
        <v>948</v>
      </c>
      <c r="F5761" s="1405"/>
      <c r="G5761" s="1405"/>
      <c r="H5761" s="1405">
        <v>121295.24</v>
      </c>
      <c r="I5761" s="1405"/>
      <c r="J5761" s="1405">
        <v>121295.24</v>
      </c>
    </row>
    <row r="5762" spans="2:12">
      <c r="B5762" s="1297"/>
      <c r="C5762" s="1297"/>
      <c r="D5762" s="1400" t="s">
        <v>1591</v>
      </c>
      <c r="E5762" s="1400"/>
      <c r="F5762" s="1401">
        <f>SUM(F5722:F5761)</f>
        <v>7535853.7000000002</v>
      </c>
      <c r="G5762" s="1401">
        <f>SUM(G5722:G5761)</f>
        <v>15726949.729999999</v>
      </c>
      <c r="H5762" s="1401">
        <f>SUM(H5722:H5761)-H5760+H5761</f>
        <v>2214399.4400000004</v>
      </c>
      <c r="I5762" s="1401">
        <f>SUM(I5722:I5761)-I5746</f>
        <v>27315439.530000001</v>
      </c>
      <c r="J5762" s="1401">
        <f>SUM(J5722:J5761)</f>
        <v>60330129.410000004</v>
      </c>
      <c r="K5762" s="1401">
        <f>SUM(F5762:I5762)</f>
        <v>52792642.400000006</v>
      </c>
      <c r="L5762" s="1408">
        <f>K5762/C5722</f>
        <v>10396.345490350534</v>
      </c>
    </row>
    <row r="5763" spans="2:12">
      <c r="B5763" s="1297" t="s">
        <v>1592</v>
      </c>
      <c r="C5763" s="1297">
        <v>438</v>
      </c>
      <c r="D5763" s="1297" t="s">
        <v>1593</v>
      </c>
      <c r="E5763" s="1297" t="s">
        <v>906</v>
      </c>
      <c r="G5763" s="1399">
        <v>1348503.63</v>
      </c>
      <c r="J5763" s="1399">
        <v>1348503.63</v>
      </c>
    </row>
    <row r="5764" spans="2:12">
      <c r="B5764" s="1297"/>
      <c r="C5764" s="1297"/>
      <c r="D5764" s="1297"/>
      <c r="E5764" s="1297" t="s">
        <v>952</v>
      </c>
      <c r="G5764" s="1399">
        <v>5977.2300000000005</v>
      </c>
      <c r="J5764" s="1399">
        <v>5977.2300000000005</v>
      </c>
    </row>
    <row r="5765" spans="2:12">
      <c r="B5765" s="1297"/>
      <c r="C5765" s="1297"/>
      <c r="D5765" s="1297"/>
      <c r="E5765" s="1297" t="s">
        <v>907</v>
      </c>
      <c r="G5765" s="1399">
        <v>190087.85</v>
      </c>
      <c r="J5765" s="1399">
        <v>190087.85</v>
      </c>
    </row>
    <row r="5766" spans="2:12">
      <c r="B5766" s="1297"/>
      <c r="C5766" s="1297"/>
      <c r="D5766" s="1297"/>
      <c r="E5766" s="1297" t="s">
        <v>995</v>
      </c>
      <c r="G5766" s="1399">
        <v>82228.240000000005</v>
      </c>
      <c r="J5766" s="1399">
        <v>82228.240000000005</v>
      </c>
    </row>
    <row r="5767" spans="2:12">
      <c r="B5767" s="1297"/>
      <c r="C5767" s="1297"/>
      <c r="D5767" s="1297"/>
      <c r="E5767" s="1297" t="s">
        <v>908</v>
      </c>
      <c r="G5767" s="1399">
        <v>2702.38</v>
      </c>
      <c r="J5767" s="1399">
        <v>2702.38</v>
      </c>
    </row>
    <row r="5768" spans="2:12">
      <c r="B5768" s="1297"/>
      <c r="C5768" s="1297"/>
      <c r="D5768" s="1297"/>
      <c r="E5768" s="1297" t="s">
        <v>910</v>
      </c>
      <c r="H5768" s="1399">
        <v>1377.4</v>
      </c>
      <c r="J5768" s="1399">
        <v>1377.4</v>
      </c>
    </row>
    <row r="5769" spans="2:12">
      <c r="B5769" s="1297"/>
      <c r="C5769" s="1297"/>
      <c r="D5769" s="1297"/>
      <c r="E5769" s="1297" t="s">
        <v>1034</v>
      </c>
      <c r="H5769" s="1399">
        <v>8791.92</v>
      </c>
      <c r="J5769" s="1399">
        <v>8791.92</v>
      </c>
    </row>
    <row r="5770" spans="2:12">
      <c r="B5770" s="1297"/>
      <c r="C5770" s="1297"/>
      <c r="D5770" s="1297"/>
      <c r="E5770" s="1297" t="s">
        <v>1035</v>
      </c>
      <c r="H5770" s="1399">
        <v>46640.56</v>
      </c>
      <c r="J5770" s="1399">
        <v>46640.56</v>
      </c>
    </row>
    <row r="5771" spans="2:12">
      <c r="B5771" s="1297"/>
      <c r="C5771" s="1297"/>
      <c r="D5771" s="1297"/>
      <c r="E5771" s="1297" t="s">
        <v>1036</v>
      </c>
      <c r="H5771" s="1399">
        <v>13201</v>
      </c>
      <c r="J5771" s="1399">
        <v>13201</v>
      </c>
    </row>
    <row r="5772" spans="2:12">
      <c r="B5772" s="1297"/>
      <c r="C5772" s="1297"/>
      <c r="D5772" s="1297"/>
      <c r="E5772" s="1297" t="s">
        <v>1037</v>
      </c>
      <c r="H5772" s="1399">
        <v>64211.83</v>
      </c>
      <c r="J5772" s="1399">
        <v>64211.83</v>
      </c>
    </row>
    <row r="5773" spans="2:12">
      <c r="B5773" s="1297"/>
      <c r="C5773" s="1297"/>
      <c r="D5773" s="1297"/>
      <c r="E5773" s="1297" t="s">
        <v>1039</v>
      </c>
      <c r="H5773" s="1399">
        <v>1174.1500000000001</v>
      </c>
      <c r="J5773" s="1399">
        <v>1174.1500000000001</v>
      </c>
    </row>
    <row r="5774" spans="2:12">
      <c r="B5774" s="1297"/>
      <c r="C5774" s="1297"/>
      <c r="D5774" s="1297"/>
      <c r="E5774" s="1297" t="s">
        <v>1042</v>
      </c>
      <c r="H5774" s="1399">
        <v>8373.7199999999993</v>
      </c>
      <c r="J5774" s="1399">
        <v>8373.7199999999993</v>
      </c>
    </row>
    <row r="5775" spans="2:12">
      <c r="B5775" s="1297"/>
      <c r="C5775" s="1297"/>
      <c r="D5775" s="1297"/>
      <c r="E5775" s="1297" t="s">
        <v>1203</v>
      </c>
      <c r="H5775" s="1399">
        <v>8422</v>
      </c>
      <c r="J5775" s="1399">
        <v>8422</v>
      </c>
    </row>
    <row r="5776" spans="2:12">
      <c r="B5776" s="1297"/>
      <c r="C5776" s="1297"/>
      <c r="D5776" s="1297"/>
      <c r="E5776" s="1297" t="s">
        <v>1045</v>
      </c>
      <c r="H5776" s="1399">
        <v>43939.509999999995</v>
      </c>
      <c r="J5776" s="1399">
        <v>43939.509999999995</v>
      </c>
    </row>
    <row r="5777" spans="5:10" s="1297" customFormat="1">
      <c r="E5777" s="1297" t="s">
        <v>1046</v>
      </c>
      <c r="F5777" s="1399"/>
      <c r="G5777" s="1399"/>
      <c r="H5777" s="1399"/>
      <c r="I5777" s="1399">
        <v>2451057</v>
      </c>
      <c r="J5777" s="1399">
        <v>2451057</v>
      </c>
    </row>
    <row r="5778" spans="5:10" s="1297" customFormat="1">
      <c r="E5778" s="1297" t="s">
        <v>1047</v>
      </c>
      <c r="F5778" s="1399"/>
      <c r="G5778" s="1399"/>
      <c r="H5778" s="1399"/>
      <c r="I5778" s="1399">
        <v>276247</v>
      </c>
      <c r="J5778" s="1399">
        <v>276247</v>
      </c>
    </row>
    <row r="5779" spans="5:10" s="1297" customFormat="1">
      <c r="E5779" s="1297" t="s">
        <v>1048</v>
      </c>
      <c r="F5779" s="1399"/>
      <c r="G5779" s="1399"/>
      <c r="H5779" s="1399"/>
      <c r="I5779" s="1399">
        <v>-389280</v>
      </c>
      <c r="J5779" s="1399">
        <v>-389280</v>
      </c>
    </row>
    <row r="5780" spans="5:10" s="1297" customFormat="1">
      <c r="E5780" s="1297" t="s">
        <v>932</v>
      </c>
      <c r="F5780" s="1399"/>
      <c r="G5780" s="1399"/>
      <c r="H5780" s="1399"/>
      <c r="I5780" s="1399">
        <v>99493</v>
      </c>
      <c r="J5780" s="1399">
        <v>99493</v>
      </c>
    </row>
    <row r="5781" spans="5:10" s="1297" customFormat="1">
      <c r="E5781" s="1297" t="s">
        <v>933</v>
      </c>
      <c r="F5781" s="1399"/>
      <c r="G5781" s="1399"/>
      <c r="H5781" s="1399"/>
      <c r="I5781" s="1399">
        <v>204523.76</v>
      </c>
      <c r="J5781" s="1399">
        <v>204523.76</v>
      </c>
    </row>
    <row r="5782" spans="5:10" s="1297" customFormat="1">
      <c r="E5782" s="1297" t="s">
        <v>934</v>
      </c>
      <c r="F5782" s="1399"/>
      <c r="G5782" s="1399"/>
      <c r="H5782" s="1399"/>
      <c r="I5782" s="1399">
        <v>8612</v>
      </c>
      <c r="J5782" s="1399">
        <v>8612</v>
      </c>
    </row>
    <row r="5783" spans="5:10" s="1297" customFormat="1">
      <c r="E5783" s="1297" t="s">
        <v>935</v>
      </c>
      <c r="F5783" s="1399"/>
      <c r="G5783" s="1399"/>
      <c r="H5783" s="1399"/>
      <c r="I5783" s="1399">
        <v>25314.45</v>
      </c>
      <c r="J5783" s="1399">
        <v>25314.45</v>
      </c>
    </row>
    <row r="5784" spans="5:10" s="1297" customFormat="1">
      <c r="E5784" s="1297" t="s">
        <v>936</v>
      </c>
      <c r="F5784" s="1399"/>
      <c r="G5784" s="1399"/>
      <c r="H5784" s="1399"/>
      <c r="I5784" s="1399">
        <v>8053.46</v>
      </c>
      <c r="J5784" s="1399">
        <v>8053.46</v>
      </c>
    </row>
    <row r="5785" spans="5:10" s="1297" customFormat="1">
      <c r="E5785" s="1297" t="s">
        <v>938</v>
      </c>
      <c r="F5785" s="1399"/>
      <c r="G5785" s="1399"/>
      <c r="H5785" s="1399"/>
      <c r="I5785" s="1399">
        <v>2807</v>
      </c>
      <c r="J5785" s="1399">
        <v>2807</v>
      </c>
    </row>
    <row r="5786" spans="5:10" s="1297" customFormat="1">
      <c r="E5786" s="1297" t="s">
        <v>939</v>
      </c>
      <c r="F5786" s="1399"/>
      <c r="G5786" s="1399"/>
      <c r="H5786" s="1399"/>
      <c r="I5786" s="1399">
        <v>1152.8</v>
      </c>
      <c r="J5786" s="1399">
        <v>1152.8</v>
      </c>
    </row>
    <row r="5787" spans="5:10" s="1297" customFormat="1">
      <c r="E5787" s="1297" t="s">
        <v>940</v>
      </c>
      <c r="F5787" s="1399">
        <v>134757.76000000001</v>
      </c>
      <c r="G5787" s="1399"/>
      <c r="H5787" s="1399"/>
      <c r="I5787" s="1399"/>
      <c r="J5787" s="1399">
        <v>134757.76000000001</v>
      </c>
    </row>
    <row r="5788" spans="5:10" s="1297" customFormat="1">
      <c r="E5788" s="1297" t="s">
        <v>941</v>
      </c>
      <c r="F5788" s="1399">
        <v>58114.68</v>
      </c>
      <c r="G5788" s="1399"/>
      <c r="H5788" s="1399"/>
      <c r="I5788" s="1399"/>
      <c r="J5788" s="1399">
        <v>58114.68</v>
      </c>
    </row>
    <row r="5789" spans="5:10" s="1297" customFormat="1">
      <c r="E5789" s="1297" t="s">
        <v>944</v>
      </c>
      <c r="F5789" s="1399">
        <v>381775.39</v>
      </c>
      <c r="G5789" s="1399"/>
      <c r="H5789" s="1399"/>
      <c r="I5789" s="1399"/>
      <c r="J5789" s="1399">
        <v>381775.39</v>
      </c>
    </row>
    <row r="5790" spans="5:10" s="1297" customFormat="1">
      <c r="E5790" s="1297" t="s">
        <v>945</v>
      </c>
      <c r="F5790" s="1399">
        <v>215820.95</v>
      </c>
      <c r="G5790" s="1399"/>
      <c r="H5790" s="1399"/>
      <c r="I5790" s="1399"/>
      <c r="J5790" s="1399">
        <v>215820.95</v>
      </c>
    </row>
    <row r="5791" spans="5:10" s="1297" customFormat="1">
      <c r="E5791" s="1297" t="s">
        <v>947</v>
      </c>
      <c r="F5791" s="1399">
        <v>11341.89</v>
      </c>
      <c r="G5791" s="1399"/>
      <c r="H5791" s="1399"/>
      <c r="I5791" s="1399"/>
      <c r="J5791" s="1399">
        <v>11341.89</v>
      </c>
    </row>
    <row r="5792" spans="5:10" s="1297" customFormat="1">
      <c r="E5792" s="1404" t="s">
        <v>948</v>
      </c>
      <c r="F5792" s="1405"/>
      <c r="G5792" s="1405"/>
      <c r="H5792" s="1405">
        <v>6190.76</v>
      </c>
      <c r="I5792" s="1405"/>
      <c r="J5792" s="1405">
        <v>6190.76</v>
      </c>
    </row>
    <row r="5793" spans="2:12">
      <c r="B5793" s="1297"/>
      <c r="C5793" s="1297"/>
      <c r="D5793" s="1400" t="s">
        <v>1594</v>
      </c>
      <c r="E5793" s="1400"/>
      <c r="F5793" s="1401">
        <f>SUM(F5763:F5792)</f>
        <v>801810.67</v>
      </c>
      <c r="G5793" s="1401">
        <f>SUM(G5763:G5792)</f>
        <v>1629499.3299999998</v>
      </c>
      <c r="H5793" s="1401">
        <f>SUM(H5763:H5792)-H5792</f>
        <v>196132.09000000003</v>
      </c>
      <c r="I5793" s="1401">
        <f>SUM(I5763:I5792)</f>
        <v>2687980.4699999997</v>
      </c>
      <c r="J5793" s="1401">
        <f>SUM(J5763:J5792)</f>
        <v>5321613.3199999984</v>
      </c>
      <c r="K5793" s="1401">
        <f>SUM(F5793:I5793)</f>
        <v>5315422.5599999996</v>
      </c>
      <c r="L5793" s="1408">
        <f>K5793/C5763</f>
        <v>12135.667945205478</v>
      </c>
    </row>
    <row r="5794" spans="2:12">
      <c r="B5794" s="1297" t="s">
        <v>1595</v>
      </c>
      <c r="C5794" s="1297">
        <v>932</v>
      </c>
      <c r="D5794" s="1297" t="s">
        <v>1596</v>
      </c>
      <c r="E5794" s="1297" t="s">
        <v>906</v>
      </c>
      <c r="G5794" s="1399">
        <v>1670541.09</v>
      </c>
      <c r="J5794" s="1399">
        <v>1670541.09</v>
      </c>
    </row>
    <row r="5795" spans="2:12">
      <c r="B5795" s="1297"/>
      <c r="C5795" s="1297"/>
      <c r="D5795" s="1297"/>
      <c r="E5795" s="1297" t="s">
        <v>952</v>
      </c>
      <c r="G5795" s="1399">
        <v>10721.36</v>
      </c>
      <c r="J5795" s="1399">
        <v>10721.36</v>
      </c>
    </row>
    <row r="5796" spans="2:12">
      <c r="B5796" s="1297"/>
      <c r="C5796" s="1297"/>
      <c r="D5796" s="1297"/>
      <c r="E5796" s="1297" t="s">
        <v>907</v>
      </c>
      <c r="G5796" s="1399">
        <v>513772.21</v>
      </c>
      <c r="J5796" s="1399">
        <v>513772.21</v>
      </c>
    </row>
    <row r="5797" spans="2:12">
      <c r="B5797" s="1297"/>
      <c r="C5797" s="1297"/>
      <c r="D5797" s="1297"/>
      <c r="E5797" s="1297" t="s">
        <v>1035</v>
      </c>
      <c r="H5797" s="1399">
        <v>327322.60000000003</v>
      </c>
      <c r="J5797" s="1399">
        <v>327322.60000000003</v>
      </c>
    </row>
    <row r="5798" spans="2:12">
      <c r="B5798" s="1297"/>
      <c r="C5798" s="1297"/>
      <c r="D5798" s="1297"/>
      <c r="E5798" s="1297" t="s">
        <v>1039</v>
      </c>
      <c r="H5798" s="1399">
        <v>5531.91</v>
      </c>
      <c r="J5798" s="1399">
        <v>5531.91</v>
      </c>
    </row>
    <row r="5799" spans="2:12">
      <c r="B5799" s="1297"/>
      <c r="C5799" s="1297"/>
      <c r="D5799" s="1297"/>
      <c r="E5799" s="1297" t="s">
        <v>1040</v>
      </c>
      <c r="H5799" s="1399">
        <v>39062.699999999997</v>
      </c>
      <c r="J5799" s="1399">
        <v>39062.699999999997</v>
      </c>
    </row>
    <row r="5800" spans="2:12">
      <c r="B5800" s="1297"/>
      <c r="C5800" s="1297"/>
      <c r="D5800" s="1297"/>
      <c r="E5800" s="1297" t="s">
        <v>1041</v>
      </c>
      <c r="H5800" s="1399">
        <v>5452.82</v>
      </c>
      <c r="J5800" s="1399">
        <v>5452.82</v>
      </c>
    </row>
    <row r="5801" spans="2:12">
      <c r="B5801" s="1297"/>
      <c r="C5801" s="1297"/>
      <c r="D5801" s="1297"/>
      <c r="E5801" s="1297" t="s">
        <v>1042</v>
      </c>
      <c r="H5801" s="1399">
        <v>21784.2</v>
      </c>
      <c r="J5801" s="1399">
        <v>21784.2</v>
      </c>
    </row>
    <row r="5802" spans="2:12">
      <c r="B5802" s="1297"/>
      <c r="C5802" s="1297"/>
      <c r="D5802" s="1297"/>
      <c r="E5802" s="1297" t="s">
        <v>1045</v>
      </c>
      <c r="H5802" s="1399">
        <v>238649.02</v>
      </c>
      <c r="J5802" s="1399">
        <v>238649.02</v>
      </c>
    </row>
    <row r="5803" spans="2:12">
      <c r="B5803" s="1297"/>
      <c r="C5803" s="1297"/>
      <c r="D5803" s="1297"/>
      <c r="E5803" s="1297" t="s">
        <v>1046</v>
      </c>
      <c r="I5803" s="1399">
        <v>4805190</v>
      </c>
      <c r="J5803" s="1399">
        <v>4805190</v>
      </c>
    </row>
    <row r="5804" spans="2:12">
      <c r="B5804" s="1297"/>
      <c r="C5804" s="1297"/>
      <c r="D5804" s="1297"/>
      <c r="E5804" s="1297" t="s">
        <v>1047</v>
      </c>
      <c r="I5804" s="1399">
        <v>245615</v>
      </c>
      <c r="J5804" s="1399">
        <v>245615</v>
      </c>
    </row>
    <row r="5805" spans="2:12">
      <c r="B5805" s="1297"/>
      <c r="C5805" s="1297"/>
      <c r="D5805" s="1297"/>
      <c r="E5805" s="1297" t="s">
        <v>1048</v>
      </c>
      <c r="I5805" s="1399">
        <v>-518508</v>
      </c>
      <c r="J5805" s="1399">
        <v>-518508</v>
      </c>
    </row>
    <row r="5806" spans="2:12">
      <c r="B5806" s="1297"/>
      <c r="C5806" s="1297"/>
      <c r="D5806" s="1297"/>
      <c r="E5806" s="1297" t="s">
        <v>932</v>
      </c>
      <c r="I5806" s="1399">
        <v>785700</v>
      </c>
      <c r="J5806" s="1399">
        <v>785700</v>
      </c>
    </row>
    <row r="5807" spans="2:12">
      <c r="B5807" s="1297"/>
      <c r="C5807" s="1297"/>
      <c r="D5807" s="1297"/>
      <c r="E5807" s="1404" t="s">
        <v>955</v>
      </c>
      <c r="F5807" s="1405"/>
      <c r="G5807" s="1405"/>
      <c r="H5807" s="1405"/>
      <c r="I5807" s="1405">
        <v>264878.05</v>
      </c>
      <c r="J5807" s="1405">
        <v>264878.05</v>
      </c>
    </row>
    <row r="5808" spans="2:12">
      <c r="B5808" s="1297"/>
      <c r="C5808" s="1297"/>
      <c r="D5808" s="1297"/>
      <c r="E5808" s="1297" t="s">
        <v>934</v>
      </c>
      <c r="I5808" s="1399">
        <v>17746</v>
      </c>
      <c r="J5808" s="1399">
        <v>17746</v>
      </c>
    </row>
    <row r="5809" spans="2:12">
      <c r="B5809" s="1297"/>
      <c r="C5809" s="1297"/>
      <c r="D5809" s="1297"/>
      <c r="E5809" s="1297" t="s">
        <v>1130</v>
      </c>
      <c r="I5809" s="1399">
        <v>375327</v>
      </c>
      <c r="J5809" s="1399">
        <v>375327</v>
      </c>
    </row>
    <row r="5810" spans="2:12">
      <c r="B5810" s="1297"/>
      <c r="C5810" s="1297"/>
      <c r="D5810" s="1297"/>
      <c r="E5810" s="1297" t="s">
        <v>935</v>
      </c>
      <c r="I5810" s="1399">
        <v>192579.34</v>
      </c>
      <c r="J5810" s="1399">
        <v>192579.34</v>
      </c>
    </row>
    <row r="5811" spans="2:12">
      <c r="B5811" s="1297"/>
      <c r="C5811" s="1297"/>
      <c r="D5811" s="1297"/>
      <c r="E5811" s="1297" t="s">
        <v>936</v>
      </c>
      <c r="I5811" s="1399">
        <v>20308.73</v>
      </c>
      <c r="J5811" s="1399">
        <v>20308.73</v>
      </c>
    </row>
    <row r="5812" spans="2:12">
      <c r="B5812" s="1297"/>
      <c r="C5812" s="1297"/>
      <c r="D5812" s="1297"/>
      <c r="E5812" s="1297" t="s">
        <v>938</v>
      </c>
      <c r="I5812" s="1399">
        <v>5240</v>
      </c>
      <c r="J5812" s="1399">
        <v>5240</v>
      </c>
    </row>
    <row r="5813" spans="2:12">
      <c r="B5813" s="1297"/>
      <c r="C5813" s="1297"/>
      <c r="D5813" s="1297"/>
      <c r="E5813" s="1297" t="s">
        <v>940</v>
      </c>
      <c r="F5813" s="1399">
        <v>314675.96000000002</v>
      </c>
      <c r="J5813" s="1399">
        <v>314675.96000000002</v>
      </c>
    </row>
    <row r="5814" spans="2:12">
      <c r="B5814" s="1297"/>
      <c r="C5814" s="1297"/>
      <c r="D5814" s="1297"/>
      <c r="E5814" s="1297" t="s">
        <v>941</v>
      </c>
      <c r="F5814" s="1399">
        <v>137923.72</v>
      </c>
      <c r="J5814" s="1399">
        <v>137923.72</v>
      </c>
    </row>
    <row r="5815" spans="2:12">
      <c r="B5815" s="1297"/>
      <c r="C5815" s="1297"/>
      <c r="D5815" s="1297"/>
      <c r="E5815" s="1297" t="s">
        <v>944</v>
      </c>
      <c r="F5815" s="1399">
        <v>895500.7</v>
      </c>
      <c r="J5815" s="1399">
        <v>895500.7</v>
      </c>
    </row>
    <row r="5816" spans="2:12">
      <c r="B5816" s="1297"/>
      <c r="C5816" s="1297"/>
      <c r="D5816" s="1297"/>
      <c r="E5816" s="1297" t="s">
        <v>945</v>
      </c>
      <c r="F5816" s="1399">
        <v>492585.72000000003</v>
      </c>
      <c r="J5816" s="1399">
        <v>492585.72000000003</v>
      </c>
    </row>
    <row r="5817" spans="2:12">
      <c r="B5817" s="1297"/>
      <c r="C5817" s="1297"/>
      <c r="D5817" s="1297"/>
      <c r="E5817" s="1297" t="s">
        <v>947</v>
      </c>
      <c r="F5817" s="1399">
        <v>31753.63</v>
      </c>
      <c r="J5817" s="1399">
        <v>31753.63</v>
      </c>
    </row>
    <row r="5818" spans="2:12">
      <c r="B5818" s="1297"/>
      <c r="C5818" s="1297"/>
      <c r="D5818" s="1297"/>
      <c r="E5818" s="1404" t="s">
        <v>1116</v>
      </c>
      <c r="F5818" s="1405"/>
      <c r="G5818" s="1405"/>
      <c r="H5818" s="1405">
        <v>1500000</v>
      </c>
      <c r="I5818" s="1405"/>
      <c r="J5818" s="1405">
        <v>1500000</v>
      </c>
    </row>
    <row r="5819" spans="2:12">
      <c r="B5819" s="1297"/>
      <c r="C5819" s="1297"/>
      <c r="D5819" s="1297"/>
      <c r="E5819" s="1404" t="s">
        <v>948</v>
      </c>
      <c r="F5819" s="1405"/>
      <c r="G5819" s="1405"/>
      <c r="H5819" s="1405">
        <v>295669.05000000005</v>
      </c>
      <c r="I5819" s="1405"/>
      <c r="J5819" s="1405">
        <v>295669.05000000005</v>
      </c>
    </row>
    <row r="5820" spans="2:12">
      <c r="B5820" s="1297"/>
      <c r="C5820" s="1297"/>
      <c r="D5820" s="1297"/>
      <c r="E5820" s="1297" t="s">
        <v>956</v>
      </c>
      <c r="H5820" s="1399">
        <v>9835</v>
      </c>
      <c r="J5820" s="1399">
        <v>9835</v>
      </c>
    </row>
    <row r="5821" spans="2:12">
      <c r="B5821" s="1297"/>
      <c r="C5821" s="1297"/>
      <c r="D5821" s="1400" t="s">
        <v>1597</v>
      </c>
      <c r="E5821" s="1400"/>
      <c r="F5821" s="1401">
        <f>SUM(F5794:F5820)</f>
        <v>1872439.7299999997</v>
      </c>
      <c r="G5821" s="1401">
        <f>SUM(G5794:G5820)</f>
        <v>2195034.66</v>
      </c>
      <c r="H5821" s="1401">
        <f>SUM(H5794:H5820)-(H5818+H5819)</f>
        <v>647638.24999999977</v>
      </c>
      <c r="I5821" s="1401">
        <f>SUM(I5794:I5820)-I5807</f>
        <v>5929198.0700000003</v>
      </c>
      <c r="J5821" s="1401">
        <f>SUM(J5794:J5820)</f>
        <v>12704857.810000004</v>
      </c>
      <c r="K5821" s="1401">
        <f>SUM(F5821:I5821)</f>
        <v>10644310.710000001</v>
      </c>
      <c r="L5821" s="1408">
        <f>K5821/C5794</f>
        <v>11420.934238197426</v>
      </c>
    </row>
    <row r="5822" spans="2:12">
      <c r="B5822" s="1297" t="s">
        <v>1598</v>
      </c>
      <c r="C5822" s="1297">
        <v>3736</v>
      </c>
      <c r="D5822" s="1297" t="s">
        <v>1599</v>
      </c>
      <c r="E5822" s="1297" t="s">
        <v>906</v>
      </c>
      <c r="G5822" s="1399">
        <v>15661082.6</v>
      </c>
      <c r="J5822" s="1399">
        <v>15661082.6</v>
      </c>
    </row>
    <row r="5823" spans="2:12">
      <c r="B5823" s="1297"/>
      <c r="C5823" s="1297"/>
      <c r="D5823" s="1297"/>
      <c r="E5823" s="1297" t="s">
        <v>952</v>
      </c>
      <c r="G5823" s="1399">
        <v>181456.73</v>
      </c>
      <c r="J5823" s="1399">
        <v>181456.73</v>
      </c>
    </row>
    <row r="5824" spans="2:12">
      <c r="B5824" s="1297"/>
      <c r="C5824" s="1297"/>
      <c r="D5824" s="1297"/>
      <c r="E5824" s="1297" t="s">
        <v>907</v>
      </c>
      <c r="G5824" s="1399">
        <v>3186507.11</v>
      </c>
      <c r="J5824" s="1399">
        <v>3186507.11</v>
      </c>
    </row>
    <row r="5825" spans="5:10" s="1297" customFormat="1">
      <c r="E5825" s="1297" t="s">
        <v>909</v>
      </c>
      <c r="F5825" s="1399"/>
      <c r="G5825" s="1399"/>
      <c r="H5825" s="1399">
        <v>93510.56</v>
      </c>
      <c r="I5825" s="1399"/>
      <c r="J5825" s="1399">
        <v>93510.56</v>
      </c>
    </row>
    <row r="5826" spans="5:10" s="1297" customFormat="1">
      <c r="E5826" s="1297" t="s">
        <v>910</v>
      </c>
      <c r="F5826" s="1399"/>
      <c r="G5826" s="1399"/>
      <c r="H5826" s="1399">
        <v>26387</v>
      </c>
      <c r="I5826" s="1399"/>
      <c r="J5826" s="1399">
        <v>26387</v>
      </c>
    </row>
    <row r="5827" spans="5:10" s="1297" customFormat="1">
      <c r="E5827" s="1297" t="s">
        <v>1034</v>
      </c>
      <c r="F5827" s="1399"/>
      <c r="G5827" s="1399"/>
      <c r="H5827" s="1399">
        <v>63067.86</v>
      </c>
      <c r="I5827" s="1399"/>
      <c r="J5827" s="1399">
        <v>63067.86</v>
      </c>
    </row>
    <row r="5828" spans="5:10" s="1297" customFormat="1">
      <c r="E5828" s="1297" t="s">
        <v>1035</v>
      </c>
      <c r="F5828" s="1399"/>
      <c r="G5828" s="1399"/>
      <c r="H5828" s="1399">
        <v>796538.11</v>
      </c>
      <c r="I5828" s="1399"/>
      <c r="J5828" s="1399">
        <v>796538.11</v>
      </c>
    </row>
    <row r="5829" spans="5:10" s="1297" customFormat="1">
      <c r="E5829" s="1297" t="s">
        <v>1036</v>
      </c>
      <c r="F5829" s="1399"/>
      <c r="G5829" s="1399"/>
      <c r="H5829" s="1399">
        <v>164831.42000000001</v>
      </c>
      <c r="I5829" s="1399"/>
      <c r="J5829" s="1399">
        <v>164831.42000000001</v>
      </c>
    </row>
    <row r="5830" spans="5:10" s="1297" customFormat="1">
      <c r="E5830" s="1297" t="s">
        <v>1003</v>
      </c>
      <c r="F5830" s="1399"/>
      <c r="G5830" s="1399"/>
      <c r="H5830" s="1399">
        <v>4519.01</v>
      </c>
      <c r="I5830" s="1399"/>
      <c r="J5830" s="1399">
        <v>4519.01</v>
      </c>
    </row>
    <row r="5831" spans="5:10" s="1297" customFormat="1">
      <c r="E5831" s="1297" t="s">
        <v>1039</v>
      </c>
      <c r="F5831" s="1399"/>
      <c r="G5831" s="1399"/>
      <c r="H5831" s="1399">
        <v>49477.549999999996</v>
      </c>
      <c r="I5831" s="1399"/>
      <c r="J5831" s="1399">
        <v>49477.549999999996</v>
      </c>
    </row>
    <row r="5832" spans="5:10" s="1297" customFormat="1">
      <c r="E5832" s="1297" t="s">
        <v>1040</v>
      </c>
      <c r="F5832" s="1399"/>
      <c r="G5832" s="1399"/>
      <c r="H5832" s="1399">
        <v>407997.95</v>
      </c>
      <c r="I5832" s="1399"/>
      <c r="J5832" s="1399">
        <v>407997.95</v>
      </c>
    </row>
    <row r="5833" spans="5:10" s="1297" customFormat="1">
      <c r="E5833" s="1297" t="s">
        <v>1041</v>
      </c>
      <c r="F5833" s="1399"/>
      <c r="G5833" s="1399"/>
      <c r="H5833" s="1399">
        <v>171659.61000000002</v>
      </c>
      <c r="I5833" s="1399"/>
      <c r="J5833" s="1399">
        <v>171659.61000000002</v>
      </c>
    </row>
    <row r="5834" spans="5:10" s="1297" customFormat="1">
      <c r="E5834" s="1297" t="s">
        <v>1042</v>
      </c>
      <c r="F5834" s="1399"/>
      <c r="G5834" s="1399"/>
      <c r="H5834" s="1399">
        <v>80802.69</v>
      </c>
      <c r="I5834" s="1399"/>
      <c r="J5834" s="1399">
        <v>80802.69</v>
      </c>
    </row>
    <row r="5835" spans="5:10" s="1297" customFormat="1">
      <c r="E5835" s="1297" t="s">
        <v>1043</v>
      </c>
      <c r="F5835" s="1399"/>
      <c r="G5835" s="1399"/>
      <c r="H5835" s="1399">
        <v>37000</v>
      </c>
      <c r="I5835" s="1399"/>
      <c r="J5835" s="1399">
        <v>37000</v>
      </c>
    </row>
    <row r="5836" spans="5:10" s="1297" customFormat="1">
      <c r="E5836" s="1297" t="s">
        <v>986</v>
      </c>
      <c r="F5836" s="1399"/>
      <c r="G5836" s="1399"/>
      <c r="H5836" s="1399">
        <v>100000</v>
      </c>
      <c r="I5836" s="1399"/>
      <c r="J5836" s="1399">
        <v>100000</v>
      </c>
    </row>
    <row r="5837" spans="5:10" s="1297" customFormat="1">
      <c r="E5837" s="1297" t="s">
        <v>990</v>
      </c>
      <c r="F5837" s="1399"/>
      <c r="G5837" s="1399"/>
      <c r="H5837" s="1399">
        <v>2157.2399999999998</v>
      </c>
      <c r="I5837" s="1399"/>
      <c r="J5837" s="1399">
        <v>2157.2399999999998</v>
      </c>
    </row>
    <row r="5838" spans="5:10" s="1297" customFormat="1">
      <c r="E5838" s="1297" t="s">
        <v>996</v>
      </c>
      <c r="F5838" s="1399"/>
      <c r="G5838" s="1399"/>
      <c r="H5838" s="1399">
        <v>24600</v>
      </c>
      <c r="I5838" s="1399"/>
      <c r="J5838" s="1399">
        <v>24600</v>
      </c>
    </row>
    <row r="5839" spans="5:10" s="1297" customFormat="1">
      <c r="E5839" s="1297" t="s">
        <v>1045</v>
      </c>
      <c r="F5839" s="1399"/>
      <c r="G5839" s="1399"/>
      <c r="H5839" s="1399">
        <v>281384.56</v>
      </c>
      <c r="I5839" s="1399"/>
      <c r="J5839" s="1399">
        <v>281384.56</v>
      </c>
    </row>
    <row r="5840" spans="5:10" s="1297" customFormat="1">
      <c r="E5840" s="1297" t="s">
        <v>1046</v>
      </c>
      <c r="F5840" s="1399"/>
      <c r="G5840" s="1399"/>
      <c r="H5840" s="1399"/>
      <c r="I5840" s="1399">
        <v>20983932</v>
      </c>
      <c r="J5840" s="1399">
        <v>20983932</v>
      </c>
    </row>
    <row r="5841" spans="5:10" s="1297" customFormat="1">
      <c r="E5841" s="1297" t="s">
        <v>1128</v>
      </c>
      <c r="F5841" s="1399"/>
      <c r="G5841" s="1399"/>
      <c r="H5841" s="1399"/>
      <c r="I5841" s="1399">
        <v>1743472</v>
      </c>
      <c r="J5841" s="1399">
        <v>1743472</v>
      </c>
    </row>
    <row r="5842" spans="5:10" s="1297" customFormat="1">
      <c r="E5842" s="1297" t="s">
        <v>1129</v>
      </c>
      <c r="F5842" s="1399"/>
      <c r="G5842" s="1399"/>
      <c r="H5842" s="1399"/>
      <c r="I5842" s="1399">
        <v>-2592843</v>
      </c>
      <c r="J5842" s="1399">
        <v>-2592843</v>
      </c>
    </row>
    <row r="5843" spans="5:10" s="1297" customFormat="1">
      <c r="E5843" s="1297" t="s">
        <v>1047</v>
      </c>
      <c r="F5843" s="1399"/>
      <c r="G5843" s="1399"/>
      <c r="H5843" s="1399"/>
      <c r="I5843" s="1399">
        <v>594554</v>
      </c>
      <c r="J5843" s="1399">
        <v>594554</v>
      </c>
    </row>
    <row r="5844" spans="5:10" s="1297" customFormat="1">
      <c r="E5844" s="1297" t="s">
        <v>1048</v>
      </c>
      <c r="F5844" s="1399"/>
      <c r="G5844" s="1399"/>
      <c r="H5844" s="1399"/>
      <c r="I5844" s="1399">
        <v>-4571980</v>
      </c>
      <c r="J5844" s="1399">
        <v>-4571980</v>
      </c>
    </row>
    <row r="5845" spans="5:10" s="1297" customFormat="1">
      <c r="E5845" s="1297" t="s">
        <v>934</v>
      </c>
      <c r="F5845" s="1399"/>
      <c r="G5845" s="1399"/>
      <c r="H5845" s="1399"/>
      <c r="I5845" s="1399">
        <v>64800</v>
      </c>
      <c r="J5845" s="1399">
        <v>64800</v>
      </c>
    </row>
    <row r="5846" spans="5:10" s="1297" customFormat="1">
      <c r="E5846" s="1297" t="s">
        <v>1130</v>
      </c>
      <c r="F5846" s="1399"/>
      <c r="G5846" s="1399"/>
      <c r="H5846" s="1399"/>
      <c r="I5846" s="1399">
        <v>3093723.43</v>
      </c>
      <c r="J5846" s="1399">
        <v>3093723.43</v>
      </c>
    </row>
    <row r="5847" spans="5:10" s="1297" customFormat="1">
      <c r="E5847" s="1297" t="s">
        <v>935</v>
      </c>
      <c r="F5847" s="1399"/>
      <c r="G5847" s="1399"/>
      <c r="H5847" s="1399"/>
      <c r="I5847" s="1399">
        <v>460923.5</v>
      </c>
      <c r="J5847" s="1399">
        <v>460923.5</v>
      </c>
    </row>
    <row r="5848" spans="5:10" s="1297" customFormat="1">
      <c r="E5848" s="1297" t="s">
        <v>936</v>
      </c>
      <c r="F5848" s="1399"/>
      <c r="G5848" s="1399"/>
      <c r="H5848" s="1399"/>
      <c r="I5848" s="1399">
        <v>82985.679999999993</v>
      </c>
      <c r="J5848" s="1399">
        <v>82985.679999999993</v>
      </c>
    </row>
    <row r="5849" spans="5:10" s="1297" customFormat="1">
      <c r="E5849" s="1297" t="s">
        <v>937</v>
      </c>
      <c r="F5849" s="1399"/>
      <c r="G5849" s="1399"/>
      <c r="H5849" s="1399"/>
      <c r="I5849" s="1399">
        <v>26805.01</v>
      </c>
      <c r="J5849" s="1399">
        <v>26805.01</v>
      </c>
    </row>
    <row r="5850" spans="5:10" s="1297" customFormat="1">
      <c r="E5850" s="1297" t="s">
        <v>938</v>
      </c>
      <c r="F5850" s="1399"/>
      <c r="G5850" s="1399"/>
      <c r="H5850" s="1399"/>
      <c r="I5850" s="1399">
        <v>18154</v>
      </c>
      <c r="J5850" s="1399">
        <v>18154</v>
      </c>
    </row>
    <row r="5851" spans="5:10" s="1297" customFormat="1">
      <c r="E5851" s="1297" t="s">
        <v>939</v>
      </c>
      <c r="F5851" s="1399"/>
      <c r="G5851" s="1399"/>
      <c r="H5851" s="1399"/>
      <c r="I5851" s="1399">
        <v>298977.93</v>
      </c>
      <c r="J5851" s="1399">
        <v>298977.93</v>
      </c>
    </row>
    <row r="5852" spans="5:10" s="1297" customFormat="1">
      <c r="E5852" s="1297" t="s">
        <v>940</v>
      </c>
      <c r="F5852" s="1399">
        <v>940829.13</v>
      </c>
      <c r="G5852" s="1399"/>
      <c r="H5852" s="1399"/>
      <c r="I5852" s="1399"/>
      <c r="J5852" s="1399">
        <v>940829.13</v>
      </c>
    </row>
    <row r="5853" spans="5:10" s="1297" customFormat="1">
      <c r="E5853" s="1297" t="s">
        <v>941</v>
      </c>
      <c r="F5853" s="1399">
        <v>295953.08</v>
      </c>
      <c r="G5853" s="1399"/>
      <c r="H5853" s="1399"/>
      <c r="I5853" s="1399"/>
      <c r="J5853" s="1399">
        <v>295953.08</v>
      </c>
    </row>
    <row r="5854" spans="5:10" s="1297" customFormat="1">
      <c r="E5854" s="1297" t="s">
        <v>944</v>
      </c>
      <c r="F5854" s="1399">
        <v>2583769.54</v>
      </c>
      <c r="G5854" s="1399"/>
      <c r="H5854" s="1399"/>
      <c r="I5854" s="1399"/>
      <c r="J5854" s="1399">
        <v>2583769.54</v>
      </c>
    </row>
    <row r="5855" spans="5:10" s="1297" customFormat="1">
      <c r="E5855" s="1297" t="s">
        <v>945</v>
      </c>
      <c r="F5855" s="1399">
        <v>1705059.06</v>
      </c>
      <c r="G5855" s="1399"/>
      <c r="H5855" s="1399"/>
      <c r="I5855" s="1399"/>
      <c r="J5855" s="1399">
        <v>1705059.06</v>
      </c>
    </row>
    <row r="5856" spans="5:10" s="1297" customFormat="1">
      <c r="E5856" s="1297" t="s">
        <v>946</v>
      </c>
      <c r="F5856" s="1399">
        <v>38198.75</v>
      </c>
      <c r="G5856" s="1399"/>
      <c r="H5856" s="1399"/>
      <c r="I5856" s="1399"/>
      <c r="J5856" s="1399">
        <v>38198.75</v>
      </c>
    </row>
    <row r="5857" spans="2:12">
      <c r="B5857" s="1297"/>
      <c r="C5857" s="1297"/>
      <c r="D5857" s="1297"/>
      <c r="E5857" s="1297" t="s">
        <v>947</v>
      </c>
      <c r="F5857" s="1399">
        <v>102053.82999999999</v>
      </c>
      <c r="J5857" s="1399">
        <v>102053.82999999999</v>
      </c>
    </row>
    <row r="5858" spans="2:12">
      <c r="B5858" s="1297"/>
      <c r="C5858" s="1297"/>
      <c r="D5858" s="1297"/>
      <c r="E5858" s="1297" t="s">
        <v>1115</v>
      </c>
      <c r="F5858" s="1399">
        <v>42241.41</v>
      </c>
      <c r="J5858" s="1399">
        <v>42241.41</v>
      </c>
    </row>
    <row r="5859" spans="2:12">
      <c r="B5859" s="1297"/>
      <c r="C5859" s="1297"/>
      <c r="D5859" s="1297"/>
      <c r="E5859" s="1404" t="s">
        <v>948</v>
      </c>
      <c r="F5859" s="1405"/>
      <c r="G5859" s="1405"/>
      <c r="H5859" s="1405">
        <v>7524043.879999998</v>
      </c>
      <c r="I5859" s="1405"/>
      <c r="J5859" s="1405">
        <v>7524043.879999998</v>
      </c>
    </row>
    <row r="5860" spans="2:12">
      <c r="B5860" s="1297"/>
      <c r="C5860" s="1297"/>
      <c r="D5860" s="1297"/>
      <c r="E5860" s="1297" t="s">
        <v>956</v>
      </c>
      <c r="H5860" s="1399">
        <v>-100919.54</v>
      </c>
      <c r="J5860" s="1399">
        <v>-100919.54</v>
      </c>
    </row>
    <row r="5861" spans="2:12">
      <c r="B5861" s="1297"/>
      <c r="C5861" s="1297"/>
      <c r="D5861" s="1297"/>
      <c r="E5861" s="1297" t="s">
        <v>1118</v>
      </c>
      <c r="H5861" s="1399">
        <v>113116</v>
      </c>
      <c r="J5861" s="1399">
        <v>113116</v>
      </c>
    </row>
    <row r="5862" spans="2:12">
      <c r="B5862" s="1297"/>
      <c r="C5862" s="1297"/>
      <c r="D5862" s="1400" t="s">
        <v>1600</v>
      </c>
      <c r="E5862" s="1400"/>
      <c r="F5862" s="1401">
        <f>SUM(F5822:F5861)</f>
        <v>5708104.8000000007</v>
      </c>
      <c r="G5862" s="1401">
        <f>SUM(G5822:G5861)</f>
        <v>19029046.440000001</v>
      </c>
      <c r="H5862" s="1401">
        <f>SUM(H5822:H5861)-H5859</f>
        <v>2316130.0200000005</v>
      </c>
      <c r="I5862" s="1401">
        <f>SUM(I5822:I5861)</f>
        <v>20203504.550000001</v>
      </c>
      <c r="J5862" s="1401">
        <f>SUM(J5822:J5861)</f>
        <v>54780829.68999999</v>
      </c>
      <c r="K5862" s="1401">
        <f>SUM(F5862:I5862)</f>
        <v>47256785.810000002</v>
      </c>
      <c r="L5862" s="1408">
        <f>K5862/C5822</f>
        <v>12649.032604389722</v>
      </c>
    </row>
    <row r="5863" spans="2:12">
      <c r="B5863" s="1297" t="s">
        <v>1601</v>
      </c>
      <c r="C5863" s="1297">
        <v>13047</v>
      </c>
      <c r="D5863" s="1297" t="s">
        <v>1602</v>
      </c>
      <c r="E5863" s="1297" t="s">
        <v>906</v>
      </c>
      <c r="G5863" s="1399">
        <v>24205561.050000001</v>
      </c>
      <c r="J5863" s="1399">
        <v>24205561.050000001</v>
      </c>
    </row>
    <row r="5864" spans="2:12">
      <c r="B5864" s="1297"/>
      <c r="C5864" s="1297"/>
      <c r="D5864" s="1297"/>
      <c r="E5864" s="1297" t="s">
        <v>952</v>
      </c>
      <c r="G5864" s="1399">
        <v>341490.76</v>
      </c>
      <c r="J5864" s="1399">
        <v>341490.76</v>
      </c>
    </row>
    <row r="5865" spans="2:12">
      <c r="B5865" s="1297"/>
      <c r="C5865" s="1297"/>
      <c r="D5865" s="1297"/>
      <c r="E5865" s="1297" t="s">
        <v>907</v>
      </c>
      <c r="G5865" s="1399">
        <v>12520569.23</v>
      </c>
      <c r="J5865" s="1399">
        <v>12520569.23</v>
      </c>
    </row>
    <row r="5866" spans="2:12">
      <c r="B5866" s="1297"/>
      <c r="C5866" s="1297"/>
      <c r="D5866" s="1297"/>
      <c r="E5866" s="1297" t="s">
        <v>908</v>
      </c>
      <c r="G5866" s="1399">
        <v>909609.8</v>
      </c>
      <c r="J5866" s="1399">
        <v>909609.8</v>
      </c>
    </row>
    <row r="5867" spans="2:12">
      <c r="B5867" s="1297"/>
      <c r="C5867" s="1297"/>
      <c r="D5867" s="1297"/>
      <c r="E5867" s="1297" t="s">
        <v>909</v>
      </c>
      <c r="H5867" s="1399">
        <v>92084.500000000015</v>
      </c>
      <c r="J5867" s="1399">
        <v>92084.500000000015</v>
      </c>
    </row>
    <row r="5868" spans="2:12">
      <c r="B5868" s="1297"/>
      <c r="C5868" s="1297"/>
      <c r="D5868" s="1297"/>
      <c r="E5868" s="1297" t="s">
        <v>910</v>
      </c>
      <c r="H5868" s="1399">
        <v>951560.15</v>
      </c>
      <c r="J5868" s="1399">
        <v>951560.15</v>
      </c>
    </row>
    <row r="5869" spans="2:12">
      <c r="B5869" s="1297"/>
      <c r="C5869" s="1297"/>
      <c r="D5869" s="1297"/>
      <c r="E5869" s="1297" t="s">
        <v>1034</v>
      </c>
      <c r="H5869" s="1399">
        <v>227124.18999999997</v>
      </c>
      <c r="J5869" s="1399">
        <v>227124.18999999997</v>
      </c>
    </row>
    <row r="5870" spans="2:12">
      <c r="B5870" s="1297"/>
      <c r="C5870" s="1297"/>
      <c r="D5870" s="1297"/>
      <c r="E5870" s="1297" t="s">
        <v>1035</v>
      </c>
      <c r="H5870" s="1399">
        <v>1060655.56</v>
      </c>
      <c r="J5870" s="1399">
        <v>1060655.56</v>
      </c>
    </row>
    <row r="5871" spans="2:12">
      <c r="B5871" s="1297"/>
      <c r="C5871" s="1297"/>
      <c r="D5871" s="1297"/>
      <c r="E5871" s="1297" t="s">
        <v>1036</v>
      </c>
      <c r="H5871" s="1399">
        <v>250772.81</v>
      </c>
      <c r="J5871" s="1399">
        <v>250772.81</v>
      </c>
    </row>
    <row r="5872" spans="2:12">
      <c r="B5872" s="1297"/>
      <c r="C5872" s="1297"/>
      <c r="D5872" s="1297"/>
      <c r="E5872" s="1297" t="s">
        <v>1037</v>
      </c>
      <c r="H5872" s="1399">
        <v>16109</v>
      </c>
      <c r="J5872" s="1399">
        <v>16109</v>
      </c>
    </row>
    <row r="5873" spans="5:10" s="1297" customFormat="1">
      <c r="E5873" s="1297" t="s">
        <v>1038</v>
      </c>
      <c r="F5873" s="1399"/>
      <c r="G5873" s="1399"/>
      <c r="H5873" s="1399">
        <v>9430</v>
      </c>
      <c r="I5873" s="1399"/>
      <c r="J5873" s="1399">
        <v>9430</v>
      </c>
    </row>
    <row r="5874" spans="5:10" s="1297" customFormat="1">
      <c r="E5874" s="1297" t="s">
        <v>1039</v>
      </c>
      <c r="F5874" s="1399"/>
      <c r="G5874" s="1399"/>
      <c r="H5874" s="1399">
        <v>288771.52</v>
      </c>
      <c r="I5874" s="1399"/>
      <c r="J5874" s="1399">
        <v>288771.52</v>
      </c>
    </row>
    <row r="5875" spans="5:10" s="1297" customFormat="1">
      <c r="E5875" s="1297" t="s">
        <v>1040</v>
      </c>
      <c r="F5875" s="1399"/>
      <c r="G5875" s="1399"/>
      <c r="H5875" s="1399">
        <v>1148635.25</v>
      </c>
      <c r="I5875" s="1399"/>
      <c r="J5875" s="1399">
        <v>1148635.25</v>
      </c>
    </row>
    <row r="5876" spans="5:10" s="1297" customFormat="1">
      <c r="E5876" s="1297" t="s">
        <v>1041</v>
      </c>
      <c r="F5876" s="1399"/>
      <c r="G5876" s="1399"/>
      <c r="H5876" s="1399">
        <v>46147.490000000013</v>
      </c>
      <c r="I5876" s="1399"/>
      <c r="J5876" s="1399">
        <v>46147.490000000013</v>
      </c>
    </row>
    <row r="5877" spans="5:10" s="1297" customFormat="1">
      <c r="E5877" s="1297" t="s">
        <v>1042</v>
      </c>
      <c r="F5877" s="1399"/>
      <c r="G5877" s="1399"/>
      <c r="H5877" s="1399">
        <v>217574.63</v>
      </c>
      <c r="I5877" s="1399"/>
      <c r="J5877" s="1399">
        <v>217574.63</v>
      </c>
    </row>
    <row r="5878" spans="5:10" s="1297" customFormat="1">
      <c r="E5878" s="1297" t="s">
        <v>953</v>
      </c>
      <c r="F5878" s="1399"/>
      <c r="G5878" s="1399"/>
      <c r="H5878" s="1399">
        <v>13920.15</v>
      </c>
      <c r="I5878" s="1399"/>
      <c r="J5878" s="1399">
        <v>13920.15</v>
      </c>
    </row>
    <row r="5879" spans="5:10" s="1297" customFormat="1">
      <c r="E5879" s="1297" t="s">
        <v>1043</v>
      </c>
      <c r="F5879" s="1399"/>
      <c r="G5879" s="1399"/>
      <c r="H5879" s="1399">
        <v>20562.650000000001</v>
      </c>
      <c r="I5879" s="1399"/>
      <c r="J5879" s="1399">
        <v>20562.650000000001</v>
      </c>
    </row>
    <row r="5880" spans="5:10" s="1297" customFormat="1">
      <c r="E5880" s="1297" t="s">
        <v>1044</v>
      </c>
      <c r="F5880" s="1399">
        <v>189162</v>
      </c>
      <c r="G5880" s="1399"/>
      <c r="H5880" s="1399"/>
      <c r="I5880" s="1399"/>
      <c r="J5880" s="1399">
        <v>189162</v>
      </c>
    </row>
    <row r="5881" spans="5:10" s="1297" customFormat="1">
      <c r="E5881" s="1297" t="s">
        <v>1045</v>
      </c>
      <c r="F5881" s="1399"/>
      <c r="G5881" s="1399"/>
      <c r="H5881" s="1399">
        <v>2221765.8500000006</v>
      </c>
      <c r="I5881" s="1399"/>
      <c r="J5881" s="1399">
        <v>2221765.8500000006</v>
      </c>
    </row>
    <row r="5882" spans="5:10" s="1297" customFormat="1">
      <c r="E5882" s="1297" t="s">
        <v>1046</v>
      </c>
      <c r="F5882" s="1399"/>
      <c r="G5882" s="1399"/>
      <c r="H5882" s="1399"/>
      <c r="I5882" s="1399">
        <v>70001591</v>
      </c>
      <c r="J5882" s="1399">
        <v>70001591</v>
      </c>
    </row>
    <row r="5883" spans="5:10" s="1297" customFormat="1">
      <c r="E5883" s="1297" t="s">
        <v>1128</v>
      </c>
      <c r="F5883" s="1399"/>
      <c r="G5883" s="1399"/>
      <c r="H5883" s="1399"/>
      <c r="I5883" s="1399">
        <v>5714565</v>
      </c>
      <c r="J5883" s="1399">
        <v>5714565</v>
      </c>
    </row>
    <row r="5884" spans="5:10" s="1297" customFormat="1">
      <c r="E5884" s="1297" t="s">
        <v>1129</v>
      </c>
      <c r="F5884" s="1399"/>
      <c r="G5884" s="1399"/>
      <c r="H5884" s="1399"/>
      <c r="I5884" s="1399">
        <v>-10094973</v>
      </c>
      <c r="J5884" s="1399">
        <v>-10094973</v>
      </c>
    </row>
    <row r="5885" spans="5:10" s="1297" customFormat="1">
      <c r="E5885" s="1297" t="s">
        <v>1047</v>
      </c>
      <c r="F5885" s="1399"/>
      <c r="G5885" s="1399"/>
      <c r="H5885" s="1399"/>
      <c r="I5885" s="1399">
        <v>1447908</v>
      </c>
      <c r="J5885" s="1399">
        <v>1447908</v>
      </c>
    </row>
    <row r="5886" spans="5:10" s="1297" customFormat="1">
      <c r="E5886" s="1297" t="s">
        <v>1048</v>
      </c>
      <c r="F5886" s="1399"/>
      <c r="G5886" s="1399"/>
      <c r="H5886" s="1399"/>
      <c r="I5886" s="1399">
        <v>-8693582</v>
      </c>
      <c r="J5886" s="1399">
        <v>-8693582</v>
      </c>
    </row>
    <row r="5887" spans="5:10" s="1297" customFormat="1">
      <c r="E5887" s="1297" t="s">
        <v>932</v>
      </c>
      <c r="F5887" s="1399"/>
      <c r="G5887" s="1399"/>
      <c r="H5887" s="1399"/>
      <c r="I5887" s="1399">
        <v>7440441</v>
      </c>
      <c r="J5887" s="1399">
        <v>7440441</v>
      </c>
    </row>
    <row r="5888" spans="5:10" s="1297" customFormat="1">
      <c r="E5888" s="1404" t="s">
        <v>955</v>
      </c>
      <c r="F5888" s="1405"/>
      <c r="G5888" s="1405"/>
      <c r="H5888" s="1405"/>
      <c r="I5888" s="1405">
        <v>1051586</v>
      </c>
      <c r="J5888" s="1405">
        <v>1051586</v>
      </c>
    </row>
    <row r="5889" spans="2:12">
      <c r="B5889" s="1297"/>
      <c r="C5889" s="1297"/>
      <c r="D5889" s="1297"/>
      <c r="E5889" s="1297" t="s">
        <v>934</v>
      </c>
      <c r="I5889" s="1399">
        <v>223730</v>
      </c>
      <c r="J5889" s="1399">
        <v>223730</v>
      </c>
    </row>
    <row r="5890" spans="2:12">
      <c r="B5890" s="1297"/>
      <c r="C5890" s="1297"/>
      <c r="D5890" s="1297"/>
      <c r="E5890" s="1297" t="s">
        <v>1130</v>
      </c>
      <c r="I5890" s="1399">
        <v>-883669.67</v>
      </c>
      <c r="J5890" s="1399">
        <v>-883669.67</v>
      </c>
    </row>
    <row r="5891" spans="2:12">
      <c r="B5891" s="1297"/>
      <c r="C5891" s="1297"/>
      <c r="D5891" s="1297"/>
      <c r="E5891" s="1297" t="s">
        <v>935</v>
      </c>
      <c r="I5891" s="1399">
        <v>914084.66999999993</v>
      </c>
      <c r="J5891" s="1399">
        <v>914084.66999999993</v>
      </c>
    </row>
    <row r="5892" spans="2:12">
      <c r="B5892" s="1297"/>
      <c r="C5892" s="1297"/>
      <c r="D5892" s="1297"/>
      <c r="E5892" s="1297" t="s">
        <v>1131</v>
      </c>
      <c r="F5892" s="1399">
        <v>9436.08</v>
      </c>
      <c r="J5892" s="1399">
        <v>9436.08</v>
      </c>
    </row>
    <row r="5893" spans="2:12">
      <c r="B5893" s="1297"/>
      <c r="C5893" s="1297"/>
      <c r="D5893" s="1297"/>
      <c r="E5893" s="1297" t="s">
        <v>940</v>
      </c>
      <c r="F5893" s="1399">
        <v>4249573.5599999996</v>
      </c>
      <c r="J5893" s="1399">
        <v>4249573.5599999996</v>
      </c>
    </row>
    <row r="5894" spans="2:12">
      <c r="B5894" s="1297"/>
      <c r="C5894" s="1297"/>
      <c r="D5894" s="1297"/>
      <c r="E5894" s="1297" t="s">
        <v>941</v>
      </c>
      <c r="F5894" s="1399">
        <v>1567550.8600000003</v>
      </c>
      <c r="J5894" s="1399">
        <v>1567550.8600000003</v>
      </c>
    </row>
    <row r="5895" spans="2:12">
      <c r="B5895" s="1297"/>
      <c r="C5895" s="1297"/>
      <c r="D5895" s="1297"/>
      <c r="E5895" s="1297" t="s">
        <v>943</v>
      </c>
      <c r="F5895" s="1399">
        <v>67768.460000000006</v>
      </c>
      <c r="J5895" s="1399">
        <v>67768.460000000006</v>
      </c>
    </row>
    <row r="5896" spans="2:12">
      <c r="B5896" s="1297"/>
      <c r="C5896" s="1297"/>
      <c r="D5896" s="1297"/>
      <c r="E5896" s="1297" t="s">
        <v>944</v>
      </c>
      <c r="F5896" s="1399">
        <v>5901565.8399999999</v>
      </c>
      <c r="J5896" s="1399">
        <v>5901565.8399999999</v>
      </c>
    </row>
    <row r="5897" spans="2:12">
      <c r="B5897" s="1297"/>
      <c r="C5897" s="1297"/>
      <c r="D5897" s="1297"/>
      <c r="E5897" s="1297" t="s">
        <v>945</v>
      </c>
      <c r="F5897" s="1399">
        <v>3861901</v>
      </c>
      <c r="J5897" s="1399">
        <v>3861901</v>
      </c>
    </row>
    <row r="5898" spans="2:12">
      <c r="B5898" s="1297"/>
      <c r="C5898" s="1297"/>
      <c r="D5898" s="1297"/>
      <c r="E5898" s="1297" t="s">
        <v>946</v>
      </c>
      <c r="F5898" s="1399">
        <v>159597.45000000001</v>
      </c>
      <c r="J5898" s="1399">
        <v>159597.45000000001</v>
      </c>
    </row>
    <row r="5899" spans="2:12">
      <c r="B5899" s="1297"/>
      <c r="C5899" s="1297"/>
      <c r="D5899" s="1297"/>
      <c r="E5899" s="1297" t="s">
        <v>947</v>
      </c>
      <c r="F5899" s="1399">
        <v>392106.05</v>
      </c>
      <c r="J5899" s="1399">
        <v>392106.05</v>
      </c>
    </row>
    <row r="5900" spans="2:12">
      <c r="B5900" s="1297"/>
      <c r="C5900" s="1297"/>
      <c r="D5900" s="1297"/>
      <c r="E5900" s="1404" t="s">
        <v>948</v>
      </c>
      <c r="F5900" s="1405"/>
      <c r="G5900" s="1405"/>
      <c r="H5900" s="1405">
        <v>14416613.370000001</v>
      </c>
      <c r="I5900" s="1405"/>
      <c r="J5900" s="1405">
        <v>14416613.370000001</v>
      </c>
    </row>
    <row r="5901" spans="2:12">
      <c r="B5901" s="1297"/>
      <c r="C5901" s="1297"/>
      <c r="D5901" s="1400" t="s">
        <v>1603</v>
      </c>
      <c r="E5901" s="1400"/>
      <c r="F5901" s="1401">
        <f>SUM(F5863:F5900)</f>
        <v>16398661.300000001</v>
      </c>
      <c r="G5901" s="1401">
        <f>SUM(G5863:G5900)</f>
        <v>37977230.840000004</v>
      </c>
      <c r="H5901" s="1401">
        <f>SUM(H5863:H5900)-H5900</f>
        <v>6565113.7500000037</v>
      </c>
      <c r="I5901" s="1401">
        <f>SUM(I5863:I5900)-I5888</f>
        <v>66070095</v>
      </c>
      <c r="J5901" s="1401">
        <f>SUM(J5863:J5900)</f>
        <v>142479300.25999999</v>
      </c>
      <c r="K5901" s="1401">
        <f>SUM(F5901:I5901)</f>
        <v>127011100.89</v>
      </c>
      <c r="L5901" s="1408">
        <f>K5901/C5863</f>
        <v>9734.8893147850085</v>
      </c>
    </row>
    <row r="5902" spans="2:12">
      <c r="B5902" s="1297" t="s">
        <v>1604</v>
      </c>
      <c r="C5902" s="1297">
        <v>1264</v>
      </c>
      <c r="D5902" s="1297" t="s">
        <v>1605</v>
      </c>
      <c r="E5902" s="1297" t="s">
        <v>906</v>
      </c>
      <c r="G5902" s="1399">
        <v>2093864.65</v>
      </c>
      <c r="J5902" s="1399">
        <v>2093864.65</v>
      </c>
    </row>
    <row r="5903" spans="2:12">
      <c r="B5903" s="1297"/>
      <c r="C5903" s="1297"/>
      <c r="D5903" s="1297"/>
      <c r="E5903" s="1297" t="s">
        <v>952</v>
      </c>
      <c r="G5903" s="1399">
        <v>4319.26</v>
      </c>
      <c r="J5903" s="1399">
        <v>4319.26</v>
      </c>
    </row>
    <row r="5904" spans="2:12">
      <c r="B5904" s="1297"/>
      <c r="C5904" s="1297"/>
      <c r="D5904" s="1297"/>
      <c r="E5904" s="1297" t="s">
        <v>907</v>
      </c>
      <c r="G5904" s="1399">
        <v>455396.58</v>
      </c>
      <c r="J5904" s="1399">
        <v>455396.58</v>
      </c>
    </row>
    <row r="5905" spans="5:10" s="1297" customFormat="1">
      <c r="E5905" s="1297" t="s">
        <v>908</v>
      </c>
      <c r="F5905" s="1399"/>
      <c r="G5905" s="1399">
        <v>14408.31</v>
      </c>
      <c r="H5905" s="1399"/>
      <c r="I5905" s="1399"/>
      <c r="J5905" s="1399">
        <v>14408.31</v>
      </c>
    </row>
    <row r="5906" spans="5:10" s="1297" customFormat="1">
      <c r="E5906" s="1297" t="s">
        <v>910</v>
      </c>
      <c r="F5906" s="1399"/>
      <c r="G5906" s="1399"/>
      <c r="H5906" s="1399">
        <v>59696.03</v>
      </c>
      <c r="I5906" s="1399"/>
      <c r="J5906" s="1399">
        <v>59696.03</v>
      </c>
    </row>
    <row r="5907" spans="5:10" s="1297" customFormat="1">
      <c r="E5907" s="1297" t="s">
        <v>1034</v>
      </c>
      <c r="F5907" s="1399"/>
      <c r="G5907" s="1399"/>
      <c r="H5907" s="1399">
        <v>700</v>
      </c>
      <c r="I5907" s="1399"/>
      <c r="J5907" s="1399">
        <v>700</v>
      </c>
    </row>
    <row r="5908" spans="5:10" s="1297" customFormat="1">
      <c r="E5908" s="1297" t="s">
        <v>1039</v>
      </c>
      <c r="F5908" s="1399"/>
      <c r="G5908" s="1399"/>
      <c r="H5908" s="1399">
        <v>13360.980000000001</v>
      </c>
      <c r="I5908" s="1399"/>
      <c r="J5908" s="1399">
        <v>13360.980000000001</v>
      </c>
    </row>
    <row r="5909" spans="5:10" s="1297" customFormat="1">
      <c r="E5909" s="1297" t="s">
        <v>1040</v>
      </c>
      <c r="F5909" s="1399"/>
      <c r="G5909" s="1399"/>
      <c r="H5909" s="1399">
        <v>42783.360000000001</v>
      </c>
      <c r="I5909" s="1399"/>
      <c r="J5909" s="1399">
        <v>42783.360000000001</v>
      </c>
    </row>
    <row r="5910" spans="5:10" s="1297" customFormat="1">
      <c r="E5910" s="1297" t="s">
        <v>1127</v>
      </c>
      <c r="F5910" s="1399"/>
      <c r="G5910" s="1399"/>
      <c r="H5910" s="1399">
        <v>7409.56</v>
      </c>
      <c r="I5910" s="1399"/>
      <c r="J5910" s="1399">
        <v>7409.56</v>
      </c>
    </row>
    <row r="5911" spans="5:10" s="1297" customFormat="1">
      <c r="E5911" s="1297" t="s">
        <v>1041</v>
      </c>
      <c r="F5911" s="1399"/>
      <c r="G5911" s="1399"/>
      <c r="H5911" s="1399">
        <v>91.5</v>
      </c>
      <c r="I5911" s="1399"/>
      <c r="J5911" s="1399">
        <v>91.5</v>
      </c>
    </row>
    <row r="5912" spans="5:10" s="1297" customFormat="1">
      <c r="E5912" s="1297" t="s">
        <v>1042</v>
      </c>
      <c r="F5912" s="1399"/>
      <c r="G5912" s="1399"/>
      <c r="H5912" s="1399">
        <v>11203.03</v>
      </c>
      <c r="I5912" s="1399"/>
      <c r="J5912" s="1399">
        <v>11203.03</v>
      </c>
    </row>
    <row r="5913" spans="5:10" s="1297" customFormat="1">
      <c r="E5913" s="1297" t="s">
        <v>986</v>
      </c>
      <c r="F5913" s="1399"/>
      <c r="G5913" s="1399"/>
      <c r="H5913" s="1399">
        <v>365404.74</v>
      </c>
      <c r="I5913" s="1399"/>
      <c r="J5913" s="1399">
        <v>365404.74</v>
      </c>
    </row>
    <row r="5914" spans="5:10" s="1297" customFormat="1">
      <c r="E5914" s="1297" t="s">
        <v>1045</v>
      </c>
      <c r="F5914" s="1399"/>
      <c r="G5914" s="1399"/>
      <c r="H5914" s="1399">
        <v>158245.06999999998</v>
      </c>
      <c r="I5914" s="1399"/>
      <c r="J5914" s="1399">
        <v>158245.06999999998</v>
      </c>
    </row>
    <row r="5915" spans="5:10" s="1297" customFormat="1">
      <c r="E5915" s="1297" t="s">
        <v>1046</v>
      </c>
      <c r="F5915" s="1399"/>
      <c r="G5915" s="1399"/>
      <c r="H5915" s="1399"/>
      <c r="I5915" s="1399">
        <v>6356886.9999999981</v>
      </c>
      <c r="J5915" s="1399">
        <v>6356886.9999999981</v>
      </c>
    </row>
    <row r="5916" spans="5:10" s="1297" customFormat="1">
      <c r="E5916" s="1297" t="s">
        <v>1047</v>
      </c>
      <c r="F5916" s="1399"/>
      <c r="G5916" s="1399"/>
      <c r="H5916" s="1399"/>
      <c r="I5916" s="1399">
        <v>386616.99999999994</v>
      </c>
      <c r="J5916" s="1399">
        <v>386616.99999999994</v>
      </c>
    </row>
    <row r="5917" spans="5:10" s="1297" customFormat="1">
      <c r="E5917" s="1297" t="s">
        <v>1048</v>
      </c>
      <c r="F5917" s="1399"/>
      <c r="G5917" s="1399"/>
      <c r="H5917" s="1399"/>
      <c r="I5917" s="1399">
        <v>-638132</v>
      </c>
      <c r="J5917" s="1399">
        <v>-638132</v>
      </c>
    </row>
    <row r="5918" spans="5:10" s="1297" customFormat="1">
      <c r="E5918" s="359" t="s">
        <v>932</v>
      </c>
      <c r="F5918" s="1411"/>
      <c r="G5918" s="1411"/>
      <c r="H5918" s="1411"/>
      <c r="I5918" s="1411">
        <v>885209</v>
      </c>
      <c r="J5918" s="1399">
        <v>885209</v>
      </c>
    </row>
    <row r="5919" spans="5:10" s="1297" customFormat="1">
      <c r="E5919" s="1404" t="s">
        <v>955</v>
      </c>
      <c r="F5919" s="1405"/>
      <c r="G5919" s="1405"/>
      <c r="H5919" s="1405"/>
      <c r="I5919" s="1405">
        <v>392332.7</v>
      </c>
      <c r="J5919" s="1405">
        <v>392332.7</v>
      </c>
    </row>
    <row r="5920" spans="5:10" s="1297" customFormat="1">
      <c r="E5920" s="1297" t="s">
        <v>934</v>
      </c>
      <c r="F5920" s="1399"/>
      <c r="G5920" s="1399"/>
      <c r="H5920" s="1399"/>
      <c r="I5920" s="1399">
        <v>20281.95</v>
      </c>
      <c r="J5920" s="1399">
        <v>20281.95</v>
      </c>
    </row>
    <row r="5921" spans="2:12">
      <c r="B5921" s="1297"/>
      <c r="C5921" s="1297"/>
      <c r="D5921" s="1297"/>
      <c r="E5921" s="1297" t="s">
        <v>1130</v>
      </c>
      <c r="I5921" s="1399">
        <v>-103953</v>
      </c>
      <c r="J5921" s="1399">
        <v>-103953</v>
      </c>
    </row>
    <row r="5922" spans="2:12">
      <c r="B5922" s="1297"/>
      <c r="C5922" s="1297"/>
      <c r="D5922" s="1297"/>
      <c r="E5922" s="1297" t="s">
        <v>935</v>
      </c>
      <c r="I5922" s="1399">
        <v>208504</v>
      </c>
      <c r="J5922" s="1399">
        <v>208504</v>
      </c>
    </row>
    <row r="5923" spans="2:12">
      <c r="B5923" s="1297"/>
      <c r="C5923" s="1297"/>
      <c r="D5923" s="1297"/>
      <c r="E5923" s="1297" t="s">
        <v>936</v>
      </c>
      <c r="I5923" s="1399">
        <v>21709.33</v>
      </c>
      <c r="J5923" s="1399">
        <v>21709.33</v>
      </c>
    </row>
    <row r="5924" spans="2:12">
      <c r="B5924" s="1297"/>
      <c r="C5924" s="1297"/>
      <c r="D5924" s="1297"/>
      <c r="E5924" s="1297" t="s">
        <v>938</v>
      </c>
      <c r="I5924" s="1399">
        <v>7486</v>
      </c>
      <c r="J5924" s="1399">
        <v>7486</v>
      </c>
    </row>
    <row r="5925" spans="2:12">
      <c r="B5925" s="1297"/>
      <c r="C5925" s="1297"/>
      <c r="D5925" s="1297"/>
      <c r="E5925" s="1297" t="s">
        <v>939</v>
      </c>
      <c r="I5925" s="1399">
        <v>42250</v>
      </c>
      <c r="J5925" s="1399">
        <v>42250</v>
      </c>
    </row>
    <row r="5926" spans="2:12">
      <c r="B5926" s="1297"/>
      <c r="C5926" s="1297"/>
      <c r="D5926" s="1297"/>
      <c r="E5926" s="1297" t="s">
        <v>1131</v>
      </c>
      <c r="F5926" s="1399">
        <v>28407.71</v>
      </c>
      <c r="J5926" s="1399">
        <v>28407.71</v>
      </c>
    </row>
    <row r="5927" spans="2:12">
      <c r="B5927" s="1297"/>
      <c r="C5927" s="1297"/>
      <c r="D5927" s="1297"/>
      <c r="E5927" s="1297" t="s">
        <v>940</v>
      </c>
      <c r="F5927" s="1399">
        <v>339211.59</v>
      </c>
      <c r="J5927" s="1399">
        <v>339211.59</v>
      </c>
    </row>
    <row r="5928" spans="2:12">
      <c r="B5928" s="1297"/>
      <c r="C5928" s="1297"/>
      <c r="D5928" s="1297"/>
      <c r="E5928" s="1297" t="s">
        <v>941</v>
      </c>
      <c r="F5928" s="1399">
        <v>147055.04000000001</v>
      </c>
      <c r="J5928" s="1399">
        <v>147055.04000000001</v>
      </c>
    </row>
    <row r="5929" spans="2:12">
      <c r="B5929" s="1297"/>
      <c r="C5929" s="1297"/>
      <c r="D5929" s="1297"/>
      <c r="E5929" s="1297" t="s">
        <v>943</v>
      </c>
      <c r="F5929" s="1399">
        <v>6995.96</v>
      </c>
      <c r="J5929" s="1399">
        <v>6995.96</v>
      </c>
    </row>
    <row r="5930" spans="2:12">
      <c r="B5930" s="1297"/>
      <c r="C5930" s="1297"/>
      <c r="D5930" s="1297"/>
      <c r="E5930" s="1297" t="s">
        <v>944</v>
      </c>
      <c r="F5930" s="1399">
        <v>1013766.43</v>
      </c>
      <c r="J5930" s="1399">
        <v>1013766.43</v>
      </c>
    </row>
    <row r="5931" spans="2:12">
      <c r="B5931" s="1297"/>
      <c r="C5931" s="1297"/>
      <c r="D5931" s="1297"/>
      <c r="E5931" s="1297" t="s">
        <v>945</v>
      </c>
      <c r="F5931" s="1399">
        <v>617225.31000000006</v>
      </c>
      <c r="J5931" s="1399">
        <v>617225.31000000006</v>
      </c>
    </row>
    <row r="5932" spans="2:12">
      <c r="B5932" s="1297"/>
      <c r="C5932" s="1297"/>
      <c r="D5932" s="1297"/>
      <c r="E5932" s="1297" t="s">
        <v>947</v>
      </c>
      <c r="F5932" s="1399">
        <v>8348.35</v>
      </c>
      <c r="J5932" s="1399">
        <v>8348.35</v>
      </c>
    </row>
    <row r="5933" spans="2:12">
      <c r="B5933" s="1297"/>
      <c r="C5933" s="1297"/>
      <c r="D5933" s="1297"/>
      <c r="E5933" s="1404" t="s">
        <v>948</v>
      </c>
      <c r="F5933" s="1405"/>
      <c r="G5933" s="1405"/>
      <c r="H5933" s="1405">
        <v>5336.75</v>
      </c>
      <c r="I5933" s="1405"/>
      <c r="J5933" s="1405">
        <v>5336.75</v>
      </c>
    </row>
    <row r="5934" spans="2:12">
      <c r="B5934" s="1297"/>
      <c r="C5934" s="1297"/>
      <c r="D5934" s="1297"/>
      <c r="E5934" s="1297" t="s">
        <v>1118</v>
      </c>
      <c r="H5934" s="1399">
        <v>-516.23</v>
      </c>
      <c r="J5934" s="1399">
        <v>-516.23</v>
      </c>
    </row>
    <row r="5935" spans="2:12">
      <c r="B5935" s="1297"/>
      <c r="C5935" s="1297"/>
      <c r="D5935" s="1400" t="s">
        <v>1606</v>
      </c>
      <c r="E5935" s="1400"/>
      <c r="F5935" s="1401">
        <f>SUM(F5902:F5934)</f>
        <v>2161010.39</v>
      </c>
      <c r="G5935" s="1401">
        <f>SUM(G5902:G5934)</f>
        <v>2567988.7999999998</v>
      </c>
      <c r="H5935" s="1401">
        <f>SUM(H5902:H5934)-H5933</f>
        <v>658378.03999999992</v>
      </c>
      <c r="I5935" s="1401">
        <f>SUM(I5902:I5934)-I5919</f>
        <v>7186859.2799999984</v>
      </c>
      <c r="J5935" s="1401">
        <f>SUM(J5902:J5934)</f>
        <v>12971905.959999995</v>
      </c>
      <c r="K5935" s="1401">
        <f>SUM(F5935:I5935)</f>
        <v>12574236.509999998</v>
      </c>
      <c r="L5935" s="1408">
        <f>K5935/C5902</f>
        <v>9947.9719224683522</v>
      </c>
    </row>
    <row r="5936" spans="2:12">
      <c r="B5936" s="1297" t="s">
        <v>1607</v>
      </c>
      <c r="C5936" s="1297">
        <v>1574</v>
      </c>
      <c r="D5936" s="1297" t="s">
        <v>1608</v>
      </c>
      <c r="E5936" s="1297" t="s">
        <v>906</v>
      </c>
      <c r="G5936" s="1399">
        <v>6438230.0899999999</v>
      </c>
      <c r="J5936" s="1399">
        <v>6438230.0899999999</v>
      </c>
    </row>
    <row r="5937" spans="5:10" s="1297" customFormat="1">
      <c r="E5937" s="1297" t="s">
        <v>952</v>
      </c>
      <c r="F5937" s="1399"/>
      <c r="G5937" s="1399">
        <v>43616.2</v>
      </c>
      <c r="H5937" s="1399"/>
      <c r="I5937" s="1399"/>
      <c r="J5937" s="1399">
        <v>43616.2</v>
      </c>
    </row>
    <row r="5938" spans="5:10" s="1297" customFormat="1">
      <c r="E5938" s="1297" t="s">
        <v>907</v>
      </c>
      <c r="F5938" s="1399"/>
      <c r="G5938" s="1399">
        <v>1544533.4</v>
      </c>
      <c r="H5938" s="1399"/>
      <c r="I5938" s="1399"/>
      <c r="J5938" s="1399">
        <v>1544533.4</v>
      </c>
    </row>
    <row r="5939" spans="5:10" s="1297" customFormat="1">
      <c r="E5939" s="1297" t="s">
        <v>908</v>
      </c>
      <c r="F5939" s="1399"/>
      <c r="G5939" s="1399">
        <v>4766.87</v>
      </c>
      <c r="H5939" s="1399"/>
      <c r="I5939" s="1399"/>
      <c r="J5939" s="1399">
        <v>4766.87</v>
      </c>
    </row>
    <row r="5940" spans="5:10" s="1297" customFormat="1">
      <c r="E5940" s="1297" t="s">
        <v>1035</v>
      </c>
      <c r="F5940" s="1399"/>
      <c r="G5940" s="1399"/>
      <c r="H5940" s="1399">
        <v>83709.740000000005</v>
      </c>
      <c r="I5940" s="1399"/>
      <c r="J5940" s="1399">
        <v>83709.740000000005</v>
      </c>
    </row>
    <row r="5941" spans="5:10" s="1297" customFormat="1">
      <c r="E5941" s="1297" t="s">
        <v>1036</v>
      </c>
      <c r="F5941" s="1399"/>
      <c r="G5941" s="1399"/>
      <c r="H5941" s="1399">
        <v>167118.1</v>
      </c>
      <c r="I5941" s="1399"/>
      <c r="J5941" s="1399">
        <v>167118.1</v>
      </c>
    </row>
    <row r="5942" spans="5:10" s="1297" customFormat="1">
      <c r="E5942" s="1297" t="s">
        <v>1039</v>
      </c>
      <c r="F5942" s="1399"/>
      <c r="G5942" s="1399"/>
      <c r="H5942" s="1399">
        <v>11361.009999999998</v>
      </c>
      <c r="I5942" s="1399"/>
      <c r="J5942" s="1399">
        <v>11361.009999999998</v>
      </c>
    </row>
    <row r="5943" spans="5:10" s="1297" customFormat="1">
      <c r="E5943" s="1297" t="s">
        <v>1040</v>
      </c>
      <c r="F5943" s="1399"/>
      <c r="G5943" s="1399"/>
      <c r="H5943" s="1399">
        <v>103919.11</v>
      </c>
      <c r="I5943" s="1399"/>
      <c r="J5943" s="1399">
        <v>103919.11</v>
      </c>
    </row>
    <row r="5944" spans="5:10" s="1297" customFormat="1">
      <c r="E5944" s="1297" t="s">
        <v>1041</v>
      </c>
      <c r="F5944" s="1399"/>
      <c r="G5944" s="1399"/>
      <c r="H5944" s="1399">
        <v>20373.73</v>
      </c>
      <c r="I5944" s="1399"/>
      <c r="J5944" s="1399">
        <v>20373.73</v>
      </c>
    </row>
    <row r="5945" spans="5:10" s="1297" customFormat="1">
      <c r="E5945" s="1297" t="s">
        <v>1042</v>
      </c>
      <c r="F5945" s="1399"/>
      <c r="G5945" s="1399"/>
      <c r="H5945" s="1399">
        <v>32387.88</v>
      </c>
      <c r="I5945" s="1399"/>
      <c r="J5945" s="1399">
        <v>32387.88</v>
      </c>
    </row>
    <row r="5946" spans="5:10" s="1297" customFormat="1">
      <c r="E5946" s="1297" t="s">
        <v>954</v>
      </c>
      <c r="F5946" s="1399"/>
      <c r="G5946" s="1399"/>
      <c r="H5946" s="1399">
        <v>147527.25</v>
      </c>
      <c r="I5946" s="1399"/>
      <c r="J5946" s="1399">
        <v>147527.25</v>
      </c>
    </row>
    <row r="5947" spans="5:10" s="1297" customFormat="1">
      <c r="E5947" s="1297" t="s">
        <v>1045</v>
      </c>
      <c r="F5947" s="1399"/>
      <c r="G5947" s="1399"/>
      <c r="H5947" s="1399">
        <v>125403.46000000002</v>
      </c>
      <c r="I5947" s="1399"/>
      <c r="J5947" s="1399">
        <v>125403.46000000002</v>
      </c>
    </row>
    <row r="5948" spans="5:10" s="1297" customFormat="1">
      <c r="E5948" s="1297" t="s">
        <v>1046</v>
      </c>
      <c r="F5948" s="1399"/>
      <c r="G5948" s="1399"/>
      <c r="H5948" s="1399"/>
      <c r="I5948" s="1399">
        <v>8359576</v>
      </c>
      <c r="J5948" s="1399">
        <v>8359576</v>
      </c>
    </row>
    <row r="5949" spans="5:10" s="1297" customFormat="1">
      <c r="E5949" s="1297" t="s">
        <v>1047</v>
      </c>
      <c r="F5949" s="1399"/>
      <c r="G5949" s="1399"/>
      <c r="H5949" s="1399"/>
      <c r="I5949" s="1399">
        <v>433953</v>
      </c>
      <c r="J5949" s="1399">
        <v>433953</v>
      </c>
    </row>
    <row r="5950" spans="5:10" s="1297" customFormat="1">
      <c r="E5950" s="1297" t="s">
        <v>1048</v>
      </c>
      <c r="F5950" s="1399"/>
      <c r="G5950" s="1399"/>
      <c r="H5950" s="1399"/>
      <c r="I5950" s="1399">
        <v>-1437315</v>
      </c>
      <c r="J5950" s="1399">
        <v>-1437315</v>
      </c>
    </row>
    <row r="5951" spans="5:10" s="1297" customFormat="1">
      <c r="E5951" s="1297" t="s">
        <v>932</v>
      </c>
      <c r="F5951" s="1399"/>
      <c r="G5951" s="1399"/>
      <c r="H5951" s="1399"/>
      <c r="I5951" s="1399">
        <v>288578</v>
      </c>
      <c r="J5951" s="1399">
        <v>288578</v>
      </c>
    </row>
    <row r="5952" spans="5:10" s="1297" customFormat="1">
      <c r="E5952" s="1404" t="s">
        <v>955</v>
      </c>
      <c r="F5952" s="1405"/>
      <c r="G5952" s="1405"/>
      <c r="H5952" s="1405"/>
      <c r="I5952" s="1405">
        <v>460956.82</v>
      </c>
      <c r="J5952" s="1405">
        <v>460956.82</v>
      </c>
    </row>
    <row r="5953" spans="2:12">
      <c r="B5953" s="1297"/>
      <c r="C5953" s="1297"/>
      <c r="D5953" s="1297"/>
      <c r="E5953" s="1297" t="s">
        <v>934</v>
      </c>
      <c r="I5953" s="1399">
        <v>29802</v>
      </c>
      <c r="J5953" s="1399">
        <v>29802</v>
      </c>
    </row>
    <row r="5954" spans="2:12">
      <c r="B5954" s="1297"/>
      <c r="C5954" s="1297"/>
      <c r="D5954" s="1297"/>
      <c r="E5954" s="1297" t="s">
        <v>935</v>
      </c>
      <c r="I5954" s="1399">
        <v>459289.18000000005</v>
      </c>
      <c r="J5954" s="1399">
        <v>459289.18000000005</v>
      </c>
    </row>
    <row r="5955" spans="2:12">
      <c r="B5955" s="1297"/>
      <c r="C5955" s="1297"/>
      <c r="D5955" s="1297"/>
      <c r="E5955" s="1297" t="s">
        <v>936</v>
      </c>
      <c r="I5955" s="1399">
        <v>34314.75</v>
      </c>
      <c r="J5955" s="1399">
        <v>34314.75</v>
      </c>
    </row>
    <row r="5956" spans="2:12">
      <c r="B5956" s="1297"/>
      <c r="C5956" s="1297"/>
      <c r="D5956" s="1297"/>
      <c r="E5956" s="1297" t="s">
        <v>937</v>
      </c>
      <c r="I5956" s="1399">
        <v>7708.87</v>
      </c>
      <c r="J5956" s="1399">
        <v>7708.87</v>
      </c>
    </row>
    <row r="5957" spans="2:12">
      <c r="B5957" s="1297"/>
      <c r="C5957" s="1297"/>
      <c r="D5957" s="1297"/>
      <c r="E5957" s="1297" t="s">
        <v>938</v>
      </c>
      <c r="I5957" s="1399">
        <v>12165</v>
      </c>
      <c r="J5957" s="1399">
        <v>12165</v>
      </c>
    </row>
    <row r="5958" spans="2:12">
      <c r="B5958" s="1297"/>
      <c r="C5958" s="1297"/>
      <c r="D5958" s="1297"/>
      <c r="E5958" s="1297" t="s">
        <v>939</v>
      </c>
      <c r="I5958" s="1399">
        <v>59690.75</v>
      </c>
      <c r="J5958" s="1399">
        <v>59690.75</v>
      </c>
    </row>
    <row r="5959" spans="2:12">
      <c r="B5959" s="1297"/>
      <c r="C5959" s="1297"/>
      <c r="D5959" s="1297"/>
      <c r="E5959" s="1297" t="s">
        <v>940</v>
      </c>
      <c r="F5959" s="1399">
        <v>632113.28</v>
      </c>
      <c r="J5959" s="1399">
        <v>632113.28</v>
      </c>
    </row>
    <row r="5960" spans="2:12">
      <c r="B5960" s="1297"/>
      <c r="C5960" s="1297"/>
      <c r="D5960" s="1297"/>
      <c r="E5960" s="1297" t="s">
        <v>941</v>
      </c>
      <c r="F5960" s="1399">
        <v>226666.9</v>
      </c>
      <c r="J5960" s="1399">
        <v>226666.9</v>
      </c>
    </row>
    <row r="5961" spans="2:12">
      <c r="B5961" s="1297"/>
      <c r="C5961" s="1297"/>
      <c r="D5961" s="1297"/>
      <c r="E5961" s="1297" t="s">
        <v>943</v>
      </c>
      <c r="F5961" s="1399">
        <v>14727.48</v>
      </c>
      <c r="J5961" s="1399">
        <v>14727.48</v>
      </c>
    </row>
    <row r="5962" spans="2:12">
      <c r="B5962" s="1297"/>
      <c r="C5962" s="1297"/>
      <c r="D5962" s="1297"/>
      <c r="E5962" s="1297" t="s">
        <v>944</v>
      </c>
      <c r="F5962" s="1399">
        <v>1747517.91</v>
      </c>
      <c r="J5962" s="1399">
        <v>1747517.91</v>
      </c>
    </row>
    <row r="5963" spans="2:12">
      <c r="B5963" s="1297"/>
      <c r="C5963" s="1297"/>
      <c r="D5963" s="1297"/>
      <c r="E5963" s="1297" t="s">
        <v>945</v>
      </c>
      <c r="F5963" s="1399">
        <v>696049.29</v>
      </c>
      <c r="J5963" s="1399">
        <v>696049.29</v>
      </c>
    </row>
    <row r="5964" spans="2:12">
      <c r="B5964" s="1297"/>
      <c r="C5964" s="1297"/>
      <c r="D5964" s="1297"/>
      <c r="E5964" s="1297" t="s">
        <v>947</v>
      </c>
      <c r="F5964" s="1399">
        <v>58675.37</v>
      </c>
      <c r="J5964" s="1399">
        <v>58675.37</v>
      </c>
    </row>
    <row r="5965" spans="2:12">
      <c r="B5965" s="1297"/>
      <c r="C5965" s="1297"/>
      <c r="D5965" s="1297"/>
      <c r="E5965" s="1404" t="s">
        <v>948</v>
      </c>
      <c r="F5965" s="1405"/>
      <c r="G5965" s="1405"/>
      <c r="H5965" s="1405">
        <v>1503677.63</v>
      </c>
      <c r="I5965" s="1405"/>
      <c r="J5965" s="1405">
        <v>1503677.63</v>
      </c>
    </row>
    <row r="5966" spans="2:12">
      <c r="B5966" s="1297"/>
      <c r="C5966" s="1297"/>
      <c r="D5966" s="1400" t="s">
        <v>1609</v>
      </c>
      <c r="E5966" s="1400"/>
      <c r="F5966" s="1401">
        <f>SUM(F5936:F5965)</f>
        <v>3375750.23</v>
      </c>
      <c r="G5966" s="1401">
        <f>SUM(G5936:G5965)</f>
        <v>8031146.5599999996</v>
      </c>
      <c r="H5966" s="1401">
        <f>SUM(H5936:H5965)-H5965</f>
        <v>691800.28000000026</v>
      </c>
      <c r="I5966" s="1401">
        <f>SUM(I5936:I5965)-I5952</f>
        <v>8247762.5499999989</v>
      </c>
      <c r="J5966" s="1401">
        <f>SUM(J5936:J5965)</f>
        <v>22311094.070000004</v>
      </c>
      <c r="K5966" s="1401">
        <f>SUM(F5966:I5966)</f>
        <v>20346459.619999997</v>
      </c>
      <c r="L5966" s="1408">
        <f>K5966/C5936</f>
        <v>12926.594421855145</v>
      </c>
    </row>
    <row r="5967" spans="2:12">
      <c r="B5967" s="1297" t="s">
        <v>1610</v>
      </c>
      <c r="C5967" s="1297">
        <v>1466</v>
      </c>
      <c r="D5967" s="1297" t="s">
        <v>1426</v>
      </c>
      <c r="E5967" s="1297" t="s">
        <v>906</v>
      </c>
      <c r="G5967" s="1399">
        <v>7091146.1299999999</v>
      </c>
      <c r="J5967" s="1399">
        <v>7091146.1299999999</v>
      </c>
    </row>
    <row r="5968" spans="2:12">
      <c r="B5968" s="1297"/>
      <c r="C5968" s="1297"/>
      <c r="D5968" s="1297"/>
      <c r="E5968" s="1297" t="s">
        <v>952</v>
      </c>
      <c r="G5968" s="1399">
        <v>23477.119999999999</v>
      </c>
      <c r="J5968" s="1399">
        <v>23477.119999999999</v>
      </c>
    </row>
    <row r="5969" spans="5:10" s="1297" customFormat="1">
      <c r="E5969" s="1297" t="s">
        <v>907</v>
      </c>
      <c r="F5969" s="1399"/>
      <c r="G5969" s="1399">
        <v>1848139.26</v>
      </c>
      <c r="H5969" s="1399"/>
      <c r="I5969" s="1399"/>
      <c r="J5969" s="1399">
        <v>1848139.26</v>
      </c>
    </row>
    <row r="5970" spans="5:10" s="1297" customFormat="1">
      <c r="E5970" s="1297" t="s">
        <v>908</v>
      </c>
      <c r="F5970" s="1399"/>
      <c r="G5970" s="1399">
        <v>36413.449999999997</v>
      </c>
      <c r="H5970" s="1399"/>
      <c r="I5970" s="1399"/>
      <c r="J5970" s="1399">
        <v>36413.449999999997</v>
      </c>
    </row>
    <row r="5971" spans="5:10" s="1297" customFormat="1">
      <c r="E5971" s="1297" t="s">
        <v>909</v>
      </c>
      <c r="F5971" s="1399"/>
      <c r="G5971" s="1399"/>
      <c r="H5971" s="1399">
        <v>13680.26</v>
      </c>
      <c r="I5971" s="1399"/>
      <c r="J5971" s="1399">
        <v>13680.26</v>
      </c>
    </row>
    <row r="5972" spans="5:10" s="1297" customFormat="1">
      <c r="E5972" s="1297" t="s">
        <v>910</v>
      </c>
      <c r="F5972" s="1399"/>
      <c r="G5972" s="1399"/>
      <c r="H5972" s="1399">
        <v>96144.34</v>
      </c>
      <c r="I5972" s="1399"/>
      <c r="J5972" s="1399">
        <v>96144.34</v>
      </c>
    </row>
    <row r="5973" spans="5:10" s="1297" customFormat="1">
      <c r="E5973" s="1297" t="s">
        <v>1034</v>
      </c>
      <c r="F5973" s="1399"/>
      <c r="G5973" s="1399"/>
      <c r="H5973" s="1399">
        <v>2797.04</v>
      </c>
      <c r="I5973" s="1399"/>
      <c r="J5973" s="1399">
        <v>2797.04</v>
      </c>
    </row>
    <row r="5974" spans="5:10" s="1297" customFormat="1">
      <c r="E5974" s="1297" t="s">
        <v>1035</v>
      </c>
      <c r="F5974" s="1399"/>
      <c r="G5974" s="1399"/>
      <c r="H5974" s="1399">
        <v>174499.36</v>
      </c>
      <c r="I5974" s="1399"/>
      <c r="J5974" s="1399">
        <v>174499.36</v>
      </c>
    </row>
    <row r="5975" spans="5:10" s="1297" customFormat="1">
      <c r="E5975" s="1297" t="s">
        <v>1036</v>
      </c>
      <c r="F5975" s="1399"/>
      <c r="G5975" s="1399"/>
      <c r="H5975" s="1399">
        <v>156702.25</v>
      </c>
      <c r="I5975" s="1399"/>
      <c r="J5975" s="1399">
        <v>156702.25</v>
      </c>
    </row>
    <row r="5976" spans="5:10" s="1297" customFormat="1">
      <c r="E5976" s="1297" t="s">
        <v>1003</v>
      </c>
      <c r="F5976" s="1399"/>
      <c r="G5976" s="1399"/>
      <c r="H5976" s="1399">
        <v>12404.9</v>
      </c>
      <c r="I5976" s="1399"/>
      <c r="J5976" s="1399">
        <v>12404.9</v>
      </c>
    </row>
    <row r="5977" spans="5:10" s="1297" customFormat="1">
      <c r="E5977" s="1297" t="s">
        <v>1039</v>
      </c>
      <c r="F5977" s="1399"/>
      <c r="G5977" s="1399"/>
      <c r="H5977" s="1399">
        <v>10493.480000000001</v>
      </c>
      <c r="I5977" s="1399"/>
      <c r="J5977" s="1399">
        <v>10493.480000000001</v>
      </c>
    </row>
    <row r="5978" spans="5:10" s="1297" customFormat="1">
      <c r="E5978" s="1297" t="s">
        <v>1040</v>
      </c>
      <c r="F5978" s="1399"/>
      <c r="G5978" s="1399"/>
      <c r="H5978" s="1399">
        <v>57401.02</v>
      </c>
      <c r="I5978" s="1399"/>
      <c r="J5978" s="1399">
        <v>57401.02</v>
      </c>
    </row>
    <row r="5979" spans="5:10" s="1297" customFormat="1">
      <c r="E5979" s="1297" t="s">
        <v>1041</v>
      </c>
      <c r="F5979" s="1399"/>
      <c r="G5979" s="1399"/>
      <c r="H5979" s="1399">
        <v>3183</v>
      </c>
      <c r="I5979" s="1399"/>
      <c r="J5979" s="1399">
        <v>3183</v>
      </c>
    </row>
    <row r="5980" spans="5:10" s="1297" customFormat="1">
      <c r="E5980" s="1297" t="s">
        <v>1042</v>
      </c>
      <c r="F5980" s="1399"/>
      <c r="G5980" s="1399"/>
      <c r="H5980" s="1399">
        <v>21452.5</v>
      </c>
      <c r="I5980" s="1399"/>
      <c r="J5980" s="1399">
        <v>21452.5</v>
      </c>
    </row>
    <row r="5981" spans="5:10" s="1297" customFormat="1">
      <c r="E5981" s="1297" t="s">
        <v>1043</v>
      </c>
      <c r="F5981" s="1399"/>
      <c r="G5981" s="1399"/>
      <c r="H5981" s="1399">
        <v>1770</v>
      </c>
      <c r="I5981" s="1399"/>
      <c r="J5981" s="1399">
        <v>1770</v>
      </c>
    </row>
    <row r="5982" spans="5:10" s="1297" customFormat="1">
      <c r="E5982" s="1297" t="s">
        <v>991</v>
      </c>
      <c r="F5982" s="1399"/>
      <c r="G5982" s="1399"/>
      <c r="H5982" s="1399">
        <v>5281.25</v>
      </c>
      <c r="I5982" s="1399"/>
      <c r="J5982" s="1399">
        <v>5281.25</v>
      </c>
    </row>
    <row r="5983" spans="5:10" s="1297" customFormat="1">
      <c r="E5983" s="1297" t="s">
        <v>1044</v>
      </c>
      <c r="F5983" s="1399">
        <v>18900</v>
      </c>
      <c r="G5983" s="1399"/>
      <c r="H5983" s="1399"/>
      <c r="I5983" s="1399"/>
      <c r="J5983" s="1399">
        <v>18900</v>
      </c>
    </row>
    <row r="5984" spans="5:10" s="1297" customFormat="1">
      <c r="E5984" s="1297" t="s">
        <v>1045</v>
      </c>
      <c r="F5984" s="1399"/>
      <c r="G5984" s="1399"/>
      <c r="H5984" s="1399">
        <v>31229.840000000004</v>
      </c>
      <c r="I5984" s="1399"/>
      <c r="J5984" s="1399">
        <v>31229.840000000004</v>
      </c>
    </row>
    <row r="5985" spans="5:10" s="1297" customFormat="1">
      <c r="E5985" s="1297" t="s">
        <v>1046</v>
      </c>
      <c r="F5985" s="1399"/>
      <c r="G5985" s="1399"/>
      <c r="H5985" s="1399"/>
      <c r="I5985" s="1399">
        <v>7297998</v>
      </c>
      <c r="J5985" s="1399">
        <v>7297998</v>
      </c>
    </row>
    <row r="5986" spans="5:10" s="1297" customFormat="1">
      <c r="E5986" s="1297" t="s">
        <v>1047</v>
      </c>
      <c r="F5986" s="1399"/>
      <c r="G5986" s="1399"/>
      <c r="H5986" s="1399"/>
      <c r="I5986" s="1399">
        <v>446024</v>
      </c>
      <c r="J5986" s="1399">
        <v>446024</v>
      </c>
    </row>
    <row r="5987" spans="5:10" s="1297" customFormat="1">
      <c r="E5987" s="1297" t="s">
        <v>1048</v>
      </c>
      <c r="F5987" s="1399"/>
      <c r="G5987" s="1399"/>
      <c r="H5987" s="1399"/>
      <c r="I5987" s="1399">
        <v>-1897214</v>
      </c>
      <c r="J5987" s="1399">
        <v>-1897214</v>
      </c>
    </row>
    <row r="5988" spans="5:10" s="1297" customFormat="1">
      <c r="E5988" s="1404" t="s">
        <v>955</v>
      </c>
      <c r="F5988" s="1405"/>
      <c r="G5988" s="1405"/>
      <c r="H5988" s="1405"/>
      <c r="I5988" s="1405">
        <v>504223.59</v>
      </c>
      <c r="J5988" s="1405">
        <v>504223.59</v>
      </c>
    </row>
    <row r="5989" spans="5:10" s="1297" customFormat="1">
      <c r="E5989" s="1297" t="s">
        <v>934</v>
      </c>
      <c r="F5989" s="1399"/>
      <c r="G5989" s="1399"/>
      <c r="H5989" s="1399"/>
      <c r="I5989" s="1399">
        <v>27120</v>
      </c>
      <c r="J5989" s="1399">
        <v>27120</v>
      </c>
    </row>
    <row r="5990" spans="5:10" s="1297" customFormat="1">
      <c r="E5990" s="1297" t="s">
        <v>935</v>
      </c>
      <c r="F5990" s="1399"/>
      <c r="G5990" s="1399"/>
      <c r="H5990" s="1399"/>
      <c r="I5990" s="1399">
        <v>310598.19</v>
      </c>
      <c r="J5990" s="1399">
        <v>310598.19</v>
      </c>
    </row>
    <row r="5991" spans="5:10" s="1297" customFormat="1">
      <c r="E5991" s="1297" t="s">
        <v>936</v>
      </c>
      <c r="F5991" s="1399"/>
      <c r="G5991" s="1399"/>
      <c r="H5991" s="1399"/>
      <c r="I5991" s="1399">
        <v>26961.59</v>
      </c>
      <c r="J5991" s="1399">
        <v>26961.59</v>
      </c>
    </row>
    <row r="5992" spans="5:10" s="1297" customFormat="1">
      <c r="E5992" s="1297" t="s">
        <v>938</v>
      </c>
      <c r="F5992" s="1399"/>
      <c r="G5992" s="1399"/>
      <c r="H5992" s="1399"/>
      <c r="I5992" s="1399">
        <v>9732</v>
      </c>
      <c r="J5992" s="1399">
        <v>9732</v>
      </c>
    </row>
    <row r="5993" spans="5:10" s="1297" customFormat="1">
      <c r="E5993" s="1297" t="s">
        <v>939</v>
      </c>
      <c r="F5993" s="1399"/>
      <c r="G5993" s="1399"/>
      <c r="H5993" s="1399"/>
      <c r="I5993" s="1399">
        <v>54038.29</v>
      </c>
      <c r="J5993" s="1399">
        <v>54038.29</v>
      </c>
    </row>
    <row r="5994" spans="5:10" s="1297" customFormat="1">
      <c r="E5994" s="1297" t="s">
        <v>1131</v>
      </c>
      <c r="F5994" s="1399">
        <v>1473508.15</v>
      </c>
      <c r="G5994" s="1399"/>
      <c r="H5994" s="1399"/>
      <c r="I5994" s="1399"/>
      <c r="J5994" s="1399">
        <v>1473508.15</v>
      </c>
    </row>
    <row r="5995" spans="5:10" s="1297" customFormat="1">
      <c r="E5995" s="1297" t="s">
        <v>940</v>
      </c>
      <c r="F5995" s="1399">
        <v>510387.3</v>
      </c>
      <c r="G5995" s="1399"/>
      <c r="H5995" s="1399"/>
      <c r="I5995" s="1399"/>
      <c r="J5995" s="1399">
        <v>510387.3</v>
      </c>
    </row>
    <row r="5996" spans="5:10" s="1297" customFormat="1">
      <c r="E5996" s="1297" t="s">
        <v>941</v>
      </c>
      <c r="F5996" s="1399">
        <v>171697.34</v>
      </c>
      <c r="G5996" s="1399"/>
      <c r="H5996" s="1399"/>
      <c r="I5996" s="1399"/>
      <c r="J5996" s="1399">
        <v>171697.34</v>
      </c>
    </row>
    <row r="5997" spans="5:10" s="1297" customFormat="1">
      <c r="E5997" s="1297" t="s">
        <v>943</v>
      </c>
      <c r="F5997" s="1399">
        <v>27827.7</v>
      </c>
      <c r="G5997" s="1399"/>
      <c r="H5997" s="1399"/>
      <c r="I5997" s="1399"/>
      <c r="J5997" s="1399">
        <v>27827.7</v>
      </c>
    </row>
    <row r="5998" spans="5:10" s="1297" customFormat="1">
      <c r="E5998" s="1297" t="s">
        <v>944</v>
      </c>
      <c r="F5998" s="1399">
        <v>1622060.13</v>
      </c>
      <c r="G5998" s="1399"/>
      <c r="H5998" s="1399"/>
      <c r="I5998" s="1399"/>
      <c r="J5998" s="1399">
        <v>1622060.13</v>
      </c>
    </row>
    <row r="5999" spans="5:10" s="1297" customFormat="1">
      <c r="E5999" s="1297" t="s">
        <v>945</v>
      </c>
      <c r="F5999" s="1399">
        <v>627024.91</v>
      </c>
      <c r="G5999" s="1399"/>
      <c r="H5999" s="1399"/>
      <c r="I5999" s="1399"/>
      <c r="J5999" s="1399">
        <v>627024.91</v>
      </c>
    </row>
    <row r="6000" spans="5:10" s="1297" customFormat="1">
      <c r="E6000" s="1297" t="s">
        <v>947</v>
      </c>
      <c r="F6000" s="1399">
        <v>59158.73</v>
      </c>
      <c r="G6000" s="1399"/>
      <c r="H6000" s="1399"/>
      <c r="I6000" s="1399"/>
      <c r="J6000" s="1399">
        <v>59158.73</v>
      </c>
    </row>
    <row r="6001" spans="2:12">
      <c r="B6001" s="1297"/>
      <c r="C6001" s="1297"/>
      <c r="D6001" s="1297"/>
      <c r="E6001" s="1404" t="s">
        <v>1116</v>
      </c>
      <c r="F6001" s="1405"/>
      <c r="G6001" s="1405"/>
      <c r="H6001" s="1405">
        <v>16500000</v>
      </c>
      <c r="I6001" s="1405"/>
      <c r="J6001" s="1405">
        <v>16500000</v>
      </c>
    </row>
    <row r="6002" spans="2:12">
      <c r="B6002" s="1297"/>
      <c r="C6002" s="1297"/>
      <c r="D6002" s="1297"/>
      <c r="E6002" s="1297" t="s">
        <v>1117</v>
      </c>
      <c r="H6002" s="1399">
        <v>-133742.39000000001</v>
      </c>
      <c r="J6002" s="1399">
        <v>-133742.39000000001</v>
      </c>
    </row>
    <row r="6003" spans="2:12">
      <c r="B6003" s="1297"/>
      <c r="C6003" s="1297"/>
      <c r="D6003" s="1297"/>
      <c r="E6003" s="1404" t="s">
        <v>948</v>
      </c>
      <c r="F6003" s="1405"/>
      <c r="G6003" s="1405"/>
      <c r="H6003" s="1405">
        <v>2017478.1399999997</v>
      </c>
      <c r="I6003" s="1405"/>
      <c r="J6003" s="1405">
        <v>2017478.1399999997</v>
      </c>
    </row>
    <row r="6004" spans="2:12">
      <c r="B6004" s="1297"/>
      <c r="C6004" s="1297"/>
      <c r="D6004" s="1297"/>
      <c r="E6004" s="1297" t="s">
        <v>956</v>
      </c>
      <c r="H6004" s="1399">
        <v>11125</v>
      </c>
      <c r="J6004" s="1399">
        <v>11125</v>
      </c>
    </row>
    <row r="6005" spans="2:12">
      <c r="B6005" s="1297"/>
      <c r="C6005" s="1297"/>
      <c r="D6005" s="1400" t="s">
        <v>1427</v>
      </c>
      <c r="E6005" s="1400"/>
      <c r="F6005" s="1401">
        <f>SUM(F5967:F6004)</f>
        <v>4510564.2600000007</v>
      </c>
      <c r="G6005" s="1401">
        <f>SUM(G5967:G6004)</f>
        <v>8999175.959999999</v>
      </c>
      <c r="H6005" s="1401">
        <f>SUM(H5967:H6004)-(H6001+H6003)</f>
        <v>464421.84999999776</v>
      </c>
      <c r="I6005" s="1401">
        <f>SUM(I5967:I6004)-I5988</f>
        <v>6275258.0700000003</v>
      </c>
      <c r="J6005" s="1401">
        <f>SUM(J5967:J6004)</f>
        <v>39271121.86999999</v>
      </c>
      <c r="K6005" s="1401">
        <f>SUM(F6005:I6005)</f>
        <v>20249420.139999997</v>
      </c>
      <c r="L6005" s="1408">
        <f>K6005/C5967</f>
        <v>13812.701323328783</v>
      </c>
    </row>
    <row r="6006" spans="2:12">
      <c r="B6006" s="1297" t="s">
        <v>1428</v>
      </c>
      <c r="C6006" s="1297">
        <v>3377</v>
      </c>
      <c r="D6006" s="1297" t="s">
        <v>1429</v>
      </c>
      <c r="E6006" s="1297" t="s">
        <v>906</v>
      </c>
      <c r="G6006" s="1399">
        <v>6853329.8099999996</v>
      </c>
      <c r="J6006" s="1399">
        <v>6853329.8099999996</v>
      </c>
    </row>
    <row r="6007" spans="2:12">
      <c r="B6007" s="1297"/>
      <c r="C6007" s="1297"/>
      <c r="D6007" s="1297"/>
      <c r="E6007" s="1297" t="s">
        <v>952</v>
      </c>
      <c r="G6007" s="1399">
        <v>54555.07</v>
      </c>
      <c r="J6007" s="1399">
        <v>54555.07</v>
      </c>
    </row>
    <row r="6008" spans="2:12">
      <c r="B6008" s="1297"/>
      <c r="C6008" s="1297"/>
      <c r="D6008" s="1297"/>
      <c r="E6008" s="1297" t="s">
        <v>907</v>
      </c>
      <c r="G6008" s="1399">
        <v>1696899.15</v>
      </c>
      <c r="J6008" s="1399">
        <v>1696899.15</v>
      </c>
    </row>
    <row r="6009" spans="2:12">
      <c r="B6009" s="1297"/>
      <c r="C6009" s="1297"/>
      <c r="D6009" s="1297"/>
      <c r="E6009" s="1297" t="s">
        <v>908</v>
      </c>
      <c r="G6009" s="1399">
        <v>11502.69</v>
      </c>
      <c r="J6009" s="1399">
        <v>11502.69</v>
      </c>
    </row>
    <row r="6010" spans="2:12">
      <c r="B6010" s="1297"/>
      <c r="C6010" s="1297"/>
      <c r="D6010" s="1297"/>
      <c r="E6010" s="1297" t="s">
        <v>909</v>
      </c>
      <c r="H6010" s="1399">
        <v>22981.759999999998</v>
      </c>
      <c r="J6010" s="1399">
        <v>22981.759999999998</v>
      </c>
    </row>
    <row r="6011" spans="2:12">
      <c r="B6011" s="1297"/>
      <c r="C6011" s="1297"/>
      <c r="D6011" s="1297"/>
      <c r="E6011" s="1297" t="s">
        <v>910</v>
      </c>
      <c r="H6011" s="1399">
        <v>41951.25</v>
      </c>
      <c r="J6011" s="1399">
        <v>41951.25</v>
      </c>
    </row>
    <row r="6012" spans="2:12">
      <c r="B6012" s="1297"/>
      <c r="C6012" s="1297"/>
      <c r="D6012" s="1297"/>
      <c r="E6012" s="1297" t="s">
        <v>1034</v>
      </c>
      <c r="H6012" s="1399">
        <v>22474.66</v>
      </c>
      <c r="J6012" s="1399">
        <v>22474.66</v>
      </c>
    </row>
    <row r="6013" spans="2:12">
      <c r="B6013" s="1297"/>
      <c r="C6013" s="1297"/>
      <c r="D6013" s="1297"/>
      <c r="E6013" s="1297" t="s">
        <v>1035</v>
      </c>
      <c r="H6013" s="1399">
        <v>165581.29</v>
      </c>
      <c r="J6013" s="1399">
        <v>165581.29</v>
      </c>
    </row>
    <row r="6014" spans="2:12">
      <c r="B6014" s="1297"/>
      <c r="C6014" s="1297"/>
      <c r="D6014" s="1297"/>
      <c r="E6014" s="1297" t="s">
        <v>1036</v>
      </c>
      <c r="H6014" s="1399">
        <v>114451.9</v>
      </c>
      <c r="J6014" s="1399">
        <v>114451.9</v>
      </c>
    </row>
    <row r="6015" spans="2:12">
      <c r="B6015" s="1297"/>
      <c r="C6015" s="1297"/>
      <c r="D6015" s="1297"/>
      <c r="E6015" s="1297" t="s">
        <v>1039</v>
      </c>
      <c r="H6015" s="1399">
        <v>13388.199999999997</v>
      </c>
      <c r="J6015" s="1399">
        <v>13388.199999999997</v>
      </c>
    </row>
    <row r="6016" spans="2:12">
      <c r="B6016" s="1297"/>
      <c r="C6016" s="1297"/>
      <c r="D6016" s="1297"/>
      <c r="E6016" s="1297" t="s">
        <v>1040</v>
      </c>
      <c r="H6016" s="1399">
        <v>160361.34</v>
      </c>
      <c r="J6016" s="1399">
        <v>160361.34</v>
      </c>
    </row>
    <row r="6017" spans="5:10" s="1297" customFormat="1">
      <c r="E6017" s="1297" t="s">
        <v>1041</v>
      </c>
      <c r="F6017" s="1399"/>
      <c r="G6017" s="1399"/>
      <c r="H6017" s="1399">
        <v>11309.55</v>
      </c>
      <c r="I6017" s="1399"/>
      <c r="J6017" s="1399">
        <v>11309.55</v>
      </c>
    </row>
    <row r="6018" spans="5:10" s="1297" customFormat="1">
      <c r="E6018" s="1297" t="s">
        <v>1042</v>
      </c>
      <c r="F6018" s="1399"/>
      <c r="G6018" s="1399"/>
      <c r="H6018" s="1399">
        <v>29120.1</v>
      </c>
      <c r="I6018" s="1399"/>
      <c r="J6018" s="1399">
        <v>29120.1</v>
      </c>
    </row>
    <row r="6019" spans="5:10" s="1297" customFormat="1">
      <c r="E6019" s="1297" t="s">
        <v>954</v>
      </c>
      <c r="F6019" s="1399"/>
      <c r="G6019" s="1399"/>
      <c r="H6019" s="1399">
        <v>136340.16999999998</v>
      </c>
      <c r="I6019" s="1399"/>
      <c r="J6019" s="1399">
        <v>136340.16999999998</v>
      </c>
    </row>
    <row r="6020" spans="5:10" s="1297" customFormat="1">
      <c r="E6020" s="1297" t="s">
        <v>991</v>
      </c>
      <c r="F6020" s="1399"/>
      <c r="G6020" s="1399"/>
      <c r="H6020" s="1399">
        <v>610.91</v>
      </c>
      <c r="I6020" s="1399"/>
      <c r="J6020" s="1399">
        <v>610.91</v>
      </c>
    </row>
    <row r="6021" spans="5:10" s="1297" customFormat="1">
      <c r="E6021" s="1297" t="s">
        <v>1044</v>
      </c>
      <c r="F6021" s="1399">
        <v>118529.05</v>
      </c>
      <c r="G6021" s="1399"/>
      <c r="H6021" s="1399"/>
      <c r="I6021" s="1399"/>
      <c r="J6021" s="1399">
        <v>118529.05</v>
      </c>
    </row>
    <row r="6022" spans="5:10" s="1297" customFormat="1">
      <c r="E6022" s="1297" t="s">
        <v>1045</v>
      </c>
      <c r="F6022" s="1399"/>
      <c r="G6022" s="1399"/>
      <c r="H6022" s="1399">
        <v>179703.97999999998</v>
      </c>
      <c r="I6022" s="1399"/>
      <c r="J6022" s="1399">
        <v>179703.97999999998</v>
      </c>
    </row>
    <row r="6023" spans="5:10" s="1297" customFormat="1">
      <c r="E6023" s="1297" t="s">
        <v>1046</v>
      </c>
      <c r="F6023" s="1399"/>
      <c r="G6023" s="1399"/>
      <c r="H6023" s="1399"/>
      <c r="I6023" s="1399">
        <v>17743265</v>
      </c>
      <c r="J6023" s="1399">
        <v>17743265</v>
      </c>
    </row>
    <row r="6024" spans="5:10" s="1297" customFormat="1">
      <c r="E6024" s="1297" t="s">
        <v>1128</v>
      </c>
      <c r="F6024" s="1399"/>
      <c r="G6024" s="1399"/>
      <c r="H6024" s="1399"/>
      <c r="I6024" s="1399">
        <v>1448057</v>
      </c>
      <c r="J6024" s="1399">
        <v>1448057</v>
      </c>
    </row>
    <row r="6025" spans="5:10" s="1297" customFormat="1">
      <c r="E6025" s="1297" t="s">
        <v>1129</v>
      </c>
      <c r="F6025" s="1399"/>
      <c r="G6025" s="1399"/>
      <c r="H6025" s="1399"/>
      <c r="I6025" s="1399">
        <v>-2526337</v>
      </c>
      <c r="J6025" s="1399">
        <v>-2526337</v>
      </c>
    </row>
    <row r="6026" spans="5:10" s="1297" customFormat="1">
      <c r="E6026" s="1297" t="s">
        <v>1047</v>
      </c>
      <c r="F6026" s="1399"/>
      <c r="G6026" s="1399"/>
      <c r="H6026" s="1399"/>
      <c r="I6026" s="1399">
        <v>850423</v>
      </c>
      <c r="J6026" s="1399">
        <v>850423</v>
      </c>
    </row>
    <row r="6027" spans="5:10" s="1297" customFormat="1">
      <c r="E6027" s="1297" t="s">
        <v>1048</v>
      </c>
      <c r="F6027" s="1399"/>
      <c r="G6027" s="1399"/>
      <c r="H6027" s="1399"/>
      <c r="I6027" s="1399">
        <v>-2410622</v>
      </c>
      <c r="J6027" s="1399">
        <v>-2410622</v>
      </c>
    </row>
    <row r="6028" spans="5:10" s="1297" customFormat="1">
      <c r="E6028" s="1297" t="s">
        <v>932</v>
      </c>
      <c r="F6028" s="1399"/>
      <c r="G6028" s="1399"/>
      <c r="H6028" s="1399"/>
      <c r="I6028" s="1399">
        <v>1174326</v>
      </c>
      <c r="J6028" s="1399">
        <v>1174326</v>
      </c>
    </row>
    <row r="6029" spans="5:10" s="1297" customFormat="1">
      <c r="E6029" s="1404" t="s">
        <v>955</v>
      </c>
      <c r="F6029" s="1405"/>
      <c r="G6029" s="1405"/>
      <c r="H6029" s="1405"/>
      <c r="I6029" s="1405">
        <v>656779.4</v>
      </c>
      <c r="J6029" s="1405">
        <v>656779.4</v>
      </c>
    </row>
    <row r="6030" spans="5:10" s="1297" customFormat="1">
      <c r="E6030" s="1297" t="s">
        <v>934</v>
      </c>
      <c r="F6030" s="1399"/>
      <c r="G6030" s="1399"/>
      <c r="H6030" s="1399"/>
      <c r="I6030" s="1399">
        <v>57630</v>
      </c>
      <c r="J6030" s="1399">
        <v>57630</v>
      </c>
    </row>
    <row r="6031" spans="5:10" s="1297" customFormat="1">
      <c r="E6031" s="1297" t="s">
        <v>935</v>
      </c>
      <c r="F6031" s="1399"/>
      <c r="G6031" s="1399"/>
      <c r="H6031" s="1399"/>
      <c r="I6031" s="1399">
        <v>491653.33</v>
      </c>
      <c r="J6031" s="1399">
        <v>491653.33</v>
      </c>
    </row>
    <row r="6032" spans="5:10" s="1297" customFormat="1">
      <c r="E6032" s="1297" t="s">
        <v>936</v>
      </c>
      <c r="F6032" s="1399"/>
      <c r="G6032" s="1399"/>
      <c r="H6032" s="1399"/>
      <c r="I6032" s="1399">
        <v>45519.57</v>
      </c>
      <c r="J6032" s="1399">
        <v>45519.57</v>
      </c>
    </row>
    <row r="6033" spans="2:12">
      <c r="B6033" s="1297"/>
      <c r="C6033" s="1297"/>
      <c r="D6033" s="1297"/>
      <c r="E6033" s="1297" t="s">
        <v>937</v>
      </c>
      <c r="I6033" s="1399">
        <v>7931.64</v>
      </c>
      <c r="J6033" s="1399">
        <v>7931.64</v>
      </c>
    </row>
    <row r="6034" spans="2:12">
      <c r="B6034" s="1297"/>
      <c r="C6034" s="1297"/>
      <c r="D6034" s="1297"/>
      <c r="E6034" s="1297" t="s">
        <v>938</v>
      </c>
      <c r="I6034" s="1399">
        <v>19839</v>
      </c>
      <c r="J6034" s="1399">
        <v>19839</v>
      </c>
    </row>
    <row r="6035" spans="2:12">
      <c r="B6035" s="1297"/>
      <c r="C6035" s="1297"/>
      <c r="D6035" s="1297"/>
      <c r="E6035" s="1297" t="s">
        <v>939</v>
      </c>
      <c r="I6035" s="1399">
        <v>6068.53</v>
      </c>
      <c r="J6035" s="1399">
        <v>6068.53</v>
      </c>
    </row>
    <row r="6036" spans="2:12">
      <c r="B6036" s="1297"/>
      <c r="C6036" s="1297"/>
      <c r="D6036" s="1297"/>
      <c r="E6036" s="1297" t="s">
        <v>1131</v>
      </c>
      <c r="F6036" s="1399">
        <v>68101.31</v>
      </c>
      <c r="J6036" s="1399">
        <v>68101.31</v>
      </c>
    </row>
    <row r="6037" spans="2:12">
      <c r="B6037" s="1297"/>
      <c r="C6037" s="1297"/>
      <c r="D6037" s="1297"/>
      <c r="E6037" s="1297" t="s">
        <v>940</v>
      </c>
      <c r="F6037" s="1399">
        <v>944956.58</v>
      </c>
      <c r="J6037" s="1399">
        <v>944956.58</v>
      </c>
    </row>
    <row r="6038" spans="2:12">
      <c r="B6038" s="1297"/>
      <c r="C6038" s="1297"/>
      <c r="D6038" s="1297"/>
      <c r="E6038" s="1297" t="s">
        <v>941</v>
      </c>
      <c r="F6038" s="1399">
        <v>390365.56</v>
      </c>
      <c r="J6038" s="1399">
        <v>390365.56</v>
      </c>
    </row>
    <row r="6039" spans="2:12">
      <c r="B6039" s="1297"/>
      <c r="C6039" s="1297"/>
      <c r="D6039" s="1297"/>
      <c r="E6039" s="1297" t="s">
        <v>944</v>
      </c>
      <c r="F6039" s="1399">
        <v>2718948.44</v>
      </c>
      <c r="J6039" s="1399">
        <v>2718948.44</v>
      </c>
    </row>
    <row r="6040" spans="2:12">
      <c r="B6040" s="1297"/>
      <c r="C6040" s="1297"/>
      <c r="D6040" s="1297"/>
      <c r="E6040" s="1297" t="s">
        <v>945</v>
      </c>
      <c r="F6040" s="1399">
        <v>1350871.03</v>
      </c>
      <c r="J6040" s="1399">
        <v>1350871.03</v>
      </c>
    </row>
    <row r="6041" spans="2:12">
      <c r="B6041" s="1297"/>
      <c r="C6041" s="1297"/>
      <c r="D6041" s="1297"/>
      <c r="E6041" s="1297" t="s">
        <v>947</v>
      </c>
      <c r="F6041" s="1399">
        <v>129735</v>
      </c>
      <c r="J6041" s="1399">
        <v>129735</v>
      </c>
    </row>
    <row r="6042" spans="2:12">
      <c r="B6042" s="1297"/>
      <c r="C6042" s="1297"/>
      <c r="D6042" s="1297"/>
      <c r="E6042" s="1404" t="s">
        <v>948</v>
      </c>
      <c r="F6042" s="1405"/>
      <c r="G6042" s="1405"/>
      <c r="H6042" s="1405">
        <v>3269898.45</v>
      </c>
      <c r="I6042" s="1405"/>
      <c r="J6042" s="1405">
        <v>3269898.45</v>
      </c>
    </row>
    <row r="6043" spans="2:12">
      <c r="B6043" s="1297"/>
      <c r="C6043" s="1297"/>
      <c r="D6043" s="1297"/>
      <c r="E6043" s="1297" t="s">
        <v>956</v>
      </c>
      <c r="H6043" s="1399">
        <v>1500</v>
      </c>
      <c r="J6043" s="1399">
        <v>1500</v>
      </c>
    </row>
    <row r="6044" spans="2:12">
      <c r="B6044" s="1297"/>
      <c r="C6044" s="1297"/>
      <c r="D6044" s="1400" t="s">
        <v>1430</v>
      </c>
      <c r="E6044" s="1400"/>
      <c r="F6044" s="1401">
        <f>SUM(F6006:F6043)</f>
        <v>5721506.9699999997</v>
      </c>
      <c r="G6044" s="1401">
        <f>SUM(G6006:G6043)</f>
        <v>8616286.7199999988</v>
      </c>
      <c r="H6044" s="1401">
        <f>SUM(H6006:H6043)-H6042</f>
        <v>899775.10999999987</v>
      </c>
      <c r="I6044" s="1401">
        <f>SUM(I6006:I6043)-I6029</f>
        <v>16907754.07</v>
      </c>
      <c r="J6044" s="1401">
        <f>SUM(J6006:J6043)</f>
        <v>36072000.719999999</v>
      </c>
      <c r="K6044" s="1401">
        <f>SUM(F6044:I6044)</f>
        <v>32145322.869999997</v>
      </c>
      <c r="L6044" s="1408">
        <f>K6044/C6006</f>
        <v>9518.8992804264126</v>
      </c>
    </row>
    <row r="6045" spans="2:12">
      <c r="B6045" s="1297" t="s">
        <v>1431</v>
      </c>
      <c r="C6045" s="1297">
        <v>48665</v>
      </c>
      <c r="D6045" s="1297" t="s">
        <v>1432</v>
      </c>
      <c r="E6045" s="1297" t="s">
        <v>906</v>
      </c>
      <c r="G6045" s="1399">
        <v>440124387.69</v>
      </c>
      <c r="J6045" s="1399">
        <v>440124387.69</v>
      </c>
    </row>
    <row r="6046" spans="2:12">
      <c r="B6046" s="1297"/>
      <c r="C6046" s="1297"/>
      <c r="D6046" s="1297"/>
      <c r="E6046" s="1297" t="s">
        <v>952</v>
      </c>
      <c r="G6046" s="1399">
        <v>4687976.87</v>
      </c>
      <c r="J6046" s="1399">
        <v>4687976.87</v>
      </c>
    </row>
    <row r="6047" spans="2:12">
      <c r="B6047" s="1297"/>
      <c r="C6047" s="1297"/>
      <c r="D6047" s="1297"/>
      <c r="E6047" s="1297" t="s">
        <v>907</v>
      </c>
      <c r="G6047" s="1399">
        <v>57678243.359999999</v>
      </c>
      <c r="J6047" s="1399">
        <v>57678243.359999999</v>
      </c>
    </row>
    <row r="6048" spans="2:12">
      <c r="B6048" s="1297"/>
      <c r="C6048" s="1297"/>
      <c r="D6048" s="1297"/>
      <c r="E6048" s="1297" t="s">
        <v>1122</v>
      </c>
      <c r="H6048" s="1399">
        <v>-2329444</v>
      </c>
      <c r="J6048" s="1399">
        <v>-2329444</v>
      </c>
    </row>
    <row r="6049" spans="5:10" s="1297" customFormat="1">
      <c r="E6049" s="1297" t="s">
        <v>909</v>
      </c>
      <c r="F6049" s="1399"/>
      <c r="G6049" s="1399"/>
      <c r="H6049" s="1399">
        <v>19164.36</v>
      </c>
      <c r="I6049" s="1399"/>
      <c r="J6049" s="1399">
        <v>19164.36</v>
      </c>
    </row>
    <row r="6050" spans="5:10" s="1297" customFormat="1">
      <c r="E6050" s="1297" t="s">
        <v>910</v>
      </c>
      <c r="F6050" s="1399"/>
      <c r="G6050" s="1399"/>
      <c r="H6050" s="1399">
        <v>1639022.3</v>
      </c>
      <c r="I6050" s="1399"/>
      <c r="J6050" s="1399">
        <v>1639022.3</v>
      </c>
    </row>
    <row r="6051" spans="5:10" s="1297" customFormat="1">
      <c r="E6051" s="1297" t="s">
        <v>1034</v>
      </c>
      <c r="F6051" s="1399"/>
      <c r="G6051" s="1399"/>
      <c r="H6051" s="1399">
        <v>526685.87</v>
      </c>
      <c r="I6051" s="1399"/>
      <c r="J6051" s="1399">
        <v>526685.87</v>
      </c>
    </row>
    <row r="6052" spans="5:10" s="1297" customFormat="1">
      <c r="E6052" s="1297" t="s">
        <v>1035</v>
      </c>
      <c r="F6052" s="1399"/>
      <c r="G6052" s="1399"/>
      <c r="H6052" s="1399">
        <v>1908251.9800000004</v>
      </c>
      <c r="I6052" s="1399"/>
      <c r="J6052" s="1399">
        <v>1908251.9800000004</v>
      </c>
    </row>
    <row r="6053" spans="5:10" s="1297" customFormat="1">
      <c r="E6053" s="1297" t="s">
        <v>1036</v>
      </c>
      <c r="F6053" s="1399"/>
      <c r="G6053" s="1399"/>
      <c r="H6053" s="1399">
        <v>670917.30000000005</v>
      </c>
      <c r="I6053" s="1399"/>
      <c r="J6053" s="1399">
        <v>670917.30000000005</v>
      </c>
    </row>
    <row r="6054" spans="5:10" s="1297" customFormat="1">
      <c r="E6054" s="1297" t="s">
        <v>1037</v>
      </c>
      <c r="F6054" s="1399"/>
      <c r="G6054" s="1399"/>
      <c r="H6054" s="1399">
        <v>25412</v>
      </c>
      <c r="I6054" s="1399"/>
      <c r="J6054" s="1399">
        <v>25412</v>
      </c>
    </row>
    <row r="6055" spans="5:10" s="1297" customFormat="1">
      <c r="E6055" s="1297" t="s">
        <v>1038</v>
      </c>
      <c r="F6055" s="1399"/>
      <c r="G6055" s="1399"/>
      <c r="H6055" s="1399">
        <v>6080</v>
      </c>
      <c r="I6055" s="1399"/>
      <c r="J6055" s="1399">
        <v>6080</v>
      </c>
    </row>
    <row r="6056" spans="5:10" s="1297" customFormat="1">
      <c r="E6056" s="1297" t="s">
        <v>1039</v>
      </c>
      <c r="F6056" s="1399"/>
      <c r="G6056" s="1399"/>
      <c r="H6056" s="1399">
        <v>592098.11</v>
      </c>
      <c r="I6056" s="1399"/>
      <c r="J6056" s="1399">
        <v>592098.11</v>
      </c>
    </row>
    <row r="6057" spans="5:10" s="1297" customFormat="1">
      <c r="E6057" s="1297" t="s">
        <v>1040</v>
      </c>
      <c r="F6057" s="1399"/>
      <c r="G6057" s="1399"/>
      <c r="H6057" s="1399">
        <v>949809.24999999977</v>
      </c>
      <c r="I6057" s="1399"/>
      <c r="J6057" s="1399">
        <v>949809.24999999977</v>
      </c>
    </row>
    <row r="6058" spans="5:10" s="1297" customFormat="1">
      <c r="E6058" s="1297" t="s">
        <v>1127</v>
      </c>
      <c r="F6058" s="1399"/>
      <c r="G6058" s="1399"/>
      <c r="H6058" s="1399">
        <v>52106.609999999986</v>
      </c>
      <c r="I6058" s="1399"/>
      <c r="J6058" s="1399">
        <v>52106.609999999986</v>
      </c>
    </row>
    <row r="6059" spans="5:10" s="1297" customFormat="1">
      <c r="E6059" s="1297" t="s">
        <v>1041</v>
      </c>
      <c r="F6059" s="1399"/>
      <c r="G6059" s="1399"/>
      <c r="H6059" s="1399">
        <v>444646.07999999996</v>
      </c>
      <c r="I6059" s="1399"/>
      <c r="J6059" s="1399">
        <v>444646.07999999996</v>
      </c>
    </row>
    <row r="6060" spans="5:10" s="1297" customFormat="1">
      <c r="E6060" s="1297" t="s">
        <v>1042</v>
      </c>
      <c r="F6060" s="1399"/>
      <c r="G6060" s="1399"/>
      <c r="H6060" s="1399">
        <v>155412.75</v>
      </c>
      <c r="I6060" s="1399"/>
      <c r="J6060" s="1399">
        <v>155412.75</v>
      </c>
    </row>
    <row r="6061" spans="5:10" s="1297" customFormat="1">
      <c r="E6061" s="1297" t="s">
        <v>1043</v>
      </c>
      <c r="F6061" s="1399"/>
      <c r="G6061" s="1399"/>
      <c r="H6061" s="1399">
        <v>783988.98</v>
      </c>
      <c r="I6061" s="1399"/>
      <c r="J6061" s="1399">
        <v>783988.98</v>
      </c>
    </row>
    <row r="6062" spans="5:10" s="1297" customFormat="1">
      <c r="E6062" s="1297" t="s">
        <v>986</v>
      </c>
      <c r="F6062" s="1399"/>
      <c r="G6062" s="1399"/>
      <c r="H6062" s="1399">
        <v>1245150.45</v>
      </c>
      <c r="I6062" s="1399"/>
      <c r="J6062" s="1399">
        <v>1245150.45</v>
      </c>
    </row>
    <row r="6063" spans="5:10" s="1297" customFormat="1">
      <c r="E6063" s="1297" t="s">
        <v>996</v>
      </c>
      <c r="F6063" s="1399"/>
      <c r="G6063" s="1399"/>
      <c r="H6063" s="1399">
        <v>28725.87</v>
      </c>
      <c r="I6063" s="1399"/>
      <c r="J6063" s="1399">
        <v>28725.87</v>
      </c>
    </row>
    <row r="6064" spans="5:10" s="1297" customFormat="1">
      <c r="E6064" s="1297" t="s">
        <v>1044</v>
      </c>
      <c r="F6064" s="1399">
        <v>796059.22</v>
      </c>
      <c r="G6064" s="1399"/>
      <c r="H6064" s="1399"/>
      <c r="I6064" s="1399"/>
      <c r="J6064" s="1399">
        <v>796059.22</v>
      </c>
    </row>
    <row r="6065" spans="5:10" s="1297" customFormat="1">
      <c r="E6065" s="1297" t="s">
        <v>1045</v>
      </c>
      <c r="F6065" s="1399"/>
      <c r="G6065" s="1399"/>
      <c r="H6065" s="1399">
        <v>3395386.75</v>
      </c>
      <c r="I6065" s="1399"/>
      <c r="J6065" s="1399">
        <v>3395386.75</v>
      </c>
    </row>
    <row r="6066" spans="5:10" s="1297" customFormat="1">
      <c r="E6066" s="1297" t="s">
        <v>1046</v>
      </c>
      <c r="F6066" s="1399"/>
      <c r="G6066" s="1399"/>
      <c r="H6066" s="1399"/>
      <c r="I6066" s="1399">
        <v>245147846</v>
      </c>
      <c r="J6066" s="1399">
        <v>245147846</v>
      </c>
    </row>
    <row r="6067" spans="5:10" s="1297" customFormat="1">
      <c r="E6067" s="1297" t="s">
        <v>1128</v>
      </c>
      <c r="F6067" s="1399"/>
      <c r="G6067" s="1399"/>
      <c r="H6067" s="1399"/>
      <c r="I6067" s="1399">
        <v>20491789</v>
      </c>
      <c r="J6067" s="1399">
        <v>20491789</v>
      </c>
    </row>
    <row r="6068" spans="5:10" s="1297" customFormat="1">
      <c r="E6068" s="1297" t="s">
        <v>1129</v>
      </c>
      <c r="F6068" s="1399"/>
      <c r="G6068" s="1399"/>
      <c r="H6068" s="1399"/>
      <c r="I6068" s="1399">
        <v>-21288539</v>
      </c>
      <c r="J6068" s="1399">
        <v>-21288539</v>
      </c>
    </row>
    <row r="6069" spans="5:10" s="1297" customFormat="1">
      <c r="E6069" s="1297" t="s">
        <v>1047</v>
      </c>
      <c r="F6069" s="1399"/>
      <c r="G6069" s="1399"/>
      <c r="H6069" s="1399"/>
      <c r="I6069" s="1399">
        <v>3873936</v>
      </c>
      <c r="J6069" s="1399">
        <v>3873936</v>
      </c>
    </row>
    <row r="6070" spans="5:10" s="1297" customFormat="1">
      <c r="E6070" s="1297" t="s">
        <v>1048</v>
      </c>
      <c r="F6070" s="1399"/>
      <c r="G6070" s="1399"/>
      <c r="H6070" s="1399"/>
      <c r="I6070" s="1399">
        <v>-121572502</v>
      </c>
      <c r="J6070" s="1399">
        <v>-121572502</v>
      </c>
    </row>
    <row r="6071" spans="5:10" s="1297" customFormat="1">
      <c r="E6071" s="1404" t="s">
        <v>955</v>
      </c>
      <c r="F6071" s="1405"/>
      <c r="G6071" s="1405"/>
      <c r="H6071" s="1405"/>
      <c r="I6071" s="1405">
        <v>2637758.36</v>
      </c>
      <c r="J6071" s="1405">
        <v>2637758.36</v>
      </c>
    </row>
    <row r="6072" spans="5:10" s="1297" customFormat="1">
      <c r="E6072" s="1297" t="s">
        <v>934</v>
      </c>
      <c r="F6072" s="1399"/>
      <c r="G6072" s="1399"/>
      <c r="H6072" s="1399"/>
      <c r="I6072" s="1399">
        <v>659002</v>
      </c>
      <c r="J6072" s="1399">
        <v>659002</v>
      </c>
    </row>
    <row r="6073" spans="5:10" s="1297" customFormat="1">
      <c r="E6073" s="1297" t="s">
        <v>1130</v>
      </c>
      <c r="F6073" s="1399"/>
      <c r="G6073" s="1399"/>
      <c r="H6073" s="1399"/>
      <c r="I6073" s="1399">
        <v>1767686.4</v>
      </c>
      <c r="J6073" s="1399">
        <v>1767686.4</v>
      </c>
    </row>
    <row r="6074" spans="5:10" s="1297" customFormat="1">
      <c r="E6074" s="1297" t="s">
        <v>935</v>
      </c>
      <c r="F6074" s="1399"/>
      <c r="G6074" s="1399"/>
      <c r="H6074" s="1399"/>
      <c r="I6074" s="1399">
        <v>3114895.86</v>
      </c>
      <c r="J6074" s="1399">
        <v>3114895.86</v>
      </c>
    </row>
    <row r="6075" spans="5:10" s="1297" customFormat="1">
      <c r="E6075" s="1297" t="s">
        <v>936</v>
      </c>
      <c r="F6075" s="1399"/>
      <c r="G6075" s="1399"/>
      <c r="H6075" s="1399"/>
      <c r="I6075" s="1399">
        <v>623968.25</v>
      </c>
      <c r="J6075" s="1399">
        <v>623968.25</v>
      </c>
    </row>
    <row r="6076" spans="5:10" s="1297" customFormat="1">
      <c r="E6076" s="1297" t="s">
        <v>937</v>
      </c>
      <c r="F6076" s="1399"/>
      <c r="G6076" s="1399"/>
      <c r="H6076" s="1399"/>
      <c r="I6076" s="1399">
        <v>173889.68</v>
      </c>
      <c r="J6076" s="1399">
        <v>173889.68</v>
      </c>
    </row>
    <row r="6077" spans="5:10" s="1297" customFormat="1">
      <c r="E6077" s="1297" t="s">
        <v>1131</v>
      </c>
      <c r="F6077" s="1399">
        <v>971016.27999999991</v>
      </c>
      <c r="G6077" s="1399"/>
      <c r="H6077" s="1399"/>
      <c r="I6077" s="1399"/>
      <c r="J6077" s="1399">
        <v>971016.27999999991</v>
      </c>
    </row>
    <row r="6078" spans="5:10" s="1297" customFormat="1">
      <c r="E6078" s="1297" t="s">
        <v>940</v>
      </c>
      <c r="F6078" s="1399">
        <v>14445417.199999997</v>
      </c>
      <c r="G6078" s="1399"/>
      <c r="H6078" s="1399"/>
      <c r="I6078" s="1399"/>
      <c r="J6078" s="1399">
        <v>14445417.199999997</v>
      </c>
    </row>
    <row r="6079" spans="5:10" s="1297" customFormat="1">
      <c r="E6079" s="1297" t="s">
        <v>941</v>
      </c>
      <c r="F6079" s="1399">
        <v>5655839.9000000004</v>
      </c>
      <c r="G6079" s="1399"/>
      <c r="H6079" s="1399"/>
      <c r="I6079" s="1399"/>
      <c r="J6079" s="1399">
        <v>5655839.9000000004</v>
      </c>
    </row>
    <row r="6080" spans="5:10" s="1297" customFormat="1">
      <c r="E6080" s="1297" t="s">
        <v>943</v>
      </c>
      <c r="F6080" s="1399">
        <v>242511.94999999995</v>
      </c>
      <c r="G6080" s="1399"/>
      <c r="H6080" s="1399"/>
      <c r="I6080" s="1399"/>
      <c r="J6080" s="1399">
        <v>242511.94999999995</v>
      </c>
    </row>
    <row r="6081" spans="2:14">
      <c r="B6081" s="1297"/>
      <c r="C6081" s="1297"/>
      <c r="D6081" s="1297"/>
      <c r="E6081" s="1297" t="s">
        <v>944</v>
      </c>
      <c r="F6081" s="1399">
        <v>52258608.980000004</v>
      </c>
      <c r="J6081" s="1399">
        <v>52258608.980000004</v>
      </c>
    </row>
    <row r="6082" spans="2:14">
      <c r="B6082" s="1297"/>
      <c r="C6082" s="1297"/>
      <c r="D6082" s="1297"/>
      <c r="E6082" s="1297" t="s">
        <v>945</v>
      </c>
      <c r="F6082" s="1399">
        <v>27272087.890000001</v>
      </c>
      <c r="J6082" s="1399">
        <v>27272087.890000001</v>
      </c>
    </row>
    <row r="6083" spans="2:14">
      <c r="B6083" s="1297"/>
      <c r="C6083" s="1297"/>
      <c r="D6083" s="1297"/>
      <c r="E6083" s="1297" t="s">
        <v>946</v>
      </c>
      <c r="F6083" s="1399">
        <v>1415715.77</v>
      </c>
      <c r="J6083" s="1399">
        <v>1415715.77</v>
      </c>
    </row>
    <row r="6084" spans="2:14">
      <c r="B6084" s="1297"/>
      <c r="C6084" s="1297"/>
      <c r="D6084" s="1297"/>
      <c r="E6084" s="1297" t="s">
        <v>978</v>
      </c>
      <c r="F6084" s="1399">
        <v>192854.53999999998</v>
      </c>
      <c r="J6084" s="1399">
        <v>192854.53999999998</v>
      </c>
    </row>
    <row r="6085" spans="2:14">
      <c r="B6085" s="1297"/>
      <c r="C6085" s="1297"/>
      <c r="D6085" s="1297"/>
      <c r="E6085" s="1297" t="s">
        <v>1006</v>
      </c>
      <c r="F6085" s="1399">
        <v>51408.94</v>
      </c>
      <c r="J6085" s="1399">
        <v>51408.94</v>
      </c>
    </row>
    <row r="6086" spans="2:14">
      <c r="B6086" s="1297"/>
      <c r="C6086" s="1297"/>
      <c r="D6086" s="1297"/>
      <c r="E6086" s="1297" t="s">
        <v>1214</v>
      </c>
      <c r="F6086" s="1399">
        <v>1259031.76</v>
      </c>
      <c r="J6086" s="1399">
        <v>1259031.76</v>
      </c>
    </row>
    <row r="6087" spans="2:14">
      <c r="B6087" s="1297"/>
      <c r="C6087" s="1297"/>
      <c r="D6087" s="1297"/>
      <c r="E6087" s="1297" t="s">
        <v>947</v>
      </c>
      <c r="F6087" s="1399">
        <v>1230788.9500000002</v>
      </c>
      <c r="J6087" s="1399">
        <v>1230788.9500000002</v>
      </c>
    </row>
    <row r="6088" spans="2:14">
      <c r="B6088" s="1297"/>
      <c r="C6088" s="1297"/>
      <c r="D6088" s="1297"/>
      <c r="E6088" s="1404" t="s">
        <v>1116</v>
      </c>
      <c r="F6088" s="1405"/>
      <c r="G6088" s="1405"/>
      <c r="H6088" s="1405">
        <v>104415000</v>
      </c>
      <c r="I6088" s="1405"/>
      <c r="J6088" s="1405">
        <v>104415000</v>
      </c>
    </row>
    <row r="6089" spans="2:14">
      <c r="B6089" s="1297"/>
      <c r="C6089" s="1297"/>
      <c r="D6089" s="1297"/>
      <c r="E6089" s="1297" t="s">
        <v>1117</v>
      </c>
      <c r="H6089" s="1399">
        <v>3097709.35</v>
      </c>
      <c r="J6089" s="1399">
        <v>3097709.35</v>
      </c>
    </row>
    <row r="6090" spans="2:14">
      <c r="B6090" s="1297"/>
      <c r="C6090" s="1297"/>
      <c r="D6090" s="1297"/>
      <c r="E6090" s="1404" t="s">
        <v>948</v>
      </c>
      <c r="F6090" s="1405"/>
      <c r="G6090" s="1405"/>
      <c r="H6090" s="1405">
        <v>31085311.740000002</v>
      </c>
      <c r="I6090" s="1405"/>
      <c r="J6090" s="1405">
        <v>31085311.740000002</v>
      </c>
    </row>
    <row r="6091" spans="2:14">
      <c r="B6091" s="1297"/>
      <c r="C6091" s="1297"/>
      <c r="D6091" s="1297"/>
      <c r="E6091" s="1297" t="s">
        <v>956</v>
      </c>
      <c r="H6091" s="1399">
        <v>134009971.53</v>
      </c>
      <c r="J6091" s="1399">
        <v>134009971.53</v>
      </c>
    </row>
    <row r="6092" spans="2:14">
      <c r="B6092" s="1297"/>
      <c r="C6092" s="1297"/>
      <c r="D6092" s="1297"/>
      <c r="E6092" s="1297" t="s">
        <v>1118</v>
      </c>
      <c r="H6092" s="1399">
        <v>4524383.49</v>
      </c>
      <c r="J6092" s="1399">
        <v>4524383.49</v>
      </c>
    </row>
    <row r="6093" spans="2:14">
      <c r="B6093" s="1297"/>
      <c r="C6093" s="1297"/>
      <c r="D6093" s="1400" t="s">
        <v>1433</v>
      </c>
      <c r="E6093" s="1400"/>
      <c r="F6093" s="1401">
        <f>SUM(F6045:F6092)</f>
        <v>105791341.38000001</v>
      </c>
      <c r="G6093" s="1401">
        <f>SUM(G6045:G6092)</f>
        <v>502490607.92000002</v>
      </c>
      <c r="H6093" s="1412">
        <f>SUM(H6045:H6092)-(H6088+H6090)</f>
        <v>151745479.02999997</v>
      </c>
      <c r="I6093" s="1401">
        <f>SUM(I6045:I6092)-I6071</f>
        <v>132991972.19000001</v>
      </c>
      <c r="J6093" s="1401">
        <f>SUM(J6045:J6092)</f>
        <v>1031157470.6200002</v>
      </c>
      <c r="K6093" s="1401">
        <f>SUM(F6093:I6093)</f>
        <v>893019400.5200001</v>
      </c>
      <c r="L6093" s="1408">
        <f>K6093/C6045</f>
        <v>18350.342145689923</v>
      </c>
      <c r="M6093" s="1408">
        <f>F6093/C6045</f>
        <v>2173.869133463475</v>
      </c>
      <c r="N6093" s="1297">
        <f>F6093/K6093</f>
        <v>0.11846477391017296</v>
      </c>
    </row>
    <row r="6094" spans="2:14">
      <c r="B6094" s="1297" t="s">
        <v>1434</v>
      </c>
      <c r="C6094" s="1297">
        <v>2057</v>
      </c>
      <c r="D6094" s="1297" t="s">
        <v>1435</v>
      </c>
      <c r="E6094" s="1297" t="s">
        <v>906</v>
      </c>
      <c r="G6094" s="1399">
        <v>211254.6</v>
      </c>
      <c r="J6094" s="1399">
        <v>211254.6</v>
      </c>
    </row>
    <row r="6095" spans="2:14">
      <c r="B6095" s="1297"/>
      <c r="C6095" s="1297"/>
      <c r="D6095" s="1297"/>
      <c r="E6095" s="1297" t="s">
        <v>952</v>
      </c>
      <c r="G6095" s="1399">
        <v>24654.45</v>
      </c>
      <c r="J6095" s="1399">
        <v>24654.45</v>
      </c>
    </row>
    <row r="6096" spans="2:14">
      <c r="B6096" s="1297"/>
      <c r="C6096" s="1297"/>
      <c r="D6096" s="1297"/>
      <c r="E6096" s="1297" t="s">
        <v>907</v>
      </c>
      <c r="G6096" s="1399">
        <v>1565513.08</v>
      </c>
      <c r="J6096" s="1399">
        <v>1565513.08</v>
      </c>
    </row>
    <row r="6097" spans="5:10" s="1297" customFormat="1">
      <c r="E6097" s="1297" t="s">
        <v>1145</v>
      </c>
      <c r="F6097" s="1399"/>
      <c r="G6097" s="1399">
        <v>2952746.91</v>
      </c>
      <c r="H6097" s="1399"/>
      <c r="I6097" s="1399"/>
      <c r="J6097" s="1399">
        <v>2952746.91</v>
      </c>
    </row>
    <row r="6098" spans="5:10" s="1297" customFormat="1">
      <c r="E6098" s="1297" t="s">
        <v>909</v>
      </c>
      <c r="F6098" s="1399"/>
      <c r="G6098" s="1399"/>
      <c r="H6098" s="1399">
        <v>35033.19</v>
      </c>
      <c r="I6098" s="1399"/>
      <c r="J6098" s="1399">
        <v>35033.19</v>
      </c>
    </row>
    <row r="6099" spans="5:10" s="1297" customFormat="1">
      <c r="E6099" s="1297" t="s">
        <v>910</v>
      </c>
      <c r="F6099" s="1399"/>
      <c r="G6099" s="1399"/>
      <c r="H6099" s="1399">
        <v>377075.35</v>
      </c>
      <c r="I6099" s="1399"/>
      <c r="J6099" s="1399">
        <v>377075.35</v>
      </c>
    </row>
    <row r="6100" spans="5:10" s="1297" customFormat="1">
      <c r="E6100" s="1297" t="s">
        <v>1034</v>
      </c>
      <c r="F6100" s="1399"/>
      <c r="G6100" s="1399"/>
      <c r="H6100" s="1399">
        <v>44865.16</v>
      </c>
      <c r="I6100" s="1399"/>
      <c r="J6100" s="1399">
        <v>44865.16</v>
      </c>
    </row>
    <row r="6101" spans="5:10" s="1297" customFormat="1">
      <c r="E6101" s="1297" t="s">
        <v>1035</v>
      </c>
      <c r="F6101" s="1399"/>
      <c r="G6101" s="1399"/>
      <c r="H6101" s="1399">
        <v>411064.51</v>
      </c>
      <c r="I6101" s="1399"/>
      <c r="J6101" s="1399">
        <v>411064.51</v>
      </c>
    </row>
    <row r="6102" spans="5:10" s="1297" customFormat="1">
      <c r="E6102" s="1297" t="s">
        <v>1036</v>
      </c>
      <c r="F6102" s="1399"/>
      <c r="G6102" s="1399"/>
      <c r="H6102" s="1399">
        <v>120997.48</v>
      </c>
      <c r="I6102" s="1399"/>
      <c r="J6102" s="1399">
        <v>120997.48</v>
      </c>
    </row>
    <row r="6103" spans="5:10" s="1297" customFormat="1">
      <c r="E6103" s="1297" t="s">
        <v>1037</v>
      </c>
      <c r="F6103" s="1399"/>
      <c r="G6103" s="1399"/>
      <c r="H6103" s="1399">
        <v>816644.88</v>
      </c>
      <c r="I6103" s="1399"/>
      <c r="J6103" s="1399">
        <v>816644.88</v>
      </c>
    </row>
    <row r="6104" spans="5:10" s="1297" customFormat="1">
      <c r="E6104" s="1297" t="s">
        <v>1039</v>
      </c>
      <c r="F6104" s="1399"/>
      <c r="G6104" s="1399"/>
      <c r="H6104" s="1399">
        <v>34392.14</v>
      </c>
      <c r="I6104" s="1399"/>
      <c r="J6104" s="1399">
        <v>34392.14</v>
      </c>
    </row>
    <row r="6105" spans="5:10" s="1297" customFormat="1">
      <c r="E6105" s="1297" t="s">
        <v>1040</v>
      </c>
      <c r="F6105" s="1399"/>
      <c r="G6105" s="1399"/>
      <c r="H6105" s="1399">
        <v>353039.31</v>
      </c>
      <c r="I6105" s="1399"/>
      <c r="J6105" s="1399">
        <v>353039.31</v>
      </c>
    </row>
    <row r="6106" spans="5:10" s="1297" customFormat="1">
      <c r="E6106" s="1297" t="s">
        <v>1207</v>
      </c>
      <c r="F6106" s="1399"/>
      <c r="G6106" s="1399"/>
      <c r="H6106" s="1399">
        <v>19390.23</v>
      </c>
      <c r="I6106" s="1399"/>
      <c r="J6106" s="1399">
        <v>19390.23</v>
      </c>
    </row>
    <row r="6107" spans="5:10" s="1297" customFormat="1">
      <c r="E6107" s="1297" t="s">
        <v>1041</v>
      </c>
      <c r="F6107" s="1399"/>
      <c r="G6107" s="1399"/>
      <c r="H6107" s="1399">
        <v>3414.9300000000003</v>
      </c>
      <c r="I6107" s="1399"/>
      <c r="J6107" s="1399">
        <v>3414.9300000000003</v>
      </c>
    </row>
    <row r="6108" spans="5:10" s="1297" customFormat="1">
      <c r="E6108" s="1297" t="s">
        <v>1042</v>
      </c>
      <c r="F6108" s="1399"/>
      <c r="G6108" s="1399"/>
      <c r="H6108" s="1399">
        <v>15618</v>
      </c>
      <c r="I6108" s="1399"/>
      <c r="J6108" s="1399">
        <v>15618</v>
      </c>
    </row>
    <row r="6109" spans="5:10" s="1297" customFormat="1">
      <c r="E6109" s="1297" t="s">
        <v>985</v>
      </c>
      <c r="F6109" s="1399"/>
      <c r="G6109" s="1399"/>
      <c r="H6109" s="1399">
        <v>82000.820000000007</v>
      </c>
      <c r="I6109" s="1399"/>
      <c r="J6109" s="1399">
        <v>82000.820000000007</v>
      </c>
    </row>
    <row r="6110" spans="5:10" s="1297" customFormat="1">
      <c r="E6110" s="1297" t="s">
        <v>986</v>
      </c>
      <c r="F6110" s="1399"/>
      <c r="G6110" s="1399"/>
      <c r="H6110" s="1399">
        <v>253633.79</v>
      </c>
      <c r="I6110" s="1399"/>
      <c r="J6110" s="1399">
        <v>253633.79</v>
      </c>
    </row>
    <row r="6111" spans="5:10" s="1297" customFormat="1">
      <c r="E6111" s="1297" t="s">
        <v>1004</v>
      </c>
      <c r="F6111" s="1399"/>
      <c r="G6111" s="1399"/>
      <c r="H6111" s="1399">
        <v>-31042.95</v>
      </c>
      <c r="I6111" s="1399"/>
      <c r="J6111" s="1399">
        <v>-31042.95</v>
      </c>
    </row>
    <row r="6112" spans="5:10" s="1297" customFormat="1">
      <c r="E6112" s="1297" t="s">
        <v>1045</v>
      </c>
      <c r="F6112" s="1399"/>
      <c r="G6112" s="1399"/>
      <c r="H6112" s="1399">
        <v>467078.93</v>
      </c>
      <c r="I6112" s="1399"/>
      <c r="J6112" s="1399">
        <v>467078.93</v>
      </c>
    </row>
    <row r="6113" spans="5:10" s="1297" customFormat="1">
      <c r="E6113" s="1297" t="s">
        <v>1046</v>
      </c>
      <c r="F6113" s="1399"/>
      <c r="G6113" s="1399"/>
      <c r="H6113" s="1399"/>
      <c r="I6113" s="1399">
        <v>10555476</v>
      </c>
      <c r="J6113" s="1399">
        <v>10555476</v>
      </c>
    </row>
    <row r="6114" spans="5:10" s="1297" customFormat="1">
      <c r="E6114" s="1297" t="s">
        <v>1128</v>
      </c>
      <c r="F6114" s="1399"/>
      <c r="G6114" s="1399"/>
      <c r="H6114" s="1399"/>
      <c r="I6114" s="1399">
        <v>870481</v>
      </c>
      <c r="J6114" s="1399">
        <v>870481</v>
      </c>
    </row>
    <row r="6115" spans="5:10" s="1297" customFormat="1">
      <c r="E6115" s="1297" t="s">
        <v>1129</v>
      </c>
      <c r="F6115" s="1399"/>
      <c r="G6115" s="1399"/>
      <c r="H6115" s="1399"/>
      <c r="I6115" s="1399">
        <v>-1390287</v>
      </c>
      <c r="J6115" s="1399">
        <v>-1390287</v>
      </c>
    </row>
    <row r="6116" spans="5:10" s="1297" customFormat="1">
      <c r="E6116" s="1297" t="s">
        <v>1047</v>
      </c>
      <c r="F6116" s="1399"/>
      <c r="G6116" s="1399"/>
      <c r="H6116" s="1399"/>
      <c r="I6116" s="1399">
        <v>59736</v>
      </c>
      <c r="J6116" s="1399">
        <v>59736</v>
      </c>
    </row>
    <row r="6117" spans="5:10" s="1297" customFormat="1">
      <c r="E6117" s="1297" t="s">
        <v>1048</v>
      </c>
      <c r="F6117" s="1399"/>
      <c r="G6117" s="1399"/>
      <c r="H6117" s="1399"/>
      <c r="I6117" s="1399">
        <v>-1051179</v>
      </c>
      <c r="J6117" s="1399">
        <v>-1051179</v>
      </c>
    </row>
    <row r="6118" spans="5:10" s="1297" customFormat="1">
      <c r="E6118" s="359" t="s">
        <v>932</v>
      </c>
      <c r="F6118" s="1411"/>
      <c r="G6118" s="1411"/>
      <c r="H6118" s="1411"/>
      <c r="I6118" s="1411">
        <v>1126557</v>
      </c>
      <c r="J6118" s="1399">
        <v>1126557</v>
      </c>
    </row>
    <row r="6119" spans="5:10" s="1297" customFormat="1">
      <c r="E6119" s="1404" t="s">
        <v>955</v>
      </c>
      <c r="F6119" s="1405"/>
      <c r="G6119" s="1405"/>
      <c r="H6119" s="1405"/>
      <c r="I6119" s="1405">
        <v>471469.73</v>
      </c>
      <c r="J6119" s="1405">
        <v>471469.73</v>
      </c>
    </row>
    <row r="6120" spans="5:10" s="1297" customFormat="1">
      <c r="E6120" s="1297" t="s">
        <v>934</v>
      </c>
      <c r="F6120" s="1399"/>
      <c r="G6120" s="1399"/>
      <c r="H6120" s="1399"/>
      <c r="I6120" s="1399">
        <v>25876</v>
      </c>
      <c r="J6120" s="1399">
        <v>25876</v>
      </c>
    </row>
    <row r="6121" spans="5:10" s="1297" customFormat="1">
      <c r="E6121" s="1297" t="s">
        <v>935</v>
      </c>
      <c r="F6121" s="1399"/>
      <c r="G6121" s="1399"/>
      <c r="H6121" s="1399"/>
      <c r="I6121" s="1399">
        <v>94784.68</v>
      </c>
      <c r="J6121" s="1399">
        <v>94784.68</v>
      </c>
    </row>
    <row r="6122" spans="5:10" s="1297" customFormat="1">
      <c r="E6122" s="1297" t="s">
        <v>936</v>
      </c>
      <c r="F6122" s="1399"/>
      <c r="G6122" s="1399"/>
      <c r="H6122" s="1399"/>
      <c r="I6122" s="1399">
        <v>31163.4</v>
      </c>
      <c r="J6122" s="1399">
        <v>31163.4</v>
      </c>
    </row>
    <row r="6123" spans="5:10" s="1297" customFormat="1">
      <c r="E6123" s="1297" t="s">
        <v>938</v>
      </c>
      <c r="F6123" s="1399"/>
      <c r="G6123" s="1399"/>
      <c r="H6123" s="1399"/>
      <c r="I6123" s="1399">
        <v>5240</v>
      </c>
      <c r="J6123" s="1399">
        <v>5240</v>
      </c>
    </row>
    <row r="6124" spans="5:10" s="1297" customFormat="1">
      <c r="E6124" s="1297" t="s">
        <v>939</v>
      </c>
      <c r="F6124" s="1399"/>
      <c r="G6124" s="1399"/>
      <c r="H6124" s="1399"/>
      <c r="I6124" s="1399">
        <v>42250</v>
      </c>
      <c r="J6124" s="1399">
        <v>42250</v>
      </c>
    </row>
    <row r="6125" spans="5:10" s="1297" customFormat="1">
      <c r="E6125" s="1297" t="s">
        <v>940</v>
      </c>
      <c r="F6125" s="1399">
        <v>242184.52</v>
      </c>
      <c r="G6125" s="1399"/>
      <c r="H6125" s="1399"/>
      <c r="I6125" s="1399"/>
      <c r="J6125" s="1399">
        <v>242184.52</v>
      </c>
    </row>
    <row r="6126" spans="5:10" s="1297" customFormat="1">
      <c r="E6126" s="1297" t="s">
        <v>941</v>
      </c>
      <c r="F6126" s="1399">
        <v>52488.619999999995</v>
      </c>
      <c r="G6126" s="1399"/>
      <c r="H6126" s="1399"/>
      <c r="I6126" s="1399"/>
      <c r="J6126" s="1399">
        <v>52488.619999999995</v>
      </c>
    </row>
    <row r="6127" spans="5:10" s="1297" customFormat="1">
      <c r="E6127" s="1297" t="s">
        <v>944</v>
      </c>
      <c r="F6127" s="1399">
        <v>750529.24</v>
      </c>
      <c r="G6127" s="1399"/>
      <c r="H6127" s="1399"/>
      <c r="I6127" s="1399"/>
      <c r="J6127" s="1399">
        <v>750529.24</v>
      </c>
    </row>
    <row r="6128" spans="5:10" s="1297" customFormat="1">
      <c r="E6128" s="1297" t="s">
        <v>945</v>
      </c>
      <c r="F6128" s="1399">
        <v>575843.44999999995</v>
      </c>
      <c r="G6128" s="1399"/>
      <c r="H6128" s="1399"/>
      <c r="I6128" s="1399"/>
      <c r="J6128" s="1399">
        <v>575843.44999999995</v>
      </c>
    </row>
    <row r="6129" spans="2:12">
      <c r="B6129" s="1297"/>
      <c r="C6129" s="1297"/>
      <c r="D6129" s="1297"/>
      <c r="E6129" s="1297" t="s">
        <v>946</v>
      </c>
      <c r="F6129" s="1399">
        <v>14653.92</v>
      </c>
      <c r="J6129" s="1399">
        <v>14653.92</v>
      </c>
    </row>
    <row r="6130" spans="2:12">
      <c r="B6130" s="1297"/>
      <c r="C6130" s="1297"/>
      <c r="D6130" s="1297"/>
      <c r="E6130" s="1297" t="s">
        <v>947</v>
      </c>
      <c r="F6130" s="1399">
        <v>45782.12</v>
      </c>
      <c r="J6130" s="1399">
        <v>45782.12</v>
      </c>
    </row>
    <row r="6131" spans="2:12">
      <c r="B6131" s="1297"/>
      <c r="C6131" s="1297"/>
      <c r="D6131" s="1297"/>
      <c r="E6131" s="1404" t="s">
        <v>1116</v>
      </c>
      <c r="F6131" s="1405"/>
      <c r="G6131" s="1405"/>
      <c r="H6131" s="1405">
        <v>2940000</v>
      </c>
      <c r="I6131" s="1405"/>
      <c r="J6131" s="1405">
        <v>2940000</v>
      </c>
    </row>
    <row r="6132" spans="2:12">
      <c r="B6132" s="1297"/>
      <c r="C6132" s="1297"/>
      <c r="D6132" s="1297"/>
      <c r="E6132" s="1404" t="s">
        <v>948</v>
      </c>
      <c r="F6132" s="1405"/>
      <c r="G6132" s="1405"/>
      <c r="H6132" s="1405">
        <v>1960975.54</v>
      </c>
      <c r="I6132" s="1405"/>
      <c r="J6132" s="1405">
        <v>1960975.54</v>
      </c>
    </row>
    <row r="6133" spans="2:12">
      <c r="B6133" s="1297"/>
      <c r="C6133" s="1297"/>
      <c r="D6133" s="1400" t="s">
        <v>1436</v>
      </c>
      <c r="E6133" s="1400"/>
      <c r="F6133" s="1401">
        <f>SUM(F6094:F6132)</f>
        <v>1681481.87</v>
      </c>
      <c r="G6133" s="1401">
        <f>SUM(G6094:G6132)</f>
        <v>4754169.04</v>
      </c>
      <c r="H6133" s="1401">
        <f>SUM(H6094:H6132)-(H6131+H6132)</f>
        <v>3003205.7699999996</v>
      </c>
      <c r="I6133" s="1401">
        <f>SUM(I6094:I6132)-I6119</f>
        <v>10370098.08</v>
      </c>
      <c r="J6133" s="1401">
        <f>SUM(J6094:J6132)</f>
        <v>25181400.029999997</v>
      </c>
      <c r="K6133" s="1401">
        <f>SUM(F6133:I6133)</f>
        <v>19808954.759999998</v>
      </c>
      <c r="L6133" s="1408">
        <f>K6133/C6094</f>
        <v>9630.0217598444324</v>
      </c>
    </row>
    <row r="6134" spans="2:12">
      <c r="B6134" s="1297" t="s">
        <v>1437</v>
      </c>
      <c r="C6134" s="1297">
        <v>3183</v>
      </c>
      <c r="D6134" s="1297" t="s">
        <v>1438</v>
      </c>
      <c r="E6134" s="1297" t="s">
        <v>907</v>
      </c>
      <c r="G6134" s="1399">
        <v>2869784.14</v>
      </c>
      <c r="J6134" s="1399">
        <v>2869784.14</v>
      </c>
    </row>
    <row r="6135" spans="2:12">
      <c r="B6135" s="1297"/>
      <c r="C6135" s="1297"/>
      <c r="D6135" s="1297"/>
      <c r="E6135" s="1297" t="s">
        <v>1145</v>
      </c>
      <c r="G6135" s="1399">
        <v>17304552.02</v>
      </c>
      <c r="J6135" s="1399">
        <v>17304552.02</v>
      </c>
    </row>
    <row r="6136" spans="2:12">
      <c r="B6136" s="1297"/>
      <c r="C6136" s="1297"/>
      <c r="D6136" s="1297"/>
      <c r="E6136" s="1297" t="s">
        <v>1037</v>
      </c>
      <c r="H6136" s="1399">
        <v>1311992.1299999999</v>
      </c>
      <c r="J6136" s="1399">
        <v>1311992.1299999999</v>
      </c>
    </row>
    <row r="6137" spans="2:12">
      <c r="B6137" s="1297"/>
      <c r="C6137" s="1297"/>
      <c r="D6137" s="1297"/>
      <c r="E6137" s="1297" t="s">
        <v>1039</v>
      </c>
      <c r="H6137" s="1399">
        <v>3490.62</v>
      </c>
      <c r="J6137" s="1399">
        <v>3490.62</v>
      </c>
    </row>
    <row r="6138" spans="2:12">
      <c r="B6138" s="1297"/>
      <c r="C6138" s="1297"/>
      <c r="D6138" s="1297"/>
      <c r="E6138" s="1297" t="s">
        <v>1040</v>
      </c>
      <c r="H6138" s="1399">
        <v>374430.81</v>
      </c>
      <c r="J6138" s="1399">
        <v>374430.81</v>
      </c>
    </row>
    <row r="6139" spans="2:12">
      <c r="B6139" s="1297"/>
      <c r="C6139" s="1297"/>
      <c r="D6139" s="1297"/>
      <c r="E6139" s="1297" t="s">
        <v>1041</v>
      </c>
      <c r="H6139" s="1399">
        <v>85103.42</v>
      </c>
      <c r="J6139" s="1399">
        <v>85103.42</v>
      </c>
    </row>
    <row r="6140" spans="2:12">
      <c r="B6140" s="1297"/>
      <c r="C6140" s="1297"/>
      <c r="D6140" s="1297"/>
      <c r="E6140" s="1297" t="s">
        <v>1045</v>
      </c>
      <c r="H6140" s="1399">
        <v>397724.05999999994</v>
      </c>
      <c r="J6140" s="1399">
        <v>397724.05999999994</v>
      </c>
    </row>
    <row r="6141" spans="2:12">
      <c r="B6141" s="1297"/>
      <c r="C6141" s="1297"/>
      <c r="D6141" s="1297"/>
      <c r="E6141" s="1297" t="s">
        <v>1046</v>
      </c>
      <c r="I6141" s="1399">
        <v>18191973</v>
      </c>
      <c r="J6141" s="1399">
        <v>18191973</v>
      </c>
    </row>
    <row r="6142" spans="2:12">
      <c r="B6142" s="1297"/>
      <c r="C6142" s="1297"/>
      <c r="D6142" s="1297"/>
      <c r="E6142" s="1297" t="s">
        <v>1047</v>
      </c>
      <c r="I6142" s="1399">
        <v>-1790273</v>
      </c>
      <c r="J6142" s="1399">
        <v>-1790273</v>
      </c>
    </row>
    <row r="6143" spans="2:12">
      <c r="B6143" s="1297"/>
      <c r="C6143" s="1297"/>
      <c r="D6143" s="1297"/>
      <c r="E6143" s="1297" t="s">
        <v>1048</v>
      </c>
      <c r="I6143" s="1399">
        <v>-4556825</v>
      </c>
      <c r="J6143" s="1399">
        <v>-4556825</v>
      </c>
    </row>
    <row r="6144" spans="2:12">
      <c r="B6144" s="1297"/>
      <c r="C6144" s="1297"/>
      <c r="D6144" s="1297"/>
      <c r="E6144" s="1297" t="s">
        <v>934</v>
      </c>
      <c r="I6144" s="1399">
        <v>45792.94</v>
      </c>
      <c r="J6144" s="1399">
        <v>45792.94</v>
      </c>
    </row>
    <row r="6145" spans="2:12">
      <c r="B6145" s="1297"/>
      <c r="C6145" s="1297"/>
      <c r="D6145" s="1297"/>
      <c r="E6145" s="1297" t="s">
        <v>935</v>
      </c>
      <c r="I6145" s="1399">
        <v>69927.56</v>
      </c>
      <c r="J6145" s="1399">
        <v>69927.56</v>
      </c>
    </row>
    <row r="6146" spans="2:12">
      <c r="B6146" s="1297"/>
      <c r="C6146" s="1297"/>
      <c r="D6146" s="1297"/>
      <c r="E6146" s="1297" t="s">
        <v>940</v>
      </c>
      <c r="F6146" s="1399">
        <v>902579.4800000001</v>
      </c>
      <c r="J6146" s="1399">
        <v>902579.4800000001</v>
      </c>
    </row>
    <row r="6147" spans="2:12">
      <c r="B6147" s="1297"/>
      <c r="C6147" s="1297"/>
      <c r="D6147" s="1297"/>
      <c r="E6147" s="1297" t="s">
        <v>944</v>
      </c>
      <c r="F6147" s="1399">
        <v>873036.82000000007</v>
      </c>
      <c r="J6147" s="1399">
        <v>873036.82000000007</v>
      </c>
    </row>
    <row r="6148" spans="2:12">
      <c r="B6148" s="1297"/>
      <c r="C6148" s="1297"/>
      <c r="D6148" s="1297"/>
      <c r="E6148" s="1297" t="s">
        <v>945</v>
      </c>
      <c r="F6148" s="1399">
        <v>887958.95</v>
      </c>
      <c r="J6148" s="1399">
        <v>887958.95</v>
      </c>
    </row>
    <row r="6149" spans="2:12">
      <c r="B6149" s="1297"/>
      <c r="C6149" s="1297"/>
      <c r="D6149" s="1297"/>
      <c r="E6149" s="1297" t="s">
        <v>947</v>
      </c>
      <c r="F6149" s="1399">
        <v>57102.990000000005</v>
      </c>
      <c r="J6149" s="1399">
        <v>57102.990000000005</v>
      </c>
    </row>
    <row r="6150" spans="2:12">
      <c r="B6150" s="1297"/>
      <c r="C6150" s="1297"/>
      <c r="D6150" s="1297"/>
      <c r="E6150" s="1404" t="s">
        <v>948</v>
      </c>
      <c r="F6150" s="1405"/>
      <c r="G6150" s="1405"/>
      <c r="H6150" s="1405">
        <v>300082.48</v>
      </c>
      <c r="I6150" s="1405"/>
      <c r="J6150" s="1405">
        <v>300082.48</v>
      </c>
    </row>
    <row r="6151" spans="2:12">
      <c r="B6151" s="1297"/>
      <c r="C6151" s="1297"/>
      <c r="D6151" s="1400" t="s">
        <v>1439</v>
      </c>
      <c r="E6151" s="1400"/>
      <c r="F6151" s="1401">
        <f>SUM(F6134:F6150)</f>
        <v>2720678.24</v>
      </c>
      <c r="G6151" s="1401">
        <f>SUM(G6134:G6150)</f>
        <v>20174336.16</v>
      </c>
      <c r="H6151" s="1401">
        <f>SUM(H6134:H6150)-H6150</f>
        <v>2172741.04</v>
      </c>
      <c r="I6151" s="1401">
        <f>SUM(I6134:I6150)</f>
        <v>11960595.5</v>
      </c>
      <c r="J6151" s="1401">
        <f>SUM(J6134:J6150)</f>
        <v>37328433.420000002</v>
      </c>
      <c r="K6151" s="1401">
        <f>SUM(F6151:I6151)</f>
        <v>37028350.939999998</v>
      </c>
      <c r="L6151" s="1408">
        <f>K6151/C6134</f>
        <v>11633.160835689599</v>
      </c>
    </row>
    <row r="6152" spans="2:12">
      <c r="B6152" s="1297" t="s">
        <v>1440</v>
      </c>
      <c r="C6152" s="1297">
        <v>3536</v>
      </c>
      <c r="D6152" s="1297" t="s">
        <v>1441</v>
      </c>
      <c r="E6152" s="1297" t="s">
        <v>907</v>
      </c>
      <c r="G6152" s="1399">
        <v>2515624.5699999998</v>
      </c>
      <c r="J6152" s="1399">
        <v>2515624.5699999998</v>
      </c>
    </row>
    <row r="6153" spans="2:12">
      <c r="B6153" s="1297"/>
      <c r="C6153" s="1297"/>
      <c r="D6153" s="1297"/>
      <c r="E6153" s="1297" t="s">
        <v>1145</v>
      </c>
      <c r="G6153" s="1399">
        <v>10074116.34</v>
      </c>
      <c r="J6153" s="1399">
        <v>10074116.34</v>
      </c>
    </row>
    <row r="6154" spans="2:12">
      <c r="B6154" s="1297"/>
      <c r="C6154" s="1297"/>
      <c r="D6154" s="1297"/>
      <c r="E6154" s="1297" t="s">
        <v>909</v>
      </c>
      <c r="H6154" s="1399">
        <v>82191.62</v>
      </c>
      <c r="J6154" s="1399">
        <v>82191.62</v>
      </c>
    </row>
    <row r="6155" spans="2:12">
      <c r="B6155" s="1297"/>
      <c r="C6155" s="1297"/>
      <c r="D6155" s="1297"/>
      <c r="E6155" s="1297" t="s">
        <v>1034</v>
      </c>
      <c r="H6155" s="1399">
        <v>69303.929999999993</v>
      </c>
      <c r="J6155" s="1399">
        <v>69303.929999999993</v>
      </c>
    </row>
    <row r="6156" spans="2:12">
      <c r="B6156" s="1297"/>
      <c r="C6156" s="1297"/>
      <c r="D6156" s="1297"/>
      <c r="E6156" s="1297" t="s">
        <v>1035</v>
      </c>
      <c r="H6156" s="1399">
        <v>64637.86</v>
      </c>
      <c r="J6156" s="1399">
        <v>64637.86</v>
      </c>
    </row>
    <row r="6157" spans="2:12">
      <c r="B6157" s="1297"/>
      <c r="C6157" s="1297"/>
      <c r="D6157" s="1297"/>
      <c r="E6157" s="1297" t="s">
        <v>1036</v>
      </c>
      <c r="H6157" s="1399">
        <v>406407.15</v>
      </c>
      <c r="J6157" s="1399">
        <v>406407.15</v>
      </c>
    </row>
    <row r="6158" spans="2:12">
      <c r="B6158" s="1297"/>
      <c r="C6158" s="1297"/>
      <c r="D6158" s="1297"/>
      <c r="E6158" s="1297" t="s">
        <v>1039</v>
      </c>
      <c r="H6158" s="1399">
        <v>27210.350000000002</v>
      </c>
      <c r="J6158" s="1399">
        <v>27210.350000000002</v>
      </c>
    </row>
    <row r="6159" spans="2:12">
      <c r="B6159" s="1297"/>
      <c r="C6159" s="1297"/>
      <c r="D6159" s="1297"/>
      <c r="E6159" s="1297" t="s">
        <v>1040</v>
      </c>
      <c r="H6159" s="1399">
        <v>304057.14</v>
      </c>
      <c r="J6159" s="1399">
        <v>304057.14</v>
      </c>
    </row>
    <row r="6160" spans="2:12">
      <c r="B6160" s="1297"/>
      <c r="C6160" s="1297"/>
      <c r="D6160" s="1297"/>
      <c r="E6160" s="1297" t="s">
        <v>1127</v>
      </c>
      <c r="H6160" s="1399">
        <v>153698.22</v>
      </c>
      <c r="J6160" s="1399">
        <v>153698.22</v>
      </c>
    </row>
    <row r="6161" spans="5:10" s="1297" customFormat="1">
      <c r="E6161" s="1297" t="s">
        <v>1041</v>
      </c>
      <c r="F6161" s="1399"/>
      <c r="G6161" s="1399"/>
      <c r="H6161" s="1399">
        <v>31367.78</v>
      </c>
      <c r="I6161" s="1399"/>
      <c r="J6161" s="1399">
        <v>31367.78</v>
      </c>
    </row>
    <row r="6162" spans="5:10" s="1297" customFormat="1">
      <c r="E6162" s="1297" t="s">
        <v>1042</v>
      </c>
      <c r="F6162" s="1399"/>
      <c r="G6162" s="1399"/>
      <c r="H6162" s="1399">
        <v>53046.29</v>
      </c>
      <c r="I6162" s="1399"/>
      <c r="J6162" s="1399">
        <v>53046.29</v>
      </c>
    </row>
    <row r="6163" spans="5:10" s="1297" customFormat="1">
      <c r="E6163" s="1297" t="s">
        <v>954</v>
      </c>
      <c r="F6163" s="1399"/>
      <c r="G6163" s="1399"/>
      <c r="H6163" s="1399">
        <v>108332.62</v>
      </c>
      <c r="I6163" s="1399"/>
      <c r="J6163" s="1399">
        <v>108332.62</v>
      </c>
    </row>
    <row r="6164" spans="5:10" s="1297" customFormat="1">
      <c r="E6164" s="1297" t="s">
        <v>985</v>
      </c>
      <c r="F6164" s="1399"/>
      <c r="G6164" s="1399"/>
      <c r="H6164" s="1399">
        <v>450260.97</v>
      </c>
      <c r="I6164" s="1399"/>
      <c r="J6164" s="1399">
        <v>450260.97</v>
      </c>
    </row>
    <row r="6165" spans="5:10" s="1297" customFormat="1">
      <c r="E6165" s="1297" t="s">
        <v>986</v>
      </c>
      <c r="F6165" s="1399"/>
      <c r="G6165" s="1399"/>
      <c r="H6165" s="1399">
        <v>34910.159999999996</v>
      </c>
      <c r="I6165" s="1399"/>
      <c r="J6165" s="1399">
        <v>34910.159999999996</v>
      </c>
    </row>
    <row r="6166" spans="5:10" s="1297" customFormat="1">
      <c r="E6166" s="1297" t="s">
        <v>1045</v>
      </c>
      <c r="F6166" s="1399"/>
      <c r="G6166" s="1399"/>
      <c r="H6166" s="1399">
        <v>1374550.9500000002</v>
      </c>
      <c r="I6166" s="1399"/>
      <c r="J6166" s="1399">
        <v>1374550.9500000002</v>
      </c>
    </row>
    <row r="6167" spans="5:10" s="1297" customFormat="1">
      <c r="E6167" s="1297" t="s">
        <v>1046</v>
      </c>
      <c r="F6167" s="1399"/>
      <c r="G6167" s="1399"/>
      <c r="H6167" s="1399"/>
      <c r="I6167" s="1399">
        <v>17170666</v>
      </c>
      <c r="J6167" s="1399">
        <v>17170666</v>
      </c>
    </row>
    <row r="6168" spans="5:10" s="1297" customFormat="1">
      <c r="E6168" s="1297" t="s">
        <v>1128</v>
      </c>
      <c r="F6168" s="1399"/>
      <c r="G6168" s="1399"/>
      <c r="H6168" s="1399"/>
      <c r="I6168" s="1399">
        <v>1561152</v>
      </c>
      <c r="J6168" s="1399">
        <v>1561152</v>
      </c>
    </row>
    <row r="6169" spans="5:10" s="1297" customFormat="1">
      <c r="E6169" s="1297" t="s">
        <v>1129</v>
      </c>
      <c r="F6169" s="1399"/>
      <c r="G6169" s="1399"/>
      <c r="H6169" s="1399"/>
      <c r="I6169" s="1399">
        <v>-2152853</v>
      </c>
      <c r="J6169" s="1399">
        <v>-2152853</v>
      </c>
    </row>
    <row r="6170" spans="5:10" s="1297" customFormat="1">
      <c r="E6170" s="1297" t="s">
        <v>1047</v>
      </c>
      <c r="F6170" s="1399"/>
      <c r="G6170" s="1399"/>
      <c r="H6170" s="1399"/>
      <c r="I6170" s="1399">
        <v>162191</v>
      </c>
      <c r="J6170" s="1399">
        <v>162191</v>
      </c>
    </row>
    <row r="6171" spans="5:10" s="1297" customFormat="1">
      <c r="E6171" s="1297" t="s">
        <v>1048</v>
      </c>
      <c r="F6171" s="1399"/>
      <c r="G6171" s="1399"/>
      <c r="H6171" s="1399"/>
      <c r="I6171" s="1399">
        <v>-3895561</v>
      </c>
      <c r="J6171" s="1399">
        <v>-3895561</v>
      </c>
    </row>
    <row r="6172" spans="5:10" s="1297" customFormat="1">
      <c r="E6172" s="1404" t="s">
        <v>955</v>
      </c>
      <c r="F6172" s="1405"/>
      <c r="G6172" s="1405"/>
      <c r="H6172" s="1405"/>
      <c r="I6172" s="1405">
        <v>900642.47</v>
      </c>
      <c r="J6172" s="1405">
        <v>900642.47</v>
      </c>
    </row>
    <row r="6173" spans="5:10" s="1297" customFormat="1">
      <c r="E6173" s="1297" t="s">
        <v>934</v>
      </c>
      <c r="F6173" s="1399"/>
      <c r="G6173" s="1399"/>
      <c r="H6173" s="1399"/>
      <c r="I6173" s="1399">
        <v>54610</v>
      </c>
      <c r="J6173" s="1399">
        <v>54610</v>
      </c>
    </row>
    <row r="6174" spans="5:10" s="1297" customFormat="1">
      <c r="E6174" s="1297" t="s">
        <v>935</v>
      </c>
      <c r="F6174" s="1399"/>
      <c r="G6174" s="1399"/>
      <c r="H6174" s="1399"/>
      <c r="I6174" s="1399">
        <v>104183.63</v>
      </c>
      <c r="J6174" s="1399">
        <v>104183.63</v>
      </c>
    </row>
    <row r="6175" spans="5:10" s="1297" customFormat="1">
      <c r="E6175" s="1297" t="s">
        <v>936</v>
      </c>
      <c r="F6175" s="1399"/>
      <c r="G6175" s="1399"/>
      <c r="H6175" s="1399"/>
      <c r="I6175" s="1399">
        <v>43068.52</v>
      </c>
      <c r="J6175" s="1399">
        <v>43068.52</v>
      </c>
    </row>
    <row r="6176" spans="5:10" s="1297" customFormat="1">
      <c r="E6176" s="1297" t="s">
        <v>937</v>
      </c>
      <c r="F6176" s="1399"/>
      <c r="G6176" s="1399"/>
      <c r="H6176" s="1399"/>
      <c r="I6176" s="1399">
        <v>33258.480000000003</v>
      </c>
      <c r="J6176" s="1399">
        <v>33258.480000000003</v>
      </c>
    </row>
    <row r="6177" spans="2:12">
      <c r="B6177" s="1297"/>
      <c r="C6177" s="1297"/>
      <c r="D6177" s="1297"/>
      <c r="E6177" s="1297" t="s">
        <v>938</v>
      </c>
      <c r="I6177" s="1399">
        <v>14037</v>
      </c>
      <c r="J6177" s="1399">
        <v>14037</v>
      </c>
    </row>
    <row r="6178" spans="2:12">
      <c r="B6178" s="1297"/>
      <c r="C6178" s="1297"/>
      <c r="D6178" s="1297"/>
      <c r="E6178" s="1297" t="s">
        <v>939</v>
      </c>
      <c r="I6178" s="1399">
        <v>62752.160000000003</v>
      </c>
      <c r="J6178" s="1399">
        <v>62752.160000000003</v>
      </c>
    </row>
    <row r="6179" spans="2:12">
      <c r="B6179" s="1297"/>
      <c r="C6179" s="1297"/>
      <c r="D6179" s="1297"/>
      <c r="E6179" s="1297" t="s">
        <v>940</v>
      </c>
      <c r="F6179" s="1399">
        <v>1104439.18</v>
      </c>
      <c r="J6179" s="1399">
        <v>1104439.18</v>
      </c>
    </row>
    <row r="6180" spans="2:12">
      <c r="B6180" s="1297"/>
      <c r="C6180" s="1297"/>
      <c r="D6180" s="1297"/>
      <c r="E6180" s="1297" t="s">
        <v>941</v>
      </c>
      <c r="F6180" s="1399">
        <v>427187.02</v>
      </c>
      <c r="J6180" s="1399">
        <v>427187.02</v>
      </c>
    </row>
    <row r="6181" spans="2:12">
      <c r="B6181" s="1297"/>
      <c r="C6181" s="1297"/>
      <c r="D6181" s="1297"/>
      <c r="E6181" s="1297" t="s">
        <v>943</v>
      </c>
      <c r="F6181" s="1399">
        <v>44286.78</v>
      </c>
      <c r="J6181" s="1399">
        <v>44286.78</v>
      </c>
    </row>
    <row r="6182" spans="2:12">
      <c r="B6182" s="1297"/>
      <c r="C6182" s="1297"/>
      <c r="D6182" s="1297"/>
      <c r="E6182" s="1297" t="s">
        <v>944</v>
      </c>
      <c r="F6182" s="1399">
        <v>1399463.7699999998</v>
      </c>
      <c r="J6182" s="1399">
        <v>1399463.7699999998</v>
      </c>
    </row>
    <row r="6183" spans="2:12">
      <c r="B6183" s="1297"/>
      <c r="C6183" s="1297"/>
      <c r="D6183" s="1297"/>
      <c r="E6183" s="1297" t="s">
        <v>945</v>
      </c>
      <c r="F6183" s="1399">
        <v>1277474.6599999999</v>
      </c>
      <c r="J6183" s="1399">
        <v>1277474.6599999999</v>
      </c>
    </row>
    <row r="6184" spans="2:12">
      <c r="B6184" s="1297"/>
      <c r="C6184" s="1297"/>
      <c r="D6184" s="1297"/>
      <c r="E6184" s="1297" t="s">
        <v>947</v>
      </c>
      <c r="F6184" s="1399">
        <v>101903.96</v>
      </c>
      <c r="J6184" s="1399">
        <v>101903.96</v>
      </c>
    </row>
    <row r="6185" spans="2:12">
      <c r="B6185" s="1297"/>
      <c r="C6185" s="1297"/>
      <c r="D6185" s="1297"/>
      <c r="E6185" s="1297" t="s">
        <v>1115</v>
      </c>
      <c r="F6185" s="1399">
        <v>3681.02</v>
      </c>
      <c r="J6185" s="1399">
        <v>3681.02</v>
      </c>
    </row>
    <row r="6186" spans="2:12">
      <c r="B6186" s="1297"/>
      <c r="C6186" s="1297"/>
      <c r="D6186" s="1297"/>
      <c r="E6186" s="1404" t="s">
        <v>948</v>
      </c>
      <c r="F6186" s="1405"/>
      <c r="G6186" s="1405"/>
      <c r="H6186" s="1405">
        <v>66175.59</v>
      </c>
      <c r="I6186" s="1405"/>
      <c r="J6186" s="1405">
        <v>66175.59</v>
      </c>
    </row>
    <row r="6187" spans="2:12">
      <c r="B6187" s="1297"/>
      <c r="C6187" s="1297"/>
      <c r="D6187" s="1400" t="s">
        <v>1442</v>
      </c>
      <c r="E6187" s="1400"/>
      <c r="F6187" s="1401">
        <f>SUM(F6152:F6186)</f>
        <v>4358436.3899999997</v>
      </c>
      <c r="G6187" s="1401">
        <f>SUM(G6152:G6186)</f>
        <v>12589740.91</v>
      </c>
      <c r="H6187" s="1401">
        <f>SUM(H6152:H6186)-H6186</f>
        <v>3159975.04</v>
      </c>
      <c r="I6187" s="1401">
        <f>SUM(I6152:I6186)-I6172</f>
        <v>13157504.790000001</v>
      </c>
      <c r="J6187" s="1401">
        <f>SUM(J6152:J6186)</f>
        <v>34232475.190000005</v>
      </c>
      <c r="K6187" s="1401">
        <f>SUM(F6187:I6187)</f>
        <v>33265657.130000003</v>
      </c>
      <c r="L6187" s="1408">
        <f>K6187/C6152</f>
        <v>9407.7084643665166</v>
      </c>
    </row>
    <row r="6188" spans="2:12">
      <c r="B6188" s="1297" t="s">
        <v>1443</v>
      </c>
      <c r="C6188" s="1297">
        <v>4601</v>
      </c>
      <c r="D6188" s="1297" t="s">
        <v>1444</v>
      </c>
      <c r="E6188" s="1297" t="s">
        <v>907</v>
      </c>
      <c r="G6188" s="1399">
        <v>3171602.09</v>
      </c>
      <c r="J6188" s="1399">
        <v>3171602.09</v>
      </c>
    </row>
    <row r="6189" spans="2:12">
      <c r="B6189" s="1297"/>
      <c r="C6189" s="1297"/>
      <c r="D6189" s="1297"/>
      <c r="E6189" s="1297" t="s">
        <v>1145</v>
      </c>
      <c r="G6189" s="1399">
        <v>12768101.73</v>
      </c>
      <c r="J6189" s="1399">
        <v>12768101.73</v>
      </c>
    </row>
    <row r="6190" spans="2:12">
      <c r="B6190" s="1297"/>
      <c r="C6190" s="1297"/>
      <c r="D6190" s="1297"/>
      <c r="E6190" s="1297" t="s">
        <v>909</v>
      </c>
      <c r="H6190" s="1399">
        <v>8777.82</v>
      </c>
      <c r="J6190" s="1399">
        <v>8777.82</v>
      </c>
    </row>
    <row r="6191" spans="2:12">
      <c r="B6191" s="1297"/>
      <c r="C6191" s="1297"/>
      <c r="D6191" s="1297"/>
      <c r="E6191" s="1297" t="s">
        <v>910</v>
      </c>
      <c r="H6191" s="1399">
        <v>555985.80000000005</v>
      </c>
      <c r="J6191" s="1399">
        <v>555985.80000000005</v>
      </c>
    </row>
    <row r="6192" spans="2:12">
      <c r="B6192" s="1297"/>
      <c r="C6192" s="1297"/>
      <c r="D6192" s="1297"/>
      <c r="E6192" s="1297" t="s">
        <v>1035</v>
      </c>
      <c r="H6192" s="1399">
        <v>136513.29999999999</v>
      </c>
      <c r="J6192" s="1399">
        <v>136513.29999999999</v>
      </c>
    </row>
    <row r="6193" spans="5:10" s="1297" customFormat="1">
      <c r="E6193" s="1297" t="s">
        <v>1036</v>
      </c>
      <c r="F6193" s="1399"/>
      <c r="G6193" s="1399"/>
      <c r="H6193" s="1399">
        <v>509868.53</v>
      </c>
      <c r="I6193" s="1399"/>
      <c r="J6193" s="1399">
        <v>509868.53</v>
      </c>
    </row>
    <row r="6194" spans="5:10" s="1297" customFormat="1">
      <c r="E6194" s="1297" t="s">
        <v>1037</v>
      </c>
      <c r="F6194" s="1399"/>
      <c r="G6194" s="1399"/>
      <c r="H6194" s="1399">
        <v>222905.9</v>
      </c>
      <c r="I6194" s="1399"/>
      <c r="J6194" s="1399">
        <v>222905.9</v>
      </c>
    </row>
    <row r="6195" spans="5:10" s="1297" customFormat="1">
      <c r="E6195" s="1297" t="s">
        <v>1039</v>
      </c>
      <c r="F6195" s="1399"/>
      <c r="G6195" s="1399"/>
      <c r="H6195" s="1399">
        <v>75391.829999999987</v>
      </c>
      <c r="I6195" s="1399"/>
      <c r="J6195" s="1399">
        <v>75391.829999999987</v>
      </c>
    </row>
    <row r="6196" spans="5:10" s="1297" customFormat="1">
      <c r="E6196" s="1297" t="s">
        <v>1040</v>
      </c>
      <c r="F6196" s="1399"/>
      <c r="G6196" s="1399"/>
      <c r="H6196" s="1399">
        <v>611869.54</v>
      </c>
      <c r="I6196" s="1399"/>
      <c r="J6196" s="1399">
        <v>611869.54</v>
      </c>
    </row>
    <row r="6197" spans="5:10" s="1297" customFormat="1">
      <c r="E6197" s="1297" t="s">
        <v>1041</v>
      </c>
      <c r="F6197" s="1399"/>
      <c r="G6197" s="1399"/>
      <c r="H6197" s="1399">
        <v>40286.629999999997</v>
      </c>
      <c r="I6197" s="1399"/>
      <c r="J6197" s="1399">
        <v>40286.629999999997</v>
      </c>
    </row>
    <row r="6198" spans="5:10" s="1297" customFormat="1">
      <c r="E6198" s="1297" t="s">
        <v>1042</v>
      </c>
      <c r="F6198" s="1399"/>
      <c r="G6198" s="1399"/>
      <c r="H6198" s="1399">
        <v>58598.3</v>
      </c>
      <c r="I6198" s="1399"/>
      <c r="J6198" s="1399">
        <v>58598.3</v>
      </c>
    </row>
    <row r="6199" spans="5:10" s="1297" customFormat="1">
      <c r="E6199" s="1297" t="s">
        <v>986</v>
      </c>
      <c r="F6199" s="1399"/>
      <c r="G6199" s="1399"/>
      <c r="H6199" s="1399">
        <v>97506.08</v>
      </c>
      <c r="I6199" s="1399"/>
      <c r="J6199" s="1399">
        <v>97506.08</v>
      </c>
    </row>
    <row r="6200" spans="5:10" s="1297" customFormat="1">
      <c r="E6200" s="1297" t="s">
        <v>1045</v>
      </c>
      <c r="F6200" s="1399"/>
      <c r="G6200" s="1399"/>
      <c r="H6200" s="1399">
        <v>4600826.0200000005</v>
      </c>
      <c r="I6200" s="1399"/>
      <c r="J6200" s="1399">
        <v>4600826.0200000005</v>
      </c>
    </row>
    <row r="6201" spans="5:10" s="1297" customFormat="1">
      <c r="E6201" s="1297" t="s">
        <v>1046</v>
      </c>
      <c r="F6201" s="1399"/>
      <c r="G6201" s="1399"/>
      <c r="H6201" s="1399"/>
      <c r="I6201" s="1399">
        <v>20855737</v>
      </c>
      <c r="J6201" s="1399">
        <v>20855737</v>
      </c>
    </row>
    <row r="6202" spans="5:10" s="1297" customFormat="1">
      <c r="E6202" s="1297" t="s">
        <v>1128</v>
      </c>
      <c r="F6202" s="1399"/>
      <c r="G6202" s="1399"/>
      <c r="H6202" s="1399"/>
      <c r="I6202" s="1399">
        <v>1988766</v>
      </c>
      <c r="J6202" s="1399">
        <v>1988766</v>
      </c>
    </row>
    <row r="6203" spans="5:10" s="1297" customFormat="1">
      <c r="E6203" s="1297" t="s">
        <v>1129</v>
      </c>
      <c r="F6203" s="1399"/>
      <c r="G6203" s="1399"/>
      <c r="H6203" s="1399"/>
      <c r="I6203" s="1399">
        <v>-3148363</v>
      </c>
      <c r="J6203" s="1399">
        <v>-3148363</v>
      </c>
    </row>
    <row r="6204" spans="5:10" s="1297" customFormat="1">
      <c r="E6204" s="1297" t="s">
        <v>1047</v>
      </c>
      <c r="F6204" s="1399"/>
      <c r="G6204" s="1399"/>
      <c r="H6204" s="1399"/>
      <c r="I6204" s="1399">
        <v>336661</v>
      </c>
      <c r="J6204" s="1399">
        <v>336661</v>
      </c>
    </row>
    <row r="6205" spans="5:10" s="1297" customFormat="1">
      <c r="E6205" s="1297" t="s">
        <v>1048</v>
      </c>
      <c r="F6205" s="1399"/>
      <c r="G6205" s="1399"/>
      <c r="H6205" s="1399"/>
      <c r="I6205" s="1399">
        <v>-3660107</v>
      </c>
      <c r="J6205" s="1399">
        <v>-3660107</v>
      </c>
    </row>
    <row r="6206" spans="5:10" s="1297" customFormat="1">
      <c r="E6206" s="1297" t="s">
        <v>932</v>
      </c>
      <c r="F6206" s="1399"/>
      <c r="G6206" s="1399"/>
      <c r="H6206" s="1399"/>
      <c r="I6206" s="1399">
        <v>846536</v>
      </c>
      <c r="J6206" s="1399">
        <v>846536</v>
      </c>
    </row>
    <row r="6207" spans="5:10" s="1297" customFormat="1">
      <c r="E6207" s="1404" t="s">
        <v>955</v>
      </c>
      <c r="F6207" s="1405"/>
      <c r="G6207" s="1405"/>
      <c r="H6207" s="1405"/>
      <c r="I6207" s="1405">
        <v>819745.86</v>
      </c>
      <c r="J6207" s="1405">
        <v>819745.86</v>
      </c>
    </row>
    <row r="6208" spans="5:10" s="1297" customFormat="1">
      <c r="E6208" s="1297" t="s">
        <v>934</v>
      </c>
      <c r="F6208" s="1399"/>
      <c r="G6208" s="1399"/>
      <c r="H6208" s="1399"/>
      <c r="I6208" s="1399">
        <v>70028</v>
      </c>
      <c r="J6208" s="1399">
        <v>70028</v>
      </c>
    </row>
    <row r="6209" spans="2:12">
      <c r="B6209" s="1297"/>
      <c r="C6209" s="1297"/>
      <c r="D6209" s="1297"/>
      <c r="E6209" s="1297" t="s">
        <v>935</v>
      </c>
      <c r="I6209" s="1399">
        <v>147617.14000000001</v>
      </c>
      <c r="J6209" s="1399">
        <v>147617.14000000001</v>
      </c>
    </row>
    <row r="6210" spans="2:12">
      <c r="B6210" s="1297"/>
      <c r="C6210" s="1297"/>
      <c r="D6210" s="1297"/>
      <c r="E6210" s="1297" t="s">
        <v>936</v>
      </c>
      <c r="I6210" s="1399">
        <v>60576.04</v>
      </c>
      <c r="J6210" s="1399">
        <v>60576.04</v>
      </c>
    </row>
    <row r="6211" spans="2:12">
      <c r="B6211" s="1297"/>
      <c r="C6211" s="1297"/>
      <c r="D6211" s="1297"/>
      <c r="E6211" s="1297" t="s">
        <v>937</v>
      </c>
      <c r="I6211" s="1399">
        <v>19601.38</v>
      </c>
      <c r="J6211" s="1399">
        <v>19601.38</v>
      </c>
    </row>
    <row r="6212" spans="2:12">
      <c r="B6212" s="1297"/>
      <c r="C6212" s="1297"/>
      <c r="D6212" s="1297"/>
      <c r="E6212" s="1297" t="s">
        <v>938</v>
      </c>
      <c r="I6212" s="1399">
        <v>23769</v>
      </c>
      <c r="J6212" s="1399">
        <v>23769</v>
      </c>
    </row>
    <row r="6213" spans="2:12">
      <c r="B6213" s="1297"/>
      <c r="C6213" s="1297"/>
      <c r="D6213" s="1297"/>
      <c r="E6213" s="1297" t="s">
        <v>940</v>
      </c>
      <c r="F6213" s="1399">
        <v>1108466.1000000001</v>
      </c>
      <c r="J6213" s="1399">
        <v>1108466.1000000001</v>
      </c>
    </row>
    <row r="6214" spans="2:12">
      <c r="B6214" s="1297"/>
      <c r="C6214" s="1297"/>
      <c r="D6214" s="1297"/>
      <c r="E6214" s="1297" t="s">
        <v>941</v>
      </c>
      <c r="F6214" s="1399">
        <v>416870.96</v>
      </c>
      <c r="J6214" s="1399">
        <v>416870.96</v>
      </c>
    </row>
    <row r="6215" spans="2:12">
      <c r="B6215" s="1297"/>
      <c r="C6215" s="1297"/>
      <c r="D6215" s="1297"/>
      <c r="E6215" s="1297" t="s">
        <v>943</v>
      </c>
      <c r="F6215" s="1399">
        <v>22953.32</v>
      </c>
      <c r="J6215" s="1399">
        <v>22953.32</v>
      </c>
    </row>
    <row r="6216" spans="2:12">
      <c r="B6216" s="1297"/>
      <c r="C6216" s="1297"/>
      <c r="D6216" s="1297"/>
      <c r="E6216" s="1297" t="s">
        <v>944</v>
      </c>
      <c r="F6216" s="1399">
        <v>5991745.29</v>
      </c>
      <c r="J6216" s="1399">
        <v>5991745.29</v>
      </c>
    </row>
    <row r="6217" spans="2:12">
      <c r="B6217" s="1297"/>
      <c r="C6217" s="1297"/>
      <c r="D6217" s="1297"/>
      <c r="E6217" s="1297" t="s">
        <v>947</v>
      </c>
      <c r="F6217" s="1399">
        <v>146088.32999999999</v>
      </c>
      <c r="J6217" s="1399">
        <v>146088.32999999999</v>
      </c>
    </row>
    <row r="6218" spans="2:12">
      <c r="B6218" s="1297"/>
      <c r="C6218" s="1297"/>
      <c r="D6218" s="1297"/>
      <c r="E6218" s="1297" t="s">
        <v>1115</v>
      </c>
      <c r="F6218" s="1399">
        <v>65201.7</v>
      </c>
      <c r="J6218" s="1399">
        <v>65201.7</v>
      </c>
    </row>
    <row r="6219" spans="2:12">
      <c r="B6219" s="1297"/>
      <c r="C6219" s="1297"/>
      <c r="D6219" s="1297"/>
      <c r="E6219" s="1404" t="s">
        <v>948</v>
      </c>
      <c r="F6219" s="1405"/>
      <c r="G6219" s="1405"/>
      <c r="H6219" s="1405">
        <v>744325.11</v>
      </c>
      <c r="I6219" s="1405"/>
      <c r="J6219" s="1405">
        <v>744325.11</v>
      </c>
    </row>
    <row r="6220" spans="2:12">
      <c r="B6220" s="1297"/>
      <c r="C6220" s="1297"/>
      <c r="D6220" s="1400" t="s">
        <v>1445</v>
      </c>
      <c r="E6220" s="1400"/>
      <c r="F6220" s="1401">
        <f>SUM(F6188:F6219)</f>
        <v>7751325.7000000002</v>
      </c>
      <c r="G6220" s="1401">
        <f>SUM(G6188:G6219)</f>
        <v>15939703.82</v>
      </c>
      <c r="H6220" s="1401">
        <f>SUM(H6188:H6219)-H6219</f>
        <v>6918529.75</v>
      </c>
      <c r="I6220" s="1401">
        <f>SUM(I6188:I6219)-I6207</f>
        <v>17540821.559999999</v>
      </c>
      <c r="J6220" s="1401">
        <f>SUM(J6188:J6219)</f>
        <v>49714451.799999997</v>
      </c>
      <c r="K6220" s="1401">
        <f>SUM(F6220:I6220)</f>
        <v>48150380.829999998</v>
      </c>
      <c r="L6220" s="1408">
        <f>K6220/C6188</f>
        <v>10465.199050206476</v>
      </c>
    </row>
    <row r="6221" spans="2:12">
      <c r="B6221" s="1297" t="s">
        <v>1446</v>
      </c>
      <c r="C6221" s="1297">
        <v>4078</v>
      </c>
      <c r="D6221" s="1413" t="s">
        <v>1728</v>
      </c>
      <c r="E6221" s="1297" t="s">
        <v>907</v>
      </c>
      <c r="G6221" s="1399">
        <v>4904103.8099999996</v>
      </c>
      <c r="J6221" s="1399">
        <v>4904103.8099999996</v>
      </c>
    </row>
    <row r="6222" spans="2:12">
      <c r="B6222" s="1297"/>
      <c r="C6222" s="1297"/>
      <c r="D6222" s="1297"/>
      <c r="E6222" s="1297" t="s">
        <v>1145</v>
      </c>
      <c r="G6222" s="1399">
        <v>16377139.390000001</v>
      </c>
      <c r="J6222" s="1399">
        <v>16377139.390000001</v>
      </c>
    </row>
    <row r="6223" spans="2:12">
      <c r="B6223" s="1297"/>
      <c r="C6223" s="1297"/>
      <c r="D6223" s="1297"/>
      <c r="E6223" s="1297" t="s">
        <v>909</v>
      </c>
      <c r="H6223" s="1399">
        <v>46287.88</v>
      </c>
      <c r="J6223" s="1399">
        <v>46287.88</v>
      </c>
    </row>
    <row r="6224" spans="2:12">
      <c r="B6224" s="1297"/>
      <c r="C6224" s="1297"/>
      <c r="D6224" s="1297"/>
      <c r="E6224" s="1297" t="s">
        <v>910</v>
      </c>
      <c r="H6224" s="1399">
        <v>197948.63</v>
      </c>
      <c r="J6224" s="1399">
        <v>197948.63</v>
      </c>
    </row>
    <row r="6225" spans="5:10" s="1297" customFormat="1">
      <c r="E6225" s="1297" t="s">
        <v>1034</v>
      </c>
      <c r="F6225" s="1399"/>
      <c r="G6225" s="1399"/>
      <c r="H6225" s="1399">
        <v>92565.170000000013</v>
      </c>
      <c r="I6225" s="1399"/>
      <c r="J6225" s="1399">
        <v>92565.170000000013</v>
      </c>
    </row>
    <row r="6226" spans="5:10" s="1297" customFormat="1">
      <c r="E6226" s="1297" t="s">
        <v>1035</v>
      </c>
      <c r="F6226" s="1399"/>
      <c r="G6226" s="1399"/>
      <c r="H6226" s="1399">
        <v>390822.77</v>
      </c>
      <c r="I6226" s="1399"/>
      <c r="J6226" s="1399">
        <v>390822.77</v>
      </c>
    </row>
    <row r="6227" spans="5:10" s="1297" customFormat="1">
      <c r="E6227" s="1297" t="s">
        <v>1036</v>
      </c>
      <c r="F6227" s="1399"/>
      <c r="G6227" s="1399"/>
      <c r="H6227" s="1399">
        <v>128881.93000000001</v>
      </c>
      <c r="I6227" s="1399"/>
      <c r="J6227" s="1399">
        <v>128881.93000000001</v>
      </c>
    </row>
    <row r="6228" spans="5:10" s="1297" customFormat="1">
      <c r="E6228" s="1297" t="s">
        <v>1037</v>
      </c>
      <c r="F6228" s="1399"/>
      <c r="G6228" s="1399"/>
      <c r="H6228" s="1399">
        <v>50150</v>
      </c>
      <c r="I6228" s="1399"/>
      <c r="J6228" s="1399">
        <v>50150</v>
      </c>
    </row>
    <row r="6229" spans="5:10" s="1297" customFormat="1">
      <c r="E6229" s="1297" t="s">
        <v>1039</v>
      </c>
      <c r="F6229" s="1399"/>
      <c r="G6229" s="1399"/>
      <c r="H6229" s="1399">
        <v>40328.58</v>
      </c>
      <c r="I6229" s="1399"/>
      <c r="J6229" s="1399">
        <v>40328.58</v>
      </c>
    </row>
    <row r="6230" spans="5:10" s="1297" customFormat="1">
      <c r="E6230" s="1297" t="s">
        <v>1040</v>
      </c>
      <c r="F6230" s="1399"/>
      <c r="G6230" s="1399"/>
      <c r="H6230" s="1399">
        <v>412082.02999999997</v>
      </c>
      <c r="I6230" s="1399"/>
      <c r="J6230" s="1399">
        <v>412082.02999999997</v>
      </c>
    </row>
    <row r="6231" spans="5:10" s="1297" customFormat="1">
      <c r="E6231" s="1297" t="s">
        <v>1041</v>
      </c>
      <c r="F6231" s="1399"/>
      <c r="G6231" s="1399"/>
      <c r="H6231" s="1399">
        <v>416827.18</v>
      </c>
      <c r="I6231" s="1399"/>
      <c r="J6231" s="1399">
        <v>416827.18</v>
      </c>
    </row>
    <row r="6232" spans="5:10" s="1297" customFormat="1">
      <c r="E6232" s="1297" t="s">
        <v>1042</v>
      </c>
      <c r="F6232" s="1399"/>
      <c r="G6232" s="1399"/>
      <c r="H6232" s="1399">
        <v>78189.56</v>
      </c>
      <c r="I6232" s="1399"/>
      <c r="J6232" s="1399">
        <v>78189.56</v>
      </c>
    </row>
    <row r="6233" spans="5:10" s="1297" customFormat="1">
      <c r="E6233" s="1297" t="s">
        <v>985</v>
      </c>
      <c r="F6233" s="1399"/>
      <c r="G6233" s="1399"/>
      <c r="H6233" s="1399">
        <v>261069.08000000002</v>
      </c>
      <c r="I6233" s="1399"/>
      <c r="J6233" s="1399">
        <v>261069.08000000002</v>
      </c>
    </row>
    <row r="6234" spans="5:10" s="1297" customFormat="1">
      <c r="E6234" s="1297" t="s">
        <v>1043</v>
      </c>
      <c r="F6234" s="1399"/>
      <c r="G6234" s="1399"/>
      <c r="H6234" s="1399">
        <v>33872.720000000001</v>
      </c>
      <c r="I6234" s="1399"/>
      <c r="J6234" s="1399">
        <v>33872.720000000001</v>
      </c>
    </row>
    <row r="6235" spans="5:10" s="1297" customFormat="1">
      <c r="E6235" s="1297" t="s">
        <v>1044</v>
      </c>
      <c r="F6235" s="1399">
        <v>97338.27</v>
      </c>
      <c r="G6235" s="1399"/>
      <c r="H6235" s="1399"/>
      <c r="I6235" s="1399"/>
      <c r="J6235" s="1399">
        <v>97338.27</v>
      </c>
    </row>
    <row r="6236" spans="5:10" s="1297" customFormat="1">
      <c r="E6236" s="1297" t="s">
        <v>1045</v>
      </c>
      <c r="F6236" s="1399"/>
      <c r="G6236" s="1399"/>
      <c r="H6236" s="1399">
        <v>295252.53999999998</v>
      </c>
      <c r="I6236" s="1399"/>
      <c r="J6236" s="1399">
        <v>295252.53999999998</v>
      </c>
    </row>
    <row r="6237" spans="5:10" s="1297" customFormat="1">
      <c r="E6237" s="1297" t="s">
        <v>1046</v>
      </c>
      <c r="F6237" s="1399"/>
      <c r="G6237" s="1399"/>
      <c r="H6237" s="1399"/>
      <c r="I6237" s="1399">
        <v>21717359</v>
      </c>
      <c r="J6237" s="1399">
        <v>21717359</v>
      </c>
    </row>
    <row r="6238" spans="5:10" s="1297" customFormat="1">
      <c r="E6238" s="1297" t="s">
        <v>1128</v>
      </c>
      <c r="F6238" s="1399"/>
      <c r="G6238" s="1399"/>
      <c r="H6238" s="1399"/>
      <c r="I6238" s="1399">
        <v>1830811</v>
      </c>
      <c r="J6238" s="1399">
        <v>1830811</v>
      </c>
    </row>
    <row r="6239" spans="5:10" s="1297" customFormat="1">
      <c r="E6239" s="1297" t="s">
        <v>1129</v>
      </c>
      <c r="F6239" s="1399"/>
      <c r="G6239" s="1399"/>
      <c r="H6239" s="1399"/>
      <c r="I6239" s="1399">
        <v>-2644878</v>
      </c>
      <c r="J6239" s="1399">
        <v>-2644878</v>
      </c>
    </row>
    <row r="6240" spans="5:10" s="1297" customFormat="1">
      <c r="E6240" s="1297" t="s">
        <v>1047</v>
      </c>
      <c r="F6240" s="1399"/>
      <c r="G6240" s="1399"/>
      <c r="H6240" s="1399"/>
      <c r="I6240" s="1399">
        <v>296558</v>
      </c>
      <c r="J6240" s="1399">
        <v>296558</v>
      </c>
    </row>
    <row r="6241" spans="2:12">
      <c r="B6241" s="1297"/>
      <c r="C6241" s="1297"/>
      <c r="D6241" s="1297"/>
      <c r="E6241" s="1297" t="s">
        <v>1048</v>
      </c>
      <c r="I6241" s="1399">
        <v>-4451342</v>
      </c>
      <c r="J6241" s="1399">
        <v>-4451342</v>
      </c>
    </row>
    <row r="6242" spans="2:12">
      <c r="B6242" s="1297"/>
      <c r="C6242" s="1297"/>
      <c r="D6242" s="1297"/>
      <c r="E6242" s="1404" t="s">
        <v>955</v>
      </c>
      <c r="F6242" s="1405"/>
      <c r="G6242" s="1405"/>
      <c r="H6242" s="1405"/>
      <c r="I6242" s="1405">
        <v>537473.03</v>
      </c>
      <c r="J6242" s="1405">
        <v>537473.03</v>
      </c>
    </row>
    <row r="6243" spans="2:12">
      <c r="B6243" s="1297"/>
      <c r="C6243" s="1297"/>
      <c r="D6243" s="1297"/>
      <c r="E6243" s="1297" t="s">
        <v>934</v>
      </c>
      <c r="I6243" s="1399">
        <v>61802</v>
      </c>
      <c r="J6243" s="1399">
        <v>61802</v>
      </c>
    </row>
    <row r="6244" spans="2:12">
      <c r="B6244" s="1297"/>
      <c r="C6244" s="1297"/>
      <c r="D6244" s="1297"/>
      <c r="E6244" s="1297" t="s">
        <v>935</v>
      </c>
      <c r="I6244" s="1399">
        <v>259682.86</v>
      </c>
      <c r="J6244" s="1399">
        <v>259682.86</v>
      </c>
    </row>
    <row r="6245" spans="2:12">
      <c r="B6245" s="1297"/>
      <c r="C6245" s="1297"/>
      <c r="D6245" s="1297"/>
      <c r="E6245" s="1297" t="s">
        <v>936</v>
      </c>
      <c r="I6245" s="1399">
        <v>46570.02</v>
      </c>
      <c r="J6245" s="1399">
        <v>46570.02</v>
      </c>
    </row>
    <row r="6246" spans="2:12">
      <c r="B6246" s="1297"/>
      <c r="C6246" s="1297"/>
      <c r="D6246" s="1297"/>
      <c r="E6246" s="1297" t="s">
        <v>937</v>
      </c>
      <c r="I6246" s="1399">
        <v>27243.279999999999</v>
      </c>
      <c r="J6246" s="1399">
        <v>27243.279999999999</v>
      </c>
    </row>
    <row r="6247" spans="2:12">
      <c r="B6247" s="1297"/>
      <c r="C6247" s="1297"/>
      <c r="D6247" s="1297"/>
      <c r="E6247" s="1297" t="s">
        <v>938</v>
      </c>
      <c r="I6247" s="1399">
        <v>15534</v>
      </c>
      <c r="J6247" s="1399">
        <v>15534</v>
      </c>
    </row>
    <row r="6248" spans="2:12">
      <c r="B6248" s="1297"/>
      <c r="C6248" s="1297"/>
      <c r="D6248" s="1297"/>
      <c r="E6248" s="1297" t="s">
        <v>940</v>
      </c>
      <c r="F6248" s="1399">
        <v>1352968.28</v>
      </c>
      <c r="J6248" s="1399">
        <v>1352968.28</v>
      </c>
    </row>
    <row r="6249" spans="2:12">
      <c r="B6249" s="1297"/>
      <c r="C6249" s="1297"/>
      <c r="D6249" s="1297"/>
      <c r="E6249" s="1297" t="s">
        <v>941</v>
      </c>
      <c r="F6249" s="1399">
        <v>507487.13999999996</v>
      </c>
      <c r="J6249" s="1399">
        <v>507487.13999999996</v>
      </c>
    </row>
    <row r="6250" spans="2:12">
      <c r="B6250" s="1297"/>
      <c r="C6250" s="1297"/>
      <c r="D6250" s="1297"/>
      <c r="E6250" s="1297" t="s">
        <v>943</v>
      </c>
      <c r="F6250" s="1399">
        <v>42468.6</v>
      </c>
      <c r="J6250" s="1399">
        <v>42468.6</v>
      </c>
    </row>
    <row r="6251" spans="2:12">
      <c r="B6251" s="1297"/>
      <c r="C6251" s="1297"/>
      <c r="D6251" s="1297"/>
      <c r="E6251" s="1297" t="s">
        <v>944</v>
      </c>
      <c r="F6251" s="1399">
        <v>1974757.1799999997</v>
      </c>
      <c r="J6251" s="1399">
        <v>1974757.1799999997</v>
      </c>
    </row>
    <row r="6252" spans="2:12">
      <c r="B6252" s="1297"/>
      <c r="C6252" s="1297"/>
      <c r="D6252" s="1297"/>
      <c r="E6252" s="1297" t="s">
        <v>945</v>
      </c>
      <c r="F6252" s="1399">
        <v>1417682.64</v>
      </c>
      <c r="J6252" s="1399">
        <v>1417682.64</v>
      </c>
    </row>
    <row r="6253" spans="2:12">
      <c r="B6253" s="1297"/>
      <c r="C6253" s="1297"/>
      <c r="D6253" s="1297"/>
      <c r="E6253" s="1297" t="s">
        <v>1006</v>
      </c>
      <c r="F6253" s="1399">
        <v>3757.93</v>
      </c>
      <c r="J6253" s="1399">
        <v>3757.93</v>
      </c>
    </row>
    <row r="6254" spans="2:12">
      <c r="B6254" s="1297"/>
      <c r="C6254" s="1297"/>
      <c r="D6254" s="1297"/>
      <c r="E6254" s="1297" t="s">
        <v>947</v>
      </c>
      <c r="F6254" s="1399">
        <v>229996.29</v>
      </c>
      <c r="J6254" s="1399">
        <v>229996.29</v>
      </c>
    </row>
    <row r="6255" spans="2:12">
      <c r="B6255" s="1297"/>
      <c r="C6255" s="1297"/>
      <c r="D6255" s="1297"/>
      <c r="E6255" s="1404" t="s">
        <v>948</v>
      </c>
      <c r="F6255" s="1405"/>
      <c r="G6255" s="1405"/>
      <c r="H6255" s="1405">
        <v>7797196.7199999997</v>
      </c>
      <c r="I6255" s="1405"/>
      <c r="J6255" s="1405">
        <v>7797196.7199999997</v>
      </c>
    </row>
    <row r="6256" spans="2:12">
      <c r="B6256" s="1297"/>
      <c r="C6256" s="1297"/>
      <c r="D6256" s="1400" t="s">
        <v>1448</v>
      </c>
      <c r="E6256" s="1400"/>
      <c r="F6256" s="1401">
        <f>SUM(F6221:F6255)</f>
        <v>5626456.3299999991</v>
      </c>
      <c r="G6256" s="1401">
        <f>SUM(G6221:G6255)</f>
        <v>21281243.199999999</v>
      </c>
      <c r="H6256" s="1401">
        <f>SUM(H6221:H6255)-H6255</f>
        <v>2444278.0699999994</v>
      </c>
      <c r="I6256" s="1401">
        <f>SUM(I6221:I6255)-I6242</f>
        <v>17159340.16</v>
      </c>
      <c r="J6256" s="1401">
        <f>SUM(J6221:J6255)</f>
        <v>54845987.509999998</v>
      </c>
      <c r="K6256" s="1401">
        <f>SUM(F6256:I6256)</f>
        <v>46511317.759999998</v>
      </c>
      <c r="L6256" s="1408">
        <f>K6256/C6221</f>
        <v>11405.423678273663</v>
      </c>
    </row>
    <row r="6257" spans="2:10" s="1297" customFormat="1">
      <c r="B6257" s="1297" t="s">
        <v>1449</v>
      </c>
      <c r="C6257" s="1297">
        <v>1378</v>
      </c>
      <c r="D6257" s="1297" t="s">
        <v>1450</v>
      </c>
      <c r="E6257" s="1297" t="s">
        <v>907</v>
      </c>
      <c r="F6257" s="1399"/>
      <c r="G6257" s="1399">
        <v>701556.5</v>
      </c>
      <c r="H6257" s="1399"/>
      <c r="I6257" s="1399"/>
      <c r="J6257" s="1399">
        <v>701556.5</v>
      </c>
    </row>
    <row r="6258" spans="2:10" s="1297" customFormat="1">
      <c r="E6258" s="1297" t="s">
        <v>1145</v>
      </c>
      <c r="F6258" s="1399"/>
      <c r="G6258" s="1399">
        <v>1419073.2</v>
      </c>
      <c r="H6258" s="1399"/>
      <c r="I6258" s="1399"/>
      <c r="J6258" s="1399">
        <v>1419073.2</v>
      </c>
    </row>
    <row r="6259" spans="2:10" s="1297" customFormat="1">
      <c r="E6259" s="1297" t="s">
        <v>909</v>
      </c>
      <c r="F6259" s="1399"/>
      <c r="G6259" s="1399"/>
      <c r="H6259" s="1399">
        <v>27348.92</v>
      </c>
      <c r="I6259" s="1399"/>
      <c r="J6259" s="1399">
        <v>27348.92</v>
      </c>
    </row>
    <row r="6260" spans="2:10" s="1297" customFormat="1">
      <c r="E6260" s="1297" t="s">
        <v>910</v>
      </c>
      <c r="F6260" s="1399"/>
      <c r="G6260" s="1399"/>
      <c r="H6260" s="1399">
        <v>167402.16</v>
      </c>
      <c r="I6260" s="1399"/>
      <c r="J6260" s="1399">
        <v>167402.16</v>
      </c>
    </row>
    <row r="6261" spans="2:10" s="1297" customFormat="1">
      <c r="E6261" s="1297" t="s">
        <v>1034</v>
      </c>
      <c r="F6261" s="1399"/>
      <c r="G6261" s="1399"/>
      <c r="H6261" s="1399">
        <v>42922.98</v>
      </c>
      <c r="I6261" s="1399"/>
      <c r="J6261" s="1399">
        <v>42922.98</v>
      </c>
    </row>
    <row r="6262" spans="2:10" s="1297" customFormat="1">
      <c r="E6262" s="1297" t="s">
        <v>1035</v>
      </c>
      <c r="F6262" s="1399"/>
      <c r="G6262" s="1399"/>
      <c r="H6262" s="1399">
        <v>290631.2</v>
      </c>
      <c r="I6262" s="1399"/>
      <c r="J6262" s="1399">
        <v>290631.2</v>
      </c>
    </row>
    <row r="6263" spans="2:10" s="1297" customFormat="1">
      <c r="E6263" s="1297" t="s">
        <v>1036</v>
      </c>
      <c r="F6263" s="1399"/>
      <c r="G6263" s="1399"/>
      <c r="H6263" s="1399">
        <v>108781.86</v>
      </c>
      <c r="I6263" s="1399"/>
      <c r="J6263" s="1399">
        <v>108781.86</v>
      </c>
    </row>
    <row r="6264" spans="2:10" s="1297" customFormat="1">
      <c r="E6264" s="1297" t="s">
        <v>1037</v>
      </c>
      <c r="F6264" s="1399"/>
      <c r="G6264" s="1399"/>
      <c r="H6264" s="1399">
        <v>375500</v>
      </c>
      <c r="I6264" s="1399"/>
      <c r="J6264" s="1399">
        <v>375500</v>
      </c>
    </row>
    <row r="6265" spans="2:10" s="1297" customFormat="1">
      <c r="E6265" s="1297" t="s">
        <v>1039</v>
      </c>
      <c r="F6265" s="1399"/>
      <c r="G6265" s="1399"/>
      <c r="H6265" s="1399">
        <v>20035.75</v>
      </c>
      <c r="I6265" s="1399"/>
      <c r="J6265" s="1399">
        <v>20035.75</v>
      </c>
    </row>
    <row r="6266" spans="2:10" s="1297" customFormat="1">
      <c r="E6266" s="1297" t="s">
        <v>1040</v>
      </c>
      <c r="F6266" s="1399"/>
      <c r="G6266" s="1399"/>
      <c r="H6266" s="1399">
        <v>216513.99</v>
      </c>
      <c r="I6266" s="1399"/>
      <c r="J6266" s="1399">
        <v>216513.99</v>
      </c>
    </row>
    <row r="6267" spans="2:10" s="1297" customFormat="1">
      <c r="E6267" s="1297" t="s">
        <v>1127</v>
      </c>
      <c r="F6267" s="1399"/>
      <c r="G6267" s="1399"/>
      <c r="H6267" s="1399">
        <v>8164.34</v>
      </c>
      <c r="I6267" s="1399"/>
      <c r="J6267" s="1399">
        <v>8164.34</v>
      </c>
    </row>
    <row r="6268" spans="2:10" s="1297" customFormat="1">
      <c r="E6268" s="1297" t="s">
        <v>1041</v>
      </c>
      <c r="F6268" s="1399"/>
      <c r="G6268" s="1399"/>
      <c r="H6268" s="1399">
        <v>171839.97</v>
      </c>
      <c r="I6268" s="1399"/>
      <c r="J6268" s="1399">
        <v>171839.97</v>
      </c>
    </row>
    <row r="6269" spans="2:10" s="1297" customFormat="1">
      <c r="E6269" s="1297" t="s">
        <v>1042</v>
      </c>
      <c r="F6269" s="1399"/>
      <c r="G6269" s="1399"/>
      <c r="H6269" s="1399">
        <v>15608.05</v>
      </c>
      <c r="I6269" s="1399"/>
      <c r="J6269" s="1399">
        <v>15608.05</v>
      </c>
    </row>
    <row r="6270" spans="2:10" s="1297" customFormat="1">
      <c r="E6270" s="1297" t="s">
        <v>986</v>
      </c>
      <c r="F6270" s="1399"/>
      <c r="G6270" s="1399"/>
      <c r="H6270" s="1399">
        <v>207718.24</v>
      </c>
      <c r="I6270" s="1399"/>
      <c r="J6270" s="1399">
        <v>207718.24</v>
      </c>
    </row>
    <row r="6271" spans="2:10" s="1297" customFormat="1">
      <c r="E6271" s="1297" t="s">
        <v>990</v>
      </c>
      <c r="F6271" s="1399"/>
      <c r="G6271" s="1399"/>
      <c r="H6271" s="1399">
        <v>37.119999999999997</v>
      </c>
      <c r="I6271" s="1399"/>
      <c r="J6271" s="1399">
        <v>37.119999999999997</v>
      </c>
    </row>
    <row r="6272" spans="2:10" s="1297" customFormat="1">
      <c r="E6272" s="1297" t="s">
        <v>1045</v>
      </c>
      <c r="F6272" s="1399"/>
      <c r="G6272" s="1399"/>
      <c r="H6272" s="1399">
        <v>251056.2</v>
      </c>
      <c r="I6272" s="1399"/>
      <c r="J6272" s="1399">
        <v>251056.2</v>
      </c>
    </row>
    <row r="6273" spans="5:10" s="1297" customFormat="1">
      <c r="E6273" s="1297" t="s">
        <v>1046</v>
      </c>
      <c r="F6273" s="1399"/>
      <c r="G6273" s="1399"/>
      <c r="H6273" s="1399"/>
      <c r="I6273" s="1399">
        <v>7322442</v>
      </c>
      <c r="J6273" s="1399">
        <v>7322442</v>
      </c>
    </row>
    <row r="6274" spans="5:10" s="1297" customFormat="1">
      <c r="E6274" s="1297" t="s">
        <v>1129</v>
      </c>
      <c r="F6274" s="1399"/>
      <c r="G6274" s="1399"/>
      <c r="H6274" s="1399"/>
      <c r="I6274" s="1399">
        <v>-940291</v>
      </c>
      <c r="J6274" s="1399">
        <v>-940291</v>
      </c>
    </row>
    <row r="6275" spans="5:10" s="1297" customFormat="1">
      <c r="E6275" s="1297" t="s">
        <v>1047</v>
      </c>
      <c r="F6275" s="1399"/>
      <c r="G6275" s="1399"/>
      <c r="H6275" s="1399"/>
      <c r="I6275" s="1399">
        <v>39014</v>
      </c>
      <c r="J6275" s="1399">
        <v>39014</v>
      </c>
    </row>
    <row r="6276" spans="5:10" s="1297" customFormat="1">
      <c r="E6276" s="1297" t="s">
        <v>1048</v>
      </c>
      <c r="F6276" s="1399"/>
      <c r="G6276" s="1399"/>
      <c r="H6276" s="1399"/>
      <c r="I6276" s="1399">
        <v>-563715</v>
      </c>
      <c r="J6276" s="1399">
        <v>-563715</v>
      </c>
    </row>
    <row r="6277" spans="5:10" s="1297" customFormat="1">
      <c r="E6277" s="1297" t="s">
        <v>932</v>
      </c>
      <c r="F6277" s="1399"/>
      <c r="G6277" s="1399"/>
      <c r="H6277" s="1399"/>
      <c r="I6277" s="1399">
        <v>452139</v>
      </c>
      <c r="J6277" s="1399">
        <v>452139</v>
      </c>
    </row>
    <row r="6278" spans="5:10" s="1297" customFormat="1">
      <c r="E6278" s="1297" t="s">
        <v>934</v>
      </c>
      <c r="F6278" s="1399"/>
      <c r="G6278" s="1399"/>
      <c r="H6278" s="1399"/>
      <c r="I6278" s="1399">
        <v>17746</v>
      </c>
      <c r="J6278" s="1399">
        <v>17746</v>
      </c>
    </row>
    <row r="6279" spans="5:10" s="1297" customFormat="1">
      <c r="E6279" s="1297" t="s">
        <v>935</v>
      </c>
      <c r="F6279" s="1399"/>
      <c r="G6279" s="1399"/>
      <c r="H6279" s="1399"/>
      <c r="I6279" s="1399">
        <v>43424.44</v>
      </c>
      <c r="J6279" s="1399">
        <v>43424.44</v>
      </c>
    </row>
    <row r="6280" spans="5:10" s="1297" customFormat="1">
      <c r="E6280" s="1297" t="s">
        <v>936</v>
      </c>
      <c r="F6280" s="1399"/>
      <c r="G6280" s="1399"/>
      <c r="H6280" s="1399"/>
      <c r="I6280" s="1399">
        <v>12605.42</v>
      </c>
      <c r="J6280" s="1399">
        <v>12605.42</v>
      </c>
    </row>
    <row r="6281" spans="5:10" s="1297" customFormat="1">
      <c r="E6281" s="1297" t="s">
        <v>937</v>
      </c>
      <c r="F6281" s="1399"/>
      <c r="G6281" s="1399"/>
      <c r="H6281" s="1399"/>
      <c r="I6281" s="1399">
        <v>5927.88</v>
      </c>
      <c r="J6281" s="1399">
        <v>5927.88</v>
      </c>
    </row>
    <row r="6282" spans="5:10" s="1297" customFormat="1">
      <c r="E6282" s="1297" t="s">
        <v>938</v>
      </c>
      <c r="F6282" s="1399"/>
      <c r="G6282" s="1399"/>
      <c r="H6282" s="1399"/>
      <c r="I6282" s="1399">
        <v>3743</v>
      </c>
      <c r="J6282" s="1399">
        <v>3743</v>
      </c>
    </row>
    <row r="6283" spans="5:10" s="1297" customFormat="1">
      <c r="E6283" s="1297" t="s">
        <v>939</v>
      </c>
      <c r="F6283" s="1399"/>
      <c r="G6283" s="1399"/>
      <c r="H6283" s="1399"/>
      <c r="I6283" s="1399">
        <v>0.01</v>
      </c>
      <c r="J6283" s="1399">
        <v>0.01</v>
      </c>
    </row>
    <row r="6284" spans="5:10" s="1297" customFormat="1">
      <c r="E6284" s="1297" t="s">
        <v>940</v>
      </c>
      <c r="F6284" s="1399">
        <v>132586.78</v>
      </c>
      <c r="G6284" s="1399"/>
      <c r="H6284" s="1399"/>
      <c r="I6284" s="1399"/>
      <c r="J6284" s="1399">
        <v>132586.78</v>
      </c>
    </row>
    <row r="6285" spans="5:10" s="1297" customFormat="1">
      <c r="E6285" s="1297" t="s">
        <v>941</v>
      </c>
      <c r="F6285" s="1399">
        <v>20651.78</v>
      </c>
      <c r="G6285" s="1399"/>
      <c r="H6285" s="1399"/>
      <c r="I6285" s="1399"/>
      <c r="J6285" s="1399">
        <v>20651.78</v>
      </c>
    </row>
    <row r="6286" spans="5:10" s="1297" customFormat="1">
      <c r="E6286" s="1297" t="s">
        <v>944</v>
      </c>
      <c r="F6286" s="1399">
        <v>269044.12</v>
      </c>
      <c r="G6286" s="1399"/>
      <c r="H6286" s="1399"/>
      <c r="I6286" s="1399"/>
      <c r="J6286" s="1399">
        <v>269044.12</v>
      </c>
    </row>
    <row r="6287" spans="5:10" s="1297" customFormat="1">
      <c r="E6287" s="1297" t="s">
        <v>945</v>
      </c>
      <c r="F6287" s="1399">
        <v>378531.03</v>
      </c>
      <c r="G6287" s="1399"/>
      <c r="H6287" s="1399"/>
      <c r="I6287" s="1399"/>
      <c r="J6287" s="1399">
        <v>378531.03</v>
      </c>
    </row>
    <row r="6288" spans="5:10" s="1297" customFormat="1">
      <c r="E6288" s="1297" t="s">
        <v>947</v>
      </c>
      <c r="F6288" s="1399">
        <v>15148.35</v>
      </c>
      <c r="G6288" s="1399"/>
      <c r="H6288" s="1399"/>
      <c r="I6288" s="1399"/>
      <c r="J6288" s="1399">
        <v>15148.35</v>
      </c>
    </row>
    <row r="6289" spans="2:12">
      <c r="B6289" s="1297"/>
      <c r="C6289" s="1297"/>
      <c r="D6289" s="1297"/>
      <c r="E6289" s="1297" t="s">
        <v>1115</v>
      </c>
      <c r="F6289" s="1399">
        <v>0</v>
      </c>
      <c r="J6289" s="1399">
        <v>0</v>
      </c>
    </row>
    <row r="6290" spans="2:12">
      <c r="B6290" s="1297"/>
      <c r="C6290" s="1297"/>
      <c r="D6290" s="1297"/>
      <c r="E6290" s="1404" t="s">
        <v>948</v>
      </c>
      <c r="F6290" s="1405"/>
      <c r="G6290" s="1405"/>
      <c r="H6290" s="1405">
        <v>120972.89</v>
      </c>
      <c r="I6290" s="1405"/>
      <c r="J6290" s="1405">
        <v>120972.89</v>
      </c>
    </row>
    <row r="6291" spans="2:12">
      <c r="B6291" s="1297"/>
      <c r="C6291" s="1297"/>
      <c r="D6291" s="1400" t="s">
        <v>1451</v>
      </c>
      <c r="E6291" s="1400"/>
      <c r="F6291" s="1401">
        <f>SUM(F6257:F6290)</f>
        <v>815962.05999999994</v>
      </c>
      <c r="G6291" s="1401">
        <f>SUM(G6257:G6290)</f>
        <v>2120629.7000000002</v>
      </c>
      <c r="H6291" s="1401">
        <f>SUM(H6257:H6290)-H6290</f>
        <v>1903560.78</v>
      </c>
      <c r="I6291" s="1401">
        <f>SUM(I6257:I6290)</f>
        <v>6393035.75</v>
      </c>
      <c r="J6291" s="1401">
        <f>SUM(J6257:J6290)</f>
        <v>11354161.179999998</v>
      </c>
      <c r="K6291" s="1401">
        <f>SUM(F6291:I6291)</f>
        <v>11233188.289999999</v>
      </c>
      <c r="L6291" s="1408">
        <f>K6291/C6257</f>
        <v>8151.8057256894044</v>
      </c>
    </row>
    <row r="6292" spans="2:12">
      <c r="B6292" s="1297" t="s">
        <v>1452</v>
      </c>
      <c r="C6292" s="1297">
        <v>1455</v>
      </c>
      <c r="D6292" s="1297" t="s">
        <v>1453</v>
      </c>
      <c r="E6292" s="1297" t="s">
        <v>906</v>
      </c>
      <c r="G6292" s="1399">
        <v>3033181.56</v>
      </c>
      <c r="J6292" s="1399">
        <v>3033181.56</v>
      </c>
    </row>
    <row r="6293" spans="2:12">
      <c r="B6293" s="1297"/>
      <c r="C6293" s="1297"/>
      <c r="D6293" s="1297"/>
      <c r="E6293" s="1297" t="s">
        <v>952</v>
      </c>
      <c r="G6293" s="1399">
        <v>34112.370000000003</v>
      </c>
      <c r="J6293" s="1399">
        <v>34112.370000000003</v>
      </c>
    </row>
    <row r="6294" spans="2:12">
      <c r="B6294" s="1297"/>
      <c r="C6294" s="1297"/>
      <c r="D6294" s="1297"/>
      <c r="E6294" s="1297" t="s">
        <v>907</v>
      </c>
      <c r="G6294" s="1399">
        <v>1215641.32</v>
      </c>
      <c r="J6294" s="1399">
        <v>1215641.32</v>
      </c>
    </row>
    <row r="6295" spans="2:12">
      <c r="B6295" s="1297"/>
      <c r="C6295" s="1297"/>
      <c r="D6295" s="1297"/>
      <c r="E6295" s="1297" t="s">
        <v>909</v>
      </c>
      <c r="H6295" s="1399">
        <v>16528.879999999997</v>
      </c>
      <c r="J6295" s="1399">
        <v>16528.879999999997</v>
      </c>
    </row>
    <row r="6296" spans="2:12">
      <c r="B6296" s="1297"/>
      <c r="C6296" s="1297"/>
      <c r="D6296" s="1297"/>
      <c r="E6296" s="1297" t="s">
        <v>910</v>
      </c>
      <c r="H6296" s="1399">
        <v>1737.75</v>
      </c>
      <c r="J6296" s="1399">
        <v>1737.75</v>
      </c>
    </row>
    <row r="6297" spans="2:12">
      <c r="B6297" s="1297"/>
      <c r="C6297" s="1297"/>
      <c r="D6297" s="1297"/>
      <c r="E6297" s="1297" t="s">
        <v>1034</v>
      </c>
      <c r="H6297" s="1399">
        <v>17665.009999999998</v>
      </c>
      <c r="J6297" s="1399">
        <v>17665.009999999998</v>
      </c>
    </row>
    <row r="6298" spans="2:12">
      <c r="B6298" s="1297"/>
      <c r="C6298" s="1297"/>
      <c r="D6298" s="1297"/>
      <c r="E6298" s="1297" t="s">
        <v>1035</v>
      </c>
      <c r="H6298" s="1399">
        <v>169960.37</v>
      </c>
      <c r="J6298" s="1399">
        <v>169960.37</v>
      </c>
    </row>
    <row r="6299" spans="2:12">
      <c r="B6299" s="1297"/>
      <c r="C6299" s="1297"/>
      <c r="D6299" s="1297"/>
      <c r="E6299" s="1297" t="s">
        <v>1036</v>
      </c>
      <c r="H6299" s="1399">
        <v>77270.930000000008</v>
      </c>
      <c r="J6299" s="1399">
        <v>77270.930000000008</v>
      </c>
    </row>
    <row r="6300" spans="2:12">
      <c r="B6300" s="1297"/>
      <c r="C6300" s="1297"/>
      <c r="D6300" s="1297"/>
      <c r="E6300" s="1297" t="s">
        <v>1037</v>
      </c>
      <c r="H6300" s="1399">
        <v>81176.88</v>
      </c>
      <c r="J6300" s="1399">
        <v>81176.88</v>
      </c>
    </row>
    <row r="6301" spans="2:12">
      <c r="B6301" s="1297"/>
      <c r="C6301" s="1297"/>
      <c r="D6301" s="1297"/>
      <c r="E6301" s="1297" t="s">
        <v>1039</v>
      </c>
      <c r="H6301" s="1399">
        <v>14591.810000000001</v>
      </c>
      <c r="J6301" s="1399">
        <v>14591.810000000001</v>
      </c>
    </row>
    <row r="6302" spans="2:12">
      <c r="B6302" s="1297"/>
      <c r="C6302" s="1297"/>
      <c r="D6302" s="1297"/>
      <c r="E6302" s="1297" t="s">
        <v>1040</v>
      </c>
      <c r="H6302" s="1399">
        <v>148543.81</v>
      </c>
      <c r="J6302" s="1399">
        <v>148543.81</v>
      </c>
    </row>
    <row r="6303" spans="2:12">
      <c r="B6303" s="1297"/>
      <c r="C6303" s="1297"/>
      <c r="D6303" s="1297"/>
      <c r="E6303" s="1297" t="s">
        <v>1041</v>
      </c>
      <c r="H6303" s="1399">
        <v>30028.400000000001</v>
      </c>
      <c r="J6303" s="1399">
        <v>30028.400000000001</v>
      </c>
    </row>
    <row r="6304" spans="2:12">
      <c r="B6304" s="1297"/>
      <c r="C6304" s="1297"/>
      <c r="D6304" s="1297"/>
      <c r="E6304" s="1297" t="s">
        <v>1042</v>
      </c>
      <c r="H6304" s="1399">
        <v>17554.309999999998</v>
      </c>
      <c r="J6304" s="1399">
        <v>17554.309999999998</v>
      </c>
    </row>
    <row r="6305" spans="5:10" s="1297" customFormat="1">
      <c r="E6305" s="1297" t="s">
        <v>996</v>
      </c>
      <c r="F6305" s="1399"/>
      <c r="G6305" s="1399"/>
      <c r="H6305" s="1399">
        <v>60</v>
      </c>
      <c r="I6305" s="1399"/>
      <c r="J6305" s="1399">
        <v>60</v>
      </c>
    </row>
    <row r="6306" spans="5:10" s="1297" customFormat="1">
      <c r="E6306" s="1297" t="s">
        <v>1045</v>
      </c>
      <c r="F6306" s="1399"/>
      <c r="G6306" s="1399"/>
      <c r="H6306" s="1399">
        <v>165011.78999999998</v>
      </c>
      <c r="I6306" s="1399"/>
      <c r="J6306" s="1399">
        <v>165011.78999999998</v>
      </c>
    </row>
    <row r="6307" spans="5:10" s="1297" customFormat="1">
      <c r="E6307" s="1297" t="s">
        <v>1046</v>
      </c>
      <c r="F6307" s="1399"/>
      <c r="G6307" s="1399"/>
      <c r="H6307" s="1399"/>
      <c r="I6307" s="1399">
        <v>8028802</v>
      </c>
      <c r="J6307" s="1399">
        <v>8028802</v>
      </c>
    </row>
    <row r="6308" spans="5:10" s="1297" customFormat="1">
      <c r="E6308" s="1297" t="s">
        <v>1128</v>
      </c>
      <c r="F6308" s="1399"/>
      <c r="G6308" s="1399"/>
      <c r="H6308" s="1399"/>
      <c r="I6308" s="1399">
        <v>729941</v>
      </c>
      <c r="J6308" s="1399">
        <v>729941</v>
      </c>
    </row>
    <row r="6309" spans="5:10" s="1297" customFormat="1">
      <c r="E6309" s="1297" t="s">
        <v>1129</v>
      </c>
      <c r="F6309" s="1399"/>
      <c r="G6309" s="1399"/>
      <c r="H6309" s="1399"/>
      <c r="I6309" s="1399">
        <v>-1202806</v>
      </c>
      <c r="J6309" s="1399">
        <v>-1202806</v>
      </c>
    </row>
    <row r="6310" spans="5:10" s="1297" customFormat="1">
      <c r="E6310" s="1297" t="s">
        <v>1047</v>
      </c>
      <c r="F6310" s="1399"/>
      <c r="G6310" s="1399"/>
      <c r="H6310" s="1399"/>
      <c r="I6310" s="1399">
        <v>124720</v>
      </c>
      <c r="J6310" s="1399">
        <v>124720</v>
      </c>
    </row>
    <row r="6311" spans="5:10" s="1297" customFormat="1">
      <c r="E6311" s="1297" t="s">
        <v>1048</v>
      </c>
      <c r="F6311" s="1399"/>
      <c r="G6311" s="1399"/>
      <c r="H6311" s="1399"/>
      <c r="I6311" s="1399">
        <v>-911580</v>
      </c>
      <c r="J6311" s="1399">
        <v>-911580</v>
      </c>
    </row>
    <row r="6312" spans="5:10" s="1297" customFormat="1">
      <c r="E6312" s="1297" t="s">
        <v>932</v>
      </c>
      <c r="F6312" s="1399"/>
      <c r="G6312" s="1399"/>
      <c r="H6312" s="1399"/>
      <c r="I6312" s="1399">
        <v>847833</v>
      </c>
      <c r="J6312" s="1399">
        <v>847833</v>
      </c>
    </row>
    <row r="6313" spans="5:10" s="1297" customFormat="1">
      <c r="E6313" s="1404" t="s">
        <v>955</v>
      </c>
      <c r="F6313" s="1405"/>
      <c r="G6313" s="1405"/>
      <c r="H6313" s="1405"/>
      <c r="I6313" s="1405">
        <v>140417.03</v>
      </c>
      <c r="J6313" s="1405">
        <v>140417.03</v>
      </c>
    </row>
    <row r="6314" spans="5:10" s="1297" customFormat="1">
      <c r="E6314" s="1297" t="s">
        <v>934</v>
      </c>
      <c r="F6314" s="1399"/>
      <c r="G6314" s="1399"/>
      <c r="H6314" s="1399"/>
      <c r="I6314" s="1399">
        <v>26868</v>
      </c>
      <c r="J6314" s="1399">
        <v>26868</v>
      </c>
    </row>
    <row r="6315" spans="5:10" s="1297" customFormat="1">
      <c r="E6315" s="1297" t="s">
        <v>935</v>
      </c>
      <c r="F6315" s="1399"/>
      <c r="G6315" s="1399"/>
      <c r="H6315" s="1399"/>
      <c r="I6315" s="1399">
        <v>134871.87999999998</v>
      </c>
      <c r="J6315" s="1399">
        <v>134871.87999999998</v>
      </c>
    </row>
    <row r="6316" spans="5:10" s="1297" customFormat="1">
      <c r="E6316" s="1297" t="s">
        <v>936</v>
      </c>
      <c r="F6316" s="1399"/>
      <c r="G6316" s="1399"/>
      <c r="H6316" s="1399"/>
      <c r="I6316" s="1399">
        <v>24860.69</v>
      </c>
      <c r="J6316" s="1399">
        <v>24860.69</v>
      </c>
    </row>
    <row r="6317" spans="5:10" s="1297" customFormat="1">
      <c r="E6317" s="1297" t="s">
        <v>937</v>
      </c>
      <c r="F6317" s="1399"/>
      <c r="G6317" s="1399"/>
      <c r="H6317" s="1399"/>
      <c r="I6317" s="1399">
        <v>17670.740000000002</v>
      </c>
      <c r="J6317" s="1399">
        <v>17670.740000000002</v>
      </c>
    </row>
    <row r="6318" spans="5:10" s="1297" customFormat="1">
      <c r="E6318" s="1297" t="s">
        <v>938</v>
      </c>
      <c r="F6318" s="1399"/>
      <c r="G6318" s="1399"/>
      <c r="H6318" s="1399"/>
      <c r="I6318" s="1399">
        <v>7299</v>
      </c>
      <c r="J6318" s="1399">
        <v>7299</v>
      </c>
    </row>
    <row r="6319" spans="5:10" s="1297" customFormat="1">
      <c r="E6319" s="1297" t="s">
        <v>940</v>
      </c>
      <c r="F6319" s="1399">
        <v>354213.45999999996</v>
      </c>
      <c r="G6319" s="1399"/>
      <c r="H6319" s="1399"/>
      <c r="I6319" s="1399"/>
      <c r="J6319" s="1399">
        <v>354213.45999999996</v>
      </c>
    </row>
    <row r="6320" spans="5:10" s="1297" customFormat="1">
      <c r="E6320" s="1297" t="s">
        <v>941</v>
      </c>
      <c r="F6320" s="1399">
        <v>139243.26</v>
      </c>
      <c r="G6320" s="1399"/>
      <c r="H6320" s="1399"/>
      <c r="I6320" s="1399"/>
      <c r="J6320" s="1399">
        <v>139243.26</v>
      </c>
    </row>
    <row r="6321" spans="2:12">
      <c r="B6321" s="1297"/>
      <c r="C6321" s="1297"/>
      <c r="D6321" s="1297"/>
      <c r="E6321" s="1297" t="s">
        <v>943</v>
      </c>
      <c r="F6321" s="1399">
        <v>6463.9000000000005</v>
      </c>
      <c r="J6321" s="1399">
        <v>6463.9000000000005</v>
      </c>
    </row>
    <row r="6322" spans="2:12">
      <c r="B6322" s="1297"/>
      <c r="C6322" s="1297"/>
      <c r="D6322" s="1297"/>
      <c r="E6322" s="1297" t="s">
        <v>944</v>
      </c>
      <c r="F6322" s="1399">
        <v>659919.8600000001</v>
      </c>
      <c r="J6322" s="1399">
        <v>659919.8600000001</v>
      </c>
    </row>
    <row r="6323" spans="2:12">
      <c r="B6323" s="1297"/>
      <c r="C6323" s="1297"/>
      <c r="D6323" s="1297"/>
      <c r="E6323" s="1297" t="s">
        <v>945</v>
      </c>
      <c r="F6323" s="1399">
        <v>355587.83</v>
      </c>
      <c r="J6323" s="1399">
        <v>355587.83</v>
      </c>
    </row>
    <row r="6324" spans="2:12">
      <c r="B6324" s="1297"/>
      <c r="C6324" s="1297"/>
      <c r="D6324" s="1297"/>
      <c r="E6324" s="1297" t="s">
        <v>947</v>
      </c>
      <c r="F6324" s="1399">
        <v>31765.300000000003</v>
      </c>
      <c r="J6324" s="1399">
        <v>31765.300000000003</v>
      </c>
    </row>
    <row r="6325" spans="2:12">
      <c r="B6325" s="1297"/>
      <c r="C6325" s="1297"/>
      <c r="D6325" s="1297"/>
      <c r="E6325" s="1404" t="s">
        <v>948</v>
      </c>
      <c r="F6325" s="1405"/>
      <c r="G6325" s="1405"/>
      <c r="H6325" s="1405">
        <v>1617158.53</v>
      </c>
      <c r="I6325" s="1405"/>
      <c r="J6325" s="1405">
        <v>1617158.53</v>
      </c>
    </row>
    <row r="6326" spans="2:12">
      <c r="B6326" s="1297"/>
      <c r="C6326" s="1297"/>
      <c r="D6326" s="1297"/>
      <c r="E6326" s="1297" t="s">
        <v>1118</v>
      </c>
      <c r="H6326" s="1399">
        <v>480</v>
      </c>
      <c r="J6326" s="1399">
        <v>480</v>
      </c>
    </row>
    <row r="6327" spans="2:12">
      <c r="B6327" s="1297"/>
      <c r="C6327" s="1297"/>
      <c r="D6327" s="1400" t="s">
        <v>1454</v>
      </c>
      <c r="E6327" s="1400"/>
      <c r="F6327" s="1401">
        <f>SUM(F6292:F6326)</f>
        <v>1547193.61</v>
      </c>
      <c r="G6327" s="1401">
        <f>SUM(G6292:G6326)</f>
        <v>4282935.25</v>
      </c>
      <c r="H6327" s="1401">
        <f>SUM(H6292:H6326)-H6325</f>
        <v>740609.93999999971</v>
      </c>
      <c r="I6327" s="1401">
        <f>SUM(I6292:I6326)-I6313</f>
        <v>7828480.3100000005</v>
      </c>
      <c r="J6327" s="1401">
        <f>SUM(J6292:J6326)</f>
        <v>16156794.669999998</v>
      </c>
      <c r="K6327" s="1401">
        <f>SUM(F6327:I6327)</f>
        <v>14399219.109999999</v>
      </c>
      <c r="L6327" s="1408">
        <f>K6327/C6292</f>
        <v>9896.3705223367688</v>
      </c>
    </row>
    <row r="6328" spans="2:12">
      <c r="B6328" s="1297" t="s">
        <v>1455</v>
      </c>
      <c r="C6328" s="1297">
        <v>7010</v>
      </c>
      <c r="D6328" s="1297" t="s">
        <v>1456</v>
      </c>
      <c r="E6328" s="1297" t="s">
        <v>907</v>
      </c>
      <c r="G6328" s="1399">
        <v>5487423.5499999998</v>
      </c>
      <c r="J6328" s="1399">
        <v>5487423.5499999998</v>
      </c>
    </row>
    <row r="6329" spans="2:12">
      <c r="B6329" s="1297"/>
      <c r="C6329" s="1297"/>
      <c r="D6329" s="1297"/>
      <c r="E6329" s="1297" t="s">
        <v>1145</v>
      </c>
      <c r="G6329" s="1399">
        <v>26345629.850000001</v>
      </c>
      <c r="J6329" s="1399">
        <v>26345629.850000001</v>
      </c>
    </row>
    <row r="6330" spans="2:12">
      <c r="B6330" s="1297"/>
      <c r="C6330" s="1297"/>
      <c r="D6330" s="1297"/>
      <c r="E6330" s="1297" t="s">
        <v>908</v>
      </c>
      <c r="G6330" s="1399">
        <v>117592.57</v>
      </c>
      <c r="J6330" s="1399">
        <v>117592.57</v>
      </c>
    </row>
    <row r="6331" spans="2:12">
      <c r="B6331" s="1297"/>
      <c r="C6331" s="1297"/>
      <c r="D6331" s="1297"/>
      <c r="E6331" s="1297" t="s">
        <v>909</v>
      </c>
      <c r="H6331" s="1399">
        <v>21758.92</v>
      </c>
      <c r="J6331" s="1399">
        <v>21758.92</v>
      </c>
    </row>
    <row r="6332" spans="2:12">
      <c r="B6332" s="1297"/>
      <c r="C6332" s="1297"/>
      <c r="D6332" s="1297"/>
      <c r="E6332" s="1297" t="s">
        <v>910</v>
      </c>
      <c r="H6332" s="1399">
        <v>49796.979999999996</v>
      </c>
      <c r="J6332" s="1399">
        <v>49796.979999999996</v>
      </c>
    </row>
    <row r="6333" spans="2:12">
      <c r="B6333" s="1297"/>
      <c r="C6333" s="1297"/>
      <c r="D6333" s="1297"/>
      <c r="E6333" s="1297" t="s">
        <v>1034</v>
      </c>
      <c r="H6333" s="1399">
        <v>35859.759999999995</v>
      </c>
      <c r="J6333" s="1399">
        <v>35859.759999999995</v>
      </c>
    </row>
    <row r="6334" spans="2:12">
      <c r="B6334" s="1297"/>
      <c r="C6334" s="1297"/>
      <c r="D6334" s="1297"/>
      <c r="E6334" s="1297" t="s">
        <v>1035</v>
      </c>
      <c r="H6334" s="1399">
        <v>361253.25000000006</v>
      </c>
      <c r="J6334" s="1399">
        <v>361253.25000000006</v>
      </c>
    </row>
    <row r="6335" spans="2:12">
      <c r="B6335" s="1297"/>
      <c r="C6335" s="1297"/>
      <c r="D6335" s="1297"/>
      <c r="E6335" s="1297" t="s">
        <v>1036</v>
      </c>
      <c r="H6335" s="1399">
        <v>183098.71</v>
      </c>
      <c r="J6335" s="1399">
        <v>183098.71</v>
      </c>
    </row>
    <row r="6336" spans="2:12">
      <c r="B6336" s="1297"/>
      <c r="C6336" s="1297"/>
      <c r="D6336" s="1297"/>
      <c r="E6336" s="1297" t="s">
        <v>1037</v>
      </c>
      <c r="H6336" s="1399">
        <v>252064.92</v>
      </c>
      <c r="J6336" s="1399">
        <v>252064.92</v>
      </c>
    </row>
    <row r="6337" spans="5:10" s="1297" customFormat="1">
      <c r="E6337" s="1297" t="s">
        <v>1039</v>
      </c>
      <c r="F6337" s="1399"/>
      <c r="G6337" s="1399"/>
      <c r="H6337" s="1399">
        <v>186231.49000000002</v>
      </c>
      <c r="I6337" s="1399"/>
      <c r="J6337" s="1399">
        <v>186231.49000000002</v>
      </c>
    </row>
    <row r="6338" spans="5:10" s="1297" customFormat="1">
      <c r="E6338" s="1297" t="s">
        <v>1040</v>
      </c>
      <c r="F6338" s="1399"/>
      <c r="G6338" s="1399"/>
      <c r="H6338" s="1399">
        <v>270325.28000000003</v>
      </c>
      <c r="I6338" s="1399"/>
      <c r="J6338" s="1399">
        <v>270325.28000000003</v>
      </c>
    </row>
    <row r="6339" spans="5:10" s="1297" customFormat="1">
      <c r="E6339" s="1297" t="s">
        <v>1041</v>
      </c>
      <c r="F6339" s="1399"/>
      <c r="G6339" s="1399"/>
      <c r="H6339" s="1399">
        <v>21519.370000000003</v>
      </c>
      <c r="I6339" s="1399"/>
      <c r="J6339" s="1399">
        <v>21519.370000000003</v>
      </c>
    </row>
    <row r="6340" spans="5:10" s="1297" customFormat="1">
      <c r="E6340" s="1297" t="s">
        <v>1042</v>
      </c>
      <c r="F6340" s="1399"/>
      <c r="G6340" s="1399"/>
      <c r="H6340" s="1399">
        <v>90018.76</v>
      </c>
      <c r="I6340" s="1399"/>
      <c r="J6340" s="1399">
        <v>90018.76</v>
      </c>
    </row>
    <row r="6341" spans="5:10" s="1297" customFormat="1">
      <c r="E6341" s="1297" t="s">
        <v>953</v>
      </c>
      <c r="F6341" s="1399"/>
      <c r="G6341" s="1399"/>
      <c r="H6341" s="1399">
        <v>29968.71</v>
      </c>
      <c r="I6341" s="1399"/>
      <c r="J6341" s="1399">
        <v>29968.71</v>
      </c>
    </row>
    <row r="6342" spans="5:10" s="1297" customFormat="1">
      <c r="E6342" s="1297" t="s">
        <v>985</v>
      </c>
      <c r="F6342" s="1399"/>
      <c r="G6342" s="1399"/>
      <c r="H6342" s="1399">
        <v>170664.08</v>
      </c>
      <c r="I6342" s="1399"/>
      <c r="J6342" s="1399">
        <v>170664.08</v>
      </c>
    </row>
    <row r="6343" spans="5:10" s="1297" customFormat="1">
      <c r="E6343" s="1297" t="s">
        <v>1043</v>
      </c>
      <c r="F6343" s="1399"/>
      <c r="G6343" s="1399"/>
      <c r="H6343" s="1399">
        <v>5277.5</v>
      </c>
      <c r="I6343" s="1399"/>
      <c r="J6343" s="1399">
        <v>5277.5</v>
      </c>
    </row>
    <row r="6344" spans="5:10" s="1297" customFormat="1">
      <c r="E6344" s="1297" t="s">
        <v>986</v>
      </c>
      <c r="F6344" s="1399"/>
      <c r="G6344" s="1399"/>
      <c r="H6344" s="1399">
        <v>10310</v>
      </c>
      <c r="I6344" s="1399"/>
      <c r="J6344" s="1399">
        <v>10310</v>
      </c>
    </row>
    <row r="6345" spans="5:10" s="1297" customFormat="1">
      <c r="E6345" s="1297" t="s">
        <v>1044</v>
      </c>
      <c r="F6345" s="1409">
        <v>470833.21</v>
      </c>
      <c r="G6345" s="1399"/>
      <c r="H6345" s="1399"/>
      <c r="I6345" s="1399"/>
      <c r="J6345" s="1399">
        <v>470833.21</v>
      </c>
    </row>
    <row r="6346" spans="5:10" s="1297" customFormat="1">
      <c r="E6346" s="1297" t="s">
        <v>1045</v>
      </c>
      <c r="F6346" s="1399"/>
      <c r="G6346" s="1399"/>
      <c r="H6346" s="1399">
        <v>948407.45000000019</v>
      </c>
      <c r="I6346" s="1399"/>
      <c r="J6346" s="1399">
        <v>948407.45000000019</v>
      </c>
    </row>
    <row r="6347" spans="5:10" s="1297" customFormat="1">
      <c r="E6347" s="1297" t="s">
        <v>1046</v>
      </c>
      <c r="F6347" s="1399"/>
      <c r="G6347" s="1399"/>
      <c r="H6347" s="1399"/>
      <c r="I6347" s="1399">
        <v>37734881</v>
      </c>
      <c r="J6347" s="1399">
        <v>37734881</v>
      </c>
    </row>
    <row r="6348" spans="5:10" s="1297" customFormat="1">
      <c r="E6348" s="1297" t="s">
        <v>1128</v>
      </c>
      <c r="F6348" s="1399"/>
      <c r="G6348" s="1399"/>
      <c r="H6348" s="1399"/>
      <c r="I6348" s="1399">
        <v>3107688</v>
      </c>
      <c r="J6348" s="1399">
        <v>3107688</v>
      </c>
    </row>
    <row r="6349" spans="5:10" s="1297" customFormat="1">
      <c r="E6349" s="1297" t="s">
        <v>1129</v>
      </c>
      <c r="F6349" s="1399"/>
      <c r="G6349" s="1399"/>
      <c r="H6349" s="1399"/>
      <c r="I6349" s="1399">
        <v>-4930693</v>
      </c>
      <c r="J6349" s="1399">
        <v>-4930693</v>
      </c>
    </row>
    <row r="6350" spans="5:10" s="1297" customFormat="1">
      <c r="E6350" s="1297" t="s">
        <v>1047</v>
      </c>
      <c r="F6350" s="1399"/>
      <c r="G6350" s="1399"/>
      <c r="H6350" s="1399"/>
      <c r="I6350" s="1399">
        <v>372035</v>
      </c>
      <c r="J6350" s="1399">
        <v>372035</v>
      </c>
    </row>
    <row r="6351" spans="5:10" s="1297" customFormat="1">
      <c r="E6351" s="1297" t="s">
        <v>1048</v>
      </c>
      <c r="F6351" s="1399"/>
      <c r="G6351" s="1399"/>
      <c r="H6351" s="1399"/>
      <c r="I6351" s="1399">
        <v>-6775062</v>
      </c>
      <c r="J6351" s="1399">
        <v>-6775062</v>
      </c>
    </row>
    <row r="6352" spans="5:10" s="1297" customFormat="1">
      <c r="E6352" s="1297" t="s">
        <v>932</v>
      </c>
      <c r="F6352" s="1399"/>
      <c r="G6352" s="1399"/>
      <c r="H6352" s="1399"/>
      <c r="I6352" s="1399">
        <v>600445</v>
      </c>
      <c r="J6352" s="1399">
        <v>600445</v>
      </c>
    </row>
    <row r="6353" spans="5:10" s="1297" customFormat="1">
      <c r="E6353" s="1404" t="s">
        <v>955</v>
      </c>
      <c r="F6353" s="1405"/>
      <c r="G6353" s="1405"/>
      <c r="H6353" s="1405"/>
      <c r="I6353" s="1405">
        <v>1255404.1599999999</v>
      </c>
      <c r="J6353" s="1405">
        <v>1255404.1599999999</v>
      </c>
    </row>
    <row r="6354" spans="5:10" s="1297" customFormat="1">
      <c r="E6354" s="1297" t="s">
        <v>934</v>
      </c>
      <c r="F6354" s="1399"/>
      <c r="G6354" s="1399"/>
      <c r="H6354" s="1399"/>
      <c r="I6354" s="1399">
        <v>126500</v>
      </c>
      <c r="J6354" s="1399">
        <v>126500</v>
      </c>
    </row>
    <row r="6355" spans="5:10" s="1297" customFormat="1">
      <c r="E6355" s="1297" t="s">
        <v>1130</v>
      </c>
      <c r="F6355" s="1399"/>
      <c r="G6355" s="1399"/>
      <c r="H6355" s="1399"/>
      <c r="I6355" s="1399">
        <v>72465.100000000006</v>
      </c>
      <c r="J6355" s="1399">
        <v>72465.100000000006</v>
      </c>
    </row>
    <row r="6356" spans="5:10" s="1297" customFormat="1">
      <c r="E6356" s="1297" t="s">
        <v>935</v>
      </c>
      <c r="F6356" s="1399"/>
      <c r="G6356" s="1399"/>
      <c r="H6356" s="1399"/>
      <c r="I6356" s="1399">
        <v>162187.59</v>
      </c>
      <c r="J6356" s="1399">
        <v>162187.59</v>
      </c>
    </row>
    <row r="6357" spans="5:10" s="1297" customFormat="1">
      <c r="E6357" s="1297" t="s">
        <v>936</v>
      </c>
      <c r="F6357" s="1399"/>
      <c r="G6357" s="1399"/>
      <c r="H6357" s="1399"/>
      <c r="I6357" s="1399">
        <v>79834.320000000007</v>
      </c>
      <c r="J6357" s="1399">
        <v>79834.320000000007</v>
      </c>
    </row>
    <row r="6358" spans="5:10" s="1297" customFormat="1">
      <c r="E6358" s="1297" t="s">
        <v>937</v>
      </c>
      <c r="F6358" s="1399"/>
      <c r="G6358" s="1399"/>
      <c r="H6358" s="1399"/>
      <c r="I6358" s="1399">
        <v>27319.11</v>
      </c>
      <c r="J6358" s="1399">
        <v>27319.11</v>
      </c>
    </row>
    <row r="6359" spans="5:10" s="1297" customFormat="1">
      <c r="E6359" s="1297" t="s">
        <v>938</v>
      </c>
      <c r="F6359" s="1399"/>
      <c r="G6359" s="1399"/>
      <c r="H6359" s="1399"/>
      <c r="I6359" s="1399">
        <v>21336</v>
      </c>
      <c r="J6359" s="1399">
        <v>21336</v>
      </c>
    </row>
    <row r="6360" spans="5:10" s="1297" customFormat="1">
      <c r="E6360" s="1297" t="s">
        <v>940</v>
      </c>
      <c r="F6360" s="1399">
        <v>2698547.02</v>
      </c>
      <c r="G6360" s="1399"/>
      <c r="H6360" s="1399"/>
      <c r="I6360" s="1399"/>
      <c r="J6360" s="1399">
        <v>2698547.02</v>
      </c>
    </row>
    <row r="6361" spans="5:10" s="1297" customFormat="1">
      <c r="E6361" s="1297" t="s">
        <v>941</v>
      </c>
      <c r="F6361" s="1399">
        <v>897065.08</v>
      </c>
      <c r="G6361" s="1399"/>
      <c r="H6361" s="1399"/>
      <c r="I6361" s="1399"/>
      <c r="J6361" s="1399">
        <v>897065.08</v>
      </c>
    </row>
    <row r="6362" spans="5:10" s="1297" customFormat="1">
      <c r="E6362" s="1297" t="s">
        <v>943</v>
      </c>
      <c r="F6362" s="1399">
        <v>64610.14</v>
      </c>
      <c r="G6362" s="1399"/>
      <c r="H6362" s="1399"/>
      <c r="I6362" s="1399"/>
      <c r="J6362" s="1399">
        <v>64610.14</v>
      </c>
    </row>
    <row r="6363" spans="5:10" s="1297" customFormat="1">
      <c r="E6363" s="1297" t="s">
        <v>944</v>
      </c>
      <c r="F6363" s="1399">
        <v>3860441.6699999995</v>
      </c>
      <c r="G6363" s="1399"/>
      <c r="H6363" s="1399"/>
      <c r="I6363" s="1399"/>
      <c r="J6363" s="1399">
        <v>3860441.6699999995</v>
      </c>
    </row>
    <row r="6364" spans="5:10" s="1297" customFormat="1">
      <c r="E6364" s="1297" t="s">
        <v>945</v>
      </c>
      <c r="F6364" s="1399">
        <v>2764865.9800000004</v>
      </c>
      <c r="G6364" s="1399"/>
      <c r="H6364" s="1399"/>
      <c r="I6364" s="1399"/>
      <c r="J6364" s="1399">
        <v>2764865.9800000004</v>
      </c>
    </row>
    <row r="6365" spans="5:10" s="1297" customFormat="1">
      <c r="E6365" s="1297" t="s">
        <v>946</v>
      </c>
      <c r="F6365" s="1399">
        <v>387781.26999999996</v>
      </c>
      <c r="G6365" s="1399"/>
      <c r="H6365" s="1399"/>
      <c r="I6365" s="1399"/>
      <c r="J6365" s="1399">
        <v>387781.26999999996</v>
      </c>
    </row>
    <row r="6366" spans="5:10" s="1297" customFormat="1">
      <c r="E6366" s="1297" t="s">
        <v>978</v>
      </c>
      <c r="F6366" s="1399">
        <v>18283.34</v>
      </c>
      <c r="G6366" s="1399"/>
      <c r="H6366" s="1399"/>
      <c r="I6366" s="1399"/>
      <c r="J6366" s="1399">
        <v>18283.34</v>
      </c>
    </row>
    <row r="6367" spans="5:10" s="1297" customFormat="1">
      <c r="E6367" s="1297" t="s">
        <v>947</v>
      </c>
      <c r="F6367" s="1399">
        <v>217524.91</v>
      </c>
      <c r="G6367" s="1399"/>
      <c r="H6367" s="1399"/>
      <c r="I6367" s="1399"/>
      <c r="J6367" s="1399">
        <v>217524.91</v>
      </c>
    </row>
    <row r="6368" spans="5:10" s="1297" customFormat="1">
      <c r="E6368" s="1404" t="s">
        <v>948</v>
      </c>
      <c r="F6368" s="1405"/>
      <c r="G6368" s="1405"/>
      <c r="H6368" s="1405">
        <v>8380214.7599999998</v>
      </c>
      <c r="I6368" s="1405"/>
      <c r="J6368" s="1405">
        <v>8380214.7599999998</v>
      </c>
    </row>
    <row r="6369" spans="2:12">
      <c r="B6369" s="1297"/>
      <c r="C6369" s="1297"/>
      <c r="D6369" s="1400" t="s">
        <v>1457</v>
      </c>
      <c r="E6369" s="1400"/>
      <c r="F6369" s="1401">
        <f>SUM(F6328:F6368)</f>
        <v>11379952.619999999</v>
      </c>
      <c r="G6369" s="1401">
        <f>SUM(G6328:G6368)</f>
        <v>31950645.970000003</v>
      </c>
      <c r="H6369" s="1401">
        <f>SUM(H6328:H6368)-H6368</f>
        <v>2636555.1800000016</v>
      </c>
      <c r="I6369" s="1401">
        <f>SUM(I6328:I6368)-I6353</f>
        <v>30598936.120000001</v>
      </c>
      <c r="J6369" s="1401">
        <f>SUM(J6328:J6368)</f>
        <v>86201708.810000017</v>
      </c>
      <c r="K6369" s="1401">
        <f>SUM(F6369:I6369)</f>
        <v>76566089.890000001</v>
      </c>
      <c r="L6369" s="1408">
        <f>K6369/C6328</f>
        <v>10922.409399429387</v>
      </c>
    </row>
    <row r="6370" spans="2:12">
      <c r="B6370" s="1297" t="s">
        <v>1458</v>
      </c>
      <c r="C6370" s="1297">
        <v>2916</v>
      </c>
      <c r="D6370" s="1413" t="s">
        <v>1729</v>
      </c>
      <c r="E6370" s="1297" t="s">
        <v>907</v>
      </c>
      <c r="G6370" s="1399">
        <v>2181531.69</v>
      </c>
      <c r="J6370" s="1399">
        <v>2181531.69</v>
      </c>
    </row>
    <row r="6371" spans="2:12">
      <c r="B6371" s="1297"/>
      <c r="C6371" s="1297"/>
      <c r="D6371" s="1297"/>
      <c r="E6371" s="1297" t="s">
        <v>1145</v>
      </c>
      <c r="G6371" s="1399">
        <v>24100666.140000001</v>
      </c>
      <c r="J6371" s="1399">
        <v>24100666.140000001</v>
      </c>
    </row>
    <row r="6372" spans="2:12">
      <c r="B6372" s="1297"/>
      <c r="C6372" s="1297"/>
      <c r="D6372" s="1297"/>
      <c r="E6372" s="1297" t="s">
        <v>1037</v>
      </c>
      <c r="H6372" s="1399">
        <v>707807.57</v>
      </c>
      <c r="J6372" s="1399">
        <v>707807.57</v>
      </c>
    </row>
    <row r="6373" spans="2:12">
      <c r="B6373" s="1297"/>
      <c r="C6373" s="1297"/>
      <c r="D6373" s="1297"/>
      <c r="E6373" s="1297" t="s">
        <v>1064</v>
      </c>
      <c r="H6373" s="1399">
        <v>920071.3</v>
      </c>
      <c r="J6373" s="1399">
        <v>920071.3</v>
      </c>
    </row>
    <row r="6374" spans="2:12">
      <c r="B6374" s="1297"/>
      <c r="C6374" s="1297"/>
      <c r="D6374" s="1297"/>
      <c r="E6374" s="1297" t="s">
        <v>1039</v>
      </c>
      <c r="H6374" s="1399">
        <v>38835.29</v>
      </c>
      <c r="J6374" s="1399">
        <v>38835.29</v>
      </c>
    </row>
    <row r="6375" spans="2:12">
      <c r="B6375" s="1297"/>
      <c r="C6375" s="1297"/>
      <c r="D6375" s="1297"/>
      <c r="E6375" s="1297" t="s">
        <v>1040</v>
      </c>
      <c r="H6375" s="1399">
        <v>457715.59</v>
      </c>
      <c r="J6375" s="1399">
        <v>457715.59</v>
      </c>
    </row>
    <row r="6376" spans="2:12">
      <c r="B6376" s="1297"/>
      <c r="C6376" s="1297"/>
      <c r="D6376" s="1297"/>
      <c r="E6376" s="1297" t="s">
        <v>1207</v>
      </c>
      <c r="H6376" s="1399">
        <v>49370.86</v>
      </c>
      <c r="J6376" s="1399">
        <v>49370.86</v>
      </c>
    </row>
    <row r="6377" spans="2:12">
      <c r="B6377" s="1297"/>
      <c r="C6377" s="1297"/>
      <c r="D6377" s="1297"/>
      <c r="E6377" s="1297" t="s">
        <v>1041</v>
      </c>
      <c r="H6377" s="1399">
        <v>63420.959999999999</v>
      </c>
      <c r="J6377" s="1399">
        <v>63420.959999999999</v>
      </c>
    </row>
    <row r="6378" spans="2:12">
      <c r="B6378" s="1297"/>
      <c r="C6378" s="1297"/>
      <c r="D6378" s="1297"/>
      <c r="E6378" s="1297" t="s">
        <v>1042</v>
      </c>
      <c r="H6378" s="1399">
        <v>57049.11</v>
      </c>
      <c r="J6378" s="1399">
        <v>57049.11</v>
      </c>
    </row>
    <row r="6379" spans="2:12">
      <c r="B6379" s="1297"/>
      <c r="C6379" s="1297"/>
      <c r="D6379" s="1297"/>
      <c r="E6379" s="1297" t="s">
        <v>953</v>
      </c>
      <c r="H6379" s="1399">
        <v>618</v>
      </c>
      <c r="J6379" s="1399">
        <v>618</v>
      </c>
    </row>
    <row r="6380" spans="2:12">
      <c r="B6380" s="1297"/>
      <c r="C6380" s="1297"/>
      <c r="D6380" s="1297"/>
      <c r="E6380" s="1297" t="s">
        <v>954</v>
      </c>
      <c r="H6380" s="1399">
        <v>496485.77999999997</v>
      </c>
      <c r="J6380" s="1399">
        <v>496485.77999999997</v>
      </c>
    </row>
    <row r="6381" spans="2:12">
      <c r="B6381" s="1297"/>
      <c r="C6381" s="1297"/>
      <c r="D6381" s="1297"/>
      <c r="E6381" s="1297" t="s">
        <v>985</v>
      </c>
      <c r="H6381" s="1399">
        <v>50000</v>
      </c>
      <c r="J6381" s="1399">
        <v>50000</v>
      </c>
    </row>
    <row r="6382" spans="2:12">
      <c r="B6382" s="1297"/>
      <c r="C6382" s="1297"/>
      <c r="D6382" s="1297"/>
      <c r="E6382" s="1297" t="s">
        <v>986</v>
      </c>
      <c r="H6382" s="1399">
        <v>65928.759999999995</v>
      </c>
      <c r="J6382" s="1399">
        <v>65928.759999999995</v>
      </c>
    </row>
    <row r="6383" spans="2:12">
      <c r="B6383" s="1297"/>
      <c r="C6383" s="1297"/>
      <c r="D6383" s="1297"/>
      <c r="E6383" s="1297" t="s">
        <v>1045</v>
      </c>
      <c r="H6383" s="1399">
        <v>3344104.12</v>
      </c>
      <c r="J6383" s="1399">
        <v>3344104.12</v>
      </c>
    </row>
    <row r="6384" spans="2:12">
      <c r="B6384" s="1297"/>
      <c r="C6384" s="1297"/>
      <c r="D6384" s="1297"/>
      <c r="E6384" s="1297" t="s">
        <v>1046</v>
      </c>
      <c r="I6384" s="1399">
        <v>16677824</v>
      </c>
      <c r="J6384" s="1399">
        <v>16677824</v>
      </c>
    </row>
    <row r="6385" spans="5:10" s="1297" customFormat="1">
      <c r="E6385" s="1297" t="s">
        <v>1128</v>
      </c>
      <c r="F6385" s="1399"/>
      <c r="G6385" s="1399"/>
      <c r="H6385" s="1399"/>
      <c r="I6385" s="1399">
        <v>1248035</v>
      </c>
      <c r="J6385" s="1399">
        <v>1248035</v>
      </c>
    </row>
    <row r="6386" spans="5:10" s="1297" customFormat="1">
      <c r="E6386" s="1297" t="s">
        <v>1129</v>
      </c>
      <c r="F6386" s="1399"/>
      <c r="G6386" s="1399"/>
      <c r="H6386" s="1399"/>
      <c r="I6386" s="1399">
        <v>-1741481</v>
      </c>
      <c r="J6386" s="1399">
        <v>-1741481</v>
      </c>
    </row>
    <row r="6387" spans="5:10" s="1297" customFormat="1">
      <c r="E6387" s="1297" t="s">
        <v>1047</v>
      </c>
      <c r="F6387" s="1399"/>
      <c r="G6387" s="1399"/>
      <c r="H6387" s="1399"/>
      <c r="I6387" s="1399">
        <v>141093</v>
      </c>
      <c r="J6387" s="1399">
        <v>141093</v>
      </c>
    </row>
    <row r="6388" spans="5:10" s="1297" customFormat="1">
      <c r="E6388" s="1297" t="s">
        <v>1048</v>
      </c>
      <c r="F6388" s="1399"/>
      <c r="G6388" s="1399"/>
      <c r="H6388" s="1399"/>
      <c r="I6388" s="1399">
        <v>-4739336</v>
      </c>
      <c r="J6388" s="1399">
        <v>-4739336</v>
      </c>
    </row>
    <row r="6389" spans="5:10" s="1297" customFormat="1">
      <c r="E6389" s="1404" t="s">
        <v>955</v>
      </c>
      <c r="F6389" s="1405"/>
      <c r="G6389" s="1405"/>
      <c r="H6389" s="1405"/>
      <c r="I6389" s="1405">
        <v>923773.75</v>
      </c>
      <c r="J6389" s="1405">
        <v>923773.75</v>
      </c>
    </row>
    <row r="6390" spans="5:10" s="1297" customFormat="1">
      <c r="E6390" s="1297" t="s">
        <v>934</v>
      </c>
      <c r="F6390" s="1399"/>
      <c r="G6390" s="1399"/>
      <c r="H6390" s="1399"/>
      <c r="I6390" s="1399">
        <v>32476</v>
      </c>
      <c r="J6390" s="1399">
        <v>32476</v>
      </c>
    </row>
    <row r="6391" spans="5:10" s="1297" customFormat="1">
      <c r="E6391" s="1297" t="s">
        <v>935</v>
      </c>
      <c r="F6391" s="1399"/>
      <c r="G6391" s="1399"/>
      <c r="H6391" s="1399"/>
      <c r="I6391" s="1399">
        <v>199551.83000000002</v>
      </c>
      <c r="J6391" s="1399">
        <v>199551.83000000002</v>
      </c>
    </row>
    <row r="6392" spans="5:10" s="1297" customFormat="1">
      <c r="E6392" s="1297" t="s">
        <v>936</v>
      </c>
      <c r="F6392" s="1399"/>
      <c r="G6392" s="1399"/>
      <c r="H6392" s="1399"/>
      <c r="I6392" s="1399">
        <v>62676.95</v>
      </c>
      <c r="J6392" s="1399">
        <v>62676.95</v>
      </c>
    </row>
    <row r="6393" spans="5:10" s="1297" customFormat="1">
      <c r="E6393" s="1297" t="s">
        <v>937</v>
      </c>
      <c r="F6393" s="1399"/>
      <c r="G6393" s="1399"/>
      <c r="H6393" s="1399"/>
      <c r="I6393" s="1399">
        <v>22926.83</v>
      </c>
      <c r="J6393" s="1399">
        <v>22926.83</v>
      </c>
    </row>
    <row r="6394" spans="5:10" s="1297" customFormat="1">
      <c r="E6394" s="1297" t="s">
        <v>938</v>
      </c>
      <c r="F6394" s="1399"/>
      <c r="G6394" s="1399"/>
      <c r="H6394" s="1399"/>
      <c r="I6394" s="1399">
        <v>10668</v>
      </c>
      <c r="J6394" s="1399">
        <v>10668</v>
      </c>
    </row>
    <row r="6395" spans="5:10" s="1297" customFormat="1">
      <c r="E6395" s="1297" t="s">
        <v>939</v>
      </c>
      <c r="F6395" s="1399"/>
      <c r="G6395" s="1399"/>
      <c r="H6395" s="1399"/>
      <c r="I6395" s="1399">
        <v>135267.33000000002</v>
      </c>
      <c r="J6395" s="1399">
        <v>135267.33000000002</v>
      </c>
    </row>
    <row r="6396" spans="5:10" s="1297" customFormat="1">
      <c r="E6396" s="1297" t="s">
        <v>1131</v>
      </c>
      <c r="F6396" s="1399">
        <v>86518.71</v>
      </c>
      <c r="G6396" s="1399"/>
      <c r="H6396" s="1399"/>
      <c r="I6396" s="1399"/>
      <c r="J6396" s="1399">
        <v>86518.71</v>
      </c>
    </row>
    <row r="6397" spans="5:10" s="1297" customFormat="1">
      <c r="E6397" s="1297" t="s">
        <v>940</v>
      </c>
      <c r="F6397" s="1399">
        <v>361944.92</v>
      </c>
      <c r="G6397" s="1399"/>
      <c r="H6397" s="1399"/>
      <c r="I6397" s="1399"/>
      <c r="J6397" s="1399">
        <v>361944.92</v>
      </c>
    </row>
    <row r="6398" spans="5:10" s="1297" customFormat="1">
      <c r="E6398" s="1297" t="s">
        <v>941</v>
      </c>
      <c r="F6398" s="1399">
        <v>113200.86</v>
      </c>
      <c r="G6398" s="1399"/>
      <c r="H6398" s="1399"/>
      <c r="I6398" s="1399"/>
      <c r="J6398" s="1399">
        <v>113200.86</v>
      </c>
    </row>
    <row r="6399" spans="5:10" s="1297" customFormat="1">
      <c r="E6399" s="1297" t="s">
        <v>943</v>
      </c>
      <c r="F6399" s="1399">
        <v>15250.6</v>
      </c>
      <c r="G6399" s="1399"/>
      <c r="H6399" s="1399"/>
      <c r="I6399" s="1399"/>
      <c r="J6399" s="1399">
        <v>15250.6</v>
      </c>
    </row>
    <row r="6400" spans="5:10" s="1297" customFormat="1">
      <c r="E6400" s="1297" t="s">
        <v>944</v>
      </c>
      <c r="F6400" s="1399">
        <v>1726564.2</v>
      </c>
      <c r="G6400" s="1399"/>
      <c r="H6400" s="1399"/>
      <c r="I6400" s="1399"/>
      <c r="J6400" s="1399">
        <v>1726564.2</v>
      </c>
    </row>
    <row r="6401" spans="2:12">
      <c r="B6401" s="1297"/>
      <c r="C6401" s="1297"/>
      <c r="D6401" s="1297"/>
      <c r="E6401" s="1297" t="s">
        <v>945</v>
      </c>
      <c r="F6401" s="1399">
        <v>884509.63</v>
      </c>
      <c r="J6401" s="1399">
        <v>884509.63</v>
      </c>
    </row>
    <row r="6402" spans="2:12">
      <c r="B6402" s="1297"/>
      <c r="C6402" s="1297"/>
      <c r="D6402" s="1297"/>
      <c r="E6402" s="1297" t="s">
        <v>978</v>
      </c>
      <c r="F6402" s="1399">
        <v>31997.200000000001</v>
      </c>
      <c r="J6402" s="1399">
        <v>31997.200000000001</v>
      </c>
    </row>
    <row r="6403" spans="2:12">
      <c r="B6403" s="1297"/>
      <c r="C6403" s="1297"/>
      <c r="D6403" s="1297"/>
      <c r="E6403" s="1297" t="s">
        <v>947</v>
      </c>
      <c r="F6403" s="1399">
        <v>28321.200000000001</v>
      </c>
      <c r="J6403" s="1399">
        <v>28321.200000000001</v>
      </c>
    </row>
    <row r="6404" spans="2:12">
      <c r="B6404" s="1297"/>
      <c r="C6404" s="1297"/>
      <c r="D6404" s="1297"/>
      <c r="E6404" s="1404" t="s">
        <v>948</v>
      </c>
      <c r="F6404" s="1405"/>
      <c r="G6404" s="1405"/>
      <c r="H6404" s="1405">
        <v>2282839.8699999996</v>
      </c>
      <c r="I6404" s="1405"/>
      <c r="J6404" s="1405">
        <v>2282839.8699999996</v>
      </c>
    </row>
    <row r="6405" spans="2:12">
      <c r="B6405" s="1297"/>
      <c r="C6405" s="1297"/>
      <c r="D6405" s="1400" t="s">
        <v>1460</v>
      </c>
      <c r="E6405" s="1400"/>
      <c r="F6405" s="1401">
        <f>SUM(F6370:F6404)</f>
        <v>3248307.3200000003</v>
      </c>
      <c r="G6405" s="1401">
        <f>SUM(G6370:G6404)</f>
        <v>26282197.830000002</v>
      </c>
      <c r="H6405" s="1401">
        <f>SUM(H6370:H6404)-H6404</f>
        <v>6251407.3399999999</v>
      </c>
      <c r="I6405" s="1401">
        <f>SUM(I6370:I6404)-I6389</f>
        <v>12049701.939999999</v>
      </c>
      <c r="J6405" s="1401">
        <f>SUM(J6370:J6404)</f>
        <v>51038228.050000012</v>
      </c>
      <c r="K6405" s="1401">
        <f>SUM(F6405:I6405)</f>
        <v>47831614.43</v>
      </c>
      <c r="L6405" s="1408">
        <f>K6405/C6370</f>
        <v>16403.159955418381</v>
      </c>
    </row>
    <row r="6406" spans="2:12">
      <c r="B6406" s="1297" t="s">
        <v>1461</v>
      </c>
      <c r="C6406" s="1297">
        <v>2755</v>
      </c>
      <c r="D6406" s="1297" t="s">
        <v>1462</v>
      </c>
      <c r="E6406" s="1297" t="s">
        <v>906</v>
      </c>
      <c r="G6406" s="1399">
        <v>223497.32</v>
      </c>
      <c r="J6406" s="1399">
        <v>223497.32</v>
      </c>
    </row>
    <row r="6407" spans="2:12">
      <c r="B6407" s="1297"/>
      <c r="C6407" s="1297"/>
      <c r="D6407" s="1297"/>
      <c r="E6407" s="1297" t="s">
        <v>907</v>
      </c>
      <c r="G6407" s="1399">
        <v>2517157.4300000002</v>
      </c>
      <c r="J6407" s="1399">
        <v>2517157.4300000002</v>
      </c>
    </row>
    <row r="6408" spans="2:12">
      <c r="B6408" s="1297"/>
      <c r="C6408" s="1297"/>
      <c r="D6408" s="1297"/>
      <c r="E6408" s="1297" t="s">
        <v>1145</v>
      </c>
      <c r="G6408" s="1399">
        <v>7921528.8700000001</v>
      </c>
      <c r="J6408" s="1399">
        <v>7921528.8700000001</v>
      </c>
    </row>
    <row r="6409" spans="2:12">
      <c r="B6409" s="1297"/>
      <c r="C6409" s="1297"/>
      <c r="D6409" s="1297"/>
      <c r="E6409" s="1297" t="s">
        <v>909</v>
      </c>
      <c r="H6409" s="1399">
        <v>5329.55</v>
      </c>
      <c r="J6409" s="1399">
        <v>5329.55</v>
      </c>
    </row>
    <row r="6410" spans="2:12">
      <c r="B6410" s="1297"/>
      <c r="C6410" s="1297"/>
      <c r="D6410" s="1297"/>
      <c r="E6410" s="1297" t="s">
        <v>910</v>
      </c>
      <c r="H6410" s="1399">
        <v>52797.220000000008</v>
      </c>
      <c r="J6410" s="1399">
        <v>52797.220000000008</v>
      </c>
    </row>
    <row r="6411" spans="2:12">
      <c r="B6411" s="1297"/>
      <c r="C6411" s="1297"/>
      <c r="D6411" s="1297"/>
      <c r="E6411" s="1297" t="s">
        <v>1035</v>
      </c>
      <c r="H6411" s="1399">
        <v>114677.79000000001</v>
      </c>
      <c r="J6411" s="1399">
        <v>114677.79000000001</v>
      </c>
    </row>
    <row r="6412" spans="2:12">
      <c r="B6412" s="1297"/>
      <c r="C6412" s="1297"/>
      <c r="D6412" s="1297"/>
      <c r="E6412" s="1297" t="s">
        <v>1036</v>
      </c>
      <c r="H6412" s="1399">
        <v>134655.47</v>
      </c>
      <c r="J6412" s="1399">
        <v>134655.47</v>
      </c>
    </row>
    <row r="6413" spans="2:12">
      <c r="B6413" s="1297"/>
      <c r="C6413" s="1297"/>
      <c r="D6413" s="1297"/>
      <c r="E6413" s="1297" t="s">
        <v>1039</v>
      </c>
      <c r="H6413" s="1399">
        <v>21524.650000000005</v>
      </c>
      <c r="J6413" s="1399">
        <v>21524.650000000005</v>
      </c>
    </row>
    <row r="6414" spans="2:12">
      <c r="B6414" s="1297"/>
      <c r="C6414" s="1297"/>
      <c r="D6414" s="1297"/>
      <c r="E6414" s="1297" t="s">
        <v>1040</v>
      </c>
      <c r="H6414" s="1399">
        <v>44333.98</v>
      </c>
      <c r="J6414" s="1399">
        <v>44333.98</v>
      </c>
    </row>
    <row r="6415" spans="2:12">
      <c r="B6415" s="1297"/>
      <c r="C6415" s="1297"/>
      <c r="D6415" s="1297"/>
      <c r="E6415" s="1297" t="s">
        <v>1041</v>
      </c>
      <c r="H6415" s="1399">
        <v>7777.42</v>
      </c>
      <c r="J6415" s="1399">
        <v>7777.42</v>
      </c>
    </row>
    <row r="6416" spans="2:12">
      <c r="B6416" s="1297"/>
      <c r="C6416" s="1297"/>
      <c r="D6416" s="1297"/>
      <c r="E6416" s="1297" t="s">
        <v>1042</v>
      </c>
      <c r="H6416" s="1399">
        <v>33379.199999999997</v>
      </c>
      <c r="J6416" s="1399">
        <v>33379.199999999997</v>
      </c>
    </row>
    <row r="6417" spans="5:10" s="1297" customFormat="1">
      <c r="E6417" s="1297" t="s">
        <v>954</v>
      </c>
      <c r="F6417" s="1399"/>
      <c r="G6417" s="1399"/>
      <c r="H6417" s="1399">
        <v>102952.04999999999</v>
      </c>
      <c r="I6417" s="1399"/>
      <c r="J6417" s="1399">
        <v>102952.04999999999</v>
      </c>
    </row>
    <row r="6418" spans="5:10" s="1297" customFormat="1">
      <c r="E6418" s="1297" t="s">
        <v>985</v>
      </c>
      <c r="F6418" s="1399"/>
      <c r="G6418" s="1399"/>
      <c r="H6418" s="1399">
        <v>4586.3500000000004</v>
      </c>
      <c r="I6418" s="1399"/>
      <c r="J6418" s="1399">
        <v>4586.3500000000004</v>
      </c>
    </row>
    <row r="6419" spans="5:10" s="1297" customFormat="1">
      <c r="E6419" s="1297" t="s">
        <v>986</v>
      </c>
      <c r="F6419" s="1399"/>
      <c r="G6419" s="1399"/>
      <c r="H6419" s="1399">
        <v>42445.549999999996</v>
      </c>
      <c r="I6419" s="1399"/>
      <c r="J6419" s="1399">
        <v>42445.549999999996</v>
      </c>
    </row>
    <row r="6420" spans="5:10" s="1297" customFormat="1">
      <c r="E6420" s="1297" t="s">
        <v>1045</v>
      </c>
      <c r="F6420" s="1399"/>
      <c r="G6420" s="1399"/>
      <c r="H6420" s="1399">
        <v>237120.52999999997</v>
      </c>
      <c r="I6420" s="1399"/>
      <c r="J6420" s="1399">
        <v>237120.52999999997</v>
      </c>
    </row>
    <row r="6421" spans="5:10" s="1297" customFormat="1">
      <c r="E6421" s="1297" t="s">
        <v>1046</v>
      </c>
      <c r="F6421" s="1399"/>
      <c r="G6421" s="1399"/>
      <c r="H6421" s="1399"/>
      <c r="I6421" s="1399">
        <v>13761526</v>
      </c>
      <c r="J6421" s="1399">
        <v>13761526</v>
      </c>
    </row>
    <row r="6422" spans="5:10" s="1297" customFormat="1">
      <c r="E6422" s="1297" t="s">
        <v>1128</v>
      </c>
      <c r="F6422" s="1399"/>
      <c r="G6422" s="1399"/>
      <c r="H6422" s="1399"/>
      <c r="I6422" s="1399">
        <v>1111525</v>
      </c>
      <c r="J6422" s="1399">
        <v>1111525</v>
      </c>
    </row>
    <row r="6423" spans="5:10" s="1297" customFormat="1">
      <c r="E6423" s="1297" t="s">
        <v>1129</v>
      </c>
      <c r="F6423" s="1399"/>
      <c r="G6423" s="1399"/>
      <c r="H6423" s="1399"/>
      <c r="I6423" s="1399">
        <v>-1917489</v>
      </c>
      <c r="J6423" s="1399">
        <v>-1917489</v>
      </c>
    </row>
    <row r="6424" spans="5:10" s="1297" customFormat="1">
      <c r="E6424" s="1297" t="s">
        <v>1047</v>
      </c>
      <c r="F6424" s="1399"/>
      <c r="G6424" s="1399"/>
      <c r="H6424" s="1399"/>
      <c r="I6424" s="1399">
        <v>214651</v>
      </c>
      <c r="J6424" s="1399">
        <v>214651</v>
      </c>
    </row>
    <row r="6425" spans="5:10" s="1297" customFormat="1">
      <c r="E6425" s="1297" t="s">
        <v>1048</v>
      </c>
      <c r="F6425" s="1399"/>
      <c r="G6425" s="1399"/>
      <c r="H6425" s="1399"/>
      <c r="I6425" s="1399">
        <v>-2519388</v>
      </c>
      <c r="J6425" s="1399">
        <v>-2519388</v>
      </c>
    </row>
    <row r="6426" spans="5:10" s="1297" customFormat="1">
      <c r="E6426" s="1297" t="s">
        <v>932</v>
      </c>
      <c r="F6426" s="1399"/>
      <c r="G6426" s="1399"/>
      <c r="H6426" s="1399"/>
      <c r="I6426" s="1399">
        <v>285344</v>
      </c>
      <c r="J6426" s="1399">
        <v>285344</v>
      </c>
    </row>
    <row r="6427" spans="5:10" s="1297" customFormat="1">
      <c r="E6427" s="1404" t="s">
        <v>955</v>
      </c>
      <c r="F6427" s="1405"/>
      <c r="G6427" s="1405"/>
      <c r="H6427" s="1405"/>
      <c r="I6427" s="1405">
        <v>738584.75</v>
      </c>
      <c r="J6427" s="1405">
        <v>738584.75</v>
      </c>
    </row>
    <row r="6428" spans="5:10" s="1297" customFormat="1">
      <c r="E6428" s="1297" t="s">
        <v>934</v>
      </c>
      <c r="F6428" s="1399"/>
      <c r="G6428" s="1399"/>
      <c r="H6428" s="1399"/>
      <c r="I6428" s="1399">
        <v>48881.82</v>
      </c>
      <c r="J6428" s="1399">
        <v>48881.82</v>
      </c>
    </row>
    <row r="6429" spans="5:10" s="1297" customFormat="1">
      <c r="E6429" s="1297" t="s">
        <v>1130</v>
      </c>
      <c r="F6429" s="1399"/>
      <c r="G6429" s="1399"/>
      <c r="H6429" s="1399"/>
      <c r="I6429" s="1399">
        <v>832520.2</v>
      </c>
      <c r="J6429" s="1399">
        <v>832520.2</v>
      </c>
    </row>
    <row r="6430" spans="5:10" s="1297" customFormat="1">
      <c r="E6430" s="1297" t="s">
        <v>935</v>
      </c>
      <c r="F6430" s="1399"/>
      <c r="G6430" s="1399"/>
      <c r="H6430" s="1399"/>
      <c r="I6430" s="1399">
        <v>624184.65</v>
      </c>
      <c r="J6430" s="1399">
        <v>624184.65</v>
      </c>
    </row>
    <row r="6431" spans="5:10" s="1297" customFormat="1">
      <c r="E6431" s="1297" t="s">
        <v>936</v>
      </c>
      <c r="F6431" s="1399"/>
      <c r="G6431" s="1399"/>
      <c r="H6431" s="1399"/>
      <c r="I6431" s="1399">
        <v>38866.71</v>
      </c>
      <c r="J6431" s="1399">
        <v>38866.71</v>
      </c>
    </row>
    <row r="6432" spans="5:10" s="1297" customFormat="1">
      <c r="E6432" s="1297" t="s">
        <v>937</v>
      </c>
      <c r="F6432" s="1399"/>
      <c r="G6432" s="1399"/>
      <c r="H6432" s="1399"/>
      <c r="I6432" s="1399">
        <v>14252.18</v>
      </c>
      <c r="J6432" s="1399">
        <v>14252.18</v>
      </c>
    </row>
    <row r="6433" spans="2:12">
      <c r="B6433" s="1297"/>
      <c r="C6433" s="1297"/>
      <c r="D6433" s="1297"/>
      <c r="E6433" s="1297" t="s">
        <v>938</v>
      </c>
      <c r="I6433" s="1399">
        <v>10481</v>
      </c>
      <c r="J6433" s="1399">
        <v>10481</v>
      </c>
    </row>
    <row r="6434" spans="2:12">
      <c r="B6434" s="1297"/>
      <c r="C6434" s="1297"/>
      <c r="D6434" s="1297"/>
      <c r="E6434" s="1297" t="s">
        <v>939</v>
      </c>
      <c r="I6434" s="1399">
        <v>265607.61</v>
      </c>
      <c r="J6434" s="1399">
        <v>265607.61</v>
      </c>
    </row>
    <row r="6435" spans="2:12">
      <c r="B6435" s="1297"/>
      <c r="C6435" s="1297"/>
      <c r="D6435" s="1297"/>
      <c r="E6435" s="1297" t="s">
        <v>1131</v>
      </c>
      <c r="F6435" s="1399">
        <v>58202.66</v>
      </c>
      <c r="J6435" s="1399">
        <v>58202.66</v>
      </c>
    </row>
    <row r="6436" spans="2:12">
      <c r="B6436" s="1297"/>
      <c r="C6436" s="1297"/>
      <c r="D6436" s="1297"/>
      <c r="E6436" s="1297" t="s">
        <v>940</v>
      </c>
      <c r="F6436" s="1399">
        <v>985138.86</v>
      </c>
      <c r="J6436" s="1399">
        <v>985138.86</v>
      </c>
    </row>
    <row r="6437" spans="2:12">
      <c r="B6437" s="1297"/>
      <c r="C6437" s="1297"/>
      <c r="D6437" s="1297"/>
      <c r="E6437" s="1297" t="s">
        <v>941</v>
      </c>
      <c r="F6437" s="1399">
        <v>426664.82</v>
      </c>
      <c r="J6437" s="1399">
        <v>426664.82</v>
      </c>
    </row>
    <row r="6438" spans="2:12">
      <c r="B6438" s="1297"/>
      <c r="C6438" s="1297"/>
      <c r="D6438" s="1297"/>
      <c r="E6438" s="1297" t="s">
        <v>943</v>
      </c>
      <c r="F6438" s="1399">
        <v>15010.9</v>
      </c>
      <c r="J6438" s="1399">
        <v>15010.9</v>
      </c>
    </row>
    <row r="6439" spans="2:12">
      <c r="B6439" s="1297"/>
      <c r="C6439" s="1297"/>
      <c r="D6439" s="1297"/>
      <c r="E6439" s="1297" t="s">
        <v>944</v>
      </c>
      <c r="F6439" s="1399">
        <v>4154845.5799999996</v>
      </c>
      <c r="J6439" s="1399">
        <v>4154845.5799999996</v>
      </c>
    </row>
    <row r="6440" spans="2:12">
      <c r="B6440" s="1297"/>
      <c r="C6440" s="1297"/>
      <c r="D6440" s="1297"/>
      <c r="E6440" s="1297" t="s">
        <v>945</v>
      </c>
      <c r="F6440" s="1399">
        <v>1402681.2</v>
      </c>
      <c r="J6440" s="1399">
        <v>1402681.2</v>
      </c>
    </row>
    <row r="6441" spans="2:12">
      <c r="B6441" s="1297"/>
      <c r="C6441" s="1297"/>
      <c r="D6441" s="1297"/>
      <c r="E6441" s="1297" t="s">
        <v>946</v>
      </c>
      <c r="F6441" s="1399">
        <v>458746.17</v>
      </c>
      <c r="J6441" s="1399">
        <v>458746.17</v>
      </c>
    </row>
    <row r="6442" spans="2:12">
      <c r="B6442" s="1297"/>
      <c r="C6442" s="1297"/>
      <c r="D6442" s="1297"/>
      <c r="E6442" s="1297" t="s">
        <v>947</v>
      </c>
      <c r="F6442" s="1399">
        <v>71539.009999999995</v>
      </c>
      <c r="J6442" s="1399">
        <v>71539.009999999995</v>
      </c>
    </row>
    <row r="6443" spans="2:12">
      <c r="B6443" s="1297"/>
      <c r="C6443" s="1297"/>
      <c r="D6443" s="1297"/>
      <c r="E6443" s="1297" t="s">
        <v>1115</v>
      </c>
      <c r="F6443" s="1399">
        <v>10024.629999999999</v>
      </c>
      <c r="J6443" s="1399">
        <v>10024.629999999999</v>
      </c>
    </row>
    <row r="6444" spans="2:12">
      <c r="B6444" s="1297"/>
      <c r="C6444" s="1297"/>
      <c r="D6444" s="1297"/>
      <c r="E6444" s="1404" t="s">
        <v>948</v>
      </c>
      <c r="F6444" s="1405"/>
      <c r="G6444" s="1405"/>
      <c r="H6444" s="1405">
        <v>4783743.1400000006</v>
      </c>
      <c r="I6444" s="1405"/>
      <c r="J6444" s="1405">
        <v>4783743.1400000006</v>
      </c>
    </row>
    <row r="6445" spans="2:12">
      <c r="B6445" s="1297"/>
      <c r="C6445" s="1297"/>
      <c r="D6445" s="1400" t="s">
        <v>1463</v>
      </c>
      <c r="E6445" s="1400"/>
      <c r="F6445" s="1401">
        <f>SUM(F6406:F6444)</f>
        <v>7582853.8299999991</v>
      </c>
      <c r="G6445" s="1401">
        <f>SUM(G6406:G6444)</f>
        <v>10662183.620000001</v>
      </c>
      <c r="H6445" s="1401">
        <f>SUM(H6406:H6444)-H6444</f>
        <v>801579.75999999978</v>
      </c>
      <c r="I6445" s="1401">
        <f>SUM(I6406:I6444)-I6427</f>
        <v>12770963.17</v>
      </c>
      <c r="J6445" s="1401">
        <f>SUM(J6406:J6444)</f>
        <v>37339908.269999996</v>
      </c>
      <c r="K6445" s="1401">
        <f>SUM(F6445:I6445)</f>
        <v>31817580.380000003</v>
      </c>
      <c r="L6445" s="1408">
        <f>K6445/C6406</f>
        <v>11549.03099092559</v>
      </c>
    </row>
    <row r="6446" spans="2:12">
      <c r="B6446" s="1297" t="s">
        <v>1464</v>
      </c>
      <c r="C6446" s="1297">
        <v>6893</v>
      </c>
      <c r="D6446" s="1413" t="s">
        <v>1730</v>
      </c>
      <c r="E6446" s="1297" t="s">
        <v>906</v>
      </c>
      <c r="G6446" s="1399">
        <v>25900783.93</v>
      </c>
      <c r="J6446" s="1399">
        <v>25900783.93</v>
      </c>
    </row>
    <row r="6447" spans="2:12">
      <c r="B6447" s="1297"/>
      <c r="C6447" s="1297"/>
      <c r="D6447" s="1297"/>
      <c r="E6447" s="1297" t="s">
        <v>907</v>
      </c>
      <c r="G6447" s="1399">
        <v>4391107.5199999996</v>
      </c>
      <c r="J6447" s="1399">
        <v>4391107.5199999996</v>
      </c>
    </row>
    <row r="6448" spans="2:12">
      <c r="B6448" s="1297"/>
      <c r="C6448" s="1297"/>
      <c r="D6448" s="1297"/>
      <c r="E6448" s="1297" t="s">
        <v>908</v>
      </c>
      <c r="G6448" s="1399">
        <v>105363.15</v>
      </c>
      <c r="J6448" s="1399">
        <v>105363.15</v>
      </c>
    </row>
    <row r="6449" spans="5:10" s="1297" customFormat="1">
      <c r="E6449" s="1297" t="s">
        <v>1034</v>
      </c>
      <c r="F6449" s="1399"/>
      <c r="G6449" s="1399"/>
      <c r="H6449" s="1399">
        <v>82174.259999999995</v>
      </c>
      <c r="I6449" s="1399"/>
      <c r="J6449" s="1399">
        <v>82174.259999999995</v>
      </c>
    </row>
    <row r="6450" spans="5:10" s="1297" customFormat="1">
      <c r="E6450" s="1297" t="s">
        <v>1035</v>
      </c>
      <c r="F6450" s="1399"/>
      <c r="G6450" s="1399"/>
      <c r="H6450" s="1399">
        <v>455324.7</v>
      </c>
      <c r="I6450" s="1399"/>
      <c r="J6450" s="1399">
        <v>455324.7</v>
      </c>
    </row>
    <row r="6451" spans="5:10" s="1297" customFormat="1">
      <c r="E6451" s="1297" t="s">
        <v>1037</v>
      </c>
      <c r="F6451" s="1399"/>
      <c r="G6451" s="1399"/>
      <c r="H6451" s="1399">
        <v>186115.6</v>
      </c>
      <c r="I6451" s="1399"/>
      <c r="J6451" s="1399">
        <v>186115.6</v>
      </c>
    </row>
    <row r="6452" spans="5:10" s="1297" customFormat="1">
      <c r="E6452" s="1297" t="s">
        <v>1039</v>
      </c>
      <c r="F6452" s="1399"/>
      <c r="G6452" s="1399"/>
      <c r="H6452" s="1399">
        <v>29795.82</v>
      </c>
      <c r="I6452" s="1399"/>
      <c r="J6452" s="1399">
        <v>29795.82</v>
      </c>
    </row>
    <row r="6453" spans="5:10" s="1297" customFormat="1">
      <c r="E6453" s="1297" t="s">
        <v>1040</v>
      </c>
      <c r="F6453" s="1399"/>
      <c r="G6453" s="1399"/>
      <c r="H6453" s="1399">
        <v>113539.91</v>
      </c>
      <c r="I6453" s="1399"/>
      <c r="J6453" s="1399">
        <v>113539.91</v>
      </c>
    </row>
    <row r="6454" spans="5:10" s="1297" customFormat="1">
      <c r="E6454" s="1297" t="s">
        <v>1041</v>
      </c>
      <c r="F6454" s="1399"/>
      <c r="G6454" s="1399"/>
      <c r="H6454" s="1399">
        <v>80933.08</v>
      </c>
      <c r="I6454" s="1399"/>
      <c r="J6454" s="1399">
        <v>80933.08</v>
      </c>
    </row>
    <row r="6455" spans="5:10" s="1297" customFormat="1">
      <c r="E6455" s="1297" t="s">
        <v>1042</v>
      </c>
      <c r="F6455" s="1399"/>
      <c r="G6455" s="1399"/>
      <c r="H6455" s="1399">
        <v>41508.6</v>
      </c>
      <c r="I6455" s="1399"/>
      <c r="J6455" s="1399">
        <v>41508.6</v>
      </c>
    </row>
    <row r="6456" spans="5:10" s="1297" customFormat="1">
      <c r="E6456" s="1297" t="s">
        <v>1043</v>
      </c>
      <c r="F6456" s="1399"/>
      <c r="G6456" s="1399"/>
      <c r="H6456" s="1399">
        <v>144502.56</v>
      </c>
      <c r="I6456" s="1399"/>
      <c r="J6456" s="1399">
        <v>144502.56</v>
      </c>
    </row>
    <row r="6457" spans="5:10" s="1297" customFormat="1">
      <c r="E6457" s="1297" t="s">
        <v>986</v>
      </c>
      <c r="F6457" s="1399"/>
      <c r="G6457" s="1399"/>
      <c r="H6457" s="1399">
        <v>2000</v>
      </c>
      <c r="I6457" s="1399"/>
      <c r="J6457" s="1399">
        <v>2000</v>
      </c>
    </row>
    <row r="6458" spans="5:10" s="1297" customFormat="1">
      <c r="E6458" s="1297" t="s">
        <v>1044</v>
      </c>
      <c r="F6458" s="1399">
        <v>62978.27</v>
      </c>
      <c r="G6458" s="1399"/>
      <c r="H6458" s="1399"/>
      <c r="I6458" s="1399"/>
      <c r="J6458" s="1399">
        <v>62978.27</v>
      </c>
    </row>
    <row r="6459" spans="5:10" s="1297" customFormat="1">
      <c r="E6459" s="1297" t="s">
        <v>1045</v>
      </c>
      <c r="F6459" s="1399"/>
      <c r="G6459" s="1399"/>
      <c r="H6459" s="1399">
        <v>529988.98</v>
      </c>
      <c r="I6459" s="1399"/>
      <c r="J6459" s="1399">
        <v>529988.98</v>
      </c>
    </row>
    <row r="6460" spans="5:10" s="1297" customFormat="1">
      <c r="E6460" s="1297" t="s">
        <v>1046</v>
      </c>
      <c r="F6460" s="1399"/>
      <c r="G6460" s="1399"/>
      <c r="H6460" s="1399"/>
      <c r="I6460" s="1399">
        <v>36044797</v>
      </c>
      <c r="J6460" s="1399">
        <v>36044797</v>
      </c>
    </row>
    <row r="6461" spans="5:10" s="1297" customFormat="1">
      <c r="E6461" s="1297" t="s">
        <v>1128</v>
      </c>
      <c r="F6461" s="1399"/>
      <c r="G6461" s="1399"/>
      <c r="H6461" s="1399"/>
      <c r="I6461" s="1399">
        <v>2996261</v>
      </c>
      <c r="J6461" s="1399">
        <v>2996261</v>
      </c>
    </row>
    <row r="6462" spans="5:10" s="1297" customFormat="1">
      <c r="E6462" s="1297" t="s">
        <v>1129</v>
      </c>
      <c r="F6462" s="1399"/>
      <c r="G6462" s="1399"/>
      <c r="H6462" s="1399"/>
      <c r="I6462" s="1399">
        <v>-4367842</v>
      </c>
      <c r="J6462" s="1399">
        <v>-4367842</v>
      </c>
    </row>
    <row r="6463" spans="5:10" s="1297" customFormat="1">
      <c r="E6463" s="1297" t="s">
        <v>1047</v>
      </c>
      <c r="F6463" s="1399"/>
      <c r="G6463" s="1399"/>
      <c r="H6463" s="1399"/>
      <c r="I6463" s="1399">
        <v>412329</v>
      </c>
      <c r="J6463" s="1399">
        <v>412329</v>
      </c>
    </row>
    <row r="6464" spans="5:10" s="1297" customFormat="1">
      <c r="E6464" s="1297" t="s">
        <v>1048</v>
      </c>
      <c r="F6464" s="1399"/>
      <c r="G6464" s="1399"/>
      <c r="H6464" s="1399"/>
      <c r="I6464" s="1399">
        <v>-7440049</v>
      </c>
      <c r="J6464" s="1399">
        <v>-7440049</v>
      </c>
    </row>
    <row r="6465" spans="5:10" s="1297" customFormat="1">
      <c r="E6465" s="1404" t="s">
        <v>955</v>
      </c>
      <c r="F6465" s="1405"/>
      <c r="G6465" s="1405"/>
      <c r="H6465" s="1405"/>
      <c r="I6465" s="1405">
        <v>728148.65</v>
      </c>
      <c r="J6465" s="1405">
        <v>728148.65</v>
      </c>
    </row>
    <row r="6466" spans="5:10" s="1297" customFormat="1">
      <c r="E6466" s="1297" t="s">
        <v>934</v>
      </c>
      <c r="F6466" s="1399"/>
      <c r="G6466" s="1399"/>
      <c r="H6466" s="1399"/>
      <c r="I6466" s="1399">
        <v>104783</v>
      </c>
      <c r="J6466" s="1399">
        <v>104783</v>
      </c>
    </row>
    <row r="6467" spans="5:10" s="1297" customFormat="1">
      <c r="E6467" s="1297" t="s">
        <v>935</v>
      </c>
      <c r="F6467" s="1399"/>
      <c r="G6467" s="1399"/>
      <c r="H6467" s="1399"/>
      <c r="I6467" s="1399">
        <v>186823.31</v>
      </c>
      <c r="J6467" s="1399">
        <v>186823.31</v>
      </c>
    </row>
    <row r="6468" spans="5:10" s="1297" customFormat="1">
      <c r="E6468" s="1297" t="s">
        <v>936</v>
      </c>
      <c r="F6468" s="1399"/>
      <c r="G6468" s="1399"/>
      <c r="H6468" s="1399"/>
      <c r="I6468" s="1399">
        <v>81935.23</v>
      </c>
      <c r="J6468" s="1399">
        <v>81935.23</v>
      </c>
    </row>
    <row r="6469" spans="5:10" s="1297" customFormat="1">
      <c r="E6469" s="1297" t="s">
        <v>937</v>
      </c>
      <c r="F6469" s="1399"/>
      <c r="G6469" s="1399"/>
      <c r="H6469" s="1399"/>
      <c r="I6469" s="1399">
        <v>45744.62</v>
      </c>
      <c r="J6469" s="1399">
        <v>45744.62</v>
      </c>
    </row>
    <row r="6470" spans="5:10" s="1297" customFormat="1">
      <c r="E6470" s="1297" t="s">
        <v>938</v>
      </c>
      <c r="F6470" s="1399"/>
      <c r="G6470" s="1399"/>
      <c r="H6470" s="1399"/>
      <c r="I6470" s="1399">
        <v>21523</v>
      </c>
      <c r="J6470" s="1399">
        <v>21523</v>
      </c>
    </row>
    <row r="6471" spans="5:10" s="1297" customFormat="1">
      <c r="E6471" s="1297" t="s">
        <v>940</v>
      </c>
      <c r="F6471" s="1399">
        <v>2078404.82</v>
      </c>
      <c r="G6471" s="1399"/>
      <c r="H6471" s="1399"/>
      <c r="I6471" s="1399"/>
      <c r="J6471" s="1399">
        <v>2078404.82</v>
      </c>
    </row>
    <row r="6472" spans="5:10" s="1297" customFormat="1">
      <c r="E6472" s="1297" t="s">
        <v>941</v>
      </c>
      <c r="F6472" s="1399">
        <v>743133.96</v>
      </c>
      <c r="G6472" s="1399"/>
      <c r="H6472" s="1399"/>
      <c r="I6472" s="1399"/>
      <c r="J6472" s="1399">
        <v>743133.96</v>
      </c>
    </row>
    <row r="6473" spans="5:10" s="1297" customFormat="1">
      <c r="E6473" s="1297" t="s">
        <v>943</v>
      </c>
      <c r="F6473" s="1399">
        <v>39014.28</v>
      </c>
      <c r="G6473" s="1399"/>
      <c r="H6473" s="1399"/>
      <c r="I6473" s="1399"/>
      <c r="J6473" s="1399">
        <v>39014.28</v>
      </c>
    </row>
    <row r="6474" spans="5:10" s="1297" customFormat="1">
      <c r="E6474" s="1297" t="s">
        <v>944</v>
      </c>
      <c r="F6474" s="1399">
        <v>5037591.4899999984</v>
      </c>
      <c r="G6474" s="1399"/>
      <c r="H6474" s="1399"/>
      <c r="I6474" s="1399"/>
      <c r="J6474" s="1399">
        <v>5037591.4899999984</v>
      </c>
    </row>
    <row r="6475" spans="5:10" s="1297" customFormat="1">
      <c r="E6475" s="1297" t="s">
        <v>945</v>
      </c>
      <c r="F6475" s="1399">
        <v>2726427.3</v>
      </c>
      <c r="G6475" s="1399"/>
      <c r="H6475" s="1399"/>
      <c r="I6475" s="1399"/>
      <c r="J6475" s="1399">
        <v>2726427.3</v>
      </c>
    </row>
    <row r="6476" spans="5:10" s="1297" customFormat="1">
      <c r="E6476" s="1297" t="s">
        <v>947</v>
      </c>
      <c r="F6476" s="1399">
        <v>158977.35999999999</v>
      </c>
      <c r="G6476" s="1399"/>
      <c r="H6476" s="1399"/>
      <c r="I6476" s="1399"/>
      <c r="J6476" s="1399">
        <v>158977.35999999999</v>
      </c>
    </row>
    <row r="6477" spans="5:10" s="1297" customFormat="1">
      <c r="E6477" s="1297" t="s">
        <v>1115</v>
      </c>
      <c r="F6477" s="1399">
        <v>12376.82</v>
      </c>
      <c r="G6477" s="1399"/>
      <c r="H6477" s="1399"/>
      <c r="I6477" s="1399"/>
      <c r="J6477" s="1399">
        <v>12376.82</v>
      </c>
    </row>
    <row r="6478" spans="5:10" s="1297" customFormat="1">
      <c r="E6478" s="1404" t="s">
        <v>948</v>
      </c>
      <c r="F6478" s="1405"/>
      <c r="G6478" s="1405"/>
      <c r="H6478" s="1405">
        <v>8285362.3899999997</v>
      </c>
      <c r="I6478" s="1405"/>
      <c r="J6478" s="1405">
        <v>8285362.3899999997</v>
      </c>
    </row>
    <row r="6479" spans="5:10" s="1297" customFormat="1">
      <c r="E6479" s="1297" t="s">
        <v>956</v>
      </c>
      <c r="F6479" s="1399"/>
      <c r="G6479" s="1399"/>
      <c r="H6479" s="1399">
        <v>2893.02</v>
      </c>
      <c r="I6479" s="1399"/>
      <c r="J6479" s="1399">
        <v>2893.02</v>
      </c>
    </row>
    <row r="6480" spans="5:10" s="1297" customFormat="1">
      <c r="E6480" s="1297" t="s">
        <v>1118</v>
      </c>
      <c r="F6480" s="1399"/>
      <c r="G6480" s="1399"/>
      <c r="H6480" s="1399">
        <v>919987.26</v>
      </c>
      <c r="I6480" s="1399"/>
      <c r="J6480" s="1399">
        <v>919987.26</v>
      </c>
    </row>
    <row r="6481" spans="2:12">
      <c r="B6481" s="1297"/>
      <c r="C6481" s="1297"/>
      <c r="D6481" s="1400" t="s">
        <v>1466</v>
      </c>
      <c r="E6481" s="1400"/>
      <c r="F6481" s="1401">
        <f>SUM(F6446:F6480)</f>
        <v>10858904.299999997</v>
      </c>
      <c r="G6481" s="1401">
        <f>SUM(G6446:G6480)</f>
        <v>30397254.599999998</v>
      </c>
      <c r="H6481" s="1401">
        <f>SUM(H6446:H6480)-H6478</f>
        <v>2588763.7899999982</v>
      </c>
      <c r="I6481" s="1401">
        <f>SUM(I6446:I6480)-I6465</f>
        <v>28086305.16</v>
      </c>
      <c r="J6481" s="1401">
        <f>SUM(J6446:J6480)</f>
        <v>80944738.889999986</v>
      </c>
      <c r="K6481" s="1401">
        <f>SUM(F6481:I6481)</f>
        <v>71931227.849999994</v>
      </c>
      <c r="L6481" s="1408">
        <f>K6481/C6446</f>
        <v>10435.402270419265</v>
      </c>
    </row>
    <row r="6482" spans="2:12">
      <c r="B6482" s="1297" t="s">
        <v>1467</v>
      </c>
      <c r="C6482" s="1297">
        <v>2786</v>
      </c>
      <c r="D6482" s="1297" t="s">
        <v>1468</v>
      </c>
      <c r="E6482" s="1297" t="s">
        <v>906</v>
      </c>
      <c r="G6482" s="1399">
        <v>7585141.3499999996</v>
      </c>
      <c r="J6482" s="1399">
        <v>7585141.3499999996</v>
      </c>
    </row>
    <row r="6483" spans="2:12">
      <c r="B6483" s="1297"/>
      <c r="C6483" s="1297"/>
      <c r="D6483" s="1297"/>
      <c r="E6483" s="1297" t="s">
        <v>907</v>
      </c>
      <c r="G6483" s="1399">
        <v>1852417.96</v>
      </c>
      <c r="J6483" s="1399">
        <v>1852417.96</v>
      </c>
    </row>
    <row r="6484" spans="2:12">
      <c r="B6484" s="1297"/>
      <c r="C6484" s="1297"/>
      <c r="D6484" s="1297"/>
      <c r="E6484" s="1297" t="s">
        <v>908</v>
      </c>
      <c r="G6484" s="1399">
        <v>29051.4</v>
      </c>
      <c r="J6484" s="1399">
        <v>29051.4</v>
      </c>
    </row>
    <row r="6485" spans="2:12">
      <c r="B6485" s="1297"/>
      <c r="C6485" s="1297"/>
      <c r="D6485" s="1297"/>
      <c r="E6485" s="1297" t="s">
        <v>909</v>
      </c>
      <c r="H6485" s="1399">
        <v>12678.85</v>
      </c>
      <c r="J6485" s="1399">
        <v>12678.85</v>
      </c>
    </row>
    <row r="6486" spans="2:12">
      <c r="B6486" s="1297"/>
      <c r="C6486" s="1297"/>
      <c r="D6486" s="1297"/>
      <c r="E6486" s="1297" t="s">
        <v>910</v>
      </c>
      <c r="H6486" s="1399">
        <v>699241.07</v>
      </c>
      <c r="J6486" s="1399">
        <v>699241.07</v>
      </c>
    </row>
    <row r="6487" spans="2:12">
      <c r="B6487" s="1297"/>
      <c r="C6487" s="1297"/>
      <c r="D6487" s="1297"/>
      <c r="E6487" s="1297" t="s">
        <v>1034</v>
      </c>
      <c r="H6487" s="1399">
        <v>177324.03</v>
      </c>
      <c r="J6487" s="1399">
        <v>177324.03</v>
      </c>
    </row>
    <row r="6488" spans="2:12">
      <c r="B6488" s="1297"/>
      <c r="C6488" s="1297"/>
      <c r="D6488" s="1297"/>
      <c r="E6488" s="1297" t="s">
        <v>1035</v>
      </c>
      <c r="H6488" s="1399">
        <v>354405.82</v>
      </c>
      <c r="J6488" s="1399">
        <v>354405.82</v>
      </c>
    </row>
    <row r="6489" spans="2:12">
      <c r="B6489" s="1297"/>
      <c r="C6489" s="1297"/>
      <c r="D6489" s="1297"/>
      <c r="E6489" s="1297" t="s">
        <v>1036</v>
      </c>
      <c r="H6489" s="1399">
        <v>136970.60999999999</v>
      </c>
      <c r="J6489" s="1399">
        <v>136970.60999999999</v>
      </c>
    </row>
    <row r="6490" spans="2:12">
      <c r="B6490" s="1297"/>
      <c r="C6490" s="1297"/>
      <c r="D6490" s="1297"/>
      <c r="E6490" s="1297" t="s">
        <v>1037</v>
      </c>
      <c r="H6490" s="1399">
        <v>138337.07</v>
      </c>
      <c r="J6490" s="1399">
        <v>138337.07</v>
      </c>
    </row>
    <row r="6491" spans="2:12">
      <c r="B6491" s="1297"/>
      <c r="C6491" s="1297"/>
      <c r="D6491" s="1297"/>
      <c r="E6491" s="1297" t="s">
        <v>1039</v>
      </c>
      <c r="H6491" s="1399">
        <v>36281.230000000003</v>
      </c>
      <c r="J6491" s="1399">
        <v>36281.230000000003</v>
      </c>
    </row>
    <row r="6492" spans="2:12">
      <c r="B6492" s="1297"/>
      <c r="C6492" s="1297"/>
      <c r="D6492" s="1297"/>
      <c r="E6492" s="1297" t="s">
        <v>1040</v>
      </c>
      <c r="H6492" s="1399">
        <v>302928.25</v>
      </c>
      <c r="J6492" s="1399">
        <v>302928.25</v>
      </c>
    </row>
    <row r="6493" spans="2:12">
      <c r="B6493" s="1297"/>
      <c r="C6493" s="1297"/>
      <c r="D6493" s="1297"/>
      <c r="E6493" s="1297" t="s">
        <v>1041</v>
      </c>
      <c r="H6493" s="1399">
        <v>27553.69</v>
      </c>
      <c r="J6493" s="1399">
        <v>27553.69</v>
      </c>
    </row>
    <row r="6494" spans="2:12">
      <c r="B6494" s="1297"/>
      <c r="C6494" s="1297"/>
      <c r="D6494" s="1297"/>
      <c r="E6494" s="1297" t="s">
        <v>1042</v>
      </c>
      <c r="H6494" s="1399">
        <v>31814.35</v>
      </c>
      <c r="J6494" s="1399">
        <v>31814.35</v>
      </c>
    </row>
    <row r="6495" spans="2:12">
      <c r="B6495" s="1297"/>
      <c r="C6495" s="1297"/>
      <c r="D6495" s="1297"/>
      <c r="E6495" s="1297" t="s">
        <v>985</v>
      </c>
      <c r="H6495" s="1399">
        <v>93096.68</v>
      </c>
      <c r="J6495" s="1399">
        <v>93096.68</v>
      </c>
    </row>
    <row r="6496" spans="2:12">
      <c r="B6496" s="1297"/>
      <c r="C6496" s="1297"/>
      <c r="D6496" s="1297"/>
      <c r="E6496" s="1297" t="s">
        <v>986</v>
      </c>
      <c r="H6496" s="1399">
        <v>22735.75</v>
      </c>
      <c r="J6496" s="1399">
        <v>22735.75</v>
      </c>
    </row>
    <row r="6497" spans="5:10" s="1297" customFormat="1">
      <c r="E6497" s="1297" t="s">
        <v>996</v>
      </c>
      <c r="F6497" s="1399"/>
      <c r="G6497" s="1399"/>
      <c r="H6497" s="1399">
        <v>114277.12</v>
      </c>
      <c r="I6497" s="1399"/>
      <c r="J6497" s="1399">
        <v>114277.12</v>
      </c>
    </row>
    <row r="6498" spans="5:10" s="1297" customFormat="1">
      <c r="E6498" s="1297" t="s">
        <v>1045</v>
      </c>
      <c r="F6498" s="1399"/>
      <c r="G6498" s="1399"/>
      <c r="H6498" s="1399">
        <v>219764.87000000002</v>
      </c>
      <c r="I6498" s="1399"/>
      <c r="J6498" s="1399">
        <v>219764.87000000002</v>
      </c>
    </row>
    <row r="6499" spans="5:10" s="1297" customFormat="1">
      <c r="E6499" s="1297" t="s">
        <v>1046</v>
      </c>
      <c r="F6499" s="1399"/>
      <c r="G6499" s="1399"/>
      <c r="H6499" s="1399"/>
      <c r="I6499" s="1399">
        <v>13061248</v>
      </c>
      <c r="J6499" s="1399">
        <v>13061248</v>
      </c>
    </row>
    <row r="6500" spans="5:10" s="1297" customFormat="1">
      <c r="E6500" s="1297" t="s">
        <v>1047</v>
      </c>
      <c r="F6500" s="1399"/>
      <c r="G6500" s="1399"/>
      <c r="H6500" s="1399"/>
      <c r="I6500" s="1399">
        <v>118920</v>
      </c>
      <c r="J6500" s="1399">
        <v>118920</v>
      </c>
    </row>
    <row r="6501" spans="5:10" s="1297" customFormat="1">
      <c r="E6501" s="1297" t="s">
        <v>1048</v>
      </c>
      <c r="F6501" s="1399"/>
      <c r="G6501" s="1399"/>
      <c r="H6501" s="1399"/>
      <c r="I6501" s="1399">
        <v>-2447471</v>
      </c>
      <c r="J6501" s="1399">
        <v>-2447471</v>
      </c>
    </row>
    <row r="6502" spans="5:10" s="1297" customFormat="1">
      <c r="E6502" s="1297" t="s">
        <v>932</v>
      </c>
      <c r="F6502" s="1399"/>
      <c r="G6502" s="1399"/>
      <c r="H6502" s="1399"/>
      <c r="I6502" s="1399">
        <v>160455</v>
      </c>
      <c r="J6502" s="1399">
        <v>160455</v>
      </c>
    </row>
    <row r="6503" spans="5:10" s="1297" customFormat="1">
      <c r="E6503" s="1297" t="s">
        <v>933</v>
      </c>
      <c r="F6503" s="1399"/>
      <c r="G6503" s="1399"/>
      <c r="H6503" s="1399"/>
      <c r="I6503" s="1399">
        <v>377126.85</v>
      </c>
      <c r="J6503" s="1399">
        <v>377126.85</v>
      </c>
    </row>
    <row r="6504" spans="5:10" s="1297" customFormat="1">
      <c r="E6504" s="1297" t="s">
        <v>934</v>
      </c>
      <c r="F6504" s="1399"/>
      <c r="G6504" s="1399"/>
      <c r="H6504" s="1399"/>
      <c r="I6504" s="1399">
        <v>31896</v>
      </c>
      <c r="J6504" s="1399">
        <v>31896</v>
      </c>
    </row>
    <row r="6505" spans="5:10" s="1297" customFormat="1">
      <c r="E6505" s="1297" t="s">
        <v>935</v>
      </c>
      <c r="F6505" s="1399"/>
      <c r="G6505" s="1399"/>
      <c r="H6505" s="1399"/>
      <c r="I6505" s="1399">
        <v>174959.54</v>
      </c>
      <c r="J6505" s="1399">
        <v>174959.54</v>
      </c>
    </row>
    <row r="6506" spans="5:10" s="1297" customFormat="1">
      <c r="E6506" s="1297" t="s">
        <v>936</v>
      </c>
      <c r="F6506" s="1399"/>
      <c r="G6506" s="1399"/>
      <c r="H6506" s="1399"/>
      <c r="I6506" s="1399">
        <v>35715.35</v>
      </c>
      <c r="J6506" s="1399">
        <v>35715.35</v>
      </c>
    </row>
    <row r="6507" spans="5:10" s="1297" customFormat="1">
      <c r="E6507" s="1297" t="s">
        <v>937</v>
      </c>
      <c r="F6507" s="1399"/>
      <c r="G6507" s="1399"/>
      <c r="H6507" s="1399"/>
      <c r="I6507" s="1399">
        <v>8644.56</v>
      </c>
      <c r="J6507" s="1399">
        <v>8644.56</v>
      </c>
    </row>
    <row r="6508" spans="5:10" s="1297" customFormat="1">
      <c r="E6508" s="1297" t="s">
        <v>938</v>
      </c>
      <c r="F6508" s="1399"/>
      <c r="G6508" s="1399"/>
      <c r="H6508" s="1399"/>
      <c r="I6508" s="1399">
        <v>11978</v>
      </c>
      <c r="J6508" s="1399">
        <v>11978</v>
      </c>
    </row>
    <row r="6509" spans="5:10" s="1297" customFormat="1">
      <c r="E6509" s="1297" t="s">
        <v>940</v>
      </c>
      <c r="F6509" s="1399">
        <v>377384.8</v>
      </c>
      <c r="G6509" s="1399"/>
      <c r="H6509" s="1399"/>
      <c r="I6509" s="1399"/>
      <c r="J6509" s="1399">
        <v>377384.8</v>
      </c>
    </row>
    <row r="6510" spans="5:10" s="1297" customFormat="1">
      <c r="E6510" s="1297" t="s">
        <v>941</v>
      </c>
      <c r="F6510" s="1399">
        <v>103772.34</v>
      </c>
      <c r="G6510" s="1399"/>
      <c r="H6510" s="1399"/>
      <c r="I6510" s="1399"/>
      <c r="J6510" s="1399">
        <v>103772.34</v>
      </c>
    </row>
    <row r="6511" spans="5:10" s="1297" customFormat="1">
      <c r="E6511" s="1297" t="s">
        <v>944</v>
      </c>
      <c r="F6511" s="1399">
        <v>766238.22</v>
      </c>
      <c r="G6511" s="1399"/>
      <c r="H6511" s="1399"/>
      <c r="I6511" s="1399"/>
      <c r="J6511" s="1399">
        <v>766238.22</v>
      </c>
    </row>
    <row r="6512" spans="5:10" s="1297" customFormat="1">
      <c r="E6512" s="1297" t="s">
        <v>945</v>
      </c>
      <c r="F6512" s="1399">
        <v>734850</v>
      </c>
      <c r="G6512" s="1399"/>
      <c r="H6512" s="1399"/>
      <c r="I6512" s="1399"/>
      <c r="J6512" s="1399">
        <v>734850</v>
      </c>
    </row>
    <row r="6513" spans="2:12">
      <c r="B6513" s="1297"/>
      <c r="C6513" s="1297"/>
      <c r="D6513" s="1297"/>
      <c r="E6513" s="1297" t="s">
        <v>978</v>
      </c>
      <c r="F6513" s="1399">
        <v>1200</v>
      </c>
      <c r="J6513" s="1399">
        <v>1200</v>
      </c>
    </row>
    <row r="6514" spans="2:12">
      <c r="B6514" s="1297"/>
      <c r="C6514" s="1297"/>
      <c r="D6514" s="1297"/>
      <c r="E6514" s="1297" t="s">
        <v>947</v>
      </c>
      <c r="F6514" s="1399">
        <v>39084.97</v>
      </c>
      <c r="J6514" s="1399">
        <v>39084.97</v>
      </c>
    </row>
    <row r="6515" spans="2:12">
      <c r="B6515" s="1297"/>
      <c r="C6515" s="1297"/>
      <c r="D6515" s="1297"/>
      <c r="E6515" s="1297" t="s">
        <v>1115</v>
      </c>
      <c r="F6515" s="1399">
        <v>68633.64</v>
      </c>
      <c r="J6515" s="1399">
        <v>68633.64</v>
      </c>
    </row>
    <row r="6516" spans="2:12">
      <c r="B6516" s="1297"/>
      <c r="C6516" s="1297"/>
      <c r="D6516" s="1297"/>
      <c r="E6516" s="1404" t="s">
        <v>948</v>
      </c>
      <c r="F6516" s="1405"/>
      <c r="G6516" s="1405"/>
      <c r="H6516" s="1405">
        <v>1455126.7599999998</v>
      </c>
      <c r="I6516" s="1405"/>
      <c r="J6516" s="1405">
        <v>1455126.7599999998</v>
      </c>
    </row>
    <row r="6517" spans="2:12">
      <c r="B6517" s="1297"/>
      <c r="C6517" s="1297"/>
      <c r="D6517" s="1400" t="s">
        <v>1469</v>
      </c>
      <c r="E6517" s="1400"/>
      <c r="F6517" s="1401">
        <f>SUM(F6482:F6516)</f>
        <v>2091163.9699999997</v>
      </c>
      <c r="G6517" s="1401">
        <f>SUM(G6482:G6516)</f>
        <v>9466610.709999999</v>
      </c>
      <c r="H6517" s="1401">
        <f>SUM(H6482:H6516)-H6516</f>
        <v>2367409.39</v>
      </c>
      <c r="I6517" s="1401">
        <f>SUM(I6482:I6516)</f>
        <v>11533472.299999999</v>
      </c>
      <c r="J6517" s="1401">
        <f>SUM(J6482:J6516)</f>
        <v>26913783.129999995</v>
      </c>
      <c r="K6517" s="1401">
        <f>SUM(F6517:I6517)</f>
        <v>25458656.369999997</v>
      </c>
      <c r="L6517" s="1408">
        <f>K6517/C6482</f>
        <v>9138.0676130653264</v>
      </c>
    </row>
    <row r="6518" spans="2:12">
      <c r="B6518" s="1297" t="s">
        <v>1470</v>
      </c>
      <c r="C6518" s="1297">
        <v>7966</v>
      </c>
      <c r="D6518" s="1413" t="s">
        <v>1731</v>
      </c>
      <c r="E6518" s="1297" t="s">
        <v>906</v>
      </c>
      <c r="G6518" s="1399">
        <v>43242785.25</v>
      </c>
      <c r="J6518" s="1399">
        <v>43242785.25</v>
      </c>
    </row>
    <row r="6519" spans="2:12">
      <c r="B6519" s="1297"/>
      <c r="C6519" s="1297"/>
      <c r="D6519" s="1297"/>
      <c r="E6519" s="1297" t="s">
        <v>952</v>
      </c>
      <c r="G6519" s="1399">
        <v>457127.69</v>
      </c>
      <c r="J6519" s="1399">
        <v>457127.69</v>
      </c>
    </row>
    <row r="6520" spans="2:12">
      <c r="B6520" s="1297"/>
      <c r="C6520" s="1297"/>
      <c r="D6520" s="1297"/>
      <c r="E6520" s="1297" t="s">
        <v>907</v>
      </c>
      <c r="G6520" s="1399">
        <v>7636931.7300000004</v>
      </c>
      <c r="J6520" s="1399">
        <v>7636931.7300000004</v>
      </c>
    </row>
    <row r="6521" spans="2:12">
      <c r="B6521" s="1297"/>
      <c r="C6521" s="1297"/>
      <c r="D6521" s="1297"/>
      <c r="E6521" s="1297" t="s">
        <v>908</v>
      </c>
      <c r="G6521" s="1399">
        <v>1079173.3</v>
      </c>
      <c r="J6521" s="1399">
        <v>1079173.3</v>
      </c>
    </row>
    <row r="6522" spans="2:12">
      <c r="B6522" s="1297"/>
      <c r="C6522" s="1297"/>
      <c r="D6522" s="1297"/>
      <c r="E6522" s="1297" t="s">
        <v>1035</v>
      </c>
      <c r="H6522" s="1399">
        <v>42849.34</v>
      </c>
      <c r="J6522" s="1399">
        <v>42849.34</v>
      </c>
    </row>
    <row r="6523" spans="2:12">
      <c r="B6523" s="1297"/>
      <c r="C6523" s="1297"/>
      <c r="D6523" s="1297"/>
      <c r="E6523" s="1297" t="s">
        <v>1037</v>
      </c>
      <c r="H6523" s="1399">
        <v>504657</v>
      </c>
      <c r="J6523" s="1399">
        <v>504657</v>
      </c>
    </row>
    <row r="6524" spans="2:12">
      <c r="B6524" s="1297"/>
      <c r="C6524" s="1297"/>
      <c r="D6524" s="1297"/>
      <c r="E6524" s="1297" t="s">
        <v>1038</v>
      </c>
      <c r="H6524" s="1399">
        <v>26800</v>
      </c>
      <c r="J6524" s="1399">
        <v>26800</v>
      </c>
    </row>
    <row r="6525" spans="2:12">
      <c r="B6525" s="1297"/>
      <c r="C6525" s="1297"/>
      <c r="D6525" s="1297"/>
      <c r="E6525" s="1297" t="s">
        <v>1003</v>
      </c>
      <c r="H6525" s="1399">
        <v>258665.92</v>
      </c>
      <c r="J6525" s="1399">
        <v>258665.92</v>
      </c>
    </row>
    <row r="6526" spans="2:12">
      <c r="B6526" s="1297"/>
      <c r="C6526" s="1297"/>
      <c r="D6526" s="1297"/>
      <c r="E6526" s="1297" t="s">
        <v>1039</v>
      </c>
      <c r="H6526" s="1399">
        <v>82880.060000000012</v>
      </c>
      <c r="J6526" s="1399">
        <v>82880.060000000012</v>
      </c>
    </row>
    <row r="6527" spans="2:12">
      <c r="B6527" s="1297"/>
      <c r="C6527" s="1297"/>
      <c r="D6527" s="1297"/>
      <c r="E6527" s="1297" t="s">
        <v>1040</v>
      </c>
      <c r="H6527" s="1399">
        <v>251345.07000000004</v>
      </c>
      <c r="J6527" s="1399">
        <v>251345.07000000004</v>
      </c>
    </row>
    <row r="6528" spans="2:12">
      <c r="B6528" s="1297"/>
      <c r="C6528" s="1297"/>
      <c r="D6528" s="1297"/>
      <c r="E6528" s="1297" t="s">
        <v>1041</v>
      </c>
      <c r="H6528" s="1399">
        <v>168079.97999999998</v>
      </c>
      <c r="J6528" s="1399">
        <v>168079.97999999998</v>
      </c>
    </row>
    <row r="6529" spans="5:10" s="1297" customFormat="1">
      <c r="E6529" s="1297" t="s">
        <v>1042</v>
      </c>
      <c r="F6529" s="1399"/>
      <c r="G6529" s="1399"/>
      <c r="H6529" s="1399">
        <v>13026.24</v>
      </c>
      <c r="I6529" s="1399"/>
      <c r="J6529" s="1399">
        <v>13026.24</v>
      </c>
    </row>
    <row r="6530" spans="5:10" s="1297" customFormat="1">
      <c r="E6530" s="1297" t="s">
        <v>953</v>
      </c>
      <c r="F6530" s="1399"/>
      <c r="G6530" s="1399"/>
      <c r="H6530" s="1399">
        <v>191320.58000000005</v>
      </c>
      <c r="I6530" s="1399"/>
      <c r="J6530" s="1399">
        <v>191320.58000000005</v>
      </c>
    </row>
    <row r="6531" spans="5:10" s="1297" customFormat="1">
      <c r="E6531" s="1297" t="s">
        <v>954</v>
      </c>
      <c r="F6531" s="1399"/>
      <c r="G6531" s="1399"/>
      <c r="H6531" s="1399">
        <v>123897.58</v>
      </c>
      <c r="I6531" s="1399"/>
      <c r="J6531" s="1399">
        <v>123897.58</v>
      </c>
    </row>
    <row r="6532" spans="5:10" s="1297" customFormat="1">
      <c r="E6532" s="1297" t="s">
        <v>985</v>
      </c>
      <c r="F6532" s="1399"/>
      <c r="G6532" s="1399"/>
      <c r="H6532" s="1399">
        <v>1407869.11</v>
      </c>
      <c r="I6532" s="1399"/>
      <c r="J6532" s="1399">
        <v>1407869.11</v>
      </c>
    </row>
    <row r="6533" spans="5:10" s="1297" customFormat="1">
      <c r="E6533" s="1297" t="s">
        <v>986</v>
      </c>
      <c r="F6533" s="1399"/>
      <c r="G6533" s="1399"/>
      <c r="H6533" s="1399">
        <v>49905.64</v>
      </c>
      <c r="I6533" s="1399"/>
      <c r="J6533" s="1399">
        <v>49905.64</v>
      </c>
    </row>
    <row r="6534" spans="5:10" s="1297" customFormat="1">
      <c r="E6534" s="1297" t="s">
        <v>996</v>
      </c>
      <c r="F6534" s="1399"/>
      <c r="G6534" s="1399"/>
      <c r="H6534" s="1399">
        <v>3522.05</v>
      </c>
      <c r="I6534" s="1399"/>
      <c r="J6534" s="1399">
        <v>3522.05</v>
      </c>
    </row>
    <row r="6535" spans="5:10" s="1297" customFormat="1">
      <c r="E6535" s="359" t="s">
        <v>1044</v>
      </c>
      <c r="F6535" s="1411">
        <v>202271</v>
      </c>
      <c r="G6535" s="1411"/>
      <c r="H6535" s="1411"/>
      <c r="I6535" s="1411"/>
      <c r="J6535" s="1411">
        <v>202271</v>
      </c>
    </row>
    <row r="6536" spans="5:10" s="1297" customFormat="1">
      <c r="E6536" s="1297" t="s">
        <v>1045</v>
      </c>
      <c r="F6536" s="1399"/>
      <c r="G6536" s="1399"/>
      <c r="H6536" s="1399">
        <v>1647941.4300000002</v>
      </c>
      <c r="I6536" s="1399"/>
      <c r="J6536" s="1399">
        <v>1647941.4300000002</v>
      </c>
    </row>
    <row r="6537" spans="5:10" s="1297" customFormat="1">
      <c r="E6537" s="1297" t="s">
        <v>1046</v>
      </c>
      <c r="F6537" s="1399"/>
      <c r="G6537" s="1399"/>
      <c r="H6537" s="1399"/>
      <c r="I6537" s="1399">
        <v>43894865</v>
      </c>
      <c r="J6537" s="1399">
        <v>43894865</v>
      </c>
    </row>
    <row r="6538" spans="5:10" s="1297" customFormat="1">
      <c r="E6538" s="1297" t="s">
        <v>1128</v>
      </c>
      <c r="F6538" s="1399"/>
      <c r="G6538" s="1399"/>
      <c r="H6538" s="1399"/>
      <c r="I6538" s="1399">
        <v>3447964</v>
      </c>
      <c r="J6538" s="1399">
        <v>3447964</v>
      </c>
    </row>
    <row r="6539" spans="5:10" s="1297" customFormat="1">
      <c r="E6539" s="1297" t="s">
        <v>1129</v>
      </c>
      <c r="F6539" s="1399"/>
      <c r="G6539" s="1399"/>
      <c r="H6539" s="1399"/>
      <c r="I6539" s="1399">
        <v>-4992085</v>
      </c>
      <c r="J6539" s="1399">
        <v>-4992085</v>
      </c>
    </row>
    <row r="6540" spans="5:10" s="1297" customFormat="1">
      <c r="E6540" s="1297" t="s">
        <v>1047</v>
      </c>
      <c r="F6540" s="1399"/>
      <c r="G6540" s="1399"/>
      <c r="H6540" s="1399"/>
      <c r="I6540" s="1399">
        <v>535855</v>
      </c>
      <c r="J6540" s="1399">
        <v>535855</v>
      </c>
    </row>
    <row r="6541" spans="5:10" s="1297" customFormat="1">
      <c r="E6541" s="1297" t="s">
        <v>1048</v>
      </c>
      <c r="F6541" s="1399"/>
      <c r="G6541" s="1399"/>
      <c r="H6541" s="1399"/>
      <c r="I6541" s="1399">
        <v>-13586773</v>
      </c>
      <c r="J6541" s="1399">
        <v>-13586773</v>
      </c>
    </row>
    <row r="6542" spans="5:10" s="1297" customFormat="1">
      <c r="E6542" s="1297" t="s">
        <v>934</v>
      </c>
      <c r="F6542" s="1399"/>
      <c r="G6542" s="1399"/>
      <c r="H6542" s="1399"/>
      <c r="I6542" s="1399">
        <v>112668</v>
      </c>
      <c r="J6542" s="1399">
        <v>112668</v>
      </c>
    </row>
    <row r="6543" spans="5:10" s="1297" customFormat="1">
      <c r="E6543" s="1297" t="s">
        <v>1130</v>
      </c>
      <c r="F6543" s="1399"/>
      <c r="G6543" s="1399"/>
      <c r="H6543" s="1399"/>
      <c r="I6543" s="1399">
        <v>112152.5</v>
      </c>
      <c r="J6543" s="1399">
        <v>112152.5</v>
      </c>
    </row>
    <row r="6544" spans="5:10" s="1297" customFormat="1">
      <c r="E6544" s="1297" t="s">
        <v>935</v>
      </c>
      <c r="F6544" s="1399"/>
      <c r="G6544" s="1399"/>
      <c r="H6544" s="1399"/>
      <c r="I6544" s="1399">
        <v>552655.56000000006</v>
      </c>
      <c r="J6544" s="1399">
        <v>552655.56000000006</v>
      </c>
    </row>
    <row r="6545" spans="2:12">
      <c r="B6545" s="1297"/>
      <c r="C6545" s="1297"/>
      <c r="D6545" s="1297"/>
      <c r="E6545" s="1297" t="s">
        <v>936</v>
      </c>
      <c r="I6545" s="1399">
        <v>128155.1</v>
      </c>
      <c r="J6545" s="1399">
        <v>128155.1</v>
      </c>
    </row>
    <row r="6546" spans="2:12">
      <c r="B6546" s="1297"/>
      <c r="C6546" s="1297"/>
      <c r="D6546" s="1297"/>
      <c r="E6546" s="1297" t="s">
        <v>937</v>
      </c>
      <c r="I6546" s="1399">
        <v>94806.69</v>
      </c>
      <c r="J6546" s="1399">
        <v>94806.69</v>
      </c>
    </row>
    <row r="6547" spans="2:12">
      <c r="B6547" s="1297"/>
      <c r="C6547" s="1297"/>
      <c r="D6547" s="1297"/>
      <c r="E6547" s="1297" t="s">
        <v>938</v>
      </c>
      <c r="I6547" s="1399">
        <v>42111</v>
      </c>
      <c r="J6547" s="1399">
        <v>42111</v>
      </c>
    </row>
    <row r="6548" spans="2:12">
      <c r="B6548" s="1297"/>
      <c r="C6548" s="1297"/>
      <c r="D6548" s="1297"/>
      <c r="E6548" s="1297" t="s">
        <v>1131</v>
      </c>
      <c r="F6548" s="1399">
        <v>8848.98</v>
      </c>
      <c r="J6548" s="1399">
        <v>8848.98</v>
      </c>
    </row>
    <row r="6549" spans="2:12">
      <c r="B6549" s="1297"/>
      <c r="C6549" s="1297"/>
      <c r="D6549" s="1297"/>
      <c r="E6549" s="1297" t="s">
        <v>940</v>
      </c>
      <c r="F6549" s="1399">
        <v>2108966.7599999998</v>
      </c>
      <c r="J6549" s="1399">
        <v>2108966.7599999998</v>
      </c>
    </row>
    <row r="6550" spans="2:12">
      <c r="B6550" s="1297"/>
      <c r="C6550" s="1297"/>
      <c r="D6550" s="1297"/>
      <c r="E6550" s="1297" t="s">
        <v>941</v>
      </c>
      <c r="F6550" s="1399">
        <v>1061679.6399999999</v>
      </c>
      <c r="J6550" s="1399">
        <v>1061679.6399999999</v>
      </c>
    </row>
    <row r="6551" spans="2:12">
      <c r="B6551" s="1297"/>
      <c r="C6551" s="1297"/>
      <c r="D6551" s="1297"/>
      <c r="E6551" s="1297" t="s">
        <v>943</v>
      </c>
      <c r="F6551" s="1399">
        <v>67658.94</v>
      </c>
      <c r="J6551" s="1399">
        <v>67658.94</v>
      </c>
    </row>
    <row r="6552" spans="2:12">
      <c r="B6552" s="1297"/>
      <c r="C6552" s="1297"/>
      <c r="D6552" s="1297"/>
      <c r="E6552" s="1297" t="s">
        <v>944</v>
      </c>
      <c r="F6552" s="1399">
        <v>6227375.0799999991</v>
      </c>
      <c r="J6552" s="1399">
        <v>6227375.0799999991</v>
      </c>
    </row>
    <row r="6553" spans="2:12">
      <c r="B6553" s="1297"/>
      <c r="C6553" s="1297"/>
      <c r="D6553" s="1297"/>
      <c r="E6553" s="1297" t="s">
        <v>945</v>
      </c>
      <c r="F6553" s="1399">
        <v>3923793.01</v>
      </c>
      <c r="J6553" s="1399">
        <v>3923793.01</v>
      </c>
    </row>
    <row r="6554" spans="2:12">
      <c r="B6554" s="1297"/>
      <c r="C6554" s="1297"/>
      <c r="D6554" s="1297"/>
      <c r="E6554" s="1297" t="s">
        <v>946</v>
      </c>
      <c r="F6554" s="1399">
        <v>104871.4</v>
      </c>
      <c r="J6554" s="1399">
        <v>104871.4</v>
      </c>
    </row>
    <row r="6555" spans="2:12">
      <c r="B6555" s="1297"/>
      <c r="C6555" s="1297"/>
      <c r="D6555" s="1297"/>
      <c r="E6555" s="1297" t="s">
        <v>947</v>
      </c>
      <c r="F6555" s="1399">
        <v>316483.74999999994</v>
      </c>
      <c r="J6555" s="1399">
        <v>316483.74999999994</v>
      </c>
    </row>
    <row r="6556" spans="2:12">
      <c r="B6556" s="1297"/>
      <c r="C6556" s="1297"/>
      <c r="D6556" s="1297"/>
      <c r="E6556" s="1297" t="s">
        <v>1115</v>
      </c>
      <c r="F6556" s="1399">
        <v>20695.86</v>
      </c>
      <c r="J6556" s="1399">
        <v>20695.86</v>
      </c>
    </row>
    <row r="6557" spans="2:12">
      <c r="B6557" s="1297"/>
      <c r="C6557" s="1297"/>
      <c r="D6557" s="1297"/>
      <c r="E6557" s="1404" t="s">
        <v>948</v>
      </c>
      <c r="F6557" s="1405"/>
      <c r="G6557" s="1405"/>
      <c r="H6557" s="1405">
        <v>949828.45</v>
      </c>
      <c r="I6557" s="1405"/>
      <c r="J6557" s="1405">
        <v>949828.45</v>
      </c>
    </row>
    <row r="6558" spans="2:12">
      <c r="B6558" s="1297"/>
      <c r="C6558" s="1297"/>
      <c r="D6558" s="1297"/>
      <c r="E6558" s="1297" t="s">
        <v>956</v>
      </c>
      <c r="H6558" s="1399">
        <v>13389.490000000002</v>
      </c>
      <c r="J6558" s="1399">
        <v>13389.490000000002</v>
      </c>
    </row>
    <row r="6559" spans="2:12">
      <c r="B6559" s="1297"/>
      <c r="C6559" s="1297"/>
      <c r="D6559" s="1400" t="s">
        <v>1472</v>
      </c>
      <c r="E6559" s="1400"/>
      <c r="F6559" s="1401">
        <f>SUM(F6518:F6558)</f>
        <v>14042644.419999998</v>
      </c>
      <c r="G6559" s="1401">
        <f>SUM(G6518:G6558)</f>
        <v>52416017.969999999</v>
      </c>
      <c r="H6559" s="1401">
        <f>SUM(H6518:H6558)-H6557</f>
        <v>4786149.49</v>
      </c>
      <c r="I6559" s="1401">
        <f>SUM(I6518:I6558)</f>
        <v>30342374.850000001</v>
      </c>
      <c r="J6559" s="1401">
        <f>SUM(J6518:J6558)</f>
        <v>102537015.18000001</v>
      </c>
      <c r="K6559" s="1401">
        <f>SUM(F6559:I6559)</f>
        <v>101587186.72999999</v>
      </c>
      <c r="L6559" s="1408">
        <f>K6559/C6518</f>
        <v>12752.596877981419</v>
      </c>
    </row>
    <row r="6560" spans="2:12">
      <c r="B6560" s="1297" t="s">
        <v>1518</v>
      </c>
      <c r="C6560" s="1297">
        <v>1479</v>
      </c>
      <c r="D6560" s="1297" t="s">
        <v>1519</v>
      </c>
      <c r="E6560" s="1297" t="s">
        <v>906</v>
      </c>
      <c r="G6560" s="1399">
        <v>390543.13</v>
      </c>
      <c r="J6560" s="1399">
        <v>390543.13</v>
      </c>
    </row>
    <row r="6561" spans="5:10" s="1297" customFormat="1">
      <c r="E6561" s="1297" t="s">
        <v>1126</v>
      </c>
      <c r="F6561" s="1399"/>
      <c r="G6561" s="1399">
        <v>466569.83</v>
      </c>
      <c r="H6561" s="1399"/>
      <c r="I6561" s="1399"/>
      <c r="J6561" s="1399">
        <v>466569.83</v>
      </c>
    </row>
    <row r="6562" spans="5:10" s="1297" customFormat="1">
      <c r="E6562" s="1297" t="s">
        <v>907</v>
      </c>
      <c r="F6562" s="1399"/>
      <c r="G6562" s="1399">
        <v>945308.73</v>
      </c>
      <c r="H6562" s="1399"/>
      <c r="I6562" s="1399"/>
      <c r="J6562" s="1399">
        <v>945308.73</v>
      </c>
    </row>
    <row r="6563" spans="5:10" s="1297" customFormat="1">
      <c r="E6563" s="1297" t="s">
        <v>909</v>
      </c>
      <c r="F6563" s="1399"/>
      <c r="G6563" s="1399"/>
      <c r="H6563" s="1399">
        <v>57195.33</v>
      </c>
      <c r="I6563" s="1399"/>
      <c r="J6563" s="1399">
        <v>57195.33</v>
      </c>
    </row>
    <row r="6564" spans="5:10" s="1297" customFormat="1">
      <c r="E6564" s="1297" t="s">
        <v>910</v>
      </c>
      <c r="F6564" s="1399"/>
      <c r="G6564" s="1399"/>
      <c r="H6564" s="1399">
        <v>5574</v>
      </c>
      <c r="I6564" s="1399"/>
      <c r="J6564" s="1399">
        <v>5574</v>
      </c>
    </row>
    <row r="6565" spans="5:10" s="1297" customFormat="1">
      <c r="E6565" s="1297" t="s">
        <v>1034</v>
      </c>
      <c r="F6565" s="1399"/>
      <c r="G6565" s="1399"/>
      <c r="H6565" s="1399">
        <v>44376.44</v>
      </c>
      <c r="I6565" s="1399"/>
      <c r="J6565" s="1399">
        <v>44376.44</v>
      </c>
    </row>
    <row r="6566" spans="5:10" s="1297" customFormat="1">
      <c r="E6566" s="1297" t="s">
        <v>1035</v>
      </c>
      <c r="F6566" s="1399"/>
      <c r="G6566" s="1399"/>
      <c r="H6566" s="1399">
        <v>101905.4</v>
      </c>
      <c r="I6566" s="1399"/>
      <c r="J6566" s="1399">
        <v>101905.4</v>
      </c>
    </row>
    <row r="6567" spans="5:10" s="1297" customFormat="1">
      <c r="E6567" s="1297" t="s">
        <v>1036</v>
      </c>
      <c r="F6567" s="1399"/>
      <c r="G6567" s="1399"/>
      <c r="H6567" s="1399">
        <v>79377.960000000006</v>
      </c>
      <c r="I6567" s="1399"/>
      <c r="J6567" s="1399">
        <v>79377.960000000006</v>
      </c>
    </row>
    <row r="6568" spans="5:10" s="1297" customFormat="1">
      <c r="E6568" s="1297" t="s">
        <v>1039</v>
      </c>
      <c r="F6568" s="1399"/>
      <c r="G6568" s="1399"/>
      <c r="H6568" s="1399">
        <v>31938.260000000002</v>
      </c>
      <c r="I6568" s="1399"/>
      <c r="J6568" s="1399">
        <v>31938.260000000002</v>
      </c>
    </row>
    <row r="6569" spans="5:10" s="1297" customFormat="1">
      <c r="E6569" s="1297" t="s">
        <v>1040</v>
      </c>
      <c r="F6569" s="1399"/>
      <c r="G6569" s="1399"/>
      <c r="H6569" s="1399">
        <v>47479.72</v>
      </c>
      <c r="I6569" s="1399"/>
      <c r="J6569" s="1399">
        <v>47479.72</v>
      </c>
    </row>
    <row r="6570" spans="5:10" s="1297" customFormat="1">
      <c r="E6570" s="1297" t="s">
        <v>1041</v>
      </c>
      <c r="F6570" s="1399"/>
      <c r="G6570" s="1399"/>
      <c r="H6570" s="1399">
        <v>41661.9</v>
      </c>
      <c r="I6570" s="1399"/>
      <c r="J6570" s="1399">
        <v>41661.9</v>
      </c>
    </row>
    <row r="6571" spans="5:10" s="1297" customFormat="1">
      <c r="E6571" s="1297" t="s">
        <v>1042</v>
      </c>
      <c r="F6571" s="1399"/>
      <c r="G6571" s="1399"/>
      <c r="H6571" s="1399">
        <v>21896</v>
      </c>
      <c r="I6571" s="1399"/>
      <c r="J6571" s="1399">
        <v>21896</v>
      </c>
    </row>
    <row r="6572" spans="5:10" s="1297" customFormat="1">
      <c r="E6572" s="1297" t="s">
        <v>954</v>
      </c>
      <c r="F6572" s="1399"/>
      <c r="G6572" s="1399"/>
      <c r="H6572" s="1399">
        <v>900</v>
      </c>
      <c r="I6572" s="1399"/>
      <c r="J6572" s="1399">
        <v>900</v>
      </c>
    </row>
    <row r="6573" spans="5:10" s="1297" customFormat="1">
      <c r="E6573" s="1297" t="s">
        <v>1043</v>
      </c>
      <c r="F6573" s="1399"/>
      <c r="G6573" s="1399"/>
      <c r="H6573" s="1399">
        <v>19660</v>
      </c>
      <c r="I6573" s="1399"/>
      <c r="J6573" s="1399">
        <v>19660</v>
      </c>
    </row>
    <row r="6574" spans="5:10" s="1297" customFormat="1">
      <c r="E6574" s="1297" t="s">
        <v>986</v>
      </c>
      <c r="F6574" s="1399"/>
      <c r="G6574" s="1399"/>
      <c r="H6574" s="1399">
        <v>1000</v>
      </c>
      <c r="I6574" s="1399"/>
      <c r="J6574" s="1399">
        <v>1000</v>
      </c>
    </row>
    <row r="6575" spans="5:10" s="1297" customFormat="1">
      <c r="E6575" s="1297" t="s">
        <v>991</v>
      </c>
      <c r="F6575" s="1399"/>
      <c r="G6575" s="1399"/>
      <c r="H6575" s="1399">
        <v>1851.5</v>
      </c>
      <c r="I6575" s="1399"/>
      <c r="J6575" s="1399">
        <v>1851.5</v>
      </c>
    </row>
    <row r="6576" spans="5:10" s="1297" customFormat="1">
      <c r="E6576" s="1297" t="s">
        <v>1044</v>
      </c>
      <c r="F6576" s="1399">
        <v>19386</v>
      </c>
      <c r="G6576" s="1399"/>
      <c r="H6576" s="1399"/>
      <c r="I6576" s="1399"/>
      <c r="J6576" s="1399">
        <v>19386</v>
      </c>
    </row>
    <row r="6577" spans="5:10" s="1297" customFormat="1">
      <c r="E6577" s="1297" t="s">
        <v>1045</v>
      </c>
      <c r="F6577" s="1399"/>
      <c r="G6577" s="1399"/>
      <c r="H6577" s="1399">
        <v>86219.6</v>
      </c>
      <c r="I6577" s="1399"/>
      <c r="J6577" s="1399">
        <v>86219.6</v>
      </c>
    </row>
    <row r="6578" spans="5:10" s="1297" customFormat="1">
      <c r="E6578" s="1297" t="s">
        <v>1046</v>
      </c>
      <c r="F6578" s="1399"/>
      <c r="G6578" s="1399"/>
      <c r="H6578" s="1399"/>
      <c r="I6578" s="1399">
        <v>7376719</v>
      </c>
      <c r="J6578" s="1399">
        <v>7376719</v>
      </c>
    </row>
    <row r="6579" spans="5:10" s="1297" customFormat="1">
      <c r="E6579" s="1297" t="s">
        <v>1047</v>
      </c>
      <c r="F6579" s="1399"/>
      <c r="G6579" s="1399"/>
      <c r="H6579" s="1399"/>
      <c r="I6579" s="1399">
        <v>70398</v>
      </c>
      <c r="J6579" s="1399">
        <v>70398</v>
      </c>
    </row>
    <row r="6580" spans="5:10" s="1297" customFormat="1">
      <c r="E6580" s="1297" t="s">
        <v>1048</v>
      </c>
      <c r="F6580" s="1399"/>
      <c r="G6580" s="1399"/>
      <c r="H6580" s="1399"/>
      <c r="I6580" s="1399">
        <v>-197652</v>
      </c>
      <c r="J6580" s="1399">
        <v>-197652</v>
      </c>
    </row>
    <row r="6581" spans="5:10" s="1297" customFormat="1">
      <c r="E6581" s="1297" t="s">
        <v>932</v>
      </c>
      <c r="F6581" s="1399"/>
      <c r="G6581" s="1399"/>
      <c r="H6581" s="1399"/>
      <c r="I6581" s="1399">
        <v>2747693</v>
      </c>
      <c r="J6581" s="1399">
        <v>2747693</v>
      </c>
    </row>
    <row r="6582" spans="5:10" s="1297" customFormat="1">
      <c r="E6582" s="1404" t="s">
        <v>955</v>
      </c>
      <c r="F6582" s="1405"/>
      <c r="G6582" s="1405"/>
      <c r="H6582" s="1405"/>
      <c r="I6582" s="1405">
        <v>337475.9</v>
      </c>
      <c r="J6582" s="1405">
        <v>337475.9</v>
      </c>
    </row>
    <row r="6583" spans="5:10" s="1297" customFormat="1">
      <c r="E6583" s="1297" t="s">
        <v>934</v>
      </c>
      <c r="F6583" s="1399"/>
      <c r="G6583" s="1399"/>
      <c r="H6583" s="1399"/>
      <c r="I6583" s="1399">
        <v>25768</v>
      </c>
      <c r="J6583" s="1399">
        <v>25768</v>
      </c>
    </row>
    <row r="6584" spans="5:10" s="1297" customFormat="1">
      <c r="E6584" s="1297" t="s">
        <v>935</v>
      </c>
      <c r="F6584" s="1399"/>
      <c r="G6584" s="1399"/>
      <c r="H6584" s="1399"/>
      <c r="I6584" s="1399">
        <v>358186.44</v>
      </c>
      <c r="J6584" s="1399">
        <v>358186.44</v>
      </c>
    </row>
    <row r="6585" spans="5:10" s="1297" customFormat="1">
      <c r="E6585" s="1297" t="s">
        <v>936</v>
      </c>
      <c r="F6585" s="1399"/>
      <c r="G6585" s="1399"/>
      <c r="H6585" s="1399"/>
      <c r="I6585" s="1399">
        <v>20308.73</v>
      </c>
      <c r="J6585" s="1399">
        <v>20308.73</v>
      </c>
    </row>
    <row r="6586" spans="5:10" s="1297" customFormat="1">
      <c r="E6586" s="1297" t="s">
        <v>937</v>
      </c>
      <c r="F6586" s="1399"/>
      <c r="G6586" s="1399"/>
      <c r="H6586" s="1399"/>
      <c r="I6586" s="1399">
        <v>10582.57</v>
      </c>
      <c r="J6586" s="1399">
        <v>10582.57</v>
      </c>
    </row>
    <row r="6587" spans="5:10" s="1297" customFormat="1">
      <c r="E6587" s="1297" t="s">
        <v>938</v>
      </c>
      <c r="F6587" s="1399"/>
      <c r="G6587" s="1399"/>
      <c r="H6587" s="1399"/>
      <c r="I6587" s="1399">
        <v>4866</v>
      </c>
      <c r="J6587" s="1399">
        <v>4866</v>
      </c>
    </row>
    <row r="6588" spans="5:10" s="1297" customFormat="1">
      <c r="E6588" s="1297" t="s">
        <v>939</v>
      </c>
      <c r="F6588" s="1399"/>
      <c r="G6588" s="1399"/>
      <c r="H6588" s="1399"/>
      <c r="I6588" s="1399">
        <v>935.2</v>
      </c>
      <c r="J6588" s="1399">
        <v>935.2</v>
      </c>
    </row>
    <row r="6589" spans="5:10" s="1297" customFormat="1">
      <c r="E6589" s="1297" t="s">
        <v>940</v>
      </c>
      <c r="F6589" s="1399">
        <v>495673.26</v>
      </c>
      <c r="G6589" s="1399"/>
      <c r="H6589" s="1399"/>
      <c r="I6589" s="1399"/>
      <c r="J6589" s="1399">
        <v>495673.26</v>
      </c>
    </row>
    <row r="6590" spans="5:10" s="1297" customFormat="1">
      <c r="E6590" s="1297" t="s">
        <v>941</v>
      </c>
      <c r="F6590" s="1399">
        <v>176408.02</v>
      </c>
      <c r="G6590" s="1399"/>
      <c r="H6590" s="1399"/>
      <c r="I6590" s="1399"/>
      <c r="J6590" s="1399">
        <v>176408.02</v>
      </c>
    </row>
    <row r="6591" spans="5:10" s="1297" customFormat="1">
      <c r="E6591" s="1297" t="s">
        <v>944</v>
      </c>
      <c r="F6591" s="1399">
        <v>1366348.9200000002</v>
      </c>
      <c r="G6591" s="1399"/>
      <c r="H6591" s="1399"/>
      <c r="I6591" s="1399"/>
      <c r="J6591" s="1399">
        <v>1366348.9200000002</v>
      </c>
    </row>
    <row r="6592" spans="5:10" s="1297" customFormat="1">
      <c r="E6592" s="1297" t="s">
        <v>945</v>
      </c>
      <c r="F6592" s="1399">
        <v>574891.91999999993</v>
      </c>
      <c r="G6592" s="1399"/>
      <c r="H6592" s="1399"/>
      <c r="I6592" s="1399"/>
      <c r="J6592" s="1399">
        <v>574891.91999999993</v>
      </c>
    </row>
    <row r="6593" spans="2:12">
      <c r="B6593" s="1297"/>
      <c r="C6593" s="1297"/>
      <c r="D6593" s="1297"/>
      <c r="E6593" s="1297" t="s">
        <v>1006</v>
      </c>
      <c r="F6593" s="1399">
        <v>10122.49</v>
      </c>
      <c r="J6593" s="1399">
        <v>10122.49</v>
      </c>
    </row>
    <row r="6594" spans="2:12">
      <c r="B6594" s="1297"/>
      <c r="C6594" s="1297"/>
      <c r="D6594" s="1297"/>
      <c r="E6594" s="1297" t="s">
        <v>947</v>
      </c>
      <c r="F6594" s="1399">
        <v>65326.26</v>
      </c>
      <c r="J6594" s="1399">
        <v>65326.26</v>
      </c>
    </row>
    <row r="6595" spans="2:12">
      <c r="B6595" s="1297"/>
      <c r="C6595" s="1297"/>
      <c r="D6595" s="1297"/>
      <c r="E6595" s="1404" t="s">
        <v>948</v>
      </c>
      <c r="F6595" s="1405"/>
      <c r="G6595" s="1405"/>
      <c r="H6595" s="1405">
        <v>406946.41000000009</v>
      </c>
      <c r="I6595" s="1405"/>
      <c r="J6595" s="1405">
        <v>406946.41000000009</v>
      </c>
    </row>
    <row r="6596" spans="2:12">
      <c r="B6596" s="1297"/>
      <c r="C6596" s="1297"/>
      <c r="D6596" s="1400" t="s">
        <v>1520</v>
      </c>
      <c r="E6596" s="1400"/>
      <c r="F6596" s="1401">
        <f>SUM(F6560:F6595)</f>
        <v>2708156.87</v>
      </c>
      <c r="G6596" s="1401">
        <f>SUM(G6560:G6595)</f>
        <v>1802421.69</v>
      </c>
      <c r="H6596" s="1401">
        <f>SUM(H6560:H6595)-H6595</f>
        <v>541036.10999999987</v>
      </c>
      <c r="I6596" s="1401">
        <f>SUM(I6560:I6595)-I6582</f>
        <v>10417804.939999999</v>
      </c>
      <c r="J6596" s="1401">
        <f>SUM(J6560:J6595)</f>
        <v>16213841.92</v>
      </c>
      <c r="K6596" s="1401">
        <f>SUM(F6596:I6596)</f>
        <v>15469419.609999999</v>
      </c>
      <c r="L6596" s="1408">
        <f>K6596/C6560</f>
        <v>10459.3776943881</v>
      </c>
    </row>
    <row r="6597" spans="2:12">
      <c r="B6597" s="1297" t="s">
        <v>1521</v>
      </c>
      <c r="C6597" s="1297">
        <v>5601</v>
      </c>
      <c r="D6597" s="1297" t="s">
        <v>1522</v>
      </c>
      <c r="E6597" s="1297" t="s">
        <v>907</v>
      </c>
      <c r="G6597" s="1399">
        <v>4995937.03</v>
      </c>
      <c r="J6597" s="1399">
        <v>4995937.03</v>
      </c>
    </row>
    <row r="6598" spans="2:12">
      <c r="B6598" s="1297"/>
      <c r="C6598" s="1297"/>
      <c r="D6598" s="1297"/>
      <c r="E6598" s="1297" t="s">
        <v>1145</v>
      </c>
      <c r="G6598" s="1399">
        <v>17438888.210000001</v>
      </c>
      <c r="J6598" s="1399">
        <v>17438888.210000001</v>
      </c>
    </row>
    <row r="6599" spans="2:12">
      <c r="B6599" s="1297"/>
      <c r="C6599" s="1297"/>
      <c r="D6599" s="1297"/>
      <c r="E6599" s="1297" t="s">
        <v>1035</v>
      </c>
      <c r="H6599" s="1399">
        <v>521922.41</v>
      </c>
      <c r="J6599" s="1399">
        <v>521922.41</v>
      </c>
    </row>
    <row r="6600" spans="2:12">
      <c r="B6600" s="1297"/>
      <c r="C6600" s="1297"/>
      <c r="D6600" s="1297"/>
      <c r="E6600" s="1297" t="s">
        <v>1036</v>
      </c>
      <c r="H6600" s="1399">
        <v>591247.35</v>
      </c>
      <c r="J6600" s="1399">
        <v>591247.35</v>
      </c>
    </row>
    <row r="6601" spans="2:12">
      <c r="B6601" s="1297"/>
      <c r="C6601" s="1297"/>
      <c r="D6601" s="1297"/>
      <c r="E6601" s="1297" t="s">
        <v>1037</v>
      </c>
      <c r="H6601" s="1399">
        <v>85548</v>
      </c>
      <c r="J6601" s="1399">
        <v>85548</v>
      </c>
    </row>
    <row r="6602" spans="2:12">
      <c r="B6602" s="1297"/>
      <c r="C6602" s="1297"/>
      <c r="D6602" s="1297"/>
      <c r="E6602" s="1297" t="s">
        <v>1038</v>
      </c>
      <c r="H6602" s="1399">
        <v>0</v>
      </c>
      <c r="J6602" s="1399">
        <v>0</v>
      </c>
    </row>
    <row r="6603" spans="2:12">
      <c r="B6603" s="1297"/>
      <c r="C6603" s="1297"/>
      <c r="D6603" s="1297"/>
      <c r="E6603" s="1297" t="s">
        <v>1039</v>
      </c>
      <c r="H6603" s="1399">
        <v>147947.93</v>
      </c>
      <c r="J6603" s="1399">
        <v>147947.93</v>
      </c>
    </row>
    <row r="6604" spans="2:12">
      <c r="B6604" s="1297"/>
      <c r="C6604" s="1297"/>
      <c r="D6604" s="1297"/>
      <c r="E6604" s="1297" t="s">
        <v>1040</v>
      </c>
      <c r="H6604" s="1399">
        <v>231575.72999999998</v>
      </c>
      <c r="J6604" s="1399">
        <v>231575.72999999998</v>
      </c>
    </row>
    <row r="6605" spans="2:12">
      <c r="B6605" s="1297"/>
      <c r="C6605" s="1297"/>
      <c r="D6605" s="1297"/>
      <c r="E6605" s="1297" t="s">
        <v>1127</v>
      </c>
      <c r="H6605" s="1399">
        <v>5618.5999999999995</v>
      </c>
      <c r="J6605" s="1399">
        <v>5618.5999999999995</v>
      </c>
    </row>
    <row r="6606" spans="2:12">
      <c r="B6606" s="1297"/>
      <c r="C6606" s="1297"/>
      <c r="D6606" s="1297"/>
      <c r="E6606" s="1297" t="s">
        <v>1041</v>
      </c>
      <c r="H6606" s="1399">
        <v>8535.9</v>
      </c>
      <c r="J6606" s="1399">
        <v>8535.9</v>
      </c>
    </row>
    <row r="6607" spans="2:12">
      <c r="B6607" s="1297"/>
      <c r="C6607" s="1297"/>
      <c r="D6607" s="1297"/>
      <c r="E6607" s="1297" t="s">
        <v>1042</v>
      </c>
      <c r="H6607" s="1399">
        <v>74965.539999999994</v>
      </c>
      <c r="J6607" s="1399">
        <v>74965.539999999994</v>
      </c>
    </row>
    <row r="6608" spans="2:12">
      <c r="B6608" s="1297"/>
      <c r="C6608" s="1297"/>
      <c r="D6608" s="1297"/>
      <c r="E6608" s="1297" t="s">
        <v>986</v>
      </c>
      <c r="H6608" s="1399">
        <v>206326.87</v>
      </c>
      <c r="J6608" s="1399">
        <v>206326.87</v>
      </c>
    </row>
    <row r="6609" spans="5:10" s="1297" customFormat="1">
      <c r="E6609" s="1297" t="s">
        <v>996</v>
      </c>
      <c r="F6609" s="1399"/>
      <c r="G6609" s="1399"/>
      <c r="H6609" s="1399">
        <v>0</v>
      </c>
      <c r="I6609" s="1399"/>
      <c r="J6609" s="1399">
        <v>0</v>
      </c>
    </row>
    <row r="6610" spans="5:10" s="1297" customFormat="1">
      <c r="E6610" s="1297" t="s">
        <v>1044</v>
      </c>
      <c r="F6610" s="1399">
        <v>198324.75</v>
      </c>
      <c r="G6610" s="1399"/>
      <c r="H6610" s="1399"/>
      <c r="I6610" s="1399"/>
      <c r="J6610" s="1399">
        <v>198324.75</v>
      </c>
    </row>
    <row r="6611" spans="5:10" s="1297" customFormat="1">
      <c r="E6611" s="1297" t="s">
        <v>1045</v>
      </c>
      <c r="F6611" s="1399"/>
      <c r="G6611" s="1399"/>
      <c r="H6611" s="1399">
        <v>664679.76</v>
      </c>
      <c r="I6611" s="1399"/>
      <c r="J6611" s="1399">
        <v>664679.76</v>
      </c>
    </row>
    <row r="6612" spans="5:10" s="1297" customFormat="1">
      <c r="E6612" s="1297" t="s">
        <v>1046</v>
      </c>
      <c r="F6612" s="1399"/>
      <c r="G6612" s="1399"/>
      <c r="H6612" s="1399"/>
      <c r="I6612" s="1399">
        <v>27983900</v>
      </c>
      <c r="J6612" s="1399">
        <v>27983900</v>
      </c>
    </row>
    <row r="6613" spans="5:10" s="1297" customFormat="1">
      <c r="E6613" s="1297" t="s">
        <v>1047</v>
      </c>
      <c r="F6613" s="1399"/>
      <c r="G6613" s="1399"/>
      <c r="H6613" s="1399"/>
      <c r="I6613" s="1399">
        <v>355240</v>
      </c>
      <c r="J6613" s="1399">
        <v>355240</v>
      </c>
    </row>
    <row r="6614" spans="5:10" s="1297" customFormat="1">
      <c r="E6614" s="1297" t="s">
        <v>1048</v>
      </c>
      <c r="F6614" s="1399"/>
      <c r="G6614" s="1399"/>
      <c r="H6614" s="1399"/>
      <c r="I6614" s="1399">
        <v>-4953813</v>
      </c>
      <c r="J6614" s="1399">
        <v>-4953813</v>
      </c>
    </row>
    <row r="6615" spans="5:10" s="1297" customFormat="1">
      <c r="E6615" s="1297" t="s">
        <v>932</v>
      </c>
      <c r="F6615" s="1399"/>
      <c r="G6615" s="1399"/>
      <c r="H6615" s="1399"/>
      <c r="I6615" s="1399">
        <v>1461005</v>
      </c>
      <c r="J6615" s="1399">
        <v>1461005</v>
      </c>
    </row>
    <row r="6616" spans="5:10" s="1297" customFormat="1">
      <c r="E6616" s="1404" t="s">
        <v>955</v>
      </c>
      <c r="F6616" s="1405"/>
      <c r="G6616" s="1405"/>
      <c r="H6616" s="1405"/>
      <c r="I6616" s="1405">
        <v>632210.15</v>
      </c>
      <c r="J6616" s="1405">
        <v>632210.15</v>
      </c>
    </row>
    <row r="6617" spans="5:10" s="1297" customFormat="1">
      <c r="E6617" s="1297" t="s">
        <v>934</v>
      </c>
      <c r="F6617" s="1399"/>
      <c r="G6617" s="1399"/>
      <c r="H6617" s="1399"/>
      <c r="I6617" s="1399">
        <v>110702</v>
      </c>
      <c r="J6617" s="1399">
        <v>110702</v>
      </c>
    </row>
    <row r="6618" spans="5:10" s="1297" customFormat="1">
      <c r="E6618" s="1297" t="s">
        <v>935</v>
      </c>
      <c r="F6618" s="1399"/>
      <c r="G6618" s="1399"/>
      <c r="H6618" s="1399"/>
      <c r="I6618" s="1399">
        <v>478867.27</v>
      </c>
      <c r="J6618" s="1399">
        <v>478867.27</v>
      </c>
    </row>
    <row r="6619" spans="5:10" s="1297" customFormat="1">
      <c r="E6619" s="1297" t="s">
        <v>936</v>
      </c>
      <c r="F6619" s="1399"/>
      <c r="G6619" s="1399"/>
      <c r="H6619" s="1399"/>
      <c r="I6619" s="1399">
        <v>59525.59</v>
      </c>
      <c r="J6619" s="1399">
        <v>59525.59</v>
      </c>
    </row>
    <row r="6620" spans="5:10" s="1297" customFormat="1">
      <c r="E6620" s="1297" t="s">
        <v>937</v>
      </c>
      <c r="F6620" s="1399"/>
      <c r="G6620" s="1399"/>
      <c r="H6620" s="1399"/>
      <c r="I6620" s="1399">
        <v>32480.560000000001</v>
      </c>
      <c r="J6620" s="1399">
        <v>32480.560000000001</v>
      </c>
    </row>
    <row r="6621" spans="5:10" s="1297" customFormat="1">
      <c r="E6621" s="1297" t="s">
        <v>938</v>
      </c>
      <c r="F6621" s="1399"/>
      <c r="G6621" s="1399"/>
      <c r="H6621" s="1399"/>
      <c r="I6621" s="1399">
        <v>17031</v>
      </c>
      <c r="J6621" s="1399">
        <v>17031</v>
      </c>
    </row>
    <row r="6622" spans="5:10" s="1297" customFormat="1">
      <c r="E6622" s="1297" t="s">
        <v>940</v>
      </c>
      <c r="F6622" s="1399">
        <v>1935946.8200000003</v>
      </c>
      <c r="G6622" s="1399"/>
      <c r="H6622" s="1399"/>
      <c r="I6622" s="1399"/>
      <c r="J6622" s="1399">
        <v>1935946.8200000003</v>
      </c>
    </row>
    <row r="6623" spans="5:10" s="1297" customFormat="1">
      <c r="E6623" s="1297" t="s">
        <v>941</v>
      </c>
      <c r="F6623" s="1399">
        <v>869952.55999999994</v>
      </c>
      <c r="G6623" s="1399"/>
      <c r="H6623" s="1399"/>
      <c r="I6623" s="1399"/>
      <c r="J6623" s="1399">
        <v>869952.55999999994</v>
      </c>
    </row>
    <row r="6624" spans="5:10" s="1297" customFormat="1">
      <c r="E6624" s="1297" t="s">
        <v>943</v>
      </c>
      <c r="F6624" s="1399">
        <v>36150.94</v>
      </c>
      <c r="G6624" s="1399"/>
      <c r="H6624" s="1399"/>
      <c r="I6624" s="1399"/>
      <c r="J6624" s="1399">
        <v>36150.94</v>
      </c>
    </row>
    <row r="6625" spans="2:12">
      <c r="B6625" s="1297"/>
      <c r="C6625" s="1297"/>
      <c r="D6625" s="1297"/>
      <c r="E6625" s="1297" t="s">
        <v>944</v>
      </c>
      <c r="F6625" s="1399">
        <v>4556808.830000001</v>
      </c>
      <c r="J6625" s="1399">
        <v>4556808.830000001</v>
      </c>
    </row>
    <row r="6626" spans="2:12">
      <c r="B6626" s="1297"/>
      <c r="C6626" s="1297"/>
      <c r="D6626" s="1297"/>
      <c r="E6626" s="1297" t="s">
        <v>945</v>
      </c>
      <c r="F6626" s="1399">
        <v>1537258.55</v>
      </c>
      <c r="J6626" s="1399">
        <v>1537258.55</v>
      </c>
    </row>
    <row r="6627" spans="2:12">
      <c r="B6627" s="1297"/>
      <c r="C6627" s="1297"/>
      <c r="D6627" s="1297"/>
      <c r="E6627" s="1297" t="s">
        <v>946</v>
      </c>
      <c r="F6627" s="1399">
        <v>31414.57</v>
      </c>
      <c r="J6627" s="1399">
        <v>31414.57</v>
      </c>
    </row>
    <row r="6628" spans="2:12">
      <c r="B6628" s="1297"/>
      <c r="C6628" s="1297"/>
      <c r="D6628" s="1297"/>
      <c r="E6628" s="1297" t="s">
        <v>947</v>
      </c>
      <c r="F6628" s="1399">
        <v>195512.43</v>
      </c>
      <c r="J6628" s="1399">
        <v>195512.43</v>
      </c>
    </row>
    <row r="6629" spans="2:12">
      <c r="B6629" s="1297"/>
      <c r="C6629" s="1297"/>
      <c r="D6629" s="1297"/>
      <c r="E6629" s="1404" t="s">
        <v>948</v>
      </c>
      <c r="F6629" s="1405"/>
      <c r="G6629" s="1405"/>
      <c r="H6629" s="1405">
        <v>6055972.1299999999</v>
      </c>
      <c r="I6629" s="1405"/>
      <c r="J6629" s="1405">
        <v>6055972.1299999999</v>
      </c>
    </row>
    <row r="6630" spans="2:12">
      <c r="B6630" s="1297"/>
      <c r="C6630" s="1297"/>
      <c r="D6630" s="1297"/>
      <c r="E6630" s="1297" t="s">
        <v>956</v>
      </c>
      <c r="H6630" s="1399">
        <v>1219.97</v>
      </c>
      <c r="J6630" s="1399">
        <v>1219.97</v>
      </c>
    </row>
    <row r="6631" spans="2:12">
      <c r="B6631" s="1297"/>
      <c r="C6631" s="1297"/>
      <c r="D6631" s="1400" t="s">
        <v>1523</v>
      </c>
      <c r="E6631" s="1400"/>
      <c r="F6631" s="1401">
        <f>SUM(F6597:F6630)</f>
        <v>9361369.4500000011</v>
      </c>
      <c r="G6631" s="1401">
        <f>SUM(G6597:G6630)</f>
        <v>22434825.240000002</v>
      </c>
      <c r="H6631" s="1401">
        <f>SUM(H6597:H6630)-H6629</f>
        <v>2539588.0599999996</v>
      </c>
      <c r="I6631" s="1401">
        <f>SUM(I6597:I6630)-I6616</f>
        <v>25544938.419999998</v>
      </c>
      <c r="J6631" s="1401">
        <f>SUM(J6597:J6630)</f>
        <v>66568903.45000001</v>
      </c>
      <c r="K6631" s="1401">
        <f>SUM(F6631:I6631)</f>
        <v>59880721.170000002</v>
      </c>
      <c r="L6631" s="1408">
        <f>K6631/C6597</f>
        <v>10691.076802356722</v>
      </c>
    </row>
    <row r="6632" spans="2:12">
      <c r="B6632" s="1297" t="s">
        <v>1524</v>
      </c>
      <c r="C6632" s="1297">
        <v>1729</v>
      </c>
      <c r="D6632" s="1297" t="s">
        <v>1525</v>
      </c>
      <c r="E6632" s="1297" t="s">
        <v>907</v>
      </c>
      <c r="G6632" s="1399">
        <v>1147484.81</v>
      </c>
      <c r="J6632" s="1399">
        <v>1147484.81</v>
      </c>
    </row>
    <row r="6633" spans="2:12">
      <c r="B6633" s="1297"/>
      <c r="C6633" s="1297"/>
      <c r="D6633" s="1297"/>
      <c r="E6633" s="1297" t="s">
        <v>1145</v>
      </c>
      <c r="G6633" s="1399">
        <v>2388828.89</v>
      </c>
      <c r="J6633" s="1399">
        <v>2388828.89</v>
      </c>
    </row>
    <row r="6634" spans="2:12">
      <c r="B6634" s="1297"/>
      <c r="C6634" s="1297"/>
      <c r="D6634" s="1297"/>
      <c r="E6634" s="1297" t="s">
        <v>1034</v>
      </c>
      <c r="H6634" s="1399">
        <v>13726.14</v>
      </c>
      <c r="J6634" s="1399">
        <v>13726.14</v>
      </c>
    </row>
    <row r="6635" spans="2:12">
      <c r="B6635" s="1297"/>
      <c r="C6635" s="1297"/>
      <c r="D6635" s="1297"/>
      <c r="E6635" s="1297" t="s">
        <v>1035</v>
      </c>
      <c r="H6635" s="1399">
        <v>282379.23</v>
      </c>
      <c r="J6635" s="1399">
        <v>282379.23</v>
      </c>
    </row>
    <row r="6636" spans="2:12">
      <c r="B6636" s="1297"/>
      <c r="C6636" s="1297"/>
      <c r="D6636" s="1297"/>
      <c r="E6636" s="1297" t="s">
        <v>1036</v>
      </c>
      <c r="H6636" s="1399">
        <v>57753.67</v>
      </c>
      <c r="J6636" s="1399">
        <v>57753.67</v>
      </c>
    </row>
    <row r="6637" spans="2:12">
      <c r="B6637" s="1297"/>
      <c r="C6637" s="1297"/>
      <c r="D6637" s="1297"/>
      <c r="E6637" s="1297" t="s">
        <v>1037</v>
      </c>
      <c r="H6637" s="1399">
        <v>1797324.65</v>
      </c>
      <c r="J6637" s="1399">
        <v>1797324.65</v>
      </c>
    </row>
    <row r="6638" spans="2:12">
      <c r="B6638" s="1297"/>
      <c r="C6638" s="1297"/>
      <c r="D6638" s="1297"/>
      <c r="E6638" s="1297" t="s">
        <v>1105</v>
      </c>
      <c r="H6638" s="1399">
        <v>98818.58</v>
      </c>
      <c r="J6638" s="1399">
        <v>98818.58</v>
      </c>
    </row>
    <row r="6639" spans="2:12">
      <c r="B6639" s="1297"/>
      <c r="C6639" s="1297"/>
      <c r="D6639" s="1297"/>
      <c r="E6639" s="1297" t="s">
        <v>1039</v>
      </c>
      <c r="H6639" s="1399">
        <v>81019.87999999999</v>
      </c>
      <c r="J6639" s="1399">
        <v>81019.87999999999</v>
      </c>
    </row>
    <row r="6640" spans="2:12">
      <c r="B6640" s="1297"/>
      <c r="C6640" s="1297"/>
      <c r="D6640" s="1297"/>
      <c r="E6640" s="1297" t="s">
        <v>1040</v>
      </c>
      <c r="H6640" s="1399">
        <v>171956.53</v>
      </c>
      <c r="J6640" s="1399">
        <v>171956.53</v>
      </c>
    </row>
    <row r="6641" spans="5:10" s="1297" customFormat="1">
      <c r="E6641" s="1297" t="s">
        <v>1041</v>
      </c>
      <c r="F6641" s="1399"/>
      <c r="G6641" s="1399"/>
      <c r="H6641" s="1399">
        <v>5460.16</v>
      </c>
      <c r="I6641" s="1399"/>
      <c r="J6641" s="1399">
        <v>5460.16</v>
      </c>
    </row>
    <row r="6642" spans="5:10" s="1297" customFormat="1">
      <c r="E6642" s="1297" t="s">
        <v>1042</v>
      </c>
      <c r="F6642" s="1399"/>
      <c r="G6642" s="1399"/>
      <c r="H6642" s="1399">
        <v>28181.45</v>
      </c>
      <c r="I6642" s="1399"/>
      <c r="J6642" s="1399">
        <v>28181.45</v>
      </c>
    </row>
    <row r="6643" spans="5:10" s="1297" customFormat="1">
      <c r="E6643" s="1297" t="s">
        <v>953</v>
      </c>
      <c r="F6643" s="1399"/>
      <c r="G6643" s="1399"/>
      <c r="H6643" s="1399">
        <v>18713.150000000001</v>
      </c>
      <c r="I6643" s="1399"/>
      <c r="J6643" s="1399">
        <v>18713.150000000001</v>
      </c>
    </row>
    <row r="6644" spans="5:10" s="1297" customFormat="1">
      <c r="E6644" s="1297" t="s">
        <v>1043</v>
      </c>
      <c r="F6644" s="1399"/>
      <c r="G6644" s="1399"/>
      <c r="H6644" s="1399">
        <v>2317</v>
      </c>
      <c r="I6644" s="1399"/>
      <c r="J6644" s="1399">
        <v>2317</v>
      </c>
    </row>
    <row r="6645" spans="5:10" s="1297" customFormat="1">
      <c r="E6645" s="1297" t="s">
        <v>1203</v>
      </c>
      <c r="F6645" s="1399"/>
      <c r="G6645" s="1399"/>
      <c r="H6645" s="1399">
        <v>2900</v>
      </c>
      <c r="I6645" s="1399"/>
      <c r="J6645" s="1399">
        <v>2900</v>
      </c>
    </row>
    <row r="6646" spans="5:10" s="1297" customFormat="1">
      <c r="E6646" s="1297" t="s">
        <v>1045</v>
      </c>
      <c r="F6646" s="1399"/>
      <c r="G6646" s="1399"/>
      <c r="H6646" s="1399">
        <v>131654.66</v>
      </c>
      <c r="I6646" s="1399"/>
      <c r="J6646" s="1399">
        <v>131654.66</v>
      </c>
    </row>
    <row r="6647" spans="5:10" s="1297" customFormat="1">
      <c r="E6647" s="1297" t="s">
        <v>1046</v>
      </c>
      <c r="F6647" s="1399"/>
      <c r="G6647" s="1399"/>
      <c r="H6647" s="1399"/>
      <c r="I6647" s="1399">
        <v>8378341</v>
      </c>
      <c r="J6647" s="1399">
        <v>8378341</v>
      </c>
    </row>
    <row r="6648" spans="5:10" s="1297" customFormat="1">
      <c r="E6648" s="1297" t="s">
        <v>1047</v>
      </c>
      <c r="F6648" s="1399"/>
      <c r="G6648" s="1399"/>
      <c r="H6648" s="1399"/>
      <c r="I6648" s="1399">
        <v>170610</v>
      </c>
      <c r="J6648" s="1399">
        <v>170610</v>
      </c>
    </row>
    <row r="6649" spans="5:10" s="1297" customFormat="1">
      <c r="E6649" s="1297" t="s">
        <v>1048</v>
      </c>
      <c r="F6649" s="1399"/>
      <c r="G6649" s="1399"/>
      <c r="H6649" s="1399"/>
      <c r="I6649" s="1399">
        <v>-775645</v>
      </c>
      <c r="J6649" s="1399">
        <v>-775645</v>
      </c>
    </row>
    <row r="6650" spans="5:10" s="1297" customFormat="1">
      <c r="E6650" s="1297" t="s">
        <v>932</v>
      </c>
      <c r="F6650" s="1399"/>
      <c r="G6650" s="1399"/>
      <c r="H6650" s="1399"/>
      <c r="I6650" s="1399">
        <v>1159320</v>
      </c>
      <c r="J6650" s="1399">
        <v>1159320</v>
      </c>
    </row>
    <row r="6651" spans="5:10" s="1297" customFormat="1">
      <c r="E6651" s="1404" t="s">
        <v>955</v>
      </c>
      <c r="F6651" s="1405"/>
      <c r="G6651" s="1405"/>
      <c r="H6651" s="1405"/>
      <c r="I6651" s="1405">
        <v>452429.07</v>
      </c>
      <c r="J6651" s="1405">
        <v>452429.07</v>
      </c>
    </row>
    <row r="6652" spans="5:10" s="1297" customFormat="1">
      <c r="E6652" s="1297" t="s">
        <v>934</v>
      </c>
      <c r="F6652" s="1399"/>
      <c r="G6652" s="1399"/>
      <c r="H6652" s="1399"/>
      <c r="I6652" s="1399">
        <v>27560</v>
      </c>
      <c r="J6652" s="1399">
        <v>27560</v>
      </c>
    </row>
    <row r="6653" spans="5:10" s="1297" customFormat="1">
      <c r="E6653" s="1297" t="s">
        <v>935</v>
      </c>
      <c r="F6653" s="1399"/>
      <c r="G6653" s="1399"/>
      <c r="H6653" s="1399"/>
      <c r="I6653" s="1399">
        <v>125571.38</v>
      </c>
      <c r="J6653" s="1399">
        <v>125571.38</v>
      </c>
    </row>
    <row r="6654" spans="5:10" s="1297" customFormat="1">
      <c r="E6654" s="1297" t="s">
        <v>936</v>
      </c>
      <c r="F6654" s="1399"/>
      <c r="G6654" s="1399"/>
      <c r="H6654" s="1399"/>
      <c r="I6654" s="1399">
        <v>21359.18</v>
      </c>
      <c r="J6654" s="1399">
        <v>21359.18</v>
      </c>
    </row>
    <row r="6655" spans="5:10" s="1297" customFormat="1">
      <c r="E6655" s="1297" t="s">
        <v>937</v>
      </c>
      <c r="F6655" s="1399"/>
      <c r="G6655" s="1399"/>
      <c r="H6655" s="1399"/>
      <c r="I6655" s="1399">
        <v>6499.47</v>
      </c>
      <c r="J6655" s="1399">
        <v>6499.47</v>
      </c>
    </row>
    <row r="6656" spans="5:10" s="1297" customFormat="1">
      <c r="E6656" s="1297" t="s">
        <v>938</v>
      </c>
      <c r="F6656" s="1399"/>
      <c r="G6656" s="1399"/>
      <c r="H6656" s="1399"/>
      <c r="I6656" s="1399">
        <v>8048</v>
      </c>
      <c r="J6656" s="1399">
        <v>8048</v>
      </c>
    </row>
    <row r="6657" spans="2:12">
      <c r="B6657" s="1297"/>
      <c r="C6657" s="1297"/>
      <c r="D6657" s="1297"/>
      <c r="E6657" s="1297" t="s">
        <v>939</v>
      </c>
      <c r="I6657" s="1399">
        <v>56226.84</v>
      </c>
      <c r="J6657" s="1399">
        <v>56226.84</v>
      </c>
    </row>
    <row r="6658" spans="2:12">
      <c r="B6658" s="1297"/>
      <c r="C6658" s="1297"/>
      <c r="D6658" s="1297"/>
      <c r="E6658" s="1297" t="s">
        <v>1131</v>
      </c>
      <c r="F6658" s="1399">
        <v>56236.800000000003</v>
      </c>
      <c r="J6658" s="1399">
        <v>56236.800000000003</v>
      </c>
    </row>
    <row r="6659" spans="2:12">
      <c r="B6659" s="1297"/>
      <c r="C6659" s="1297"/>
      <c r="D6659" s="1297"/>
      <c r="E6659" s="1297" t="s">
        <v>940</v>
      </c>
      <c r="F6659" s="1399">
        <v>374946.51</v>
      </c>
      <c r="J6659" s="1399">
        <v>374946.51</v>
      </c>
    </row>
    <row r="6660" spans="2:12">
      <c r="B6660" s="1297"/>
      <c r="C6660" s="1297"/>
      <c r="D6660" s="1297"/>
      <c r="E6660" s="1297" t="s">
        <v>941</v>
      </c>
      <c r="F6660" s="1399">
        <v>131615.56</v>
      </c>
      <c r="J6660" s="1399">
        <v>131615.56</v>
      </c>
    </row>
    <row r="6661" spans="2:12">
      <c r="B6661" s="1297"/>
      <c r="C6661" s="1297"/>
      <c r="D6661" s="1297"/>
      <c r="E6661" s="1297" t="s">
        <v>943</v>
      </c>
      <c r="F6661" s="1399">
        <v>9866.42</v>
      </c>
      <c r="J6661" s="1399">
        <v>9866.42</v>
      </c>
    </row>
    <row r="6662" spans="2:12">
      <c r="B6662" s="1297"/>
      <c r="C6662" s="1297"/>
      <c r="D6662" s="1297"/>
      <c r="E6662" s="1297" t="s">
        <v>944</v>
      </c>
      <c r="F6662" s="1399">
        <v>726818.03000000014</v>
      </c>
      <c r="J6662" s="1399">
        <v>726818.03000000014</v>
      </c>
    </row>
    <row r="6663" spans="2:12">
      <c r="B6663" s="1297"/>
      <c r="C6663" s="1297"/>
      <c r="D6663" s="1297"/>
      <c r="E6663" s="1297" t="s">
        <v>945</v>
      </c>
      <c r="F6663" s="1399">
        <v>1523352.26</v>
      </c>
      <c r="J6663" s="1399">
        <v>1523352.26</v>
      </c>
    </row>
    <row r="6664" spans="2:12">
      <c r="B6664" s="1297"/>
      <c r="C6664" s="1297"/>
      <c r="D6664" s="1297"/>
      <c r="E6664" s="1297" t="s">
        <v>947</v>
      </c>
      <c r="F6664" s="1399">
        <v>35248.85</v>
      </c>
      <c r="J6664" s="1399">
        <v>35248.85</v>
      </c>
    </row>
    <row r="6665" spans="2:12">
      <c r="B6665" s="1297"/>
      <c r="C6665" s="1297"/>
      <c r="D6665" s="1297"/>
      <c r="E6665" s="1404" t="s">
        <v>948</v>
      </c>
      <c r="F6665" s="1405"/>
      <c r="G6665" s="1405"/>
      <c r="H6665" s="1405">
        <v>32046.92</v>
      </c>
      <c r="I6665" s="1405"/>
      <c r="J6665" s="1405">
        <v>32046.92</v>
      </c>
    </row>
    <row r="6666" spans="2:12">
      <c r="B6666" s="1297"/>
      <c r="C6666" s="1297"/>
      <c r="D6666" s="1297"/>
      <c r="E6666" s="1297" t="s">
        <v>956</v>
      </c>
      <c r="H6666" s="1399">
        <v>2758.88</v>
      </c>
      <c r="J6666" s="1399">
        <v>2758.88</v>
      </c>
    </row>
    <row r="6667" spans="2:12">
      <c r="B6667" s="1297"/>
      <c r="C6667" s="1297"/>
      <c r="D6667" s="1400" t="s">
        <v>1526</v>
      </c>
      <c r="E6667" s="1400"/>
      <c r="F6667" s="1401">
        <f>SUM(F6632:F6666)</f>
        <v>2858084.43</v>
      </c>
      <c r="G6667" s="1401">
        <f>SUM(G6632:G6666)</f>
        <v>3536313.7</v>
      </c>
      <c r="H6667" s="1401">
        <f>SUM(H6632:H6666)-H6665</f>
        <v>2694963.98</v>
      </c>
      <c r="I6667" s="1401">
        <f>SUM(I6632:I6666)-I6651</f>
        <v>9177890.870000001</v>
      </c>
      <c r="J6667" s="1401">
        <f>SUM(J6632:J6666)</f>
        <v>18751728.970000006</v>
      </c>
      <c r="K6667" s="1401">
        <f>SUM(F6667:I6667)</f>
        <v>18267252.980000004</v>
      </c>
      <c r="L6667" s="1408">
        <f>K6667/C6632</f>
        <v>10565.21282822441</v>
      </c>
    </row>
    <row r="6668" spans="2:12">
      <c r="B6668" s="1297" t="s">
        <v>1527</v>
      </c>
      <c r="C6668" s="1297">
        <v>3070</v>
      </c>
      <c r="D6668" s="1297" t="s">
        <v>1528</v>
      </c>
      <c r="E6668" s="1297" t="s">
        <v>952</v>
      </c>
      <c r="G6668" s="1399">
        <v>111642.55</v>
      </c>
      <c r="J6668" s="1399">
        <v>111642.55</v>
      </c>
    </row>
    <row r="6669" spans="2:12">
      <c r="B6669" s="1297"/>
      <c r="C6669" s="1297"/>
      <c r="D6669" s="1297"/>
      <c r="E6669" s="1297" t="s">
        <v>907</v>
      </c>
      <c r="G6669" s="1399">
        <v>2225328.33</v>
      </c>
      <c r="J6669" s="1399">
        <v>2225328.33</v>
      </c>
    </row>
    <row r="6670" spans="2:12">
      <c r="B6670" s="1297"/>
      <c r="C6670" s="1297"/>
      <c r="D6670" s="1297"/>
      <c r="E6670" s="1297" t="s">
        <v>1145</v>
      </c>
      <c r="G6670" s="1399">
        <v>11211312.810000001</v>
      </c>
      <c r="J6670" s="1399">
        <v>11211312.810000001</v>
      </c>
    </row>
    <row r="6671" spans="2:12">
      <c r="B6671" s="1297"/>
      <c r="C6671" s="1297"/>
      <c r="D6671" s="1297"/>
      <c r="E6671" s="1297" t="s">
        <v>908</v>
      </c>
      <c r="G6671" s="1399">
        <v>15867.94</v>
      </c>
      <c r="J6671" s="1399">
        <v>15867.94</v>
      </c>
    </row>
    <row r="6672" spans="2:12">
      <c r="B6672" s="1297"/>
      <c r="C6672" s="1297"/>
      <c r="D6672" s="1297"/>
      <c r="E6672" s="1297" t="s">
        <v>909</v>
      </c>
      <c r="H6672" s="1399">
        <v>478.97</v>
      </c>
      <c r="J6672" s="1399">
        <v>478.97</v>
      </c>
    </row>
    <row r="6673" spans="5:10" s="1297" customFormat="1">
      <c r="E6673" s="1297" t="s">
        <v>910</v>
      </c>
      <c r="F6673" s="1399"/>
      <c r="G6673" s="1399"/>
      <c r="H6673" s="1399">
        <v>213750.62</v>
      </c>
      <c r="I6673" s="1399"/>
      <c r="J6673" s="1399">
        <v>213750.62</v>
      </c>
    </row>
    <row r="6674" spans="5:10" s="1297" customFormat="1">
      <c r="E6674" s="1297" t="s">
        <v>1034</v>
      </c>
      <c r="F6674" s="1399"/>
      <c r="G6674" s="1399"/>
      <c r="H6674" s="1399">
        <v>9953.86</v>
      </c>
      <c r="I6674" s="1399"/>
      <c r="J6674" s="1399">
        <v>9953.86</v>
      </c>
    </row>
    <row r="6675" spans="5:10" s="1297" customFormat="1">
      <c r="E6675" s="1297" t="s">
        <v>1035</v>
      </c>
      <c r="F6675" s="1399"/>
      <c r="G6675" s="1399"/>
      <c r="H6675" s="1399">
        <v>133263.76999999999</v>
      </c>
      <c r="I6675" s="1399"/>
      <c r="J6675" s="1399">
        <v>133263.76999999999</v>
      </c>
    </row>
    <row r="6676" spans="5:10" s="1297" customFormat="1">
      <c r="E6676" s="1297" t="s">
        <v>1036</v>
      </c>
      <c r="F6676" s="1399"/>
      <c r="G6676" s="1399"/>
      <c r="H6676" s="1399">
        <v>191595.94</v>
      </c>
      <c r="I6676" s="1399"/>
      <c r="J6676" s="1399">
        <v>191595.94</v>
      </c>
    </row>
    <row r="6677" spans="5:10" s="1297" customFormat="1">
      <c r="E6677" s="1297" t="s">
        <v>1039</v>
      </c>
      <c r="F6677" s="1399"/>
      <c r="G6677" s="1399"/>
      <c r="H6677" s="1399">
        <v>124688.79000000001</v>
      </c>
      <c r="I6677" s="1399"/>
      <c r="J6677" s="1399">
        <v>124688.79000000001</v>
      </c>
    </row>
    <row r="6678" spans="5:10" s="1297" customFormat="1">
      <c r="E6678" s="1297" t="s">
        <v>1040</v>
      </c>
      <c r="F6678" s="1399"/>
      <c r="G6678" s="1399"/>
      <c r="H6678" s="1399">
        <v>102150.15</v>
      </c>
      <c r="I6678" s="1399"/>
      <c r="J6678" s="1399">
        <v>102150.15</v>
      </c>
    </row>
    <row r="6679" spans="5:10" s="1297" customFormat="1">
      <c r="E6679" s="1297" t="s">
        <v>1127</v>
      </c>
      <c r="F6679" s="1399"/>
      <c r="G6679" s="1399"/>
      <c r="H6679" s="1399">
        <v>15747.6</v>
      </c>
      <c r="I6679" s="1399"/>
      <c r="J6679" s="1399">
        <v>15747.6</v>
      </c>
    </row>
    <row r="6680" spans="5:10" s="1297" customFormat="1">
      <c r="E6680" s="1297" t="s">
        <v>1041</v>
      </c>
      <c r="F6680" s="1399"/>
      <c r="G6680" s="1399"/>
      <c r="H6680" s="1399">
        <v>41437.31</v>
      </c>
      <c r="I6680" s="1399"/>
      <c r="J6680" s="1399">
        <v>41437.31</v>
      </c>
    </row>
    <row r="6681" spans="5:10" s="1297" customFormat="1">
      <c r="E6681" s="1297" t="s">
        <v>1042</v>
      </c>
      <c r="F6681" s="1399"/>
      <c r="G6681" s="1399"/>
      <c r="H6681" s="1399">
        <v>49818.75</v>
      </c>
      <c r="I6681" s="1399"/>
      <c r="J6681" s="1399">
        <v>49818.75</v>
      </c>
    </row>
    <row r="6682" spans="5:10" s="1297" customFormat="1">
      <c r="E6682" s="1297" t="s">
        <v>954</v>
      </c>
      <c r="F6682" s="1399"/>
      <c r="G6682" s="1399"/>
      <c r="H6682" s="1399">
        <v>173996.99</v>
      </c>
      <c r="I6682" s="1399"/>
      <c r="J6682" s="1399">
        <v>173996.99</v>
      </c>
    </row>
    <row r="6683" spans="5:10" s="1297" customFormat="1">
      <c r="E6683" s="1297" t="s">
        <v>986</v>
      </c>
      <c r="F6683" s="1399"/>
      <c r="G6683" s="1399"/>
      <c r="H6683" s="1399">
        <v>33726.14</v>
      </c>
      <c r="I6683" s="1399"/>
      <c r="J6683" s="1399">
        <v>33726.14</v>
      </c>
    </row>
    <row r="6684" spans="5:10" s="1297" customFormat="1">
      <c r="E6684" s="1297" t="s">
        <v>991</v>
      </c>
      <c r="F6684" s="1399"/>
      <c r="G6684" s="1399"/>
      <c r="H6684" s="1399">
        <v>9043.1</v>
      </c>
      <c r="I6684" s="1399"/>
      <c r="J6684" s="1399">
        <v>9043.1</v>
      </c>
    </row>
    <row r="6685" spans="5:10" s="1297" customFormat="1">
      <c r="E6685" s="1297" t="s">
        <v>1044</v>
      </c>
      <c r="F6685" s="1399">
        <v>45048.45</v>
      </c>
      <c r="G6685" s="1399"/>
      <c r="H6685" s="1399"/>
      <c r="I6685" s="1399"/>
      <c r="J6685" s="1399">
        <v>45048.45</v>
      </c>
    </row>
    <row r="6686" spans="5:10" s="1297" customFormat="1">
      <c r="E6686" s="1297" t="s">
        <v>1045</v>
      </c>
      <c r="F6686" s="1399"/>
      <c r="G6686" s="1399"/>
      <c r="H6686" s="1399">
        <v>426253.22</v>
      </c>
      <c r="I6686" s="1399"/>
      <c r="J6686" s="1399">
        <v>426253.22</v>
      </c>
    </row>
    <row r="6687" spans="5:10" s="1297" customFormat="1">
      <c r="E6687" s="1297" t="s">
        <v>1046</v>
      </c>
      <c r="F6687" s="1399"/>
      <c r="G6687" s="1399"/>
      <c r="H6687" s="1399"/>
      <c r="I6687" s="1399">
        <v>14839113</v>
      </c>
      <c r="J6687" s="1399">
        <v>14839113</v>
      </c>
    </row>
    <row r="6688" spans="5:10" s="1297" customFormat="1">
      <c r="E6688" s="1297" t="s">
        <v>1128</v>
      </c>
      <c r="F6688" s="1399"/>
      <c r="G6688" s="1399"/>
      <c r="H6688" s="1399"/>
      <c r="I6688" s="1399">
        <v>1206706</v>
      </c>
      <c r="J6688" s="1399">
        <v>1206706</v>
      </c>
    </row>
    <row r="6689" spans="5:10" s="1297" customFormat="1">
      <c r="E6689" s="1297" t="s">
        <v>1129</v>
      </c>
      <c r="F6689" s="1399"/>
      <c r="G6689" s="1399"/>
      <c r="H6689" s="1399"/>
      <c r="I6689" s="1399">
        <v>-1844355</v>
      </c>
      <c r="J6689" s="1399">
        <v>-1844355</v>
      </c>
    </row>
    <row r="6690" spans="5:10" s="1297" customFormat="1">
      <c r="E6690" s="1297" t="s">
        <v>1047</v>
      </c>
      <c r="F6690" s="1399"/>
      <c r="G6690" s="1399"/>
      <c r="H6690" s="1399"/>
      <c r="I6690" s="1399">
        <v>98284</v>
      </c>
      <c r="J6690" s="1399">
        <v>98284</v>
      </c>
    </row>
    <row r="6691" spans="5:10" s="1297" customFormat="1">
      <c r="E6691" s="1297" t="s">
        <v>1048</v>
      </c>
      <c r="F6691" s="1399"/>
      <c r="G6691" s="1399"/>
      <c r="H6691" s="1399"/>
      <c r="I6691" s="1399">
        <v>-2978871</v>
      </c>
      <c r="J6691" s="1399">
        <v>-2978871</v>
      </c>
    </row>
    <row r="6692" spans="5:10" s="1297" customFormat="1">
      <c r="E6692" s="1404" t="s">
        <v>955</v>
      </c>
      <c r="F6692" s="1405"/>
      <c r="G6692" s="1405"/>
      <c r="H6692" s="1405"/>
      <c r="I6692" s="1405">
        <v>979587.37</v>
      </c>
      <c r="J6692" s="1405">
        <v>979587.37</v>
      </c>
    </row>
    <row r="6693" spans="5:10" s="1297" customFormat="1">
      <c r="E6693" s="1297" t="s">
        <v>934</v>
      </c>
      <c r="F6693" s="1399"/>
      <c r="G6693" s="1399"/>
      <c r="H6693" s="1399"/>
      <c r="I6693" s="1399">
        <v>45606</v>
      </c>
      <c r="J6693" s="1399">
        <v>45606</v>
      </c>
    </row>
    <row r="6694" spans="5:10" s="1297" customFormat="1">
      <c r="E6694" s="1297" t="s">
        <v>935</v>
      </c>
      <c r="F6694" s="1399"/>
      <c r="G6694" s="1399"/>
      <c r="H6694" s="1399"/>
      <c r="I6694" s="1399">
        <v>103180.07</v>
      </c>
      <c r="J6694" s="1399">
        <v>103180.07</v>
      </c>
    </row>
    <row r="6695" spans="5:10" s="1297" customFormat="1">
      <c r="E6695" s="1297" t="s">
        <v>936</v>
      </c>
      <c r="F6695" s="1399"/>
      <c r="G6695" s="1399"/>
      <c r="H6695" s="1399"/>
      <c r="I6695" s="1399">
        <v>40967.61</v>
      </c>
      <c r="J6695" s="1399">
        <v>40967.61</v>
      </c>
    </row>
    <row r="6696" spans="5:10" s="1297" customFormat="1">
      <c r="E6696" s="1297" t="s">
        <v>937</v>
      </c>
      <c r="F6696" s="1399"/>
      <c r="G6696" s="1399"/>
      <c r="H6696" s="1399"/>
      <c r="I6696" s="1399">
        <v>25193.72</v>
      </c>
      <c r="J6696" s="1399">
        <v>25193.72</v>
      </c>
    </row>
    <row r="6697" spans="5:10" s="1297" customFormat="1">
      <c r="E6697" s="1297" t="s">
        <v>938</v>
      </c>
      <c r="F6697" s="1399"/>
      <c r="G6697" s="1399"/>
      <c r="H6697" s="1399"/>
      <c r="I6697" s="1399">
        <v>8984</v>
      </c>
      <c r="J6697" s="1399">
        <v>8984</v>
      </c>
    </row>
    <row r="6698" spans="5:10" s="1297" customFormat="1">
      <c r="E6698" s="1297" t="s">
        <v>939</v>
      </c>
      <c r="F6698" s="1399"/>
      <c r="G6698" s="1399"/>
      <c r="H6698" s="1399"/>
      <c r="I6698" s="1399">
        <v>0</v>
      </c>
      <c r="J6698" s="1399">
        <v>0</v>
      </c>
    </row>
    <row r="6699" spans="5:10" s="1297" customFormat="1">
      <c r="E6699" s="1297" t="s">
        <v>1131</v>
      </c>
      <c r="F6699" s="1399">
        <v>49299.18</v>
      </c>
      <c r="G6699" s="1399"/>
      <c r="H6699" s="1399"/>
      <c r="I6699" s="1399"/>
      <c r="J6699" s="1399">
        <v>49299.18</v>
      </c>
    </row>
    <row r="6700" spans="5:10" s="1297" customFormat="1">
      <c r="E6700" s="1297" t="s">
        <v>940</v>
      </c>
      <c r="F6700" s="1399">
        <v>898739.79999999993</v>
      </c>
      <c r="G6700" s="1399"/>
      <c r="H6700" s="1399"/>
      <c r="I6700" s="1399"/>
      <c r="J6700" s="1399">
        <v>898739.79999999993</v>
      </c>
    </row>
    <row r="6701" spans="5:10" s="1297" customFormat="1">
      <c r="E6701" s="1297" t="s">
        <v>941</v>
      </c>
      <c r="F6701" s="1399">
        <v>398383.86</v>
      </c>
      <c r="G6701" s="1399"/>
      <c r="H6701" s="1399"/>
      <c r="I6701" s="1399"/>
      <c r="J6701" s="1399">
        <v>398383.86</v>
      </c>
    </row>
    <row r="6702" spans="5:10" s="1297" customFormat="1">
      <c r="E6702" s="1297" t="s">
        <v>943</v>
      </c>
      <c r="F6702" s="1399">
        <v>3677.06</v>
      </c>
      <c r="G6702" s="1399"/>
      <c r="H6702" s="1399"/>
      <c r="I6702" s="1399"/>
      <c r="J6702" s="1399">
        <v>3677.06</v>
      </c>
    </row>
    <row r="6703" spans="5:10" s="1297" customFormat="1">
      <c r="E6703" s="1297" t="s">
        <v>944</v>
      </c>
      <c r="F6703" s="1399">
        <v>2880629.4000000008</v>
      </c>
      <c r="G6703" s="1399"/>
      <c r="H6703" s="1399"/>
      <c r="I6703" s="1399"/>
      <c r="J6703" s="1399">
        <v>2880629.4000000008</v>
      </c>
    </row>
    <row r="6704" spans="5:10" s="1297" customFormat="1">
      <c r="E6704" s="1297" t="s">
        <v>945</v>
      </c>
      <c r="F6704" s="1399">
        <v>2118569.23</v>
      </c>
      <c r="G6704" s="1399"/>
      <c r="H6704" s="1399"/>
      <c r="I6704" s="1399"/>
      <c r="J6704" s="1399">
        <v>2118569.23</v>
      </c>
    </row>
    <row r="6705" spans="2:12">
      <c r="B6705" s="1297"/>
      <c r="C6705" s="1297"/>
      <c r="D6705" s="1297"/>
      <c r="E6705" s="1297" t="s">
        <v>947</v>
      </c>
      <c r="F6705" s="1399">
        <v>102496.47</v>
      </c>
      <c r="J6705" s="1399">
        <v>102496.47</v>
      </c>
    </row>
    <row r="6706" spans="2:12">
      <c r="B6706" s="1297"/>
      <c r="C6706" s="1297"/>
      <c r="D6706" s="1297"/>
      <c r="E6706" s="1404" t="s">
        <v>1116</v>
      </c>
      <c r="F6706" s="1405"/>
      <c r="G6706" s="1405"/>
      <c r="H6706" s="1405">
        <v>2000000</v>
      </c>
      <c r="I6706" s="1405"/>
      <c r="J6706" s="1405">
        <v>2000000</v>
      </c>
    </row>
    <row r="6707" spans="2:12">
      <c r="B6707" s="1297"/>
      <c r="C6707" s="1297"/>
      <c r="D6707" s="1297"/>
      <c r="E6707" s="1404" t="s">
        <v>948</v>
      </c>
      <c r="F6707" s="1405"/>
      <c r="G6707" s="1405"/>
      <c r="H6707" s="1405">
        <v>5003330.47</v>
      </c>
      <c r="I6707" s="1405"/>
      <c r="J6707" s="1405">
        <v>5003330.47</v>
      </c>
    </row>
    <row r="6708" spans="2:12">
      <c r="B6708" s="1297"/>
      <c r="C6708" s="1297"/>
      <c r="D6708" s="1400" t="s">
        <v>1529</v>
      </c>
      <c r="E6708" s="1400"/>
      <c r="F6708" s="1401">
        <f>SUM(F6668:F6707)</f>
        <v>6496843.4500000002</v>
      </c>
      <c r="G6708" s="1401">
        <f>SUM(G6668:G6707)</f>
        <v>13564151.630000001</v>
      </c>
      <c r="H6708" s="1401">
        <f>SUM(H6668:H6707)-(H6706+H6707)</f>
        <v>1525905.21</v>
      </c>
      <c r="I6708" s="1401">
        <f>SUM(I6668:I6707)-I6692</f>
        <v>11544808.4</v>
      </c>
      <c r="J6708" s="1401">
        <f>SUM(J6668:J6707)</f>
        <v>41114626.529999994</v>
      </c>
      <c r="K6708" s="1401">
        <f>SUM(F6708:I6708)</f>
        <v>33131708.690000005</v>
      </c>
      <c r="L6708" s="1408">
        <f>K6708/C6668</f>
        <v>10792.08752117264</v>
      </c>
    </row>
    <row r="6709" spans="2:12">
      <c r="B6709" s="1297" t="s">
        <v>1530</v>
      </c>
      <c r="C6709" s="1297">
        <v>1404</v>
      </c>
      <c r="D6709" s="1297" t="s">
        <v>1531</v>
      </c>
      <c r="E6709" s="1297" t="s">
        <v>907</v>
      </c>
      <c r="G6709" s="1399">
        <v>709001.57</v>
      </c>
      <c r="J6709" s="1399">
        <v>709001.57</v>
      </c>
    </row>
    <row r="6710" spans="2:12">
      <c r="B6710" s="1297"/>
      <c r="C6710" s="1297"/>
      <c r="D6710" s="1297"/>
      <c r="E6710" s="1297" t="s">
        <v>1145</v>
      </c>
      <c r="G6710" s="1399">
        <v>1096371.77</v>
      </c>
      <c r="J6710" s="1399">
        <v>1096371.77</v>
      </c>
    </row>
    <row r="6711" spans="2:12">
      <c r="B6711" s="1297"/>
      <c r="C6711" s="1297"/>
      <c r="D6711" s="1297"/>
      <c r="E6711" s="1297" t="s">
        <v>1037</v>
      </c>
      <c r="H6711" s="1399">
        <v>120270</v>
      </c>
      <c r="J6711" s="1399">
        <v>120270</v>
      </c>
    </row>
    <row r="6712" spans="2:12">
      <c r="B6712" s="1297"/>
      <c r="C6712" s="1297"/>
      <c r="D6712" s="1297"/>
      <c r="E6712" s="1297" t="s">
        <v>1039</v>
      </c>
      <c r="H6712" s="1399">
        <v>39733.57</v>
      </c>
      <c r="J6712" s="1399">
        <v>39733.57</v>
      </c>
    </row>
    <row r="6713" spans="2:12">
      <c r="B6713" s="1297"/>
      <c r="C6713" s="1297"/>
      <c r="D6713" s="1297"/>
      <c r="E6713" s="1297" t="s">
        <v>1040</v>
      </c>
      <c r="H6713" s="1399">
        <v>196097.8</v>
      </c>
      <c r="J6713" s="1399">
        <v>196097.8</v>
      </c>
    </row>
    <row r="6714" spans="2:12">
      <c r="B6714" s="1297"/>
      <c r="C6714" s="1297"/>
      <c r="D6714" s="1297"/>
      <c r="E6714" s="1297" t="s">
        <v>1041</v>
      </c>
      <c r="H6714" s="1399">
        <v>82724.72</v>
      </c>
      <c r="J6714" s="1399">
        <v>82724.72</v>
      </c>
    </row>
    <row r="6715" spans="2:12">
      <c r="B6715" s="1297"/>
      <c r="C6715" s="1297"/>
      <c r="D6715" s="1297"/>
      <c r="E6715" s="1297" t="s">
        <v>1042</v>
      </c>
      <c r="H6715" s="1399">
        <v>18234.849999999999</v>
      </c>
      <c r="J6715" s="1399">
        <v>18234.849999999999</v>
      </c>
    </row>
    <row r="6716" spans="2:12">
      <c r="B6716" s="1297"/>
      <c r="C6716" s="1297"/>
      <c r="D6716" s="1297"/>
      <c r="E6716" s="1297" t="s">
        <v>954</v>
      </c>
      <c r="H6716" s="1399">
        <v>61857.42</v>
      </c>
      <c r="J6716" s="1399">
        <v>61857.42</v>
      </c>
    </row>
    <row r="6717" spans="2:12">
      <c r="B6717" s="1297"/>
      <c r="C6717" s="1297"/>
      <c r="D6717" s="1297"/>
      <c r="E6717" s="1297" t="s">
        <v>1045</v>
      </c>
      <c r="H6717" s="1399">
        <v>1110</v>
      </c>
      <c r="J6717" s="1399">
        <v>1110</v>
      </c>
    </row>
    <row r="6718" spans="2:12">
      <c r="B6718" s="1297"/>
      <c r="C6718" s="1297"/>
      <c r="D6718" s="1297"/>
      <c r="E6718" s="1297" t="s">
        <v>1046</v>
      </c>
      <c r="I6718" s="1399">
        <v>7023736</v>
      </c>
      <c r="J6718" s="1399">
        <v>7023736</v>
      </c>
    </row>
    <row r="6719" spans="2:12">
      <c r="B6719" s="1297"/>
      <c r="C6719" s="1297"/>
      <c r="D6719" s="1297"/>
      <c r="E6719" s="1297" t="s">
        <v>1047</v>
      </c>
      <c r="I6719" s="1399">
        <v>38368</v>
      </c>
      <c r="J6719" s="1399">
        <v>38368</v>
      </c>
    </row>
    <row r="6720" spans="2:12">
      <c r="B6720" s="1297"/>
      <c r="C6720" s="1297"/>
      <c r="D6720" s="1297"/>
      <c r="E6720" s="1297" t="s">
        <v>1048</v>
      </c>
      <c r="I6720" s="1399">
        <v>-422642</v>
      </c>
      <c r="J6720" s="1399">
        <v>-422642</v>
      </c>
    </row>
    <row r="6721" spans="2:12">
      <c r="B6721" s="1297"/>
      <c r="C6721" s="1297"/>
      <c r="D6721" s="1297"/>
      <c r="E6721" s="1297" t="s">
        <v>932</v>
      </c>
      <c r="I6721" s="1399">
        <v>1173685</v>
      </c>
      <c r="J6721" s="1399">
        <v>1173685</v>
      </c>
    </row>
    <row r="6722" spans="2:12">
      <c r="B6722" s="1297"/>
      <c r="C6722" s="1297"/>
      <c r="D6722" s="1297"/>
      <c r="E6722" s="1404" t="s">
        <v>955</v>
      </c>
      <c r="F6722" s="1405"/>
      <c r="G6722" s="1405"/>
      <c r="H6722" s="1405"/>
      <c r="I6722" s="1405">
        <v>431923.06</v>
      </c>
      <c r="J6722" s="1405">
        <v>431923.06</v>
      </c>
    </row>
    <row r="6723" spans="2:12">
      <c r="B6723" s="1297"/>
      <c r="C6723" s="1297"/>
      <c r="D6723" s="1297"/>
      <c r="E6723" s="1297" t="s">
        <v>934</v>
      </c>
      <c r="I6723" s="1399">
        <v>20118</v>
      </c>
      <c r="J6723" s="1399">
        <v>20118</v>
      </c>
    </row>
    <row r="6724" spans="2:12">
      <c r="B6724" s="1297"/>
      <c r="C6724" s="1297"/>
      <c r="D6724" s="1297"/>
      <c r="E6724" s="1297" t="s">
        <v>935</v>
      </c>
      <c r="I6724" s="1399">
        <v>57253.17</v>
      </c>
      <c r="J6724" s="1399">
        <v>57253.17</v>
      </c>
    </row>
    <row r="6725" spans="2:12">
      <c r="B6725" s="1297"/>
      <c r="C6725" s="1297"/>
      <c r="D6725" s="1297"/>
      <c r="E6725" s="1297" t="s">
        <v>936</v>
      </c>
      <c r="I6725" s="1399">
        <v>17507.53</v>
      </c>
      <c r="J6725" s="1399">
        <v>17507.53</v>
      </c>
    </row>
    <row r="6726" spans="2:12">
      <c r="B6726" s="1297"/>
      <c r="C6726" s="1297"/>
      <c r="D6726" s="1297"/>
      <c r="E6726" s="1297" t="s">
        <v>938</v>
      </c>
      <c r="I6726" s="1399">
        <v>4492</v>
      </c>
      <c r="J6726" s="1399">
        <v>4492</v>
      </c>
    </row>
    <row r="6727" spans="2:12">
      <c r="B6727" s="1297"/>
      <c r="C6727" s="1297"/>
      <c r="D6727" s="1297"/>
      <c r="E6727" s="1297" t="s">
        <v>940</v>
      </c>
      <c r="F6727" s="1399">
        <v>227077.32</v>
      </c>
      <c r="J6727" s="1399">
        <v>227077.32</v>
      </c>
    </row>
    <row r="6728" spans="2:12">
      <c r="B6728" s="1297"/>
      <c r="C6728" s="1297"/>
      <c r="D6728" s="1297"/>
      <c r="E6728" s="1297" t="s">
        <v>941</v>
      </c>
      <c r="F6728" s="1399">
        <v>33730.1</v>
      </c>
      <c r="J6728" s="1399">
        <v>33730.1</v>
      </c>
    </row>
    <row r="6729" spans="2:12">
      <c r="B6729" s="1297"/>
      <c r="C6729" s="1297"/>
      <c r="D6729" s="1297"/>
      <c r="E6729" s="1297" t="s">
        <v>944</v>
      </c>
      <c r="F6729" s="1399">
        <v>428357</v>
      </c>
      <c r="J6729" s="1399">
        <v>428357</v>
      </c>
    </row>
    <row r="6730" spans="2:12">
      <c r="B6730" s="1297"/>
      <c r="C6730" s="1297"/>
      <c r="D6730" s="1297"/>
      <c r="E6730" s="1297" t="s">
        <v>945</v>
      </c>
      <c r="F6730" s="1399">
        <v>582944.73</v>
      </c>
      <c r="J6730" s="1399">
        <v>582944.73</v>
      </c>
    </row>
    <row r="6731" spans="2:12">
      <c r="B6731" s="1297"/>
      <c r="C6731" s="1297"/>
      <c r="D6731" s="1297"/>
      <c r="E6731" s="1404" t="s">
        <v>948</v>
      </c>
      <c r="F6731" s="1405"/>
      <c r="G6731" s="1405"/>
      <c r="H6731" s="1405">
        <v>690515</v>
      </c>
      <c r="I6731" s="1405"/>
      <c r="J6731" s="1405">
        <v>690515</v>
      </c>
    </row>
    <row r="6732" spans="2:12">
      <c r="B6732" s="1297"/>
      <c r="C6732" s="1297"/>
      <c r="D6732" s="1400" t="s">
        <v>1532</v>
      </c>
      <c r="E6732" s="1400"/>
      <c r="F6732" s="1401">
        <f>SUM(F6709:F6731)</f>
        <v>1272109.1499999999</v>
      </c>
      <c r="G6732" s="1401">
        <f>SUM(G6709:G6731)</f>
        <v>1805373.3399999999</v>
      </c>
      <c r="H6732" s="1401">
        <f>SUM(H6709:H6731)-H6731</f>
        <v>520028.35999999987</v>
      </c>
      <c r="I6732" s="1401">
        <f>SUM(I6709:I6731)-I6722</f>
        <v>7912517.7000000002</v>
      </c>
      <c r="J6732" s="1401">
        <f>SUM(J6709:J6731)</f>
        <v>12632466.609999999</v>
      </c>
      <c r="K6732" s="1401">
        <f>SUM(F6732:I6732)</f>
        <v>11510028.550000001</v>
      </c>
      <c r="L6732" s="1408">
        <f>K6732/C6709</f>
        <v>8198.0260327635333</v>
      </c>
    </row>
    <row r="6733" spans="2:12">
      <c r="B6733" s="1297" t="s">
        <v>1533</v>
      </c>
      <c r="C6733" s="1297">
        <v>7334</v>
      </c>
      <c r="D6733" s="1297" t="s">
        <v>1534</v>
      </c>
      <c r="E6733" s="1297" t="s">
        <v>906</v>
      </c>
      <c r="G6733" s="1399">
        <v>24585028.239999998</v>
      </c>
      <c r="J6733" s="1399">
        <v>24585028.239999998</v>
      </c>
    </row>
    <row r="6734" spans="2:12">
      <c r="B6734" s="1297"/>
      <c r="C6734" s="1297"/>
      <c r="D6734" s="1297"/>
      <c r="E6734" s="1297" t="s">
        <v>952</v>
      </c>
      <c r="G6734" s="1399">
        <v>247368.77</v>
      </c>
      <c r="J6734" s="1399">
        <v>247368.77</v>
      </c>
    </row>
    <row r="6735" spans="2:12">
      <c r="B6735" s="1297"/>
      <c r="C6735" s="1297"/>
      <c r="D6735" s="1297"/>
      <c r="E6735" s="1297" t="s">
        <v>907</v>
      </c>
      <c r="G6735" s="1399">
        <v>9527596.0500000007</v>
      </c>
      <c r="J6735" s="1399">
        <v>9527596.0500000007</v>
      </c>
    </row>
    <row r="6736" spans="2:12">
      <c r="B6736" s="1297"/>
      <c r="C6736" s="1297"/>
      <c r="D6736" s="1297"/>
      <c r="E6736" s="1297" t="s">
        <v>908</v>
      </c>
      <c r="G6736" s="1399">
        <v>0</v>
      </c>
      <c r="J6736" s="1399">
        <v>0</v>
      </c>
    </row>
    <row r="6737" spans="5:10" s="1297" customFormat="1">
      <c r="E6737" s="1297" t="s">
        <v>1034</v>
      </c>
      <c r="F6737" s="1399"/>
      <c r="G6737" s="1399"/>
      <c r="H6737" s="1399">
        <v>487605.09</v>
      </c>
      <c r="I6737" s="1399"/>
      <c r="J6737" s="1399">
        <v>487605.09</v>
      </c>
    </row>
    <row r="6738" spans="5:10" s="1297" customFormat="1">
      <c r="E6738" s="1297" t="s">
        <v>1035</v>
      </c>
      <c r="F6738" s="1399"/>
      <c r="G6738" s="1399"/>
      <c r="H6738" s="1399">
        <v>400774.34</v>
      </c>
      <c r="I6738" s="1399"/>
      <c r="J6738" s="1399">
        <v>400774.34</v>
      </c>
    </row>
    <row r="6739" spans="5:10" s="1297" customFormat="1">
      <c r="E6739" s="1297" t="s">
        <v>1037</v>
      </c>
      <c r="F6739" s="1399"/>
      <c r="G6739" s="1399"/>
      <c r="H6739" s="1399">
        <v>0</v>
      </c>
      <c r="I6739" s="1399"/>
      <c r="J6739" s="1399">
        <v>0</v>
      </c>
    </row>
    <row r="6740" spans="5:10" s="1297" customFormat="1">
      <c r="E6740" s="1297" t="s">
        <v>1038</v>
      </c>
      <c r="F6740" s="1399"/>
      <c r="G6740" s="1399"/>
      <c r="H6740" s="1399">
        <v>12875</v>
      </c>
      <c r="I6740" s="1399"/>
      <c r="J6740" s="1399">
        <v>12875</v>
      </c>
    </row>
    <row r="6741" spans="5:10" s="1297" customFormat="1">
      <c r="E6741" s="1297" t="s">
        <v>1039</v>
      </c>
      <c r="F6741" s="1399"/>
      <c r="G6741" s="1399"/>
      <c r="H6741" s="1399">
        <v>65458.720000000001</v>
      </c>
      <c r="I6741" s="1399"/>
      <c r="J6741" s="1399">
        <v>65458.720000000001</v>
      </c>
    </row>
    <row r="6742" spans="5:10" s="1297" customFormat="1">
      <c r="E6742" s="1297" t="s">
        <v>1040</v>
      </c>
      <c r="F6742" s="1399"/>
      <c r="G6742" s="1399"/>
      <c r="H6742" s="1399">
        <v>211943.8</v>
      </c>
      <c r="I6742" s="1399"/>
      <c r="J6742" s="1399">
        <v>211943.8</v>
      </c>
    </row>
    <row r="6743" spans="5:10" s="1297" customFormat="1">
      <c r="E6743" s="1297" t="s">
        <v>1207</v>
      </c>
      <c r="F6743" s="1399"/>
      <c r="G6743" s="1399"/>
      <c r="H6743" s="1399">
        <v>0</v>
      </c>
      <c r="I6743" s="1399"/>
      <c r="J6743" s="1399">
        <v>0</v>
      </c>
    </row>
    <row r="6744" spans="5:10" s="1297" customFormat="1">
      <c r="E6744" s="1297" t="s">
        <v>1041</v>
      </c>
      <c r="F6744" s="1399"/>
      <c r="G6744" s="1399"/>
      <c r="H6744" s="1399">
        <v>19900.53</v>
      </c>
      <c r="I6744" s="1399"/>
      <c r="J6744" s="1399">
        <v>19900.53</v>
      </c>
    </row>
    <row r="6745" spans="5:10" s="1297" customFormat="1">
      <c r="E6745" s="1297" t="s">
        <v>1042</v>
      </c>
      <c r="F6745" s="1399"/>
      <c r="G6745" s="1399"/>
      <c r="H6745" s="1399">
        <v>71426.53</v>
      </c>
      <c r="I6745" s="1399"/>
      <c r="J6745" s="1399">
        <v>71426.53</v>
      </c>
    </row>
    <row r="6746" spans="5:10" s="1297" customFormat="1">
      <c r="E6746" s="1297" t="s">
        <v>954</v>
      </c>
      <c r="F6746" s="1399"/>
      <c r="G6746" s="1399"/>
      <c r="H6746" s="1399">
        <v>436732.29</v>
      </c>
      <c r="I6746" s="1399"/>
      <c r="J6746" s="1399">
        <v>436732.29</v>
      </c>
    </row>
    <row r="6747" spans="5:10" s="1297" customFormat="1">
      <c r="E6747" s="1297" t="s">
        <v>1044</v>
      </c>
      <c r="F6747" s="1399">
        <v>92918.45</v>
      </c>
      <c r="G6747" s="1399"/>
      <c r="H6747" s="1399"/>
      <c r="I6747" s="1399"/>
      <c r="J6747" s="1399">
        <v>92918.45</v>
      </c>
    </row>
    <row r="6748" spans="5:10" s="1297" customFormat="1">
      <c r="E6748" s="1297" t="s">
        <v>1045</v>
      </c>
      <c r="F6748" s="1399"/>
      <c r="G6748" s="1399"/>
      <c r="H6748" s="1399">
        <v>782170.81</v>
      </c>
      <c r="I6748" s="1399"/>
      <c r="J6748" s="1399">
        <v>782170.81</v>
      </c>
    </row>
    <row r="6749" spans="5:10" s="1297" customFormat="1">
      <c r="E6749" s="1297" t="s">
        <v>1046</v>
      </c>
      <c r="F6749" s="1399"/>
      <c r="G6749" s="1399"/>
      <c r="H6749" s="1399"/>
      <c r="I6749" s="1399">
        <v>41484086</v>
      </c>
      <c r="J6749" s="1399">
        <v>41484086</v>
      </c>
    </row>
    <row r="6750" spans="5:10" s="1297" customFormat="1">
      <c r="E6750" s="1297" t="s">
        <v>1129</v>
      </c>
      <c r="F6750" s="1399"/>
      <c r="G6750" s="1399"/>
      <c r="H6750" s="1399"/>
      <c r="I6750" s="1399">
        <v>-5134999</v>
      </c>
      <c r="J6750" s="1399">
        <v>-5134999</v>
      </c>
    </row>
    <row r="6751" spans="5:10" s="1297" customFormat="1">
      <c r="E6751" s="1297" t="s">
        <v>1047</v>
      </c>
      <c r="F6751" s="1399"/>
      <c r="G6751" s="1399"/>
      <c r="H6751" s="1399"/>
      <c r="I6751" s="1399">
        <v>651349</v>
      </c>
      <c r="J6751" s="1399">
        <v>651349</v>
      </c>
    </row>
    <row r="6752" spans="5:10" s="1297" customFormat="1">
      <c r="E6752" s="1297" t="s">
        <v>1048</v>
      </c>
      <c r="F6752" s="1399"/>
      <c r="G6752" s="1399"/>
      <c r="H6752" s="1399"/>
      <c r="I6752" s="1399">
        <v>-7228341</v>
      </c>
      <c r="J6752" s="1399">
        <v>-7228341</v>
      </c>
    </row>
    <row r="6753" spans="5:10" s="1297" customFormat="1">
      <c r="E6753" s="1297" t="s">
        <v>932</v>
      </c>
      <c r="F6753" s="1399"/>
      <c r="G6753" s="1399"/>
      <c r="H6753" s="1399"/>
      <c r="I6753" s="1399">
        <v>693436</v>
      </c>
      <c r="J6753" s="1399">
        <v>693436</v>
      </c>
    </row>
    <row r="6754" spans="5:10" s="1297" customFormat="1">
      <c r="E6754" s="1297" t="s">
        <v>934</v>
      </c>
      <c r="F6754" s="1399"/>
      <c r="G6754" s="1399"/>
      <c r="H6754" s="1399"/>
      <c r="I6754" s="1399">
        <v>118338</v>
      </c>
      <c r="J6754" s="1399">
        <v>118338</v>
      </c>
    </row>
    <row r="6755" spans="5:10" s="1297" customFormat="1">
      <c r="E6755" s="1297" t="s">
        <v>1130</v>
      </c>
      <c r="F6755" s="1399"/>
      <c r="G6755" s="1399"/>
      <c r="H6755" s="1399"/>
      <c r="I6755" s="1399">
        <v>0</v>
      </c>
      <c r="J6755" s="1399">
        <v>0</v>
      </c>
    </row>
    <row r="6756" spans="5:10" s="1297" customFormat="1">
      <c r="E6756" s="1297" t="s">
        <v>935</v>
      </c>
      <c r="F6756" s="1399"/>
      <c r="G6756" s="1399"/>
      <c r="H6756" s="1399"/>
      <c r="I6756" s="1399">
        <v>610095.79</v>
      </c>
      <c r="J6756" s="1399">
        <v>610095.79</v>
      </c>
    </row>
    <row r="6757" spans="5:10" s="1297" customFormat="1">
      <c r="E6757" s="1297" t="s">
        <v>936</v>
      </c>
      <c r="F6757" s="1399"/>
      <c r="G6757" s="1399"/>
      <c r="H6757" s="1399"/>
      <c r="I6757" s="1399">
        <v>91739.44</v>
      </c>
      <c r="J6757" s="1399">
        <v>91739.44</v>
      </c>
    </row>
    <row r="6758" spans="5:10" s="1297" customFormat="1">
      <c r="E6758" s="1297" t="s">
        <v>937</v>
      </c>
      <c r="F6758" s="1399"/>
      <c r="G6758" s="1399"/>
      <c r="H6758" s="1399"/>
      <c r="I6758" s="1399">
        <v>29468.560000000001</v>
      </c>
      <c r="J6758" s="1399">
        <v>29468.560000000001</v>
      </c>
    </row>
    <row r="6759" spans="5:10" s="1297" customFormat="1">
      <c r="E6759" s="1297" t="s">
        <v>938</v>
      </c>
      <c r="F6759" s="1399"/>
      <c r="G6759" s="1399"/>
      <c r="H6759" s="1399"/>
      <c r="I6759" s="1399">
        <v>41736</v>
      </c>
      <c r="J6759" s="1399">
        <v>41736</v>
      </c>
    </row>
    <row r="6760" spans="5:10" s="1297" customFormat="1">
      <c r="E6760" s="1297" t="s">
        <v>939</v>
      </c>
      <c r="F6760" s="1399"/>
      <c r="G6760" s="1399"/>
      <c r="H6760" s="1399"/>
      <c r="I6760" s="1399">
        <v>446743.99</v>
      </c>
      <c r="J6760" s="1399">
        <v>446743.99</v>
      </c>
    </row>
    <row r="6761" spans="5:10" s="1297" customFormat="1">
      <c r="E6761" s="1297" t="s">
        <v>1131</v>
      </c>
      <c r="F6761" s="1399">
        <v>44870.81</v>
      </c>
      <c r="G6761" s="1399"/>
      <c r="H6761" s="1399"/>
      <c r="I6761" s="1399"/>
      <c r="J6761" s="1399">
        <v>44870.81</v>
      </c>
    </row>
    <row r="6762" spans="5:10" s="1297" customFormat="1">
      <c r="E6762" s="1297" t="s">
        <v>940</v>
      </c>
      <c r="F6762" s="1399">
        <v>2430066.6800000002</v>
      </c>
      <c r="G6762" s="1399"/>
      <c r="H6762" s="1399"/>
      <c r="I6762" s="1399"/>
      <c r="J6762" s="1399">
        <v>2430066.6800000002</v>
      </c>
    </row>
    <row r="6763" spans="5:10" s="1297" customFormat="1">
      <c r="E6763" s="1297" t="s">
        <v>941</v>
      </c>
      <c r="F6763" s="1399">
        <v>931662.18</v>
      </c>
      <c r="G6763" s="1399"/>
      <c r="H6763" s="1399"/>
      <c r="I6763" s="1399"/>
      <c r="J6763" s="1399">
        <v>931662.18</v>
      </c>
    </row>
    <row r="6764" spans="5:10" s="1297" customFormat="1">
      <c r="E6764" s="1297" t="s">
        <v>943</v>
      </c>
      <c r="F6764" s="1399">
        <v>1318.68</v>
      </c>
      <c r="G6764" s="1399"/>
      <c r="H6764" s="1399"/>
      <c r="I6764" s="1399"/>
      <c r="J6764" s="1399">
        <v>1318.68</v>
      </c>
    </row>
    <row r="6765" spans="5:10" s="1297" customFormat="1">
      <c r="E6765" s="1297" t="s">
        <v>944</v>
      </c>
      <c r="F6765" s="1399">
        <v>10798002.93</v>
      </c>
      <c r="G6765" s="1399"/>
      <c r="H6765" s="1399"/>
      <c r="I6765" s="1399"/>
      <c r="J6765" s="1399">
        <v>10798002.93</v>
      </c>
    </row>
    <row r="6766" spans="5:10" s="1297" customFormat="1">
      <c r="E6766" s="1297" t="s">
        <v>946</v>
      </c>
      <c r="F6766" s="1399">
        <v>0</v>
      </c>
      <c r="G6766" s="1399"/>
      <c r="H6766" s="1399"/>
      <c r="I6766" s="1399"/>
      <c r="J6766" s="1399">
        <v>0</v>
      </c>
    </row>
    <row r="6767" spans="5:10" s="1297" customFormat="1">
      <c r="E6767" s="1297" t="s">
        <v>1006</v>
      </c>
      <c r="F6767" s="1399">
        <v>17636</v>
      </c>
      <c r="G6767" s="1399"/>
      <c r="H6767" s="1399"/>
      <c r="I6767" s="1399"/>
      <c r="J6767" s="1399">
        <v>17636</v>
      </c>
    </row>
    <row r="6768" spans="5:10" s="1297" customFormat="1">
      <c r="E6768" s="1297" t="s">
        <v>947</v>
      </c>
      <c r="F6768" s="1399">
        <v>209478.12</v>
      </c>
      <c r="G6768" s="1399"/>
      <c r="H6768" s="1399"/>
      <c r="I6768" s="1399"/>
      <c r="J6768" s="1399">
        <v>209478.12</v>
      </c>
    </row>
    <row r="6769" spans="2:12">
      <c r="B6769" s="1297"/>
      <c r="C6769" s="1297"/>
      <c r="D6769" s="1297"/>
      <c r="E6769" s="1297" t="s">
        <v>1115</v>
      </c>
      <c r="F6769" s="1399">
        <v>0</v>
      </c>
      <c r="J6769" s="1399">
        <v>0</v>
      </c>
    </row>
    <row r="6770" spans="2:12">
      <c r="B6770" s="1297"/>
      <c r="C6770" s="1297"/>
      <c r="D6770" s="1297"/>
      <c r="E6770" s="1404" t="s">
        <v>1116</v>
      </c>
      <c r="F6770" s="1405"/>
      <c r="G6770" s="1405"/>
      <c r="H6770" s="1405">
        <v>0</v>
      </c>
      <c r="I6770" s="1405"/>
      <c r="J6770" s="1405">
        <v>0</v>
      </c>
    </row>
    <row r="6771" spans="2:12">
      <c r="B6771" s="1297"/>
      <c r="C6771" s="1297"/>
      <c r="D6771" s="1297"/>
      <c r="E6771" s="1297" t="s">
        <v>1535</v>
      </c>
      <c r="H6771" s="1399">
        <v>0</v>
      </c>
      <c r="J6771" s="1399">
        <v>0</v>
      </c>
    </row>
    <row r="6772" spans="2:12">
      <c r="B6772" s="1297"/>
      <c r="C6772" s="1297"/>
      <c r="D6772" s="1297"/>
      <c r="E6772" s="1404" t="s">
        <v>948</v>
      </c>
      <c r="F6772" s="1405"/>
      <c r="G6772" s="1405"/>
      <c r="H6772" s="1405">
        <v>7625001</v>
      </c>
      <c r="I6772" s="1405"/>
      <c r="J6772" s="1405">
        <v>7625001</v>
      </c>
    </row>
    <row r="6773" spans="2:12">
      <c r="B6773" s="1297"/>
      <c r="C6773" s="1297"/>
      <c r="D6773" s="1297"/>
      <c r="E6773" s="1297" t="s">
        <v>956</v>
      </c>
      <c r="H6773" s="1399">
        <v>0</v>
      </c>
      <c r="J6773" s="1399">
        <v>0</v>
      </c>
    </row>
    <row r="6774" spans="2:12">
      <c r="B6774" s="1297"/>
      <c r="C6774" s="1297"/>
      <c r="D6774" s="1297"/>
      <c r="E6774" s="1297" t="s">
        <v>1118</v>
      </c>
      <c r="H6774" s="1399">
        <v>0</v>
      </c>
      <c r="J6774" s="1399">
        <v>0</v>
      </c>
    </row>
    <row r="6775" spans="2:12">
      <c r="B6775" s="1297"/>
      <c r="C6775" s="1297"/>
      <c r="D6775" s="1400" t="s">
        <v>1536</v>
      </c>
      <c r="E6775" s="1400"/>
      <c r="F6775" s="1401">
        <f>SUM(F6733:F6774)</f>
        <v>14525953.85</v>
      </c>
      <c r="G6775" s="1401">
        <f>SUM(G6733:G6774)</f>
        <v>34359993.060000002</v>
      </c>
      <c r="H6775" s="1401">
        <f>SUM(H6733:H6774)-H6772</f>
        <v>2488887.1099999994</v>
      </c>
      <c r="I6775" s="1401">
        <f>SUM(I6733:I6774)</f>
        <v>31803652.779999997</v>
      </c>
      <c r="J6775" s="1401">
        <f>SUM(J6733:J6774)</f>
        <v>90803487.800000042</v>
      </c>
      <c r="K6775" s="1401">
        <f>SUM(F6775:I6775)</f>
        <v>83178486.799999997</v>
      </c>
      <c r="L6775" s="1408">
        <f>K6775/C6733</f>
        <v>11341.489882737933</v>
      </c>
    </row>
    <row r="6776" spans="2:12">
      <c r="B6776" s="1297" t="s">
        <v>1537</v>
      </c>
      <c r="C6776" s="1297">
        <v>2567</v>
      </c>
      <c r="D6776" s="1297" t="s">
        <v>1538</v>
      </c>
      <c r="E6776" s="1297" t="s">
        <v>907</v>
      </c>
      <c r="G6776" s="1399">
        <v>2153804.0299999998</v>
      </c>
      <c r="J6776" s="1399">
        <v>2153804.0299999998</v>
      </c>
    </row>
    <row r="6777" spans="2:12">
      <c r="B6777" s="1297"/>
      <c r="C6777" s="1297"/>
      <c r="D6777" s="1297"/>
      <c r="E6777" s="1297" t="s">
        <v>1145</v>
      </c>
      <c r="G6777" s="1399">
        <v>3717055.05</v>
      </c>
      <c r="J6777" s="1399">
        <v>3717055.05</v>
      </c>
    </row>
    <row r="6778" spans="2:12">
      <c r="B6778" s="1297"/>
      <c r="C6778" s="1297"/>
      <c r="D6778" s="1297"/>
      <c r="E6778" s="1297" t="s">
        <v>909</v>
      </c>
      <c r="H6778" s="1399">
        <v>36890.230000000003</v>
      </c>
      <c r="J6778" s="1399">
        <v>36890.230000000003</v>
      </c>
    </row>
    <row r="6779" spans="2:12">
      <c r="B6779" s="1297"/>
      <c r="C6779" s="1297"/>
      <c r="D6779" s="1297"/>
      <c r="E6779" s="1297" t="s">
        <v>910</v>
      </c>
      <c r="H6779" s="1399">
        <v>12343.32</v>
      </c>
      <c r="J6779" s="1399">
        <v>12343.32</v>
      </c>
    </row>
    <row r="6780" spans="2:12">
      <c r="B6780" s="1297"/>
      <c r="C6780" s="1297"/>
      <c r="D6780" s="1297"/>
      <c r="E6780" s="1297" t="s">
        <v>1034</v>
      </c>
      <c r="H6780" s="1399">
        <v>89144.1</v>
      </c>
      <c r="J6780" s="1399">
        <v>89144.1</v>
      </c>
    </row>
    <row r="6781" spans="2:12">
      <c r="B6781" s="1297"/>
      <c r="C6781" s="1297"/>
      <c r="D6781" s="1297"/>
      <c r="E6781" s="1297" t="s">
        <v>1035</v>
      </c>
      <c r="H6781" s="1399">
        <v>239361.86</v>
      </c>
      <c r="J6781" s="1399">
        <v>239361.86</v>
      </c>
    </row>
    <row r="6782" spans="2:12">
      <c r="B6782" s="1297"/>
      <c r="C6782" s="1297"/>
      <c r="D6782" s="1297"/>
      <c r="E6782" s="1297" t="s">
        <v>1036</v>
      </c>
      <c r="H6782" s="1399">
        <v>131440.53</v>
      </c>
      <c r="J6782" s="1399">
        <v>131440.53</v>
      </c>
    </row>
    <row r="6783" spans="2:12">
      <c r="B6783" s="1297"/>
      <c r="C6783" s="1297"/>
      <c r="D6783" s="1297"/>
      <c r="E6783" s="1297" t="s">
        <v>1037</v>
      </c>
      <c r="H6783" s="1399">
        <v>159854.58000000002</v>
      </c>
      <c r="J6783" s="1399">
        <v>159854.58000000002</v>
      </c>
    </row>
    <row r="6784" spans="2:12">
      <c r="B6784" s="1297"/>
      <c r="C6784" s="1297"/>
      <c r="D6784" s="1297"/>
      <c r="E6784" s="1297" t="s">
        <v>1038</v>
      </c>
      <c r="H6784" s="1399">
        <v>9747.9</v>
      </c>
      <c r="J6784" s="1399">
        <v>9747.9</v>
      </c>
    </row>
    <row r="6785" spans="5:10" s="1297" customFormat="1">
      <c r="E6785" s="1297" t="s">
        <v>1039</v>
      </c>
      <c r="F6785" s="1399"/>
      <c r="G6785" s="1399"/>
      <c r="H6785" s="1399">
        <v>45675.25</v>
      </c>
      <c r="I6785" s="1399"/>
      <c r="J6785" s="1399">
        <v>45675.25</v>
      </c>
    </row>
    <row r="6786" spans="5:10" s="1297" customFormat="1">
      <c r="E6786" s="1297" t="s">
        <v>1040</v>
      </c>
      <c r="F6786" s="1399"/>
      <c r="G6786" s="1399"/>
      <c r="H6786" s="1399">
        <v>210614.04</v>
      </c>
      <c r="I6786" s="1399"/>
      <c r="J6786" s="1399">
        <v>210614.04</v>
      </c>
    </row>
    <row r="6787" spans="5:10" s="1297" customFormat="1">
      <c r="E6787" s="1297" t="s">
        <v>1041</v>
      </c>
      <c r="F6787" s="1399"/>
      <c r="G6787" s="1399"/>
      <c r="H6787" s="1399">
        <v>33545.019999999997</v>
      </c>
      <c r="I6787" s="1399"/>
      <c r="J6787" s="1399">
        <v>33545.019999999997</v>
      </c>
    </row>
    <row r="6788" spans="5:10" s="1297" customFormat="1">
      <c r="E6788" s="1297" t="s">
        <v>1042</v>
      </c>
      <c r="F6788" s="1399"/>
      <c r="G6788" s="1399"/>
      <c r="H6788" s="1399">
        <v>23480.73</v>
      </c>
      <c r="I6788" s="1399"/>
      <c r="J6788" s="1399">
        <v>23480.73</v>
      </c>
    </row>
    <row r="6789" spans="5:10" s="1297" customFormat="1">
      <c r="E6789" s="1297" t="s">
        <v>954</v>
      </c>
      <c r="F6789" s="1399"/>
      <c r="G6789" s="1399"/>
      <c r="H6789" s="1399">
        <v>27109.07</v>
      </c>
      <c r="I6789" s="1399"/>
      <c r="J6789" s="1399">
        <v>27109.07</v>
      </c>
    </row>
    <row r="6790" spans="5:10" s="1297" customFormat="1">
      <c r="E6790" s="1297" t="s">
        <v>985</v>
      </c>
      <c r="F6790" s="1399"/>
      <c r="G6790" s="1399"/>
      <c r="H6790" s="1399">
        <v>148412</v>
      </c>
      <c r="I6790" s="1399"/>
      <c r="J6790" s="1399">
        <v>148412</v>
      </c>
    </row>
    <row r="6791" spans="5:10" s="1297" customFormat="1">
      <c r="E6791" s="1297" t="s">
        <v>1043</v>
      </c>
      <c r="F6791" s="1399"/>
      <c r="G6791" s="1399"/>
      <c r="H6791" s="1399">
        <v>63403.31</v>
      </c>
      <c r="I6791" s="1399"/>
      <c r="J6791" s="1399">
        <v>63403.31</v>
      </c>
    </row>
    <row r="6792" spans="5:10" s="1297" customFormat="1">
      <c r="E6792" s="1297" t="s">
        <v>986</v>
      </c>
      <c r="F6792" s="1399"/>
      <c r="G6792" s="1399"/>
      <c r="H6792" s="1399">
        <v>505</v>
      </c>
      <c r="I6792" s="1399"/>
      <c r="J6792" s="1399">
        <v>505</v>
      </c>
    </row>
    <row r="6793" spans="5:10" s="1297" customFormat="1">
      <c r="E6793" s="1297" t="s">
        <v>996</v>
      </c>
      <c r="F6793" s="1399"/>
      <c r="G6793" s="1399"/>
      <c r="H6793" s="1399">
        <v>15000</v>
      </c>
      <c r="I6793" s="1399"/>
      <c r="J6793" s="1399">
        <v>15000</v>
      </c>
    </row>
    <row r="6794" spans="5:10" s="1297" customFormat="1">
      <c r="E6794" s="1297" t="s">
        <v>1045</v>
      </c>
      <c r="F6794" s="1399"/>
      <c r="G6794" s="1399"/>
      <c r="H6794" s="1399">
        <v>289940.26</v>
      </c>
      <c r="I6794" s="1399"/>
      <c r="J6794" s="1399">
        <v>289940.26</v>
      </c>
    </row>
    <row r="6795" spans="5:10" s="1297" customFormat="1">
      <c r="E6795" s="1297" t="s">
        <v>1046</v>
      </c>
      <c r="F6795" s="1399"/>
      <c r="G6795" s="1399"/>
      <c r="H6795" s="1399"/>
      <c r="I6795" s="1399">
        <v>11027777</v>
      </c>
      <c r="J6795" s="1399">
        <v>11027777</v>
      </c>
    </row>
    <row r="6796" spans="5:10" s="1297" customFormat="1">
      <c r="E6796" s="1297" t="s">
        <v>1047</v>
      </c>
      <c r="F6796" s="1399"/>
      <c r="G6796" s="1399"/>
      <c r="H6796" s="1399"/>
      <c r="I6796" s="1399">
        <v>202149</v>
      </c>
      <c r="J6796" s="1399">
        <v>202149</v>
      </c>
    </row>
    <row r="6797" spans="5:10" s="1297" customFormat="1">
      <c r="E6797" s="1297" t="s">
        <v>1048</v>
      </c>
      <c r="F6797" s="1399"/>
      <c r="G6797" s="1399"/>
      <c r="H6797" s="1399"/>
      <c r="I6797" s="1399">
        <v>-1358507</v>
      </c>
      <c r="J6797" s="1399">
        <v>-1358507</v>
      </c>
    </row>
    <row r="6798" spans="5:10" s="1297" customFormat="1">
      <c r="E6798" s="1297" t="s">
        <v>932</v>
      </c>
      <c r="F6798" s="1399"/>
      <c r="G6798" s="1399"/>
      <c r="H6798" s="1399"/>
      <c r="I6798" s="1399">
        <v>932697</v>
      </c>
      <c r="J6798" s="1399">
        <v>932697</v>
      </c>
    </row>
    <row r="6799" spans="5:10" s="1297" customFormat="1">
      <c r="E6799" s="1404" t="s">
        <v>933</v>
      </c>
      <c r="F6799" s="1405"/>
      <c r="G6799" s="1405"/>
      <c r="H6799" s="1405"/>
      <c r="I6799" s="1405">
        <v>601871.22</v>
      </c>
      <c r="J6799" s="1405">
        <v>601871.22</v>
      </c>
    </row>
    <row r="6800" spans="5:10" s="1297" customFormat="1">
      <c r="E6800" s="1297" t="s">
        <v>934</v>
      </c>
      <c r="F6800" s="1399"/>
      <c r="G6800" s="1399"/>
      <c r="H6800" s="1399"/>
      <c r="I6800" s="1399">
        <v>40208</v>
      </c>
      <c r="J6800" s="1399">
        <v>40208</v>
      </c>
    </row>
    <row r="6801" spans="2:12">
      <c r="B6801" s="1297"/>
      <c r="C6801" s="1297"/>
      <c r="D6801" s="1297"/>
      <c r="E6801" s="1297" t="s">
        <v>1130</v>
      </c>
      <c r="I6801" s="1399">
        <v>258712.1</v>
      </c>
      <c r="J6801" s="1399">
        <v>258712.1</v>
      </c>
    </row>
    <row r="6802" spans="2:12">
      <c r="B6802" s="1297"/>
      <c r="C6802" s="1297"/>
      <c r="D6802" s="1297"/>
      <c r="E6802" s="1297" t="s">
        <v>935</v>
      </c>
      <c r="I6802" s="1399">
        <v>76103.59</v>
      </c>
      <c r="J6802" s="1399">
        <v>76103.59</v>
      </c>
    </row>
    <row r="6803" spans="2:12">
      <c r="B6803" s="1297"/>
      <c r="C6803" s="1297"/>
      <c r="D6803" s="1297"/>
      <c r="E6803" s="1297" t="s">
        <v>936</v>
      </c>
      <c r="I6803" s="1399">
        <v>29412.639999999999</v>
      </c>
      <c r="J6803" s="1399">
        <v>29412.639999999999</v>
      </c>
    </row>
    <row r="6804" spans="2:12">
      <c r="B6804" s="1297"/>
      <c r="C6804" s="1297"/>
      <c r="D6804" s="1297"/>
      <c r="E6804" s="1297" t="s">
        <v>937</v>
      </c>
      <c r="I6804" s="1399">
        <v>12302.25</v>
      </c>
      <c r="J6804" s="1399">
        <v>12302.25</v>
      </c>
    </row>
    <row r="6805" spans="2:12">
      <c r="B6805" s="1297"/>
      <c r="C6805" s="1297"/>
      <c r="D6805" s="1297"/>
      <c r="E6805" s="1297" t="s">
        <v>938</v>
      </c>
      <c r="I6805" s="1399">
        <v>8984</v>
      </c>
      <c r="J6805" s="1399">
        <v>8984</v>
      </c>
    </row>
    <row r="6806" spans="2:12">
      <c r="B6806" s="1297"/>
      <c r="C6806" s="1297"/>
      <c r="D6806" s="1297"/>
      <c r="E6806" s="1297" t="s">
        <v>939</v>
      </c>
      <c r="I6806" s="1399">
        <v>20000</v>
      </c>
      <c r="J6806" s="1399">
        <v>20000</v>
      </c>
    </row>
    <row r="6807" spans="2:12">
      <c r="B6807" s="1297"/>
      <c r="C6807" s="1297"/>
      <c r="D6807" s="1297"/>
      <c r="E6807" s="1297" t="s">
        <v>940</v>
      </c>
      <c r="F6807" s="1399">
        <v>671639.98</v>
      </c>
      <c r="J6807" s="1399">
        <v>671639.98</v>
      </c>
    </row>
    <row r="6808" spans="2:12">
      <c r="B6808" s="1297"/>
      <c r="C6808" s="1297"/>
      <c r="D6808" s="1297"/>
      <c r="E6808" s="1297" t="s">
        <v>941</v>
      </c>
      <c r="F6808" s="1399">
        <v>218797.6</v>
      </c>
      <c r="J6808" s="1399">
        <v>218797.6</v>
      </c>
    </row>
    <row r="6809" spans="2:12">
      <c r="B6809" s="1297"/>
      <c r="C6809" s="1297"/>
      <c r="D6809" s="1297"/>
      <c r="E6809" s="1297" t="s">
        <v>943</v>
      </c>
      <c r="F6809" s="1399">
        <v>11766</v>
      </c>
      <c r="J6809" s="1399">
        <v>11766</v>
      </c>
    </row>
    <row r="6810" spans="2:12">
      <c r="B6810" s="1297"/>
      <c r="C6810" s="1297"/>
      <c r="D6810" s="1297"/>
      <c r="E6810" s="1297" t="s">
        <v>944</v>
      </c>
      <c r="F6810" s="1399">
        <v>1527827.3699999999</v>
      </c>
      <c r="J6810" s="1399">
        <v>1527827.3699999999</v>
      </c>
    </row>
    <row r="6811" spans="2:12">
      <c r="B6811" s="1297"/>
      <c r="C6811" s="1297"/>
      <c r="D6811" s="1297"/>
      <c r="E6811" s="1297" t="s">
        <v>945</v>
      </c>
      <c r="F6811" s="1399">
        <v>1237464.7499999998</v>
      </c>
      <c r="J6811" s="1399">
        <v>1237464.7499999998</v>
      </c>
    </row>
    <row r="6812" spans="2:12">
      <c r="B6812" s="1297"/>
      <c r="C6812" s="1297"/>
      <c r="D6812" s="1297"/>
      <c r="E6812" s="1297" t="s">
        <v>947</v>
      </c>
      <c r="F6812" s="1399">
        <v>80915.100000000006</v>
      </c>
      <c r="J6812" s="1399">
        <v>80915.100000000006</v>
      </c>
    </row>
    <row r="6813" spans="2:12">
      <c r="B6813" s="1297"/>
      <c r="C6813" s="1297"/>
      <c r="D6813" s="1297"/>
      <c r="E6813" s="1404" t="s">
        <v>948</v>
      </c>
      <c r="F6813" s="1405"/>
      <c r="G6813" s="1405"/>
      <c r="H6813" s="1405">
        <v>229.32999999998719</v>
      </c>
      <c r="I6813" s="1405"/>
      <c r="J6813" s="1405">
        <v>229.32999999998719</v>
      </c>
    </row>
    <row r="6814" spans="2:12">
      <c r="B6814" s="1297"/>
      <c r="C6814" s="1297"/>
      <c r="D6814" s="1400" t="s">
        <v>1539</v>
      </c>
      <c r="E6814" s="1400"/>
      <c r="F6814" s="1401">
        <f>SUM(F6776:F6813)</f>
        <v>3748410.7999999993</v>
      </c>
      <c r="G6814" s="1401">
        <f>SUM(G6776:G6813)</f>
        <v>5870859.0800000001</v>
      </c>
      <c r="H6814" s="1401">
        <f>SUM(H6776:H6813)-H6813</f>
        <v>1536467.2000000002</v>
      </c>
      <c r="I6814" s="1401">
        <f>SUM(I6776:I6813)-I6799</f>
        <v>11249838.58</v>
      </c>
      <c r="J6814" s="1401">
        <f>SUM(J6776:J6813)</f>
        <v>23007676.210000005</v>
      </c>
      <c r="K6814" s="1401">
        <f>SUM(F6814:I6814)</f>
        <v>22405575.659999996</v>
      </c>
      <c r="L6814" s="1408">
        <f>K6814/C6776</f>
        <v>8728.3115153876115</v>
      </c>
    </row>
    <row r="6815" spans="2:12">
      <c r="B6815" s="1297"/>
      <c r="C6815" s="1297"/>
      <c r="D6815" s="1297"/>
      <c r="E6815" s="1297"/>
      <c r="F6815" s="1297"/>
      <c r="G6815" s="1297"/>
      <c r="H6815" s="1297"/>
      <c r="I6815" s="1297"/>
      <c r="J6815" s="1297"/>
      <c r="K6815" s="1297"/>
    </row>
    <row r="6816" spans="2:12" s="1386" customFormat="1">
      <c r="B6816" s="1386" t="s">
        <v>1732</v>
      </c>
      <c r="C6816" s="1414">
        <f>SUM(C4:C6185)</f>
        <v>1547691</v>
      </c>
      <c r="F6816" s="1415">
        <f t="shared" ref="F6816:K6816" si="0">SUM(F6814,F6775,F6732,F6708,F6667,F6631,F6596,F6559,F6517,F6481,F6445,F6405,F6369,F6327,F6291,F6256,F6220,F6187,F6151,F6133,F6093,F6044,F6005,F5966,F5935,F5901,F5862,F5821,F5793,F5762,F5721,F5688,F5657,F5605,F5558,F5519,F5478,F5440,F5410,F5371,F5330,F5292,F5256,F5223,F5180,F5141,F5104,F5070,F5036,F4999,F4970,F4941,F4902,F4869,F4829,F4788,F4752,F4717,F4682,F4647,F4604,F4567,F4532,F4498,F4459,F4425,F4386,F4353,F4317,F4279,F4242,F4205,F4166,F4131,F4090,F4037,F4004,F3972,F3938,F3902,F3863,F3834,F3798,F3769,F3729,F3692,F3654,F3618,F3577,F3537,F3498,F3459,F3418,F3382,F3346,F3310,F3266,F3222,F3193,F3152,F3119,F3081,F3042,F2999,F2957,F2907,F2868,F2835,F2799,F2760,F2724,F2696,F2646,F2600,F2547,F2510,F2472,F2428,F2388,F2351,F2314,F2272,F2233,F2200,F2155,F2127,F2094,F2061,F2022,F1990,F1951,F1918,F1880,F1838,F1791,F1755,F1722,F1679,F1642,F1608,F1575,F1534,F1498,F1460,F1422,F1377,F1332,F1293,F1250,F1214,F1173,F1143,F1097,F1055,F1018,F986,F948,F909,F866,F818,F772,F730,F698,F655,F618,F576,F539,F504,F465,F429,F378,F343,F301,F254,F214,F182,F138,F113,F75,F41,)</f>
        <v>2321491839.6999993</v>
      </c>
      <c r="G6816" s="1415">
        <f t="shared" si="0"/>
        <v>7445417045.5699978</v>
      </c>
      <c r="H6816" s="1415">
        <f t="shared" si="0"/>
        <v>1059418442.5899998</v>
      </c>
      <c r="I6816" s="1415">
        <f t="shared" si="0"/>
        <v>7297407682.8799963</v>
      </c>
      <c r="J6816" s="1415">
        <f t="shared" si="0"/>
        <v>20347908146.049988</v>
      </c>
      <c r="K6816" s="1415">
        <f t="shared" si="0"/>
        <v>18123735010.740005</v>
      </c>
      <c r="L6816" s="1415">
        <f>K6816/C6816</f>
        <v>11710.176650726797</v>
      </c>
    </row>
    <row r="6817" s="1297" customFormat="1"/>
    <row r="6818" s="1297" customFormat="1"/>
    <row r="6819" s="1297" customFormat="1"/>
    <row r="6820" s="1297" customFormat="1"/>
    <row r="6821" s="1297" customFormat="1"/>
    <row r="6822" s="1297" customFormat="1"/>
    <row r="6823" s="1297" customFormat="1"/>
    <row r="6824" s="1297" customFormat="1"/>
    <row r="6825" s="1297" customFormat="1"/>
    <row r="6826" s="1297" customFormat="1"/>
    <row r="6827" s="1297" customFormat="1"/>
    <row r="6828" s="1297" customFormat="1"/>
    <row r="6829" s="1297" customFormat="1"/>
    <row r="6830" s="1297" customFormat="1"/>
    <row r="6831" s="1297" customFormat="1"/>
    <row r="6832" s="1297" customFormat="1"/>
    <row r="6833" s="1297" customFormat="1"/>
    <row r="6834" s="1297" customFormat="1"/>
    <row r="6835" s="1297" customFormat="1"/>
    <row r="6836" s="1297" customFormat="1"/>
    <row r="6837" s="1297" customFormat="1"/>
    <row r="6838" s="1297" customFormat="1"/>
    <row r="6839" s="1297" customFormat="1"/>
    <row r="6840" s="1297" customFormat="1"/>
    <row r="6841" s="1297" customFormat="1"/>
    <row r="6842" s="1297" customFormat="1"/>
    <row r="6843" s="1297" customFormat="1"/>
    <row r="6844" s="1297" customFormat="1"/>
    <row r="6845" s="1297" customFormat="1"/>
    <row r="6846" s="1297" customFormat="1"/>
    <row r="6847" s="1297" customFormat="1"/>
    <row r="6848" s="1297" customFormat="1"/>
    <row r="6849" s="1297" customFormat="1"/>
    <row r="6850" s="1297" customFormat="1"/>
    <row r="6851" s="1297" customFormat="1"/>
    <row r="6852" s="1297" customFormat="1"/>
    <row r="6853" s="1297" customFormat="1"/>
    <row r="6854" s="1297" customFormat="1"/>
    <row r="6855" s="1297" customFormat="1"/>
    <row r="6856" s="1297" customFormat="1"/>
    <row r="6857" s="1297" customFormat="1"/>
    <row r="6858" s="1297" customFormat="1"/>
    <row r="6859" s="1297" customFormat="1"/>
    <row r="6860" s="1297" customFormat="1"/>
    <row r="6861" s="1297" customFormat="1"/>
    <row r="6862" s="1297" customFormat="1"/>
    <row r="6863" s="1297" customFormat="1"/>
    <row r="6864" s="1297" customFormat="1"/>
    <row r="6865" s="1297" customFormat="1"/>
    <row r="6866" s="1297" customFormat="1"/>
    <row r="6867" s="1297" customFormat="1"/>
    <row r="6868" s="1297" customFormat="1"/>
    <row r="6869" s="1297" customFormat="1"/>
    <row r="6870" s="1297" customFormat="1"/>
    <row r="6871" s="1297" customFormat="1"/>
    <row r="6872" s="1297" customFormat="1"/>
    <row r="6873" s="1297" customFormat="1"/>
    <row r="6874" s="1297" customFormat="1"/>
    <row r="6875" s="1297" customFormat="1"/>
    <row r="6876" s="1297" customFormat="1"/>
    <row r="6877" s="1297" customFormat="1"/>
    <row r="6878" s="1297" customFormat="1"/>
    <row r="6879" s="1297" customFormat="1"/>
    <row r="6880" s="1297" customFormat="1"/>
    <row r="6881" s="1297" customFormat="1"/>
    <row r="6882" s="1297" customFormat="1"/>
    <row r="6883" s="1297" customFormat="1"/>
    <row r="6884" s="1297" customFormat="1"/>
    <row r="6885" s="1297" customFormat="1"/>
    <row r="6886" s="1297" customFormat="1"/>
    <row r="6887" s="1297" customFormat="1"/>
    <row r="6888" s="1297" customFormat="1"/>
    <row r="6889" s="1297" customFormat="1"/>
    <row r="6890" s="1297" customFormat="1"/>
    <row r="6891" s="1297" customFormat="1"/>
    <row r="6892" s="1297" customFormat="1"/>
    <row r="6893" s="1297" customFormat="1"/>
    <row r="6894" s="1297" customFormat="1"/>
    <row r="6895" s="1297" customFormat="1"/>
    <row r="6896" s="1297" customFormat="1"/>
    <row r="6897" s="1297" customFormat="1"/>
    <row r="6898" s="1297" customFormat="1"/>
    <row r="6899" s="1297" customFormat="1"/>
    <row r="6900" s="1297" customFormat="1"/>
    <row r="6901" s="1297" customFormat="1"/>
    <row r="6902" s="1297" customFormat="1"/>
    <row r="6903" s="1297" customFormat="1"/>
    <row r="6904" s="1297" customFormat="1"/>
    <row r="6905" s="1297" customFormat="1"/>
    <row r="6906" s="1297" customFormat="1"/>
    <row r="6907" s="1297" customFormat="1"/>
    <row r="6908" s="1297" customFormat="1"/>
    <row r="6909" s="1297" customFormat="1"/>
    <row r="6910" s="1297" customFormat="1"/>
    <row r="6911" s="1297" customFormat="1"/>
    <row r="6912" s="1297" customFormat="1"/>
    <row r="6913" s="1297" customFormat="1"/>
    <row r="6914" s="1297" customFormat="1"/>
    <row r="6915" s="1297" customFormat="1"/>
    <row r="6916" s="1297" customFormat="1"/>
    <row r="6917" s="1297" customFormat="1"/>
    <row r="6918" s="1297" customFormat="1"/>
    <row r="6919" s="1297" customFormat="1"/>
    <row r="6920" s="1297" customFormat="1"/>
    <row r="6921" s="1297" customFormat="1"/>
    <row r="6922" s="1297" customFormat="1"/>
    <row r="6923" s="1297" customFormat="1"/>
    <row r="6924" s="1297" customFormat="1"/>
    <row r="6925" s="1297" customFormat="1"/>
    <row r="6926" s="1297" customFormat="1"/>
    <row r="6927" s="1297" customFormat="1"/>
    <row r="6928" s="1297" customFormat="1"/>
    <row r="6929" s="1297" customFormat="1"/>
    <row r="6930" s="1297" customFormat="1"/>
    <row r="6931" s="1297" customFormat="1"/>
    <row r="6932" s="1297" customFormat="1"/>
    <row r="6933" s="1297" customFormat="1"/>
    <row r="6934" s="1297" customFormat="1"/>
    <row r="6935" s="1297" customFormat="1"/>
    <row r="6936" s="1297" customFormat="1"/>
    <row r="6937" s="1297" customFormat="1"/>
    <row r="6938" s="1297" customFormat="1"/>
    <row r="6939" s="1297" customFormat="1"/>
    <row r="6940" s="1297" customFormat="1"/>
    <row r="6941" s="1297" customFormat="1"/>
    <row r="6942" s="1297" customFormat="1"/>
    <row r="6943" s="1297" customFormat="1"/>
    <row r="6944" s="1297" customFormat="1"/>
    <row r="6945" s="1297" customFormat="1"/>
    <row r="6946" s="1297" customFormat="1"/>
    <row r="6947" s="1297" customFormat="1"/>
    <row r="6948" s="1297" customFormat="1"/>
    <row r="6949" s="1297" customFormat="1"/>
    <row r="6950" s="1297" customFormat="1"/>
    <row r="6951" s="1297" customFormat="1"/>
    <row r="6952" s="1297" customFormat="1"/>
    <row r="6953" s="1297" customFormat="1"/>
    <row r="6954" s="1297" customFormat="1"/>
    <row r="6955" s="1297" customFormat="1"/>
    <row r="6956" s="1297" customFormat="1"/>
    <row r="6957" s="1297" customFormat="1"/>
    <row r="6958" s="1297" customFormat="1"/>
    <row r="6959" s="1297" customFormat="1"/>
    <row r="6960" s="1297" customFormat="1"/>
    <row r="6961" s="1297" customFormat="1"/>
    <row r="6962" s="1297" customFormat="1"/>
    <row r="6963" s="1297" customFormat="1"/>
    <row r="6964" s="1297" customFormat="1"/>
    <row r="6965" s="1297" customFormat="1"/>
    <row r="6966" s="1297" customFormat="1"/>
    <row r="6967" s="1297" customFormat="1"/>
    <row r="6968" s="1297" customFormat="1"/>
    <row r="6969" s="1297" customFormat="1"/>
    <row r="6970" s="1297" customFormat="1"/>
    <row r="6971" s="1297" customFormat="1"/>
    <row r="6972" s="1297" customFormat="1"/>
    <row r="6973" s="1297" customFormat="1"/>
    <row r="6974" s="1297" customFormat="1"/>
    <row r="6975" s="1297" customFormat="1"/>
    <row r="6976" s="1297" customFormat="1"/>
    <row r="6977" spans="1:11">
      <c r="B6977" s="1297"/>
      <c r="C6977" s="1297"/>
      <c r="D6977" s="1297"/>
      <c r="E6977" s="1297"/>
      <c r="F6977" s="1297"/>
      <c r="G6977" s="1297"/>
      <c r="H6977" s="1297"/>
      <c r="I6977" s="1297"/>
      <c r="J6977" s="1297"/>
      <c r="K6977" s="1297"/>
    </row>
    <row r="6978" spans="1:11">
      <c r="B6978" s="1297"/>
      <c r="C6978" s="1297"/>
      <c r="D6978" s="1297"/>
      <c r="E6978" s="1297"/>
      <c r="F6978" s="1297"/>
      <c r="G6978" s="1297"/>
      <c r="H6978" s="1297"/>
      <c r="I6978" s="1297"/>
      <c r="J6978" s="1297"/>
      <c r="K6978" s="1297"/>
    </row>
    <row r="6979" spans="1:11">
      <c r="B6979" s="1297"/>
      <c r="C6979" s="1297"/>
      <c r="D6979" s="1297"/>
      <c r="E6979" s="1297"/>
      <c r="F6979" s="1297"/>
      <c r="G6979" s="1297"/>
      <c r="H6979" s="1297"/>
      <c r="I6979" s="1297"/>
      <c r="J6979" s="1297"/>
      <c r="K6979" s="1297"/>
    </row>
    <row r="6980" spans="1:11">
      <c r="B6980" s="1297"/>
      <c r="C6980" s="1297"/>
      <c r="D6980" s="1297"/>
      <c r="E6980" s="1297"/>
      <c r="F6980" s="1297"/>
      <c r="G6980" s="1297"/>
      <c r="H6980" s="1297"/>
      <c r="I6980" s="1297"/>
      <c r="J6980" s="1297"/>
      <c r="K6980" s="1297"/>
    </row>
    <row r="6981" spans="1:11">
      <c r="B6981" s="1297"/>
      <c r="C6981" s="1297"/>
      <c r="D6981" s="1297"/>
      <c r="E6981" s="1297"/>
      <c r="F6981" s="1297"/>
      <c r="G6981" s="1297"/>
      <c r="H6981" s="1297"/>
      <c r="I6981" s="1297"/>
      <c r="J6981" s="1297"/>
      <c r="K6981" s="1297"/>
    </row>
    <row r="6982" spans="1:11">
      <c r="A6982" s="1297" t="s">
        <v>1723</v>
      </c>
      <c r="B6982" s="1297"/>
      <c r="C6982" s="1297"/>
      <c r="D6982" s="1297"/>
      <c r="E6982" s="1297"/>
      <c r="F6982" s="1399">
        <v>2317494955.2499986</v>
      </c>
      <c r="G6982" s="1399">
        <v>8358162242.2300119</v>
      </c>
      <c r="H6982" s="1399">
        <v>2288512622.6699996</v>
      </c>
      <c r="I6982" s="1399">
        <v>7523382694.9199982</v>
      </c>
      <c r="J6982" s="1399">
        <v>20487552515.070042</v>
      </c>
    </row>
    <row r="6983" spans="1:11">
      <c r="A6983" s="1297" t="s">
        <v>902</v>
      </c>
      <c r="B6983" s="1297"/>
      <c r="C6983" s="1297"/>
      <c r="D6983" s="1297"/>
      <c r="E6983" s="1297"/>
      <c r="F6983" s="1399">
        <v>2317494955.2499986</v>
      </c>
      <c r="G6983" s="1399">
        <v>8358162242.2300119</v>
      </c>
      <c r="H6983" s="1399">
        <v>2288512622.6699996</v>
      </c>
      <c r="I6983" s="1399">
        <v>7523382694.9199982</v>
      </c>
      <c r="J6983" s="1399">
        <v>20487552515.070042</v>
      </c>
    </row>
    <row r="6984" spans="1:11">
      <c r="B6984" s="1297"/>
      <c r="C6984" s="1297"/>
      <c r="D6984" s="1297"/>
      <c r="E6984" s="1297"/>
    </row>
    <row r="6985" spans="1:11">
      <c r="B6985" s="1297"/>
      <c r="C6985" s="1297"/>
      <c r="D6985" s="1297"/>
      <c r="E6985" s="1297"/>
    </row>
    <row r="6986" spans="1:11">
      <c r="B6986" s="1297"/>
      <c r="C6986" s="1297"/>
      <c r="D6986" s="1297"/>
      <c r="E6986" s="1297"/>
    </row>
    <row r="6987" spans="1:11">
      <c r="B6987" s="1297"/>
      <c r="C6987" s="1297"/>
      <c r="D6987" s="1297"/>
      <c r="E6987" s="1297"/>
    </row>
    <row r="6988" spans="1:11">
      <c r="B6988" s="1297"/>
      <c r="C6988" s="1297"/>
      <c r="D6988" s="1297"/>
      <c r="E6988" s="1297"/>
    </row>
    <row r="6989" spans="1:11">
      <c r="B6989" s="1297"/>
      <c r="C6989" s="1297"/>
      <c r="D6989" s="1297"/>
      <c r="E6989" s="1297"/>
    </row>
    <row r="6990" spans="1:11">
      <c r="B6990" s="1297"/>
      <c r="C6990" s="1297"/>
      <c r="D6990" s="1297"/>
      <c r="E6990" s="1297"/>
      <c r="F6990" s="1297"/>
      <c r="G6990" s="1297"/>
      <c r="H6990" s="1297"/>
      <c r="I6990" s="1297"/>
      <c r="J6990" s="1297"/>
      <c r="K6990" s="1297"/>
    </row>
    <row r="6991" spans="1:11">
      <c r="B6991" s="1297"/>
      <c r="C6991" s="1297"/>
      <c r="D6991" s="1297"/>
      <c r="E6991" s="1297"/>
      <c r="F6991" s="1297"/>
      <c r="G6991" s="1297"/>
      <c r="H6991" s="1297"/>
      <c r="I6991" s="1297"/>
      <c r="J6991" s="1297"/>
      <c r="K6991" s="1297"/>
    </row>
    <row r="6992" spans="1:11">
      <c r="B6992" s="1297"/>
      <c r="C6992" s="1297"/>
      <c r="D6992" s="1297"/>
      <c r="E6992" s="1297"/>
      <c r="F6992" s="1297"/>
      <c r="G6992" s="1297"/>
      <c r="H6992" s="1297"/>
      <c r="I6992" s="1297"/>
      <c r="J6992" s="1297"/>
      <c r="K6992" s="1297"/>
    </row>
    <row r="6993" spans="2:11">
      <c r="B6993" s="1297"/>
      <c r="C6993" s="1297"/>
      <c r="D6993" s="1297"/>
      <c r="E6993" s="1297"/>
      <c r="F6993" s="1297"/>
      <c r="G6993" s="1297"/>
      <c r="H6993" s="1297"/>
      <c r="I6993" s="1297"/>
      <c r="J6993" s="1297"/>
      <c r="K6993" s="1297"/>
    </row>
    <row r="6994" spans="2:11">
      <c r="B6994" s="1297"/>
      <c r="C6994" s="1297"/>
      <c r="D6994" s="1297"/>
      <c r="E6994" s="1297"/>
      <c r="F6994" s="1297"/>
      <c r="G6994" s="1297"/>
      <c r="H6994" s="1297"/>
      <c r="I6994" s="1297"/>
      <c r="J6994" s="1297"/>
      <c r="K6994" s="1297"/>
    </row>
    <row r="6995" spans="2:11">
      <c r="B6995" s="1297"/>
      <c r="C6995" s="1297"/>
      <c r="D6995" s="1297"/>
      <c r="E6995" s="1297"/>
      <c r="F6995" s="1297"/>
      <c r="G6995" s="1297"/>
      <c r="H6995" s="1297"/>
      <c r="I6995" s="1297"/>
      <c r="J6995" s="1297"/>
      <c r="K6995" s="1297"/>
    </row>
    <row r="6996" spans="2:11">
      <c r="B6996" s="1297"/>
      <c r="C6996" s="1297"/>
      <c r="D6996" s="1297"/>
      <c r="E6996" s="1297"/>
      <c r="F6996" s="1297"/>
      <c r="G6996" s="1297"/>
      <c r="H6996" s="1297"/>
      <c r="I6996" s="1297"/>
      <c r="J6996" s="1297"/>
      <c r="K6996" s="1297"/>
    </row>
    <row r="6997" spans="2:11">
      <c r="B6997" s="1297"/>
      <c r="C6997" s="1297"/>
      <c r="D6997" s="1297"/>
      <c r="E6997" s="1297"/>
      <c r="F6997" s="1297"/>
      <c r="G6997" s="1297"/>
      <c r="H6997" s="1297"/>
      <c r="I6997" s="1297"/>
      <c r="J6997" s="1297"/>
      <c r="K6997" s="1297"/>
    </row>
    <row r="6998" spans="2:11">
      <c r="B6998" s="1297"/>
      <c r="C6998" s="1297"/>
      <c r="D6998" s="1297"/>
      <c r="E6998" s="1297"/>
      <c r="F6998" s="1297"/>
      <c r="G6998" s="1297"/>
      <c r="H6998" s="1297"/>
      <c r="I6998" s="1297"/>
      <c r="J6998" s="1297"/>
      <c r="K6998" s="1297"/>
    </row>
    <row r="6999" spans="2:11">
      <c r="B6999" s="1297"/>
      <c r="C6999" s="1297"/>
      <c r="D6999" s="1297"/>
      <c r="E6999" s="1297"/>
      <c r="F6999" s="1297"/>
      <c r="G6999" s="1297"/>
      <c r="H6999" s="1297"/>
      <c r="I6999" s="1297"/>
      <c r="J6999" s="1297"/>
      <c r="K6999" s="1297"/>
    </row>
    <row r="7000" spans="2:11">
      <c r="B7000" s="1297"/>
      <c r="C7000" s="1297"/>
      <c r="D7000" s="1297"/>
      <c r="E7000" s="1297"/>
      <c r="F7000" s="1297"/>
      <c r="G7000" s="1297"/>
      <c r="H7000" s="1297"/>
      <c r="I7000" s="1297"/>
      <c r="J7000" s="1297"/>
      <c r="K7000" s="1297"/>
    </row>
    <row r="7001" spans="2:11">
      <c r="B7001" s="1297"/>
      <c r="C7001" s="1297"/>
      <c r="D7001" s="1297"/>
      <c r="E7001" s="1297"/>
      <c r="F7001" s="1297"/>
      <c r="G7001" s="1297"/>
      <c r="H7001" s="1297"/>
      <c r="I7001" s="1297"/>
      <c r="J7001" s="1297"/>
      <c r="K7001" s="1297"/>
    </row>
    <row r="7002" spans="2:11">
      <c r="B7002" s="1297"/>
      <c r="C7002" s="1297"/>
      <c r="D7002" s="1297"/>
      <c r="E7002" s="1297"/>
      <c r="F7002" s="1297"/>
      <c r="G7002" s="1297"/>
      <c r="H7002" s="1297"/>
      <c r="I7002" s="1297"/>
      <c r="J7002" s="1297"/>
      <c r="K7002" s="1297"/>
    </row>
    <row r="7003" spans="2:11">
      <c r="B7003" s="1297"/>
      <c r="C7003" s="1297"/>
      <c r="D7003" s="1297"/>
      <c r="E7003" s="1297"/>
      <c r="F7003" s="1297"/>
      <c r="G7003" s="1297"/>
      <c r="H7003" s="1297"/>
      <c r="I7003" s="1297"/>
      <c r="J7003" s="1297"/>
      <c r="K7003" s="1297"/>
    </row>
    <row r="7004" spans="2:11">
      <c r="B7004" s="1297"/>
      <c r="C7004" s="1297"/>
      <c r="D7004" s="1297"/>
      <c r="E7004" s="1297"/>
      <c r="F7004" s="1297"/>
      <c r="G7004" s="1297"/>
      <c r="H7004" s="1297"/>
      <c r="I7004" s="1297"/>
      <c r="J7004" s="1297"/>
      <c r="K7004" s="1297"/>
    </row>
    <row r="7005" spans="2:11">
      <c r="B7005" s="1297"/>
      <c r="C7005" s="1297"/>
      <c r="D7005" s="1297"/>
      <c r="E7005" s="1297"/>
      <c r="F7005" s="1297"/>
      <c r="G7005" s="1297"/>
      <c r="H7005" s="1297"/>
      <c r="I7005" s="1297"/>
      <c r="J7005" s="1297"/>
      <c r="K7005" s="1297"/>
    </row>
    <row r="7006" spans="2:11">
      <c r="B7006" s="1297"/>
      <c r="C7006" s="1297"/>
      <c r="D7006" s="1297"/>
      <c r="E7006" s="1297"/>
      <c r="F7006" s="1297"/>
      <c r="G7006" s="1297"/>
      <c r="H7006" s="1297"/>
      <c r="I7006" s="1297"/>
      <c r="J7006" s="1297"/>
      <c r="K7006" s="1297"/>
    </row>
    <row r="7007" spans="2:11">
      <c r="B7007" s="1297"/>
      <c r="C7007" s="1297"/>
      <c r="D7007" s="1297"/>
      <c r="E7007" s="1297"/>
      <c r="F7007" s="1297"/>
      <c r="G7007" s="1297"/>
      <c r="H7007" s="1297"/>
      <c r="I7007" s="1297"/>
      <c r="J7007" s="1297"/>
      <c r="K7007" s="1297"/>
    </row>
    <row r="7008" spans="2:11">
      <c r="B7008" s="1297"/>
      <c r="C7008" s="1297"/>
      <c r="D7008" s="1297"/>
      <c r="E7008" s="1297"/>
      <c r="F7008" s="1297"/>
      <c r="G7008" s="1297"/>
      <c r="H7008" s="1297"/>
      <c r="I7008" s="1297"/>
      <c r="J7008" s="1297"/>
      <c r="K7008" s="1297"/>
    </row>
    <row r="7009" spans="2:11">
      <c r="B7009" s="1297"/>
      <c r="C7009" s="1297"/>
      <c r="D7009" s="1297"/>
      <c r="E7009" s="1297"/>
      <c r="F7009" s="1297"/>
      <c r="G7009" s="1297"/>
      <c r="H7009" s="1297"/>
      <c r="I7009" s="1297"/>
      <c r="J7009" s="1297"/>
      <c r="K7009" s="1297"/>
    </row>
    <row r="7010" spans="2:11">
      <c r="B7010" s="1297"/>
      <c r="C7010" s="1297"/>
      <c r="D7010" s="1297"/>
      <c r="E7010" s="1297"/>
      <c r="F7010" s="1297"/>
      <c r="G7010" s="1297"/>
      <c r="H7010" s="1297"/>
      <c r="I7010" s="1297"/>
      <c r="J7010" s="1297"/>
      <c r="K7010" s="1297"/>
    </row>
    <row r="7011" spans="2:11">
      <c r="B7011" s="1297"/>
      <c r="C7011" s="1297"/>
      <c r="D7011" s="1297"/>
      <c r="E7011" s="1297"/>
      <c r="F7011" s="1297"/>
      <c r="G7011" s="1297"/>
      <c r="H7011" s="1297"/>
      <c r="I7011" s="1297"/>
      <c r="J7011" s="1297"/>
      <c r="K7011" s="1297"/>
    </row>
    <row r="7012" spans="2:11">
      <c r="B7012" s="1297"/>
      <c r="C7012" s="1297"/>
      <c r="D7012" s="1297"/>
      <c r="E7012" s="1297"/>
      <c r="F7012" s="1297"/>
      <c r="G7012" s="1297"/>
      <c r="H7012" s="1297"/>
      <c r="I7012" s="1297"/>
      <c r="J7012" s="1297"/>
      <c r="K7012" s="1297"/>
    </row>
    <row r="7013" spans="2:11">
      <c r="B7013" s="1297"/>
      <c r="C7013" s="1297"/>
      <c r="D7013" s="1297"/>
      <c r="E7013" s="1297"/>
      <c r="F7013" s="1297"/>
      <c r="G7013" s="1297"/>
      <c r="H7013" s="1297"/>
      <c r="I7013" s="1297"/>
      <c r="J7013" s="1297"/>
      <c r="K7013" s="1297"/>
    </row>
    <row r="7014" spans="2:11">
      <c r="B7014" s="1297"/>
      <c r="C7014" s="1297"/>
      <c r="D7014" s="1297"/>
      <c r="E7014" s="1297"/>
      <c r="F7014" s="1297"/>
      <c r="G7014" s="1297"/>
      <c r="H7014" s="1297"/>
      <c r="I7014" s="1297"/>
      <c r="J7014" s="1297"/>
      <c r="K7014" s="1297"/>
    </row>
    <row r="7015" spans="2:11">
      <c r="B7015" s="1297"/>
      <c r="C7015" s="1297"/>
      <c r="D7015" s="1297"/>
      <c r="E7015" s="1297"/>
      <c r="F7015" s="1297"/>
      <c r="G7015" s="1297"/>
      <c r="H7015" s="1297"/>
      <c r="I7015" s="1297"/>
      <c r="J7015" s="1297"/>
      <c r="K7015" s="1297"/>
    </row>
    <row r="7016" spans="2:11">
      <c r="B7016" s="1297"/>
      <c r="C7016" s="1297"/>
      <c r="D7016" s="1297"/>
      <c r="E7016" s="1297"/>
      <c r="F7016" s="1297"/>
      <c r="G7016" s="1297"/>
      <c r="H7016" s="1297"/>
      <c r="I7016" s="1297"/>
      <c r="J7016" s="1297"/>
      <c r="K7016" s="1297"/>
    </row>
    <row r="7017" spans="2:11">
      <c r="B7017" s="1297"/>
      <c r="C7017" s="1297"/>
      <c r="D7017" s="1297"/>
      <c r="E7017" s="1297"/>
      <c r="F7017" s="1297"/>
      <c r="G7017" s="1297"/>
      <c r="H7017" s="1297"/>
      <c r="I7017" s="1297"/>
      <c r="J7017" s="1297"/>
      <c r="K7017" s="1297"/>
    </row>
    <row r="7018" spans="2:11">
      <c r="B7018" s="1297"/>
      <c r="C7018" s="1297"/>
      <c r="D7018" s="1297"/>
      <c r="E7018" s="1297"/>
      <c r="F7018" s="1297"/>
      <c r="G7018" s="1297"/>
      <c r="H7018" s="1297"/>
      <c r="I7018" s="1297"/>
      <c r="J7018" s="1297"/>
      <c r="K7018" s="1297"/>
    </row>
    <row r="7019" spans="2:11">
      <c r="B7019" s="1297"/>
      <c r="C7019" s="1297"/>
      <c r="D7019" s="1297"/>
      <c r="E7019" s="1297"/>
      <c r="F7019" s="1297"/>
      <c r="G7019" s="1297"/>
      <c r="H7019" s="1297"/>
      <c r="I7019" s="1297"/>
      <c r="J7019" s="1297"/>
      <c r="K7019" s="1297"/>
    </row>
    <row r="7020" spans="2:11">
      <c r="B7020" s="1297"/>
      <c r="C7020" s="1297"/>
      <c r="D7020" s="1297"/>
      <c r="E7020" s="1297"/>
      <c r="F7020" s="1297"/>
      <c r="G7020" s="1297"/>
      <c r="H7020" s="1297"/>
      <c r="I7020" s="1297"/>
      <c r="J7020" s="1297"/>
      <c r="K7020" s="1297"/>
    </row>
    <row r="7021" spans="2:11">
      <c r="B7021" s="1297"/>
      <c r="C7021" s="1297"/>
      <c r="D7021" s="1297"/>
      <c r="E7021" s="1297"/>
      <c r="F7021" s="1297"/>
      <c r="G7021" s="1297"/>
      <c r="H7021" s="1297"/>
      <c r="I7021" s="1297"/>
      <c r="J7021" s="1297"/>
      <c r="K7021" s="1297"/>
    </row>
    <row r="7022" spans="2:11">
      <c r="B7022" s="1297"/>
      <c r="C7022" s="1297"/>
      <c r="D7022" s="1297"/>
      <c r="E7022" s="1297"/>
      <c r="F7022" s="1297"/>
      <c r="G7022" s="1297"/>
      <c r="H7022" s="1297"/>
      <c r="I7022" s="1297"/>
      <c r="J7022" s="1297"/>
      <c r="K7022" s="1297"/>
    </row>
    <row r="7023" spans="2:11">
      <c r="B7023" s="1297"/>
      <c r="C7023" s="1297"/>
      <c r="D7023" s="1297"/>
      <c r="E7023" s="1297"/>
      <c r="F7023" s="1297"/>
      <c r="G7023" s="1297"/>
      <c r="H7023" s="1297"/>
      <c r="I7023" s="1297"/>
      <c r="J7023" s="1297"/>
      <c r="K7023" s="1297"/>
    </row>
    <row r="7024" spans="2:11">
      <c r="B7024" s="1297"/>
      <c r="C7024" s="1297"/>
      <c r="D7024" s="1297"/>
      <c r="E7024" s="1297"/>
      <c r="F7024" s="1297"/>
      <c r="G7024" s="1297"/>
      <c r="H7024" s="1297"/>
      <c r="I7024" s="1297"/>
      <c r="J7024" s="1297"/>
      <c r="K7024" s="1297"/>
    </row>
    <row r="7025" spans="2:11">
      <c r="B7025" s="1297"/>
      <c r="C7025" s="1297"/>
      <c r="D7025" s="1297"/>
      <c r="E7025" s="1297"/>
      <c r="F7025" s="1297"/>
      <c r="G7025" s="1297"/>
      <c r="H7025" s="1297"/>
      <c r="I7025" s="1297"/>
      <c r="J7025" s="1297"/>
      <c r="K7025" s="1297"/>
    </row>
    <row r="7026" spans="2:11">
      <c r="B7026" s="1297"/>
      <c r="C7026" s="1297"/>
      <c r="D7026" s="1297"/>
      <c r="E7026" s="1297"/>
      <c r="F7026" s="1297"/>
      <c r="G7026" s="1297"/>
      <c r="H7026" s="1297"/>
      <c r="I7026" s="1297"/>
      <c r="J7026" s="1297"/>
      <c r="K7026" s="1297"/>
    </row>
    <row r="7027" spans="2:11">
      <c r="B7027" s="1297"/>
      <c r="C7027" s="1297"/>
      <c r="D7027" s="1297"/>
      <c r="E7027" s="1297"/>
      <c r="F7027" s="1297"/>
      <c r="G7027" s="1297"/>
      <c r="H7027" s="1297"/>
      <c r="I7027" s="1297"/>
      <c r="J7027" s="1297"/>
      <c r="K7027" s="1297"/>
    </row>
    <row r="7028" spans="2:11">
      <c r="B7028" s="1297"/>
      <c r="C7028" s="1297"/>
      <c r="D7028" s="1297"/>
      <c r="E7028" s="1297"/>
      <c r="F7028" s="1297"/>
      <c r="G7028" s="1297"/>
      <c r="H7028" s="1297"/>
      <c r="I7028" s="1297"/>
      <c r="J7028" s="1297"/>
      <c r="K7028" s="1297"/>
    </row>
    <row r="7029" spans="2:11">
      <c r="B7029" s="1297"/>
      <c r="C7029" s="1297"/>
      <c r="D7029" s="1297"/>
      <c r="E7029" s="1297"/>
      <c r="F7029" s="1297"/>
      <c r="G7029" s="1297"/>
      <c r="H7029" s="1297"/>
      <c r="I7029" s="1297"/>
      <c r="J7029" s="1297"/>
      <c r="K7029" s="1297"/>
    </row>
    <row r="7030" spans="2:11">
      <c r="B7030" s="1297"/>
      <c r="C7030" s="1297"/>
      <c r="D7030" s="1297"/>
      <c r="E7030" s="1297"/>
      <c r="F7030" s="1297"/>
      <c r="G7030" s="1297"/>
      <c r="H7030" s="1297"/>
      <c r="I7030" s="1297"/>
      <c r="J7030" s="1297"/>
      <c r="K7030" s="1297"/>
    </row>
    <row r="7031" spans="2:11">
      <c r="B7031" s="1297"/>
      <c r="C7031" s="1297"/>
      <c r="D7031" s="1297"/>
      <c r="E7031" s="1297"/>
      <c r="F7031" s="1297"/>
      <c r="G7031" s="1297"/>
      <c r="H7031" s="1297"/>
      <c r="I7031" s="1297"/>
      <c r="J7031" s="1297"/>
      <c r="K7031" s="1297"/>
    </row>
    <row r="7032" spans="2:11">
      <c r="B7032" s="1297"/>
      <c r="C7032" s="1297"/>
      <c r="D7032" s="1297"/>
      <c r="E7032" s="1297"/>
      <c r="F7032" s="1297"/>
      <c r="G7032" s="1297"/>
      <c r="H7032" s="1297"/>
      <c r="I7032" s="1297"/>
      <c r="J7032" s="1297"/>
      <c r="K7032" s="1297"/>
    </row>
    <row r="7033" spans="2:11">
      <c r="B7033" s="1297"/>
      <c r="C7033" s="1297"/>
      <c r="D7033" s="1297"/>
      <c r="E7033" s="1297"/>
      <c r="F7033" s="1297"/>
      <c r="G7033" s="1297"/>
      <c r="H7033" s="1297"/>
      <c r="I7033" s="1297"/>
      <c r="J7033" s="1297"/>
      <c r="K7033" s="1297"/>
    </row>
    <row r="7034" spans="2:11">
      <c r="B7034" s="1297"/>
      <c r="C7034" s="1297"/>
      <c r="D7034" s="1297"/>
      <c r="E7034" s="1297"/>
      <c r="F7034" s="1297"/>
      <c r="G7034" s="1297"/>
      <c r="H7034" s="1297"/>
      <c r="I7034" s="1297"/>
      <c r="J7034" s="1297"/>
      <c r="K7034" s="1297"/>
    </row>
    <row r="7035" spans="2:11">
      <c r="B7035" s="1297"/>
      <c r="C7035" s="1297"/>
      <c r="D7035" s="1297"/>
      <c r="E7035" s="1297"/>
      <c r="F7035" s="1297"/>
      <c r="G7035" s="1297"/>
      <c r="H7035" s="1297"/>
      <c r="I7035" s="1297"/>
      <c r="J7035" s="1297"/>
      <c r="K7035" s="1297"/>
    </row>
    <row r="7036" spans="2:11">
      <c r="B7036" s="1297"/>
      <c r="C7036" s="1297"/>
      <c r="D7036" s="1297"/>
      <c r="E7036" s="1297"/>
      <c r="F7036" s="1297"/>
      <c r="G7036" s="1297"/>
      <c r="H7036" s="1297"/>
      <c r="I7036" s="1297"/>
      <c r="J7036" s="1297"/>
      <c r="K7036" s="1297"/>
    </row>
    <row r="7037" spans="2:11">
      <c r="B7037" s="1297"/>
      <c r="C7037" s="1297"/>
      <c r="D7037" s="1297"/>
      <c r="E7037" s="1297"/>
      <c r="F7037" s="1297"/>
      <c r="G7037" s="1297"/>
      <c r="H7037" s="1297"/>
      <c r="I7037" s="1297"/>
      <c r="J7037" s="1297"/>
      <c r="K7037" s="1297"/>
    </row>
    <row r="7038" spans="2:11">
      <c r="B7038" s="1297"/>
      <c r="C7038" s="1297"/>
      <c r="D7038" s="1297"/>
      <c r="E7038" s="1297"/>
      <c r="F7038" s="1297"/>
      <c r="G7038" s="1297"/>
      <c r="H7038" s="1297"/>
      <c r="I7038" s="1297"/>
      <c r="J7038" s="1297"/>
      <c r="K7038" s="1297"/>
    </row>
    <row r="7039" spans="2:11">
      <c r="B7039" s="1297"/>
      <c r="C7039" s="1297"/>
      <c r="D7039" s="1297"/>
      <c r="E7039" s="1297"/>
      <c r="F7039" s="1297"/>
      <c r="G7039" s="1297"/>
      <c r="H7039" s="1297"/>
      <c r="I7039" s="1297"/>
      <c r="J7039" s="1297"/>
      <c r="K7039" s="1297"/>
    </row>
    <row r="7040" spans="2:11">
      <c r="B7040" s="1297"/>
      <c r="C7040" s="1297"/>
      <c r="D7040" s="1297"/>
      <c r="E7040" s="1297"/>
      <c r="F7040" s="1297"/>
      <c r="G7040" s="1297"/>
      <c r="H7040" s="1297"/>
      <c r="I7040" s="1297"/>
      <c r="J7040" s="1297"/>
      <c r="K7040" s="1297"/>
    </row>
    <row r="7041" spans="2:11">
      <c r="B7041" s="1297"/>
      <c r="C7041" s="1297"/>
      <c r="D7041" s="1297"/>
      <c r="E7041" s="1297"/>
      <c r="F7041" s="1297"/>
      <c r="G7041" s="1297"/>
      <c r="H7041" s="1297"/>
      <c r="I7041" s="1297"/>
      <c r="J7041" s="1297"/>
      <c r="K7041" s="1297"/>
    </row>
    <row r="7042" spans="2:11">
      <c r="B7042" s="1297"/>
      <c r="C7042" s="1297"/>
      <c r="D7042" s="1297"/>
      <c r="E7042" s="1297"/>
      <c r="F7042" s="1297"/>
      <c r="G7042" s="1297"/>
      <c r="H7042" s="1297"/>
      <c r="I7042" s="1297"/>
      <c r="J7042" s="1297"/>
      <c r="K7042" s="1297"/>
    </row>
    <row r="7043" spans="2:11">
      <c r="B7043" s="1297"/>
      <c r="C7043" s="1297"/>
      <c r="D7043" s="1297"/>
      <c r="E7043" s="1297"/>
      <c r="F7043" s="1297"/>
      <c r="G7043" s="1297"/>
      <c r="H7043" s="1297"/>
      <c r="I7043" s="1297"/>
      <c r="J7043" s="1297"/>
      <c r="K7043" s="1297"/>
    </row>
    <row r="7044" spans="2:11">
      <c r="B7044" s="1297"/>
      <c r="C7044" s="1297"/>
      <c r="D7044" s="1297"/>
      <c r="E7044" s="1297"/>
      <c r="F7044" s="1297"/>
      <c r="G7044" s="1297"/>
      <c r="H7044" s="1297"/>
      <c r="I7044" s="1297"/>
      <c r="J7044" s="1297"/>
      <c r="K7044" s="1297"/>
    </row>
    <row r="7045" spans="2:11">
      <c r="B7045" s="1297"/>
      <c r="C7045" s="1297"/>
      <c r="D7045" s="1297"/>
      <c r="E7045" s="1297"/>
      <c r="F7045" s="1297"/>
      <c r="G7045" s="1297"/>
      <c r="H7045" s="1297"/>
      <c r="I7045" s="1297"/>
      <c r="J7045" s="1297"/>
      <c r="K7045" s="1297"/>
    </row>
    <row r="7046" spans="2:11">
      <c r="B7046" s="1297"/>
      <c r="C7046" s="1297"/>
      <c r="D7046" s="1297"/>
      <c r="E7046" s="1297"/>
      <c r="F7046" s="1297"/>
      <c r="G7046" s="1297"/>
      <c r="H7046" s="1297"/>
      <c r="I7046" s="1297"/>
      <c r="J7046" s="1297"/>
      <c r="K7046" s="1297"/>
    </row>
    <row r="7047" spans="2:11">
      <c r="B7047" s="1297"/>
      <c r="C7047" s="1297"/>
      <c r="D7047" s="1297"/>
      <c r="E7047" s="1297"/>
      <c r="F7047" s="1297"/>
      <c r="G7047" s="1297"/>
      <c r="H7047" s="1297"/>
      <c r="I7047" s="1297"/>
      <c r="J7047" s="1297"/>
      <c r="K7047" s="1297"/>
    </row>
    <row r="7048" spans="2:11">
      <c r="B7048" s="1297"/>
      <c r="C7048" s="1297"/>
      <c r="D7048" s="1297"/>
      <c r="E7048" s="1297"/>
      <c r="F7048" s="1297"/>
      <c r="G7048" s="1297"/>
      <c r="H7048" s="1297"/>
      <c r="I7048" s="1297"/>
      <c r="J7048" s="1297"/>
      <c r="K7048" s="1297"/>
    </row>
    <row r="7049" spans="2:11">
      <c r="B7049" s="1297"/>
      <c r="C7049" s="1297"/>
      <c r="D7049" s="1297"/>
      <c r="E7049" s="1297"/>
      <c r="F7049" s="1297"/>
      <c r="G7049" s="1297"/>
      <c r="H7049" s="1297"/>
      <c r="I7049" s="1297"/>
      <c r="J7049" s="1297"/>
      <c r="K7049" s="1297"/>
    </row>
    <row r="7050" spans="2:11">
      <c r="B7050" s="1297"/>
      <c r="C7050" s="1297"/>
      <c r="D7050" s="1297"/>
      <c r="E7050" s="1297"/>
      <c r="F7050" s="1297"/>
      <c r="G7050" s="1297"/>
      <c r="H7050" s="1297"/>
      <c r="I7050" s="1297"/>
      <c r="J7050" s="1297"/>
      <c r="K7050" s="1297"/>
    </row>
    <row r="7051" spans="2:11">
      <c r="B7051" s="1297"/>
      <c r="C7051" s="1297"/>
      <c r="D7051" s="1297"/>
      <c r="E7051" s="1297"/>
      <c r="F7051" s="1297"/>
      <c r="G7051" s="1297"/>
      <c r="H7051" s="1297"/>
      <c r="I7051" s="1297"/>
      <c r="J7051" s="1297"/>
      <c r="K7051" s="1297"/>
    </row>
    <row r="7052" spans="2:11">
      <c r="B7052" s="1297"/>
      <c r="C7052" s="1297"/>
      <c r="D7052" s="1297"/>
      <c r="E7052" s="1297"/>
      <c r="F7052" s="1297"/>
      <c r="G7052" s="1297"/>
      <c r="H7052" s="1297"/>
      <c r="I7052" s="1297"/>
      <c r="J7052" s="1297"/>
      <c r="K7052" s="1297"/>
    </row>
    <row r="7053" spans="2:11">
      <c r="B7053" s="1297"/>
      <c r="C7053" s="1297"/>
      <c r="D7053" s="1297"/>
      <c r="E7053" s="1297"/>
      <c r="F7053" s="1297"/>
      <c r="G7053" s="1297"/>
      <c r="H7053" s="1297"/>
      <c r="I7053" s="1297"/>
      <c r="J7053" s="1297"/>
      <c r="K7053" s="1297"/>
    </row>
    <row r="7054" spans="2:11">
      <c r="B7054" s="1297"/>
      <c r="C7054" s="1297"/>
      <c r="D7054" s="1297"/>
      <c r="E7054" s="1297"/>
      <c r="F7054" s="1297"/>
      <c r="G7054" s="1297"/>
      <c r="H7054" s="1297"/>
      <c r="I7054" s="1297"/>
      <c r="J7054" s="1297"/>
      <c r="K7054" s="1297"/>
    </row>
    <row r="7055" spans="2:11">
      <c r="B7055" s="1297"/>
      <c r="C7055" s="1297"/>
      <c r="D7055" s="1297"/>
      <c r="E7055" s="1297"/>
      <c r="F7055" s="1297"/>
      <c r="G7055" s="1297"/>
      <c r="H7055" s="1297"/>
      <c r="I7055" s="1297"/>
      <c r="J7055" s="1297"/>
      <c r="K7055" s="1297"/>
    </row>
    <row r="7056" spans="2:11">
      <c r="B7056" s="1297"/>
      <c r="C7056" s="1297"/>
      <c r="D7056" s="1297"/>
      <c r="E7056" s="1297"/>
      <c r="F7056" s="1297"/>
      <c r="G7056" s="1297"/>
      <c r="H7056" s="1297"/>
      <c r="I7056" s="1297"/>
      <c r="J7056" s="1297"/>
      <c r="K7056" s="1297"/>
    </row>
    <row r="7057" spans="2:11">
      <c r="B7057" s="1297"/>
      <c r="C7057" s="1297"/>
      <c r="D7057" s="1297"/>
      <c r="E7057" s="1297"/>
      <c r="F7057" s="1297"/>
      <c r="G7057" s="1297"/>
      <c r="H7057" s="1297"/>
      <c r="I7057" s="1297"/>
      <c r="J7057" s="1297"/>
      <c r="K7057" s="1297"/>
    </row>
    <row r="7058" spans="2:11">
      <c r="B7058" s="1297"/>
      <c r="C7058" s="1297"/>
      <c r="D7058" s="1297"/>
      <c r="E7058" s="1297"/>
      <c r="F7058" s="1297"/>
      <c r="G7058" s="1297"/>
      <c r="H7058" s="1297"/>
      <c r="I7058" s="1297"/>
      <c r="J7058" s="1297"/>
      <c r="K7058" s="1297"/>
    </row>
    <row r="7059" spans="2:11">
      <c r="B7059" s="1297"/>
      <c r="C7059" s="1297"/>
      <c r="D7059" s="1297"/>
      <c r="E7059" s="1297"/>
      <c r="F7059" s="1297"/>
      <c r="G7059" s="1297"/>
      <c r="H7059" s="1297"/>
      <c r="I7059" s="1297"/>
      <c r="J7059" s="1297"/>
      <c r="K7059" s="1297"/>
    </row>
    <row r="7060" spans="2:11">
      <c r="B7060" s="1297"/>
      <c r="C7060" s="1297"/>
      <c r="D7060" s="1297"/>
      <c r="E7060" s="1297"/>
      <c r="F7060" s="1297"/>
      <c r="G7060" s="1297"/>
      <c r="H7060" s="1297"/>
      <c r="I7060" s="1297"/>
      <c r="J7060" s="1297"/>
      <c r="K7060" s="1297"/>
    </row>
    <row r="7061" spans="2:11">
      <c r="B7061" s="1297"/>
      <c r="C7061" s="1297"/>
      <c r="D7061" s="1297"/>
      <c r="E7061" s="1297"/>
      <c r="F7061" s="1297"/>
      <c r="G7061" s="1297"/>
      <c r="H7061" s="1297"/>
      <c r="I7061" s="1297"/>
      <c r="J7061" s="1297"/>
      <c r="K7061" s="1297"/>
    </row>
    <row r="7062" spans="2:11">
      <c r="B7062" s="1297"/>
      <c r="C7062" s="1297"/>
      <c r="D7062" s="1297"/>
      <c r="E7062" s="1297"/>
      <c r="F7062" s="1297"/>
      <c r="G7062" s="1297"/>
      <c r="H7062" s="1297"/>
      <c r="I7062" s="1297"/>
      <c r="J7062" s="1297"/>
      <c r="K7062" s="1297"/>
    </row>
    <row r="7063" spans="2:11">
      <c r="B7063" s="1297"/>
      <c r="C7063" s="1297"/>
      <c r="D7063" s="1297"/>
      <c r="E7063" s="1297"/>
      <c r="F7063" s="1297"/>
      <c r="G7063" s="1297"/>
      <c r="H7063" s="1297"/>
      <c r="I7063" s="1297"/>
      <c r="J7063" s="1297"/>
      <c r="K7063" s="1297"/>
    </row>
    <row r="7064" spans="2:11">
      <c r="B7064" s="1297"/>
      <c r="C7064" s="1297"/>
      <c r="D7064" s="1297"/>
      <c r="E7064" s="1297"/>
      <c r="F7064" s="1297"/>
      <c r="G7064" s="1297"/>
      <c r="H7064" s="1297"/>
      <c r="I7064" s="1297"/>
      <c r="J7064" s="1297"/>
      <c r="K7064" s="1297"/>
    </row>
    <row r="7065" spans="2:11">
      <c r="B7065" s="1297"/>
      <c r="C7065" s="1297"/>
      <c r="D7065" s="1297"/>
      <c r="E7065" s="1297"/>
      <c r="F7065" s="1297"/>
      <c r="G7065" s="1297"/>
      <c r="H7065" s="1297"/>
      <c r="I7065" s="1297"/>
      <c r="J7065" s="1297"/>
      <c r="K7065" s="1297"/>
    </row>
    <row r="7066" spans="2:11">
      <c r="B7066" s="1297"/>
      <c r="C7066" s="1297"/>
      <c r="D7066" s="1297"/>
      <c r="E7066" s="1297"/>
      <c r="F7066" s="1297"/>
      <c r="G7066" s="1297"/>
      <c r="H7066" s="1297"/>
      <c r="I7066" s="1297"/>
      <c r="J7066" s="1297"/>
      <c r="K7066" s="1297"/>
    </row>
    <row r="7067" spans="2:11">
      <c r="B7067" s="1297"/>
      <c r="C7067" s="1297"/>
      <c r="D7067" s="1297"/>
      <c r="E7067" s="1297"/>
      <c r="F7067" s="1297"/>
      <c r="G7067" s="1297"/>
      <c r="H7067" s="1297"/>
      <c r="I7067" s="1297"/>
      <c r="J7067" s="1297"/>
      <c r="K7067" s="1297"/>
    </row>
    <row r="7068" spans="2:11">
      <c r="B7068" s="1297"/>
      <c r="C7068" s="1297"/>
      <c r="D7068" s="1297"/>
      <c r="E7068" s="1297"/>
      <c r="F7068" s="1297"/>
      <c r="G7068" s="1297"/>
      <c r="H7068" s="1297"/>
      <c r="I7068" s="1297"/>
      <c r="J7068" s="1297"/>
      <c r="K7068" s="1297"/>
    </row>
    <row r="7069" spans="2:11">
      <c r="B7069" s="1297"/>
      <c r="C7069" s="1297"/>
      <c r="D7069" s="1297"/>
      <c r="E7069" s="1297"/>
      <c r="F7069" s="1297"/>
      <c r="G7069" s="1297"/>
      <c r="H7069" s="1297"/>
      <c r="I7069" s="1297"/>
      <c r="J7069" s="1297"/>
      <c r="K7069" s="1297"/>
    </row>
    <row r="7070" spans="2:11">
      <c r="B7070" s="1297"/>
      <c r="C7070" s="1297"/>
      <c r="D7070" s="1297"/>
      <c r="E7070" s="1297"/>
      <c r="F7070" s="1297"/>
      <c r="G7070" s="1297"/>
      <c r="H7070" s="1297"/>
      <c r="I7070" s="1297"/>
      <c r="J7070" s="1297"/>
      <c r="K7070" s="1297"/>
    </row>
    <row r="7071" spans="2:11">
      <c r="B7071" s="1297"/>
      <c r="C7071" s="1297"/>
      <c r="D7071" s="1297"/>
      <c r="E7071" s="1297"/>
      <c r="F7071" s="1297"/>
      <c r="G7071" s="1297"/>
      <c r="H7071" s="1297"/>
      <c r="I7071" s="1297"/>
      <c r="J7071" s="1297"/>
      <c r="K7071" s="1297"/>
    </row>
    <row r="7072" spans="2:11">
      <c r="B7072" s="1297"/>
      <c r="C7072" s="1297"/>
      <c r="D7072" s="1297"/>
      <c r="E7072" s="1297"/>
      <c r="F7072" s="1297"/>
      <c r="G7072" s="1297"/>
      <c r="H7072" s="1297"/>
      <c r="I7072" s="1297"/>
      <c r="J7072" s="1297"/>
      <c r="K7072" s="1297"/>
    </row>
    <row r="7073" spans="2:11">
      <c r="B7073" s="1297"/>
      <c r="C7073" s="1297"/>
      <c r="D7073" s="1297"/>
      <c r="E7073" s="1297"/>
      <c r="F7073" s="1297"/>
      <c r="G7073" s="1297"/>
      <c r="H7073" s="1297"/>
      <c r="I7073" s="1297"/>
      <c r="J7073" s="1297"/>
      <c r="K7073" s="1297"/>
    </row>
    <row r="7074" spans="2:11">
      <c r="B7074" s="1297"/>
      <c r="C7074" s="1297"/>
      <c r="D7074" s="1297"/>
      <c r="E7074" s="1297"/>
      <c r="F7074" s="1297"/>
      <c r="G7074" s="1297"/>
      <c r="H7074" s="1297"/>
      <c r="I7074" s="1297"/>
      <c r="J7074" s="1297"/>
      <c r="K7074" s="1297"/>
    </row>
    <row r="7075" spans="2:11">
      <c r="B7075" s="1297"/>
      <c r="C7075" s="1297"/>
      <c r="D7075" s="1297"/>
      <c r="E7075" s="1297"/>
      <c r="F7075" s="1297"/>
      <c r="G7075" s="1297"/>
      <c r="H7075" s="1297"/>
      <c r="I7075" s="1297"/>
      <c r="J7075" s="1297"/>
      <c r="K7075" s="1297"/>
    </row>
    <row r="7076" spans="2:11">
      <c r="B7076" s="1297"/>
      <c r="C7076" s="1297"/>
      <c r="D7076" s="1297"/>
      <c r="E7076" s="1297"/>
      <c r="F7076" s="1297"/>
      <c r="G7076" s="1297"/>
      <c r="H7076" s="1297"/>
      <c r="I7076" s="1297"/>
      <c r="J7076" s="1297"/>
      <c r="K7076" s="1297"/>
    </row>
    <row r="7077" spans="2:11">
      <c r="B7077" s="1297"/>
      <c r="C7077" s="1297"/>
      <c r="D7077" s="1297"/>
      <c r="E7077" s="1297"/>
      <c r="F7077" s="1297"/>
      <c r="G7077" s="1297"/>
      <c r="H7077" s="1297"/>
      <c r="I7077" s="1297"/>
      <c r="J7077" s="1297"/>
      <c r="K7077" s="1297"/>
    </row>
    <row r="7078" spans="2:11">
      <c r="B7078" s="1297"/>
      <c r="C7078" s="1297"/>
      <c r="D7078" s="1297"/>
      <c r="E7078" s="1297"/>
      <c r="F7078" s="1297"/>
      <c r="G7078" s="1297"/>
      <c r="H7078" s="1297"/>
      <c r="I7078" s="1297"/>
      <c r="J7078" s="1297"/>
      <c r="K7078" s="1297"/>
    </row>
    <row r="7079" spans="2:11">
      <c r="B7079" s="1297"/>
      <c r="C7079" s="1297"/>
      <c r="D7079" s="1297"/>
      <c r="E7079" s="1297"/>
      <c r="F7079" s="1297"/>
      <c r="G7079" s="1297"/>
      <c r="H7079" s="1297"/>
      <c r="I7079" s="1297"/>
      <c r="J7079" s="1297"/>
      <c r="K7079" s="1297"/>
    </row>
    <row r="7080" spans="2:11">
      <c r="B7080" s="1297"/>
      <c r="C7080" s="1297"/>
      <c r="D7080" s="1297"/>
      <c r="E7080" s="1297"/>
      <c r="F7080" s="1297"/>
      <c r="G7080" s="1297"/>
      <c r="H7080" s="1297"/>
      <c r="I7080" s="1297"/>
      <c r="J7080" s="1297"/>
      <c r="K7080" s="1297"/>
    </row>
    <row r="7081" spans="2:11">
      <c r="B7081" s="1297"/>
      <c r="C7081" s="1297"/>
      <c r="D7081" s="1297"/>
      <c r="E7081" s="1297"/>
      <c r="F7081" s="1297"/>
      <c r="G7081" s="1297"/>
      <c r="H7081" s="1297"/>
      <c r="I7081" s="1297"/>
      <c r="J7081" s="1297"/>
      <c r="K7081" s="1297"/>
    </row>
    <row r="7082" spans="2:11">
      <c r="B7082" s="1297"/>
      <c r="C7082" s="1297"/>
      <c r="D7082" s="1297"/>
      <c r="E7082" s="1297"/>
      <c r="F7082" s="1297"/>
      <c r="G7082" s="1297"/>
      <c r="H7082" s="1297"/>
      <c r="I7082" s="1297"/>
      <c r="J7082" s="1297"/>
      <c r="K7082" s="1297"/>
    </row>
    <row r="7083" spans="2:11">
      <c r="B7083" s="1297"/>
      <c r="C7083" s="1297"/>
      <c r="D7083" s="1297"/>
      <c r="E7083" s="1297"/>
      <c r="F7083" s="1297"/>
      <c r="G7083" s="1297"/>
      <c r="H7083" s="1297"/>
      <c r="I7083" s="1297"/>
      <c r="J7083" s="1297"/>
      <c r="K7083" s="1297"/>
    </row>
    <row r="7084" spans="2:11">
      <c r="B7084" s="1297"/>
      <c r="C7084" s="1297"/>
      <c r="D7084" s="1297"/>
      <c r="E7084" s="1297"/>
      <c r="F7084" s="1297"/>
      <c r="G7084" s="1297"/>
      <c r="H7084" s="1297"/>
      <c r="I7084" s="1297"/>
      <c r="J7084" s="1297"/>
      <c r="K7084" s="1297"/>
    </row>
    <row r="7085" spans="2:11">
      <c r="B7085" s="1297"/>
      <c r="C7085" s="1297"/>
      <c r="D7085" s="1297"/>
      <c r="E7085" s="1297"/>
      <c r="F7085" s="1297"/>
      <c r="G7085" s="1297"/>
      <c r="H7085" s="1297"/>
      <c r="I7085" s="1297"/>
      <c r="J7085" s="1297"/>
      <c r="K7085" s="1297"/>
    </row>
    <row r="7086" spans="2:11">
      <c r="B7086" s="1297"/>
      <c r="C7086" s="1297"/>
      <c r="D7086" s="1297"/>
      <c r="E7086" s="1297"/>
      <c r="F7086" s="1297"/>
      <c r="G7086" s="1297"/>
      <c r="H7086" s="1297"/>
      <c r="I7086" s="1297"/>
      <c r="J7086" s="1297"/>
      <c r="K7086" s="1297"/>
    </row>
    <row r="7087" spans="2:11">
      <c r="B7087" s="1297"/>
      <c r="C7087" s="1297"/>
      <c r="D7087" s="1297"/>
      <c r="E7087" s="1297"/>
      <c r="F7087" s="1297"/>
      <c r="G7087" s="1297"/>
      <c r="H7087" s="1297"/>
      <c r="I7087" s="1297"/>
      <c r="J7087" s="1297"/>
      <c r="K7087" s="1297"/>
    </row>
    <row r="7088" spans="2:11">
      <c r="B7088" s="1297"/>
      <c r="C7088" s="1297"/>
      <c r="D7088" s="1297"/>
      <c r="E7088" s="1297"/>
      <c r="F7088" s="1297"/>
      <c r="G7088" s="1297"/>
      <c r="H7088" s="1297"/>
      <c r="I7088" s="1297"/>
      <c r="J7088" s="1297"/>
      <c r="K7088" s="1297"/>
    </row>
    <row r="7089" spans="2:11">
      <c r="B7089" s="1297"/>
      <c r="C7089" s="1297"/>
      <c r="D7089" s="1297"/>
      <c r="E7089" s="1297"/>
      <c r="F7089" s="1297"/>
      <c r="G7089" s="1297"/>
      <c r="H7089" s="1297"/>
      <c r="I7089" s="1297"/>
      <c r="J7089" s="1297"/>
      <c r="K7089" s="1297"/>
    </row>
    <row r="7090" spans="2:11">
      <c r="B7090" s="1297"/>
      <c r="C7090" s="1297"/>
      <c r="D7090" s="1297"/>
      <c r="E7090" s="1297"/>
      <c r="F7090" s="1297"/>
      <c r="G7090" s="1297"/>
      <c r="H7090" s="1297"/>
      <c r="I7090" s="1297"/>
      <c r="J7090" s="1297"/>
      <c r="K7090" s="1297"/>
    </row>
    <row r="7091" spans="2:11">
      <c r="B7091" s="1297"/>
      <c r="C7091" s="1297"/>
      <c r="D7091" s="1297"/>
      <c r="E7091" s="1297"/>
      <c r="F7091" s="1297"/>
      <c r="G7091" s="1297"/>
      <c r="H7091" s="1297"/>
      <c r="I7091" s="1297"/>
      <c r="J7091" s="1297"/>
      <c r="K7091" s="1297"/>
    </row>
    <row r="7092" spans="2:11">
      <c r="B7092" s="1297"/>
      <c r="C7092" s="1297"/>
      <c r="D7092" s="1297"/>
      <c r="E7092" s="1297"/>
      <c r="F7092" s="1297"/>
      <c r="G7092" s="1297"/>
      <c r="H7092" s="1297"/>
      <c r="I7092" s="1297"/>
      <c r="J7092" s="1297"/>
      <c r="K7092" s="1297"/>
    </row>
    <row r="7093" spans="2:11">
      <c r="B7093" s="1297"/>
      <c r="C7093" s="1297"/>
      <c r="D7093" s="1297"/>
      <c r="E7093" s="1297"/>
      <c r="F7093" s="1297"/>
      <c r="G7093" s="1297"/>
      <c r="H7093" s="1297"/>
      <c r="I7093" s="1297"/>
      <c r="J7093" s="1297"/>
      <c r="K7093" s="1297"/>
    </row>
    <row r="7094" spans="2:11">
      <c r="B7094" s="1297"/>
      <c r="C7094" s="1297"/>
      <c r="D7094" s="1297"/>
      <c r="E7094" s="1297"/>
      <c r="F7094" s="1297"/>
      <c r="G7094" s="1297"/>
      <c r="H7094" s="1297"/>
      <c r="I7094" s="1297"/>
      <c r="J7094" s="1297"/>
      <c r="K7094" s="1297"/>
    </row>
    <row r="7095" spans="2:11">
      <c r="B7095" s="1297"/>
      <c r="C7095" s="1297"/>
      <c r="D7095" s="1297"/>
      <c r="E7095" s="1297"/>
      <c r="F7095" s="1297"/>
      <c r="G7095" s="1297"/>
      <c r="H7095" s="1297"/>
      <c r="I7095" s="1297"/>
      <c r="J7095" s="1297"/>
      <c r="K7095" s="1297"/>
    </row>
    <row r="7096" spans="2:11">
      <c r="B7096" s="1297"/>
      <c r="C7096" s="1297"/>
      <c r="D7096" s="1297"/>
      <c r="E7096" s="1297"/>
      <c r="F7096" s="1297"/>
      <c r="G7096" s="1297"/>
      <c r="H7096" s="1297"/>
      <c r="I7096" s="1297"/>
      <c r="J7096" s="1297"/>
      <c r="K7096" s="1297"/>
    </row>
    <row r="7097" spans="2:11">
      <c r="B7097" s="1297"/>
      <c r="C7097" s="1297"/>
      <c r="D7097" s="1297"/>
      <c r="E7097" s="1297"/>
      <c r="F7097" s="1297"/>
      <c r="G7097" s="1297"/>
      <c r="H7097" s="1297"/>
      <c r="I7097" s="1297"/>
      <c r="J7097" s="1297"/>
      <c r="K7097" s="1297"/>
    </row>
    <row r="7098" spans="2:11">
      <c r="B7098" s="1297"/>
      <c r="C7098" s="1297"/>
      <c r="D7098" s="1297"/>
      <c r="E7098" s="1297"/>
      <c r="F7098" s="1297"/>
      <c r="G7098" s="1297"/>
      <c r="H7098" s="1297"/>
      <c r="I7098" s="1297"/>
      <c r="J7098" s="1297"/>
      <c r="K7098" s="1297"/>
    </row>
    <row r="7099" spans="2:11">
      <c r="B7099" s="1297"/>
      <c r="C7099" s="1297"/>
      <c r="D7099" s="1297"/>
      <c r="E7099" s="1297"/>
      <c r="F7099" s="1297"/>
      <c r="G7099" s="1297"/>
      <c r="H7099" s="1297"/>
      <c r="I7099" s="1297"/>
      <c r="J7099" s="1297"/>
      <c r="K7099" s="1297"/>
    </row>
    <row r="7100" spans="2:11">
      <c r="B7100" s="1297"/>
      <c r="C7100" s="1297"/>
      <c r="D7100" s="1297"/>
      <c r="E7100" s="1297"/>
      <c r="F7100" s="1297"/>
      <c r="G7100" s="1297"/>
      <c r="H7100" s="1297"/>
      <c r="I7100" s="1297"/>
      <c r="J7100" s="1297"/>
      <c r="K7100" s="1297"/>
    </row>
    <row r="7101" spans="2:11">
      <c r="B7101" s="1297"/>
      <c r="C7101" s="1297"/>
      <c r="D7101" s="1297"/>
      <c r="E7101" s="1297"/>
      <c r="F7101" s="1297"/>
      <c r="G7101" s="1297"/>
      <c r="H7101" s="1297"/>
      <c r="I7101" s="1297"/>
      <c r="J7101" s="1297"/>
      <c r="K7101" s="1297"/>
    </row>
    <row r="7102" spans="2:11">
      <c r="B7102" s="1297"/>
      <c r="C7102" s="1297"/>
      <c r="D7102" s="1297"/>
      <c r="E7102" s="1297"/>
      <c r="F7102" s="1297"/>
      <c r="G7102" s="1297"/>
      <c r="H7102" s="1297"/>
      <c r="I7102" s="1297"/>
      <c r="J7102" s="1297"/>
      <c r="K7102" s="1297"/>
    </row>
    <row r="7103" spans="2:11">
      <c r="B7103" s="1297"/>
      <c r="C7103" s="1297"/>
      <c r="D7103" s="1297"/>
      <c r="E7103" s="1297"/>
      <c r="F7103" s="1297"/>
      <c r="G7103" s="1297"/>
      <c r="H7103" s="1297"/>
      <c r="I7103" s="1297"/>
      <c r="J7103" s="1297"/>
      <c r="K7103" s="1297"/>
    </row>
    <row r="7104" spans="2:11">
      <c r="B7104" s="1297"/>
      <c r="C7104" s="1297"/>
      <c r="D7104" s="1297"/>
      <c r="E7104" s="1297"/>
      <c r="F7104" s="1297"/>
      <c r="G7104" s="1297"/>
      <c r="H7104" s="1297"/>
      <c r="I7104" s="1297"/>
      <c r="J7104" s="1297"/>
      <c r="K7104" s="1297"/>
    </row>
    <row r="7105" spans="2:11">
      <c r="B7105" s="1297"/>
      <c r="C7105" s="1297"/>
      <c r="D7105" s="1297"/>
      <c r="E7105" s="1297"/>
      <c r="F7105" s="1297"/>
      <c r="G7105" s="1297"/>
      <c r="H7105" s="1297"/>
      <c r="I7105" s="1297"/>
      <c r="J7105" s="1297"/>
      <c r="K7105" s="1297"/>
    </row>
    <row r="7106" spans="2:11">
      <c r="B7106" s="1297"/>
      <c r="C7106" s="1297"/>
      <c r="D7106" s="1297"/>
      <c r="E7106" s="1297"/>
      <c r="F7106" s="1297"/>
      <c r="G7106" s="1297"/>
      <c r="H7106" s="1297"/>
      <c r="I7106" s="1297"/>
      <c r="J7106" s="1297"/>
      <c r="K7106" s="1297"/>
    </row>
    <row r="7107" spans="2:11">
      <c r="B7107" s="1297"/>
      <c r="C7107" s="1297"/>
      <c r="D7107" s="1297"/>
      <c r="E7107" s="1297"/>
      <c r="F7107" s="1297"/>
      <c r="G7107" s="1297"/>
      <c r="H7107" s="1297"/>
      <c r="I7107" s="1297"/>
      <c r="J7107" s="1297"/>
      <c r="K7107" s="1297"/>
    </row>
    <row r="7108" spans="2:11">
      <c r="B7108" s="1297"/>
      <c r="C7108" s="1297"/>
      <c r="D7108" s="1297"/>
      <c r="E7108" s="1297"/>
      <c r="F7108" s="1297"/>
      <c r="G7108" s="1297"/>
      <c r="H7108" s="1297"/>
      <c r="I7108" s="1297"/>
      <c r="J7108" s="1297"/>
      <c r="K7108" s="1297"/>
    </row>
    <row r="7109" spans="2:11">
      <c r="B7109" s="1297"/>
      <c r="C7109" s="1297"/>
      <c r="D7109" s="1297"/>
      <c r="E7109" s="1297"/>
      <c r="F7109" s="1297"/>
      <c r="G7109" s="1297"/>
      <c r="H7109" s="1297"/>
      <c r="I7109" s="1297"/>
      <c r="J7109" s="1297"/>
      <c r="K7109" s="1297"/>
    </row>
    <row r="7110" spans="2:11">
      <c r="B7110" s="1297"/>
      <c r="C7110" s="1297"/>
      <c r="D7110" s="1297"/>
      <c r="E7110" s="1297"/>
      <c r="F7110" s="1297"/>
      <c r="G7110" s="1297"/>
      <c r="H7110" s="1297"/>
      <c r="I7110" s="1297"/>
      <c r="J7110" s="1297"/>
      <c r="K7110" s="1297"/>
    </row>
    <row r="7111" spans="2:11">
      <c r="B7111" s="1297"/>
      <c r="C7111" s="1297"/>
      <c r="D7111" s="1297"/>
      <c r="E7111" s="1297"/>
      <c r="F7111" s="1297"/>
      <c r="G7111" s="1297"/>
      <c r="H7111" s="1297"/>
      <c r="I7111" s="1297"/>
      <c r="J7111" s="1297"/>
      <c r="K7111" s="1297"/>
    </row>
    <row r="7112" spans="2:11">
      <c r="B7112" s="1297"/>
      <c r="C7112" s="1297"/>
      <c r="D7112" s="1297"/>
      <c r="E7112" s="1297"/>
      <c r="F7112" s="1297"/>
      <c r="G7112" s="1297"/>
      <c r="H7112" s="1297"/>
      <c r="I7112" s="1297"/>
      <c r="J7112" s="1297"/>
      <c r="K7112" s="1297"/>
    </row>
    <row r="7113" spans="2:11">
      <c r="B7113" s="1297"/>
      <c r="C7113" s="1297"/>
      <c r="D7113" s="1297"/>
      <c r="E7113" s="1297"/>
      <c r="F7113" s="1297"/>
      <c r="G7113" s="1297"/>
      <c r="H7113" s="1297"/>
      <c r="I7113" s="1297"/>
      <c r="J7113" s="1297"/>
      <c r="K7113" s="1297"/>
    </row>
    <row r="7114" spans="2:11">
      <c r="B7114" s="1297"/>
      <c r="C7114" s="1297"/>
      <c r="D7114" s="1297"/>
      <c r="E7114" s="1297"/>
      <c r="F7114" s="1297"/>
      <c r="G7114" s="1297"/>
      <c r="H7114" s="1297"/>
      <c r="I7114" s="1297"/>
      <c r="J7114" s="1297"/>
      <c r="K7114" s="1297"/>
    </row>
    <row r="7115" spans="2:11">
      <c r="B7115" s="1297"/>
      <c r="C7115" s="1297"/>
      <c r="D7115" s="1297"/>
      <c r="E7115" s="1297"/>
      <c r="F7115" s="1297"/>
      <c r="G7115" s="1297"/>
      <c r="H7115" s="1297"/>
      <c r="I7115" s="1297"/>
      <c r="J7115" s="1297"/>
      <c r="K7115" s="1297"/>
    </row>
    <row r="7116" spans="2:11">
      <c r="B7116" s="1297"/>
      <c r="C7116" s="1297"/>
      <c r="D7116" s="1297"/>
      <c r="E7116" s="1297"/>
      <c r="F7116" s="1297"/>
      <c r="G7116" s="1297"/>
      <c r="H7116" s="1297"/>
      <c r="I7116" s="1297"/>
      <c r="J7116" s="1297"/>
      <c r="K7116" s="1297"/>
    </row>
    <row r="7117" spans="2:11">
      <c r="B7117" s="1297"/>
      <c r="C7117" s="1297"/>
      <c r="D7117" s="1297"/>
      <c r="E7117" s="1297"/>
      <c r="F7117" s="1297"/>
      <c r="G7117" s="1297"/>
      <c r="H7117" s="1297"/>
      <c r="I7117" s="1297"/>
      <c r="J7117" s="1297"/>
      <c r="K7117" s="1297"/>
    </row>
    <row r="7118" spans="2:11">
      <c r="B7118" s="1297"/>
      <c r="C7118" s="1297"/>
      <c r="D7118" s="1297"/>
      <c r="E7118" s="1297"/>
      <c r="F7118" s="1297"/>
      <c r="G7118" s="1297"/>
      <c r="H7118" s="1297"/>
      <c r="I7118" s="1297"/>
      <c r="J7118" s="1297"/>
      <c r="K7118" s="1297"/>
    </row>
    <row r="7119" spans="2:11">
      <c r="B7119" s="1297"/>
      <c r="C7119" s="1297"/>
      <c r="D7119" s="1297"/>
      <c r="E7119" s="1297"/>
      <c r="F7119" s="1297"/>
      <c r="G7119" s="1297"/>
      <c r="H7119" s="1297"/>
      <c r="I7119" s="1297"/>
      <c r="J7119" s="1297"/>
      <c r="K7119" s="1297"/>
    </row>
    <row r="7120" spans="2:11">
      <c r="B7120" s="1297"/>
      <c r="C7120" s="1297"/>
      <c r="D7120" s="1297"/>
      <c r="E7120" s="1297"/>
      <c r="F7120" s="1297"/>
      <c r="G7120" s="1297"/>
      <c r="H7120" s="1297"/>
      <c r="I7120" s="1297"/>
      <c r="J7120" s="1297"/>
      <c r="K7120" s="1297"/>
    </row>
    <row r="7121" spans="2:11">
      <c r="B7121" s="1297"/>
      <c r="C7121" s="1297"/>
      <c r="D7121" s="1297"/>
      <c r="E7121" s="1297"/>
      <c r="F7121" s="1297"/>
      <c r="G7121" s="1297"/>
      <c r="H7121" s="1297"/>
      <c r="I7121" s="1297"/>
      <c r="J7121" s="1297"/>
      <c r="K7121" s="1297"/>
    </row>
    <row r="7122" spans="2:11">
      <c r="B7122" s="1297"/>
      <c r="C7122" s="1297"/>
      <c r="D7122" s="1297"/>
      <c r="E7122" s="1297"/>
      <c r="F7122" s="1297"/>
      <c r="G7122" s="1297"/>
      <c r="H7122" s="1297"/>
      <c r="I7122" s="1297"/>
      <c r="J7122" s="1297"/>
      <c r="K7122" s="1297"/>
    </row>
    <row r="7123" spans="2:11">
      <c r="B7123" s="1297"/>
      <c r="C7123" s="1297"/>
      <c r="D7123" s="1297"/>
      <c r="E7123" s="1297"/>
      <c r="F7123" s="1297"/>
      <c r="G7123" s="1297"/>
      <c r="H7123" s="1297"/>
      <c r="I7123" s="1297"/>
      <c r="J7123" s="1297"/>
      <c r="K7123" s="1297"/>
    </row>
    <row r="7124" spans="2:11">
      <c r="B7124" s="1297"/>
      <c r="C7124" s="1297"/>
      <c r="D7124" s="1297"/>
      <c r="E7124" s="1297"/>
      <c r="F7124" s="1297"/>
      <c r="G7124" s="1297"/>
      <c r="H7124" s="1297"/>
      <c r="I7124" s="1297"/>
      <c r="J7124" s="1297"/>
      <c r="K7124" s="1297"/>
    </row>
    <row r="7125" spans="2:11">
      <c r="B7125" s="1297"/>
      <c r="C7125" s="1297"/>
      <c r="D7125" s="1297"/>
      <c r="E7125" s="1297"/>
      <c r="F7125" s="1297"/>
      <c r="G7125" s="1297"/>
      <c r="H7125" s="1297"/>
      <c r="I7125" s="1297"/>
      <c r="J7125" s="1297"/>
      <c r="K7125" s="1297"/>
    </row>
    <row r="7126" spans="2:11">
      <c r="B7126" s="1297"/>
      <c r="C7126" s="1297"/>
      <c r="D7126" s="1297"/>
      <c r="E7126" s="1297"/>
      <c r="F7126" s="1297"/>
      <c r="G7126" s="1297"/>
      <c r="H7126" s="1297"/>
      <c r="I7126" s="1297"/>
      <c r="J7126" s="1297"/>
      <c r="K7126" s="1297"/>
    </row>
    <row r="7127" spans="2:11">
      <c r="B7127" s="1297"/>
      <c r="C7127" s="1297"/>
      <c r="D7127" s="1297"/>
      <c r="E7127" s="1297"/>
      <c r="F7127" s="1297"/>
      <c r="G7127" s="1297"/>
      <c r="H7127" s="1297"/>
      <c r="I7127" s="1297"/>
      <c r="J7127" s="1297"/>
      <c r="K7127" s="1297"/>
    </row>
    <row r="7128" spans="2:11">
      <c r="B7128" s="1297"/>
      <c r="C7128" s="1297"/>
      <c r="D7128" s="1297"/>
      <c r="E7128" s="1297"/>
      <c r="F7128" s="1297"/>
      <c r="G7128" s="1297"/>
      <c r="H7128" s="1297"/>
      <c r="I7128" s="1297"/>
      <c r="J7128" s="1297"/>
      <c r="K7128" s="1297"/>
    </row>
    <row r="7129" spans="2:11">
      <c r="B7129" s="1297"/>
      <c r="C7129" s="1297"/>
      <c r="D7129" s="1297"/>
      <c r="E7129" s="1297"/>
      <c r="F7129" s="1297"/>
      <c r="G7129" s="1297"/>
      <c r="H7129" s="1297"/>
      <c r="I7129" s="1297"/>
      <c r="J7129" s="1297"/>
      <c r="K7129" s="1297"/>
    </row>
    <row r="7130" spans="2:11">
      <c r="B7130" s="1297"/>
      <c r="C7130" s="1297"/>
      <c r="D7130" s="1297"/>
      <c r="E7130" s="1297"/>
      <c r="F7130" s="1297"/>
      <c r="G7130" s="1297"/>
      <c r="H7130" s="1297"/>
      <c r="I7130" s="1297"/>
      <c r="J7130" s="1297"/>
      <c r="K7130" s="1297"/>
    </row>
    <row r="7131" spans="2:11">
      <c r="B7131" s="1297"/>
      <c r="C7131" s="1297"/>
      <c r="D7131" s="1297"/>
      <c r="E7131" s="1297"/>
      <c r="F7131" s="1297"/>
      <c r="G7131" s="1297"/>
      <c r="H7131" s="1297"/>
      <c r="I7131" s="1297"/>
      <c r="J7131" s="1297"/>
      <c r="K7131" s="1297"/>
    </row>
    <row r="7132" spans="2:11">
      <c r="B7132" s="1297"/>
      <c r="C7132" s="1297"/>
      <c r="D7132" s="1297"/>
      <c r="E7132" s="1297"/>
      <c r="F7132" s="1297"/>
      <c r="G7132" s="1297"/>
      <c r="H7132" s="1297"/>
      <c r="I7132" s="1297"/>
      <c r="J7132" s="1297"/>
      <c r="K7132" s="1297"/>
    </row>
    <row r="7133" spans="2:11">
      <c r="B7133" s="1297"/>
      <c r="C7133" s="1297"/>
      <c r="D7133" s="1297"/>
      <c r="E7133" s="1297"/>
      <c r="F7133" s="1297"/>
      <c r="G7133" s="1297"/>
      <c r="H7133" s="1297"/>
      <c r="I7133" s="1297"/>
      <c r="J7133" s="1297"/>
      <c r="K7133" s="1297"/>
    </row>
    <row r="7134" spans="2:11">
      <c r="B7134" s="1297"/>
      <c r="C7134" s="1297"/>
      <c r="D7134" s="1297"/>
      <c r="E7134" s="1297"/>
      <c r="F7134" s="1297"/>
      <c r="G7134" s="1297"/>
      <c r="H7134" s="1297"/>
      <c r="I7134" s="1297"/>
      <c r="J7134" s="1297"/>
      <c r="K7134" s="1297"/>
    </row>
    <row r="7135" spans="2:11">
      <c r="B7135" s="1297"/>
      <c r="C7135" s="1297"/>
      <c r="D7135" s="1297"/>
      <c r="E7135" s="1297"/>
      <c r="F7135" s="1297"/>
      <c r="G7135" s="1297"/>
      <c r="H7135" s="1297"/>
      <c r="I7135" s="1297"/>
      <c r="J7135" s="1297"/>
      <c r="K7135" s="1297"/>
    </row>
    <row r="7136" spans="2:11">
      <c r="B7136" s="1297"/>
      <c r="C7136" s="1297"/>
      <c r="D7136" s="1297"/>
      <c r="E7136" s="1297"/>
      <c r="F7136" s="1297"/>
      <c r="G7136" s="1297"/>
      <c r="H7136" s="1297"/>
      <c r="I7136" s="1297"/>
      <c r="J7136" s="1297"/>
      <c r="K7136" s="1297"/>
    </row>
    <row r="7137" spans="2:11">
      <c r="B7137" s="1297"/>
      <c r="C7137" s="1297"/>
      <c r="D7137" s="1297"/>
      <c r="E7137" s="1297"/>
      <c r="F7137" s="1297"/>
      <c r="G7137" s="1297"/>
      <c r="H7137" s="1297"/>
      <c r="I7137" s="1297"/>
      <c r="J7137" s="1297"/>
      <c r="K7137" s="1297"/>
    </row>
    <row r="7138" spans="2:11">
      <c r="B7138" s="1297"/>
      <c r="C7138" s="1297"/>
      <c r="D7138" s="1297"/>
      <c r="E7138" s="1297"/>
      <c r="F7138" s="1297"/>
      <c r="G7138" s="1297"/>
      <c r="H7138" s="1297"/>
      <c r="I7138" s="1297"/>
      <c r="J7138" s="1297"/>
      <c r="K7138" s="1297"/>
    </row>
    <row r="7139" spans="2:11">
      <c r="B7139" s="1297"/>
      <c r="C7139" s="1297"/>
      <c r="D7139" s="1297"/>
      <c r="E7139" s="1297"/>
      <c r="F7139" s="1297"/>
      <c r="G7139" s="1297"/>
      <c r="H7139" s="1297"/>
      <c r="I7139" s="1297"/>
      <c r="J7139" s="1297"/>
      <c r="K7139" s="1297"/>
    </row>
    <row r="7140" spans="2:11">
      <c r="B7140" s="1297"/>
      <c r="C7140" s="1297"/>
      <c r="D7140" s="1297"/>
      <c r="E7140" s="1297"/>
      <c r="F7140" s="1297"/>
      <c r="G7140" s="1297"/>
      <c r="H7140" s="1297"/>
      <c r="I7140" s="1297"/>
      <c r="J7140" s="1297"/>
      <c r="K7140" s="1297"/>
    </row>
    <row r="7141" spans="2:11">
      <c r="B7141" s="1297"/>
      <c r="C7141" s="1297"/>
      <c r="D7141" s="1297"/>
      <c r="E7141" s="1297"/>
      <c r="F7141" s="1297"/>
      <c r="G7141" s="1297"/>
      <c r="H7141" s="1297"/>
      <c r="I7141" s="1297"/>
      <c r="J7141" s="1297"/>
      <c r="K7141" s="1297"/>
    </row>
    <row r="7142" spans="2:11">
      <c r="B7142" s="1297"/>
      <c r="C7142" s="1297"/>
      <c r="D7142" s="1297"/>
      <c r="E7142" s="1297"/>
      <c r="F7142" s="1297"/>
      <c r="G7142" s="1297"/>
      <c r="H7142" s="1297"/>
      <c r="I7142" s="1297"/>
      <c r="J7142" s="1297"/>
      <c r="K7142" s="1297"/>
    </row>
    <row r="7143" spans="2:11">
      <c r="B7143" s="1297"/>
      <c r="C7143" s="1297"/>
      <c r="D7143" s="1297"/>
      <c r="E7143" s="1297"/>
      <c r="F7143" s="1297"/>
      <c r="G7143" s="1297"/>
      <c r="H7143" s="1297"/>
      <c r="I7143" s="1297"/>
      <c r="J7143" s="1297"/>
      <c r="K7143" s="1297"/>
    </row>
    <row r="7144" spans="2:11">
      <c r="B7144" s="1297"/>
      <c r="C7144" s="1297"/>
      <c r="D7144" s="1297"/>
      <c r="E7144" s="1297"/>
      <c r="F7144" s="1297"/>
      <c r="G7144" s="1297"/>
      <c r="H7144" s="1297"/>
      <c r="I7144" s="1297"/>
      <c r="J7144" s="1297"/>
      <c r="K7144" s="1297"/>
    </row>
    <row r="7145" spans="2:11">
      <c r="B7145" s="1297"/>
      <c r="C7145" s="1297"/>
      <c r="D7145" s="1297"/>
      <c r="E7145" s="1297"/>
      <c r="F7145" s="1297"/>
      <c r="G7145" s="1297"/>
      <c r="H7145" s="1297"/>
      <c r="I7145" s="1297"/>
      <c r="J7145" s="1297"/>
      <c r="K7145" s="1297"/>
    </row>
    <row r="7146" spans="2:11">
      <c r="B7146" s="1297"/>
      <c r="C7146" s="1297"/>
      <c r="D7146" s="1297"/>
      <c r="E7146" s="1297"/>
      <c r="F7146" s="1297"/>
      <c r="G7146" s="1297"/>
      <c r="H7146" s="1297"/>
      <c r="I7146" s="1297"/>
      <c r="J7146" s="1297"/>
      <c r="K7146" s="1297"/>
    </row>
    <row r="7147" spans="2:11">
      <c r="B7147" s="1297"/>
      <c r="C7147" s="1297"/>
      <c r="D7147" s="1297"/>
      <c r="E7147" s="1297"/>
      <c r="F7147" s="1297"/>
      <c r="G7147" s="1297"/>
      <c r="H7147" s="1297"/>
      <c r="I7147" s="1297"/>
      <c r="J7147" s="1297"/>
      <c r="K7147" s="1297"/>
    </row>
    <row r="7148" spans="2:11">
      <c r="B7148" s="1297"/>
      <c r="C7148" s="1297"/>
      <c r="D7148" s="1297"/>
      <c r="E7148" s="1297"/>
      <c r="F7148" s="1297"/>
      <c r="G7148" s="1297"/>
      <c r="H7148" s="1297"/>
      <c r="I7148" s="1297"/>
      <c r="J7148" s="1297"/>
      <c r="K7148" s="1297"/>
    </row>
    <row r="7149" spans="2:11">
      <c r="B7149" s="1297"/>
      <c r="C7149" s="1297"/>
      <c r="D7149" s="1297"/>
      <c r="E7149" s="1297"/>
      <c r="F7149" s="1297"/>
      <c r="G7149" s="1297"/>
      <c r="H7149" s="1297"/>
      <c r="I7149" s="1297"/>
      <c r="J7149" s="1297"/>
      <c r="K7149" s="1297"/>
    </row>
    <row r="7150" spans="2:11">
      <c r="B7150" s="1297"/>
      <c r="C7150" s="1297"/>
      <c r="D7150" s="1297"/>
      <c r="E7150" s="1297"/>
      <c r="F7150" s="1297"/>
      <c r="G7150" s="1297"/>
      <c r="H7150" s="1297"/>
      <c r="I7150" s="1297"/>
      <c r="J7150" s="1297"/>
      <c r="K7150" s="1297"/>
    </row>
    <row r="7151" spans="2:11">
      <c r="B7151" s="1297"/>
      <c r="C7151" s="1297"/>
      <c r="D7151" s="1297"/>
      <c r="E7151" s="1297"/>
      <c r="F7151" s="1297"/>
      <c r="G7151" s="1297"/>
      <c r="H7151" s="1297"/>
      <c r="I7151" s="1297"/>
      <c r="J7151" s="1297"/>
      <c r="K7151" s="1297"/>
    </row>
    <row r="7152" spans="2:11">
      <c r="B7152" s="1297"/>
      <c r="C7152" s="1297"/>
      <c r="D7152" s="1297"/>
      <c r="E7152" s="1297"/>
      <c r="F7152" s="1297"/>
      <c r="G7152" s="1297"/>
      <c r="H7152" s="1297"/>
      <c r="I7152" s="1297"/>
      <c r="J7152" s="1297"/>
      <c r="K7152" s="1297"/>
    </row>
    <row r="7153" spans="2:11">
      <c r="B7153" s="1297"/>
      <c r="C7153" s="1297"/>
      <c r="D7153" s="1297"/>
      <c r="E7153" s="1297"/>
      <c r="F7153" s="1297"/>
      <c r="G7153" s="1297"/>
      <c r="H7153" s="1297"/>
      <c r="I7153" s="1297"/>
      <c r="J7153" s="1297"/>
      <c r="K7153" s="1297"/>
    </row>
    <row r="7154" spans="2:11">
      <c r="B7154" s="1297"/>
      <c r="C7154" s="1297"/>
      <c r="D7154" s="1297"/>
      <c r="E7154" s="1297"/>
      <c r="F7154" s="1297"/>
      <c r="G7154" s="1297"/>
      <c r="H7154" s="1297"/>
      <c r="I7154" s="1297"/>
      <c r="J7154" s="1297"/>
      <c r="K7154" s="1297"/>
    </row>
    <row r="7155" spans="2:11">
      <c r="B7155" s="1297"/>
      <c r="C7155" s="1297"/>
      <c r="D7155" s="1297"/>
      <c r="E7155" s="1297"/>
      <c r="F7155" s="1297"/>
      <c r="G7155" s="1297"/>
      <c r="H7155" s="1297"/>
      <c r="I7155" s="1297"/>
      <c r="J7155" s="1297"/>
      <c r="K7155" s="1297"/>
    </row>
    <row r="7156" spans="2:11">
      <c r="B7156" s="1297"/>
      <c r="C7156" s="1297"/>
      <c r="D7156" s="1297"/>
      <c r="E7156" s="1297"/>
      <c r="F7156" s="1297"/>
      <c r="G7156" s="1297"/>
      <c r="H7156" s="1297"/>
      <c r="I7156" s="1297"/>
      <c r="J7156" s="1297"/>
      <c r="K7156" s="1297"/>
    </row>
    <row r="7157" spans="2:11">
      <c r="B7157" s="1297"/>
      <c r="C7157" s="1297"/>
      <c r="D7157" s="1297"/>
      <c r="E7157" s="1297"/>
      <c r="F7157" s="1297"/>
      <c r="G7157" s="1297"/>
      <c r="H7157" s="1297"/>
      <c r="I7157" s="1297"/>
      <c r="J7157" s="1297"/>
      <c r="K7157" s="1297"/>
    </row>
    <row r="7158" spans="2:11">
      <c r="B7158" s="1297"/>
      <c r="C7158" s="1297"/>
      <c r="D7158" s="1297"/>
      <c r="E7158" s="1297"/>
      <c r="F7158" s="1297"/>
      <c r="G7158" s="1297"/>
      <c r="H7158" s="1297"/>
      <c r="I7158" s="1297"/>
      <c r="J7158" s="1297"/>
      <c r="K7158" s="1297"/>
    </row>
    <row r="7159" spans="2:11">
      <c r="B7159" s="1297"/>
      <c r="C7159" s="1297"/>
      <c r="D7159" s="1297"/>
      <c r="E7159" s="1297"/>
      <c r="F7159" s="1297"/>
      <c r="G7159" s="1297"/>
      <c r="H7159" s="1297"/>
      <c r="I7159" s="1297"/>
      <c r="J7159" s="1297"/>
      <c r="K7159" s="1297"/>
    </row>
    <row r="7160" spans="2:11">
      <c r="B7160" s="1297"/>
      <c r="C7160" s="1297"/>
      <c r="D7160" s="1297"/>
      <c r="E7160" s="1297"/>
      <c r="F7160" s="1297"/>
      <c r="G7160" s="1297"/>
      <c r="H7160" s="1297"/>
      <c r="I7160" s="1297"/>
      <c r="J7160" s="1297"/>
      <c r="K7160" s="1297"/>
    </row>
    <row r="7161" spans="2:11">
      <c r="B7161" s="1297"/>
      <c r="C7161" s="1297"/>
      <c r="D7161" s="1297"/>
      <c r="E7161" s="1297"/>
      <c r="F7161" s="1297"/>
      <c r="G7161" s="1297"/>
      <c r="H7161" s="1297"/>
      <c r="I7161" s="1297"/>
      <c r="J7161" s="1297"/>
      <c r="K7161" s="1297"/>
    </row>
    <row r="7162" spans="2:11">
      <c r="B7162" s="1297"/>
      <c r="C7162" s="1297"/>
      <c r="D7162" s="1297"/>
      <c r="E7162" s="1297"/>
      <c r="F7162" s="1297"/>
      <c r="G7162" s="1297"/>
      <c r="H7162" s="1297"/>
      <c r="I7162" s="1297"/>
      <c r="J7162" s="1297"/>
      <c r="K7162" s="1297"/>
    </row>
    <row r="7163" spans="2:11">
      <c r="B7163" s="1297"/>
      <c r="C7163" s="1297"/>
      <c r="D7163" s="1297"/>
      <c r="E7163" s="1297"/>
      <c r="F7163" s="1297"/>
      <c r="G7163" s="1297"/>
      <c r="H7163" s="1297"/>
      <c r="I7163" s="1297"/>
      <c r="J7163" s="1297"/>
      <c r="K7163" s="1297"/>
    </row>
    <row r="7164" spans="2:11">
      <c r="B7164" s="1297"/>
      <c r="C7164" s="1297"/>
      <c r="D7164" s="1297"/>
      <c r="E7164" s="1297"/>
      <c r="F7164" s="1297"/>
      <c r="G7164" s="1297"/>
      <c r="H7164" s="1297"/>
      <c r="I7164" s="1297"/>
      <c r="J7164" s="1297"/>
      <c r="K7164" s="1297"/>
    </row>
    <row r="7165" spans="2:11">
      <c r="B7165" s="1297"/>
      <c r="C7165" s="1297"/>
      <c r="D7165" s="1297"/>
      <c r="E7165" s="1297"/>
      <c r="F7165" s="1297"/>
      <c r="G7165" s="1297"/>
      <c r="H7165" s="1297"/>
      <c r="I7165" s="1297"/>
      <c r="J7165" s="1297"/>
      <c r="K7165" s="1297"/>
    </row>
    <row r="7166" spans="2:11">
      <c r="B7166" s="1297"/>
      <c r="C7166" s="1297"/>
      <c r="D7166" s="1297"/>
      <c r="E7166" s="1297"/>
      <c r="F7166" s="1297"/>
      <c r="G7166" s="1297"/>
      <c r="H7166" s="1297"/>
      <c r="I7166" s="1297"/>
      <c r="J7166" s="1297"/>
      <c r="K7166" s="1297"/>
    </row>
    <row r="7167" spans="2:11">
      <c r="B7167" s="1297"/>
      <c r="C7167" s="1297"/>
      <c r="D7167" s="1297"/>
      <c r="E7167" s="1297"/>
      <c r="F7167" s="1297"/>
      <c r="G7167" s="1297"/>
      <c r="H7167" s="1297"/>
      <c r="I7167" s="1297"/>
      <c r="J7167" s="1297"/>
      <c r="K7167" s="1297"/>
    </row>
    <row r="7168" spans="2:11">
      <c r="B7168" s="1297"/>
      <c r="C7168" s="1297"/>
      <c r="D7168" s="1297"/>
      <c r="E7168" s="1297"/>
      <c r="F7168" s="1297"/>
      <c r="G7168" s="1297"/>
      <c r="H7168" s="1297"/>
      <c r="I7168" s="1297"/>
      <c r="J7168" s="1297"/>
      <c r="K7168" s="1297"/>
    </row>
    <row r="7169" spans="2:11">
      <c r="B7169" s="1297"/>
      <c r="C7169" s="1297"/>
      <c r="D7169" s="1297"/>
      <c r="E7169" s="1297"/>
      <c r="F7169" s="1297"/>
      <c r="G7169" s="1297"/>
      <c r="H7169" s="1297"/>
      <c r="I7169" s="1297"/>
      <c r="J7169" s="1297"/>
      <c r="K7169" s="1297"/>
    </row>
    <row r="7170" spans="2:11">
      <c r="B7170" s="1297"/>
      <c r="C7170" s="1297"/>
      <c r="D7170" s="1297"/>
      <c r="E7170" s="1297"/>
      <c r="F7170" s="1297"/>
      <c r="G7170" s="1297"/>
      <c r="H7170" s="1297"/>
      <c r="I7170" s="1297"/>
      <c r="J7170" s="1297"/>
      <c r="K7170" s="1297"/>
    </row>
    <row r="7171" spans="2:11">
      <c r="B7171" s="1297"/>
      <c r="C7171" s="1297"/>
      <c r="D7171" s="1297"/>
      <c r="E7171" s="1297"/>
      <c r="F7171" s="1297"/>
      <c r="G7171" s="1297"/>
      <c r="H7171" s="1297"/>
      <c r="I7171" s="1297"/>
      <c r="J7171" s="1297"/>
      <c r="K7171" s="1297"/>
    </row>
    <row r="7172" spans="2:11">
      <c r="B7172" s="1297"/>
      <c r="C7172" s="1297"/>
      <c r="D7172" s="1297"/>
      <c r="E7172" s="1297"/>
      <c r="F7172" s="1297"/>
      <c r="G7172" s="1297"/>
      <c r="H7172" s="1297"/>
      <c r="I7172" s="1297"/>
      <c r="J7172" s="1297"/>
      <c r="K7172" s="1297"/>
    </row>
    <row r="7173" spans="2:11">
      <c r="B7173" s="1297"/>
      <c r="C7173" s="1297"/>
      <c r="D7173" s="1297"/>
      <c r="E7173" s="1297"/>
      <c r="F7173" s="1297"/>
      <c r="G7173" s="1297"/>
      <c r="H7173" s="1297"/>
      <c r="I7173" s="1297"/>
      <c r="J7173" s="1297"/>
      <c r="K7173" s="1297"/>
    </row>
    <row r="7174" spans="2:11">
      <c r="B7174" s="1297"/>
      <c r="C7174" s="1297"/>
      <c r="D7174" s="1297"/>
      <c r="E7174" s="1297"/>
      <c r="F7174" s="1297"/>
      <c r="G7174" s="1297"/>
      <c r="H7174" s="1297"/>
      <c r="I7174" s="1297"/>
      <c r="J7174" s="1297"/>
      <c r="K7174" s="1297"/>
    </row>
    <row r="7175" spans="2:11">
      <c r="B7175" s="1297"/>
      <c r="C7175" s="1297"/>
      <c r="D7175" s="1297"/>
      <c r="E7175" s="1297"/>
      <c r="F7175" s="1297"/>
      <c r="G7175" s="1297"/>
      <c r="H7175" s="1297"/>
      <c r="I7175" s="1297"/>
      <c r="J7175" s="1297"/>
      <c r="K7175" s="1297"/>
    </row>
    <row r="7176" spans="2:11">
      <c r="B7176" s="1297"/>
      <c r="C7176" s="1297"/>
      <c r="D7176" s="1297"/>
      <c r="E7176" s="1297"/>
      <c r="F7176" s="1297"/>
      <c r="G7176" s="1297"/>
      <c r="H7176" s="1297"/>
      <c r="I7176" s="1297"/>
      <c r="J7176" s="1297"/>
      <c r="K7176" s="1297"/>
    </row>
    <row r="7177" spans="2:11">
      <c r="B7177" s="1297"/>
      <c r="C7177" s="1297"/>
      <c r="D7177" s="1297"/>
      <c r="E7177" s="1297"/>
      <c r="F7177" s="1297"/>
      <c r="G7177" s="1297"/>
      <c r="H7177" s="1297"/>
      <c r="I7177" s="1297"/>
      <c r="J7177" s="1297"/>
      <c r="K7177" s="1297"/>
    </row>
    <row r="7178" spans="2:11">
      <c r="B7178" s="1297"/>
      <c r="C7178" s="1297"/>
      <c r="D7178" s="1297"/>
      <c r="E7178" s="1297"/>
      <c r="F7178" s="1297"/>
      <c r="G7178" s="1297"/>
      <c r="H7178" s="1297"/>
      <c r="I7178" s="1297"/>
      <c r="J7178" s="1297"/>
      <c r="K7178" s="1297"/>
    </row>
    <row r="7179" spans="2:11">
      <c r="B7179" s="1297"/>
      <c r="C7179" s="1297"/>
      <c r="D7179" s="1297"/>
      <c r="E7179" s="1297"/>
      <c r="F7179" s="1297"/>
      <c r="G7179" s="1297"/>
      <c r="H7179" s="1297"/>
      <c r="I7179" s="1297"/>
      <c r="J7179" s="1297"/>
      <c r="K7179" s="1297"/>
    </row>
    <row r="7180" spans="2:11">
      <c r="B7180" s="1297"/>
      <c r="C7180" s="1297"/>
      <c r="D7180" s="1297"/>
      <c r="E7180" s="1297"/>
      <c r="F7180" s="1297"/>
      <c r="G7180" s="1297"/>
      <c r="H7180" s="1297"/>
      <c r="I7180" s="1297"/>
      <c r="J7180" s="1297"/>
      <c r="K7180" s="1297"/>
    </row>
    <row r="7181" spans="2:11">
      <c r="B7181" s="1297"/>
      <c r="C7181" s="1297"/>
      <c r="D7181" s="1297"/>
      <c r="E7181" s="1297"/>
      <c r="F7181" s="1297"/>
      <c r="G7181" s="1297"/>
      <c r="H7181" s="1297"/>
      <c r="I7181" s="1297"/>
      <c r="J7181" s="1297"/>
      <c r="K7181" s="1297"/>
    </row>
    <row r="7182" spans="2:11">
      <c r="B7182" s="1297"/>
      <c r="C7182" s="1297"/>
      <c r="D7182" s="1297"/>
      <c r="E7182" s="1297"/>
      <c r="F7182" s="1297"/>
      <c r="G7182" s="1297"/>
      <c r="H7182" s="1297"/>
      <c r="I7182" s="1297"/>
      <c r="J7182" s="1297"/>
      <c r="K7182" s="1297"/>
    </row>
    <row r="7183" spans="2:11">
      <c r="B7183" s="1297"/>
      <c r="C7183" s="1297"/>
      <c r="D7183" s="1297"/>
      <c r="E7183" s="1297"/>
      <c r="F7183" s="1297"/>
      <c r="G7183" s="1297"/>
      <c r="H7183" s="1297"/>
      <c r="I7183" s="1297"/>
      <c r="J7183" s="1297"/>
      <c r="K7183" s="1297"/>
    </row>
    <row r="7184" spans="2:11">
      <c r="B7184" s="1297"/>
      <c r="C7184" s="1297"/>
      <c r="D7184" s="1297"/>
      <c r="E7184" s="1297"/>
      <c r="F7184" s="1297"/>
      <c r="G7184" s="1297"/>
      <c r="H7184" s="1297"/>
      <c r="I7184" s="1297"/>
      <c r="J7184" s="1297"/>
      <c r="K7184" s="1297"/>
    </row>
    <row r="7185" spans="2:11">
      <c r="B7185" s="1297"/>
      <c r="C7185" s="1297"/>
      <c r="D7185" s="1297"/>
      <c r="E7185" s="1297"/>
      <c r="F7185" s="1297"/>
      <c r="G7185" s="1297"/>
      <c r="H7185" s="1297"/>
      <c r="I7185" s="1297"/>
      <c r="J7185" s="1297"/>
      <c r="K7185" s="1297"/>
    </row>
    <row r="7186" spans="2:11">
      <c r="B7186" s="1297"/>
      <c r="C7186" s="1297"/>
      <c r="D7186" s="1297"/>
      <c r="E7186" s="1297"/>
      <c r="F7186" s="1297"/>
      <c r="G7186" s="1297"/>
      <c r="H7186" s="1297"/>
      <c r="I7186" s="1297"/>
      <c r="J7186" s="1297"/>
      <c r="K7186" s="1297"/>
    </row>
    <row r="7187" spans="2:11">
      <c r="B7187" s="1297"/>
      <c r="C7187" s="1297"/>
      <c r="D7187" s="1297"/>
      <c r="E7187" s="1297"/>
      <c r="F7187" s="1297"/>
      <c r="G7187" s="1297"/>
      <c r="H7187" s="1297"/>
      <c r="I7187" s="1297"/>
      <c r="J7187" s="1297"/>
      <c r="K7187" s="1297"/>
    </row>
    <row r="7188" spans="2:11">
      <c r="B7188" s="1297"/>
      <c r="C7188" s="1297"/>
      <c r="D7188" s="1297"/>
      <c r="F7188" s="1297"/>
      <c r="G7188" s="1297"/>
      <c r="H7188" s="1297"/>
      <c r="I7188" s="1297"/>
      <c r="J7188" s="1297"/>
      <c r="K7188" s="1297"/>
    </row>
    <row r="7189" spans="2:11">
      <c r="B7189" s="1297"/>
      <c r="C7189" s="1297"/>
      <c r="D7189" s="1297"/>
      <c r="F7189" s="1297"/>
      <c r="G7189" s="1297"/>
      <c r="H7189" s="1297"/>
      <c r="I7189" s="1297"/>
      <c r="J7189" s="1297"/>
      <c r="K7189" s="1297"/>
    </row>
    <row r="7190" spans="2:11">
      <c r="B7190" s="1297"/>
      <c r="C7190" s="1297"/>
      <c r="D7190" s="1297"/>
      <c r="F7190" s="1297"/>
      <c r="G7190" s="1297"/>
      <c r="H7190" s="1297"/>
      <c r="I7190" s="1297"/>
      <c r="J7190" s="1297"/>
      <c r="K7190" s="1297"/>
    </row>
    <row r="7191" spans="2:11">
      <c r="B7191" s="1297"/>
      <c r="C7191" s="1297"/>
      <c r="D7191" s="1297"/>
      <c r="F7191" s="1297"/>
      <c r="G7191" s="1297"/>
      <c r="H7191" s="1297"/>
      <c r="I7191" s="1297"/>
      <c r="J7191" s="1297"/>
      <c r="K7191" s="1297"/>
    </row>
    <row r="7192" spans="2:11">
      <c r="B7192" s="1297"/>
      <c r="C7192" s="1297"/>
      <c r="D7192" s="1297"/>
      <c r="F7192" s="1297"/>
      <c r="G7192" s="1297"/>
      <c r="H7192" s="1297"/>
      <c r="I7192" s="1297"/>
      <c r="J7192" s="1297"/>
      <c r="K7192" s="1297"/>
    </row>
    <row r="7193" spans="2:11">
      <c r="B7193" s="1297"/>
      <c r="C7193" s="1297"/>
      <c r="D7193" s="1297"/>
      <c r="F7193" s="1297"/>
      <c r="G7193" s="1297"/>
      <c r="H7193" s="1297"/>
      <c r="I7193" s="1297"/>
      <c r="J7193" s="1297"/>
      <c r="K7193" s="1297"/>
    </row>
    <row r="7194" spans="2:11">
      <c r="B7194" s="1297"/>
      <c r="C7194" s="1297"/>
      <c r="D7194" s="1297"/>
      <c r="F7194" s="1297"/>
      <c r="G7194" s="1297"/>
      <c r="H7194" s="1297"/>
      <c r="I7194" s="1297"/>
      <c r="J7194" s="1297"/>
      <c r="K7194" s="1297"/>
    </row>
    <row r="7195" spans="2:11">
      <c r="B7195" s="1297"/>
      <c r="C7195" s="1297"/>
      <c r="D7195" s="1297"/>
      <c r="F7195" s="1297"/>
      <c r="G7195" s="1297"/>
      <c r="H7195" s="1297"/>
      <c r="I7195" s="1297"/>
      <c r="J7195" s="1297"/>
      <c r="K7195" s="1297"/>
    </row>
    <row r="7196" spans="2:11">
      <c r="B7196" s="1297"/>
      <c r="C7196" s="1297"/>
      <c r="D7196" s="1297"/>
      <c r="F7196" s="1297"/>
      <c r="G7196" s="1297"/>
      <c r="H7196" s="1297"/>
      <c r="I7196" s="1297"/>
      <c r="J7196" s="1297"/>
      <c r="K7196" s="1297"/>
    </row>
    <row r="7197" spans="2:11">
      <c r="B7197" s="1297"/>
      <c r="C7197" s="1297"/>
      <c r="D7197" s="1297"/>
      <c r="F7197" s="1297"/>
      <c r="G7197" s="1297"/>
      <c r="H7197" s="1297"/>
      <c r="I7197" s="1297"/>
      <c r="J7197" s="1297"/>
      <c r="K7197" s="1297"/>
    </row>
    <row r="7198" spans="2:11">
      <c r="B7198" s="1297"/>
      <c r="C7198" s="1297"/>
      <c r="D7198" s="1297"/>
      <c r="E7198" s="1297"/>
      <c r="F7198" s="1297"/>
      <c r="G7198" s="1297"/>
      <c r="H7198" s="1297"/>
      <c r="I7198" s="1297"/>
      <c r="J7198" s="1297"/>
      <c r="K7198" s="1297"/>
    </row>
    <row r="7199" spans="2:11">
      <c r="B7199" s="1297"/>
      <c r="C7199" s="1297"/>
      <c r="D7199" s="1297"/>
      <c r="E7199" s="1297"/>
      <c r="F7199" s="1297"/>
      <c r="G7199" s="1297"/>
      <c r="H7199" s="1297"/>
      <c r="I7199" s="1297"/>
      <c r="J7199" s="1297"/>
      <c r="K7199" s="1297"/>
    </row>
    <row r="7200" spans="2:11">
      <c r="B7200" s="1297"/>
      <c r="C7200" s="1297"/>
      <c r="D7200" s="1297"/>
      <c r="E7200" s="1297"/>
      <c r="F7200" s="1297"/>
      <c r="G7200" s="1297"/>
      <c r="H7200" s="1297"/>
      <c r="I7200" s="1297"/>
      <c r="J7200" s="1297"/>
      <c r="K7200" s="1297"/>
    </row>
    <row r="7201" spans="2:11">
      <c r="B7201" s="1297"/>
      <c r="C7201" s="1297"/>
      <c r="D7201" s="1297"/>
      <c r="E7201" s="1297"/>
      <c r="F7201" s="1297"/>
      <c r="G7201" s="1297"/>
      <c r="H7201" s="1297"/>
      <c r="I7201" s="1297"/>
      <c r="J7201" s="1297"/>
      <c r="K7201" s="1297"/>
    </row>
    <row r="7202" spans="2:11">
      <c r="B7202" s="1297"/>
      <c r="C7202" s="1297"/>
      <c r="D7202" s="1297"/>
      <c r="E7202" s="1297"/>
      <c r="F7202" s="1297"/>
      <c r="G7202" s="1297"/>
      <c r="H7202" s="1297"/>
      <c r="I7202" s="1297"/>
      <c r="J7202" s="1297"/>
      <c r="K7202" s="1297"/>
    </row>
    <row r="7203" spans="2:11">
      <c r="B7203" s="1297"/>
      <c r="C7203" s="1297"/>
      <c r="D7203" s="1297"/>
      <c r="E7203" s="1297"/>
      <c r="F7203" s="1297"/>
      <c r="G7203" s="1297"/>
      <c r="H7203" s="1297"/>
      <c r="I7203" s="1297"/>
      <c r="J7203" s="1297"/>
      <c r="K7203" s="1297"/>
    </row>
    <row r="7204" spans="2:11">
      <c r="B7204" s="1297"/>
      <c r="C7204" s="1297"/>
      <c r="D7204" s="1297"/>
      <c r="E7204" s="1297"/>
      <c r="F7204" s="1297"/>
      <c r="G7204" s="1297"/>
      <c r="H7204" s="1297"/>
      <c r="I7204" s="1297"/>
      <c r="J7204" s="1297"/>
      <c r="K7204" s="1297"/>
    </row>
    <row r="7205" spans="2:11">
      <c r="B7205" s="1297"/>
      <c r="C7205" s="1297"/>
      <c r="D7205" s="1297"/>
      <c r="E7205" s="1297"/>
      <c r="F7205" s="1297"/>
      <c r="G7205" s="1297"/>
      <c r="H7205" s="1297"/>
      <c r="I7205" s="1297"/>
      <c r="J7205" s="1297"/>
      <c r="K7205" s="1297"/>
    </row>
    <row r="7206" spans="2:11">
      <c r="B7206" s="1297"/>
      <c r="C7206" s="1297"/>
      <c r="D7206" s="1297"/>
      <c r="E7206" s="1297"/>
      <c r="F7206" s="1297"/>
      <c r="G7206" s="1297"/>
      <c r="H7206" s="1297"/>
      <c r="I7206" s="1297"/>
      <c r="J7206" s="1297"/>
      <c r="K7206" s="1297"/>
    </row>
    <row r="7207" spans="2:11">
      <c r="B7207" s="1297"/>
      <c r="C7207" s="1297"/>
      <c r="D7207" s="1297"/>
      <c r="E7207" s="1297"/>
      <c r="F7207" s="1297"/>
      <c r="G7207" s="1297"/>
      <c r="H7207" s="1297"/>
      <c r="I7207" s="1297"/>
      <c r="J7207" s="1297"/>
      <c r="K7207" s="1297"/>
    </row>
    <row r="7208" spans="2:11">
      <c r="B7208" s="1297"/>
      <c r="C7208" s="1297"/>
      <c r="D7208" s="1297"/>
      <c r="E7208" s="1297"/>
      <c r="F7208" s="1297"/>
      <c r="G7208" s="1297"/>
      <c r="H7208" s="1297"/>
      <c r="I7208" s="1297"/>
      <c r="J7208" s="1297"/>
      <c r="K7208" s="1297"/>
    </row>
    <row r="7209" spans="2:11">
      <c r="B7209" s="1297"/>
      <c r="C7209" s="1297"/>
      <c r="D7209" s="1297"/>
      <c r="E7209" s="1297"/>
      <c r="F7209" s="1297"/>
      <c r="G7209" s="1297"/>
      <c r="H7209" s="1297"/>
      <c r="I7209" s="1297"/>
      <c r="J7209" s="1297"/>
      <c r="K7209" s="1297"/>
    </row>
    <row r="7210" spans="2:11">
      <c r="B7210" s="1297"/>
      <c r="C7210" s="1297"/>
      <c r="D7210" s="1297"/>
      <c r="E7210" s="1297"/>
      <c r="F7210" s="1297"/>
      <c r="G7210" s="1297"/>
      <c r="H7210" s="1297"/>
      <c r="I7210" s="1297"/>
      <c r="J7210" s="1297"/>
      <c r="K7210" s="1297"/>
    </row>
    <row r="7211" spans="2:11">
      <c r="B7211" s="1297"/>
      <c r="C7211" s="1297"/>
      <c r="D7211" s="1297"/>
      <c r="E7211" s="1297"/>
      <c r="F7211" s="1297"/>
      <c r="G7211" s="1297"/>
      <c r="H7211" s="1297"/>
      <c r="I7211" s="1297"/>
      <c r="J7211" s="1297"/>
      <c r="K7211" s="1297"/>
    </row>
    <row r="7212" spans="2:11">
      <c r="B7212" s="1297"/>
      <c r="C7212" s="1297"/>
      <c r="D7212" s="1297"/>
      <c r="E7212" s="1297"/>
      <c r="F7212" s="1297"/>
      <c r="G7212" s="1297"/>
      <c r="H7212" s="1297"/>
      <c r="I7212" s="1297"/>
      <c r="J7212" s="1297"/>
      <c r="K7212" s="1297"/>
    </row>
    <row r="7213" spans="2:11">
      <c r="B7213" s="1297"/>
      <c r="C7213" s="1297"/>
      <c r="D7213" s="1297"/>
      <c r="E7213" s="1297"/>
      <c r="F7213" s="1297"/>
      <c r="G7213" s="1297"/>
      <c r="H7213" s="1297"/>
      <c r="I7213" s="1297"/>
      <c r="J7213" s="1297"/>
      <c r="K7213" s="1297"/>
    </row>
    <row r="7214" spans="2:11">
      <c r="B7214" s="1297"/>
      <c r="C7214" s="1297"/>
      <c r="D7214" s="1297"/>
      <c r="E7214" s="1297"/>
      <c r="F7214" s="1297"/>
      <c r="G7214" s="1297"/>
      <c r="H7214" s="1297"/>
      <c r="I7214" s="1297"/>
      <c r="J7214" s="1297"/>
      <c r="K7214" s="1297"/>
    </row>
    <row r="7215" spans="2:11">
      <c r="B7215" s="1297"/>
      <c r="C7215" s="1297"/>
      <c r="D7215" s="1297"/>
      <c r="E7215" s="1297"/>
      <c r="F7215" s="1297"/>
      <c r="G7215" s="1297"/>
      <c r="H7215" s="1297"/>
      <c r="I7215" s="1297"/>
      <c r="J7215" s="1297"/>
      <c r="K7215" s="1297"/>
    </row>
    <row r="7216" spans="2:11">
      <c r="B7216" s="1297"/>
      <c r="C7216" s="1297"/>
      <c r="D7216" s="1297"/>
      <c r="E7216" s="1297"/>
      <c r="F7216" s="1297"/>
      <c r="G7216" s="1297"/>
      <c r="H7216" s="1297"/>
      <c r="I7216" s="1297"/>
      <c r="J7216" s="1297"/>
      <c r="K7216" s="1297"/>
    </row>
    <row r="7217" spans="2:11">
      <c r="B7217" s="1297"/>
      <c r="C7217" s="1297"/>
      <c r="D7217" s="1297"/>
      <c r="E7217" s="1297"/>
      <c r="F7217" s="1297"/>
      <c r="G7217" s="1297"/>
      <c r="H7217" s="1297"/>
      <c r="I7217" s="1297"/>
      <c r="J7217" s="1297"/>
      <c r="K7217" s="1297"/>
    </row>
    <row r="7218" spans="2:11">
      <c r="B7218" s="1297"/>
      <c r="C7218" s="1297"/>
      <c r="D7218" s="1297"/>
      <c r="E7218" s="1297"/>
      <c r="F7218" s="1297"/>
      <c r="G7218" s="1297"/>
      <c r="H7218" s="1297"/>
      <c r="I7218" s="1297"/>
      <c r="J7218" s="1297"/>
      <c r="K7218" s="1297"/>
    </row>
    <row r="7219" spans="2:11">
      <c r="B7219" s="1297"/>
      <c r="C7219" s="1297"/>
      <c r="D7219" s="1297"/>
      <c r="E7219" s="1297"/>
      <c r="F7219" s="1297"/>
      <c r="G7219" s="1297"/>
      <c r="H7219" s="1297"/>
      <c r="I7219" s="1297"/>
      <c r="J7219" s="1297"/>
      <c r="K7219" s="1297"/>
    </row>
    <row r="7220" spans="2:11">
      <c r="B7220" s="1297"/>
      <c r="C7220" s="1297"/>
      <c r="D7220" s="1297"/>
      <c r="E7220" s="1297"/>
      <c r="F7220" s="1297"/>
      <c r="G7220" s="1297"/>
      <c r="H7220" s="1297"/>
      <c r="I7220" s="1297"/>
      <c r="J7220" s="1297"/>
      <c r="K7220" s="1297"/>
    </row>
    <row r="7221" spans="2:11">
      <c r="B7221" s="1297"/>
      <c r="C7221" s="1297"/>
      <c r="D7221" s="1297"/>
      <c r="E7221" s="1297"/>
      <c r="F7221" s="1297"/>
      <c r="G7221" s="1297"/>
      <c r="H7221" s="1297"/>
      <c r="I7221" s="1297"/>
      <c r="J7221" s="1297"/>
      <c r="K7221" s="1297"/>
    </row>
    <row r="7222" spans="2:11">
      <c r="B7222" s="1297"/>
      <c r="C7222" s="1297"/>
      <c r="D7222" s="1297"/>
      <c r="E7222" s="1297"/>
      <c r="F7222" s="1297"/>
      <c r="G7222" s="1297"/>
      <c r="H7222" s="1297"/>
      <c r="I7222" s="1297"/>
      <c r="J7222" s="1297"/>
      <c r="K7222" s="1297"/>
    </row>
    <row r="7223" spans="2:11">
      <c r="B7223" s="1297"/>
      <c r="C7223" s="1297"/>
      <c r="D7223" s="1297"/>
      <c r="E7223" s="1297"/>
      <c r="F7223" s="1297"/>
      <c r="G7223" s="1297"/>
      <c r="H7223" s="1297"/>
      <c r="I7223" s="1297"/>
      <c r="J7223" s="1297"/>
      <c r="K7223" s="1297"/>
    </row>
    <row r="7224" spans="2:11">
      <c r="B7224" s="1297"/>
      <c r="C7224" s="1297"/>
      <c r="D7224" s="1297"/>
      <c r="E7224" s="1297"/>
      <c r="F7224" s="1297"/>
      <c r="G7224" s="1297"/>
      <c r="H7224" s="1297"/>
      <c r="I7224" s="1297"/>
      <c r="J7224" s="1297"/>
      <c r="K7224" s="1297"/>
    </row>
    <row r="7225" spans="2:11">
      <c r="B7225" s="1297"/>
      <c r="C7225" s="1297"/>
      <c r="D7225" s="1297"/>
      <c r="E7225" s="1297"/>
      <c r="F7225" s="1297"/>
      <c r="G7225" s="1297"/>
      <c r="H7225" s="1297"/>
      <c r="I7225" s="1297"/>
      <c r="J7225" s="1297"/>
      <c r="K7225" s="1297"/>
    </row>
    <row r="7226" spans="2:11">
      <c r="B7226" s="1297"/>
      <c r="C7226" s="1297"/>
      <c r="D7226" s="1297"/>
      <c r="E7226" s="1297"/>
      <c r="F7226" s="1297"/>
      <c r="G7226" s="1297"/>
      <c r="H7226" s="1297"/>
      <c r="I7226" s="1297"/>
      <c r="J7226" s="1297"/>
      <c r="K7226" s="1297"/>
    </row>
    <row r="7227" spans="2:11">
      <c r="B7227" s="1297"/>
      <c r="C7227" s="1297"/>
      <c r="D7227" s="1297"/>
      <c r="E7227" s="1297"/>
      <c r="F7227" s="1297"/>
      <c r="G7227" s="1297"/>
      <c r="H7227" s="1297"/>
      <c r="I7227" s="1297"/>
      <c r="J7227" s="1297"/>
      <c r="K7227" s="1297"/>
    </row>
    <row r="7228" spans="2:11">
      <c r="B7228" s="1297"/>
      <c r="C7228" s="1297"/>
      <c r="D7228" s="1297"/>
      <c r="E7228" s="1297"/>
      <c r="F7228" s="1297"/>
      <c r="G7228" s="1297"/>
      <c r="H7228" s="1297"/>
      <c r="I7228" s="1297"/>
      <c r="J7228" s="1297"/>
      <c r="K7228" s="1297"/>
    </row>
    <row r="7229" spans="2:11">
      <c r="B7229" s="1297"/>
      <c r="C7229" s="1297"/>
      <c r="D7229" s="1297"/>
      <c r="E7229" s="1297"/>
      <c r="F7229" s="1297"/>
      <c r="G7229" s="1297"/>
      <c r="H7229" s="1297"/>
      <c r="I7229" s="1297"/>
      <c r="J7229" s="1297"/>
      <c r="K7229" s="1297"/>
    </row>
    <row r="7230" spans="2:11">
      <c r="B7230" s="1297"/>
      <c r="C7230" s="1297"/>
      <c r="D7230" s="1297"/>
      <c r="E7230" s="1297"/>
      <c r="F7230" s="1297"/>
      <c r="G7230" s="1297"/>
      <c r="H7230" s="1297"/>
      <c r="I7230" s="1297"/>
      <c r="J7230" s="1297"/>
      <c r="K7230" s="1297"/>
    </row>
    <row r="7231" spans="2:11">
      <c r="B7231" s="1297"/>
      <c r="C7231" s="1297"/>
      <c r="D7231" s="1297"/>
      <c r="E7231" s="1297"/>
      <c r="F7231" s="1297"/>
      <c r="G7231" s="1297"/>
      <c r="H7231" s="1297"/>
      <c r="I7231" s="1297"/>
      <c r="J7231" s="1297"/>
      <c r="K7231" s="1297"/>
    </row>
    <row r="7232" spans="2:11">
      <c r="B7232" s="1297"/>
      <c r="C7232" s="1297"/>
      <c r="D7232" s="1297"/>
      <c r="E7232" s="1297"/>
      <c r="F7232" s="1297"/>
      <c r="G7232" s="1297"/>
      <c r="H7232" s="1297"/>
      <c r="I7232" s="1297"/>
      <c r="J7232" s="1297"/>
      <c r="K7232" s="1297"/>
    </row>
    <row r="7233" spans="2:11">
      <c r="B7233" s="1297"/>
      <c r="C7233" s="1297"/>
      <c r="D7233" s="1297"/>
      <c r="E7233" s="1297"/>
      <c r="F7233" s="1297"/>
      <c r="G7233" s="1297"/>
      <c r="H7233" s="1297"/>
      <c r="I7233" s="1297"/>
      <c r="J7233" s="1297"/>
      <c r="K7233" s="1297"/>
    </row>
    <row r="7234" spans="2:11">
      <c r="B7234" s="1297"/>
      <c r="C7234" s="1297"/>
      <c r="D7234" s="1297"/>
      <c r="E7234" s="1297"/>
      <c r="F7234" s="1297"/>
      <c r="G7234" s="1297"/>
      <c r="H7234" s="1297"/>
      <c r="I7234" s="1297"/>
      <c r="J7234" s="1297"/>
      <c r="K7234" s="1297"/>
    </row>
    <row r="7235" spans="2:11">
      <c r="B7235" s="1297"/>
      <c r="C7235" s="1297"/>
      <c r="D7235" s="1297"/>
      <c r="E7235" s="1297"/>
      <c r="F7235" s="1297"/>
      <c r="G7235" s="1297"/>
      <c r="H7235" s="1297"/>
      <c r="I7235" s="1297"/>
      <c r="J7235" s="1297"/>
      <c r="K7235" s="1297"/>
    </row>
    <row r="7236" spans="2:11">
      <c r="B7236" s="1297"/>
      <c r="C7236" s="1297"/>
      <c r="D7236" s="1297"/>
      <c r="E7236" s="1297"/>
      <c r="F7236" s="1297"/>
      <c r="G7236" s="1297"/>
      <c r="H7236" s="1297"/>
      <c r="I7236" s="1297"/>
      <c r="J7236" s="1297"/>
      <c r="K7236" s="1297"/>
    </row>
    <row r="7237" spans="2:11">
      <c r="B7237" s="1297"/>
      <c r="C7237" s="1297"/>
      <c r="D7237" s="1297"/>
      <c r="E7237" s="1297"/>
      <c r="F7237" s="1297"/>
      <c r="G7237" s="1297"/>
      <c r="H7237" s="1297"/>
      <c r="I7237" s="1297"/>
      <c r="J7237" s="1297"/>
      <c r="K7237" s="1297"/>
    </row>
    <row r="7238" spans="2:11">
      <c r="B7238" s="1297"/>
      <c r="C7238" s="1297"/>
      <c r="D7238" s="1297"/>
      <c r="E7238" s="1297"/>
      <c r="F7238" s="1297"/>
      <c r="G7238" s="1297"/>
      <c r="H7238" s="1297"/>
      <c r="I7238" s="1297"/>
      <c r="J7238" s="1297"/>
      <c r="K7238" s="1297"/>
    </row>
    <row r="7239" spans="2:11">
      <c r="B7239" s="1297"/>
      <c r="C7239" s="1297"/>
      <c r="D7239" s="1297"/>
      <c r="E7239" s="1297"/>
      <c r="F7239" s="1297"/>
      <c r="G7239" s="1297"/>
      <c r="H7239" s="1297"/>
      <c r="I7239" s="1297"/>
      <c r="J7239" s="1297"/>
      <c r="K7239" s="1297"/>
    </row>
    <row r="7240" spans="2:11">
      <c r="B7240" s="1297"/>
      <c r="C7240" s="1297"/>
      <c r="D7240" s="1297"/>
      <c r="E7240" s="1297"/>
      <c r="F7240" s="1297"/>
      <c r="G7240" s="1297"/>
      <c r="H7240" s="1297"/>
      <c r="I7240" s="1297"/>
      <c r="J7240" s="1297"/>
      <c r="K7240" s="1297"/>
    </row>
    <row r="7241" spans="2:11">
      <c r="B7241" s="1297"/>
      <c r="C7241" s="1297"/>
      <c r="D7241" s="1297"/>
      <c r="E7241" s="1297"/>
      <c r="F7241" s="1297"/>
      <c r="G7241" s="1297"/>
      <c r="H7241" s="1297"/>
      <c r="I7241" s="1297"/>
      <c r="J7241" s="1297"/>
      <c r="K7241" s="1297"/>
    </row>
    <row r="7242" spans="2:11">
      <c r="B7242" s="1297"/>
      <c r="C7242" s="1297"/>
      <c r="D7242" s="1297"/>
      <c r="E7242" s="1297"/>
      <c r="F7242" s="1297"/>
      <c r="G7242" s="1297"/>
      <c r="H7242" s="1297"/>
      <c r="I7242" s="1297"/>
      <c r="J7242" s="1297"/>
      <c r="K7242" s="1297"/>
    </row>
    <row r="7243" spans="2:11">
      <c r="B7243" s="1297"/>
      <c r="C7243" s="1297"/>
      <c r="D7243" s="1297"/>
      <c r="E7243" s="1297"/>
      <c r="F7243" s="1297"/>
      <c r="G7243" s="1297"/>
      <c r="H7243" s="1297"/>
      <c r="I7243" s="1297"/>
      <c r="J7243" s="1297"/>
      <c r="K7243" s="1297"/>
    </row>
    <row r="7244" spans="2:11">
      <c r="B7244" s="1297"/>
      <c r="C7244" s="1297"/>
      <c r="D7244" s="1297"/>
      <c r="E7244" s="1297"/>
      <c r="F7244" s="1297"/>
      <c r="G7244" s="1297"/>
      <c r="H7244" s="1297"/>
      <c r="I7244" s="1297"/>
      <c r="J7244" s="1297"/>
      <c r="K7244" s="1297"/>
    </row>
    <row r="7245" spans="2:11">
      <c r="B7245" s="1297"/>
      <c r="C7245" s="1297"/>
      <c r="D7245" s="1297"/>
      <c r="E7245" s="1297"/>
      <c r="F7245" s="1297"/>
      <c r="G7245" s="1297"/>
      <c r="H7245" s="1297"/>
      <c r="I7245" s="1297"/>
      <c r="J7245" s="1297"/>
      <c r="K7245" s="1297"/>
    </row>
    <row r="7246" spans="2:11">
      <c r="B7246" s="1297"/>
      <c r="C7246" s="1297"/>
      <c r="D7246" s="1297"/>
      <c r="E7246" s="1297"/>
      <c r="F7246" s="1297"/>
      <c r="G7246" s="1297"/>
      <c r="H7246" s="1297"/>
      <c r="I7246" s="1297"/>
      <c r="J7246" s="1297"/>
      <c r="K7246" s="1297"/>
    </row>
    <row r="7247" spans="2:11">
      <c r="B7247" s="1297"/>
      <c r="C7247" s="1297"/>
      <c r="D7247" s="1297"/>
      <c r="E7247" s="1297"/>
      <c r="F7247" s="1297"/>
      <c r="G7247" s="1297"/>
      <c r="H7247" s="1297"/>
      <c r="I7247" s="1297"/>
      <c r="J7247" s="1297"/>
      <c r="K7247" s="1297"/>
    </row>
    <row r="7248" spans="2:11">
      <c r="B7248" s="1297"/>
      <c r="C7248" s="1297"/>
      <c r="D7248" s="1297"/>
      <c r="E7248" s="1297"/>
      <c r="F7248" s="1297"/>
      <c r="G7248" s="1297"/>
      <c r="H7248" s="1297"/>
      <c r="I7248" s="1297"/>
      <c r="J7248" s="1297"/>
      <c r="K7248" s="1297"/>
    </row>
    <row r="7249" spans="2:11">
      <c r="B7249" s="1297"/>
      <c r="C7249" s="1297"/>
      <c r="D7249" s="1297"/>
      <c r="E7249" s="1297"/>
      <c r="F7249" s="1297"/>
      <c r="G7249" s="1297"/>
      <c r="H7249" s="1297"/>
      <c r="I7249" s="1297"/>
      <c r="J7249" s="1297"/>
      <c r="K7249" s="1297"/>
    </row>
    <row r="7250" spans="2:11">
      <c r="B7250" s="1297"/>
      <c r="C7250" s="1297"/>
      <c r="D7250" s="1297"/>
      <c r="E7250" s="1297"/>
      <c r="F7250" s="1297"/>
      <c r="G7250" s="1297"/>
      <c r="H7250" s="1297"/>
      <c r="I7250" s="1297"/>
      <c r="J7250" s="1297"/>
      <c r="K7250" s="1297"/>
    </row>
    <row r="7251" spans="2:11">
      <c r="B7251" s="1297"/>
      <c r="C7251" s="1297"/>
      <c r="D7251" s="1297"/>
      <c r="E7251" s="1297"/>
      <c r="F7251" s="1297"/>
      <c r="G7251" s="1297"/>
      <c r="H7251" s="1297"/>
      <c r="I7251" s="1297"/>
      <c r="J7251" s="1297"/>
      <c r="K7251" s="1297"/>
    </row>
    <row r="7252" spans="2:11">
      <c r="B7252" s="1297"/>
      <c r="C7252" s="1297"/>
      <c r="D7252" s="1297"/>
      <c r="E7252" s="1297"/>
      <c r="F7252" s="1297"/>
      <c r="G7252" s="1297"/>
      <c r="H7252" s="1297"/>
      <c r="I7252" s="1297"/>
      <c r="J7252" s="1297"/>
      <c r="K7252" s="1297"/>
    </row>
    <row r="7253" spans="2:11">
      <c r="B7253" s="1297"/>
      <c r="C7253" s="1297"/>
      <c r="D7253" s="1297"/>
      <c r="E7253" s="1297"/>
      <c r="F7253" s="1297"/>
      <c r="G7253" s="1297"/>
      <c r="H7253" s="1297"/>
      <c r="I7253" s="1297"/>
      <c r="J7253" s="1297"/>
      <c r="K7253" s="1297"/>
    </row>
    <row r="7254" spans="2:11">
      <c r="B7254" s="1297"/>
      <c r="C7254" s="1297"/>
      <c r="D7254" s="1297"/>
      <c r="E7254" s="1297"/>
      <c r="F7254" s="1297"/>
      <c r="G7254" s="1297"/>
      <c r="H7254" s="1297"/>
      <c r="I7254" s="1297"/>
      <c r="J7254" s="1297"/>
      <c r="K7254" s="1297"/>
    </row>
    <row r="7255" spans="2:11">
      <c r="B7255" s="1297"/>
      <c r="C7255" s="1297"/>
      <c r="D7255" s="1297"/>
      <c r="E7255" s="1297"/>
      <c r="F7255" s="1297"/>
      <c r="G7255" s="1297"/>
      <c r="H7255" s="1297"/>
      <c r="I7255" s="1297"/>
      <c r="J7255" s="1297"/>
      <c r="K7255" s="1297"/>
    </row>
    <row r="7256" spans="2:11">
      <c r="B7256" s="1297"/>
      <c r="C7256" s="1297"/>
      <c r="D7256" s="1297"/>
      <c r="E7256" s="1297"/>
      <c r="F7256" s="1297"/>
      <c r="G7256" s="1297"/>
      <c r="H7256" s="1297"/>
      <c r="I7256" s="1297"/>
      <c r="J7256" s="1297"/>
      <c r="K7256" s="1297"/>
    </row>
    <row r="7257" spans="2:11">
      <c r="B7257" s="1297"/>
      <c r="C7257" s="1297"/>
      <c r="D7257" s="1297"/>
      <c r="E7257" s="1297"/>
      <c r="F7257" s="1297"/>
      <c r="G7257" s="1297"/>
      <c r="H7257" s="1297"/>
      <c r="I7257" s="1297"/>
      <c r="J7257" s="1297"/>
      <c r="K7257" s="1297"/>
    </row>
    <row r="7258" spans="2:11">
      <c r="B7258" s="1297"/>
      <c r="C7258" s="1297"/>
      <c r="D7258" s="1297"/>
      <c r="E7258" s="1297"/>
      <c r="F7258" s="1297"/>
      <c r="G7258" s="1297"/>
      <c r="H7258" s="1297"/>
      <c r="I7258" s="1297"/>
      <c r="J7258" s="1297"/>
      <c r="K7258" s="1297"/>
    </row>
    <row r="7259" spans="2:11">
      <c r="B7259" s="1297"/>
      <c r="C7259" s="1297"/>
      <c r="D7259" s="1297"/>
      <c r="E7259" s="1297"/>
      <c r="F7259" s="1297"/>
      <c r="G7259" s="1297"/>
      <c r="H7259" s="1297"/>
      <c r="I7259" s="1297"/>
      <c r="J7259" s="1297"/>
      <c r="K7259" s="1297"/>
    </row>
    <row r="7260" spans="2:11">
      <c r="B7260" s="1297"/>
      <c r="C7260" s="1297"/>
      <c r="D7260" s="1297"/>
      <c r="E7260" s="1297"/>
      <c r="F7260" s="1297"/>
      <c r="G7260" s="1297"/>
      <c r="H7260" s="1297"/>
      <c r="I7260" s="1297"/>
      <c r="J7260" s="1297"/>
      <c r="K7260" s="1297"/>
    </row>
    <row r="7261" spans="2:11">
      <c r="B7261" s="1297"/>
      <c r="C7261" s="1297"/>
      <c r="D7261" s="1297"/>
      <c r="E7261" s="1297"/>
      <c r="F7261" s="1297"/>
      <c r="G7261" s="1297"/>
      <c r="H7261" s="1297"/>
      <c r="I7261" s="1297"/>
      <c r="J7261" s="1297"/>
      <c r="K7261" s="1297"/>
    </row>
    <row r="7262" spans="2:11">
      <c r="B7262" s="1297"/>
      <c r="C7262" s="1297"/>
      <c r="D7262" s="1297"/>
      <c r="E7262" s="1297"/>
      <c r="F7262" s="1297"/>
      <c r="G7262" s="1297"/>
      <c r="H7262" s="1297"/>
      <c r="I7262" s="1297"/>
      <c r="J7262" s="1297"/>
      <c r="K7262" s="1297"/>
    </row>
    <row r="7263" spans="2:11">
      <c r="B7263" s="1297"/>
      <c r="C7263" s="1297"/>
      <c r="D7263" s="1297"/>
      <c r="E7263" s="1297"/>
      <c r="F7263" s="1297"/>
      <c r="G7263" s="1297"/>
      <c r="H7263" s="1297"/>
      <c r="I7263" s="1297"/>
      <c r="J7263" s="1297"/>
      <c r="K7263" s="1297"/>
    </row>
    <row r="7264" spans="2:11">
      <c r="B7264" s="1297"/>
      <c r="C7264" s="1297"/>
      <c r="D7264" s="1297"/>
      <c r="E7264" s="1297"/>
      <c r="F7264" s="1297"/>
      <c r="G7264" s="1297"/>
      <c r="H7264" s="1297"/>
      <c r="I7264" s="1297"/>
      <c r="J7264" s="1297"/>
      <c r="K7264" s="1297"/>
    </row>
    <row r="7265" spans="2:11">
      <c r="B7265" s="1297"/>
      <c r="C7265" s="1297"/>
      <c r="D7265" s="1297"/>
      <c r="E7265" s="1297"/>
      <c r="F7265" s="1297"/>
      <c r="G7265" s="1297"/>
      <c r="H7265" s="1297"/>
      <c r="I7265" s="1297"/>
      <c r="J7265" s="1297"/>
      <c r="K7265" s="1297"/>
    </row>
    <row r="7266" spans="2:11">
      <c r="B7266" s="1297"/>
      <c r="C7266" s="1297"/>
      <c r="D7266" s="1297"/>
      <c r="E7266" s="1297"/>
      <c r="F7266" s="1297"/>
      <c r="G7266" s="1297"/>
      <c r="H7266" s="1297"/>
      <c r="I7266" s="1297"/>
      <c r="J7266" s="1297"/>
      <c r="K7266" s="1297"/>
    </row>
    <row r="7267" spans="2:11">
      <c r="B7267" s="1297"/>
      <c r="C7267" s="1297"/>
      <c r="D7267" s="1297"/>
      <c r="E7267" s="1297"/>
      <c r="F7267" s="1297"/>
      <c r="G7267" s="1297"/>
      <c r="H7267" s="1297"/>
      <c r="I7267" s="1297"/>
      <c r="J7267" s="1297"/>
      <c r="K7267" s="1297"/>
    </row>
    <row r="7268" spans="2:11">
      <c r="B7268" s="1297"/>
      <c r="C7268" s="1297"/>
      <c r="D7268" s="1297"/>
      <c r="E7268" s="1297"/>
      <c r="F7268" s="1297"/>
      <c r="G7268" s="1297"/>
      <c r="H7268" s="1297"/>
      <c r="I7268" s="1297"/>
      <c r="J7268" s="1297"/>
      <c r="K7268" s="1297"/>
    </row>
    <row r="7269" spans="2:11">
      <c r="B7269" s="1297"/>
      <c r="C7269" s="1297"/>
      <c r="D7269" s="1297"/>
      <c r="E7269" s="1297"/>
      <c r="F7269" s="1297"/>
      <c r="G7269" s="1297"/>
      <c r="H7269" s="1297"/>
      <c r="I7269" s="1297"/>
      <c r="J7269" s="1297"/>
      <c r="K7269" s="1297"/>
    </row>
    <row r="7270" spans="2:11">
      <c r="B7270" s="1297"/>
      <c r="C7270" s="1297"/>
      <c r="D7270" s="1297"/>
      <c r="E7270" s="1297"/>
      <c r="F7270" s="1297"/>
      <c r="G7270" s="1297"/>
      <c r="H7270" s="1297"/>
      <c r="I7270" s="1297"/>
      <c r="J7270" s="1297"/>
      <c r="K7270" s="1297"/>
    </row>
    <row r="7271" spans="2:11">
      <c r="B7271" s="1297"/>
      <c r="C7271" s="1297"/>
      <c r="D7271" s="1297"/>
      <c r="E7271" s="1297"/>
      <c r="F7271" s="1297"/>
      <c r="G7271" s="1297"/>
      <c r="H7271" s="1297"/>
      <c r="I7271" s="1297"/>
      <c r="J7271" s="1297"/>
      <c r="K7271" s="1297"/>
    </row>
    <row r="7272" spans="2:11">
      <c r="B7272" s="1297"/>
      <c r="C7272" s="1297"/>
      <c r="D7272" s="1297"/>
      <c r="E7272" s="1297"/>
      <c r="F7272" s="1297"/>
      <c r="G7272" s="1297"/>
      <c r="H7272" s="1297"/>
      <c r="I7272" s="1297"/>
      <c r="J7272" s="1297"/>
      <c r="K7272" s="1297"/>
    </row>
    <row r="7273" spans="2:11">
      <c r="B7273" s="1297"/>
      <c r="C7273" s="1297"/>
      <c r="D7273" s="1297"/>
      <c r="E7273" s="1297"/>
      <c r="F7273" s="1297"/>
      <c r="G7273" s="1297"/>
      <c r="H7273" s="1297"/>
      <c r="I7273" s="1297"/>
      <c r="J7273" s="1297"/>
      <c r="K7273" s="1297"/>
    </row>
    <row r="7274" spans="2:11">
      <c r="B7274" s="1297"/>
      <c r="C7274" s="1297"/>
      <c r="D7274" s="1297"/>
      <c r="E7274" s="1297"/>
      <c r="F7274" s="1297"/>
      <c r="G7274" s="1297"/>
      <c r="H7274" s="1297"/>
      <c r="I7274" s="1297"/>
      <c r="J7274" s="1297"/>
      <c r="K7274" s="1297"/>
    </row>
    <row r="7275" spans="2:11">
      <c r="B7275" s="1297"/>
      <c r="C7275" s="1297"/>
      <c r="D7275" s="1297"/>
      <c r="E7275" s="1297"/>
      <c r="F7275" s="1297"/>
      <c r="G7275" s="1297"/>
      <c r="H7275" s="1297"/>
      <c r="I7275" s="1297"/>
      <c r="J7275" s="1297"/>
      <c r="K7275" s="1297"/>
    </row>
    <row r="7276" spans="2:11">
      <c r="B7276" s="1297"/>
      <c r="C7276" s="1297"/>
      <c r="D7276" s="1297"/>
      <c r="E7276" s="1297"/>
      <c r="F7276" s="1297"/>
      <c r="G7276" s="1297"/>
      <c r="H7276" s="1297"/>
      <c r="I7276" s="1297"/>
      <c r="J7276" s="1297"/>
      <c r="K7276" s="1297"/>
    </row>
    <row r="7277" spans="2:11">
      <c r="B7277" s="1297"/>
      <c r="C7277" s="1297"/>
      <c r="D7277" s="1297"/>
      <c r="E7277" s="1297"/>
      <c r="F7277" s="1297"/>
      <c r="G7277" s="1297"/>
      <c r="H7277" s="1297"/>
      <c r="I7277" s="1297"/>
      <c r="J7277" s="1297"/>
      <c r="K7277" s="1297"/>
    </row>
    <row r="7278" spans="2:11">
      <c r="B7278" s="1297"/>
      <c r="C7278" s="1297"/>
      <c r="D7278" s="1297"/>
      <c r="E7278" s="1297"/>
      <c r="F7278" s="1297"/>
      <c r="G7278" s="1297"/>
      <c r="H7278" s="1297"/>
      <c r="I7278" s="1297"/>
      <c r="J7278" s="1297"/>
      <c r="K7278" s="1297"/>
    </row>
    <row r="7279" spans="2:11">
      <c r="B7279" s="1297"/>
      <c r="C7279" s="1297"/>
      <c r="D7279" s="1297"/>
      <c r="E7279" s="1297"/>
      <c r="F7279" s="1297"/>
      <c r="G7279" s="1297"/>
      <c r="H7279" s="1297"/>
      <c r="I7279" s="1297"/>
      <c r="J7279" s="1297"/>
      <c r="K7279" s="1297"/>
    </row>
    <row r="7280" spans="2:11">
      <c r="B7280" s="1297"/>
      <c r="C7280" s="1297"/>
      <c r="D7280" s="1297"/>
      <c r="E7280" s="1297"/>
      <c r="F7280" s="1297"/>
      <c r="G7280" s="1297"/>
      <c r="H7280" s="1297"/>
      <c r="I7280" s="1297"/>
      <c r="J7280" s="1297"/>
      <c r="K7280" s="1297"/>
    </row>
    <row r="7281" spans="2:11">
      <c r="B7281" s="1297"/>
      <c r="C7281" s="1297"/>
      <c r="D7281" s="1297"/>
      <c r="E7281" s="1297"/>
      <c r="F7281" s="1297"/>
      <c r="G7281" s="1297"/>
      <c r="H7281" s="1297"/>
      <c r="I7281" s="1297"/>
      <c r="J7281" s="1297"/>
      <c r="K7281" s="1297"/>
    </row>
    <row r="7282" spans="2:11">
      <c r="B7282" s="1297"/>
      <c r="C7282" s="1297"/>
      <c r="D7282" s="1297"/>
      <c r="E7282" s="1297"/>
      <c r="F7282" s="1297"/>
      <c r="G7282" s="1297"/>
      <c r="H7282" s="1297"/>
      <c r="I7282" s="1297"/>
      <c r="J7282" s="1297"/>
      <c r="K7282" s="1297"/>
    </row>
    <row r="7283" spans="2:11">
      <c r="B7283" s="1297"/>
      <c r="C7283" s="1297"/>
      <c r="D7283" s="1297"/>
      <c r="E7283" s="1297"/>
      <c r="F7283" s="1297"/>
      <c r="G7283" s="1297"/>
      <c r="H7283" s="1297"/>
      <c r="I7283" s="1297"/>
      <c r="J7283" s="1297"/>
      <c r="K7283" s="1297"/>
    </row>
    <row r="7284" spans="2:11">
      <c r="B7284" s="1297"/>
      <c r="C7284" s="1297"/>
      <c r="D7284" s="1297"/>
      <c r="E7284" s="1297"/>
      <c r="F7284" s="1297"/>
      <c r="G7284" s="1297"/>
      <c r="H7284" s="1297"/>
      <c r="I7284" s="1297"/>
      <c r="J7284" s="1297"/>
      <c r="K7284" s="1297"/>
    </row>
    <row r="7285" spans="2:11">
      <c r="B7285" s="1297"/>
      <c r="C7285" s="1297"/>
      <c r="D7285" s="1297"/>
      <c r="E7285" s="1297"/>
      <c r="F7285" s="1297"/>
      <c r="G7285" s="1297"/>
      <c r="H7285" s="1297"/>
      <c r="I7285" s="1297"/>
      <c r="J7285" s="1297"/>
      <c r="K7285" s="1297"/>
    </row>
    <row r="7286" spans="2:11">
      <c r="B7286" s="1297"/>
      <c r="C7286" s="1297"/>
      <c r="D7286" s="1297"/>
      <c r="E7286" s="1297"/>
      <c r="F7286" s="1297"/>
      <c r="G7286" s="1297"/>
      <c r="H7286" s="1297"/>
      <c r="I7286" s="1297"/>
      <c r="J7286" s="1297"/>
      <c r="K7286" s="1297"/>
    </row>
    <row r="7287" spans="2:11">
      <c r="B7287" s="1297"/>
      <c r="C7287" s="1297"/>
      <c r="D7287" s="1297"/>
      <c r="E7287" s="1297"/>
      <c r="F7287" s="1297"/>
      <c r="G7287" s="1297"/>
      <c r="H7287" s="1297"/>
      <c r="I7287" s="1297"/>
      <c r="J7287" s="1297"/>
      <c r="K7287" s="1297"/>
    </row>
    <row r="7288" spans="2:11">
      <c r="B7288" s="1297"/>
      <c r="C7288" s="1297"/>
      <c r="D7288" s="1297"/>
      <c r="E7288" s="1297"/>
      <c r="F7288" s="1297"/>
      <c r="G7288" s="1297"/>
      <c r="H7288" s="1297"/>
      <c r="I7288" s="1297"/>
      <c r="J7288" s="1297"/>
      <c r="K7288" s="1297"/>
    </row>
    <row r="7289" spans="2:11">
      <c r="B7289" s="1297"/>
      <c r="C7289" s="1297"/>
      <c r="D7289" s="1297"/>
      <c r="E7289" s="1297"/>
      <c r="F7289" s="1297"/>
      <c r="G7289" s="1297"/>
      <c r="H7289" s="1297"/>
      <c r="I7289" s="1297"/>
      <c r="J7289" s="1297"/>
      <c r="K7289" s="1297"/>
    </row>
    <row r="7290" spans="2:11">
      <c r="B7290" s="1297"/>
      <c r="C7290" s="1297"/>
      <c r="D7290" s="1297"/>
      <c r="E7290" s="1297"/>
      <c r="F7290" s="1297"/>
      <c r="G7290" s="1297"/>
      <c r="H7290" s="1297"/>
      <c r="I7290" s="1297"/>
      <c r="J7290" s="1297"/>
      <c r="K7290" s="1297"/>
    </row>
    <row r="7291" spans="2:11">
      <c r="B7291" s="1297"/>
      <c r="C7291" s="1297"/>
      <c r="D7291" s="1297"/>
      <c r="E7291" s="1297"/>
      <c r="F7291" s="1297"/>
      <c r="G7291" s="1297"/>
      <c r="H7291" s="1297"/>
      <c r="I7291" s="1297"/>
      <c r="J7291" s="1297"/>
      <c r="K7291" s="1297"/>
    </row>
    <row r="7292" spans="2:11">
      <c r="B7292" s="1297"/>
      <c r="C7292" s="1297"/>
      <c r="D7292" s="1297"/>
      <c r="E7292" s="1297"/>
      <c r="F7292" s="1297"/>
      <c r="G7292" s="1297"/>
      <c r="H7292" s="1297"/>
      <c r="I7292" s="1297"/>
      <c r="J7292" s="1297"/>
      <c r="K7292" s="1297"/>
    </row>
    <row r="7293" spans="2:11">
      <c r="B7293" s="1297"/>
      <c r="C7293" s="1297"/>
      <c r="D7293" s="1297"/>
      <c r="E7293" s="1297"/>
      <c r="F7293" s="1297"/>
      <c r="G7293" s="1297"/>
      <c r="H7293" s="1297"/>
      <c r="I7293" s="1297"/>
      <c r="J7293" s="1297"/>
      <c r="K7293" s="1297"/>
    </row>
    <row r="7294" spans="2:11">
      <c r="B7294" s="1297"/>
      <c r="C7294" s="1297"/>
      <c r="D7294" s="1297"/>
      <c r="E7294" s="1297"/>
      <c r="F7294" s="1297"/>
      <c r="G7294" s="1297"/>
      <c r="H7294" s="1297"/>
      <c r="I7294" s="1297"/>
      <c r="J7294" s="1297"/>
      <c r="K7294" s="1297"/>
    </row>
    <row r="7295" spans="2:11">
      <c r="B7295" s="1297"/>
      <c r="C7295" s="1297"/>
      <c r="D7295" s="1297"/>
      <c r="E7295" s="1297"/>
      <c r="F7295" s="1297"/>
      <c r="G7295" s="1297"/>
      <c r="H7295" s="1297"/>
      <c r="I7295" s="1297"/>
      <c r="J7295" s="1297"/>
      <c r="K7295" s="1297"/>
    </row>
    <row r="7296" spans="2:11">
      <c r="B7296" s="1297"/>
      <c r="C7296" s="1297"/>
      <c r="D7296" s="1297"/>
      <c r="E7296" s="1297"/>
      <c r="F7296" s="1297"/>
      <c r="G7296" s="1297"/>
      <c r="H7296" s="1297"/>
      <c r="I7296" s="1297"/>
      <c r="J7296" s="1297"/>
      <c r="K7296" s="1297"/>
    </row>
    <row r="7297" spans="2:11">
      <c r="B7297" s="1297"/>
      <c r="C7297" s="1297"/>
      <c r="D7297" s="1297"/>
      <c r="E7297" s="1297"/>
      <c r="F7297" s="1297"/>
      <c r="G7297" s="1297"/>
      <c r="H7297" s="1297"/>
      <c r="I7297" s="1297"/>
      <c r="J7297" s="1297"/>
      <c r="K7297" s="1297"/>
    </row>
    <row r="7298" spans="2:11">
      <c r="B7298" s="1297"/>
      <c r="C7298" s="1297"/>
      <c r="D7298" s="1297"/>
      <c r="E7298" s="1297"/>
      <c r="F7298" s="1297"/>
      <c r="G7298" s="1297"/>
      <c r="H7298" s="1297"/>
      <c r="I7298" s="1297"/>
      <c r="J7298" s="1297"/>
      <c r="K7298" s="1297"/>
    </row>
    <row r="7299" spans="2:11">
      <c r="B7299" s="1297"/>
      <c r="C7299" s="1297"/>
      <c r="D7299" s="1297"/>
      <c r="E7299" s="1297"/>
      <c r="F7299" s="1297"/>
      <c r="G7299" s="1297"/>
      <c r="H7299" s="1297"/>
      <c r="I7299" s="1297"/>
      <c r="J7299" s="1297"/>
      <c r="K7299" s="1297"/>
    </row>
    <row r="7300" spans="2:11">
      <c r="B7300" s="1297"/>
      <c r="C7300" s="1297"/>
      <c r="D7300" s="1297"/>
      <c r="E7300" s="1297"/>
      <c r="F7300" s="1297"/>
      <c r="G7300" s="1297"/>
      <c r="H7300" s="1297"/>
      <c r="I7300" s="1297"/>
      <c r="J7300" s="1297"/>
      <c r="K7300" s="1297"/>
    </row>
    <row r="7301" spans="2:11">
      <c r="B7301" s="1297"/>
      <c r="C7301" s="1297"/>
      <c r="D7301" s="1297"/>
      <c r="E7301" s="1297"/>
      <c r="F7301" s="1297"/>
      <c r="G7301" s="1297"/>
      <c r="H7301" s="1297"/>
      <c r="I7301" s="1297"/>
      <c r="J7301" s="1297"/>
      <c r="K7301" s="1297"/>
    </row>
    <row r="7302" spans="2:11">
      <c r="B7302" s="1297"/>
      <c r="C7302" s="1297"/>
      <c r="D7302" s="1297"/>
      <c r="E7302" s="1297"/>
      <c r="F7302" s="1297"/>
      <c r="G7302" s="1297"/>
      <c r="H7302" s="1297"/>
      <c r="I7302" s="1297"/>
      <c r="J7302" s="1297"/>
      <c r="K7302" s="1297"/>
    </row>
    <row r="7303" spans="2:11">
      <c r="B7303" s="1297"/>
      <c r="C7303" s="1297"/>
      <c r="D7303" s="1297"/>
      <c r="E7303" s="1297"/>
      <c r="F7303" s="1297"/>
      <c r="G7303" s="1297"/>
      <c r="H7303" s="1297"/>
      <c r="I7303" s="1297"/>
      <c r="J7303" s="1297"/>
      <c r="K7303" s="1297"/>
    </row>
    <row r="7304" spans="2:11">
      <c r="B7304" s="1297"/>
      <c r="C7304" s="1297"/>
      <c r="D7304" s="1297"/>
      <c r="E7304" s="1297"/>
      <c r="F7304" s="1297"/>
      <c r="G7304" s="1297"/>
      <c r="H7304" s="1297"/>
      <c r="I7304" s="1297"/>
      <c r="J7304" s="1297"/>
      <c r="K7304" s="1297"/>
    </row>
    <row r="7305" spans="2:11">
      <c r="B7305" s="1297"/>
      <c r="C7305" s="1297"/>
      <c r="D7305" s="1297"/>
      <c r="E7305" s="1297"/>
      <c r="F7305" s="1297"/>
      <c r="G7305" s="1297"/>
      <c r="H7305" s="1297"/>
      <c r="I7305" s="1297"/>
      <c r="J7305" s="1297"/>
      <c r="K7305" s="1297"/>
    </row>
    <row r="7306" spans="2:11">
      <c r="B7306" s="1297"/>
      <c r="C7306" s="1297"/>
      <c r="D7306" s="1297"/>
      <c r="E7306" s="1297"/>
      <c r="F7306" s="1297"/>
      <c r="G7306" s="1297"/>
      <c r="H7306" s="1297"/>
      <c r="I7306" s="1297"/>
      <c r="J7306" s="1297"/>
      <c r="K7306" s="1297"/>
    </row>
    <row r="7307" spans="2:11">
      <c r="B7307" s="1297"/>
      <c r="C7307" s="1297"/>
      <c r="D7307" s="1297"/>
      <c r="E7307" s="1297"/>
      <c r="F7307" s="1297"/>
      <c r="G7307" s="1297"/>
      <c r="H7307" s="1297"/>
      <c r="I7307" s="1297"/>
      <c r="J7307" s="1297"/>
      <c r="K7307" s="1297"/>
    </row>
    <row r="7308" spans="2:11">
      <c r="B7308" s="1297"/>
      <c r="C7308" s="1297"/>
      <c r="D7308" s="1297"/>
      <c r="E7308" s="1297"/>
      <c r="F7308" s="1297"/>
      <c r="G7308" s="1297"/>
      <c r="H7308" s="1297"/>
      <c r="I7308" s="1297"/>
      <c r="J7308" s="1297"/>
      <c r="K7308" s="1297"/>
    </row>
    <row r="7309" spans="2:11">
      <c r="B7309" s="1297"/>
      <c r="C7309" s="1297"/>
      <c r="D7309" s="1297"/>
      <c r="E7309" s="1297"/>
      <c r="F7309" s="1297"/>
      <c r="G7309" s="1297"/>
      <c r="H7309" s="1297"/>
      <c r="I7309" s="1297"/>
      <c r="J7309" s="1297"/>
      <c r="K7309" s="1297"/>
    </row>
    <row r="7310" spans="2:11">
      <c r="B7310" s="1297"/>
      <c r="C7310" s="1297"/>
      <c r="D7310" s="1297"/>
      <c r="E7310" s="1297"/>
      <c r="F7310" s="1297"/>
      <c r="G7310" s="1297"/>
      <c r="H7310" s="1297"/>
      <c r="I7310" s="1297"/>
      <c r="J7310" s="1297"/>
      <c r="K7310" s="1297"/>
    </row>
    <row r="7311" spans="2:11">
      <c r="B7311" s="1297"/>
      <c r="C7311" s="1297"/>
      <c r="D7311" s="1297"/>
      <c r="E7311" s="1297"/>
      <c r="F7311" s="1297"/>
      <c r="G7311" s="1297"/>
      <c r="H7311" s="1297"/>
      <c r="I7311" s="1297"/>
      <c r="J7311" s="1297"/>
      <c r="K7311" s="1297"/>
    </row>
    <row r="7312" spans="2:11">
      <c r="B7312" s="1297"/>
      <c r="C7312" s="1297"/>
      <c r="D7312" s="1297"/>
      <c r="E7312" s="1297"/>
      <c r="F7312" s="1297"/>
      <c r="G7312" s="1297"/>
      <c r="H7312" s="1297"/>
      <c r="I7312" s="1297"/>
      <c r="J7312" s="1297"/>
      <c r="K7312" s="1297"/>
    </row>
    <row r="7313" spans="2:11">
      <c r="B7313" s="1297"/>
      <c r="C7313" s="1297"/>
      <c r="D7313" s="1297"/>
      <c r="E7313" s="1297"/>
      <c r="F7313" s="1297"/>
      <c r="G7313" s="1297"/>
      <c r="H7313" s="1297"/>
      <c r="I7313" s="1297"/>
      <c r="J7313" s="1297"/>
      <c r="K7313" s="1297"/>
    </row>
    <row r="7314" spans="2:11">
      <c r="B7314" s="1297"/>
      <c r="C7314" s="1297"/>
      <c r="D7314" s="1297"/>
      <c r="E7314" s="1297"/>
      <c r="F7314" s="1297"/>
      <c r="G7314" s="1297"/>
      <c r="H7314" s="1297"/>
      <c r="I7314" s="1297"/>
      <c r="J7314" s="1297"/>
      <c r="K7314" s="1297"/>
    </row>
    <row r="7315" spans="2:11">
      <c r="B7315" s="1297"/>
      <c r="C7315" s="1297"/>
      <c r="D7315" s="1297"/>
      <c r="E7315" s="1297"/>
      <c r="F7315" s="1297"/>
      <c r="G7315" s="1297"/>
      <c r="H7315" s="1297"/>
      <c r="I7315" s="1297"/>
      <c r="J7315" s="1297"/>
      <c r="K7315" s="1297"/>
    </row>
    <row r="7316" spans="2:11">
      <c r="B7316" s="1297"/>
      <c r="C7316" s="1297"/>
      <c r="D7316" s="1297"/>
      <c r="E7316" s="1297"/>
      <c r="F7316" s="1297"/>
      <c r="G7316" s="1297"/>
      <c r="H7316" s="1297"/>
      <c r="I7316" s="1297"/>
      <c r="J7316" s="1297"/>
      <c r="K7316" s="1297"/>
    </row>
    <row r="7317" spans="2:11">
      <c r="B7317" s="1297"/>
      <c r="C7317" s="1297"/>
      <c r="D7317" s="1297"/>
      <c r="E7317" s="1297"/>
      <c r="F7317" s="1297"/>
      <c r="G7317" s="1297"/>
      <c r="H7317" s="1297"/>
      <c r="I7317" s="1297"/>
      <c r="J7317" s="1297"/>
      <c r="K7317" s="1297"/>
    </row>
    <row r="7318" spans="2:11">
      <c r="B7318" s="1297"/>
      <c r="C7318" s="1297"/>
      <c r="D7318" s="1297"/>
      <c r="E7318" s="1297"/>
      <c r="F7318" s="1297"/>
      <c r="G7318" s="1297"/>
      <c r="H7318" s="1297"/>
      <c r="I7318" s="1297"/>
      <c r="J7318" s="1297"/>
      <c r="K7318" s="1297"/>
    </row>
    <row r="7319" spans="2:11">
      <c r="B7319" s="1297"/>
      <c r="C7319" s="1297"/>
      <c r="D7319" s="1297"/>
      <c r="E7319" s="1297"/>
      <c r="F7319" s="1297"/>
      <c r="G7319" s="1297"/>
      <c r="H7319" s="1297"/>
      <c r="I7319" s="1297"/>
      <c r="J7319" s="1297"/>
      <c r="K7319" s="1297"/>
    </row>
    <row r="7320" spans="2:11">
      <c r="B7320" s="1297"/>
      <c r="C7320" s="1297"/>
      <c r="D7320" s="1297"/>
      <c r="E7320" s="1297"/>
      <c r="F7320" s="1297"/>
      <c r="G7320" s="1297"/>
      <c r="H7320" s="1297"/>
      <c r="I7320" s="1297"/>
      <c r="J7320" s="1297"/>
      <c r="K7320" s="1297"/>
    </row>
    <row r="7321" spans="2:11">
      <c r="B7321" s="1297"/>
      <c r="C7321" s="1297"/>
      <c r="D7321" s="1297"/>
      <c r="E7321" s="1297"/>
      <c r="F7321" s="1297"/>
      <c r="G7321" s="1297"/>
      <c r="H7321" s="1297"/>
      <c r="I7321" s="1297"/>
      <c r="J7321" s="1297"/>
      <c r="K7321" s="1297"/>
    </row>
    <row r="7322" spans="2:11">
      <c r="B7322" s="1297"/>
      <c r="C7322" s="1297"/>
      <c r="D7322" s="1297"/>
      <c r="E7322" s="1297"/>
      <c r="F7322" s="1297"/>
      <c r="G7322" s="1297"/>
      <c r="H7322" s="1297"/>
      <c r="I7322" s="1297"/>
      <c r="J7322" s="1297"/>
      <c r="K7322" s="1297"/>
    </row>
    <row r="7323" spans="2:11">
      <c r="B7323" s="1297"/>
      <c r="C7323" s="1297"/>
      <c r="D7323" s="1297"/>
      <c r="E7323" s="1297"/>
      <c r="F7323" s="1297"/>
      <c r="G7323" s="1297"/>
      <c r="H7323" s="1297"/>
      <c r="I7323" s="1297"/>
      <c r="J7323" s="1297"/>
      <c r="K7323" s="1297"/>
    </row>
    <row r="7324" spans="2:11">
      <c r="B7324" s="1297"/>
      <c r="C7324" s="1297"/>
      <c r="D7324" s="1297"/>
      <c r="E7324" s="1297"/>
      <c r="F7324" s="1297"/>
      <c r="G7324" s="1297"/>
      <c r="H7324" s="1297"/>
      <c r="I7324" s="1297"/>
      <c r="J7324" s="1297"/>
      <c r="K7324" s="1297"/>
    </row>
    <row r="7325" spans="2:11">
      <c r="B7325" s="1297"/>
      <c r="C7325" s="1297"/>
      <c r="D7325" s="1297"/>
      <c r="E7325" s="1297"/>
      <c r="F7325" s="1297"/>
      <c r="G7325" s="1297"/>
      <c r="H7325" s="1297"/>
      <c r="I7325" s="1297"/>
      <c r="J7325" s="1297"/>
      <c r="K7325" s="1297"/>
    </row>
    <row r="7326" spans="2:11">
      <c r="B7326" s="1297"/>
      <c r="C7326" s="1297"/>
      <c r="D7326" s="1297"/>
      <c r="E7326" s="1297"/>
      <c r="F7326" s="1297"/>
      <c r="G7326" s="1297"/>
      <c r="H7326" s="1297"/>
      <c r="I7326" s="1297"/>
      <c r="J7326" s="1297"/>
      <c r="K7326" s="1297"/>
    </row>
    <row r="7327" spans="2:11">
      <c r="B7327" s="1297"/>
      <c r="C7327" s="1297"/>
      <c r="D7327" s="1297"/>
      <c r="E7327" s="1297"/>
      <c r="F7327" s="1297"/>
      <c r="G7327" s="1297"/>
      <c r="H7327" s="1297"/>
      <c r="I7327" s="1297"/>
      <c r="J7327" s="1297"/>
      <c r="K7327" s="1297"/>
    </row>
    <row r="7328" spans="2:11">
      <c r="B7328" s="1297"/>
      <c r="C7328" s="1297"/>
      <c r="D7328" s="1297"/>
      <c r="E7328" s="1297"/>
      <c r="F7328" s="1297"/>
      <c r="G7328" s="1297"/>
      <c r="H7328" s="1297"/>
      <c r="I7328" s="1297"/>
      <c r="J7328" s="1297"/>
      <c r="K7328" s="1297"/>
    </row>
    <row r="7329" spans="2:11">
      <c r="B7329" s="1297"/>
      <c r="C7329" s="1297"/>
      <c r="D7329" s="1297"/>
      <c r="E7329" s="1297"/>
      <c r="F7329" s="1297"/>
      <c r="G7329" s="1297"/>
      <c r="H7329" s="1297"/>
      <c r="I7329" s="1297"/>
      <c r="J7329" s="1297"/>
      <c r="K7329" s="1297"/>
    </row>
    <row r="7330" spans="2:11">
      <c r="B7330" s="1297"/>
      <c r="C7330" s="1297"/>
      <c r="D7330" s="1297"/>
      <c r="E7330" s="1297"/>
      <c r="F7330" s="1297"/>
      <c r="G7330" s="1297"/>
      <c r="H7330" s="1297"/>
      <c r="I7330" s="1297"/>
      <c r="J7330" s="1297"/>
      <c r="K7330" s="1297"/>
    </row>
    <row r="7331" spans="2:11">
      <c r="B7331" s="1297"/>
      <c r="C7331" s="1297"/>
      <c r="D7331" s="1297"/>
      <c r="E7331" s="1297"/>
      <c r="F7331" s="1297"/>
      <c r="G7331" s="1297"/>
      <c r="H7331" s="1297"/>
      <c r="I7331" s="1297"/>
      <c r="J7331" s="1297"/>
      <c r="K7331" s="1297"/>
    </row>
    <row r="7332" spans="2:11">
      <c r="B7332" s="1297"/>
      <c r="C7332" s="1297"/>
      <c r="D7332" s="1297"/>
      <c r="E7332" s="1297"/>
      <c r="F7332" s="1297"/>
      <c r="G7332" s="1297"/>
      <c r="H7332" s="1297"/>
      <c r="I7332" s="1297"/>
      <c r="J7332" s="1297"/>
      <c r="K7332" s="1297"/>
    </row>
    <row r="7333" spans="2:11">
      <c r="B7333" s="1297"/>
      <c r="C7333" s="1297"/>
      <c r="D7333" s="1297"/>
      <c r="E7333" s="1297"/>
      <c r="F7333" s="1297"/>
      <c r="G7333" s="1297"/>
      <c r="H7333" s="1297"/>
      <c r="I7333" s="1297"/>
      <c r="J7333" s="1297"/>
      <c r="K7333" s="1297"/>
    </row>
    <row r="7334" spans="2:11">
      <c r="B7334" s="1297"/>
      <c r="C7334" s="1297"/>
      <c r="D7334" s="1297"/>
      <c r="E7334" s="1297"/>
      <c r="F7334" s="1297"/>
      <c r="G7334" s="1297"/>
      <c r="H7334" s="1297"/>
      <c r="I7334" s="1297"/>
      <c r="J7334" s="1297"/>
      <c r="K7334" s="1297"/>
    </row>
    <row r="7335" spans="2:11">
      <c r="B7335" s="1297"/>
      <c r="C7335" s="1297"/>
      <c r="D7335" s="1297"/>
      <c r="E7335" s="1297"/>
      <c r="F7335" s="1297"/>
      <c r="G7335" s="1297"/>
      <c r="H7335" s="1297"/>
      <c r="I7335" s="1297"/>
      <c r="J7335" s="1297"/>
      <c r="K7335" s="1297"/>
    </row>
    <row r="7336" spans="2:11">
      <c r="B7336" s="1297"/>
      <c r="C7336" s="1297"/>
      <c r="D7336" s="1297"/>
      <c r="E7336" s="1297"/>
      <c r="F7336" s="1297"/>
      <c r="G7336" s="1297"/>
      <c r="H7336" s="1297"/>
      <c r="I7336" s="1297"/>
      <c r="J7336" s="1297"/>
      <c r="K7336" s="1297"/>
    </row>
    <row r="7337" spans="2:11">
      <c r="B7337" s="1297"/>
      <c r="C7337" s="1297"/>
      <c r="D7337" s="1297"/>
      <c r="E7337" s="1297"/>
      <c r="F7337" s="1297"/>
      <c r="G7337" s="1297"/>
      <c r="H7337" s="1297"/>
      <c r="I7337" s="1297"/>
      <c r="J7337" s="1297"/>
      <c r="K7337" s="1297"/>
    </row>
    <row r="7338" spans="2:11">
      <c r="B7338" s="1297"/>
      <c r="C7338" s="1297"/>
      <c r="D7338" s="1297"/>
      <c r="E7338" s="1297"/>
      <c r="F7338" s="1297"/>
      <c r="G7338" s="1297"/>
      <c r="H7338" s="1297"/>
      <c r="I7338" s="1297"/>
      <c r="J7338" s="1297"/>
      <c r="K7338" s="1297"/>
    </row>
    <row r="7339" spans="2:11">
      <c r="B7339" s="1297"/>
      <c r="C7339" s="1297"/>
      <c r="D7339" s="1297"/>
      <c r="E7339" s="1297"/>
      <c r="F7339" s="1297"/>
      <c r="G7339" s="1297"/>
      <c r="H7339" s="1297"/>
      <c r="I7339" s="1297"/>
      <c r="J7339" s="1297"/>
      <c r="K7339" s="1297"/>
    </row>
    <row r="7340" spans="2:11">
      <c r="B7340" s="1297"/>
      <c r="C7340" s="1297"/>
      <c r="D7340" s="1297"/>
      <c r="E7340" s="1297"/>
      <c r="F7340" s="1297"/>
      <c r="G7340" s="1297"/>
      <c r="H7340" s="1297"/>
      <c r="I7340" s="1297"/>
      <c r="J7340" s="1297"/>
      <c r="K7340" s="1297"/>
    </row>
    <row r="7341" spans="2:11">
      <c r="B7341" s="1297"/>
      <c r="C7341" s="1297"/>
      <c r="D7341" s="1297"/>
      <c r="E7341" s="1297"/>
      <c r="F7341" s="1297"/>
      <c r="G7341" s="1297"/>
      <c r="H7341" s="1297"/>
      <c r="I7341" s="1297"/>
      <c r="J7341" s="1297"/>
      <c r="K7341" s="1297"/>
    </row>
    <row r="7342" spans="2:11">
      <c r="B7342" s="1297"/>
      <c r="C7342" s="1297"/>
      <c r="D7342" s="1297"/>
      <c r="E7342" s="1297"/>
      <c r="F7342" s="1297"/>
      <c r="G7342" s="1297"/>
      <c r="H7342" s="1297"/>
      <c r="I7342" s="1297"/>
      <c r="J7342" s="1297"/>
      <c r="K7342" s="1297"/>
    </row>
    <row r="7343" spans="2:11">
      <c r="B7343" s="1297"/>
      <c r="C7343" s="1297"/>
      <c r="D7343" s="1297"/>
      <c r="E7343" s="1297"/>
      <c r="F7343" s="1297"/>
      <c r="G7343" s="1297"/>
      <c r="H7343" s="1297"/>
      <c r="I7343" s="1297"/>
      <c r="J7343" s="1297"/>
      <c r="K7343" s="1297"/>
    </row>
    <row r="7344" spans="2:11">
      <c r="B7344" s="1297"/>
      <c r="C7344" s="1297"/>
      <c r="D7344" s="1297"/>
      <c r="E7344" s="1297"/>
      <c r="F7344" s="1297"/>
      <c r="G7344" s="1297"/>
      <c r="H7344" s="1297"/>
      <c r="I7344" s="1297"/>
      <c r="J7344" s="1297"/>
      <c r="K7344" s="1297"/>
    </row>
    <row r="7345" spans="2:11">
      <c r="B7345" s="1297"/>
      <c r="C7345" s="1297"/>
      <c r="D7345" s="1297"/>
      <c r="E7345" s="1297"/>
      <c r="F7345" s="1297"/>
      <c r="G7345" s="1297"/>
      <c r="H7345" s="1297"/>
      <c r="I7345" s="1297"/>
      <c r="J7345" s="1297"/>
      <c r="K7345" s="1297"/>
    </row>
    <row r="7346" spans="2:11">
      <c r="B7346" s="1297"/>
      <c r="C7346" s="1297"/>
      <c r="D7346" s="1297"/>
      <c r="E7346" s="1297"/>
      <c r="F7346" s="1297"/>
      <c r="G7346" s="1297"/>
      <c r="H7346" s="1297"/>
      <c r="I7346" s="1297"/>
      <c r="J7346" s="1297"/>
      <c r="K7346" s="1297"/>
    </row>
    <row r="7347" spans="2:11">
      <c r="B7347" s="1297"/>
      <c r="C7347" s="1297"/>
      <c r="D7347" s="1297"/>
      <c r="E7347" s="1297"/>
      <c r="F7347" s="1297"/>
      <c r="G7347" s="1297"/>
      <c r="H7347" s="1297"/>
      <c r="I7347" s="1297"/>
      <c r="J7347" s="1297"/>
      <c r="K7347" s="1297"/>
    </row>
    <row r="7348" spans="2:11">
      <c r="B7348" s="1297"/>
      <c r="C7348" s="1297"/>
      <c r="D7348" s="1297"/>
      <c r="E7348" s="1297"/>
      <c r="F7348" s="1297"/>
      <c r="G7348" s="1297"/>
      <c r="H7348" s="1297"/>
      <c r="I7348" s="1297"/>
      <c r="J7348" s="1297"/>
      <c r="K7348" s="1297"/>
    </row>
    <row r="7349" spans="2:11">
      <c r="B7349" s="1297"/>
      <c r="C7349" s="1297"/>
      <c r="D7349" s="1297"/>
      <c r="E7349" s="1297"/>
      <c r="F7349" s="1297"/>
      <c r="G7349" s="1297"/>
      <c r="H7349" s="1297"/>
      <c r="I7349" s="1297"/>
      <c r="J7349" s="1297"/>
      <c r="K7349" s="1297"/>
    </row>
    <row r="7350" spans="2:11">
      <c r="B7350" s="1297"/>
      <c r="C7350" s="1297"/>
      <c r="D7350" s="1297"/>
      <c r="E7350" s="1297"/>
      <c r="F7350" s="1297"/>
      <c r="G7350" s="1297"/>
      <c r="H7350" s="1297"/>
      <c r="I7350" s="1297"/>
      <c r="J7350" s="1297"/>
      <c r="K7350" s="1297"/>
    </row>
    <row r="7351" spans="2:11">
      <c r="B7351" s="1297"/>
      <c r="C7351" s="1297"/>
      <c r="D7351" s="1297"/>
      <c r="E7351" s="1297"/>
      <c r="F7351" s="1297"/>
      <c r="G7351" s="1297"/>
      <c r="H7351" s="1297"/>
      <c r="I7351" s="1297"/>
      <c r="J7351" s="1297"/>
      <c r="K7351" s="1297"/>
    </row>
    <row r="7352" spans="2:11">
      <c r="B7352" s="1297"/>
      <c r="C7352" s="1297"/>
      <c r="D7352" s="1297"/>
      <c r="E7352" s="1297"/>
      <c r="F7352" s="1297"/>
      <c r="G7352" s="1297"/>
      <c r="H7352" s="1297"/>
      <c r="I7352" s="1297"/>
      <c r="J7352" s="1297"/>
      <c r="K7352" s="1297"/>
    </row>
    <row r="7353" spans="2:11">
      <c r="B7353" s="1297"/>
      <c r="C7353" s="1297"/>
      <c r="D7353" s="1297"/>
      <c r="E7353" s="1297"/>
      <c r="F7353" s="1297"/>
      <c r="G7353" s="1297"/>
      <c r="H7353" s="1297"/>
      <c r="I7353" s="1297"/>
      <c r="J7353" s="1297"/>
      <c r="K7353" s="1297"/>
    </row>
    <row r="7354" spans="2:11">
      <c r="B7354" s="1297"/>
      <c r="C7354" s="1297"/>
      <c r="D7354" s="1297"/>
      <c r="E7354" s="1297"/>
      <c r="F7354" s="1297"/>
      <c r="G7354" s="1297"/>
      <c r="H7354" s="1297"/>
      <c r="I7354" s="1297"/>
      <c r="J7354" s="1297"/>
      <c r="K7354" s="1297"/>
    </row>
    <row r="7355" spans="2:11">
      <c r="B7355" s="1297"/>
      <c r="C7355" s="1297"/>
      <c r="D7355" s="1297"/>
      <c r="E7355" s="1297"/>
      <c r="F7355" s="1297"/>
      <c r="G7355" s="1297"/>
      <c r="H7355" s="1297"/>
      <c r="I7355" s="1297"/>
      <c r="J7355" s="1297"/>
      <c r="K7355" s="1297"/>
    </row>
    <row r="7356" spans="2:11">
      <c r="B7356" s="1297"/>
      <c r="C7356" s="1297"/>
      <c r="D7356" s="1297"/>
      <c r="E7356" s="1297"/>
      <c r="F7356" s="1297"/>
      <c r="G7356" s="1297"/>
      <c r="H7356" s="1297"/>
      <c r="I7356" s="1297"/>
      <c r="J7356" s="1297"/>
      <c r="K7356" s="1297"/>
    </row>
    <row r="7357" spans="2:11">
      <c r="B7357" s="1297"/>
      <c r="C7357" s="1297"/>
      <c r="D7357" s="1297"/>
      <c r="E7357" s="1297"/>
      <c r="F7357" s="1297"/>
      <c r="G7357" s="1297"/>
      <c r="H7357" s="1297"/>
      <c r="I7357" s="1297"/>
      <c r="J7357" s="1297"/>
      <c r="K7357" s="1297"/>
    </row>
    <row r="7358" spans="2:11">
      <c r="B7358" s="1297"/>
      <c r="C7358" s="1297"/>
      <c r="D7358" s="1297"/>
      <c r="E7358" s="1297"/>
      <c r="F7358" s="1297"/>
      <c r="G7358" s="1297"/>
      <c r="H7358" s="1297"/>
      <c r="I7358" s="1297"/>
      <c r="J7358" s="1297"/>
      <c r="K7358" s="1297"/>
    </row>
    <row r="7359" spans="2:11">
      <c r="B7359" s="1297"/>
      <c r="C7359" s="1297"/>
      <c r="D7359" s="1297"/>
      <c r="E7359" s="1297"/>
      <c r="F7359" s="1297"/>
      <c r="G7359" s="1297"/>
      <c r="H7359" s="1297"/>
      <c r="I7359" s="1297"/>
      <c r="J7359" s="1297"/>
      <c r="K7359" s="1297"/>
    </row>
    <row r="7360" spans="2:11">
      <c r="B7360" s="1297"/>
      <c r="C7360" s="1297"/>
      <c r="D7360" s="1297"/>
      <c r="E7360" s="1297"/>
      <c r="F7360" s="1297"/>
      <c r="G7360" s="1297"/>
      <c r="H7360" s="1297"/>
      <c r="I7360" s="1297"/>
      <c r="J7360" s="1297"/>
      <c r="K7360" s="1297"/>
    </row>
    <row r="7361" spans="2:11">
      <c r="B7361" s="1297"/>
      <c r="C7361" s="1297"/>
      <c r="D7361" s="1297"/>
      <c r="E7361" s="1297"/>
      <c r="F7361" s="1297"/>
      <c r="G7361" s="1297"/>
      <c r="H7361" s="1297"/>
      <c r="I7361" s="1297"/>
      <c r="J7361" s="1297"/>
      <c r="K7361" s="1297"/>
    </row>
    <row r="7362" spans="2:11">
      <c r="B7362" s="1297"/>
      <c r="C7362" s="1297"/>
      <c r="D7362" s="1297"/>
      <c r="E7362" s="1297"/>
      <c r="F7362" s="1297"/>
      <c r="G7362" s="1297"/>
      <c r="H7362" s="1297"/>
      <c r="I7362" s="1297"/>
      <c r="J7362" s="1297"/>
      <c r="K7362" s="1297"/>
    </row>
    <row r="7363" spans="2:11">
      <c r="B7363" s="1297"/>
      <c r="C7363" s="1297"/>
      <c r="D7363" s="1297"/>
      <c r="E7363" s="1297"/>
      <c r="F7363" s="1297"/>
      <c r="G7363" s="1297"/>
      <c r="H7363" s="1297"/>
      <c r="I7363" s="1297"/>
      <c r="J7363" s="1297"/>
      <c r="K7363" s="1297"/>
    </row>
    <row r="7364" spans="2:11">
      <c r="B7364" s="1297"/>
      <c r="C7364" s="1297"/>
      <c r="D7364" s="1297"/>
      <c r="E7364" s="1297"/>
      <c r="F7364" s="1297"/>
      <c r="G7364" s="1297"/>
      <c r="H7364" s="1297"/>
      <c r="I7364" s="1297"/>
      <c r="J7364" s="1297"/>
      <c r="K7364" s="1297"/>
    </row>
    <row r="7365" spans="2:11">
      <c r="B7365" s="1297"/>
      <c r="C7365" s="1297"/>
      <c r="D7365" s="1297"/>
      <c r="E7365" s="1297"/>
      <c r="F7365" s="1297"/>
      <c r="G7365" s="1297"/>
      <c r="H7365" s="1297"/>
      <c r="I7365" s="1297"/>
      <c r="J7365" s="1297"/>
      <c r="K7365" s="1297"/>
    </row>
    <row r="7366" spans="2:11">
      <c r="B7366" s="1297"/>
      <c r="C7366" s="1297"/>
      <c r="D7366" s="1297"/>
      <c r="E7366" s="1297"/>
      <c r="F7366" s="1297"/>
      <c r="G7366" s="1297"/>
      <c r="H7366" s="1297"/>
      <c r="I7366" s="1297"/>
      <c r="J7366" s="1297"/>
      <c r="K7366" s="1297"/>
    </row>
    <row r="7367" spans="2:11">
      <c r="B7367" s="1297"/>
      <c r="C7367" s="1297"/>
      <c r="D7367" s="1297"/>
      <c r="E7367" s="1297"/>
      <c r="F7367" s="1297"/>
      <c r="G7367" s="1297"/>
      <c r="H7367" s="1297"/>
      <c r="I7367" s="1297"/>
      <c r="J7367" s="1297"/>
      <c r="K7367" s="1297"/>
    </row>
    <row r="7368" spans="2:11">
      <c r="B7368" s="1297"/>
      <c r="C7368" s="1297"/>
      <c r="D7368" s="1297"/>
      <c r="E7368" s="1297"/>
      <c r="F7368" s="1297"/>
      <c r="G7368" s="1297"/>
      <c r="H7368" s="1297"/>
      <c r="I7368" s="1297"/>
      <c r="J7368" s="1297"/>
      <c r="K7368" s="1297"/>
    </row>
    <row r="7369" spans="2:11">
      <c r="B7369" s="1297"/>
      <c r="C7369" s="1297"/>
      <c r="D7369" s="1297"/>
      <c r="E7369" s="1297"/>
      <c r="F7369" s="1297"/>
      <c r="G7369" s="1297"/>
      <c r="H7369" s="1297"/>
      <c r="I7369" s="1297"/>
      <c r="J7369" s="1297"/>
      <c r="K7369" s="1297"/>
    </row>
    <row r="7370" spans="2:11">
      <c r="B7370" s="1297"/>
      <c r="C7370" s="1297"/>
      <c r="D7370" s="1297"/>
      <c r="E7370" s="1297"/>
      <c r="F7370" s="1297"/>
      <c r="G7370" s="1297"/>
      <c r="H7370" s="1297"/>
      <c r="I7370" s="1297"/>
      <c r="J7370" s="1297"/>
      <c r="K7370" s="1297"/>
    </row>
    <row r="7371" spans="2:11">
      <c r="B7371" s="1297"/>
      <c r="C7371" s="1297"/>
      <c r="D7371" s="1297"/>
      <c r="E7371" s="1297"/>
      <c r="F7371" s="1297"/>
      <c r="G7371" s="1297"/>
      <c r="H7371" s="1297"/>
      <c r="I7371" s="1297"/>
      <c r="J7371" s="1297"/>
      <c r="K7371" s="1297"/>
    </row>
    <row r="7372" spans="2:11">
      <c r="B7372" s="1297"/>
      <c r="C7372" s="1297"/>
      <c r="D7372" s="1297"/>
      <c r="E7372" s="1297"/>
      <c r="F7372" s="1297"/>
      <c r="G7372" s="1297"/>
      <c r="H7372" s="1297"/>
      <c r="I7372" s="1297"/>
      <c r="J7372" s="1297"/>
      <c r="K7372" s="1297"/>
    </row>
    <row r="7373" spans="2:11">
      <c r="B7373" s="1297"/>
      <c r="C7373" s="1297"/>
      <c r="D7373" s="1297"/>
      <c r="E7373" s="1297"/>
      <c r="F7373" s="1297"/>
      <c r="G7373" s="1297"/>
      <c r="H7373" s="1297"/>
      <c r="I7373" s="1297"/>
      <c r="J7373" s="1297"/>
      <c r="K7373" s="1297"/>
    </row>
    <row r="7374" spans="2:11">
      <c r="B7374" s="1297"/>
      <c r="C7374" s="1297"/>
      <c r="D7374" s="1297"/>
      <c r="E7374" s="1297"/>
      <c r="F7374" s="1297"/>
      <c r="G7374" s="1297"/>
      <c r="H7374" s="1297"/>
      <c r="I7374" s="1297"/>
      <c r="J7374" s="1297"/>
      <c r="K7374" s="1297"/>
    </row>
    <row r="7375" spans="2:11">
      <c r="B7375" s="1297"/>
      <c r="C7375" s="1297"/>
      <c r="D7375" s="1297"/>
      <c r="E7375" s="1297"/>
      <c r="F7375" s="1297"/>
      <c r="G7375" s="1297"/>
      <c r="H7375" s="1297"/>
      <c r="I7375" s="1297"/>
      <c r="J7375" s="1297"/>
      <c r="K7375" s="1297"/>
    </row>
    <row r="7376" spans="2:11">
      <c r="B7376" s="1297"/>
      <c r="C7376" s="1297"/>
      <c r="D7376" s="1297"/>
      <c r="E7376" s="1297"/>
      <c r="F7376" s="1297"/>
      <c r="G7376" s="1297"/>
      <c r="H7376" s="1297"/>
      <c r="I7376" s="1297"/>
      <c r="J7376" s="1297"/>
      <c r="K7376" s="1297"/>
    </row>
    <row r="7377" spans="2:11">
      <c r="B7377" s="1297"/>
      <c r="C7377" s="1297"/>
      <c r="D7377" s="1297"/>
      <c r="E7377" s="1297"/>
      <c r="F7377" s="1297"/>
      <c r="G7377" s="1297"/>
      <c r="H7377" s="1297"/>
      <c r="I7377" s="1297"/>
      <c r="J7377" s="1297"/>
      <c r="K7377" s="1297"/>
    </row>
    <row r="7378" spans="2:11">
      <c r="B7378" s="1297"/>
      <c r="C7378" s="1297"/>
      <c r="D7378" s="1297"/>
      <c r="E7378" s="1297"/>
      <c r="F7378" s="1297"/>
      <c r="G7378" s="1297"/>
      <c r="H7378" s="1297"/>
      <c r="I7378" s="1297"/>
      <c r="J7378" s="1297"/>
      <c r="K7378" s="1297"/>
    </row>
    <row r="7379" spans="2:11">
      <c r="B7379" s="1297"/>
      <c r="C7379" s="1297"/>
      <c r="D7379" s="1297"/>
      <c r="E7379" s="1297"/>
      <c r="F7379" s="1297"/>
      <c r="G7379" s="1297"/>
      <c r="H7379" s="1297"/>
      <c r="I7379" s="1297"/>
      <c r="J7379" s="1297"/>
      <c r="K7379" s="1297"/>
    </row>
    <row r="7380" spans="2:11">
      <c r="B7380" s="1297"/>
      <c r="C7380" s="1297"/>
      <c r="D7380" s="1297"/>
      <c r="E7380" s="1297"/>
      <c r="F7380" s="1297"/>
      <c r="G7380" s="1297"/>
      <c r="H7380" s="1297"/>
      <c r="I7380" s="1297"/>
      <c r="J7380" s="1297"/>
      <c r="K7380" s="1297"/>
    </row>
    <row r="7381" spans="2:11">
      <c r="B7381" s="1297"/>
      <c r="C7381" s="1297"/>
      <c r="D7381" s="1297"/>
      <c r="E7381" s="1297"/>
      <c r="F7381" s="1297"/>
      <c r="G7381" s="1297"/>
      <c r="H7381" s="1297"/>
      <c r="I7381" s="1297"/>
      <c r="J7381" s="1297"/>
      <c r="K7381" s="1297"/>
    </row>
    <row r="7382" spans="2:11">
      <c r="B7382" s="1297"/>
      <c r="C7382" s="1297"/>
      <c r="D7382" s="1297"/>
      <c r="E7382" s="1297"/>
      <c r="F7382" s="1297"/>
      <c r="G7382" s="1297"/>
      <c r="H7382" s="1297"/>
      <c r="I7382" s="1297"/>
      <c r="J7382" s="1297"/>
      <c r="K7382" s="1297"/>
    </row>
    <row r="7383" spans="2:11">
      <c r="B7383" s="1297"/>
      <c r="C7383" s="1297"/>
      <c r="D7383" s="1297"/>
      <c r="E7383" s="1297"/>
      <c r="F7383" s="1297"/>
      <c r="G7383" s="1297"/>
      <c r="H7383" s="1297"/>
      <c r="I7383" s="1297"/>
      <c r="J7383" s="1297"/>
      <c r="K7383" s="1297"/>
    </row>
    <row r="7384" spans="2:11">
      <c r="B7384" s="1297"/>
      <c r="C7384" s="1297"/>
      <c r="D7384" s="1297"/>
      <c r="E7384" s="1297"/>
      <c r="F7384" s="1297"/>
      <c r="G7384" s="1297"/>
      <c r="H7384" s="1297"/>
      <c r="I7384" s="1297"/>
      <c r="J7384" s="1297"/>
      <c r="K7384" s="1297"/>
    </row>
    <row r="7385" spans="2:11">
      <c r="B7385" s="1297"/>
      <c r="C7385" s="1297"/>
      <c r="D7385" s="1297"/>
      <c r="E7385" s="1297"/>
      <c r="F7385" s="1297"/>
      <c r="G7385" s="1297"/>
      <c r="H7385" s="1297"/>
      <c r="I7385" s="1297"/>
      <c r="J7385" s="1297"/>
      <c r="K7385" s="1297"/>
    </row>
    <row r="7386" spans="2:11">
      <c r="B7386" s="1297"/>
      <c r="C7386" s="1297"/>
      <c r="D7386" s="1297"/>
      <c r="E7386" s="1297"/>
      <c r="F7386" s="1297"/>
      <c r="G7386" s="1297"/>
      <c r="H7386" s="1297"/>
      <c r="I7386" s="1297"/>
      <c r="J7386" s="1297"/>
      <c r="K7386" s="1297"/>
    </row>
    <row r="7387" spans="2:11">
      <c r="B7387" s="1297"/>
      <c r="C7387" s="1297"/>
      <c r="D7387" s="1297"/>
      <c r="E7387" s="1297"/>
      <c r="F7387" s="1297"/>
      <c r="G7387" s="1297"/>
      <c r="H7387" s="1297"/>
      <c r="I7387" s="1297"/>
      <c r="J7387" s="1297"/>
      <c r="K7387" s="1297"/>
    </row>
    <row r="7388" spans="2:11">
      <c r="B7388" s="1297"/>
      <c r="C7388" s="1297"/>
      <c r="D7388" s="1297"/>
      <c r="E7388" s="1297"/>
      <c r="F7388" s="1297"/>
      <c r="G7388" s="1297"/>
      <c r="H7388" s="1297"/>
      <c r="I7388" s="1297"/>
      <c r="J7388" s="1297"/>
      <c r="K7388" s="1297"/>
    </row>
    <row r="7389" spans="2:11">
      <c r="B7389" s="1297"/>
      <c r="C7389" s="1297"/>
      <c r="D7389" s="1297"/>
      <c r="E7389" s="1297"/>
      <c r="F7389" s="1297"/>
      <c r="G7389" s="1297"/>
      <c r="H7389" s="1297"/>
      <c r="I7389" s="1297"/>
      <c r="J7389" s="1297"/>
      <c r="K7389" s="1297"/>
    </row>
    <row r="7390" spans="2:11">
      <c r="B7390" s="1297"/>
      <c r="C7390" s="1297"/>
      <c r="D7390" s="1297"/>
      <c r="E7390" s="1297"/>
      <c r="F7390" s="1297"/>
      <c r="G7390" s="1297"/>
      <c r="H7390" s="1297"/>
      <c r="I7390" s="1297"/>
      <c r="J7390" s="1297"/>
      <c r="K7390" s="1297"/>
    </row>
    <row r="7391" spans="2:11">
      <c r="B7391" s="1297"/>
      <c r="C7391" s="1297"/>
      <c r="D7391" s="1297"/>
      <c r="E7391" s="1297"/>
      <c r="F7391" s="1297"/>
      <c r="G7391" s="1297"/>
      <c r="H7391" s="1297"/>
      <c r="I7391" s="1297"/>
      <c r="J7391" s="1297"/>
      <c r="K7391" s="1297"/>
    </row>
    <row r="7392" spans="2:11">
      <c r="B7392" s="1297"/>
      <c r="C7392" s="1297"/>
      <c r="D7392" s="1297"/>
      <c r="E7392" s="1297"/>
      <c r="F7392" s="1297"/>
      <c r="G7392" s="1297"/>
      <c r="H7392" s="1297"/>
      <c r="I7392" s="1297"/>
      <c r="J7392" s="1297"/>
      <c r="K7392" s="1297"/>
    </row>
    <row r="7393" spans="2:11">
      <c r="B7393" s="1297"/>
      <c r="C7393" s="1297"/>
      <c r="D7393" s="1297"/>
      <c r="E7393" s="1297"/>
      <c r="F7393" s="1297"/>
      <c r="G7393" s="1297"/>
      <c r="H7393" s="1297"/>
      <c r="I7393" s="1297"/>
      <c r="J7393" s="1297"/>
      <c r="K7393" s="1297"/>
    </row>
    <row r="7394" spans="2:11">
      <c r="B7394" s="1297"/>
      <c r="C7394" s="1297"/>
      <c r="D7394" s="1297"/>
      <c r="E7394" s="1297"/>
      <c r="F7394" s="1297"/>
      <c r="G7394" s="1297"/>
      <c r="H7394" s="1297"/>
      <c r="I7394" s="1297"/>
      <c r="J7394" s="1297"/>
      <c r="K7394" s="1297"/>
    </row>
    <row r="7395" spans="2:11">
      <c r="B7395" s="1297"/>
      <c r="C7395" s="1297"/>
      <c r="D7395" s="1297"/>
      <c r="E7395" s="1297"/>
      <c r="F7395" s="1297"/>
      <c r="G7395" s="1297"/>
      <c r="H7395" s="1297"/>
      <c r="I7395" s="1297"/>
      <c r="J7395" s="1297"/>
      <c r="K7395" s="1297"/>
    </row>
    <row r="7396" spans="2:11">
      <c r="B7396" s="1297"/>
      <c r="C7396" s="1297"/>
      <c r="D7396" s="1297"/>
      <c r="E7396" s="1297"/>
      <c r="F7396" s="1297"/>
      <c r="G7396" s="1297"/>
      <c r="H7396" s="1297"/>
      <c r="I7396" s="1297"/>
      <c r="J7396" s="1297"/>
      <c r="K7396" s="1297"/>
    </row>
    <row r="7397" spans="2:11">
      <c r="B7397" s="1297"/>
      <c r="C7397" s="1297"/>
      <c r="D7397" s="1297"/>
      <c r="E7397" s="1297"/>
      <c r="F7397" s="1297"/>
      <c r="G7397" s="1297"/>
      <c r="H7397" s="1297"/>
      <c r="I7397" s="1297"/>
      <c r="J7397" s="1297"/>
      <c r="K7397" s="1297"/>
    </row>
    <row r="7398" spans="2:11">
      <c r="B7398" s="1297"/>
      <c r="C7398" s="1297"/>
      <c r="D7398" s="1297"/>
      <c r="E7398" s="1297"/>
      <c r="F7398" s="1297"/>
      <c r="G7398" s="1297"/>
      <c r="H7398" s="1297"/>
      <c r="I7398" s="1297"/>
      <c r="J7398" s="1297"/>
      <c r="K7398" s="1297"/>
    </row>
    <row r="7399" spans="2:11">
      <c r="B7399" s="1297"/>
      <c r="C7399" s="1297"/>
      <c r="D7399" s="1297"/>
      <c r="E7399" s="1297"/>
      <c r="F7399" s="1297"/>
      <c r="G7399" s="1297"/>
      <c r="H7399" s="1297"/>
      <c r="I7399" s="1297"/>
      <c r="J7399" s="1297"/>
      <c r="K7399" s="1297"/>
    </row>
    <row r="7400" spans="2:11">
      <c r="B7400" s="1297"/>
      <c r="C7400" s="1297"/>
      <c r="D7400" s="1297"/>
      <c r="E7400" s="1297"/>
      <c r="F7400" s="1297"/>
      <c r="G7400" s="1297"/>
      <c r="H7400" s="1297"/>
      <c r="I7400" s="1297"/>
      <c r="J7400" s="1297"/>
      <c r="K7400" s="1297"/>
    </row>
    <row r="7401" spans="2:11">
      <c r="B7401" s="1297"/>
      <c r="C7401" s="1297"/>
      <c r="D7401" s="1297"/>
      <c r="E7401" s="1297"/>
      <c r="F7401" s="1297"/>
      <c r="G7401" s="1297"/>
      <c r="H7401" s="1297"/>
      <c r="I7401" s="1297"/>
      <c r="J7401" s="1297"/>
      <c r="K7401" s="1297"/>
    </row>
    <row r="7402" spans="2:11">
      <c r="B7402" s="1297"/>
      <c r="C7402" s="1297"/>
      <c r="D7402" s="1297"/>
      <c r="E7402" s="1297"/>
      <c r="F7402" s="1297"/>
      <c r="G7402" s="1297"/>
      <c r="H7402" s="1297"/>
      <c r="I7402" s="1297"/>
      <c r="J7402" s="1297"/>
      <c r="K7402" s="1297"/>
    </row>
    <row r="7403" spans="2:11">
      <c r="B7403" s="1297"/>
      <c r="C7403" s="1297"/>
      <c r="D7403" s="1297"/>
      <c r="E7403" s="1297"/>
      <c r="F7403" s="1297"/>
      <c r="G7403" s="1297"/>
      <c r="H7403" s="1297"/>
      <c r="I7403" s="1297"/>
      <c r="J7403" s="1297"/>
      <c r="K7403" s="1297"/>
    </row>
    <row r="7404" spans="2:11">
      <c r="B7404" s="1297"/>
      <c r="C7404" s="1297"/>
      <c r="D7404" s="1297"/>
      <c r="E7404" s="1297"/>
      <c r="F7404" s="1297"/>
      <c r="G7404" s="1297"/>
      <c r="H7404" s="1297"/>
      <c r="I7404" s="1297"/>
      <c r="J7404" s="1297"/>
      <c r="K7404" s="1297"/>
    </row>
    <row r="7405" spans="2:11">
      <c r="B7405" s="1297"/>
      <c r="C7405" s="1297"/>
      <c r="D7405" s="1297"/>
      <c r="E7405" s="1297"/>
      <c r="F7405" s="1297"/>
      <c r="G7405" s="1297"/>
      <c r="H7405" s="1297"/>
      <c r="I7405" s="1297"/>
      <c r="J7405" s="1297"/>
      <c r="K7405" s="1297"/>
    </row>
    <row r="7406" spans="2:11">
      <c r="B7406" s="1297"/>
      <c r="C7406" s="1297"/>
      <c r="D7406" s="1297"/>
      <c r="E7406" s="1297"/>
      <c r="F7406" s="1297"/>
      <c r="G7406" s="1297"/>
      <c r="H7406" s="1297"/>
      <c r="I7406" s="1297"/>
      <c r="J7406" s="1297"/>
      <c r="K7406" s="1297"/>
    </row>
    <row r="7407" spans="2:11">
      <c r="B7407" s="1297"/>
      <c r="C7407" s="1297"/>
      <c r="D7407" s="1297"/>
      <c r="E7407" s="1297"/>
      <c r="F7407" s="1297"/>
      <c r="G7407" s="1297"/>
      <c r="H7407" s="1297"/>
      <c r="I7407" s="1297"/>
      <c r="J7407" s="1297"/>
      <c r="K7407" s="1297"/>
    </row>
    <row r="7408" spans="2:11">
      <c r="B7408" s="1297"/>
      <c r="C7408" s="1297"/>
      <c r="D7408" s="1297"/>
      <c r="E7408" s="1297"/>
      <c r="F7408" s="1297"/>
      <c r="G7408" s="1297"/>
      <c r="H7408" s="1297"/>
      <c r="I7408" s="1297"/>
      <c r="J7408" s="1297"/>
      <c r="K7408" s="1297"/>
    </row>
    <row r="7409" spans="2:11">
      <c r="B7409" s="1297"/>
      <c r="C7409" s="1297"/>
      <c r="D7409" s="1297"/>
      <c r="E7409" s="1297"/>
      <c r="F7409" s="1297"/>
      <c r="G7409" s="1297"/>
      <c r="H7409" s="1297"/>
      <c r="I7409" s="1297"/>
      <c r="J7409" s="1297"/>
      <c r="K7409" s="1297"/>
    </row>
    <row r="7410" spans="2:11">
      <c r="B7410" s="1297"/>
      <c r="C7410" s="1297"/>
      <c r="D7410" s="1297"/>
      <c r="E7410" s="1297"/>
      <c r="F7410" s="1297"/>
      <c r="G7410" s="1297"/>
      <c r="H7410" s="1297"/>
      <c r="I7410" s="1297"/>
      <c r="J7410" s="1297"/>
      <c r="K7410" s="1297"/>
    </row>
    <row r="7411" spans="2:11">
      <c r="B7411" s="1297"/>
      <c r="C7411" s="1297"/>
      <c r="D7411" s="1297"/>
      <c r="E7411" s="1297"/>
      <c r="F7411" s="1297"/>
      <c r="G7411" s="1297"/>
      <c r="H7411" s="1297"/>
      <c r="I7411" s="1297"/>
      <c r="J7411" s="1297"/>
      <c r="K7411" s="1297"/>
    </row>
    <row r="7412" spans="2:11">
      <c r="B7412" s="1297"/>
      <c r="C7412" s="1297"/>
      <c r="D7412" s="1297"/>
      <c r="E7412" s="1297"/>
      <c r="F7412" s="1297"/>
      <c r="G7412" s="1297"/>
      <c r="H7412" s="1297"/>
      <c r="I7412" s="1297"/>
      <c r="J7412" s="1297"/>
      <c r="K7412" s="1297"/>
    </row>
    <row r="7413" spans="2:11">
      <c r="B7413" s="1297"/>
      <c r="C7413" s="1297"/>
      <c r="D7413" s="1297"/>
      <c r="E7413" s="1297"/>
      <c r="F7413" s="1297"/>
      <c r="G7413" s="1297"/>
      <c r="H7413" s="1297"/>
      <c r="I7413" s="1297"/>
      <c r="J7413" s="1297"/>
      <c r="K7413" s="1297"/>
    </row>
    <row r="7414" spans="2:11">
      <c r="B7414" s="1297"/>
      <c r="C7414" s="1297"/>
      <c r="D7414" s="1297"/>
      <c r="E7414" s="1297"/>
      <c r="F7414" s="1297"/>
      <c r="G7414" s="1297"/>
      <c r="H7414" s="1297"/>
      <c r="I7414" s="1297"/>
      <c r="J7414" s="1297"/>
      <c r="K7414" s="1297"/>
    </row>
    <row r="7415" spans="2:11">
      <c r="B7415" s="1297"/>
      <c r="C7415" s="1297"/>
      <c r="D7415" s="1297"/>
      <c r="E7415" s="1297"/>
      <c r="F7415" s="1297"/>
      <c r="G7415" s="1297"/>
      <c r="H7415" s="1297"/>
      <c r="I7415" s="1297"/>
      <c r="J7415" s="1297"/>
      <c r="K7415" s="1297"/>
    </row>
    <row r="7416" spans="2:11">
      <c r="B7416" s="1297"/>
      <c r="C7416" s="1297"/>
      <c r="D7416" s="1297"/>
      <c r="E7416" s="1297"/>
      <c r="F7416" s="1297"/>
      <c r="G7416" s="1297"/>
      <c r="H7416" s="1297"/>
      <c r="I7416" s="1297"/>
      <c r="J7416" s="1297"/>
      <c r="K7416" s="1297"/>
    </row>
    <row r="7417" spans="2:11">
      <c r="B7417" s="1297"/>
      <c r="C7417" s="1297"/>
      <c r="D7417" s="1297"/>
      <c r="E7417" s="1297"/>
      <c r="F7417" s="1297"/>
      <c r="G7417" s="1297"/>
      <c r="H7417" s="1297"/>
      <c r="I7417" s="1297"/>
      <c r="J7417" s="1297"/>
      <c r="K7417" s="1297"/>
    </row>
    <row r="7418" spans="2:11">
      <c r="B7418" s="1297"/>
      <c r="C7418" s="1297"/>
      <c r="D7418" s="1297"/>
      <c r="E7418" s="1297"/>
      <c r="F7418" s="1297"/>
      <c r="G7418" s="1297"/>
      <c r="H7418" s="1297"/>
      <c r="I7418" s="1297"/>
      <c r="J7418" s="1297"/>
      <c r="K7418" s="1297"/>
    </row>
    <row r="7419" spans="2:11">
      <c r="B7419" s="1297"/>
      <c r="C7419" s="1297"/>
      <c r="D7419" s="1297"/>
      <c r="E7419" s="1297"/>
      <c r="F7419" s="1297"/>
      <c r="G7419" s="1297"/>
      <c r="H7419" s="1297"/>
      <c r="I7419" s="1297"/>
      <c r="J7419" s="1297"/>
      <c r="K7419" s="1297"/>
    </row>
    <row r="7420" spans="2:11">
      <c r="B7420" s="1297"/>
      <c r="C7420" s="1297"/>
      <c r="D7420" s="1297"/>
      <c r="E7420" s="1297"/>
      <c r="F7420" s="1297"/>
      <c r="G7420" s="1297"/>
      <c r="H7420" s="1297"/>
      <c r="I7420" s="1297"/>
      <c r="J7420" s="1297"/>
      <c r="K7420" s="1297"/>
    </row>
    <row r="7421" spans="2:11">
      <c r="B7421" s="1297"/>
      <c r="C7421" s="1297"/>
      <c r="D7421" s="1297"/>
      <c r="E7421" s="1297"/>
      <c r="F7421" s="1297"/>
      <c r="G7421" s="1297"/>
      <c r="H7421" s="1297"/>
      <c r="I7421" s="1297"/>
      <c r="J7421" s="1297"/>
      <c r="K7421" s="1297"/>
    </row>
    <row r="7422" spans="2:11">
      <c r="B7422" s="1297"/>
      <c r="C7422" s="1297"/>
      <c r="D7422" s="1297"/>
      <c r="E7422" s="1297"/>
      <c r="F7422" s="1297"/>
      <c r="G7422" s="1297"/>
      <c r="H7422" s="1297"/>
      <c r="I7422" s="1297"/>
      <c r="J7422" s="1297"/>
      <c r="K7422" s="1297"/>
    </row>
    <row r="7423" spans="2:11">
      <c r="B7423" s="1297"/>
      <c r="C7423" s="1297"/>
      <c r="D7423" s="1297"/>
      <c r="E7423" s="1297"/>
      <c r="F7423" s="1297"/>
      <c r="G7423" s="1297"/>
      <c r="H7423" s="1297"/>
      <c r="I7423" s="1297"/>
      <c r="J7423" s="1297"/>
      <c r="K7423" s="1297"/>
    </row>
    <row r="7424" spans="2:11">
      <c r="B7424" s="1297"/>
      <c r="C7424" s="1297"/>
      <c r="D7424" s="1297"/>
      <c r="E7424" s="1297"/>
      <c r="F7424" s="1297"/>
      <c r="G7424" s="1297"/>
      <c r="H7424" s="1297"/>
      <c r="I7424" s="1297"/>
      <c r="J7424" s="1297"/>
      <c r="K7424" s="1297"/>
    </row>
    <row r="7425" spans="2:11">
      <c r="B7425" s="1297"/>
      <c r="C7425" s="1297"/>
      <c r="D7425" s="1297"/>
      <c r="E7425" s="1297"/>
      <c r="F7425" s="1297"/>
      <c r="G7425" s="1297"/>
      <c r="H7425" s="1297"/>
      <c r="I7425" s="1297"/>
      <c r="J7425" s="1297"/>
      <c r="K7425" s="1297"/>
    </row>
    <row r="7426" spans="2:11">
      <c r="B7426" s="1297"/>
      <c r="C7426" s="1297"/>
      <c r="D7426" s="1297"/>
      <c r="E7426" s="1297"/>
      <c r="F7426" s="1297"/>
      <c r="G7426" s="1297"/>
      <c r="H7426" s="1297"/>
      <c r="I7426" s="1297"/>
      <c r="J7426" s="1297"/>
      <c r="K7426" s="1297"/>
    </row>
    <row r="7427" spans="2:11">
      <c r="B7427" s="1297"/>
      <c r="C7427" s="1297"/>
      <c r="D7427" s="1297"/>
      <c r="E7427" s="1297"/>
      <c r="F7427" s="1297"/>
      <c r="G7427" s="1297"/>
      <c r="H7427" s="1297"/>
      <c r="I7427" s="1297"/>
      <c r="J7427" s="1297"/>
      <c r="K7427" s="1297"/>
    </row>
    <row r="7428" spans="2:11">
      <c r="B7428" s="1297"/>
      <c r="C7428" s="1297"/>
      <c r="D7428" s="1297"/>
      <c r="E7428" s="1297"/>
      <c r="F7428" s="1297"/>
      <c r="G7428" s="1297"/>
      <c r="H7428" s="1297"/>
      <c r="I7428" s="1297"/>
      <c r="J7428" s="1297"/>
      <c r="K7428" s="1297"/>
    </row>
    <row r="7429" spans="2:11">
      <c r="B7429" s="1297"/>
      <c r="C7429" s="1297"/>
      <c r="D7429" s="1297"/>
      <c r="E7429" s="1297"/>
      <c r="F7429" s="1297"/>
      <c r="G7429" s="1297"/>
      <c r="H7429" s="1297"/>
      <c r="I7429" s="1297"/>
      <c r="J7429" s="1297"/>
      <c r="K7429" s="1297"/>
    </row>
    <row r="7430" spans="2:11">
      <c r="B7430" s="1297"/>
      <c r="C7430" s="1297"/>
      <c r="D7430" s="1297"/>
      <c r="E7430" s="1297"/>
      <c r="F7430" s="1297"/>
      <c r="G7430" s="1297"/>
      <c r="H7430" s="1297"/>
      <c r="I7430" s="1297"/>
      <c r="J7430" s="1297"/>
      <c r="K7430" s="1297"/>
    </row>
    <row r="7431" spans="2:11">
      <c r="B7431" s="1297"/>
      <c r="C7431" s="1297"/>
      <c r="D7431" s="1297"/>
      <c r="E7431" s="1297"/>
      <c r="F7431" s="1297"/>
      <c r="G7431" s="1297"/>
      <c r="H7431" s="1297"/>
      <c r="I7431" s="1297"/>
      <c r="J7431" s="1297"/>
      <c r="K7431" s="1297"/>
    </row>
    <row r="7432" spans="2:11">
      <c r="B7432" s="1297"/>
      <c r="C7432" s="1297"/>
      <c r="D7432" s="1297"/>
      <c r="E7432" s="1297"/>
      <c r="F7432" s="1297"/>
      <c r="G7432" s="1297"/>
      <c r="H7432" s="1297"/>
      <c r="I7432" s="1297"/>
      <c r="J7432" s="1297"/>
      <c r="K7432" s="1297"/>
    </row>
    <row r="7433" spans="2:11">
      <c r="B7433" s="1297"/>
      <c r="C7433" s="1297"/>
      <c r="D7433" s="1297"/>
      <c r="E7433" s="1297"/>
      <c r="F7433" s="1297"/>
      <c r="G7433" s="1297"/>
      <c r="H7433" s="1297"/>
      <c r="I7433" s="1297"/>
      <c r="J7433" s="1297"/>
      <c r="K7433" s="1297"/>
    </row>
    <row r="7434" spans="2:11">
      <c r="B7434" s="1297"/>
      <c r="C7434" s="1297"/>
      <c r="D7434" s="1297"/>
      <c r="E7434" s="1297"/>
      <c r="F7434" s="1297"/>
      <c r="G7434" s="1297"/>
      <c r="H7434" s="1297"/>
      <c r="I7434" s="1297"/>
      <c r="J7434" s="1297"/>
      <c r="K7434" s="1297"/>
    </row>
    <row r="7435" spans="2:11">
      <c r="B7435" s="1297"/>
      <c r="C7435" s="1297"/>
      <c r="D7435" s="1297"/>
      <c r="E7435" s="1297"/>
      <c r="F7435" s="1297"/>
      <c r="G7435" s="1297"/>
      <c r="H7435" s="1297"/>
      <c r="I7435" s="1297"/>
      <c r="J7435" s="1297"/>
      <c r="K7435" s="1297"/>
    </row>
    <row r="7436" spans="2:11">
      <c r="B7436" s="1297"/>
      <c r="C7436" s="1297"/>
      <c r="D7436" s="1297"/>
      <c r="E7436" s="1297"/>
      <c r="F7436" s="1297"/>
      <c r="G7436" s="1297"/>
      <c r="H7436" s="1297"/>
      <c r="I7436" s="1297"/>
      <c r="J7436" s="1297"/>
      <c r="K7436" s="1297"/>
    </row>
    <row r="7437" spans="2:11">
      <c r="B7437" s="1297"/>
      <c r="C7437" s="1297"/>
      <c r="D7437" s="1297"/>
      <c r="E7437" s="1297"/>
      <c r="F7437" s="1297"/>
      <c r="G7437" s="1297"/>
      <c r="H7437" s="1297"/>
      <c r="I7437" s="1297"/>
      <c r="J7437" s="1297"/>
      <c r="K7437" s="1297"/>
    </row>
    <row r="7438" spans="2:11">
      <c r="B7438" s="1297"/>
      <c r="C7438" s="1297"/>
      <c r="D7438" s="1297"/>
      <c r="E7438" s="1297"/>
      <c r="F7438" s="1297"/>
      <c r="G7438" s="1297"/>
      <c r="H7438" s="1297"/>
      <c r="I7438" s="1297"/>
      <c r="J7438" s="1297"/>
      <c r="K7438" s="1297"/>
    </row>
    <row r="7439" spans="2:11">
      <c r="B7439" s="1297"/>
      <c r="C7439" s="1297"/>
      <c r="D7439" s="1297"/>
      <c r="E7439" s="1297"/>
      <c r="F7439" s="1297"/>
      <c r="G7439" s="1297"/>
      <c r="H7439" s="1297"/>
      <c r="I7439" s="1297"/>
      <c r="J7439" s="1297"/>
      <c r="K7439" s="1297"/>
    </row>
    <row r="7440" spans="2:11">
      <c r="B7440" s="1297"/>
      <c r="C7440" s="1297"/>
      <c r="D7440" s="1297"/>
      <c r="E7440" s="1297"/>
      <c r="F7440" s="1297"/>
      <c r="G7440" s="1297"/>
      <c r="H7440" s="1297"/>
      <c r="I7440" s="1297"/>
      <c r="J7440" s="1297"/>
      <c r="K7440" s="1297"/>
    </row>
    <row r="7441" spans="2:11">
      <c r="B7441" s="1297"/>
      <c r="C7441" s="1297"/>
      <c r="D7441" s="1297"/>
      <c r="E7441" s="1297"/>
      <c r="F7441" s="1297"/>
      <c r="G7441" s="1297"/>
      <c r="H7441" s="1297"/>
      <c r="I7441" s="1297"/>
      <c r="J7441" s="1297"/>
      <c r="K7441" s="1297"/>
    </row>
    <row r="7442" spans="2:11">
      <c r="B7442" s="1297"/>
      <c r="C7442" s="1297"/>
      <c r="D7442" s="1297"/>
      <c r="E7442" s="1297"/>
      <c r="F7442" s="1297"/>
      <c r="G7442" s="1297"/>
      <c r="H7442" s="1297"/>
      <c r="I7442" s="1297"/>
      <c r="J7442" s="1297"/>
      <c r="K7442" s="1297"/>
    </row>
    <row r="7443" spans="2:11">
      <c r="B7443" s="1297"/>
      <c r="C7443" s="1297"/>
      <c r="D7443" s="1297"/>
      <c r="E7443" s="1297"/>
      <c r="F7443" s="1297"/>
      <c r="G7443" s="1297"/>
      <c r="H7443" s="1297"/>
      <c r="I7443" s="1297"/>
      <c r="J7443" s="1297"/>
      <c r="K7443" s="1297"/>
    </row>
    <row r="7444" spans="2:11">
      <c r="B7444" s="1297"/>
      <c r="C7444" s="1297"/>
      <c r="D7444" s="1297"/>
      <c r="E7444" s="1297"/>
      <c r="F7444" s="1297"/>
      <c r="G7444" s="1297"/>
      <c r="H7444" s="1297"/>
      <c r="I7444" s="1297"/>
      <c r="J7444" s="1297"/>
      <c r="K7444" s="1297"/>
    </row>
    <row r="7445" spans="2:11">
      <c r="B7445" s="1297"/>
      <c r="C7445" s="1297"/>
      <c r="D7445" s="1297"/>
      <c r="E7445" s="1297"/>
      <c r="F7445" s="1297"/>
      <c r="G7445" s="1297"/>
      <c r="H7445" s="1297"/>
      <c r="I7445" s="1297"/>
      <c r="J7445" s="1297"/>
      <c r="K7445" s="1297"/>
    </row>
    <row r="7446" spans="2:11">
      <c r="B7446" s="1297"/>
      <c r="C7446" s="1297"/>
      <c r="D7446" s="1297"/>
      <c r="E7446" s="1297"/>
      <c r="F7446" s="1297"/>
      <c r="G7446" s="1297"/>
      <c r="H7446" s="1297"/>
      <c r="I7446" s="1297"/>
      <c r="J7446" s="1297"/>
      <c r="K7446" s="1297"/>
    </row>
    <row r="7447" spans="2:11">
      <c r="B7447" s="1297"/>
      <c r="C7447" s="1297"/>
      <c r="D7447" s="1297"/>
      <c r="E7447" s="1297"/>
      <c r="F7447" s="1297"/>
      <c r="G7447" s="1297"/>
      <c r="H7447" s="1297"/>
      <c r="I7447" s="1297"/>
      <c r="J7447" s="1297"/>
      <c r="K7447" s="1297"/>
    </row>
    <row r="7448" spans="2:11">
      <c r="B7448" s="1297"/>
      <c r="C7448" s="1297"/>
      <c r="D7448" s="1297"/>
      <c r="E7448" s="1297"/>
      <c r="F7448" s="1297"/>
      <c r="G7448" s="1297"/>
      <c r="H7448" s="1297"/>
      <c r="I7448" s="1297"/>
      <c r="J7448" s="1297"/>
      <c r="K7448" s="1297"/>
    </row>
    <row r="7449" spans="2:11">
      <c r="B7449" s="1297"/>
      <c r="C7449" s="1297"/>
      <c r="D7449" s="1297"/>
      <c r="E7449" s="1297"/>
      <c r="F7449" s="1297"/>
      <c r="G7449" s="1297"/>
      <c r="H7449" s="1297"/>
      <c r="I7449" s="1297"/>
      <c r="J7449" s="1297"/>
      <c r="K7449" s="1297"/>
    </row>
    <row r="7450" spans="2:11">
      <c r="B7450" s="1297"/>
      <c r="C7450" s="1297"/>
      <c r="D7450" s="1297"/>
      <c r="E7450" s="1297"/>
      <c r="F7450" s="1297"/>
      <c r="G7450" s="1297"/>
      <c r="H7450" s="1297"/>
      <c r="I7450" s="1297"/>
      <c r="J7450" s="1297"/>
      <c r="K7450" s="1297"/>
    </row>
    <row r="7451" spans="2:11">
      <c r="B7451" s="1297"/>
      <c r="C7451" s="1297"/>
      <c r="D7451" s="1297"/>
      <c r="E7451" s="1297"/>
      <c r="F7451" s="1297"/>
      <c r="G7451" s="1297"/>
      <c r="H7451" s="1297"/>
      <c r="I7451" s="1297"/>
      <c r="J7451" s="1297"/>
      <c r="K7451" s="1297"/>
    </row>
    <row r="7452" spans="2:11">
      <c r="B7452" s="1297"/>
      <c r="C7452" s="1297"/>
      <c r="D7452" s="1297"/>
      <c r="E7452" s="1297"/>
      <c r="F7452" s="1297"/>
      <c r="G7452" s="1297"/>
      <c r="H7452" s="1297"/>
      <c r="I7452" s="1297"/>
      <c r="J7452" s="1297"/>
      <c r="K7452" s="1297"/>
    </row>
    <row r="7453" spans="2:11">
      <c r="B7453" s="1297"/>
      <c r="C7453" s="1297"/>
      <c r="D7453" s="1297"/>
      <c r="E7453" s="1297"/>
      <c r="F7453" s="1297"/>
      <c r="G7453" s="1297"/>
      <c r="H7453" s="1297"/>
      <c r="I7453" s="1297"/>
      <c r="J7453" s="1297"/>
      <c r="K7453" s="1297"/>
    </row>
    <row r="7454" spans="2:11">
      <c r="B7454" s="1297"/>
      <c r="C7454" s="1297"/>
      <c r="D7454" s="1297"/>
      <c r="E7454" s="1297"/>
      <c r="F7454" s="1297"/>
      <c r="G7454" s="1297"/>
      <c r="H7454" s="1297"/>
      <c r="I7454" s="1297"/>
      <c r="J7454" s="1297"/>
      <c r="K7454" s="1297"/>
    </row>
    <row r="7455" spans="2:11">
      <c r="B7455" s="1297"/>
      <c r="C7455" s="1297"/>
      <c r="D7455" s="1297"/>
      <c r="E7455" s="1297"/>
      <c r="F7455" s="1297"/>
      <c r="G7455" s="1297"/>
      <c r="H7455" s="1297"/>
      <c r="I7455" s="1297"/>
      <c r="J7455" s="1297"/>
      <c r="K7455" s="1297"/>
    </row>
    <row r="7456" spans="2:11">
      <c r="B7456" s="1297"/>
      <c r="C7456" s="1297"/>
      <c r="D7456" s="1297"/>
      <c r="E7456" s="1297"/>
      <c r="F7456" s="1297"/>
      <c r="G7456" s="1297"/>
      <c r="H7456" s="1297"/>
      <c r="I7456" s="1297"/>
      <c r="J7456" s="1297"/>
      <c r="K7456" s="1297"/>
    </row>
    <row r="7457" spans="2:11">
      <c r="B7457" s="1297"/>
      <c r="C7457" s="1297"/>
      <c r="D7457" s="1297"/>
      <c r="E7457" s="1297"/>
      <c r="F7457" s="1297"/>
      <c r="G7457" s="1297"/>
      <c r="H7457" s="1297"/>
      <c r="I7457" s="1297"/>
      <c r="J7457" s="1297"/>
      <c r="K7457" s="1297"/>
    </row>
    <row r="7458" spans="2:11">
      <c r="B7458" s="1297"/>
      <c r="C7458" s="1297"/>
      <c r="D7458" s="1297"/>
      <c r="E7458" s="1297"/>
      <c r="F7458" s="1297"/>
      <c r="G7458" s="1297"/>
      <c r="H7458" s="1297"/>
      <c r="I7458" s="1297"/>
      <c r="J7458" s="1297"/>
      <c r="K7458" s="1297"/>
    </row>
    <row r="7459" spans="2:11">
      <c r="B7459" s="1297"/>
      <c r="C7459" s="1297"/>
      <c r="D7459" s="1297"/>
      <c r="E7459" s="1297"/>
      <c r="F7459" s="1297"/>
      <c r="G7459" s="1297"/>
      <c r="H7459" s="1297"/>
      <c r="I7459" s="1297"/>
      <c r="J7459" s="1297"/>
      <c r="K7459" s="1297"/>
    </row>
    <row r="7460" spans="2:11">
      <c r="B7460" s="1297"/>
      <c r="C7460" s="1297"/>
      <c r="D7460" s="1297"/>
      <c r="E7460" s="1297"/>
      <c r="F7460" s="1297"/>
      <c r="G7460" s="1297"/>
      <c r="H7460" s="1297"/>
      <c r="I7460" s="1297"/>
      <c r="J7460" s="1297"/>
      <c r="K7460" s="1297"/>
    </row>
    <row r="7461" spans="2:11">
      <c r="B7461" s="1297"/>
      <c r="C7461" s="1297"/>
      <c r="D7461" s="1297"/>
      <c r="E7461" s="1297"/>
      <c r="F7461" s="1297"/>
      <c r="G7461" s="1297"/>
      <c r="H7461" s="1297"/>
      <c r="I7461" s="1297"/>
      <c r="J7461" s="1297"/>
      <c r="K7461" s="1297"/>
    </row>
    <row r="7462" spans="2:11">
      <c r="B7462" s="1297"/>
      <c r="C7462" s="1297"/>
      <c r="D7462" s="1297"/>
      <c r="E7462" s="1297"/>
      <c r="F7462" s="1297"/>
      <c r="G7462" s="1297"/>
      <c r="H7462" s="1297"/>
      <c r="I7462" s="1297"/>
      <c r="J7462" s="1297"/>
      <c r="K7462" s="1297"/>
    </row>
    <row r="7463" spans="2:11">
      <c r="B7463" s="1297"/>
      <c r="C7463" s="1297"/>
      <c r="D7463" s="1297"/>
      <c r="E7463" s="1297"/>
      <c r="F7463" s="1297"/>
      <c r="G7463" s="1297"/>
      <c r="H7463" s="1297"/>
      <c r="I7463" s="1297"/>
      <c r="J7463" s="1297"/>
      <c r="K7463" s="1297"/>
    </row>
    <row r="7464" spans="2:11">
      <c r="B7464" s="1297"/>
      <c r="C7464" s="1297"/>
      <c r="D7464" s="1297"/>
      <c r="E7464" s="1297"/>
      <c r="F7464" s="1297"/>
      <c r="G7464" s="1297"/>
      <c r="H7464" s="1297"/>
      <c r="I7464" s="1297"/>
      <c r="J7464" s="1297"/>
      <c r="K7464" s="1297"/>
    </row>
    <row r="7465" spans="2:11">
      <c r="B7465" s="1297"/>
      <c r="C7465" s="1297"/>
      <c r="D7465" s="1297"/>
      <c r="E7465" s="1297"/>
      <c r="F7465" s="1297"/>
      <c r="G7465" s="1297"/>
      <c r="H7465" s="1297"/>
      <c r="I7465" s="1297"/>
      <c r="J7465" s="1297"/>
      <c r="K7465" s="1297"/>
    </row>
    <row r="7466" spans="2:11">
      <c r="B7466" s="1297"/>
      <c r="C7466" s="1297"/>
      <c r="D7466" s="1297"/>
      <c r="E7466" s="1297"/>
      <c r="F7466" s="1297"/>
      <c r="G7466" s="1297"/>
      <c r="H7466" s="1297"/>
      <c r="I7466" s="1297"/>
      <c r="J7466" s="1297"/>
      <c r="K7466" s="1297"/>
    </row>
    <row r="7467" spans="2:11">
      <c r="B7467" s="1297"/>
      <c r="C7467" s="1297"/>
      <c r="D7467" s="1297"/>
      <c r="E7467" s="1297"/>
      <c r="F7467" s="1297"/>
      <c r="G7467" s="1297"/>
      <c r="H7467" s="1297"/>
      <c r="I7467" s="1297"/>
      <c r="J7467" s="1297"/>
      <c r="K7467" s="1297"/>
    </row>
    <row r="7468" spans="2:11">
      <c r="B7468" s="1297"/>
      <c r="C7468" s="1297"/>
      <c r="D7468" s="1297"/>
      <c r="E7468" s="1297"/>
      <c r="F7468" s="1297"/>
      <c r="G7468" s="1297"/>
      <c r="H7468" s="1297"/>
      <c r="I7468" s="1297"/>
      <c r="J7468" s="1297"/>
      <c r="K7468" s="1297"/>
    </row>
    <row r="7469" spans="2:11">
      <c r="B7469" s="1297"/>
      <c r="C7469" s="1297"/>
      <c r="D7469" s="1297"/>
      <c r="E7469" s="1297"/>
      <c r="F7469" s="1297"/>
      <c r="G7469" s="1297"/>
      <c r="H7469" s="1297"/>
      <c r="I7469" s="1297"/>
      <c r="J7469" s="1297"/>
      <c r="K7469" s="1297"/>
    </row>
    <row r="7470" spans="2:11">
      <c r="B7470" s="1297"/>
      <c r="C7470" s="1297"/>
      <c r="D7470" s="1297"/>
      <c r="E7470" s="1297"/>
      <c r="F7470" s="1297"/>
      <c r="G7470" s="1297"/>
      <c r="H7470" s="1297"/>
      <c r="I7470" s="1297"/>
      <c r="J7470" s="1297"/>
      <c r="K7470" s="1297"/>
    </row>
    <row r="7471" spans="2:11">
      <c r="B7471" s="1297"/>
      <c r="C7471" s="1297"/>
      <c r="D7471" s="1297"/>
      <c r="E7471" s="1297"/>
      <c r="F7471" s="1297"/>
      <c r="G7471" s="1297"/>
      <c r="H7471" s="1297"/>
      <c r="I7471" s="1297"/>
      <c r="J7471" s="1297"/>
      <c r="K7471" s="1297"/>
    </row>
    <row r="7472" spans="2:11">
      <c r="B7472" s="1297"/>
      <c r="C7472" s="1297"/>
      <c r="D7472" s="1297"/>
      <c r="E7472" s="1297"/>
      <c r="F7472" s="1297"/>
      <c r="G7472" s="1297"/>
      <c r="H7472" s="1297"/>
      <c r="I7472" s="1297"/>
      <c r="J7472" s="1297"/>
      <c r="K7472" s="1297"/>
    </row>
    <row r="7473" spans="2:11">
      <c r="B7473" s="1297"/>
      <c r="C7473" s="1297"/>
      <c r="D7473" s="1297"/>
      <c r="E7473" s="1297"/>
      <c r="F7473" s="1297"/>
      <c r="G7473" s="1297"/>
      <c r="H7473" s="1297"/>
      <c r="I7473" s="1297"/>
      <c r="J7473" s="1297"/>
      <c r="K7473" s="1297"/>
    </row>
    <row r="7474" spans="2:11">
      <c r="B7474" s="1297"/>
      <c r="C7474" s="1297"/>
      <c r="D7474" s="1297"/>
      <c r="E7474" s="1297"/>
      <c r="F7474" s="1297"/>
      <c r="G7474" s="1297"/>
      <c r="H7474" s="1297"/>
      <c r="I7474" s="1297"/>
      <c r="J7474" s="1297"/>
      <c r="K7474" s="1297"/>
    </row>
    <row r="7475" spans="2:11">
      <c r="B7475" s="1297"/>
      <c r="C7475" s="1297"/>
      <c r="D7475" s="1297"/>
      <c r="E7475" s="1297"/>
      <c r="F7475" s="1297"/>
      <c r="G7475" s="1297"/>
      <c r="H7475" s="1297"/>
      <c r="I7475" s="1297"/>
      <c r="J7475" s="1297"/>
      <c r="K7475" s="1297"/>
    </row>
    <row r="7476" spans="2:11">
      <c r="B7476" s="1297"/>
      <c r="C7476" s="1297"/>
      <c r="D7476" s="1297"/>
      <c r="E7476" s="1297"/>
      <c r="F7476" s="1297"/>
      <c r="G7476" s="1297"/>
      <c r="H7476" s="1297"/>
      <c r="I7476" s="1297"/>
      <c r="J7476" s="1297"/>
      <c r="K7476" s="1297"/>
    </row>
    <row r="7477" spans="2:11">
      <c r="B7477" s="1297"/>
      <c r="C7477" s="1297"/>
      <c r="D7477" s="1297"/>
      <c r="E7477" s="1297"/>
      <c r="F7477" s="1297"/>
      <c r="G7477" s="1297"/>
      <c r="H7477" s="1297"/>
      <c r="I7477" s="1297"/>
      <c r="J7477" s="1297"/>
      <c r="K7477" s="1297"/>
    </row>
    <row r="7478" spans="2:11">
      <c r="B7478" s="1297"/>
      <c r="C7478" s="1297"/>
      <c r="D7478" s="1297"/>
      <c r="E7478" s="1297"/>
      <c r="F7478" s="1297"/>
      <c r="G7478" s="1297"/>
      <c r="H7478" s="1297"/>
      <c r="I7478" s="1297"/>
      <c r="J7478" s="1297"/>
      <c r="K7478" s="1297"/>
    </row>
    <row r="7479" spans="2:11">
      <c r="B7479" s="1297"/>
      <c r="C7479" s="1297"/>
      <c r="D7479" s="1297"/>
      <c r="E7479" s="1297"/>
      <c r="F7479" s="1297"/>
      <c r="G7479" s="1297"/>
      <c r="H7479" s="1297"/>
      <c r="I7479" s="1297"/>
      <c r="J7479" s="1297"/>
      <c r="K7479" s="1297"/>
    </row>
    <row r="7480" spans="2:11">
      <c r="B7480" s="1297"/>
      <c r="C7480" s="1297"/>
      <c r="D7480" s="1297"/>
      <c r="E7480" s="1297"/>
      <c r="F7480" s="1297"/>
      <c r="G7480" s="1297"/>
      <c r="H7480" s="1297"/>
      <c r="I7480" s="1297"/>
      <c r="J7480" s="1297"/>
      <c r="K7480" s="1297"/>
    </row>
    <row r="7481" spans="2:11">
      <c r="B7481" s="1297"/>
      <c r="C7481" s="1297"/>
      <c r="D7481" s="1297"/>
      <c r="E7481" s="1297"/>
      <c r="F7481" s="1297"/>
      <c r="G7481" s="1297"/>
      <c r="H7481" s="1297"/>
      <c r="I7481" s="1297"/>
      <c r="J7481" s="1297"/>
      <c r="K7481" s="1297"/>
    </row>
    <row r="7482" spans="2:11">
      <c r="B7482" s="1297"/>
      <c r="C7482" s="1297"/>
      <c r="D7482" s="1297"/>
      <c r="E7482" s="1297"/>
      <c r="F7482" s="1297"/>
      <c r="G7482" s="1297"/>
      <c r="H7482" s="1297"/>
      <c r="I7482" s="1297"/>
      <c r="J7482" s="1297"/>
      <c r="K7482" s="1297"/>
    </row>
    <row r="7483" spans="2:11">
      <c r="B7483" s="1297"/>
      <c r="C7483" s="1297"/>
      <c r="D7483" s="1297"/>
      <c r="E7483" s="1297"/>
      <c r="F7483" s="1297"/>
      <c r="G7483" s="1297"/>
      <c r="H7483" s="1297"/>
      <c r="I7483" s="1297"/>
      <c r="J7483" s="1297"/>
      <c r="K7483" s="1297"/>
    </row>
    <row r="7484" spans="2:11">
      <c r="B7484" s="1297"/>
      <c r="C7484" s="1297"/>
      <c r="D7484" s="1297"/>
      <c r="E7484" s="1297"/>
      <c r="F7484" s="1297"/>
      <c r="G7484" s="1297"/>
      <c r="H7484" s="1297"/>
      <c r="I7484" s="1297"/>
      <c r="J7484" s="1297"/>
      <c r="K7484" s="1297"/>
    </row>
    <row r="7485" spans="2:11">
      <c r="B7485" s="1297"/>
      <c r="C7485" s="1297"/>
      <c r="D7485" s="1297"/>
      <c r="E7485" s="1297"/>
      <c r="F7485" s="1297"/>
      <c r="G7485" s="1297"/>
      <c r="H7485" s="1297"/>
      <c r="I7485" s="1297"/>
      <c r="J7485" s="1297"/>
      <c r="K7485" s="1297"/>
    </row>
    <row r="7486" spans="2:11">
      <c r="B7486" s="1297"/>
      <c r="C7486" s="1297"/>
      <c r="D7486" s="1297"/>
      <c r="E7486" s="1297"/>
      <c r="F7486" s="1297"/>
      <c r="G7486" s="1297"/>
      <c r="H7486" s="1297"/>
      <c r="I7486" s="1297"/>
      <c r="J7486" s="1297"/>
      <c r="K7486" s="1297"/>
    </row>
    <row r="7487" spans="2:11">
      <c r="B7487" s="1297"/>
      <c r="C7487" s="1297"/>
      <c r="D7487" s="1297"/>
      <c r="E7487" s="1297"/>
      <c r="F7487" s="1297"/>
      <c r="G7487" s="1297"/>
      <c r="H7487" s="1297"/>
      <c r="I7487" s="1297"/>
      <c r="J7487" s="1297"/>
      <c r="K7487" s="1297"/>
    </row>
    <row r="7488" spans="2:11">
      <c r="B7488" s="1297"/>
      <c r="C7488" s="1297"/>
      <c r="D7488" s="1297"/>
      <c r="E7488" s="1297"/>
      <c r="F7488" s="1297"/>
      <c r="G7488" s="1297"/>
      <c r="H7488" s="1297"/>
      <c r="I7488" s="1297"/>
      <c r="J7488" s="1297"/>
      <c r="K7488" s="1297"/>
    </row>
    <row r="7489" spans="2:11">
      <c r="B7489" s="1297"/>
      <c r="C7489" s="1297"/>
      <c r="D7489" s="1297"/>
      <c r="E7489" s="1297"/>
      <c r="F7489" s="1297"/>
      <c r="G7489" s="1297"/>
      <c r="H7489" s="1297"/>
      <c r="I7489" s="1297"/>
      <c r="J7489" s="1297"/>
      <c r="K7489" s="1297"/>
    </row>
    <row r="7490" spans="2:11">
      <c r="B7490" s="1297"/>
      <c r="C7490" s="1297"/>
      <c r="D7490" s="1297"/>
      <c r="E7490" s="1297"/>
      <c r="F7490" s="1297"/>
      <c r="G7490" s="1297"/>
      <c r="H7490" s="1297"/>
      <c r="I7490" s="1297"/>
      <c r="J7490" s="1297"/>
      <c r="K7490" s="1297"/>
    </row>
    <row r="7491" spans="2:11">
      <c r="B7491" s="1297"/>
      <c r="C7491" s="1297"/>
      <c r="D7491" s="1297"/>
      <c r="E7491" s="1297"/>
      <c r="F7491" s="1297"/>
      <c r="G7491" s="1297"/>
      <c r="H7491" s="1297"/>
      <c r="I7491" s="1297"/>
      <c r="J7491" s="1297"/>
      <c r="K7491" s="1297"/>
    </row>
    <row r="7492" spans="2:11">
      <c r="B7492" s="1297"/>
      <c r="C7492" s="1297"/>
      <c r="D7492" s="1297"/>
      <c r="E7492" s="1297"/>
      <c r="F7492" s="1297"/>
      <c r="G7492" s="1297"/>
      <c r="H7492" s="1297"/>
      <c r="I7492" s="1297"/>
      <c r="J7492" s="1297"/>
      <c r="K7492" s="1297"/>
    </row>
    <row r="7493" spans="2:11">
      <c r="B7493" s="1297"/>
      <c r="C7493" s="1297"/>
      <c r="D7493" s="1297"/>
      <c r="E7493" s="1297"/>
      <c r="F7493" s="1297"/>
      <c r="G7493" s="1297"/>
      <c r="H7493" s="1297"/>
      <c r="I7493" s="1297"/>
      <c r="J7493" s="1297"/>
      <c r="K7493" s="1297"/>
    </row>
    <row r="7494" spans="2:11">
      <c r="B7494" s="1297"/>
      <c r="C7494" s="1297"/>
      <c r="D7494" s="1297"/>
      <c r="E7494" s="1297"/>
      <c r="F7494" s="1297"/>
      <c r="G7494" s="1297"/>
      <c r="H7494" s="1297"/>
      <c r="I7494" s="1297"/>
      <c r="J7494" s="1297"/>
      <c r="K7494" s="1297"/>
    </row>
    <row r="7495" spans="2:11">
      <c r="B7495" s="1297"/>
      <c r="C7495" s="1297"/>
      <c r="D7495" s="1297"/>
      <c r="E7495" s="1297"/>
      <c r="F7495" s="1297"/>
      <c r="G7495" s="1297"/>
      <c r="H7495" s="1297"/>
      <c r="I7495" s="1297"/>
      <c r="J7495" s="1297"/>
      <c r="K7495" s="1297"/>
    </row>
    <row r="7496" spans="2:11">
      <c r="B7496" s="1297"/>
      <c r="C7496" s="1297"/>
      <c r="D7496" s="1297"/>
      <c r="E7496" s="1297"/>
      <c r="F7496" s="1297"/>
      <c r="G7496" s="1297"/>
      <c r="H7496" s="1297"/>
      <c r="I7496" s="1297"/>
      <c r="J7496" s="1297"/>
      <c r="K7496" s="1297"/>
    </row>
    <row r="7497" spans="2:11">
      <c r="B7497" s="1297"/>
      <c r="C7497" s="1297"/>
      <c r="D7497" s="1297"/>
      <c r="E7497" s="1297"/>
      <c r="F7497" s="1297"/>
      <c r="G7497" s="1297"/>
      <c r="H7497" s="1297"/>
      <c r="I7497" s="1297"/>
      <c r="J7497" s="1297"/>
      <c r="K7497" s="1297"/>
    </row>
    <row r="7498" spans="2:11">
      <c r="B7498" s="1297"/>
      <c r="C7498" s="1297"/>
      <c r="D7498" s="1297"/>
      <c r="E7498" s="1297"/>
      <c r="F7498" s="1297"/>
      <c r="G7498" s="1297"/>
      <c r="H7498" s="1297"/>
      <c r="I7498" s="1297"/>
      <c r="J7498" s="1297"/>
      <c r="K7498" s="1297"/>
    </row>
    <row r="7499" spans="2:11">
      <c r="B7499" s="1297"/>
      <c r="C7499" s="1297"/>
      <c r="D7499" s="1297"/>
      <c r="E7499" s="1297"/>
      <c r="F7499" s="1297"/>
      <c r="G7499" s="1297"/>
      <c r="H7499" s="1297"/>
      <c r="I7499" s="1297"/>
      <c r="J7499" s="1297"/>
      <c r="K7499" s="1297"/>
    </row>
    <row r="7500" spans="2:11">
      <c r="B7500" s="1297"/>
      <c r="C7500" s="1297"/>
      <c r="D7500" s="1297"/>
      <c r="E7500" s="1297"/>
      <c r="F7500" s="1297"/>
      <c r="G7500" s="1297"/>
      <c r="H7500" s="1297"/>
      <c r="I7500" s="1297"/>
      <c r="J7500" s="1297"/>
      <c r="K7500" s="1297"/>
    </row>
    <row r="7501" spans="2:11">
      <c r="B7501" s="1297"/>
      <c r="C7501" s="1297"/>
      <c r="D7501" s="1297"/>
      <c r="E7501" s="1297"/>
      <c r="F7501" s="1297"/>
      <c r="G7501" s="1297"/>
      <c r="H7501" s="1297"/>
      <c r="I7501" s="1297"/>
      <c r="J7501" s="1297"/>
      <c r="K7501" s="1297"/>
    </row>
    <row r="7502" spans="2:11">
      <c r="B7502" s="1297"/>
      <c r="C7502" s="1297"/>
      <c r="D7502" s="1297"/>
      <c r="E7502" s="1297"/>
      <c r="F7502" s="1297"/>
      <c r="G7502" s="1297"/>
      <c r="H7502" s="1297"/>
      <c r="I7502" s="1297"/>
      <c r="J7502" s="1297"/>
      <c r="K7502" s="1297"/>
    </row>
    <row r="7503" spans="2:11">
      <c r="B7503" s="1297"/>
      <c r="C7503" s="1297"/>
      <c r="D7503" s="1297"/>
      <c r="E7503" s="1297"/>
      <c r="F7503" s="1297"/>
      <c r="G7503" s="1297"/>
      <c r="H7503" s="1297"/>
      <c r="I7503" s="1297"/>
      <c r="J7503" s="1297"/>
      <c r="K7503" s="1297"/>
    </row>
    <row r="7504" spans="2:11">
      <c r="B7504" s="1297"/>
      <c r="C7504" s="1297"/>
      <c r="D7504" s="1297"/>
      <c r="E7504" s="1297"/>
      <c r="F7504" s="1297"/>
      <c r="G7504" s="1297"/>
      <c r="H7504" s="1297"/>
      <c r="I7504" s="1297"/>
      <c r="J7504" s="1297"/>
      <c r="K7504" s="1297"/>
    </row>
    <row r="7505" spans="2:11">
      <c r="B7505" s="1297"/>
      <c r="C7505" s="1297"/>
      <c r="D7505" s="1297"/>
      <c r="E7505" s="1297"/>
      <c r="F7505" s="1297"/>
      <c r="G7505" s="1297"/>
      <c r="H7505" s="1297"/>
      <c r="I7505" s="1297"/>
      <c r="J7505" s="1297"/>
      <c r="K7505" s="1297"/>
    </row>
    <row r="7506" spans="2:11">
      <c r="B7506" s="1297"/>
      <c r="C7506" s="1297"/>
      <c r="D7506" s="1297"/>
      <c r="E7506" s="1297"/>
      <c r="F7506" s="1297"/>
      <c r="G7506" s="1297"/>
      <c r="H7506" s="1297"/>
      <c r="I7506" s="1297"/>
      <c r="J7506" s="1297"/>
      <c r="K7506" s="1297"/>
    </row>
    <row r="7507" spans="2:11">
      <c r="B7507" s="1297"/>
      <c r="C7507" s="1297"/>
      <c r="D7507" s="1297"/>
      <c r="E7507" s="1297"/>
      <c r="F7507" s="1297"/>
      <c r="G7507" s="1297"/>
      <c r="H7507" s="1297"/>
      <c r="I7507" s="1297"/>
      <c r="J7507" s="1297"/>
      <c r="K7507" s="1297"/>
    </row>
    <row r="7508" spans="2:11">
      <c r="B7508" s="1297"/>
      <c r="C7508" s="1297"/>
      <c r="D7508" s="1297"/>
      <c r="E7508" s="1297"/>
      <c r="F7508" s="1297"/>
      <c r="G7508" s="1297"/>
      <c r="H7508" s="1297"/>
      <c r="I7508" s="1297"/>
      <c r="J7508" s="1297"/>
      <c r="K7508" s="1297"/>
    </row>
    <row r="7509" spans="2:11">
      <c r="B7509" s="1297"/>
      <c r="C7509" s="1297"/>
      <c r="D7509" s="1297"/>
      <c r="E7509" s="1297"/>
      <c r="F7509" s="1297"/>
      <c r="G7509" s="1297"/>
      <c r="H7509" s="1297"/>
      <c r="I7509" s="1297"/>
      <c r="J7509" s="1297"/>
      <c r="K7509" s="1297"/>
    </row>
    <row r="7510" spans="2:11">
      <c r="B7510" s="1297"/>
      <c r="C7510" s="1297"/>
      <c r="D7510" s="1297"/>
      <c r="E7510" s="1297"/>
      <c r="F7510" s="1297"/>
      <c r="G7510" s="1297"/>
      <c r="H7510" s="1297"/>
      <c r="I7510" s="1297"/>
      <c r="J7510" s="1297"/>
      <c r="K7510" s="1297"/>
    </row>
    <row r="7511" spans="2:11">
      <c r="B7511" s="1297"/>
      <c r="C7511" s="1297"/>
      <c r="D7511" s="1297"/>
      <c r="E7511" s="1297"/>
      <c r="F7511" s="1297"/>
      <c r="G7511" s="1297"/>
      <c r="H7511" s="1297"/>
      <c r="I7511" s="1297"/>
      <c r="J7511" s="1297"/>
      <c r="K7511" s="1297"/>
    </row>
    <row r="7512" spans="2:11">
      <c r="B7512" s="1297"/>
      <c r="C7512" s="1297"/>
      <c r="D7512" s="1297"/>
      <c r="E7512" s="1297"/>
      <c r="F7512" s="1297"/>
      <c r="G7512" s="1297"/>
      <c r="H7512" s="1297"/>
      <c r="I7512" s="1297"/>
      <c r="J7512" s="1297"/>
      <c r="K7512" s="1297"/>
    </row>
    <row r="7513" spans="2:11">
      <c r="B7513" s="1297"/>
      <c r="C7513" s="1297"/>
      <c r="D7513" s="1297"/>
      <c r="E7513" s="1297"/>
      <c r="F7513" s="1297"/>
      <c r="G7513" s="1297"/>
      <c r="H7513" s="1297"/>
      <c r="I7513" s="1297"/>
      <c r="J7513" s="1297"/>
      <c r="K7513" s="1297"/>
    </row>
    <row r="7514" spans="2:11">
      <c r="B7514" s="1297"/>
      <c r="C7514" s="1297"/>
      <c r="D7514" s="1297"/>
      <c r="E7514" s="1297"/>
      <c r="F7514" s="1297"/>
      <c r="G7514" s="1297"/>
      <c r="H7514" s="1297"/>
      <c r="I7514" s="1297"/>
      <c r="J7514" s="1297"/>
      <c r="K7514" s="1297"/>
    </row>
    <row r="7515" spans="2:11">
      <c r="B7515" s="1297"/>
      <c r="C7515" s="1297"/>
      <c r="D7515" s="1297"/>
      <c r="E7515" s="1297"/>
      <c r="F7515" s="1297"/>
      <c r="G7515" s="1297"/>
      <c r="H7515" s="1297"/>
      <c r="I7515" s="1297"/>
      <c r="J7515" s="1297"/>
      <c r="K7515" s="1297"/>
    </row>
    <row r="7516" spans="2:11">
      <c r="B7516" s="1297"/>
      <c r="C7516" s="1297"/>
      <c r="D7516" s="1297"/>
      <c r="E7516" s="1297"/>
      <c r="F7516" s="1297"/>
      <c r="G7516" s="1297"/>
      <c r="H7516" s="1297"/>
      <c r="I7516" s="1297"/>
      <c r="J7516" s="1297"/>
      <c r="K7516" s="1297"/>
    </row>
    <row r="7517" spans="2:11">
      <c r="B7517" s="1297"/>
      <c r="C7517" s="1297"/>
      <c r="D7517" s="1297"/>
      <c r="E7517" s="1297"/>
      <c r="F7517" s="1297"/>
      <c r="G7517" s="1297"/>
      <c r="H7517" s="1297"/>
      <c r="I7517" s="1297"/>
      <c r="J7517" s="1297"/>
      <c r="K7517" s="1297"/>
    </row>
    <row r="7518" spans="2:11">
      <c r="B7518" s="1297"/>
      <c r="C7518" s="1297"/>
      <c r="D7518" s="1297"/>
      <c r="E7518" s="1297"/>
      <c r="F7518" s="1297"/>
      <c r="G7518" s="1297"/>
      <c r="H7518" s="1297"/>
      <c r="I7518" s="1297"/>
      <c r="J7518" s="1297"/>
      <c r="K7518" s="1297"/>
    </row>
    <row r="7519" spans="2:11">
      <c r="B7519" s="1297"/>
      <c r="C7519" s="1297"/>
      <c r="D7519" s="1297"/>
      <c r="E7519" s="1297"/>
      <c r="F7519" s="1297"/>
      <c r="G7519" s="1297"/>
      <c r="H7519" s="1297"/>
      <c r="I7519" s="1297"/>
      <c r="J7519" s="1297"/>
      <c r="K7519" s="1297"/>
    </row>
    <row r="7520" spans="2:11">
      <c r="B7520" s="1297"/>
      <c r="C7520" s="1297"/>
      <c r="D7520" s="1297"/>
      <c r="E7520" s="1297"/>
      <c r="F7520" s="1297"/>
      <c r="G7520" s="1297"/>
      <c r="H7520" s="1297"/>
      <c r="I7520" s="1297"/>
      <c r="J7520" s="1297"/>
      <c r="K7520" s="1297"/>
    </row>
    <row r="7521" spans="2:11">
      <c r="B7521" s="1297"/>
      <c r="C7521" s="1297"/>
      <c r="D7521" s="1297"/>
      <c r="E7521" s="1297"/>
      <c r="F7521" s="1297"/>
      <c r="G7521" s="1297"/>
      <c r="H7521" s="1297"/>
      <c r="I7521" s="1297"/>
      <c r="J7521" s="1297"/>
      <c r="K7521" s="1297"/>
    </row>
    <row r="7522" spans="2:11">
      <c r="B7522" s="1297"/>
      <c r="C7522" s="1297"/>
      <c r="D7522" s="1297"/>
      <c r="E7522" s="1297"/>
      <c r="F7522" s="1297"/>
      <c r="G7522" s="1297"/>
      <c r="H7522" s="1297"/>
      <c r="I7522" s="1297"/>
      <c r="J7522" s="1297"/>
      <c r="K7522" s="1297"/>
    </row>
    <row r="7523" spans="2:11">
      <c r="B7523" s="1297"/>
      <c r="C7523" s="1297"/>
      <c r="D7523" s="1297"/>
      <c r="E7523" s="1297"/>
      <c r="F7523" s="1297"/>
      <c r="G7523" s="1297"/>
      <c r="H7523" s="1297"/>
      <c r="I7523" s="1297"/>
      <c r="J7523" s="1297"/>
      <c r="K7523" s="1297"/>
    </row>
    <row r="7524" spans="2:11">
      <c r="B7524" s="1297"/>
      <c r="C7524" s="1297"/>
      <c r="D7524" s="1297"/>
      <c r="E7524" s="1297"/>
      <c r="F7524" s="1297"/>
      <c r="G7524" s="1297"/>
      <c r="H7524" s="1297"/>
      <c r="I7524" s="1297"/>
      <c r="J7524" s="1297"/>
      <c r="K7524" s="1297"/>
    </row>
    <row r="7525" spans="2:11">
      <c r="B7525" s="1297"/>
      <c r="C7525" s="1297"/>
      <c r="D7525" s="1297"/>
      <c r="E7525" s="1297"/>
      <c r="F7525" s="1297"/>
      <c r="G7525" s="1297"/>
      <c r="H7525" s="1297"/>
      <c r="I7525" s="1297"/>
      <c r="J7525" s="1297"/>
      <c r="K7525" s="1297"/>
    </row>
    <row r="7526" spans="2:11">
      <c r="B7526" s="1297"/>
      <c r="C7526" s="1297"/>
      <c r="D7526" s="1297"/>
      <c r="E7526" s="1297"/>
      <c r="F7526" s="1297"/>
      <c r="G7526" s="1297"/>
      <c r="H7526" s="1297"/>
      <c r="I7526" s="1297"/>
      <c r="J7526" s="1297"/>
      <c r="K7526" s="1297"/>
    </row>
    <row r="7527" spans="2:11">
      <c r="B7527" s="1297"/>
      <c r="C7527" s="1297"/>
      <c r="D7527" s="1297"/>
      <c r="E7527" s="1297"/>
      <c r="F7527" s="1297"/>
      <c r="G7527" s="1297"/>
      <c r="H7527" s="1297"/>
      <c r="I7527" s="1297"/>
      <c r="J7527" s="1297"/>
      <c r="K7527" s="1297"/>
    </row>
    <row r="7528" spans="2:11">
      <c r="B7528" s="1297"/>
      <c r="C7528" s="1297"/>
      <c r="D7528" s="1297"/>
      <c r="E7528" s="1297"/>
      <c r="F7528" s="1297"/>
      <c r="G7528" s="1297"/>
      <c r="H7528" s="1297"/>
      <c r="I7528" s="1297"/>
      <c r="J7528" s="1297"/>
      <c r="K7528" s="1297"/>
    </row>
    <row r="7529" spans="2:11">
      <c r="B7529" s="1297"/>
      <c r="C7529" s="1297"/>
      <c r="D7529" s="1297"/>
      <c r="E7529" s="1297"/>
      <c r="F7529" s="1297"/>
      <c r="G7529" s="1297"/>
      <c r="H7529" s="1297"/>
      <c r="I7529" s="1297"/>
      <c r="J7529" s="1297"/>
      <c r="K7529" s="1297"/>
    </row>
    <row r="7530" spans="2:11">
      <c r="B7530" s="1297"/>
      <c r="C7530" s="1297"/>
      <c r="D7530" s="1297"/>
      <c r="E7530" s="1297"/>
      <c r="F7530" s="1297"/>
      <c r="G7530" s="1297"/>
      <c r="H7530" s="1297"/>
      <c r="I7530" s="1297"/>
      <c r="J7530" s="1297"/>
      <c r="K7530" s="1297"/>
    </row>
    <row r="7531" spans="2:11">
      <c r="B7531" s="1297"/>
      <c r="C7531" s="1297"/>
      <c r="D7531" s="1297"/>
      <c r="E7531" s="1297"/>
      <c r="F7531" s="1297"/>
      <c r="G7531" s="1297"/>
      <c r="H7531" s="1297"/>
      <c r="I7531" s="1297"/>
      <c r="J7531" s="1297"/>
      <c r="K7531" s="1297"/>
    </row>
    <row r="7532" spans="2:11">
      <c r="B7532" s="1297"/>
      <c r="C7532" s="1297"/>
      <c r="D7532" s="1297"/>
      <c r="E7532" s="1297"/>
      <c r="F7532" s="1297"/>
      <c r="G7532" s="1297"/>
      <c r="H7532" s="1297"/>
      <c r="I7532" s="1297"/>
      <c r="J7532" s="1297"/>
      <c r="K7532" s="1297"/>
    </row>
    <row r="7533" spans="2:11">
      <c r="B7533" s="1297"/>
      <c r="C7533" s="1297"/>
      <c r="D7533" s="1297"/>
      <c r="E7533" s="1297"/>
      <c r="F7533" s="1297"/>
      <c r="G7533" s="1297"/>
      <c r="H7533" s="1297"/>
      <c r="I7533" s="1297"/>
      <c r="J7533" s="1297"/>
      <c r="K7533" s="1297"/>
    </row>
    <row r="7534" spans="2:11">
      <c r="B7534" s="1297"/>
      <c r="C7534" s="1297"/>
      <c r="D7534" s="1297"/>
      <c r="E7534" s="1297"/>
      <c r="F7534" s="1297"/>
      <c r="G7534" s="1297"/>
      <c r="H7534" s="1297"/>
      <c r="I7534" s="1297"/>
      <c r="J7534" s="1297"/>
      <c r="K7534" s="1297"/>
    </row>
    <row r="7535" spans="2:11">
      <c r="B7535" s="1297"/>
      <c r="C7535" s="1297"/>
      <c r="D7535" s="1297"/>
      <c r="E7535" s="1297"/>
      <c r="F7535" s="1297"/>
      <c r="G7535" s="1297"/>
      <c r="H7535" s="1297"/>
      <c r="I7535" s="1297"/>
      <c r="J7535" s="1297"/>
      <c r="K7535" s="1297"/>
    </row>
    <row r="7536" spans="2:11">
      <c r="B7536" s="1297"/>
      <c r="C7536" s="1297"/>
      <c r="D7536" s="1297"/>
      <c r="E7536" s="1297"/>
      <c r="F7536" s="1297"/>
      <c r="G7536" s="1297"/>
      <c r="H7536" s="1297"/>
      <c r="I7536" s="1297"/>
      <c r="J7536" s="1297"/>
      <c r="K7536" s="1297"/>
    </row>
    <row r="7537" spans="2:11">
      <c r="B7537" s="1297"/>
      <c r="C7537" s="1297"/>
      <c r="D7537" s="1297"/>
      <c r="E7537" s="1297"/>
      <c r="F7537" s="1297"/>
      <c r="G7537" s="1297"/>
      <c r="H7537" s="1297"/>
      <c r="I7537" s="1297"/>
      <c r="J7537" s="1297"/>
      <c r="K7537" s="1297"/>
    </row>
    <row r="7538" spans="2:11">
      <c r="B7538" s="1297"/>
      <c r="C7538" s="1297"/>
      <c r="D7538" s="1297"/>
      <c r="E7538" s="1297"/>
      <c r="F7538" s="1297"/>
      <c r="G7538" s="1297"/>
      <c r="H7538" s="1297"/>
      <c r="I7538" s="1297"/>
      <c r="J7538" s="1297"/>
      <c r="K7538" s="1297"/>
    </row>
    <row r="7539" spans="2:11">
      <c r="B7539" s="1297"/>
      <c r="C7539" s="1297"/>
      <c r="D7539" s="1297"/>
      <c r="E7539" s="1297"/>
      <c r="F7539" s="1297"/>
      <c r="G7539" s="1297"/>
      <c r="H7539" s="1297"/>
      <c r="I7539" s="1297"/>
      <c r="J7539" s="1297"/>
      <c r="K7539" s="1297"/>
    </row>
    <row r="7540" spans="2:11">
      <c r="B7540" s="1297"/>
      <c r="C7540" s="1297"/>
      <c r="D7540" s="1297"/>
      <c r="E7540" s="1297"/>
      <c r="F7540" s="1297"/>
      <c r="G7540" s="1297"/>
      <c r="H7540" s="1297"/>
      <c r="I7540" s="1297"/>
      <c r="J7540" s="1297"/>
      <c r="K7540" s="1297"/>
    </row>
    <row r="7541" spans="2:11">
      <c r="B7541" s="1297"/>
      <c r="C7541" s="1297"/>
      <c r="D7541" s="1297"/>
      <c r="E7541" s="1297"/>
      <c r="F7541" s="1297"/>
      <c r="G7541" s="1297"/>
      <c r="H7541" s="1297"/>
      <c r="I7541" s="1297"/>
      <c r="J7541" s="1297"/>
      <c r="K7541" s="1297"/>
    </row>
    <row r="7542" spans="2:11">
      <c r="B7542" s="1297"/>
      <c r="C7542" s="1297"/>
      <c r="D7542" s="1297"/>
      <c r="E7542" s="1297"/>
      <c r="F7542" s="1297"/>
      <c r="G7542" s="1297"/>
      <c r="H7542" s="1297"/>
      <c r="I7542" s="1297"/>
      <c r="J7542" s="1297"/>
      <c r="K7542" s="1297"/>
    </row>
    <row r="7543" spans="2:11">
      <c r="B7543" s="1297"/>
      <c r="C7543" s="1297"/>
      <c r="D7543" s="1297"/>
      <c r="E7543" s="1297"/>
      <c r="F7543" s="1297"/>
      <c r="G7543" s="1297"/>
      <c r="H7543" s="1297"/>
      <c r="I7543" s="1297"/>
      <c r="J7543" s="1297"/>
      <c r="K7543" s="1297"/>
    </row>
    <row r="7544" spans="2:11">
      <c r="B7544" s="1297"/>
      <c r="C7544" s="1297"/>
      <c r="D7544" s="1297"/>
      <c r="E7544" s="1297"/>
      <c r="F7544" s="1297"/>
      <c r="G7544" s="1297"/>
      <c r="H7544" s="1297"/>
      <c r="I7544" s="1297"/>
      <c r="J7544" s="1297"/>
      <c r="K7544" s="1297"/>
    </row>
    <row r="7545" spans="2:11">
      <c r="B7545" s="1297"/>
      <c r="C7545" s="1297"/>
      <c r="D7545" s="1297"/>
      <c r="E7545" s="1297"/>
      <c r="F7545" s="1297"/>
      <c r="G7545" s="1297"/>
      <c r="H7545" s="1297"/>
      <c r="I7545" s="1297"/>
      <c r="J7545" s="1297"/>
      <c r="K7545" s="1297"/>
    </row>
    <row r="7546" spans="2:11">
      <c r="B7546" s="1297"/>
      <c r="C7546" s="1297"/>
      <c r="D7546" s="1297"/>
      <c r="E7546" s="1297"/>
      <c r="F7546" s="1297"/>
      <c r="G7546" s="1297"/>
      <c r="H7546" s="1297"/>
      <c r="I7546" s="1297"/>
      <c r="J7546" s="1297"/>
      <c r="K7546" s="1297"/>
    </row>
    <row r="7547" spans="2:11">
      <c r="B7547" s="1297"/>
      <c r="C7547" s="1297"/>
      <c r="D7547" s="1297"/>
      <c r="E7547" s="1297"/>
      <c r="F7547" s="1297"/>
      <c r="G7547" s="1297"/>
      <c r="H7547" s="1297"/>
      <c r="I7547" s="1297"/>
      <c r="J7547" s="1297"/>
      <c r="K7547" s="1297"/>
    </row>
    <row r="7548" spans="2:11">
      <c r="B7548" s="1297"/>
      <c r="C7548" s="1297"/>
      <c r="D7548" s="1297"/>
      <c r="E7548" s="1297"/>
      <c r="F7548" s="1297"/>
      <c r="G7548" s="1297"/>
      <c r="H7548" s="1297"/>
      <c r="I7548" s="1297"/>
      <c r="J7548" s="1297"/>
      <c r="K7548" s="1297"/>
    </row>
    <row r="7549" spans="2:11">
      <c r="B7549" s="1297"/>
      <c r="C7549" s="1297"/>
      <c r="D7549" s="1297"/>
      <c r="E7549" s="1297"/>
      <c r="F7549" s="1297"/>
      <c r="G7549" s="1297"/>
      <c r="H7549" s="1297"/>
      <c r="I7549" s="1297"/>
      <c r="J7549" s="1297"/>
      <c r="K7549" s="1297"/>
    </row>
    <row r="7550" spans="2:11">
      <c r="B7550" s="1297"/>
      <c r="C7550" s="1297"/>
      <c r="D7550" s="1297"/>
      <c r="E7550" s="1297"/>
      <c r="F7550" s="1297"/>
      <c r="G7550" s="1297"/>
      <c r="H7550" s="1297"/>
      <c r="I7550" s="1297"/>
      <c r="J7550" s="1297"/>
      <c r="K7550" s="1297"/>
    </row>
    <row r="7551" spans="2:11">
      <c r="B7551" s="1297"/>
      <c r="C7551" s="1297"/>
      <c r="D7551" s="1297"/>
      <c r="E7551" s="1297"/>
      <c r="F7551" s="1297"/>
      <c r="G7551" s="1297"/>
      <c r="H7551" s="1297"/>
      <c r="I7551" s="1297"/>
      <c r="J7551" s="1297"/>
      <c r="K7551" s="1297"/>
    </row>
    <row r="7552" spans="2:11">
      <c r="B7552" s="1297"/>
      <c r="C7552" s="1297"/>
      <c r="D7552" s="1297"/>
      <c r="E7552" s="1297"/>
      <c r="F7552" s="1297"/>
      <c r="G7552" s="1297"/>
      <c r="H7552" s="1297"/>
      <c r="I7552" s="1297"/>
      <c r="J7552" s="1297"/>
      <c r="K7552" s="1297"/>
    </row>
    <row r="7553" spans="2:11">
      <c r="B7553" s="1297"/>
      <c r="C7553" s="1297"/>
      <c r="D7553" s="1297"/>
      <c r="E7553" s="1297"/>
      <c r="F7553" s="1297"/>
      <c r="G7553" s="1297"/>
      <c r="H7553" s="1297"/>
      <c r="I7553" s="1297"/>
      <c r="J7553" s="1297"/>
      <c r="K7553" s="1297"/>
    </row>
    <row r="7554" spans="2:11">
      <c r="B7554" s="1297"/>
      <c r="C7554" s="1297"/>
      <c r="D7554" s="1297"/>
      <c r="E7554" s="1297"/>
      <c r="F7554" s="1297"/>
      <c r="G7554" s="1297"/>
      <c r="H7554" s="1297"/>
      <c r="I7554" s="1297"/>
      <c r="J7554" s="1297"/>
      <c r="K7554" s="1297"/>
    </row>
    <row r="7555" spans="2:11">
      <c r="B7555" s="1297"/>
      <c r="C7555" s="1297"/>
      <c r="D7555" s="1297"/>
      <c r="E7555" s="1297"/>
      <c r="F7555" s="1297"/>
      <c r="G7555" s="1297"/>
      <c r="H7555" s="1297"/>
      <c r="I7555" s="1297"/>
      <c r="J7555" s="1297"/>
      <c r="K7555" s="1297"/>
    </row>
    <row r="7556" spans="2:11">
      <c r="B7556" s="1297"/>
      <c r="C7556" s="1297"/>
      <c r="D7556" s="1297"/>
      <c r="E7556" s="1297"/>
      <c r="F7556" s="1297"/>
      <c r="G7556" s="1297"/>
      <c r="H7556" s="1297"/>
      <c r="I7556" s="1297"/>
      <c r="J7556" s="1297"/>
      <c r="K7556" s="1297"/>
    </row>
    <row r="7557" spans="2:11">
      <c r="B7557" s="1297"/>
      <c r="C7557" s="1297"/>
      <c r="D7557" s="1297"/>
      <c r="E7557" s="1297"/>
      <c r="F7557" s="1297"/>
      <c r="G7557" s="1297"/>
      <c r="H7557" s="1297"/>
      <c r="I7557" s="1297"/>
      <c r="J7557" s="1297"/>
      <c r="K7557" s="1297"/>
    </row>
    <row r="7558" spans="2:11">
      <c r="B7558" s="1297"/>
      <c r="C7558" s="1297"/>
      <c r="D7558" s="1297"/>
      <c r="E7558" s="1297"/>
      <c r="F7558" s="1297"/>
      <c r="G7558" s="1297"/>
      <c r="H7558" s="1297"/>
      <c r="I7558" s="1297"/>
      <c r="J7558" s="1297"/>
      <c r="K7558" s="1297"/>
    </row>
    <row r="7559" spans="2:11">
      <c r="B7559" s="1297"/>
      <c r="C7559" s="1297"/>
      <c r="D7559" s="1297"/>
      <c r="E7559" s="1297"/>
      <c r="F7559" s="1297"/>
      <c r="G7559" s="1297"/>
      <c r="H7559" s="1297"/>
      <c r="I7559" s="1297"/>
      <c r="J7559" s="1297"/>
      <c r="K7559" s="1297"/>
    </row>
    <row r="7560" spans="2:11">
      <c r="B7560" s="1297"/>
      <c r="C7560" s="1297"/>
      <c r="D7560" s="1297"/>
      <c r="E7560" s="1297"/>
      <c r="F7560" s="1297"/>
      <c r="G7560" s="1297"/>
      <c r="H7560" s="1297"/>
      <c r="I7560" s="1297"/>
      <c r="J7560" s="1297"/>
      <c r="K7560" s="1297"/>
    </row>
    <row r="7561" spans="2:11">
      <c r="B7561" s="1297"/>
      <c r="C7561" s="1297"/>
      <c r="D7561" s="1297"/>
      <c r="E7561" s="1297"/>
      <c r="F7561" s="1297"/>
      <c r="G7561" s="1297"/>
      <c r="H7561" s="1297"/>
      <c r="I7561" s="1297"/>
      <c r="J7561" s="1297"/>
      <c r="K7561" s="1297"/>
    </row>
    <row r="7562" spans="2:11">
      <c r="B7562" s="1297"/>
      <c r="C7562" s="1297"/>
      <c r="D7562" s="1297"/>
      <c r="E7562" s="1297"/>
      <c r="F7562" s="1297"/>
      <c r="G7562" s="1297"/>
      <c r="H7562" s="1297"/>
      <c r="I7562" s="1297"/>
      <c r="J7562" s="1297"/>
      <c r="K7562" s="1297"/>
    </row>
    <row r="7563" spans="2:11">
      <c r="B7563" s="1297"/>
      <c r="C7563" s="1297"/>
      <c r="D7563" s="1297"/>
      <c r="E7563" s="1297"/>
      <c r="F7563" s="1297"/>
      <c r="G7563" s="1297"/>
      <c r="H7563" s="1297"/>
      <c r="I7563" s="1297"/>
      <c r="J7563" s="1297"/>
      <c r="K7563" s="1297"/>
    </row>
    <row r="7564" spans="2:11">
      <c r="B7564" s="1297"/>
      <c r="C7564" s="1297"/>
      <c r="D7564" s="1297"/>
      <c r="E7564" s="1297"/>
      <c r="F7564" s="1297"/>
      <c r="G7564" s="1297"/>
      <c r="H7564" s="1297"/>
      <c r="I7564" s="1297"/>
      <c r="J7564" s="1297"/>
      <c r="K7564" s="1297"/>
    </row>
    <row r="7565" spans="2:11">
      <c r="B7565" s="1297"/>
      <c r="C7565" s="1297"/>
      <c r="D7565" s="1297"/>
      <c r="E7565" s="1297"/>
      <c r="F7565" s="1297"/>
      <c r="G7565" s="1297"/>
      <c r="H7565" s="1297"/>
      <c r="I7565" s="1297"/>
      <c r="J7565" s="1297"/>
      <c r="K7565" s="1297"/>
    </row>
    <row r="7566" spans="2:11">
      <c r="B7566" s="1297"/>
      <c r="C7566" s="1297"/>
      <c r="D7566" s="1297"/>
      <c r="E7566" s="1297"/>
      <c r="F7566" s="1297"/>
      <c r="G7566" s="1297"/>
      <c r="H7566" s="1297"/>
      <c r="I7566" s="1297"/>
      <c r="J7566" s="1297"/>
      <c r="K7566" s="1297"/>
    </row>
    <row r="7567" spans="2:11">
      <c r="B7567" s="1297"/>
      <c r="C7567" s="1297"/>
      <c r="D7567" s="1297"/>
      <c r="E7567" s="1297"/>
      <c r="F7567" s="1297"/>
      <c r="G7567" s="1297"/>
      <c r="H7567" s="1297"/>
      <c r="I7567" s="1297"/>
      <c r="J7567" s="1297"/>
      <c r="K7567" s="1297"/>
    </row>
    <row r="7568" spans="2:11">
      <c r="B7568" s="1297"/>
      <c r="C7568" s="1297"/>
      <c r="D7568" s="1297"/>
      <c r="E7568" s="1297"/>
      <c r="F7568" s="1297"/>
      <c r="G7568" s="1297"/>
      <c r="H7568" s="1297"/>
      <c r="I7568" s="1297"/>
      <c r="J7568" s="1297"/>
      <c r="K7568" s="1297"/>
    </row>
    <row r="7569" spans="2:11">
      <c r="B7569" s="1297"/>
      <c r="C7569" s="1297"/>
      <c r="D7569" s="1297"/>
      <c r="E7569" s="1297"/>
      <c r="F7569" s="1297"/>
      <c r="G7569" s="1297"/>
      <c r="H7569" s="1297"/>
      <c r="I7569" s="1297"/>
      <c r="J7569" s="1297"/>
      <c r="K7569" s="1297"/>
    </row>
    <row r="7570" spans="2:11">
      <c r="B7570" s="1297"/>
      <c r="C7570" s="1297"/>
      <c r="D7570" s="1297"/>
      <c r="E7570" s="1297"/>
      <c r="F7570" s="1297"/>
      <c r="G7570" s="1297"/>
      <c r="H7570" s="1297"/>
      <c r="I7570" s="1297"/>
      <c r="J7570" s="1297"/>
      <c r="K7570" s="1297"/>
    </row>
    <row r="7571" spans="2:11">
      <c r="B7571" s="1297"/>
      <c r="C7571" s="1297"/>
      <c r="D7571" s="1297"/>
      <c r="E7571" s="1297"/>
      <c r="F7571" s="1297"/>
      <c r="G7571" s="1297"/>
      <c r="H7571" s="1297"/>
      <c r="I7571" s="1297"/>
      <c r="J7571" s="1297"/>
      <c r="K7571" s="1297"/>
    </row>
    <row r="7572" spans="2:11">
      <c r="B7572" s="1297"/>
      <c r="C7572" s="1297"/>
      <c r="D7572" s="1297"/>
      <c r="E7572" s="1297"/>
      <c r="F7572" s="1297"/>
      <c r="G7572" s="1297"/>
      <c r="H7572" s="1297"/>
      <c r="I7572" s="1297"/>
      <c r="J7572" s="1297"/>
      <c r="K7572" s="1297"/>
    </row>
    <row r="7573" spans="2:11">
      <c r="B7573" s="1297"/>
      <c r="C7573" s="1297"/>
      <c r="D7573" s="1297"/>
      <c r="E7573" s="1297"/>
      <c r="F7573" s="1297"/>
      <c r="G7573" s="1297"/>
      <c r="H7573" s="1297"/>
      <c r="I7573" s="1297"/>
      <c r="J7573" s="1297"/>
      <c r="K7573" s="1297"/>
    </row>
    <row r="7574" spans="2:11">
      <c r="B7574" s="1297"/>
      <c r="C7574" s="1297"/>
      <c r="D7574" s="1297"/>
      <c r="E7574" s="1297"/>
      <c r="F7574" s="1297"/>
      <c r="G7574" s="1297"/>
      <c r="H7574" s="1297"/>
      <c r="I7574" s="1297"/>
      <c r="J7574" s="1297"/>
      <c r="K7574" s="1297"/>
    </row>
    <row r="7575" spans="2:11">
      <c r="B7575" s="1297"/>
      <c r="C7575" s="1297"/>
      <c r="D7575" s="1297"/>
      <c r="E7575" s="1297"/>
      <c r="F7575" s="1297"/>
      <c r="G7575" s="1297"/>
      <c r="H7575" s="1297"/>
      <c r="I7575" s="1297"/>
      <c r="J7575" s="1297"/>
      <c r="K7575" s="1297"/>
    </row>
    <row r="7576" spans="2:11">
      <c r="B7576" s="1297"/>
      <c r="C7576" s="1297"/>
      <c r="D7576" s="1297"/>
      <c r="E7576" s="1297"/>
      <c r="F7576" s="1297"/>
      <c r="G7576" s="1297"/>
      <c r="H7576" s="1297"/>
      <c r="I7576" s="1297"/>
      <c r="J7576" s="1297"/>
      <c r="K7576" s="1297"/>
    </row>
    <row r="7577" spans="2:11">
      <c r="B7577" s="1297"/>
      <c r="C7577" s="1297"/>
      <c r="D7577" s="1297"/>
      <c r="E7577" s="1297"/>
      <c r="F7577" s="1297"/>
      <c r="G7577" s="1297"/>
      <c r="H7577" s="1297"/>
      <c r="I7577" s="1297"/>
      <c r="J7577" s="1297"/>
      <c r="K7577" s="1297"/>
    </row>
    <row r="7578" spans="2:11">
      <c r="B7578" s="1297"/>
      <c r="C7578" s="1297"/>
      <c r="D7578" s="1297"/>
      <c r="E7578" s="1297"/>
      <c r="F7578" s="1297"/>
      <c r="G7578" s="1297"/>
      <c r="H7578" s="1297"/>
      <c r="I7578" s="1297"/>
      <c r="J7578" s="1297"/>
      <c r="K7578" s="1297"/>
    </row>
    <row r="7579" spans="2:11">
      <c r="B7579" s="1297"/>
      <c r="C7579" s="1297"/>
      <c r="D7579" s="1297"/>
      <c r="E7579" s="1297"/>
      <c r="F7579" s="1297"/>
      <c r="G7579" s="1297"/>
      <c r="H7579" s="1297"/>
      <c r="I7579" s="1297"/>
      <c r="J7579" s="1297"/>
      <c r="K7579" s="1297"/>
    </row>
    <row r="7580" spans="2:11">
      <c r="B7580" s="1297"/>
      <c r="C7580" s="1297"/>
      <c r="D7580" s="1297"/>
      <c r="E7580" s="1297"/>
      <c r="F7580" s="1297"/>
      <c r="G7580" s="1297"/>
      <c r="H7580" s="1297"/>
      <c r="I7580" s="1297"/>
      <c r="J7580" s="1297"/>
      <c r="K7580" s="1297"/>
    </row>
    <row r="7581" spans="2:11">
      <c r="B7581" s="1297"/>
      <c r="C7581" s="1297"/>
      <c r="D7581" s="1297"/>
      <c r="E7581" s="1297"/>
      <c r="F7581" s="1297"/>
      <c r="G7581" s="1297"/>
      <c r="H7581" s="1297"/>
      <c r="I7581" s="1297"/>
      <c r="J7581" s="1297"/>
      <c r="K7581" s="1297"/>
    </row>
    <row r="7582" spans="2:11">
      <c r="B7582" s="1297"/>
      <c r="C7582" s="1297"/>
      <c r="D7582" s="1297"/>
      <c r="E7582" s="1297"/>
      <c r="F7582" s="1297"/>
      <c r="G7582" s="1297"/>
      <c r="H7582" s="1297"/>
      <c r="I7582" s="1297"/>
      <c r="J7582" s="1297"/>
      <c r="K7582" s="1297"/>
    </row>
    <row r="7583" spans="2:11">
      <c r="B7583" s="1297"/>
      <c r="C7583" s="1297"/>
      <c r="D7583" s="1297"/>
      <c r="E7583" s="1297"/>
      <c r="F7583" s="1297"/>
      <c r="G7583" s="1297"/>
      <c r="H7583" s="1297"/>
      <c r="I7583" s="1297"/>
      <c r="J7583" s="1297"/>
      <c r="K7583" s="1297"/>
    </row>
    <row r="7584" spans="2:11">
      <c r="B7584" s="1297"/>
      <c r="C7584" s="1297"/>
      <c r="D7584" s="1297"/>
      <c r="E7584" s="1297"/>
      <c r="F7584" s="1297"/>
      <c r="G7584" s="1297"/>
      <c r="H7584" s="1297"/>
      <c r="I7584" s="1297"/>
      <c r="J7584" s="1297"/>
      <c r="K7584" s="1297"/>
    </row>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L1"/>
  <sheetViews>
    <sheetView workbookViewId="0"/>
  </sheetViews>
  <sheetFormatPr defaultColWidth="24" defaultRowHeight="11.25"/>
  <cols>
    <col min="1" max="16384" width="24" style="1297"/>
  </cols>
  <sheetData>
    <row r="1" spans="1:12" ht="15.75">
      <c r="A1" s="1396" t="s">
        <v>894</v>
      </c>
      <c r="B1" s="1396" t="s">
        <v>895</v>
      </c>
      <c r="C1" s="1396" t="s">
        <v>174</v>
      </c>
      <c r="D1" s="1397" t="s">
        <v>896</v>
      </c>
      <c r="E1" s="1397" t="s">
        <v>897</v>
      </c>
      <c r="F1" s="1398" t="s">
        <v>898</v>
      </c>
      <c r="G1" s="1398" t="s">
        <v>899</v>
      </c>
      <c r="H1" s="1398" t="s">
        <v>900</v>
      </c>
      <c r="I1" s="1398" t="s">
        <v>901</v>
      </c>
      <c r="J1" s="1398" t="s">
        <v>902</v>
      </c>
      <c r="K1" s="1403" t="s">
        <v>1724</v>
      </c>
      <c r="L1" s="1403" t="s">
        <v>1725</v>
      </c>
    </row>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H17"/>
  <sheetViews>
    <sheetView workbookViewId="0"/>
  </sheetViews>
  <sheetFormatPr defaultColWidth="8.83203125" defaultRowHeight="11.25"/>
  <cols>
    <col min="1" max="1" width="24" style="1297" customWidth="1"/>
    <col min="2" max="2" width="12" style="1297" customWidth="1"/>
    <col min="3" max="5" width="24" style="1297" customWidth="1"/>
    <col min="6" max="6" width="18" style="1297" customWidth="1"/>
    <col min="7" max="8" width="24" style="1297" customWidth="1"/>
    <col min="9" max="16384" width="8.83203125" style="1297"/>
  </cols>
  <sheetData>
    <row r="1" spans="1:8" ht="45">
      <c r="A1" s="1416" t="s">
        <v>1733</v>
      </c>
      <c r="B1" s="1416" t="s">
        <v>1734</v>
      </c>
      <c r="C1" s="1416" t="s">
        <v>1611</v>
      </c>
      <c r="D1" s="1416" t="s">
        <v>1612</v>
      </c>
      <c r="E1" s="1416" t="s">
        <v>1613</v>
      </c>
      <c r="F1" s="1416" t="s">
        <v>1614</v>
      </c>
      <c r="G1" s="1416" t="s">
        <v>1615</v>
      </c>
      <c r="H1" s="1416" t="s">
        <v>1616</v>
      </c>
    </row>
    <row r="2" spans="1:8" ht="11.1" customHeight="1">
      <c r="A2" s="1933" t="s">
        <v>1617</v>
      </c>
      <c r="B2" s="1933"/>
      <c r="C2" s="1933"/>
      <c r="D2" s="1933"/>
      <c r="E2" s="1416"/>
      <c r="F2" s="1416"/>
      <c r="G2" s="1416"/>
      <c r="H2" s="1416"/>
    </row>
    <row r="3" spans="1:8" ht="45">
      <c r="A3" s="422" t="s">
        <v>1618</v>
      </c>
      <c r="B3" s="422" t="s">
        <v>1619</v>
      </c>
      <c r="C3" s="422" t="s">
        <v>1620</v>
      </c>
      <c r="D3" s="1417">
        <f>'[2]1$REV-DATA-GAcharterAuditdata'!BL62</f>
        <v>0</v>
      </c>
      <c r="E3" s="1417">
        <f>'[2]1$REV-DATA-GAcharterAuditdata'!BL63</f>
        <v>0</v>
      </c>
      <c r="F3" s="422" t="e">
        <f>E3/D3</f>
        <v>#DIV/0!</v>
      </c>
      <c r="G3" s="422">
        <f>'[2]3$REV-DATA-AllDistrWorkingfile2'!N1722</f>
        <v>0.12611681423322998</v>
      </c>
      <c r="H3" s="1418" t="e">
        <f>'[2]1$REV-DATA-GAcharterAuditdata'!BM60/'[2]1$REV-DATA-GAcharterAuditdata'!BN62</f>
        <v>#DIV/0!</v>
      </c>
    </row>
    <row r="4" spans="1:8">
      <c r="A4" s="422" t="s">
        <v>1621</v>
      </c>
      <c r="B4" s="422" t="s">
        <v>1622</v>
      </c>
      <c r="C4" s="422">
        <v>0</v>
      </c>
      <c r="D4" s="422"/>
      <c r="E4" s="422"/>
      <c r="F4" s="422"/>
      <c r="G4" s="422">
        <f>'[2]3$REV-DATA-AllDistrWorkingfile2'!N378</f>
        <v>0.17932533656616365</v>
      </c>
    </row>
    <row r="5" spans="1:8" ht="33.75">
      <c r="A5" s="422" t="s">
        <v>1623</v>
      </c>
      <c r="B5" s="422" t="s">
        <v>1624</v>
      </c>
      <c r="C5" s="422">
        <v>0</v>
      </c>
      <c r="D5" s="422"/>
      <c r="E5" s="422"/>
      <c r="F5" s="422"/>
      <c r="G5" s="422">
        <f>'[2]3$REV-DATA-AllDistrWorkingfile2'!N1293</f>
        <v>9.6858069637027019E-2</v>
      </c>
    </row>
    <row r="6" spans="1:8" ht="33.75">
      <c r="A6" s="422" t="s">
        <v>1625</v>
      </c>
      <c r="B6" s="422" t="s">
        <v>1626</v>
      </c>
      <c r="C6" s="422" t="s">
        <v>1627</v>
      </c>
      <c r="D6" s="1417">
        <f>SUM('[2]1$REV-DATA-GAcharterAuditdata'!BN47,'[2]1$REV-DATA-GAcharterAuditdata'!BN43)</f>
        <v>8897287</v>
      </c>
      <c r="E6" s="1417">
        <f>SUM('[2]1$REV-DATA-GAcharterAuditdata'!BM43,'[2]1$REV-DATA-GAcharterAuditdata'!BM47)</f>
        <v>856766</v>
      </c>
      <c r="F6" s="422">
        <f>E6/D6</f>
        <v>9.629519650203483E-2</v>
      </c>
      <c r="G6" s="422">
        <f>'[2]3$REV-DATA-AllDistrWorkingfile2'!N2600</f>
        <v>0.10319100730030051</v>
      </c>
    </row>
    <row r="7" spans="1:8" ht="22.5">
      <c r="A7" s="422" t="s">
        <v>1628</v>
      </c>
      <c r="B7" s="422" t="s">
        <v>1629</v>
      </c>
      <c r="C7" s="422" t="s">
        <v>1630</v>
      </c>
      <c r="D7" s="1417">
        <f>'[2]1$REV-DATA-GAcharterAuditdata'!BN38</f>
        <v>1433694</v>
      </c>
      <c r="E7" s="1417">
        <f>'[2]1$REV-DATA-GAcharterAuditdata'!BM38</f>
        <v>30030</v>
      </c>
      <c r="F7" s="422">
        <f>E7/D7</f>
        <v>2.0945892219678675E-2</v>
      </c>
      <c r="G7" s="422">
        <f>'[2]3$REV-DATA-AllDistrWorkingfile2'!N986</f>
        <v>0.12654527795218271</v>
      </c>
    </row>
    <row r="8" spans="1:8">
      <c r="A8" s="422"/>
      <c r="B8" s="422"/>
      <c r="C8" s="422"/>
      <c r="D8" s="422"/>
      <c r="E8" s="422"/>
      <c r="F8" s="422"/>
      <c r="G8" s="422"/>
    </row>
    <row r="9" spans="1:8">
      <c r="A9" s="1934" t="s">
        <v>1631</v>
      </c>
      <c r="B9" s="1934"/>
      <c r="C9" s="1934"/>
      <c r="D9" s="1934"/>
      <c r="E9" s="422"/>
      <c r="F9" s="422"/>
      <c r="G9" s="422"/>
    </row>
    <row r="10" spans="1:8">
      <c r="A10" s="422"/>
      <c r="B10" s="422"/>
      <c r="C10" s="422"/>
      <c r="D10" s="422"/>
      <c r="E10" s="422"/>
      <c r="F10" s="422"/>
      <c r="G10" s="422"/>
    </row>
    <row r="11" spans="1:8" ht="45">
      <c r="A11" s="422" t="s">
        <v>1632</v>
      </c>
      <c r="B11" s="422" t="s">
        <v>1633</v>
      </c>
      <c r="C11" s="422" t="s">
        <v>1634</v>
      </c>
      <c r="D11" s="1417">
        <f>SUM('[2]1$REV-DATA-GAcharterAuditdata'!BN5,'[2]1$REV-DATA-GAcharterAuditdata'!BN9,'[2]1$REV-DATA-GAcharterAuditdata'!BN10,'[2]1$REV-DATA-GAcharterAuditdata'!BN11)</f>
        <v>18785557</v>
      </c>
      <c r="E11" s="1417">
        <f>SUM('[2]1$REV-DATA-GAcharterAuditdata'!BM5,'[2]1$REV-DATA-GAcharterAuditdata'!BM9,'[2]1$REV-DATA-GAcharterAuditdata'!BM10,'[2]1$REV-DATA-GAcharterAuditdata'!BM11)</f>
        <v>1960499</v>
      </c>
      <c r="F11" s="422">
        <f>E11/D11</f>
        <v>0.10436203728215246</v>
      </c>
      <c r="G11" s="422">
        <f>'[2]3$REV-DATA-AllDistrWorkingfile2'!N2314</f>
        <v>8.6774230737886635E-2</v>
      </c>
    </row>
    <row r="12" spans="1:8">
      <c r="A12" s="422"/>
      <c r="B12" s="422"/>
      <c r="C12" s="422"/>
      <c r="D12" s="422"/>
      <c r="E12" s="422"/>
      <c r="F12" s="422"/>
      <c r="G12" s="422"/>
    </row>
    <row r="13" spans="1:8">
      <c r="A13" s="1934" t="s">
        <v>1635</v>
      </c>
      <c r="B13" s="1934"/>
      <c r="C13" s="422"/>
      <c r="D13" s="422"/>
      <c r="E13" s="422"/>
      <c r="F13" s="422"/>
      <c r="G13" s="422"/>
    </row>
    <row r="14" spans="1:8" ht="22.5">
      <c r="A14" s="422" t="s">
        <v>713</v>
      </c>
      <c r="B14" s="422" t="s">
        <v>1636</v>
      </c>
      <c r="C14" s="422">
        <v>11</v>
      </c>
      <c r="D14" s="1417">
        <f>'[2]1$REV-DATA-GAcharterAuditdata'!BN29-'[2]1$REV-DATA-GAcharterAuditdata'!BN26</f>
        <v>52168500</v>
      </c>
      <c r="E14" s="1417">
        <f>'[2]1$REV-DATA-GAcharterAuditdata'!BM29-'[2]1$REV-DATA-GAcharterAuditdata'!BM26</f>
        <v>4063380.9999999995</v>
      </c>
      <c r="F14" s="422">
        <f>E14/D14</f>
        <v>7.7889550207500685E-2</v>
      </c>
      <c r="G14" s="422">
        <f>'[2]3$REV-DATA-AllDistrWorkingfile2'!N6093</f>
        <v>0.11846477391017296</v>
      </c>
    </row>
    <row r="15" spans="1:8">
      <c r="A15" s="422"/>
      <c r="B15" s="422"/>
      <c r="C15" s="422"/>
      <c r="D15" s="422"/>
      <c r="E15" s="422"/>
      <c r="F15" s="422"/>
      <c r="G15" s="422"/>
    </row>
    <row r="16" spans="1:8">
      <c r="A16" s="422"/>
      <c r="B16" s="422"/>
      <c r="C16" s="422"/>
      <c r="D16" s="422"/>
      <c r="E16" s="422"/>
      <c r="F16" s="422"/>
      <c r="G16" s="422"/>
    </row>
    <row r="17" spans="1:7">
      <c r="A17" s="422"/>
      <c r="B17" s="422"/>
      <c r="C17" s="422"/>
      <c r="D17" s="422"/>
      <c r="E17" s="422"/>
      <c r="F17" s="422"/>
      <c r="G17" s="422"/>
    </row>
  </sheetData>
  <mergeCells count="3">
    <mergeCell ref="A2:D2"/>
    <mergeCell ref="A9:D9"/>
    <mergeCell ref="A13:B1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P84"/>
  <sheetViews>
    <sheetView workbookViewId="0"/>
  </sheetViews>
  <sheetFormatPr defaultColWidth="8.83203125" defaultRowHeight="11.25"/>
  <cols>
    <col min="1" max="3" width="12" style="1297" customWidth="1"/>
    <col min="4" max="4" width="21" style="1297" customWidth="1"/>
    <col min="5" max="5" width="48" style="1297" customWidth="1"/>
    <col min="6" max="14" width="21" style="1297" customWidth="1"/>
    <col min="15" max="16384" width="8.83203125" style="1297"/>
  </cols>
  <sheetData>
    <row r="1" spans="1:16" ht="31.5">
      <c r="A1" s="1396" t="s">
        <v>894</v>
      </c>
      <c r="B1" s="1396" t="s">
        <v>895</v>
      </c>
      <c r="C1" s="1396" t="s">
        <v>174</v>
      </c>
      <c r="D1" s="1397" t="s">
        <v>896</v>
      </c>
      <c r="E1" s="1397" t="s">
        <v>897</v>
      </c>
      <c r="F1" s="1398" t="s">
        <v>898</v>
      </c>
      <c r="G1" s="1398" t="s">
        <v>899</v>
      </c>
      <c r="H1" s="1398" t="s">
        <v>900</v>
      </c>
      <c r="I1" s="1398" t="s">
        <v>901</v>
      </c>
      <c r="J1" s="1398" t="s">
        <v>902</v>
      </c>
      <c r="K1" s="1402" t="s">
        <v>1724</v>
      </c>
      <c r="L1" s="1403" t="s">
        <v>1725</v>
      </c>
      <c r="M1" s="1403" t="s">
        <v>1726</v>
      </c>
      <c r="N1" s="1402" t="s">
        <v>1727</v>
      </c>
      <c r="O1" s="422"/>
      <c r="P1" s="422"/>
    </row>
    <row r="2" spans="1:16" s="359" customFormat="1">
      <c r="B2" s="359" t="s">
        <v>1473</v>
      </c>
      <c r="C2" s="359">
        <v>1309</v>
      </c>
      <c r="D2" s="359" t="s">
        <v>1474</v>
      </c>
      <c r="E2" s="359" t="s">
        <v>1035</v>
      </c>
      <c r="F2" s="1411"/>
      <c r="G2" s="1411"/>
      <c r="H2" s="1411">
        <v>7997.04</v>
      </c>
      <c r="I2" s="1411"/>
      <c r="J2" s="1411">
        <v>7997.04</v>
      </c>
      <c r="K2" s="1411"/>
    </row>
    <row r="3" spans="1:16" s="359" customFormat="1">
      <c r="E3" s="359" t="s">
        <v>1037</v>
      </c>
      <c r="F3" s="1411"/>
      <c r="G3" s="1411"/>
      <c r="H3" s="1411">
        <v>67270.33</v>
      </c>
      <c r="I3" s="1411"/>
      <c r="J3" s="1411">
        <v>67270.33</v>
      </c>
      <c r="K3" s="1411"/>
    </row>
    <row r="4" spans="1:16" s="359" customFormat="1">
      <c r="E4" s="359" t="s">
        <v>1039</v>
      </c>
      <c r="F4" s="1411"/>
      <c r="G4" s="1411"/>
      <c r="H4" s="1411">
        <v>3099.3900000000003</v>
      </c>
      <c r="I4" s="1411"/>
      <c r="J4" s="1411">
        <v>3099.3900000000003</v>
      </c>
      <c r="K4" s="1411"/>
    </row>
    <row r="5" spans="1:16" s="359" customFormat="1">
      <c r="E5" s="359" t="s">
        <v>986</v>
      </c>
      <c r="F5" s="1411"/>
      <c r="G5" s="1411"/>
      <c r="H5" s="1411">
        <v>25385</v>
      </c>
      <c r="I5" s="1411"/>
      <c r="J5" s="1411">
        <v>25385</v>
      </c>
      <c r="K5" s="1411"/>
    </row>
    <row r="6" spans="1:16" s="359" customFormat="1">
      <c r="E6" s="359" t="s">
        <v>1045</v>
      </c>
      <c r="F6" s="1411"/>
      <c r="G6" s="1411"/>
      <c r="H6" s="1411">
        <v>5376.72</v>
      </c>
      <c r="I6" s="1411"/>
      <c r="J6" s="1411">
        <v>5376.72</v>
      </c>
      <c r="K6" s="1411"/>
    </row>
    <row r="7" spans="1:16" s="359" customFormat="1">
      <c r="E7" s="359" t="s">
        <v>1046</v>
      </c>
      <c r="F7" s="1411"/>
      <c r="G7" s="1411"/>
      <c r="H7" s="1411"/>
      <c r="I7" s="1411">
        <v>6311493.71</v>
      </c>
      <c r="J7" s="1411">
        <v>6311493.71</v>
      </c>
      <c r="K7" s="1411"/>
    </row>
    <row r="8" spans="1:16" s="359" customFormat="1">
      <c r="E8" s="359" t="s">
        <v>1128</v>
      </c>
      <c r="F8" s="1411"/>
      <c r="G8" s="1411"/>
      <c r="H8" s="1411"/>
      <c r="I8" s="1411">
        <v>443298</v>
      </c>
      <c r="J8" s="1411">
        <v>443298</v>
      </c>
      <c r="K8" s="1411"/>
    </row>
    <row r="9" spans="1:16" s="359" customFormat="1">
      <c r="E9" s="359" t="s">
        <v>1047</v>
      </c>
      <c r="F9" s="1411"/>
      <c r="G9" s="1411"/>
      <c r="H9" s="1411"/>
      <c r="I9" s="1411">
        <v>34772</v>
      </c>
      <c r="J9" s="1411">
        <v>34772</v>
      </c>
      <c r="K9" s="1411"/>
    </row>
    <row r="10" spans="1:16" s="359" customFormat="1">
      <c r="E10" s="359" t="s">
        <v>935</v>
      </c>
      <c r="F10" s="1411"/>
      <c r="G10" s="1411"/>
      <c r="H10" s="1411"/>
      <c r="I10" s="1411">
        <v>7318</v>
      </c>
      <c r="J10" s="1411">
        <v>7318</v>
      </c>
      <c r="K10" s="1411"/>
    </row>
    <row r="11" spans="1:16" s="359" customFormat="1">
      <c r="E11" s="359" t="s">
        <v>936</v>
      </c>
      <c r="F11" s="1411"/>
      <c r="G11" s="1411"/>
      <c r="H11" s="1411"/>
      <c r="I11" s="1411">
        <v>4201.8100000000004</v>
      </c>
      <c r="J11" s="1411">
        <v>4201.8100000000004</v>
      </c>
      <c r="K11" s="1411"/>
    </row>
    <row r="12" spans="1:16" s="359" customFormat="1">
      <c r="E12" s="359" t="s">
        <v>939</v>
      </c>
      <c r="F12" s="1411"/>
      <c r="G12" s="1411"/>
      <c r="H12" s="1411"/>
      <c r="I12" s="1411">
        <v>36255.730000000003</v>
      </c>
      <c r="J12" s="1411">
        <v>36255.730000000003</v>
      </c>
      <c r="K12" s="1411"/>
    </row>
    <row r="13" spans="1:16" s="359" customFormat="1">
      <c r="E13" s="359" t="s">
        <v>944</v>
      </c>
      <c r="F13" s="1411">
        <v>190692.43</v>
      </c>
      <c r="G13" s="1411"/>
      <c r="H13" s="1411"/>
      <c r="I13" s="1411"/>
      <c r="J13" s="1411">
        <v>190692.43</v>
      </c>
      <c r="K13" s="1411"/>
    </row>
    <row r="14" spans="1:16" s="359" customFormat="1">
      <c r="E14" s="359" t="s">
        <v>945</v>
      </c>
      <c r="F14" s="1411">
        <v>259892.28</v>
      </c>
      <c r="G14" s="1411"/>
      <c r="H14" s="1411"/>
      <c r="I14" s="1411"/>
      <c r="J14" s="1411">
        <v>259892.28</v>
      </c>
      <c r="K14" s="1411"/>
    </row>
    <row r="15" spans="1:16" s="359" customFormat="1">
      <c r="E15" s="359" t="s">
        <v>948</v>
      </c>
      <c r="F15" s="1411"/>
      <c r="G15" s="1411"/>
      <c r="H15" s="1411">
        <v>4815.3599999999997</v>
      </c>
      <c r="I15" s="1411"/>
      <c r="J15" s="1411">
        <v>4815.3599999999997</v>
      </c>
      <c r="K15" s="1411"/>
    </row>
    <row r="16" spans="1:16">
      <c r="D16" s="1400" t="s">
        <v>1475</v>
      </c>
      <c r="E16" s="1400"/>
      <c r="F16" s="1401">
        <v>450584.70999999996</v>
      </c>
      <c r="G16" s="1401">
        <f>SUM(G2:G15)</f>
        <v>0</v>
      </c>
      <c r="H16" s="1401">
        <f>SUM(H2:H14)</f>
        <v>109128.48</v>
      </c>
      <c r="I16" s="1401">
        <f>SUM(I2:I15)</f>
        <v>6837339.25</v>
      </c>
      <c r="J16" s="1401">
        <v>7401867.8000000007</v>
      </c>
      <c r="K16" s="1401"/>
    </row>
    <row r="17" spans="2:11">
      <c r="B17" s="1297" t="s">
        <v>1476</v>
      </c>
      <c r="C17" s="1297">
        <v>6169</v>
      </c>
      <c r="D17" s="1297" t="s">
        <v>1477</v>
      </c>
      <c r="E17" s="1297" t="s">
        <v>1035</v>
      </c>
      <c r="F17" s="1399"/>
      <c r="G17" s="1399"/>
      <c r="H17" s="1399">
        <v>96602</v>
      </c>
      <c r="I17" s="1399"/>
      <c r="J17" s="1399">
        <v>96602</v>
      </c>
      <c r="K17" s="1399"/>
    </row>
    <row r="18" spans="2:11" s="359" customFormat="1">
      <c r="E18" s="359" t="s">
        <v>985</v>
      </c>
      <c r="F18" s="1411"/>
      <c r="G18" s="1411"/>
      <c r="H18" s="1411">
        <v>30691</v>
      </c>
      <c r="I18" s="1411"/>
      <c r="J18" s="1411">
        <v>30691</v>
      </c>
      <c r="K18" s="1411"/>
    </row>
    <row r="19" spans="2:11" s="359" customFormat="1">
      <c r="E19" s="359" t="s">
        <v>1046</v>
      </c>
      <c r="F19" s="1411"/>
      <c r="G19" s="1411"/>
      <c r="H19" s="1411"/>
      <c r="I19" s="1411">
        <v>24386544</v>
      </c>
      <c r="J19" s="1411">
        <v>24386544</v>
      </c>
      <c r="K19" s="1411"/>
    </row>
    <row r="20" spans="2:11" s="359" customFormat="1">
      <c r="E20" s="359" t="s">
        <v>935</v>
      </c>
      <c r="F20" s="1411"/>
      <c r="G20" s="1411"/>
      <c r="H20" s="1411"/>
      <c r="I20" s="1411">
        <v>115279</v>
      </c>
      <c r="J20" s="1411">
        <v>115279</v>
      </c>
      <c r="K20" s="1411"/>
    </row>
    <row r="21" spans="2:11" s="359" customFormat="1">
      <c r="E21" s="359" t="s">
        <v>944</v>
      </c>
      <c r="F21" s="1411">
        <v>2022212</v>
      </c>
      <c r="G21" s="1411"/>
      <c r="H21" s="1411"/>
      <c r="I21" s="1411"/>
      <c r="J21" s="1411">
        <v>2022212</v>
      </c>
      <c r="K21" s="1411"/>
    </row>
    <row r="22" spans="2:11" s="359" customFormat="1">
      <c r="E22" s="359" t="s">
        <v>945</v>
      </c>
      <c r="F22" s="1411">
        <v>320663</v>
      </c>
      <c r="G22" s="1411"/>
      <c r="H22" s="1411"/>
      <c r="I22" s="1411"/>
      <c r="J22" s="1411">
        <v>320663</v>
      </c>
      <c r="K22" s="1411"/>
    </row>
    <row r="23" spans="2:11">
      <c r="D23" s="1400" t="s">
        <v>1478</v>
      </c>
      <c r="E23" s="1400"/>
      <c r="F23" s="1401">
        <f>SUM(F17:F22)</f>
        <v>2342875</v>
      </c>
      <c r="G23" s="1401">
        <f>SUM(G17:G22)</f>
        <v>0</v>
      </c>
      <c r="H23" s="1401">
        <f>SUM(H17:H22)</f>
        <v>127293</v>
      </c>
      <c r="I23" s="1401">
        <f>SUM(I17:I22)</f>
        <v>24501823</v>
      </c>
      <c r="J23" s="1401">
        <f>SUM(J17:J22)</f>
        <v>26971991</v>
      </c>
      <c r="K23" s="1401"/>
    </row>
    <row r="24" spans="2:11" s="359" customFormat="1">
      <c r="B24" s="359" t="s">
        <v>1479</v>
      </c>
      <c r="C24" s="359">
        <v>157</v>
      </c>
      <c r="D24" s="359" t="s">
        <v>1480</v>
      </c>
      <c r="E24" s="359" t="s">
        <v>1034</v>
      </c>
      <c r="F24" s="1411"/>
      <c r="G24" s="1411"/>
      <c r="H24" s="1411">
        <v>15050</v>
      </c>
      <c r="I24" s="1411"/>
      <c r="J24" s="1411">
        <v>15050</v>
      </c>
      <c r="K24" s="1411"/>
    </row>
    <row r="25" spans="2:11" s="359" customFormat="1">
      <c r="E25" s="359" t="s">
        <v>1035</v>
      </c>
      <c r="F25" s="1411"/>
      <c r="G25" s="1411"/>
      <c r="H25" s="1411">
        <v>3946.81</v>
      </c>
      <c r="I25" s="1411"/>
      <c r="J25" s="1411">
        <v>3946.81</v>
      </c>
      <c r="K25" s="1411"/>
    </row>
    <row r="26" spans="2:11" s="359" customFormat="1">
      <c r="E26" s="359" t="s">
        <v>1003</v>
      </c>
      <c r="F26" s="1411"/>
      <c r="G26" s="1411"/>
      <c r="H26" s="1411">
        <v>378.01</v>
      </c>
      <c r="I26" s="1411"/>
      <c r="J26" s="1411">
        <v>378.01</v>
      </c>
      <c r="K26" s="1411"/>
    </row>
    <row r="27" spans="2:11" s="359" customFormat="1">
      <c r="E27" s="359" t="s">
        <v>985</v>
      </c>
      <c r="F27" s="1411"/>
      <c r="G27" s="1411"/>
      <c r="H27" s="1411">
        <v>14542.97</v>
      </c>
      <c r="I27" s="1411"/>
      <c r="J27" s="1411">
        <v>14542.97</v>
      </c>
      <c r="K27" s="1411"/>
    </row>
    <row r="28" spans="2:11" s="359" customFormat="1">
      <c r="E28" s="359" t="s">
        <v>1045</v>
      </c>
      <c r="F28" s="1411"/>
      <c r="G28" s="1411"/>
      <c r="H28" s="1411">
        <v>303</v>
      </c>
      <c r="I28" s="1411"/>
      <c r="J28" s="1411">
        <v>303</v>
      </c>
      <c r="K28" s="1411"/>
    </row>
    <row r="29" spans="2:11" s="359" customFormat="1">
      <c r="E29" s="359" t="s">
        <v>1046</v>
      </c>
      <c r="F29" s="1411"/>
      <c r="G29" s="1411"/>
      <c r="H29" s="1411"/>
      <c r="I29" s="1411">
        <v>607559.48</v>
      </c>
      <c r="J29" s="1411">
        <v>607559.48</v>
      </c>
      <c r="K29" s="1411"/>
    </row>
    <row r="30" spans="2:11" s="359" customFormat="1">
      <c r="E30" s="359" t="s">
        <v>1128</v>
      </c>
      <c r="F30" s="1411"/>
      <c r="G30" s="1411"/>
      <c r="H30" s="1411"/>
      <c r="I30" s="1411">
        <v>41687</v>
      </c>
      <c r="J30" s="1411">
        <v>41687</v>
      </c>
      <c r="K30" s="1411"/>
    </row>
    <row r="31" spans="2:11" s="359" customFormat="1">
      <c r="E31" s="359" t="s">
        <v>1047</v>
      </c>
      <c r="F31" s="1411"/>
      <c r="G31" s="1411"/>
      <c r="H31" s="1411"/>
      <c r="I31" s="1411">
        <v>17747</v>
      </c>
      <c r="J31" s="1411">
        <v>17747</v>
      </c>
      <c r="K31" s="1411"/>
    </row>
    <row r="32" spans="2:11" s="359" customFormat="1">
      <c r="E32" s="359" t="s">
        <v>932</v>
      </c>
      <c r="F32" s="1411"/>
      <c r="G32" s="1411"/>
      <c r="H32" s="1411"/>
      <c r="I32" s="1411">
        <v>153720</v>
      </c>
      <c r="J32" s="1411">
        <v>153720</v>
      </c>
      <c r="K32" s="1411"/>
    </row>
    <row r="33" spans="2:11" s="359" customFormat="1">
      <c r="E33" s="359" t="s">
        <v>944</v>
      </c>
      <c r="F33" s="1411">
        <v>64799</v>
      </c>
      <c r="G33" s="1411"/>
      <c r="H33" s="1411"/>
      <c r="I33" s="1411"/>
      <c r="J33" s="1411">
        <v>64799</v>
      </c>
      <c r="K33" s="1411"/>
    </row>
    <row r="34" spans="2:11" s="359" customFormat="1">
      <c r="E34" s="359" t="s">
        <v>978</v>
      </c>
      <c r="F34" s="1411">
        <v>7798.75</v>
      </c>
      <c r="G34" s="1411"/>
      <c r="H34" s="1411"/>
      <c r="I34" s="1411"/>
      <c r="J34" s="1411">
        <v>7798.75</v>
      </c>
      <c r="K34" s="1411"/>
    </row>
    <row r="35" spans="2:11">
      <c r="D35" s="1400" t="s">
        <v>1481</v>
      </c>
      <c r="E35" s="1400"/>
      <c r="F35" s="1401">
        <f>SUM(F24:F34)</f>
        <v>72597.75</v>
      </c>
      <c r="G35" s="1401">
        <f>SUM(G24:G34)</f>
        <v>0</v>
      </c>
      <c r="H35" s="1401">
        <f>SUM(H24:H34)</f>
        <v>34220.79</v>
      </c>
      <c r="I35" s="1401">
        <f>SUM(I24:I34)</f>
        <v>820713.48</v>
      </c>
      <c r="J35" s="1401">
        <f>SUM(J24:J34)</f>
        <v>927532.02</v>
      </c>
      <c r="K35" s="1401"/>
    </row>
    <row r="36" spans="2:11" s="359" customFormat="1">
      <c r="B36" s="359" t="s">
        <v>1482</v>
      </c>
      <c r="C36" s="359">
        <v>132</v>
      </c>
      <c r="D36" s="359" t="s">
        <v>1648</v>
      </c>
      <c r="E36" s="359" t="s">
        <v>986</v>
      </c>
      <c r="F36" s="1411"/>
      <c r="G36" s="1411"/>
      <c r="H36" s="1411">
        <v>20983</v>
      </c>
      <c r="I36" s="1411"/>
      <c r="J36" s="1411">
        <v>20983</v>
      </c>
      <c r="K36" s="1411"/>
    </row>
    <row r="37" spans="2:11" s="359" customFormat="1">
      <c r="E37" s="359" t="s">
        <v>991</v>
      </c>
      <c r="F37" s="1411"/>
      <c r="G37" s="1411"/>
      <c r="H37" s="1411">
        <v>9144</v>
      </c>
      <c r="I37" s="1411"/>
      <c r="J37" s="1411">
        <v>9144</v>
      </c>
      <c r="K37" s="1411"/>
    </row>
    <row r="38" spans="2:11" s="359" customFormat="1">
      <c r="E38" s="359" t="s">
        <v>1046</v>
      </c>
      <c r="F38" s="1411"/>
      <c r="G38" s="1411"/>
      <c r="H38" s="1411"/>
      <c r="I38" s="1411">
        <v>1025808</v>
      </c>
      <c r="J38" s="1411">
        <v>1025808</v>
      </c>
      <c r="K38" s="1411"/>
    </row>
    <row r="39" spans="2:11" s="359" customFormat="1">
      <c r="E39" s="359" t="s">
        <v>1047</v>
      </c>
      <c r="F39" s="1411"/>
      <c r="G39" s="1411"/>
      <c r="H39" s="1411"/>
      <c r="I39" s="1411">
        <v>6831.04</v>
      </c>
      <c r="J39" s="1411">
        <v>6831.04</v>
      </c>
      <c r="K39" s="1411"/>
    </row>
    <row r="40" spans="2:11" s="359" customFormat="1">
      <c r="E40" s="359" t="s">
        <v>944</v>
      </c>
      <c r="F40" s="1411">
        <v>58529</v>
      </c>
      <c r="G40" s="1411"/>
      <c r="H40" s="1411"/>
      <c r="I40" s="1411"/>
      <c r="J40" s="1411">
        <v>58529</v>
      </c>
      <c r="K40" s="1411"/>
    </row>
    <row r="41" spans="2:11" s="359" customFormat="1">
      <c r="E41" s="359" t="s">
        <v>945</v>
      </c>
      <c r="F41" s="1411">
        <v>31070.33</v>
      </c>
      <c r="G41" s="1411"/>
      <c r="H41" s="1411"/>
      <c r="I41" s="1411"/>
      <c r="J41" s="1411">
        <v>31070.33</v>
      </c>
      <c r="K41" s="1411"/>
    </row>
    <row r="42" spans="2:11">
      <c r="D42" s="1400" t="s">
        <v>1649</v>
      </c>
      <c r="E42" s="1400"/>
      <c r="F42" s="1401">
        <f>SUM(F36:F41)</f>
        <v>89599.33</v>
      </c>
      <c r="G42" s="1401">
        <f>SUM(G36:G41)</f>
        <v>0</v>
      </c>
      <c r="H42" s="1401">
        <f>SUM(H36:H41)</f>
        <v>30127</v>
      </c>
      <c r="I42" s="1401">
        <v>1032639.04</v>
      </c>
      <c r="J42" s="1401">
        <v>1152365.3700000001</v>
      </c>
      <c r="K42" s="1401"/>
    </row>
    <row r="43" spans="2:11" s="359" customFormat="1">
      <c r="B43" s="359" t="s">
        <v>1650</v>
      </c>
      <c r="C43" s="359">
        <v>230</v>
      </c>
      <c r="D43" s="359" t="s">
        <v>1651</v>
      </c>
      <c r="E43" s="359" t="s">
        <v>1034</v>
      </c>
      <c r="F43" s="1411"/>
      <c r="G43" s="1411"/>
      <c r="H43" s="1411">
        <v>22148.02</v>
      </c>
      <c r="I43" s="1411"/>
      <c r="J43" s="1411">
        <v>22148.02</v>
      </c>
      <c r="K43" s="1411"/>
    </row>
    <row r="44" spans="2:11" s="359" customFormat="1">
      <c r="E44" s="359" t="s">
        <v>1035</v>
      </c>
      <c r="F44" s="1411"/>
      <c r="G44" s="1411"/>
      <c r="H44" s="1411">
        <v>24080.29</v>
      </c>
      <c r="I44" s="1411"/>
      <c r="J44" s="1411">
        <v>24080.29</v>
      </c>
      <c r="K44" s="1411"/>
    </row>
    <row r="45" spans="2:11" s="359" customFormat="1">
      <c r="E45" s="359" t="s">
        <v>1039</v>
      </c>
      <c r="F45" s="1411"/>
      <c r="G45" s="1411"/>
      <c r="H45" s="1411">
        <v>543.70000000000005</v>
      </c>
      <c r="I45" s="1411"/>
      <c r="J45" s="1411">
        <v>543.70000000000005</v>
      </c>
      <c r="K45" s="1411"/>
    </row>
    <row r="46" spans="2:11" s="359" customFormat="1">
      <c r="E46" s="359" t="s">
        <v>1040</v>
      </c>
      <c r="F46" s="1411"/>
      <c r="G46" s="1411"/>
      <c r="H46" s="1411">
        <v>34162.300000000003</v>
      </c>
      <c r="I46" s="1411"/>
      <c r="J46" s="1411">
        <v>34162.300000000003</v>
      </c>
      <c r="K46" s="1411"/>
    </row>
    <row r="47" spans="2:11" s="359" customFormat="1">
      <c r="E47" s="359" t="s">
        <v>1207</v>
      </c>
      <c r="F47" s="1411"/>
      <c r="G47" s="1411"/>
      <c r="H47" s="1411">
        <v>7261.84</v>
      </c>
      <c r="I47" s="1411"/>
      <c r="J47" s="1411">
        <v>7261.84</v>
      </c>
      <c r="K47" s="1411"/>
    </row>
    <row r="48" spans="2:11" s="359" customFormat="1">
      <c r="E48" s="359" t="s">
        <v>954</v>
      </c>
      <c r="F48" s="1411"/>
      <c r="G48" s="1411"/>
      <c r="H48" s="1411">
        <v>45003.53</v>
      </c>
      <c r="I48" s="1411"/>
      <c r="J48" s="1411">
        <v>45003.53</v>
      </c>
      <c r="K48" s="1411"/>
    </row>
    <row r="49" spans="2:11" s="359" customFormat="1">
      <c r="E49" s="359" t="s">
        <v>1045</v>
      </c>
      <c r="F49" s="1411"/>
      <c r="G49" s="1411"/>
      <c r="H49" s="1411">
        <v>5095.37</v>
      </c>
      <c r="I49" s="1411"/>
      <c r="J49" s="1411">
        <v>5095.37</v>
      </c>
      <c r="K49" s="1411"/>
    </row>
    <row r="50" spans="2:11" s="359" customFormat="1">
      <c r="E50" s="359" t="s">
        <v>1046</v>
      </c>
      <c r="F50" s="1411"/>
      <c r="G50" s="1411"/>
      <c r="H50" s="1411"/>
      <c r="I50" s="1411">
        <v>1601860</v>
      </c>
      <c r="J50" s="1411">
        <v>1601860</v>
      </c>
      <c r="K50" s="1411"/>
    </row>
    <row r="51" spans="2:11" s="359" customFormat="1">
      <c r="E51" s="359" t="s">
        <v>935</v>
      </c>
      <c r="F51" s="1411"/>
      <c r="G51" s="1411"/>
      <c r="H51" s="1411"/>
      <c r="I51" s="1411">
        <v>82000</v>
      </c>
      <c r="J51" s="1411">
        <v>82000</v>
      </c>
      <c r="K51" s="1411"/>
    </row>
    <row r="52" spans="2:11" s="359" customFormat="1">
      <c r="E52" s="359" t="s">
        <v>940</v>
      </c>
      <c r="F52" s="1411">
        <v>79017.039999999994</v>
      </c>
      <c r="G52" s="1411"/>
      <c r="H52" s="1411"/>
      <c r="I52" s="1411"/>
      <c r="J52" s="1411">
        <v>79017.039999999994</v>
      </c>
      <c r="K52" s="1411"/>
    </row>
    <row r="53" spans="2:11" s="359" customFormat="1">
      <c r="E53" s="359" t="s">
        <v>944</v>
      </c>
      <c r="F53" s="1411">
        <v>465183.41</v>
      </c>
      <c r="G53" s="1411"/>
      <c r="H53" s="1411"/>
      <c r="I53" s="1411"/>
      <c r="J53" s="1411">
        <v>465183.41</v>
      </c>
      <c r="K53" s="1411"/>
    </row>
    <row r="54" spans="2:11" s="359" customFormat="1">
      <c r="E54" s="359" t="s">
        <v>945</v>
      </c>
      <c r="F54" s="1411">
        <v>30204</v>
      </c>
      <c r="G54" s="1411"/>
      <c r="H54" s="1411"/>
      <c r="I54" s="1411"/>
      <c r="J54" s="1411">
        <v>30204</v>
      </c>
      <c r="K54" s="1411"/>
    </row>
    <row r="55" spans="2:11">
      <c r="D55" s="1400" t="s">
        <v>1652</v>
      </c>
      <c r="E55" s="1400"/>
      <c r="F55" s="1401">
        <f>SUM(F43:F54)</f>
        <v>574404.44999999995</v>
      </c>
      <c r="G55" s="1401">
        <f>SUM(G43:G54)</f>
        <v>0</v>
      </c>
      <c r="H55" s="1401">
        <f>SUM(H43:H54)</f>
        <v>138295.04999999999</v>
      </c>
      <c r="I55" s="1401">
        <f>SUM(I43:I54)</f>
        <v>1683860</v>
      </c>
      <c r="J55" s="1401">
        <f>SUM(J43:J54)</f>
        <v>2396559.5</v>
      </c>
      <c r="K55" s="1401"/>
    </row>
    <row r="56" spans="2:11" s="359" customFormat="1">
      <c r="B56" s="359" t="s">
        <v>1653</v>
      </c>
      <c r="C56" s="359">
        <v>98</v>
      </c>
      <c r="D56" s="359" t="s">
        <v>1654</v>
      </c>
      <c r="E56" s="359" t="s">
        <v>1034</v>
      </c>
      <c r="F56" s="1411"/>
      <c r="G56" s="1411"/>
      <c r="H56" s="1411">
        <v>26917.55</v>
      </c>
      <c r="I56" s="1411"/>
      <c r="J56" s="1411">
        <v>26917.55</v>
      </c>
      <c r="K56" s="1411"/>
    </row>
    <row r="57" spans="2:11" s="359" customFormat="1">
      <c r="E57" s="359" t="s">
        <v>1040</v>
      </c>
      <c r="F57" s="1411"/>
      <c r="G57" s="1411"/>
      <c r="H57" s="1411">
        <v>26331.99</v>
      </c>
      <c r="I57" s="1411"/>
      <c r="J57" s="1411">
        <v>26331.99</v>
      </c>
      <c r="K57" s="1411"/>
    </row>
    <row r="58" spans="2:11" s="359" customFormat="1">
      <c r="E58" s="359" t="s">
        <v>1046</v>
      </c>
      <c r="F58" s="1411"/>
      <c r="G58" s="1411"/>
      <c r="H58" s="1411"/>
      <c r="I58" s="1411">
        <v>905675.66999999993</v>
      </c>
      <c r="J58" s="1411">
        <v>905675.66999999993</v>
      </c>
      <c r="K58" s="1411"/>
    </row>
    <row r="59" spans="2:11" s="359" customFormat="1">
      <c r="E59" s="359" t="s">
        <v>935</v>
      </c>
      <c r="F59" s="1411"/>
      <c r="G59" s="1411"/>
      <c r="H59" s="1411"/>
      <c r="I59" s="1411">
        <v>25000</v>
      </c>
      <c r="J59" s="1411">
        <v>25000</v>
      </c>
      <c r="K59" s="1411"/>
    </row>
    <row r="60" spans="2:11" s="359" customFormat="1">
      <c r="E60" s="359" t="s">
        <v>940</v>
      </c>
      <c r="F60" s="1411">
        <v>28272.14</v>
      </c>
      <c r="G60" s="1411"/>
      <c r="H60" s="1411"/>
      <c r="I60" s="1411"/>
      <c r="J60" s="1411">
        <v>28272.14</v>
      </c>
      <c r="K60" s="1411"/>
    </row>
    <row r="61" spans="2:11" s="359" customFormat="1">
      <c r="E61" s="359" t="s">
        <v>944</v>
      </c>
      <c r="F61" s="1411">
        <v>308656.48</v>
      </c>
      <c r="G61" s="1411"/>
      <c r="H61" s="1411"/>
      <c r="I61" s="1411"/>
      <c r="J61" s="1411">
        <v>308656.48</v>
      </c>
      <c r="K61" s="1411"/>
    </row>
    <row r="62" spans="2:11" s="359" customFormat="1">
      <c r="E62" s="359" t="s">
        <v>945</v>
      </c>
      <c r="F62" s="1411">
        <v>11325</v>
      </c>
      <c r="G62" s="1411"/>
      <c r="H62" s="1411"/>
      <c r="I62" s="1411"/>
      <c r="J62" s="1411">
        <v>11325</v>
      </c>
      <c r="K62" s="1411"/>
    </row>
    <row r="63" spans="2:11">
      <c r="D63" s="1400" t="s">
        <v>1655</v>
      </c>
      <c r="E63" s="1400"/>
      <c r="F63" s="1401">
        <f>SUM(F56:F62)</f>
        <v>348253.62</v>
      </c>
      <c r="G63" s="1401">
        <f>SUM(G56:G62)</f>
        <v>0</v>
      </c>
      <c r="H63" s="1401">
        <f>SUM(H56:H62)</f>
        <v>53249.54</v>
      </c>
      <c r="I63" s="1401">
        <f>SUM(I56:I62)</f>
        <v>930675.66999999993</v>
      </c>
      <c r="J63" s="1401">
        <f>SUM(J56:J62)</f>
        <v>1332178.83</v>
      </c>
      <c r="K63" s="1401"/>
    </row>
    <row r="64" spans="2:11" s="359" customFormat="1">
      <c r="B64" s="359" t="s">
        <v>1656</v>
      </c>
      <c r="C64" s="359">
        <v>364</v>
      </c>
      <c r="D64" s="359" t="s">
        <v>1657</v>
      </c>
      <c r="E64" s="359" t="s">
        <v>1040</v>
      </c>
      <c r="F64" s="1411"/>
      <c r="G64" s="1411"/>
      <c r="H64" s="1411">
        <v>9602.36</v>
      </c>
      <c r="I64" s="1411"/>
      <c r="J64" s="1411">
        <v>9602.36</v>
      </c>
      <c r="K64" s="1411"/>
    </row>
    <row r="65" spans="2:11" s="359" customFormat="1">
      <c r="E65" s="359" t="s">
        <v>986</v>
      </c>
      <c r="F65" s="1411"/>
      <c r="G65" s="1411"/>
      <c r="H65" s="1411">
        <v>606775.63</v>
      </c>
      <c r="I65" s="1411"/>
      <c r="J65" s="1411">
        <v>606775.63</v>
      </c>
      <c r="K65" s="1411"/>
    </row>
    <row r="66" spans="2:11" s="359" customFormat="1">
      <c r="E66" s="359" t="s">
        <v>1046</v>
      </c>
      <c r="F66" s="1411"/>
      <c r="G66" s="1411"/>
      <c r="H66" s="1411"/>
      <c r="I66" s="1411">
        <v>3936254.68</v>
      </c>
      <c r="J66" s="1411">
        <v>3936254.68</v>
      </c>
      <c r="K66" s="1411"/>
    </row>
    <row r="67" spans="2:11" s="359" customFormat="1">
      <c r="E67" s="359" t="s">
        <v>1131</v>
      </c>
      <c r="F67" s="1411">
        <v>588472.17000000004</v>
      </c>
      <c r="G67" s="1411"/>
      <c r="H67" s="1411"/>
      <c r="I67" s="1411"/>
      <c r="J67" s="1411">
        <v>588472.17000000004</v>
      </c>
      <c r="K67" s="1411"/>
    </row>
    <row r="68" spans="2:11" s="359" customFormat="1">
      <c r="E68" s="359" t="s">
        <v>940</v>
      </c>
      <c r="F68" s="1411">
        <v>135253.1</v>
      </c>
      <c r="G68" s="1411"/>
      <c r="H68" s="1411"/>
      <c r="I68" s="1411"/>
      <c r="J68" s="1411">
        <v>135253.1</v>
      </c>
      <c r="K68" s="1411"/>
    </row>
    <row r="69" spans="2:11" s="359" customFormat="1">
      <c r="E69" s="359" t="s">
        <v>941</v>
      </c>
      <c r="F69" s="1411">
        <v>69360.36</v>
      </c>
      <c r="G69" s="1411"/>
      <c r="H69" s="1411"/>
      <c r="I69" s="1411"/>
      <c r="J69" s="1411">
        <v>69360.36</v>
      </c>
      <c r="K69" s="1411"/>
    </row>
    <row r="70" spans="2:11" s="359" customFormat="1">
      <c r="E70" s="359" t="s">
        <v>1118</v>
      </c>
      <c r="F70" s="1411"/>
      <c r="G70" s="1411"/>
      <c r="H70" s="1411">
        <v>6782.64</v>
      </c>
      <c r="I70" s="1411"/>
      <c r="J70" s="1411">
        <v>6782.64</v>
      </c>
      <c r="K70" s="1411"/>
    </row>
    <row r="71" spans="2:11">
      <c r="D71" s="1400" t="s">
        <v>1658</v>
      </c>
      <c r="E71" s="1400"/>
      <c r="F71" s="1401">
        <f>SUM(F64:F70)</f>
        <v>793085.63</v>
      </c>
      <c r="G71" s="1401">
        <f>SUM(G64:G70)</f>
        <v>0</v>
      </c>
      <c r="H71" s="1401">
        <f>SUM(H64:H70)</f>
        <v>623160.63</v>
      </c>
      <c r="I71" s="1401">
        <f>SUM(I64:I70)</f>
        <v>3936254.68</v>
      </c>
      <c r="J71" s="1401">
        <f>SUM(J64:J70)</f>
        <v>5352500.9399999995</v>
      </c>
      <c r="K71" s="1401"/>
    </row>
    <row r="72" spans="2:11" s="359" customFormat="1">
      <c r="B72" s="359" t="s">
        <v>1659</v>
      </c>
      <c r="C72" s="359">
        <v>133</v>
      </c>
      <c r="D72" s="359" t="s">
        <v>1660</v>
      </c>
      <c r="E72" s="359" t="s">
        <v>1034</v>
      </c>
      <c r="F72" s="1411"/>
      <c r="G72" s="1419"/>
      <c r="H72" s="1411"/>
      <c r="I72" s="1411"/>
      <c r="J72" s="1411">
        <v>9986</v>
      </c>
      <c r="K72" s="1411"/>
    </row>
    <row r="73" spans="2:11" s="359" customFormat="1">
      <c r="E73" s="359" t="s">
        <v>1035</v>
      </c>
      <c r="F73" s="1411"/>
      <c r="G73" s="1411">
        <v>209837</v>
      </c>
      <c r="H73" s="1411"/>
      <c r="I73" s="1411"/>
      <c r="J73" s="1411">
        <v>209837</v>
      </c>
      <c r="K73" s="1411"/>
    </row>
    <row r="74" spans="2:11" s="359" customFormat="1">
      <c r="E74" s="359" t="s">
        <v>1039</v>
      </c>
      <c r="F74" s="1411"/>
      <c r="G74" s="1411">
        <v>26</v>
      </c>
      <c r="H74" s="1411"/>
      <c r="I74" s="1411"/>
      <c r="J74" s="1411">
        <v>26</v>
      </c>
      <c r="K74" s="1411"/>
    </row>
    <row r="75" spans="2:11" s="359" customFormat="1">
      <c r="E75" s="359" t="s">
        <v>1040</v>
      </c>
      <c r="F75" s="1411"/>
      <c r="G75" s="1411">
        <v>27480</v>
      </c>
      <c r="H75" s="1411"/>
      <c r="I75" s="1411"/>
      <c r="J75" s="1411">
        <v>27480</v>
      </c>
      <c r="K75" s="1411"/>
    </row>
    <row r="76" spans="2:11" s="359" customFormat="1">
      <c r="E76" s="359" t="s">
        <v>1046</v>
      </c>
      <c r="F76" s="1411"/>
      <c r="G76" s="1411"/>
      <c r="H76" s="1411"/>
      <c r="I76" s="1411">
        <v>767672</v>
      </c>
      <c r="J76" s="1411">
        <v>767672</v>
      </c>
      <c r="K76" s="1411"/>
    </row>
    <row r="77" spans="2:11" s="359" customFormat="1">
      <c r="E77" s="359" t="s">
        <v>1128</v>
      </c>
      <c r="F77" s="1411"/>
      <c r="G77" s="1411"/>
      <c r="H77" s="1411"/>
      <c r="I77" s="1411">
        <v>56167</v>
      </c>
      <c r="J77" s="1411">
        <v>56167</v>
      </c>
      <c r="K77" s="1411"/>
    </row>
    <row r="78" spans="2:11" s="359" customFormat="1">
      <c r="E78" s="359" t="s">
        <v>1129</v>
      </c>
      <c r="F78" s="1411"/>
      <c r="G78" s="1411"/>
      <c r="H78" s="1411"/>
      <c r="I78" s="1411">
        <v>-666</v>
      </c>
      <c r="J78" s="1411">
        <v>-666</v>
      </c>
      <c r="K78" s="1411"/>
    </row>
    <row r="79" spans="2:11" s="359" customFormat="1">
      <c r="E79" s="359" t="s">
        <v>1047</v>
      </c>
      <c r="F79" s="1411"/>
      <c r="G79" s="1411"/>
      <c r="H79" s="1411"/>
      <c r="I79" s="1411">
        <v>25291</v>
      </c>
      <c r="J79" s="1411">
        <v>25291</v>
      </c>
      <c r="K79" s="1411"/>
    </row>
    <row r="80" spans="2:11" s="359" customFormat="1">
      <c r="E80" s="359" t="s">
        <v>932</v>
      </c>
      <c r="F80" s="1411"/>
      <c r="G80" s="1411"/>
      <c r="H80" s="1411"/>
      <c r="I80" s="1411">
        <v>402617</v>
      </c>
      <c r="J80" s="1411">
        <v>402617</v>
      </c>
      <c r="K80" s="1411"/>
    </row>
    <row r="81" spans="4:11" s="359" customFormat="1">
      <c r="E81" s="359" t="s">
        <v>940</v>
      </c>
      <c r="F81" s="1411">
        <v>8407</v>
      </c>
      <c r="G81" s="1411"/>
      <c r="H81" s="1411"/>
      <c r="I81" s="1411"/>
      <c r="J81" s="1411">
        <v>8407</v>
      </c>
      <c r="K81" s="1411"/>
    </row>
    <row r="82" spans="4:11" s="359" customFormat="1">
      <c r="E82" s="359" t="s">
        <v>944</v>
      </c>
      <c r="F82" s="1411">
        <v>362251</v>
      </c>
      <c r="G82" s="1411"/>
      <c r="H82" s="1411"/>
      <c r="I82" s="1411"/>
      <c r="J82" s="1411">
        <v>362251</v>
      </c>
      <c r="K82" s="1411"/>
    </row>
    <row r="83" spans="4:11" s="359" customFormat="1">
      <c r="E83" s="359" t="s">
        <v>945</v>
      </c>
      <c r="F83" s="1411">
        <v>19398</v>
      </c>
      <c r="G83" s="1411"/>
      <c r="H83" s="1411"/>
      <c r="I83" s="1411"/>
      <c r="J83" s="1411">
        <v>19398</v>
      </c>
      <c r="K83" s="1411"/>
    </row>
    <row r="84" spans="4:11">
      <c r="D84" s="1400" t="s">
        <v>1517</v>
      </c>
      <c r="E84" s="1400"/>
      <c r="F84" s="1401">
        <v>390056</v>
      </c>
      <c r="G84" s="1401">
        <v>247329</v>
      </c>
      <c r="H84" s="1401"/>
      <c r="I84" s="1401">
        <v>1251081</v>
      </c>
      <c r="J84" s="1401">
        <v>1888466</v>
      </c>
      <c r="K84" s="1401"/>
    </row>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3:Q7584"/>
  <sheetViews>
    <sheetView workbookViewId="0">
      <pane xSplit="4" ySplit="3" topLeftCell="E2259" activePane="bottomRight" state="frozen"/>
      <selection pane="topRight" activeCell="E1" sqref="E1"/>
      <selection pane="bottomLeft" activeCell="A4" sqref="A4"/>
      <selection pane="bottomRight" activeCell="I2314" sqref="I2314"/>
    </sheetView>
  </sheetViews>
  <sheetFormatPr defaultColWidth="10.1640625" defaultRowHeight="11.25"/>
  <cols>
    <col min="1" max="1" width="9.33203125" style="1297" customWidth="1"/>
    <col min="2" max="2" width="10" style="1399" customWidth="1"/>
    <col min="3" max="3" width="12" style="1399" customWidth="1"/>
    <col min="4" max="4" width="18" style="1399" customWidth="1"/>
    <col min="5" max="5" width="72" style="1399" customWidth="1"/>
    <col min="6" max="9" width="15" style="1399" customWidth="1"/>
    <col min="10" max="10" width="18" style="1399" customWidth="1"/>
    <col min="11" max="11" width="16.83203125" style="1399" customWidth="1"/>
    <col min="12" max="16384" width="10.1640625" style="1297"/>
  </cols>
  <sheetData>
    <row r="3" spans="1:17" ht="63">
      <c r="A3" s="1396" t="s">
        <v>894</v>
      </c>
      <c r="B3" s="1396" t="s">
        <v>895</v>
      </c>
      <c r="C3" s="1396" t="s">
        <v>174</v>
      </c>
      <c r="D3" s="1397" t="s">
        <v>896</v>
      </c>
      <c r="E3" s="1397" t="s">
        <v>897</v>
      </c>
      <c r="F3" s="1398" t="s">
        <v>898</v>
      </c>
      <c r="G3" s="1398" t="s">
        <v>899</v>
      </c>
      <c r="H3" s="1398" t="s">
        <v>900</v>
      </c>
      <c r="I3" s="1398" t="s">
        <v>901</v>
      </c>
      <c r="J3" s="1398" t="s">
        <v>902</v>
      </c>
      <c r="K3" s="1402" t="s">
        <v>1724</v>
      </c>
      <c r="L3" s="1403" t="s">
        <v>1725</v>
      </c>
      <c r="M3" s="1403" t="s">
        <v>1726</v>
      </c>
      <c r="N3" s="1402" t="s">
        <v>1637</v>
      </c>
      <c r="O3" s="1420" t="s">
        <v>1638</v>
      </c>
      <c r="P3" s="1420" t="s">
        <v>1639</v>
      </c>
      <c r="Q3" s="1421" t="s">
        <v>1640</v>
      </c>
    </row>
    <row r="4" spans="1:17">
      <c r="A4" s="1297" t="s">
        <v>903</v>
      </c>
      <c r="B4" s="1297" t="s">
        <v>904</v>
      </c>
      <c r="C4" s="1297">
        <v>3299</v>
      </c>
      <c r="D4" s="1297" t="s">
        <v>905</v>
      </c>
      <c r="E4" s="1297" t="s">
        <v>906</v>
      </c>
      <c r="G4" s="1399">
        <v>10686696</v>
      </c>
      <c r="J4" s="1399">
        <v>10686696</v>
      </c>
    </row>
    <row r="5" spans="1:17">
      <c r="B5" s="1297"/>
      <c r="C5" s="1297"/>
      <c r="D5" s="1297"/>
      <c r="E5" s="1297" t="s">
        <v>907</v>
      </c>
      <c r="G5" s="1399">
        <v>3750301.44</v>
      </c>
      <c r="J5" s="1399">
        <v>3750301.44</v>
      </c>
    </row>
    <row r="6" spans="1:17">
      <c r="B6" s="1297"/>
      <c r="C6" s="1297"/>
      <c r="D6" s="1297"/>
      <c r="E6" s="1297" t="s">
        <v>908</v>
      </c>
      <c r="G6" s="1399">
        <v>27280.53</v>
      </c>
      <c r="J6" s="1399">
        <v>27280.53</v>
      </c>
    </row>
    <row r="7" spans="1:17">
      <c r="B7" s="1297"/>
      <c r="C7" s="1297"/>
      <c r="D7" s="1297"/>
      <c r="E7" s="1297" t="s">
        <v>909</v>
      </c>
      <c r="H7" s="1399">
        <v>23993.57</v>
      </c>
      <c r="J7" s="1399">
        <v>23993.57</v>
      </c>
    </row>
    <row r="8" spans="1:17">
      <c r="B8" s="1297"/>
      <c r="C8" s="1297"/>
      <c r="D8" s="1297"/>
      <c r="E8" s="1297" t="s">
        <v>910</v>
      </c>
      <c r="H8" s="1399">
        <v>34092.619999999995</v>
      </c>
      <c r="J8" s="1399">
        <v>34092.619999999995</v>
      </c>
    </row>
    <row r="9" spans="1:17">
      <c r="B9" s="1297"/>
      <c r="C9" s="1297"/>
      <c r="D9" s="1297"/>
      <c r="E9" s="1297" t="s">
        <v>1034</v>
      </c>
      <c r="H9" s="1399">
        <v>77843.39</v>
      </c>
      <c r="J9" s="1399">
        <v>77843.39</v>
      </c>
    </row>
    <row r="10" spans="1:17">
      <c r="B10" s="1297"/>
      <c r="C10" s="1297"/>
      <c r="D10" s="1297"/>
      <c r="E10" s="1297" t="s">
        <v>1035</v>
      </c>
      <c r="H10" s="1399">
        <v>233640.58</v>
      </c>
      <c r="J10" s="1399">
        <v>233640.58</v>
      </c>
    </row>
    <row r="11" spans="1:17">
      <c r="B11" s="1297"/>
      <c r="C11" s="1297"/>
      <c r="D11" s="1297"/>
      <c r="E11" s="1297" t="s">
        <v>1036</v>
      </c>
      <c r="H11" s="1399">
        <v>147273.82999999999</v>
      </c>
      <c r="J11" s="1399">
        <v>147273.82999999999</v>
      </c>
    </row>
    <row r="12" spans="1:17">
      <c r="B12" s="1297"/>
      <c r="C12" s="1297"/>
      <c r="D12" s="1297"/>
      <c r="E12" s="1297" t="s">
        <v>1037</v>
      </c>
      <c r="H12" s="1399">
        <v>2950</v>
      </c>
      <c r="J12" s="1399">
        <v>2950</v>
      </c>
    </row>
    <row r="13" spans="1:17">
      <c r="B13" s="1297"/>
      <c r="C13" s="1297"/>
      <c r="D13" s="1297"/>
      <c r="E13" s="1297" t="s">
        <v>1038</v>
      </c>
      <c r="H13" s="1399">
        <v>0</v>
      </c>
      <c r="J13" s="1399">
        <v>0</v>
      </c>
    </row>
    <row r="14" spans="1:17">
      <c r="B14" s="1297"/>
      <c r="C14" s="1297"/>
      <c r="D14" s="1297"/>
      <c r="E14" s="1297" t="s">
        <v>1039</v>
      </c>
      <c r="H14" s="1399">
        <v>33184.560000000005</v>
      </c>
      <c r="J14" s="1399">
        <v>33184.560000000005</v>
      </c>
    </row>
    <row r="15" spans="1:17">
      <c r="B15" s="1297"/>
      <c r="C15" s="1297"/>
      <c r="D15" s="1297"/>
      <c r="E15" s="1297" t="s">
        <v>1040</v>
      </c>
      <c r="H15" s="1399">
        <v>186981.93000000002</v>
      </c>
      <c r="J15" s="1399">
        <v>186981.93000000002</v>
      </c>
    </row>
    <row r="16" spans="1:17">
      <c r="B16" s="1297"/>
      <c r="C16" s="1297"/>
      <c r="D16" s="1297"/>
      <c r="E16" s="1297" t="s">
        <v>1041</v>
      </c>
      <c r="H16" s="1399">
        <v>48265.860000000008</v>
      </c>
      <c r="J16" s="1399">
        <v>48265.860000000008</v>
      </c>
    </row>
    <row r="17" spans="5:10" s="1297" customFormat="1">
      <c r="E17" s="1297" t="s">
        <v>1042</v>
      </c>
      <c r="F17" s="1399"/>
      <c r="G17" s="1399"/>
      <c r="H17" s="1399">
        <v>48977.4</v>
      </c>
      <c r="I17" s="1399"/>
      <c r="J17" s="1399">
        <v>48977.4</v>
      </c>
    </row>
    <row r="18" spans="5:10" s="1297" customFormat="1">
      <c r="E18" s="1297" t="s">
        <v>1043</v>
      </c>
      <c r="F18" s="1399"/>
      <c r="G18" s="1399"/>
      <c r="H18" s="1399">
        <v>6650</v>
      </c>
      <c r="I18" s="1399"/>
      <c r="J18" s="1399">
        <v>6650</v>
      </c>
    </row>
    <row r="19" spans="5:10" s="1297" customFormat="1">
      <c r="E19" s="1297" t="s">
        <v>1044</v>
      </c>
      <c r="F19" s="1399">
        <v>23248</v>
      </c>
      <c r="G19" s="1399"/>
      <c r="H19" s="1399"/>
      <c r="I19" s="1399"/>
      <c r="J19" s="1399">
        <v>23248</v>
      </c>
    </row>
    <row r="20" spans="5:10" s="1297" customFormat="1">
      <c r="E20" s="1297" t="s">
        <v>1045</v>
      </c>
      <c r="F20" s="1399"/>
      <c r="G20" s="1399"/>
      <c r="H20" s="1399">
        <v>469019.52</v>
      </c>
      <c r="I20" s="1399"/>
      <c r="J20" s="1399">
        <v>469019.52</v>
      </c>
    </row>
    <row r="21" spans="5:10" s="1297" customFormat="1">
      <c r="E21" s="1297" t="s">
        <v>1046</v>
      </c>
      <c r="F21" s="1399"/>
      <c r="G21" s="1399"/>
      <c r="H21" s="1399"/>
      <c r="I21" s="1399">
        <v>17376260</v>
      </c>
      <c r="J21" s="1399">
        <v>17376260</v>
      </c>
    </row>
    <row r="22" spans="5:10" s="1297" customFormat="1">
      <c r="E22" s="1297" t="s">
        <v>1047</v>
      </c>
      <c r="F22" s="1399"/>
      <c r="G22" s="1399"/>
      <c r="H22" s="1399"/>
      <c r="I22" s="1399">
        <v>713255</v>
      </c>
      <c r="J22" s="1399">
        <v>713255</v>
      </c>
    </row>
    <row r="23" spans="5:10" s="1297" customFormat="1">
      <c r="E23" s="1297" t="s">
        <v>1048</v>
      </c>
      <c r="F23" s="1399"/>
      <c r="G23" s="1399"/>
      <c r="H23" s="1399"/>
      <c r="I23" s="1399">
        <v>-2787182</v>
      </c>
      <c r="J23" s="1399">
        <v>-2787182</v>
      </c>
    </row>
    <row r="24" spans="5:10" s="1297" customFormat="1">
      <c r="E24" s="1297" t="s">
        <v>932</v>
      </c>
      <c r="F24" s="1399"/>
      <c r="G24" s="1399"/>
      <c r="H24" s="1399"/>
      <c r="I24" s="1399">
        <v>1216807</v>
      </c>
      <c r="J24" s="1399">
        <v>1216807</v>
      </c>
    </row>
    <row r="25" spans="5:10" s="1297" customFormat="1">
      <c r="E25" s="1404" t="s">
        <v>933</v>
      </c>
      <c r="F25" s="1405"/>
      <c r="G25" s="1405"/>
      <c r="H25" s="1405"/>
      <c r="I25" s="1405">
        <v>1062324.52</v>
      </c>
      <c r="J25" s="1405">
        <v>1062324.52</v>
      </c>
    </row>
    <row r="26" spans="5:10" s="1297" customFormat="1">
      <c r="E26" s="1297" t="s">
        <v>934</v>
      </c>
      <c r="F26" s="1399"/>
      <c r="G26" s="1399"/>
      <c r="H26" s="1399"/>
      <c r="I26" s="1399">
        <v>52237.81</v>
      </c>
      <c r="J26" s="1399">
        <v>52237.81</v>
      </c>
    </row>
    <row r="27" spans="5:10" s="1297" customFormat="1">
      <c r="E27" s="1297" t="s">
        <v>935</v>
      </c>
      <c r="F27" s="1399"/>
      <c r="G27" s="1399"/>
      <c r="H27" s="1399"/>
      <c r="I27" s="1399">
        <v>264693.14</v>
      </c>
      <c r="J27" s="1399">
        <v>264693.14</v>
      </c>
    </row>
    <row r="28" spans="5:10" s="1297" customFormat="1">
      <c r="E28" s="1297" t="s">
        <v>936</v>
      </c>
      <c r="F28" s="1399"/>
      <c r="G28" s="1399"/>
      <c r="H28" s="1399"/>
      <c r="I28" s="1399">
        <v>51472.13</v>
      </c>
      <c r="J28" s="1399">
        <v>51472.13</v>
      </c>
    </row>
    <row r="29" spans="5:10" s="1297" customFormat="1">
      <c r="E29" s="1297" t="s">
        <v>937</v>
      </c>
      <c r="F29" s="1399"/>
      <c r="G29" s="1399"/>
      <c r="H29" s="1399"/>
      <c r="I29" s="1399">
        <v>36549.81</v>
      </c>
      <c r="J29" s="1399">
        <v>36549.81</v>
      </c>
    </row>
    <row r="30" spans="5:10" s="1297" customFormat="1">
      <c r="E30" s="1297" t="s">
        <v>938</v>
      </c>
      <c r="F30" s="1399"/>
      <c r="G30" s="1399"/>
      <c r="H30" s="1399"/>
      <c r="I30" s="1399">
        <v>12540</v>
      </c>
      <c r="J30" s="1399">
        <v>12540</v>
      </c>
    </row>
    <row r="31" spans="5:10" s="1297" customFormat="1">
      <c r="E31" s="1297" t="s">
        <v>939</v>
      </c>
      <c r="F31" s="1399"/>
      <c r="G31" s="1399"/>
      <c r="H31" s="1399"/>
      <c r="I31" s="1399">
        <v>1000</v>
      </c>
      <c r="J31" s="1399">
        <v>1000</v>
      </c>
    </row>
    <row r="32" spans="5:10" s="1297" customFormat="1">
      <c r="E32" s="1297" t="s">
        <v>940</v>
      </c>
      <c r="F32" s="1399">
        <v>876448.45999999985</v>
      </c>
      <c r="G32" s="1399"/>
      <c r="H32" s="1399"/>
      <c r="I32" s="1399"/>
      <c r="J32" s="1399">
        <v>876448.45999999985</v>
      </c>
    </row>
    <row r="33" spans="2:12">
      <c r="B33" s="1297"/>
      <c r="C33" s="1297"/>
      <c r="D33" s="1297"/>
      <c r="E33" s="1297" t="s">
        <v>941</v>
      </c>
      <c r="F33" s="1399">
        <v>263269.72000000003</v>
      </c>
      <c r="J33" s="1399">
        <v>263269.72000000003</v>
      </c>
    </row>
    <row r="34" spans="2:12">
      <c r="B34" s="1297"/>
      <c r="C34" s="1297"/>
      <c r="D34" s="1297"/>
      <c r="E34" s="1297" t="s">
        <v>942</v>
      </c>
      <c r="F34" s="1399">
        <v>0</v>
      </c>
      <c r="J34" s="1399">
        <v>0</v>
      </c>
    </row>
    <row r="35" spans="2:12">
      <c r="B35" s="1297"/>
      <c r="C35" s="1297"/>
      <c r="D35" s="1297"/>
      <c r="E35" s="1297" t="s">
        <v>943</v>
      </c>
      <c r="F35" s="1399">
        <v>717.06</v>
      </c>
      <c r="J35" s="1399">
        <v>717.06</v>
      </c>
    </row>
    <row r="36" spans="2:12">
      <c r="B36" s="1297"/>
      <c r="C36" s="1297"/>
      <c r="D36" s="1297"/>
      <c r="E36" s="1297" t="s">
        <v>944</v>
      </c>
      <c r="F36" s="1399">
        <v>2817463.33</v>
      </c>
      <c r="J36" s="1399">
        <v>2817463.33</v>
      </c>
    </row>
    <row r="37" spans="2:12">
      <c r="B37" s="1297"/>
      <c r="C37" s="1297"/>
      <c r="D37" s="1297"/>
      <c r="E37" s="1297" t="s">
        <v>945</v>
      </c>
      <c r="F37" s="1399">
        <v>1811018.55</v>
      </c>
      <c r="J37" s="1399">
        <v>1811018.55</v>
      </c>
    </row>
    <row r="38" spans="2:12">
      <c r="B38" s="1297"/>
      <c r="C38" s="1297"/>
      <c r="D38" s="1297"/>
      <c r="E38" s="1297" t="s">
        <v>946</v>
      </c>
      <c r="F38" s="1399">
        <v>0</v>
      </c>
      <c r="J38" s="1399">
        <v>0</v>
      </c>
    </row>
    <row r="39" spans="2:12">
      <c r="B39" s="1297"/>
      <c r="C39" s="1297"/>
      <c r="D39" s="1297"/>
      <c r="E39" s="1297" t="s">
        <v>947</v>
      </c>
      <c r="F39" s="1399">
        <v>114487.39</v>
      </c>
      <c r="J39" s="1399">
        <v>114487.39</v>
      </c>
    </row>
    <row r="40" spans="2:12">
      <c r="B40" s="1297"/>
      <c r="C40" s="1297"/>
      <c r="D40" s="1297"/>
      <c r="E40" s="1404" t="s">
        <v>948</v>
      </c>
      <c r="F40" s="1405"/>
      <c r="G40" s="1405"/>
      <c r="H40" s="1405">
        <v>7187195.3899999997</v>
      </c>
      <c r="I40" s="1405"/>
      <c r="J40" s="1405">
        <v>7187195.3899999997</v>
      </c>
    </row>
    <row r="41" spans="2:12" s="1400" customFormat="1">
      <c r="D41" s="1400" t="s">
        <v>949</v>
      </c>
      <c r="F41" s="1401">
        <f>SUM(F4:F40)</f>
        <v>5906652.5099999998</v>
      </c>
      <c r="G41" s="1401">
        <f>SUM(G4:G40)</f>
        <v>14464277.969999999</v>
      </c>
      <c r="H41" s="1401">
        <f>SUM(H4:H40)-H40</f>
        <v>1312873.2600000007</v>
      </c>
      <c r="I41" s="1401">
        <f>SUM(I4:I40)-I25</f>
        <v>16937632.889999997</v>
      </c>
      <c r="J41" s="1401">
        <f>SUM(J4:J40)</f>
        <v>46870956.539999999</v>
      </c>
      <c r="K41" s="1401">
        <f>SUM(F41:I41)</f>
        <v>38621436.629999995</v>
      </c>
      <c r="L41" s="1406">
        <f>K41/C4</f>
        <v>11707.013225219762</v>
      </c>
    </row>
    <row r="42" spans="2:12">
      <c r="B42" s="1297" t="s">
        <v>950</v>
      </c>
      <c r="C42" s="1297">
        <v>1617</v>
      </c>
      <c r="D42" s="1297" t="s">
        <v>951</v>
      </c>
      <c r="E42" s="1297" t="s">
        <v>906</v>
      </c>
      <c r="G42" s="1399">
        <v>1837307.58</v>
      </c>
      <c r="J42" s="1399">
        <v>1837307.58</v>
      </c>
    </row>
    <row r="43" spans="2:12">
      <c r="B43" s="1297"/>
      <c r="C43" s="1297"/>
      <c r="D43" s="1297"/>
      <c r="E43" s="1297" t="s">
        <v>952</v>
      </c>
      <c r="G43" s="1399">
        <v>3470.03</v>
      </c>
      <c r="J43" s="1399">
        <v>3470.03</v>
      </c>
    </row>
    <row r="44" spans="2:12">
      <c r="B44" s="1297"/>
      <c r="C44" s="1297"/>
      <c r="D44" s="1297"/>
      <c r="E44" s="1297" t="s">
        <v>907</v>
      </c>
      <c r="G44" s="1399">
        <v>713596.85</v>
      </c>
      <c r="J44" s="1399">
        <v>713596.85</v>
      </c>
    </row>
    <row r="45" spans="2:12">
      <c r="B45" s="1297"/>
      <c r="C45" s="1297"/>
      <c r="D45" s="1297"/>
      <c r="E45" s="1297" t="s">
        <v>908</v>
      </c>
      <c r="G45" s="1399">
        <v>9100.58</v>
      </c>
      <c r="J45" s="1399">
        <v>9100.58</v>
      </c>
    </row>
    <row r="46" spans="2:12">
      <c r="B46" s="1297"/>
      <c r="C46" s="1297"/>
      <c r="D46" s="1297"/>
      <c r="E46" s="1297" t="s">
        <v>1034</v>
      </c>
      <c r="G46" s="1297"/>
      <c r="H46" s="1399">
        <v>17832.099999999999</v>
      </c>
      <c r="J46" s="1399">
        <v>17832.099999999999</v>
      </c>
    </row>
    <row r="47" spans="2:12">
      <c r="B47" s="1297"/>
      <c r="C47" s="1297"/>
      <c r="D47" s="1297"/>
      <c r="E47" s="1297" t="s">
        <v>1035</v>
      </c>
      <c r="G47" s="1297"/>
      <c r="H47" s="1399">
        <v>173727.84</v>
      </c>
      <c r="J47" s="1399">
        <v>173727.84</v>
      </c>
    </row>
    <row r="48" spans="2:12">
      <c r="B48" s="1297"/>
      <c r="C48" s="1297"/>
      <c r="D48" s="1297"/>
      <c r="E48" s="1297" t="s">
        <v>1036</v>
      </c>
      <c r="G48" s="1297"/>
      <c r="H48" s="1399">
        <v>48082.75</v>
      </c>
      <c r="J48" s="1399">
        <v>48082.75</v>
      </c>
    </row>
    <row r="49" spans="5:10" s="1297" customFormat="1">
      <c r="E49" s="1297" t="s">
        <v>1039</v>
      </c>
      <c r="F49" s="1399"/>
      <c r="H49" s="1399">
        <v>1271.2399999999975</v>
      </c>
      <c r="I49" s="1399"/>
      <c r="J49" s="1399">
        <v>1271.2399999999975</v>
      </c>
    </row>
    <row r="50" spans="5:10" s="1297" customFormat="1">
      <c r="E50" s="1297" t="s">
        <v>1041</v>
      </c>
      <c r="F50" s="1399"/>
      <c r="H50" s="1399">
        <v>282.2</v>
      </c>
      <c r="I50" s="1399"/>
      <c r="J50" s="1399">
        <v>282.2</v>
      </c>
    </row>
    <row r="51" spans="5:10" s="1297" customFormat="1">
      <c r="E51" s="1297" t="s">
        <v>1042</v>
      </c>
      <c r="F51" s="1399"/>
      <c r="H51" s="1399">
        <v>10774.25</v>
      </c>
      <c r="I51" s="1399"/>
      <c r="J51" s="1399">
        <v>10774.25</v>
      </c>
    </row>
    <row r="52" spans="5:10" s="1297" customFormat="1">
      <c r="E52" s="1297" t="s">
        <v>953</v>
      </c>
      <c r="F52" s="1399"/>
      <c r="H52" s="1399">
        <v>47980.85</v>
      </c>
      <c r="I52" s="1399"/>
      <c r="J52" s="1399">
        <v>47980.85</v>
      </c>
    </row>
    <row r="53" spans="5:10" s="1297" customFormat="1">
      <c r="E53" s="1297" t="s">
        <v>954</v>
      </c>
      <c r="F53" s="1399"/>
      <c r="H53" s="1399">
        <v>3695.65</v>
      </c>
      <c r="I53" s="1399"/>
      <c r="J53" s="1399">
        <v>3695.65</v>
      </c>
    </row>
    <row r="54" spans="5:10" s="1297" customFormat="1">
      <c r="E54" s="1297" t="s">
        <v>1044</v>
      </c>
      <c r="F54" s="1399"/>
      <c r="H54" s="1399">
        <v>15780</v>
      </c>
      <c r="I54" s="1399"/>
      <c r="J54" s="1399">
        <v>15780</v>
      </c>
    </row>
    <row r="55" spans="5:10" s="1297" customFormat="1">
      <c r="E55" s="1297" t="s">
        <v>1045</v>
      </c>
      <c r="F55" s="1399"/>
      <c r="H55" s="1399">
        <v>174148.6</v>
      </c>
      <c r="I55" s="1399"/>
      <c r="J55" s="1399">
        <v>174148.6</v>
      </c>
    </row>
    <row r="56" spans="5:10" s="1297" customFormat="1">
      <c r="E56" s="1297" t="s">
        <v>1046</v>
      </c>
      <c r="F56" s="1399"/>
      <c r="G56" s="1399"/>
      <c r="H56" s="1399"/>
      <c r="I56" s="1399">
        <v>8613628</v>
      </c>
      <c r="J56" s="1399">
        <v>8613628</v>
      </c>
    </row>
    <row r="57" spans="5:10" s="1297" customFormat="1">
      <c r="E57" s="1297" t="s">
        <v>1047</v>
      </c>
      <c r="F57" s="1399"/>
      <c r="G57" s="1399"/>
      <c r="H57" s="1399"/>
      <c r="I57" s="1399">
        <v>375199</v>
      </c>
      <c r="J57" s="1399">
        <v>375199</v>
      </c>
    </row>
    <row r="58" spans="5:10" s="1297" customFormat="1">
      <c r="E58" s="1297" t="s">
        <v>1048</v>
      </c>
      <c r="F58" s="1399"/>
      <c r="G58" s="1399"/>
      <c r="H58" s="1399"/>
      <c r="I58" s="1399">
        <v>-576197</v>
      </c>
      <c r="J58" s="1399">
        <v>-576197</v>
      </c>
    </row>
    <row r="59" spans="5:10" s="1297" customFormat="1">
      <c r="E59" s="1297" t="s">
        <v>932</v>
      </c>
      <c r="F59" s="1399"/>
      <c r="G59" s="1399"/>
      <c r="H59" s="1399"/>
      <c r="I59" s="1399">
        <v>1702766</v>
      </c>
      <c r="J59" s="1399">
        <v>1702766</v>
      </c>
    </row>
    <row r="60" spans="5:10" s="1297" customFormat="1">
      <c r="E60" s="1404" t="s">
        <v>955</v>
      </c>
      <c r="F60" s="1405"/>
      <c r="G60" s="1405"/>
      <c r="H60" s="1405"/>
      <c r="I60" s="1405">
        <v>468561.5</v>
      </c>
      <c r="J60" s="1405">
        <v>468561.5</v>
      </c>
    </row>
    <row r="61" spans="5:10" s="1297" customFormat="1">
      <c r="E61" s="1297" t="s">
        <v>934</v>
      </c>
      <c r="F61" s="1399"/>
      <c r="G61" s="1399"/>
      <c r="H61" s="1399"/>
      <c r="I61" s="1399">
        <v>31348</v>
      </c>
      <c r="J61" s="1399">
        <v>31348</v>
      </c>
    </row>
    <row r="62" spans="5:10" s="1297" customFormat="1">
      <c r="E62" s="1297" t="s">
        <v>935</v>
      </c>
      <c r="F62" s="1399"/>
      <c r="G62" s="1399"/>
      <c r="H62" s="1399"/>
      <c r="I62" s="1399">
        <v>204995.96</v>
      </c>
      <c r="J62" s="1399">
        <v>204995.96</v>
      </c>
    </row>
    <row r="63" spans="5:10" s="1297" customFormat="1">
      <c r="E63" s="1297" t="s">
        <v>936</v>
      </c>
      <c r="F63" s="1399"/>
      <c r="G63" s="1399"/>
      <c r="H63" s="1399"/>
      <c r="I63" s="1399">
        <v>25560.99</v>
      </c>
      <c r="J63" s="1399">
        <v>25560.99</v>
      </c>
    </row>
    <row r="64" spans="5:10" s="1297" customFormat="1">
      <c r="E64" s="1297" t="s">
        <v>937</v>
      </c>
      <c r="F64" s="1399"/>
      <c r="G64" s="1399"/>
      <c r="H64" s="1399"/>
      <c r="I64" s="1399">
        <v>4205.3</v>
      </c>
      <c r="J64" s="1399">
        <v>4205.3</v>
      </c>
    </row>
    <row r="65" spans="2:12">
      <c r="B65" s="1297"/>
      <c r="C65" s="1297"/>
      <c r="D65" s="1297"/>
      <c r="E65" s="1297" t="s">
        <v>938</v>
      </c>
      <c r="I65" s="1399">
        <v>8048</v>
      </c>
      <c r="J65" s="1399">
        <v>8048</v>
      </c>
    </row>
    <row r="66" spans="2:12">
      <c r="B66" s="1297"/>
      <c r="C66" s="1297"/>
      <c r="D66" s="1297"/>
      <c r="E66" s="1297" t="s">
        <v>939</v>
      </c>
      <c r="I66" s="1399">
        <v>8494.86</v>
      </c>
      <c r="J66" s="1399">
        <v>8494.86</v>
      </c>
    </row>
    <row r="67" spans="2:12">
      <c r="B67" s="1297"/>
      <c r="C67" s="1297"/>
      <c r="D67" s="1297"/>
      <c r="E67" s="1297" t="s">
        <v>940</v>
      </c>
      <c r="F67" s="1399">
        <v>566929.36</v>
      </c>
      <c r="J67" s="1399">
        <v>566929.36</v>
      </c>
    </row>
    <row r="68" spans="2:12">
      <c r="B68" s="1297"/>
      <c r="C68" s="1297"/>
      <c r="D68" s="1297"/>
      <c r="E68" s="1297" t="s">
        <v>941</v>
      </c>
      <c r="F68" s="1399">
        <v>281741.53999999998</v>
      </c>
      <c r="J68" s="1399">
        <v>281741.53999999998</v>
      </c>
    </row>
    <row r="69" spans="2:12">
      <c r="B69" s="1297"/>
      <c r="C69" s="1297"/>
      <c r="D69" s="1297"/>
      <c r="E69" s="1297" t="s">
        <v>942</v>
      </c>
      <c r="F69" s="1399">
        <v>10045.68</v>
      </c>
      <c r="J69" s="1399">
        <v>10045.68</v>
      </c>
    </row>
    <row r="70" spans="2:12">
      <c r="B70" s="1297"/>
      <c r="C70" s="1297"/>
      <c r="D70" s="1297"/>
      <c r="E70" s="1297" t="s">
        <v>944</v>
      </c>
      <c r="F70" s="1399">
        <v>1311014.29</v>
      </c>
      <c r="J70" s="1399">
        <v>1311014.29</v>
      </c>
    </row>
    <row r="71" spans="2:12">
      <c r="B71" s="1297"/>
      <c r="C71" s="1297"/>
      <c r="D71" s="1297"/>
      <c r="E71" s="1297" t="s">
        <v>945</v>
      </c>
      <c r="F71" s="1399">
        <v>914904.08000000007</v>
      </c>
      <c r="J71" s="1399">
        <v>914904.08000000007</v>
      </c>
    </row>
    <row r="72" spans="2:12">
      <c r="B72" s="1297"/>
      <c r="C72" s="1297"/>
      <c r="D72" s="1297"/>
      <c r="E72" s="1297" t="s">
        <v>947</v>
      </c>
      <c r="F72" s="1399">
        <v>28642.85</v>
      </c>
      <c r="J72" s="1399">
        <v>28642.85</v>
      </c>
    </row>
    <row r="73" spans="2:12">
      <c r="B73" s="1297"/>
      <c r="C73" s="1297"/>
      <c r="D73" s="1297"/>
      <c r="E73" s="1404" t="s">
        <v>948</v>
      </c>
      <c r="F73" s="1405"/>
      <c r="G73" s="1405"/>
      <c r="H73" s="1405">
        <v>1542438.0799999998</v>
      </c>
      <c r="I73" s="1405"/>
      <c r="J73" s="1405">
        <v>1542438.0799999998</v>
      </c>
    </row>
    <row r="74" spans="2:12">
      <c r="B74" s="1297"/>
      <c r="C74" s="1297"/>
      <c r="D74" s="1297"/>
      <c r="E74" s="1297" t="s">
        <v>956</v>
      </c>
      <c r="H74" s="1399">
        <v>53814.5</v>
      </c>
      <c r="J74" s="1399">
        <v>53814.5</v>
      </c>
    </row>
    <row r="75" spans="2:12" s="1400" customFormat="1">
      <c r="D75" s="1400" t="s">
        <v>957</v>
      </c>
      <c r="F75" s="1401">
        <f>SUM(F42:F74)</f>
        <v>3113277.8000000003</v>
      </c>
      <c r="G75" s="1401">
        <f>SUM(G42:G74)</f>
        <v>2563475.04</v>
      </c>
      <c r="H75" s="1401">
        <f>SUM(H42:H74)-H73</f>
        <v>547389.98</v>
      </c>
      <c r="I75" s="1401">
        <f>SUM(I42:I74)-I60</f>
        <v>10398049.110000001</v>
      </c>
      <c r="J75" s="1401">
        <f>SUM(J42:J74)</f>
        <v>18633191.509999998</v>
      </c>
      <c r="K75" s="1401">
        <f>SUM(F75:I75)</f>
        <v>16622191.930000002</v>
      </c>
      <c r="L75" s="1407">
        <f>K75/C42</f>
        <v>10279.648688930118</v>
      </c>
    </row>
    <row r="76" spans="2:12">
      <c r="B76" s="1297" t="s">
        <v>958</v>
      </c>
      <c r="C76" s="1297">
        <v>1860</v>
      </c>
      <c r="D76" s="1297" t="s">
        <v>959</v>
      </c>
      <c r="E76" s="1297" t="s">
        <v>906</v>
      </c>
      <c r="G76" s="1399">
        <v>2999863.01</v>
      </c>
      <c r="J76" s="1399">
        <v>2999863.01</v>
      </c>
    </row>
    <row r="77" spans="2:12">
      <c r="B77" s="1297"/>
      <c r="C77" s="1297"/>
      <c r="D77" s="1297"/>
      <c r="E77" s="1297" t="s">
        <v>952</v>
      </c>
      <c r="G77" s="1399">
        <v>19729.27</v>
      </c>
      <c r="J77" s="1399">
        <v>19729.27</v>
      </c>
    </row>
    <row r="78" spans="2:12">
      <c r="B78" s="1297"/>
      <c r="C78" s="1297"/>
      <c r="D78" s="1297"/>
      <c r="E78" s="1297" t="s">
        <v>907</v>
      </c>
      <c r="G78" s="1399">
        <v>1135347.58</v>
      </c>
      <c r="J78" s="1399">
        <v>1135347.58</v>
      </c>
    </row>
    <row r="79" spans="2:12">
      <c r="B79" s="1297"/>
      <c r="C79" s="1297"/>
      <c r="D79" s="1297"/>
      <c r="E79" s="1297" t="s">
        <v>908</v>
      </c>
      <c r="G79" s="1399">
        <v>3001.83</v>
      </c>
      <c r="J79" s="1399">
        <v>3001.83</v>
      </c>
    </row>
    <row r="80" spans="2:12">
      <c r="B80" s="1297"/>
      <c r="C80" s="1297"/>
      <c r="D80" s="1297"/>
      <c r="E80" s="1297" t="s">
        <v>910</v>
      </c>
      <c r="G80" s="1297"/>
      <c r="H80" s="1399">
        <v>58941.630000000005</v>
      </c>
      <c r="J80" s="1399">
        <v>58941.630000000005</v>
      </c>
    </row>
    <row r="81" spans="5:10" s="1297" customFormat="1">
      <c r="E81" s="1297" t="s">
        <v>1034</v>
      </c>
      <c r="F81" s="1399"/>
      <c r="H81" s="1399">
        <v>41932.089999999997</v>
      </c>
      <c r="I81" s="1399"/>
      <c r="J81" s="1399">
        <v>41932.089999999997</v>
      </c>
    </row>
    <row r="82" spans="5:10" s="1297" customFormat="1">
      <c r="E82" s="1297" t="s">
        <v>1035</v>
      </c>
      <c r="F82" s="1399"/>
      <c r="H82" s="1399">
        <v>214814.93000000002</v>
      </c>
      <c r="I82" s="1399"/>
      <c r="J82" s="1399">
        <v>214814.93000000002</v>
      </c>
    </row>
    <row r="83" spans="5:10" s="1297" customFormat="1">
      <c r="E83" s="1297" t="s">
        <v>1036</v>
      </c>
      <c r="F83" s="1399"/>
      <c r="H83" s="1399">
        <v>65513.55</v>
      </c>
      <c r="I83" s="1399"/>
      <c r="J83" s="1399">
        <v>65513.55</v>
      </c>
    </row>
    <row r="84" spans="5:10" s="1297" customFormat="1">
      <c r="E84" s="1297" t="s">
        <v>1039</v>
      </c>
      <c r="F84" s="1399"/>
      <c r="H84" s="1399">
        <v>25750.31</v>
      </c>
      <c r="I84" s="1399"/>
      <c r="J84" s="1399">
        <v>25750.31</v>
      </c>
    </row>
    <row r="85" spans="5:10" s="1297" customFormat="1">
      <c r="E85" s="1297" t="s">
        <v>1040</v>
      </c>
      <c r="F85" s="1399"/>
      <c r="H85" s="1399">
        <v>155141.71</v>
      </c>
      <c r="I85" s="1399"/>
      <c r="J85" s="1399">
        <v>155141.71</v>
      </c>
    </row>
    <row r="86" spans="5:10" s="1297" customFormat="1">
      <c r="E86" s="1297" t="s">
        <v>1041</v>
      </c>
      <c r="F86" s="1399"/>
      <c r="H86" s="1399">
        <v>51129</v>
      </c>
      <c r="I86" s="1399"/>
      <c r="J86" s="1399">
        <v>51129</v>
      </c>
    </row>
    <row r="87" spans="5:10" s="1297" customFormat="1">
      <c r="E87" s="1297" t="s">
        <v>1042</v>
      </c>
      <c r="F87" s="1399"/>
      <c r="H87" s="1399">
        <v>46950.59</v>
      </c>
      <c r="I87" s="1399"/>
      <c r="J87" s="1399">
        <v>46950.59</v>
      </c>
    </row>
    <row r="88" spans="5:10" s="1297" customFormat="1">
      <c r="E88" s="1297" t="s">
        <v>953</v>
      </c>
      <c r="F88" s="1399"/>
      <c r="H88" s="1399">
        <v>5396.8</v>
      </c>
      <c r="I88" s="1399"/>
      <c r="J88" s="1399">
        <v>5396.8</v>
      </c>
    </row>
    <row r="89" spans="5:10" s="1297" customFormat="1">
      <c r="E89" s="1297" t="s">
        <v>1045</v>
      </c>
      <c r="F89" s="1399"/>
      <c r="H89" s="1399">
        <v>67807.75</v>
      </c>
      <c r="I89" s="1399"/>
      <c r="J89" s="1399">
        <v>67807.75</v>
      </c>
    </row>
    <row r="90" spans="5:10" s="1297" customFormat="1">
      <c r="E90" s="1297" t="s">
        <v>1046</v>
      </c>
      <c r="F90" s="1399"/>
      <c r="G90" s="1399"/>
      <c r="H90" s="1399"/>
      <c r="I90" s="1399">
        <v>10077693</v>
      </c>
      <c r="J90" s="1399">
        <v>10077693</v>
      </c>
    </row>
    <row r="91" spans="5:10" s="1297" customFormat="1">
      <c r="E91" s="1297" t="s">
        <v>1047</v>
      </c>
      <c r="F91" s="1399"/>
      <c r="G91" s="1399"/>
      <c r="H91" s="1399"/>
      <c r="I91" s="1399">
        <v>369396</v>
      </c>
      <c r="J91" s="1399">
        <v>369396</v>
      </c>
    </row>
    <row r="92" spans="5:10" s="1297" customFormat="1">
      <c r="E92" s="1297" t="s">
        <v>1048</v>
      </c>
      <c r="F92" s="1399"/>
      <c r="G92" s="1399"/>
      <c r="H92" s="1399"/>
      <c r="I92" s="1399">
        <v>-963626</v>
      </c>
      <c r="J92" s="1399">
        <v>-963626</v>
      </c>
    </row>
    <row r="93" spans="5:10" s="1297" customFormat="1">
      <c r="E93" s="1297" t="s">
        <v>932</v>
      </c>
      <c r="F93" s="1399"/>
      <c r="G93" s="1399"/>
      <c r="H93" s="1399"/>
      <c r="I93" s="1399">
        <v>1142589</v>
      </c>
      <c r="J93" s="1399">
        <v>1142589</v>
      </c>
    </row>
    <row r="94" spans="5:10" s="1297" customFormat="1">
      <c r="E94" s="1404" t="s">
        <v>955</v>
      </c>
      <c r="F94" s="1405"/>
      <c r="G94" s="1405"/>
      <c r="H94" s="1405"/>
      <c r="I94" s="1405">
        <v>407815.47</v>
      </c>
      <c r="J94" s="1405">
        <v>407815.47</v>
      </c>
    </row>
    <row r="95" spans="5:10" s="1297" customFormat="1">
      <c r="E95" s="1297" t="s">
        <v>934</v>
      </c>
      <c r="F95" s="1399"/>
      <c r="G95" s="1399"/>
      <c r="H95" s="1399"/>
      <c r="I95" s="1399">
        <v>27112</v>
      </c>
      <c r="J95" s="1399">
        <v>27112</v>
      </c>
    </row>
    <row r="96" spans="5:10" s="1297" customFormat="1">
      <c r="E96" s="1297" t="s">
        <v>935</v>
      </c>
      <c r="F96" s="1399"/>
      <c r="G96" s="1399"/>
      <c r="H96" s="1399"/>
      <c r="I96" s="1399">
        <v>346741.36000000004</v>
      </c>
      <c r="J96" s="1399">
        <v>346741.36000000004</v>
      </c>
    </row>
    <row r="97" spans="5:10" s="1297" customFormat="1">
      <c r="E97" s="1297" t="s">
        <v>936</v>
      </c>
      <c r="F97" s="1399"/>
      <c r="G97" s="1399"/>
      <c r="H97" s="1399"/>
      <c r="I97" s="1399">
        <v>28712.34</v>
      </c>
      <c r="J97" s="1399">
        <v>28712.34</v>
      </c>
    </row>
    <row r="98" spans="5:10" s="1297" customFormat="1">
      <c r="E98" s="1297" t="s">
        <v>937</v>
      </c>
      <c r="F98" s="1399"/>
      <c r="G98" s="1399"/>
      <c r="H98" s="1399"/>
      <c r="I98" s="1399">
        <v>2230.54</v>
      </c>
      <c r="J98" s="1399">
        <v>2230.54</v>
      </c>
    </row>
    <row r="99" spans="5:10" s="1297" customFormat="1">
      <c r="E99" s="1297" t="s">
        <v>938</v>
      </c>
      <c r="F99" s="1399"/>
      <c r="G99" s="1399"/>
      <c r="H99" s="1399"/>
      <c r="I99" s="1399">
        <v>10855</v>
      </c>
      <c r="J99" s="1399">
        <v>10855</v>
      </c>
    </row>
    <row r="100" spans="5:10" s="1297" customFormat="1">
      <c r="E100" s="1297" t="s">
        <v>939</v>
      </c>
      <c r="F100" s="1399"/>
      <c r="G100" s="1399"/>
      <c r="H100" s="1399"/>
      <c r="I100" s="1399">
        <v>44252.32</v>
      </c>
      <c r="J100" s="1399">
        <v>44252.32</v>
      </c>
    </row>
    <row r="101" spans="5:10" s="1297" customFormat="1">
      <c r="E101" s="1297" t="s">
        <v>940</v>
      </c>
      <c r="F101" s="1399">
        <v>495998.38</v>
      </c>
      <c r="G101" s="1399"/>
      <c r="H101" s="1399"/>
      <c r="I101" s="1399"/>
      <c r="J101" s="1399">
        <v>495998.38</v>
      </c>
    </row>
    <row r="102" spans="5:10" s="1297" customFormat="1">
      <c r="E102" s="1297" t="s">
        <v>941</v>
      </c>
      <c r="F102" s="1399">
        <v>154941.85999999999</v>
      </c>
      <c r="G102" s="1399"/>
      <c r="H102" s="1399"/>
      <c r="I102" s="1399"/>
      <c r="J102" s="1399">
        <v>154941.85999999999</v>
      </c>
    </row>
    <row r="103" spans="5:10" s="1297" customFormat="1">
      <c r="E103" s="1297" t="s">
        <v>943</v>
      </c>
      <c r="F103" s="1399">
        <v>683.02</v>
      </c>
      <c r="G103" s="1399"/>
      <c r="H103" s="1399"/>
      <c r="I103" s="1399"/>
      <c r="J103" s="1399">
        <v>683.02</v>
      </c>
    </row>
    <row r="104" spans="5:10" s="1297" customFormat="1">
      <c r="E104" s="1297" t="s">
        <v>944</v>
      </c>
      <c r="F104" s="1399">
        <v>1375864.61</v>
      </c>
      <c r="G104" s="1399"/>
      <c r="H104" s="1399"/>
      <c r="I104" s="1399"/>
      <c r="J104" s="1399">
        <v>1375864.61</v>
      </c>
    </row>
    <row r="105" spans="5:10" s="1297" customFormat="1">
      <c r="E105" s="1297" t="s">
        <v>945</v>
      </c>
      <c r="F105" s="1399">
        <v>733188.51</v>
      </c>
      <c r="G105" s="1399"/>
      <c r="H105" s="1399"/>
      <c r="I105" s="1399"/>
      <c r="J105" s="1399">
        <v>733188.51</v>
      </c>
    </row>
    <row r="106" spans="5:10" s="1297" customFormat="1">
      <c r="E106" s="1297" t="s">
        <v>946</v>
      </c>
      <c r="F106" s="1399">
        <v>32964.58</v>
      </c>
      <c r="G106" s="1399"/>
      <c r="H106" s="1399"/>
      <c r="I106" s="1399"/>
      <c r="J106" s="1399">
        <v>32964.58</v>
      </c>
    </row>
    <row r="107" spans="5:10" s="1297" customFormat="1">
      <c r="E107" s="1297" t="s">
        <v>947</v>
      </c>
      <c r="F107" s="1399">
        <v>35771.58</v>
      </c>
      <c r="G107" s="1399"/>
      <c r="H107" s="1399"/>
      <c r="I107" s="1399"/>
      <c r="J107" s="1399">
        <v>35771.58</v>
      </c>
    </row>
    <row r="108" spans="5:10" s="1297" customFormat="1">
      <c r="E108" s="1297" t="s">
        <v>1115</v>
      </c>
      <c r="F108" s="1399">
        <v>608.28</v>
      </c>
      <c r="G108" s="1399"/>
      <c r="H108" s="1399"/>
      <c r="I108" s="1399"/>
      <c r="J108" s="1399">
        <v>608.28</v>
      </c>
    </row>
    <row r="109" spans="5:10" s="1297" customFormat="1">
      <c r="E109" s="1404" t="s">
        <v>1116</v>
      </c>
      <c r="F109" s="1405"/>
      <c r="G109" s="1405"/>
      <c r="H109" s="1405">
        <v>16600000</v>
      </c>
      <c r="I109" s="1405"/>
      <c r="J109" s="1405">
        <v>16600000</v>
      </c>
    </row>
    <row r="110" spans="5:10" s="1297" customFormat="1">
      <c r="E110" s="1404" t="s">
        <v>1117</v>
      </c>
      <c r="F110" s="1405"/>
      <c r="G110" s="1405"/>
      <c r="H110" s="1405">
        <v>104079.9</v>
      </c>
      <c r="I110" s="1405"/>
      <c r="J110" s="1405">
        <v>104079.9</v>
      </c>
    </row>
    <row r="111" spans="5:10" s="1297" customFormat="1">
      <c r="E111" s="1404" t="s">
        <v>948</v>
      </c>
      <c r="F111" s="1405"/>
      <c r="G111" s="1405"/>
      <c r="H111" s="1405">
        <v>501947.70999999996</v>
      </c>
      <c r="I111" s="1405"/>
      <c r="J111" s="1405">
        <v>501947.70999999996</v>
      </c>
    </row>
    <row r="112" spans="5:10" s="1297" customFormat="1">
      <c r="E112" s="1297" t="s">
        <v>1118</v>
      </c>
      <c r="F112" s="1399"/>
      <c r="G112" s="1399"/>
      <c r="H112" s="1399">
        <v>147944.79999999999</v>
      </c>
      <c r="I112" s="1399"/>
      <c r="J112" s="1399">
        <v>147944.79999999999</v>
      </c>
    </row>
    <row r="113" spans="2:12">
      <c r="B113" s="1297"/>
      <c r="C113" s="1297"/>
      <c r="D113" s="1400" t="s">
        <v>1119</v>
      </c>
      <c r="E113" s="1400"/>
      <c r="F113" s="1401">
        <v>2830020.82</v>
      </c>
      <c r="G113" s="1401">
        <f>SUM(G76:G112)</f>
        <v>4157941.69</v>
      </c>
      <c r="H113" s="1401">
        <f>SUM(H76:H112)-(H109+H110+H111)</f>
        <v>881323.16000000015</v>
      </c>
      <c r="I113" s="1401">
        <f>SUM(I76:I112)-I94</f>
        <v>11085955.559999999</v>
      </c>
      <c r="J113" s="1401">
        <f>SUM(J76:J112)</f>
        <v>36569084.309999987</v>
      </c>
      <c r="K113" s="1401">
        <f>SUM(F113:I113)</f>
        <v>18955241.229999997</v>
      </c>
      <c r="L113" s="1408">
        <f>K113/C76</f>
        <v>10190.989908602149</v>
      </c>
    </row>
    <row r="114" spans="2:12">
      <c r="B114" s="1297" t="s">
        <v>1120</v>
      </c>
      <c r="C114" s="1297">
        <v>327</v>
      </c>
      <c r="D114" s="1297" t="s">
        <v>1121</v>
      </c>
      <c r="E114" s="1297" t="s">
        <v>906</v>
      </c>
      <c r="G114" s="1399">
        <v>2168911.9500000002</v>
      </c>
      <c r="J114" s="1399">
        <v>2168911.9500000002</v>
      </c>
    </row>
    <row r="115" spans="2:12">
      <c r="B115" s="1297"/>
      <c r="C115" s="1297"/>
      <c r="D115" s="1297"/>
      <c r="E115" s="1297" t="s">
        <v>952</v>
      </c>
      <c r="G115" s="1399">
        <v>491.76</v>
      </c>
      <c r="J115" s="1399">
        <v>491.76</v>
      </c>
    </row>
    <row r="116" spans="2:12">
      <c r="B116" s="1297"/>
      <c r="C116" s="1297"/>
      <c r="D116" s="1297"/>
      <c r="E116" s="1297" t="s">
        <v>907</v>
      </c>
      <c r="G116" s="1399">
        <v>281369.73</v>
      </c>
      <c r="J116" s="1399">
        <v>281369.73</v>
      </c>
    </row>
    <row r="117" spans="2:12">
      <c r="B117" s="1297"/>
      <c r="C117" s="1297"/>
      <c r="D117" s="1297"/>
      <c r="E117" s="1297" t="s">
        <v>908</v>
      </c>
      <c r="G117" s="1399">
        <v>1697.72</v>
      </c>
      <c r="J117" s="1399">
        <v>1697.72</v>
      </c>
    </row>
    <row r="118" spans="2:12">
      <c r="B118" s="1297"/>
      <c r="C118" s="1297"/>
      <c r="D118" s="1297"/>
      <c r="E118" s="1297" t="s">
        <v>1122</v>
      </c>
      <c r="G118" s="1399">
        <v>0</v>
      </c>
      <c r="J118" s="1399">
        <v>0</v>
      </c>
    </row>
    <row r="119" spans="2:12">
      <c r="B119" s="1297"/>
      <c r="C119" s="1297"/>
      <c r="D119" s="1297"/>
      <c r="E119" s="1297" t="s">
        <v>1035</v>
      </c>
      <c r="H119" s="1399">
        <v>57540.560000000005</v>
      </c>
      <c r="J119" s="1399">
        <v>57540.560000000005</v>
      </c>
    </row>
    <row r="120" spans="2:12">
      <c r="B120" s="1297"/>
      <c r="C120" s="1297"/>
      <c r="D120" s="1297"/>
      <c r="E120" s="1297" t="s">
        <v>1039</v>
      </c>
      <c r="H120" s="1399">
        <v>251.68</v>
      </c>
      <c r="J120" s="1399">
        <v>251.68</v>
      </c>
    </row>
    <row r="121" spans="2:12">
      <c r="B121" s="1297"/>
      <c r="C121" s="1297"/>
      <c r="D121" s="1297"/>
      <c r="E121" s="1297" t="s">
        <v>1041</v>
      </c>
      <c r="H121" s="1399">
        <v>6119.9</v>
      </c>
      <c r="J121" s="1399">
        <v>6119.9</v>
      </c>
    </row>
    <row r="122" spans="2:12">
      <c r="B122" s="1297"/>
      <c r="C122" s="1297"/>
      <c r="D122" s="1297"/>
      <c r="E122" s="1297" t="s">
        <v>1045</v>
      </c>
      <c r="H122" s="1399">
        <v>58714.079999999994</v>
      </c>
      <c r="J122" s="1399">
        <v>58714.079999999994</v>
      </c>
    </row>
    <row r="123" spans="2:12">
      <c r="B123" s="1297"/>
      <c r="C123" s="1297"/>
      <c r="D123" s="1297"/>
      <c r="E123" s="1297" t="s">
        <v>1046</v>
      </c>
      <c r="I123" s="1399">
        <v>2107781</v>
      </c>
      <c r="J123" s="1399">
        <v>2107781</v>
      </c>
    </row>
    <row r="124" spans="2:12">
      <c r="B124" s="1297"/>
      <c r="C124" s="1297"/>
      <c r="D124" s="1297"/>
      <c r="E124" s="1297" t="s">
        <v>1047</v>
      </c>
      <c r="I124" s="1399">
        <v>266218</v>
      </c>
      <c r="J124" s="1399">
        <v>266218</v>
      </c>
    </row>
    <row r="125" spans="2:12">
      <c r="B125" s="1297"/>
      <c r="C125" s="1297"/>
      <c r="D125" s="1297"/>
      <c r="E125" s="1297" t="s">
        <v>1048</v>
      </c>
      <c r="I125" s="1399">
        <v>-635818</v>
      </c>
      <c r="J125" s="1399">
        <v>-635818</v>
      </c>
    </row>
    <row r="126" spans="2:12">
      <c r="B126" s="1297"/>
      <c r="C126" s="1297"/>
      <c r="D126" s="1297"/>
      <c r="E126" s="1297" t="s">
        <v>933</v>
      </c>
      <c r="I126" s="1399">
        <v>89836.85</v>
      </c>
      <c r="J126" s="1399">
        <v>89836.85</v>
      </c>
    </row>
    <row r="127" spans="2:12">
      <c r="B127" s="1297"/>
      <c r="C127" s="1297"/>
      <c r="D127" s="1297"/>
      <c r="E127" s="1297" t="s">
        <v>934</v>
      </c>
      <c r="I127" s="1399">
        <v>8762</v>
      </c>
      <c r="J127" s="1399">
        <v>8762</v>
      </c>
    </row>
    <row r="128" spans="2:12">
      <c r="B128" s="1297"/>
      <c r="C128" s="1297"/>
      <c r="D128" s="1297"/>
      <c r="E128" s="1297" t="s">
        <v>935</v>
      </c>
      <c r="I128" s="1399">
        <v>128416.31000000001</v>
      </c>
      <c r="J128" s="1399">
        <v>128416.31000000001</v>
      </c>
    </row>
    <row r="129" spans="2:12">
      <c r="B129" s="1297"/>
      <c r="C129" s="1297"/>
      <c r="D129" s="1297"/>
      <c r="E129" s="1297" t="s">
        <v>936</v>
      </c>
      <c r="I129" s="1399">
        <v>5602.41</v>
      </c>
      <c r="J129" s="1399">
        <v>5602.41</v>
      </c>
    </row>
    <row r="130" spans="2:12">
      <c r="B130" s="1297"/>
      <c r="C130" s="1297"/>
      <c r="D130" s="1297"/>
      <c r="E130" s="1297" t="s">
        <v>938</v>
      </c>
      <c r="I130" s="1399">
        <v>3930</v>
      </c>
      <c r="J130" s="1399">
        <v>3930</v>
      </c>
    </row>
    <row r="131" spans="2:12">
      <c r="B131" s="1297"/>
      <c r="C131" s="1297"/>
      <c r="D131" s="1297"/>
      <c r="E131" s="1297" t="s">
        <v>939</v>
      </c>
      <c r="I131" s="1399">
        <v>16856</v>
      </c>
      <c r="J131" s="1399">
        <v>16856</v>
      </c>
    </row>
    <row r="132" spans="2:12">
      <c r="B132" s="1297"/>
      <c r="C132" s="1297"/>
      <c r="D132" s="1297"/>
      <c r="E132" s="1297" t="s">
        <v>940</v>
      </c>
      <c r="F132" s="1399">
        <v>130198.8</v>
      </c>
      <c r="J132" s="1399">
        <v>130198.8</v>
      </c>
    </row>
    <row r="133" spans="2:12">
      <c r="B133" s="1297"/>
      <c r="C133" s="1297"/>
      <c r="D133" s="1297"/>
      <c r="E133" s="1297" t="s">
        <v>941</v>
      </c>
      <c r="F133" s="1399">
        <v>67276.600000000006</v>
      </c>
      <c r="J133" s="1399">
        <v>67276.600000000006</v>
      </c>
    </row>
    <row r="134" spans="2:12">
      <c r="B134" s="1297"/>
      <c r="C134" s="1297"/>
      <c r="D134" s="1297"/>
      <c r="E134" s="1297" t="s">
        <v>944</v>
      </c>
      <c r="F134" s="1399">
        <v>567204.80000000005</v>
      </c>
      <c r="J134" s="1399">
        <v>567204.80000000005</v>
      </c>
    </row>
    <row r="135" spans="2:12">
      <c r="B135" s="1297"/>
      <c r="C135" s="1297"/>
      <c r="D135" s="1297"/>
      <c r="E135" s="1297" t="s">
        <v>945</v>
      </c>
      <c r="F135" s="1399">
        <v>114824.69</v>
      </c>
      <c r="J135" s="1399">
        <v>114824.69</v>
      </c>
    </row>
    <row r="136" spans="2:12">
      <c r="B136" s="1297"/>
      <c r="C136" s="1297"/>
      <c r="D136" s="1297"/>
      <c r="E136" s="1297" t="s">
        <v>947</v>
      </c>
      <c r="F136" s="1399">
        <v>851.52</v>
      </c>
      <c r="J136" s="1399">
        <v>851.52</v>
      </c>
    </row>
    <row r="137" spans="2:12">
      <c r="B137" s="1297"/>
      <c r="C137" s="1297"/>
      <c r="D137" s="1297"/>
      <c r="E137" s="1404" t="s">
        <v>948</v>
      </c>
      <c r="F137" s="1405"/>
      <c r="G137" s="1405"/>
      <c r="H137" s="1405">
        <v>514427.17000000004</v>
      </c>
      <c r="I137" s="1405"/>
      <c r="J137" s="1405">
        <v>514427.17000000004</v>
      </c>
    </row>
    <row r="138" spans="2:12">
      <c r="B138" s="1297"/>
      <c r="C138" s="1297"/>
      <c r="D138" s="1400" t="s">
        <v>1123</v>
      </c>
      <c r="E138" s="1400"/>
      <c r="F138" s="1401">
        <f>SUM(F114:F137)</f>
        <v>880356.41000000015</v>
      </c>
      <c r="G138" s="1401">
        <f>SUM(G114:G137)</f>
        <v>2452471.16</v>
      </c>
      <c r="H138" s="1401">
        <f>SUM(H114:H137)-H137</f>
        <v>122626.21999999997</v>
      </c>
      <c r="I138" s="1401">
        <f>SUM(I114:I137)</f>
        <v>1991584.57</v>
      </c>
      <c r="J138" s="1401">
        <f>SUM(J114:J137)</f>
        <v>5961465.5299999993</v>
      </c>
      <c r="K138" s="1401">
        <f>SUM(F138:I138)</f>
        <v>5447038.3600000003</v>
      </c>
      <c r="L138" s="1408">
        <f>K138/C114</f>
        <v>16657.609663608564</v>
      </c>
    </row>
    <row r="139" spans="2:12">
      <c r="B139" s="1297" t="s">
        <v>1124</v>
      </c>
      <c r="C139" s="1297">
        <v>5428</v>
      </c>
      <c r="D139" s="1297" t="s">
        <v>1125</v>
      </c>
      <c r="E139" s="1297" t="s">
        <v>906</v>
      </c>
      <c r="G139" s="1399">
        <v>16305752.029999999</v>
      </c>
      <c r="J139" s="1399">
        <v>16305752.029999999</v>
      </c>
    </row>
    <row r="140" spans="2:12">
      <c r="B140" s="1297"/>
      <c r="C140" s="1297"/>
      <c r="D140" s="1297"/>
      <c r="E140" s="1297" t="s">
        <v>1126</v>
      </c>
      <c r="G140" s="1399">
        <v>566338.98</v>
      </c>
      <c r="J140" s="1399">
        <v>566338.98</v>
      </c>
    </row>
    <row r="141" spans="2:12">
      <c r="B141" s="1297"/>
      <c r="C141" s="1297"/>
      <c r="D141" s="1297"/>
      <c r="E141" s="1297" t="s">
        <v>952</v>
      </c>
      <c r="G141" s="1399">
        <v>175843.42</v>
      </c>
      <c r="J141" s="1399">
        <v>175843.42</v>
      </c>
    </row>
    <row r="142" spans="2:12">
      <c r="B142" s="1297"/>
      <c r="C142" s="1297"/>
      <c r="D142" s="1297"/>
      <c r="E142" s="1297" t="s">
        <v>907</v>
      </c>
      <c r="G142" s="1399">
        <v>5816712.5700000003</v>
      </c>
      <c r="J142" s="1399">
        <v>5816712.5700000003</v>
      </c>
    </row>
    <row r="143" spans="2:12">
      <c r="B143" s="1297"/>
      <c r="C143" s="1297"/>
      <c r="D143" s="1297"/>
      <c r="E143" s="1297" t="s">
        <v>908</v>
      </c>
      <c r="G143" s="1399">
        <v>20118.79</v>
      </c>
      <c r="J143" s="1399">
        <v>20118.79</v>
      </c>
    </row>
    <row r="144" spans="2:12">
      <c r="B144" s="1297"/>
      <c r="C144" s="1297"/>
      <c r="D144" s="1297"/>
      <c r="E144" s="1297" t="s">
        <v>909</v>
      </c>
      <c r="G144" s="1297"/>
      <c r="H144" s="1399">
        <v>72755.05</v>
      </c>
      <c r="J144" s="1399">
        <v>72755.05</v>
      </c>
    </row>
    <row r="145" spans="5:10" s="1297" customFormat="1">
      <c r="E145" s="1297" t="s">
        <v>910</v>
      </c>
      <c r="F145" s="1399"/>
      <c r="H145" s="1399">
        <v>20988.53</v>
      </c>
      <c r="I145" s="1399"/>
      <c r="J145" s="1399">
        <v>20988.53</v>
      </c>
    </row>
    <row r="146" spans="5:10" s="1297" customFormat="1">
      <c r="E146" s="1297" t="s">
        <v>1034</v>
      </c>
      <c r="F146" s="1399"/>
      <c r="H146" s="1399">
        <v>23011.48</v>
      </c>
      <c r="I146" s="1399"/>
      <c r="J146" s="1399">
        <v>23011.48</v>
      </c>
    </row>
    <row r="147" spans="5:10" s="1297" customFormat="1">
      <c r="E147" s="1297" t="s">
        <v>1035</v>
      </c>
      <c r="F147" s="1399"/>
      <c r="H147" s="1399">
        <v>407783.87</v>
      </c>
      <c r="I147" s="1399"/>
      <c r="J147" s="1399">
        <v>407783.87</v>
      </c>
    </row>
    <row r="148" spans="5:10" s="1297" customFormat="1">
      <c r="E148" s="1297" t="s">
        <v>1036</v>
      </c>
      <c r="F148" s="1399"/>
      <c r="H148" s="1399">
        <v>104413.37</v>
      </c>
      <c r="I148" s="1399"/>
      <c r="J148" s="1399">
        <v>104413.37</v>
      </c>
    </row>
    <row r="149" spans="5:10" s="1297" customFormat="1">
      <c r="E149" s="1297" t="s">
        <v>1037</v>
      </c>
      <c r="F149" s="1399"/>
      <c r="H149" s="1399">
        <v>11373.74</v>
      </c>
      <c r="I149" s="1399"/>
      <c r="J149" s="1399">
        <v>11373.74</v>
      </c>
    </row>
    <row r="150" spans="5:10" s="1297" customFormat="1">
      <c r="E150" s="1297" t="s">
        <v>1039</v>
      </c>
      <c r="F150" s="1399"/>
      <c r="H150" s="1399">
        <v>79251.140000000014</v>
      </c>
      <c r="I150" s="1399"/>
      <c r="J150" s="1399">
        <v>79251.140000000014</v>
      </c>
    </row>
    <row r="151" spans="5:10" s="1297" customFormat="1">
      <c r="E151" s="1297" t="s">
        <v>1040</v>
      </c>
      <c r="F151" s="1399"/>
      <c r="H151" s="1399">
        <v>266536.25</v>
      </c>
      <c r="I151" s="1399"/>
      <c r="J151" s="1399">
        <v>266536.25</v>
      </c>
    </row>
    <row r="152" spans="5:10" s="1297" customFormat="1">
      <c r="E152" s="1297" t="s">
        <v>1127</v>
      </c>
      <c r="F152" s="1399"/>
      <c r="H152" s="1399">
        <v>10694.39</v>
      </c>
      <c r="I152" s="1399"/>
      <c r="J152" s="1399">
        <v>10694.39</v>
      </c>
    </row>
    <row r="153" spans="5:10" s="1297" customFormat="1">
      <c r="E153" s="1297" t="s">
        <v>1041</v>
      </c>
      <c r="F153" s="1399"/>
      <c r="H153" s="1399">
        <v>68579.009999999995</v>
      </c>
      <c r="I153" s="1399"/>
      <c r="J153" s="1399">
        <v>68579.009999999995</v>
      </c>
    </row>
    <row r="154" spans="5:10" s="1297" customFormat="1">
      <c r="E154" s="1297" t="s">
        <v>1042</v>
      </c>
      <c r="F154" s="1399"/>
      <c r="H154" s="1399">
        <v>85881.61</v>
      </c>
      <c r="I154" s="1399"/>
      <c r="J154" s="1399">
        <v>85881.61</v>
      </c>
    </row>
    <row r="155" spans="5:10" s="1297" customFormat="1">
      <c r="E155" s="1297" t="s">
        <v>1044</v>
      </c>
      <c r="F155" s="1399"/>
      <c r="G155" s="1399">
        <v>30225.4</v>
      </c>
      <c r="H155" s="1399"/>
      <c r="I155" s="1399"/>
      <c r="J155" s="1399">
        <v>30225.4</v>
      </c>
    </row>
    <row r="156" spans="5:10" s="1297" customFormat="1">
      <c r="E156" s="1297" t="s">
        <v>1045</v>
      </c>
      <c r="F156" s="1399"/>
      <c r="H156" s="1399">
        <v>696116.64</v>
      </c>
      <c r="I156" s="1399"/>
      <c r="J156" s="1399">
        <v>696116.64</v>
      </c>
    </row>
    <row r="157" spans="5:10" s="1297" customFormat="1">
      <c r="E157" s="1297" t="s">
        <v>1046</v>
      </c>
      <c r="F157" s="1399"/>
      <c r="G157" s="1399"/>
      <c r="H157" s="1399"/>
      <c r="I157" s="1399">
        <v>29655306</v>
      </c>
      <c r="J157" s="1399">
        <v>29655306</v>
      </c>
    </row>
    <row r="158" spans="5:10" s="1297" customFormat="1">
      <c r="E158" s="1297" t="s">
        <v>1128</v>
      </c>
      <c r="F158" s="1399"/>
      <c r="G158" s="1399"/>
      <c r="H158" s="1399"/>
      <c r="I158" s="1399">
        <v>1687393</v>
      </c>
      <c r="J158" s="1399">
        <v>1687393</v>
      </c>
    </row>
    <row r="159" spans="5:10" s="1297" customFormat="1">
      <c r="E159" s="1297" t="s">
        <v>1129</v>
      </c>
      <c r="F159" s="1399"/>
      <c r="G159" s="1399"/>
      <c r="H159" s="1399"/>
      <c r="I159" s="1399">
        <v>-3975627</v>
      </c>
      <c r="J159" s="1399">
        <v>-3975627</v>
      </c>
    </row>
    <row r="160" spans="5:10" s="1297" customFormat="1">
      <c r="E160" s="1297" t="s">
        <v>1047</v>
      </c>
      <c r="F160" s="1399"/>
      <c r="G160" s="1399"/>
      <c r="H160" s="1399"/>
      <c r="I160" s="1399">
        <v>909501</v>
      </c>
      <c r="J160" s="1399">
        <v>909501</v>
      </c>
    </row>
    <row r="161" spans="5:10" s="1297" customFormat="1">
      <c r="E161" s="1297" t="s">
        <v>1048</v>
      </c>
      <c r="F161" s="1399"/>
      <c r="G161" s="1399"/>
      <c r="H161" s="1399"/>
      <c r="I161" s="1399">
        <v>-5280449</v>
      </c>
      <c r="J161" s="1399">
        <v>-5280449</v>
      </c>
    </row>
    <row r="162" spans="5:10" s="1297" customFormat="1">
      <c r="E162" s="1297" t="s">
        <v>932</v>
      </c>
      <c r="F162" s="1399"/>
      <c r="G162" s="1399"/>
      <c r="H162" s="1399"/>
      <c r="I162" s="1399">
        <v>845574</v>
      </c>
      <c r="J162" s="1399">
        <v>845574</v>
      </c>
    </row>
    <row r="163" spans="5:10" s="1297" customFormat="1">
      <c r="E163" s="1404" t="s">
        <v>955</v>
      </c>
      <c r="F163" s="1405"/>
      <c r="G163" s="1405"/>
      <c r="H163" s="1405"/>
      <c r="I163" s="1405">
        <v>651235.55000000005</v>
      </c>
      <c r="J163" s="1405">
        <v>651235.55000000005</v>
      </c>
    </row>
    <row r="164" spans="5:10" s="1297" customFormat="1">
      <c r="E164" s="1297" t="s">
        <v>934</v>
      </c>
      <c r="F164" s="1399"/>
      <c r="G164" s="1399"/>
      <c r="H164" s="1399"/>
      <c r="I164" s="1399">
        <v>91298</v>
      </c>
      <c r="J164" s="1399">
        <v>91298</v>
      </c>
    </row>
    <row r="165" spans="5:10" s="1297" customFormat="1">
      <c r="E165" s="1297" t="s">
        <v>1130</v>
      </c>
      <c r="F165" s="1399"/>
      <c r="G165" s="1399"/>
      <c r="H165" s="1399"/>
      <c r="I165" s="1399">
        <v>2162142.9</v>
      </c>
      <c r="J165" s="1399">
        <v>2162142.9</v>
      </c>
    </row>
    <row r="166" spans="5:10" s="1297" customFormat="1">
      <c r="E166" s="1297" t="s">
        <v>935</v>
      </c>
      <c r="F166" s="1399"/>
      <c r="G166" s="1399"/>
      <c r="H166" s="1399"/>
      <c r="I166" s="1399">
        <v>499795.94</v>
      </c>
      <c r="J166" s="1399">
        <v>499795.94</v>
      </c>
    </row>
    <row r="167" spans="5:10" s="1297" customFormat="1">
      <c r="E167" s="1297" t="s">
        <v>936</v>
      </c>
      <c r="F167" s="1399"/>
      <c r="G167" s="1399"/>
      <c r="H167" s="1399"/>
      <c r="I167" s="1399">
        <v>85436.73</v>
      </c>
      <c r="J167" s="1399">
        <v>85436.73</v>
      </c>
    </row>
    <row r="168" spans="5:10" s="1297" customFormat="1">
      <c r="E168" s="1297" t="s">
        <v>937</v>
      </c>
      <c r="F168" s="1399"/>
      <c r="G168" s="1399"/>
      <c r="H168" s="1399"/>
      <c r="I168" s="1399">
        <v>14741.36</v>
      </c>
      <c r="J168" s="1399">
        <v>14741.36</v>
      </c>
    </row>
    <row r="169" spans="5:10" s="1297" customFormat="1">
      <c r="E169" s="1297" t="s">
        <v>938</v>
      </c>
      <c r="F169" s="1399"/>
      <c r="G169" s="1399"/>
      <c r="H169" s="1399"/>
      <c r="I169" s="1399">
        <v>27887</v>
      </c>
      <c r="J169" s="1399">
        <v>27887</v>
      </c>
    </row>
    <row r="170" spans="5:10" s="1297" customFormat="1">
      <c r="E170" s="1297" t="s">
        <v>939</v>
      </c>
      <c r="F170" s="1399"/>
      <c r="G170" s="1399"/>
      <c r="H170" s="1399"/>
      <c r="I170" s="1399">
        <v>208819.97</v>
      </c>
      <c r="J170" s="1399">
        <v>208819.97</v>
      </c>
    </row>
    <row r="171" spans="5:10" s="1297" customFormat="1">
      <c r="E171" s="1297" t="s">
        <v>1131</v>
      </c>
      <c r="F171" s="1399">
        <v>1544471.18</v>
      </c>
      <c r="G171" s="1399"/>
      <c r="H171" s="1399"/>
      <c r="I171" s="1399"/>
      <c r="J171" s="1399">
        <v>1544471.18</v>
      </c>
    </row>
    <row r="172" spans="5:10" s="1297" customFormat="1">
      <c r="E172" s="1297" t="s">
        <v>940</v>
      </c>
      <c r="F172" s="1399">
        <v>1829411.81</v>
      </c>
      <c r="G172" s="1399"/>
      <c r="H172" s="1399"/>
      <c r="I172" s="1399"/>
      <c r="J172" s="1399">
        <v>1829411.81</v>
      </c>
    </row>
    <row r="173" spans="5:10" s="1297" customFormat="1">
      <c r="E173" s="1297" t="s">
        <v>941</v>
      </c>
      <c r="F173" s="1399">
        <v>645802.64</v>
      </c>
      <c r="G173" s="1399"/>
      <c r="H173" s="1399"/>
      <c r="I173" s="1399"/>
      <c r="J173" s="1399">
        <v>645802.64</v>
      </c>
    </row>
    <row r="174" spans="5:10" s="1297" customFormat="1">
      <c r="E174" s="1297" t="s">
        <v>943</v>
      </c>
      <c r="F174" s="1399">
        <v>79429.38</v>
      </c>
      <c r="G174" s="1399"/>
      <c r="H174" s="1399"/>
      <c r="I174" s="1399"/>
      <c r="J174" s="1399">
        <v>79429.38</v>
      </c>
    </row>
    <row r="175" spans="5:10" s="1297" customFormat="1">
      <c r="E175" s="1297" t="s">
        <v>944</v>
      </c>
      <c r="F175" s="1399">
        <v>4769656.8099999996</v>
      </c>
      <c r="G175" s="1399"/>
      <c r="H175" s="1399"/>
      <c r="I175" s="1399"/>
      <c r="J175" s="1399">
        <v>4769656.8099999996</v>
      </c>
    </row>
    <row r="176" spans="5:10" s="1297" customFormat="1">
      <c r="E176" s="1297" t="s">
        <v>945</v>
      </c>
      <c r="F176" s="1399">
        <v>2565760.3600000003</v>
      </c>
      <c r="G176" s="1399"/>
      <c r="H176" s="1399"/>
      <c r="I176" s="1399"/>
      <c r="J176" s="1399">
        <v>2565760.3600000003</v>
      </c>
    </row>
    <row r="177" spans="2:12">
      <c r="B177" s="1297"/>
      <c r="C177" s="1297"/>
      <c r="D177" s="1297"/>
      <c r="E177" s="1297" t="s">
        <v>946</v>
      </c>
      <c r="F177" s="1399">
        <v>36667.71</v>
      </c>
      <c r="J177" s="1399">
        <v>36667.71</v>
      </c>
    </row>
    <row r="178" spans="2:12">
      <c r="B178" s="1297"/>
      <c r="C178" s="1297"/>
      <c r="D178" s="1297"/>
      <c r="E178" s="1297" t="s">
        <v>978</v>
      </c>
      <c r="F178" s="1399">
        <v>39886.57</v>
      </c>
      <c r="J178" s="1399">
        <v>39886.57</v>
      </c>
    </row>
    <row r="179" spans="2:12">
      <c r="B179" s="1297"/>
      <c r="C179" s="1297"/>
      <c r="D179" s="1297"/>
      <c r="E179" s="1297" t="s">
        <v>947</v>
      </c>
      <c r="F179" s="1399">
        <v>133753.35</v>
      </c>
      <c r="J179" s="1399">
        <v>133753.35</v>
      </c>
    </row>
    <row r="180" spans="2:12">
      <c r="B180" s="1297"/>
      <c r="C180" s="1297"/>
      <c r="D180" s="1297"/>
      <c r="E180" s="1404" t="s">
        <v>948</v>
      </c>
      <c r="F180" s="1405"/>
      <c r="G180" s="1405"/>
      <c r="H180" s="1405">
        <v>4925000</v>
      </c>
      <c r="I180" s="1405"/>
      <c r="J180" s="1405">
        <v>4925000</v>
      </c>
    </row>
    <row r="181" spans="2:12">
      <c r="B181" s="1297"/>
      <c r="C181" s="1297"/>
      <c r="D181" s="1297"/>
      <c r="E181" s="1297" t="s">
        <v>1118</v>
      </c>
      <c r="H181" s="1399">
        <v>7365</v>
      </c>
      <c r="J181" s="1399">
        <v>7365</v>
      </c>
    </row>
    <row r="182" spans="2:12">
      <c r="B182" s="1297"/>
      <c r="C182" s="1297"/>
      <c r="D182" s="1400" t="s">
        <v>979</v>
      </c>
      <c r="E182" s="1400"/>
      <c r="F182" s="1401">
        <f>SUM(F139:F181)</f>
        <v>11644839.810000001</v>
      </c>
      <c r="G182" s="1401">
        <f>SUM(G139:G181)</f>
        <v>22914991.189999998</v>
      </c>
      <c r="H182" s="1401">
        <f>SUM(H139:H181)-H180</f>
        <v>1854750.08</v>
      </c>
      <c r="I182" s="1401">
        <f>SUM(I139:I181)-I163</f>
        <v>26931819.899999999</v>
      </c>
      <c r="J182" s="1401">
        <f>SUM(J139:J181)</f>
        <v>68922636.530000001</v>
      </c>
      <c r="K182" s="1401">
        <f>SUM(F182:I182)</f>
        <v>63346400.979999997</v>
      </c>
      <c r="L182" s="1408">
        <f>K182/C139</f>
        <v>11670.302317612379</v>
      </c>
    </row>
    <row r="183" spans="2:12">
      <c r="B183" s="1297" t="s">
        <v>980</v>
      </c>
      <c r="C183" s="1297">
        <v>2862</v>
      </c>
      <c r="D183" s="1297" t="s">
        <v>981</v>
      </c>
      <c r="E183" s="1297" t="s">
        <v>906</v>
      </c>
      <c r="G183" s="1399">
        <v>7433526.8499999996</v>
      </c>
      <c r="J183" s="1399">
        <v>7433526.8499999996</v>
      </c>
    </row>
    <row r="184" spans="2:12">
      <c r="B184" s="1297"/>
      <c r="C184" s="1297"/>
      <c r="D184" s="1297"/>
      <c r="E184" s="1297" t="s">
        <v>952</v>
      </c>
      <c r="G184" s="1399">
        <v>77954.91</v>
      </c>
      <c r="J184" s="1399">
        <v>77954.91</v>
      </c>
    </row>
    <row r="185" spans="2:12">
      <c r="B185" s="1297"/>
      <c r="C185" s="1297"/>
      <c r="D185" s="1297"/>
      <c r="E185" s="1297" t="s">
        <v>907</v>
      </c>
      <c r="G185" s="1399">
        <v>2643762.33</v>
      </c>
      <c r="J185" s="1399">
        <v>2643762.33</v>
      </c>
    </row>
    <row r="186" spans="2:12">
      <c r="B186" s="1297"/>
      <c r="C186" s="1297"/>
      <c r="D186" s="1297"/>
      <c r="E186" s="1297" t="s">
        <v>1034</v>
      </c>
      <c r="G186" s="1297"/>
      <c r="H186" s="1399">
        <v>4527.59</v>
      </c>
      <c r="J186" s="1399">
        <v>4527.59</v>
      </c>
    </row>
    <row r="187" spans="2:12">
      <c r="B187" s="1297"/>
      <c r="C187" s="1297"/>
      <c r="D187" s="1297"/>
      <c r="E187" s="1297" t="s">
        <v>1035</v>
      </c>
      <c r="G187" s="1297"/>
      <c r="H187" s="1399">
        <v>445058.65</v>
      </c>
      <c r="J187" s="1399">
        <v>445058.65</v>
      </c>
    </row>
    <row r="188" spans="2:12">
      <c r="B188" s="1297"/>
      <c r="C188" s="1297"/>
      <c r="D188" s="1297"/>
      <c r="E188" s="1297" t="s">
        <v>1036</v>
      </c>
      <c r="G188" s="1297"/>
      <c r="H188" s="1399">
        <v>111567.26</v>
      </c>
      <c r="J188" s="1399">
        <v>111567.26</v>
      </c>
    </row>
    <row r="189" spans="2:12">
      <c r="B189" s="1297"/>
      <c r="C189" s="1297"/>
      <c r="D189" s="1297"/>
      <c r="E189" s="1297" t="s">
        <v>1039</v>
      </c>
      <c r="G189" s="1297"/>
      <c r="H189" s="1399">
        <v>43547.589999999989</v>
      </c>
      <c r="J189" s="1399">
        <v>43547.589999999989</v>
      </c>
    </row>
    <row r="190" spans="2:12">
      <c r="B190" s="1297"/>
      <c r="C190" s="1297"/>
      <c r="D190" s="1297"/>
      <c r="E190" s="1297" t="s">
        <v>1040</v>
      </c>
      <c r="G190" s="1297"/>
      <c r="H190" s="1399">
        <v>279289.12</v>
      </c>
      <c r="J190" s="1399">
        <v>279289.12</v>
      </c>
    </row>
    <row r="191" spans="2:12">
      <c r="B191" s="1297"/>
      <c r="C191" s="1297"/>
      <c r="D191" s="1297"/>
      <c r="E191" s="1297" t="s">
        <v>1041</v>
      </c>
      <c r="G191" s="1297"/>
      <c r="H191" s="1399">
        <v>19630.689999999999</v>
      </c>
      <c r="J191" s="1399">
        <v>19630.689999999999</v>
      </c>
    </row>
    <row r="192" spans="2:12">
      <c r="B192" s="1297"/>
      <c r="C192" s="1297"/>
      <c r="D192" s="1297"/>
      <c r="E192" s="1297" t="s">
        <v>1042</v>
      </c>
      <c r="G192" s="1297"/>
      <c r="H192" s="1399">
        <v>33373.25</v>
      </c>
      <c r="J192" s="1399">
        <v>33373.25</v>
      </c>
    </row>
    <row r="193" spans="5:10" s="1297" customFormat="1">
      <c r="E193" s="1297" t="s">
        <v>1043</v>
      </c>
      <c r="F193" s="1399"/>
      <c r="H193" s="1399">
        <v>1300</v>
      </c>
      <c r="I193" s="1399"/>
      <c r="J193" s="1399">
        <v>1300</v>
      </c>
    </row>
    <row r="194" spans="5:10" s="1297" customFormat="1">
      <c r="E194" s="1297" t="s">
        <v>1044</v>
      </c>
      <c r="F194" s="1399">
        <v>16237.93</v>
      </c>
      <c r="H194" s="1399"/>
      <c r="I194" s="1399"/>
      <c r="J194" s="1399">
        <v>16237.93</v>
      </c>
    </row>
    <row r="195" spans="5:10" s="1297" customFormat="1">
      <c r="E195" s="1297" t="s">
        <v>1045</v>
      </c>
      <c r="F195" s="1399"/>
      <c r="H195" s="1399">
        <v>331351.09999999998</v>
      </c>
      <c r="I195" s="1399"/>
      <c r="J195" s="1399">
        <v>331351.09999999998</v>
      </c>
    </row>
    <row r="196" spans="5:10" s="1297" customFormat="1">
      <c r="E196" s="1297" t="s">
        <v>1046</v>
      </c>
      <c r="F196" s="1399"/>
      <c r="G196" s="1399"/>
      <c r="H196" s="1399"/>
      <c r="I196" s="1399">
        <v>11680500</v>
      </c>
      <c r="J196" s="1399">
        <v>11680500</v>
      </c>
    </row>
    <row r="197" spans="5:10" s="1297" customFormat="1">
      <c r="E197" s="1297" t="s">
        <v>1047</v>
      </c>
      <c r="F197" s="1399"/>
      <c r="G197" s="1399"/>
      <c r="H197" s="1399"/>
      <c r="I197" s="1399">
        <v>474791</v>
      </c>
      <c r="J197" s="1399">
        <v>474791</v>
      </c>
    </row>
    <row r="198" spans="5:10" s="1297" customFormat="1">
      <c r="E198" s="1297" t="s">
        <v>1048</v>
      </c>
      <c r="F198" s="1399"/>
      <c r="G198" s="1399"/>
      <c r="H198" s="1399"/>
      <c r="I198" s="1399">
        <v>0</v>
      </c>
      <c r="J198" s="1399">
        <v>0</v>
      </c>
    </row>
    <row r="199" spans="5:10" s="1297" customFormat="1">
      <c r="E199" s="1297" t="s">
        <v>932</v>
      </c>
      <c r="F199" s="1399"/>
      <c r="G199" s="1399"/>
      <c r="H199" s="1399"/>
      <c r="I199" s="1399">
        <v>250145</v>
      </c>
      <c r="J199" s="1399">
        <v>250145</v>
      </c>
    </row>
    <row r="200" spans="5:10" s="1297" customFormat="1">
      <c r="E200" s="1297" t="s">
        <v>934</v>
      </c>
      <c r="F200" s="1399"/>
      <c r="G200" s="1399"/>
      <c r="H200" s="1399"/>
      <c r="I200" s="1399">
        <v>46246</v>
      </c>
      <c r="J200" s="1399">
        <v>46246</v>
      </c>
    </row>
    <row r="201" spans="5:10" s="1297" customFormat="1">
      <c r="E201" s="1297" t="s">
        <v>935</v>
      </c>
      <c r="F201" s="1399"/>
      <c r="G201" s="1399"/>
      <c r="H201" s="1399"/>
      <c r="I201" s="1399">
        <v>855542.6</v>
      </c>
      <c r="J201" s="1399">
        <v>855542.6</v>
      </c>
    </row>
    <row r="202" spans="5:10" s="1297" customFormat="1">
      <c r="E202" s="1297" t="s">
        <v>936</v>
      </c>
      <c r="F202" s="1399"/>
      <c r="G202" s="1399"/>
      <c r="H202" s="1399"/>
      <c r="I202" s="1399">
        <v>46920.17</v>
      </c>
      <c r="J202" s="1399">
        <v>46920.17</v>
      </c>
    </row>
    <row r="203" spans="5:10" s="1297" customFormat="1">
      <c r="E203" s="1297" t="s">
        <v>937</v>
      </c>
      <c r="F203" s="1399"/>
      <c r="G203" s="1399"/>
      <c r="H203" s="1399"/>
      <c r="I203" s="1399">
        <v>9981.09</v>
      </c>
      <c r="J203" s="1399">
        <v>9981.09</v>
      </c>
    </row>
    <row r="204" spans="5:10" s="1297" customFormat="1">
      <c r="E204" s="1297" t="s">
        <v>938</v>
      </c>
      <c r="F204" s="1399"/>
      <c r="G204" s="1399"/>
      <c r="H204" s="1399"/>
      <c r="I204" s="1399">
        <v>16844</v>
      </c>
      <c r="J204" s="1399">
        <v>16844</v>
      </c>
    </row>
    <row r="205" spans="5:10" s="1297" customFormat="1">
      <c r="E205" s="1297" t="s">
        <v>939</v>
      </c>
      <c r="F205" s="1399"/>
      <c r="G205" s="1399"/>
      <c r="H205" s="1399"/>
      <c r="I205" s="1399">
        <v>487.1</v>
      </c>
      <c r="J205" s="1399">
        <v>487.1</v>
      </c>
    </row>
    <row r="206" spans="5:10" s="1297" customFormat="1">
      <c r="E206" s="1297" t="s">
        <v>940</v>
      </c>
      <c r="F206" s="1399">
        <v>741422.42</v>
      </c>
      <c r="G206" s="1399"/>
      <c r="H206" s="1399"/>
      <c r="I206" s="1399"/>
      <c r="J206" s="1399">
        <v>741422.42</v>
      </c>
    </row>
    <row r="207" spans="5:10" s="1297" customFormat="1">
      <c r="E207" s="1297" t="s">
        <v>941</v>
      </c>
      <c r="F207" s="1399">
        <v>260682.48</v>
      </c>
      <c r="G207" s="1399"/>
      <c r="H207" s="1399"/>
      <c r="I207" s="1399"/>
      <c r="J207" s="1399">
        <v>260682.48</v>
      </c>
    </row>
    <row r="208" spans="5:10" s="1297" customFormat="1">
      <c r="E208" s="1297" t="s">
        <v>943</v>
      </c>
      <c r="F208" s="1399">
        <v>13271.9</v>
      </c>
      <c r="G208" s="1399"/>
      <c r="H208" s="1399"/>
      <c r="I208" s="1399"/>
      <c r="J208" s="1399">
        <v>13271.9</v>
      </c>
    </row>
    <row r="209" spans="2:12">
      <c r="B209" s="1297"/>
      <c r="C209" s="1297"/>
      <c r="D209" s="1297"/>
      <c r="E209" s="1297" t="s">
        <v>944</v>
      </c>
      <c r="F209" s="1399">
        <v>2592156.7200000002</v>
      </c>
      <c r="J209" s="1399">
        <v>2592156.7200000002</v>
      </c>
    </row>
    <row r="210" spans="2:12">
      <c r="B210" s="1297"/>
      <c r="C210" s="1297"/>
      <c r="D210" s="1297"/>
      <c r="E210" s="1297" t="s">
        <v>945</v>
      </c>
      <c r="F210" s="1399">
        <v>762943.17</v>
      </c>
      <c r="J210" s="1399">
        <v>762943.17</v>
      </c>
    </row>
    <row r="211" spans="2:12">
      <c r="B211" s="1297"/>
      <c r="C211" s="1297"/>
      <c r="D211" s="1297"/>
      <c r="E211" s="1297" t="s">
        <v>947</v>
      </c>
      <c r="F211" s="1399">
        <v>27816.62</v>
      </c>
      <c r="J211" s="1399">
        <v>27816.62</v>
      </c>
    </row>
    <row r="212" spans="2:12">
      <c r="B212" s="1297"/>
      <c r="C212" s="1297"/>
      <c r="D212" s="1297"/>
      <c r="E212" s="1404" t="s">
        <v>1116</v>
      </c>
      <c r="F212" s="1405"/>
      <c r="G212" s="1405"/>
      <c r="H212" s="1405">
        <v>9726039.0999999996</v>
      </c>
      <c r="I212" s="1405"/>
      <c r="J212" s="1405">
        <v>9726039.0999999996</v>
      </c>
    </row>
    <row r="213" spans="2:12">
      <c r="B213" s="1297"/>
      <c r="C213" s="1297"/>
      <c r="D213" s="1297"/>
      <c r="E213" s="1404" t="s">
        <v>948</v>
      </c>
      <c r="F213" s="1405"/>
      <c r="G213" s="1405"/>
      <c r="H213" s="1405">
        <v>373720.05000000005</v>
      </c>
      <c r="I213" s="1405"/>
      <c r="J213" s="1405">
        <v>373720.05000000005</v>
      </c>
    </row>
    <row r="214" spans="2:12">
      <c r="B214" s="1297"/>
      <c r="C214" s="1297"/>
      <c r="D214" s="1400" t="s">
        <v>982</v>
      </c>
      <c r="E214" s="1400"/>
      <c r="F214" s="1401">
        <f>SUM(F183:F213)</f>
        <v>4414531.24</v>
      </c>
      <c r="G214" s="1401">
        <f>SUM(G183:G213)</f>
        <v>10155244.09</v>
      </c>
      <c r="H214" s="1401">
        <f>SUM(H183:H213)-(H212+H213)</f>
        <v>1269645.25</v>
      </c>
      <c r="I214" s="1401">
        <f>SUM(I183:I213)</f>
        <v>13381456.959999999</v>
      </c>
      <c r="J214" s="1401">
        <f>SUM(J183:J213)</f>
        <v>39320636.689999998</v>
      </c>
      <c r="K214" s="1401">
        <f>SUM(F214:I214)</f>
        <v>29220877.539999999</v>
      </c>
      <c r="L214" s="1408">
        <f>J214/C183</f>
        <v>13738.866767994408</v>
      </c>
    </row>
    <row r="215" spans="2:12">
      <c r="B215" s="1297" t="s">
        <v>983</v>
      </c>
      <c r="C215" s="1297">
        <v>12309</v>
      </c>
      <c r="D215" s="1297" t="s">
        <v>984</v>
      </c>
      <c r="E215" s="1297" t="s">
        <v>906</v>
      </c>
      <c r="G215" s="1399">
        <v>29916609.43</v>
      </c>
      <c r="J215" s="1399">
        <v>29916609.43</v>
      </c>
    </row>
    <row r="216" spans="2:12">
      <c r="B216" s="1297"/>
      <c r="C216" s="1297"/>
      <c r="D216" s="1297"/>
      <c r="E216" s="1297" t="s">
        <v>952</v>
      </c>
      <c r="G216" s="1399">
        <v>415462.69</v>
      </c>
      <c r="J216" s="1399">
        <v>415462.69</v>
      </c>
    </row>
    <row r="217" spans="2:12">
      <c r="B217" s="1297"/>
      <c r="C217" s="1297"/>
      <c r="D217" s="1297"/>
      <c r="E217" s="1297" t="s">
        <v>907</v>
      </c>
      <c r="G217" s="1399">
        <v>7899654.5199999996</v>
      </c>
      <c r="J217" s="1399">
        <v>7899654.5199999996</v>
      </c>
    </row>
    <row r="218" spans="2:12">
      <c r="B218" s="1297"/>
      <c r="C218" s="1297"/>
      <c r="D218" s="1297"/>
      <c r="E218" s="1297" t="s">
        <v>908</v>
      </c>
      <c r="G218" s="1399">
        <v>13608.09</v>
      </c>
      <c r="J218" s="1399">
        <v>13608.09</v>
      </c>
    </row>
    <row r="219" spans="2:12">
      <c r="B219" s="1297"/>
      <c r="C219" s="1297"/>
      <c r="D219" s="1297"/>
      <c r="E219" s="1297" t="s">
        <v>909</v>
      </c>
      <c r="H219" s="1399">
        <v>99233.41</v>
      </c>
      <c r="J219" s="1399">
        <v>99233.41</v>
      </c>
    </row>
    <row r="220" spans="2:12">
      <c r="B220" s="1297"/>
      <c r="C220" s="1297"/>
      <c r="D220" s="1297"/>
      <c r="E220" s="1297" t="s">
        <v>910</v>
      </c>
      <c r="H220" s="1399">
        <v>69130.33</v>
      </c>
      <c r="J220" s="1399">
        <v>69130.33</v>
      </c>
    </row>
    <row r="221" spans="2:12">
      <c r="B221" s="1297"/>
      <c r="C221" s="1297"/>
      <c r="D221" s="1297"/>
      <c r="E221" s="1297" t="s">
        <v>1034</v>
      </c>
      <c r="H221" s="1399">
        <v>134816.37</v>
      </c>
      <c r="J221" s="1399">
        <v>134816.37</v>
      </c>
    </row>
    <row r="222" spans="2:12">
      <c r="B222" s="1297"/>
      <c r="C222" s="1297"/>
      <c r="D222" s="1297"/>
      <c r="E222" s="1297" t="s">
        <v>1035</v>
      </c>
      <c r="H222" s="1399">
        <v>554310.91</v>
      </c>
      <c r="J222" s="1399">
        <v>554310.91</v>
      </c>
    </row>
    <row r="223" spans="2:12">
      <c r="B223" s="1297"/>
      <c r="C223" s="1297"/>
      <c r="D223" s="1297"/>
      <c r="E223" s="1297" t="s">
        <v>1036</v>
      </c>
      <c r="H223" s="1399">
        <v>311649.3</v>
      </c>
      <c r="J223" s="1399">
        <v>311649.3</v>
      </c>
    </row>
    <row r="224" spans="2:12">
      <c r="B224" s="1297"/>
      <c r="C224" s="1297"/>
      <c r="D224" s="1297"/>
      <c r="E224" s="1297" t="s">
        <v>1039</v>
      </c>
      <c r="H224" s="1399">
        <v>55019.159999999996</v>
      </c>
      <c r="J224" s="1399">
        <v>55019.159999999996</v>
      </c>
    </row>
    <row r="225" spans="5:10" s="1297" customFormat="1">
      <c r="E225" s="1297" t="s">
        <v>1040</v>
      </c>
      <c r="F225" s="1399"/>
      <c r="G225" s="1399"/>
      <c r="H225" s="1399">
        <v>1247511.76</v>
      </c>
      <c r="I225" s="1399"/>
      <c r="J225" s="1399">
        <v>1247511.76</v>
      </c>
    </row>
    <row r="226" spans="5:10" s="1297" customFormat="1">
      <c r="E226" s="1297" t="s">
        <v>1041</v>
      </c>
      <c r="F226" s="1399"/>
      <c r="G226" s="1399"/>
      <c r="H226" s="1399">
        <v>49441.47</v>
      </c>
      <c r="I226" s="1399"/>
      <c r="J226" s="1399">
        <v>49441.47</v>
      </c>
    </row>
    <row r="227" spans="5:10" s="1297" customFormat="1">
      <c r="E227" s="1297" t="s">
        <v>1042</v>
      </c>
      <c r="F227" s="1399"/>
      <c r="G227" s="1399"/>
      <c r="H227" s="1399">
        <v>165783.13</v>
      </c>
      <c r="I227" s="1399"/>
      <c r="J227" s="1399">
        <v>165783.13</v>
      </c>
    </row>
    <row r="228" spans="5:10" s="1297" customFormat="1">
      <c r="E228" s="1297" t="s">
        <v>985</v>
      </c>
      <c r="F228" s="1399"/>
      <c r="G228" s="1399"/>
      <c r="H228" s="1399">
        <v>404957.11</v>
      </c>
      <c r="I228" s="1399"/>
      <c r="J228" s="1399">
        <v>404957.11</v>
      </c>
    </row>
    <row r="229" spans="5:10" s="1297" customFormat="1">
      <c r="E229" s="1297" t="s">
        <v>1043</v>
      </c>
      <c r="F229" s="1399"/>
      <c r="G229" s="1399"/>
      <c r="H229" s="1399">
        <v>20647.21</v>
      </c>
      <c r="I229" s="1399"/>
      <c r="J229" s="1399">
        <v>20647.21</v>
      </c>
    </row>
    <row r="230" spans="5:10" s="1297" customFormat="1">
      <c r="E230" s="1297" t="s">
        <v>986</v>
      </c>
      <c r="F230" s="1399"/>
      <c r="G230" s="1399"/>
      <c r="H230" s="1399">
        <v>300634.55</v>
      </c>
      <c r="I230" s="1399"/>
      <c r="J230" s="1399">
        <v>300634.55</v>
      </c>
    </row>
    <row r="231" spans="5:10" s="1297" customFormat="1">
      <c r="E231" s="1297" t="s">
        <v>1044</v>
      </c>
      <c r="F231" s="1399">
        <v>87611.36</v>
      </c>
      <c r="G231" s="1399"/>
      <c r="H231" s="1399"/>
      <c r="I231" s="1399"/>
      <c r="J231" s="1399">
        <v>87611.36</v>
      </c>
    </row>
    <row r="232" spans="5:10" s="1297" customFormat="1">
      <c r="E232" s="1297" t="s">
        <v>1045</v>
      </c>
      <c r="F232" s="1399"/>
      <c r="G232" s="1399"/>
      <c r="H232" s="1399">
        <v>1483362.32</v>
      </c>
      <c r="I232" s="1399"/>
      <c r="J232" s="1399">
        <v>1483362.32</v>
      </c>
    </row>
    <row r="233" spans="5:10" s="1297" customFormat="1">
      <c r="E233" s="1297" t="s">
        <v>1046</v>
      </c>
      <c r="F233" s="1399"/>
      <c r="G233" s="1399"/>
      <c r="H233" s="1399"/>
      <c r="I233" s="1399">
        <v>63277663</v>
      </c>
      <c r="J233" s="1399">
        <v>63277663</v>
      </c>
    </row>
    <row r="234" spans="5:10" s="1297" customFormat="1">
      <c r="E234" s="1297" t="s">
        <v>1128</v>
      </c>
      <c r="F234" s="1399"/>
      <c r="G234" s="1399"/>
      <c r="H234" s="1399"/>
      <c r="I234" s="1399">
        <v>5374697</v>
      </c>
      <c r="J234" s="1399">
        <v>5374697</v>
      </c>
    </row>
    <row r="235" spans="5:10" s="1297" customFormat="1">
      <c r="E235" s="1297" t="s">
        <v>1129</v>
      </c>
      <c r="F235" s="1399"/>
      <c r="G235" s="1399"/>
      <c r="H235" s="1399"/>
      <c r="I235" s="1399">
        <v>-8603741</v>
      </c>
      <c r="J235" s="1399">
        <v>-8603741</v>
      </c>
    </row>
    <row r="236" spans="5:10" s="1297" customFormat="1">
      <c r="E236" s="1297" t="s">
        <v>1047</v>
      </c>
      <c r="F236" s="1399"/>
      <c r="G236" s="1399"/>
      <c r="H236" s="1399"/>
      <c r="I236" s="1399">
        <v>1307653</v>
      </c>
      <c r="J236" s="1399">
        <v>1307653</v>
      </c>
    </row>
    <row r="237" spans="5:10" s="1297" customFormat="1">
      <c r="E237" s="1297" t="s">
        <v>1048</v>
      </c>
      <c r="F237" s="1399"/>
      <c r="G237" s="1399"/>
      <c r="H237" s="1399"/>
      <c r="I237" s="1399">
        <v>-9756649</v>
      </c>
      <c r="J237" s="1399">
        <v>-9756649</v>
      </c>
    </row>
    <row r="238" spans="5:10" s="1297" customFormat="1">
      <c r="E238" s="1297" t="s">
        <v>932</v>
      </c>
      <c r="F238" s="1399"/>
      <c r="G238" s="1399"/>
      <c r="H238" s="1399"/>
      <c r="I238" s="1399">
        <v>5192105</v>
      </c>
      <c r="J238" s="1399">
        <v>5192105</v>
      </c>
    </row>
    <row r="239" spans="5:10" s="1297" customFormat="1">
      <c r="E239" s="1404" t="s">
        <v>955</v>
      </c>
      <c r="F239" s="1405"/>
      <c r="G239" s="1405"/>
      <c r="H239" s="1405"/>
      <c r="I239" s="1405">
        <v>1548190.24</v>
      </c>
      <c r="J239" s="1405">
        <v>1548190.24</v>
      </c>
    </row>
    <row r="240" spans="5:10" s="1297" customFormat="1">
      <c r="E240" s="1297" t="s">
        <v>934</v>
      </c>
      <c r="F240" s="1399"/>
      <c r="G240" s="1399"/>
      <c r="H240" s="1399"/>
      <c r="I240" s="1399">
        <v>189856</v>
      </c>
      <c r="J240" s="1399">
        <v>189856</v>
      </c>
    </row>
    <row r="241" spans="2:12">
      <c r="B241" s="1297"/>
      <c r="C241" s="1297"/>
      <c r="D241" s="1297"/>
      <c r="E241" s="1297" t="s">
        <v>935</v>
      </c>
      <c r="I241" s="1399">
        <v>965536.81</v>
      </c>
      <c r="J241" s="1399">
        <v>965536.81</v>
      </c>
    </row>
    <row r="242" spans="2:12">
      <c r="B242" s="1297"/>
      <c r="C242" s="1297"/>
      <c r="D242" s="1297"/>
      <c r="E242" s="1297" t="s">
        <v>936</v>
      </c>
      <c r="I242" s="1399">
        <v>206588.82</v>
      </c>
      <c r="J242" s="1399">
        <v>206588.82</v>
      </c>
    </row>
    <row r="243" spans="2:12">
      <c r="B243" s="1297"/>
      <c r="C243" s="1297"/>
      <c r="D243" s="1297"/>
      <c r="E243" s="1297" t="s">
        <v>937</v>
      </c>
      <c r="I243" s="1399">
        <v>18542.919999999998</v>
      </c>
      <c r="J243" s="1399">
        <v>18542.919999999998</v>
      </c>
    </row>
    <row r="244" spans="2:12">
      <c r="B244" s="1297"/>
      <c r="C244" s="1297"/>
      <c r="D244" s="1297"/>
      <c r="E244" s="1297" t="s">
        <v>938</v>
      </c>
      <c r="I244" s="1399">
        <v>60827</v>
      </c>
      <c r="J244" s="1399">
        <v>60827</v>
      </c>
    </row>
    <row r="245" spans="2:12">
      <c r="B245" s="1297"/>
      <c r="C245" s="1297"/>
      <c r="D245" s="1297"/>
      <c r="E245" s="1297" t="s">
        <v>939</v>
      </c>
      <c r="I245" s="1399">
        <v>623699.36</v>
      </c>
      <c r="J245" s="1399">
        <v>623699.36</v>
      </c>
    </row>
    <row r="246" spans="2:12">
      <c r="B246" s="1297"/>
      <c r="C246" s="1297"/>
      <c r="D246" s="1297"/>
      <c r="E246" s="1297" t="s">
        <v>1131</v>
      </c>
      <c r="F246" s="1399">
        <v>117699.8</v>
      </c>
      <c r="J246" s="1399">
        <v>117699.8</v>
      </c>
    </row>
    <row r="247" spans="2:12">
      <c r="B247" s="1297"/>
      <c r="C247" s="1297"/>
      <c r="D247" s="1297"/>
      <c r="E247" s="1297" t="s">
        <v>940</v>
      </c>
      <c r="F247" s="1399">
        <v>3046000.92</v>
      </c>
      <c r="J247" s="1399">
        <v>3046000.92</v>
      </c>
    </row>
    <row r="248" spans="2:12">
      <c r="B248" s="1297"/>
      <c r="C248" s="1297"/>
      <c r="D248" s="1297"/>
      <c r="E248" s="1297" t="s">
        <v>941</v>
      </c>
      <c r="F248" s="1399">
        <v>1261356.72</v>
      </c>
      <c r="J248" s="1399">
        <v>1261356.72</v>
      </c>
    </row>
    <row r="249" spans="2:12">
      <c r="B249" s="1297"/>
      <c r="C249" s="1297"/>
      <c r="D249" s="1297"/>
      <c r="E249" s="1297" t="s">
        <v>944</v>
      </c>
      <c r="F249" s="1399">
        <v>5481866.6699999999</v>
      </c>
      <c r="J249" s="1399">
        <v>5481866.6699999999</v>
      </c>
    </row>
    <row r="250" spans="2:12">
      <c r="B250" s="1297"/>
      <c r="C250" s="1297"/>
      <c r="D250" s="1297"/>
      <c r="E250" s="1297" t="s">
        <v>945</v>
      </c>
      <c r="F250" s="1399">
        <v>4611731.6900000004</v>
      </c>
      <c r="J250" s="1399">
        <v>4611731.6900000004</v>
      </c>
    </row>
    <row r="251" spans="2:12">
      <c r="B251" s="1297"/>
      <c r="C251" s="1297"/>
      <c r="D251" s="1297"/>
      <c r="E251" s="1297" t="s">
        <v>947</v>
      </c>
      <c r="F251" s="1399">
        <v>333558.28999999998</v>
      </c>
      <c r="J251" s="1399">
        <v>333558.28999999998</v>
      </c>
    </row>
    <row r="252" spans="2:12">
      <c r="B252" s="1297"/>
      <c r="C252" s="1297"/>
      <c r="D252" s="1297"/>
      <c r="E252" s="1404" t="s">
        <v>1116</v>
      </c>
      <c r="F252" s="1405"/>
      <c r="G252" s="1405"/>
      <c r="H252" s="1405">
        <v>5271073.67</v>
      </c>
      <c r="I252" s="1405"/>
      <c r="J252" s="1405">
        <v>5271073.67</v>
      </c>
    </row>
    <row r="253" spans="2:12">
      <c r="B253" s="1297"/>
      <c r="C253" s="1297"/>
      <c r="D253" s="1297"/>
      <c r="E253" s="1404" t="s">
        <v>948</v>
      </c>
      <c r="F253" s="1405"/>
      <c r="G253" s="1405"/>
      <c r="H253" s="1405">
        <v>5491885.6399999997</v>
      </c>
      <c r="I253" s="1405"/>
      <c r="J253" s="1405">
        <v>5491885.6399999997</v>
      </c>
    </row>
    <row r="254" spans="2:12">
      <c r="B254" s="1297"/>
      <c r="C254" s="1297"/>
      <c r="D254" s="1400" t="s">
        <v>987</v>
      </c>
      <c r="E254" s="1400"/>
      <c r="F254" s="1401">
        <f>SUM(F215:F253)</f>
        <v>14939825.449999999</v>
      </c>
      <c r="G254" s="1401">
        <f>SUM(G215:G253)</f>
        <v>38245334.730000004</v>
      </c>
      <c r="H254" s="1401">
        <f>SUM(H215:H253)-(H252+H253)</f>
        <v>4896497.0300000012</v>
      </c>
      <c r="I254" s="1401">
        <f>SUM(I215:I253)-I239</f>
        <v>58856778.910000004</v>
      </c>
      <c r="J254" s="1401">
        <f>SUM(J215:J253)</f>
        <v>129249585.66999997</v>
      </c>
      <c r="K254" s="1401">
        <f>SUM(F254:I254)</f>
        <v>116938436.12</v>
      </c>
      <c r="L254" s="1408">
        <f>K254/C215</f>
        <v>9500.2385344057202</v>
      </c>
    </row>
    <row r="255" spans="2:12">
      <c r="B255" s="1297" t="s">
        <v>988</v>
      </c>
      <c r="C255" s="1297">
        <v>13826</v>
      </c>
      <c r="D255" s="1297" t="s">
        <v>989</v>
      </c>
      <c r="E255" s="1297" t="s">
        <v>906</v>
      </c>
      <c r="G255" s="1399">
        <v>36976851.880000003</v>
      </c>
      <c r="J255" s="1399">
        <v>36976851.880000003</v>
      </c>
    </row>
    <row r="256" spans="2:12">
      <c r="B256" s="1297"/>
      <c r="C256" s="1297"/>
      <c r="D256" s="1297"/>
      <c r="E256" s="1297" t="s">
        <v>952</v>
      </c>
      <c r="G256" s="1399">
        <v>63696.23</v>
      </c>
      <c r="J256" s="1399">
        <v>63696.23</v>
      </c>
    </row>
    <row r="257" spans="5:10" s="1297" customFormat="1">
      <c r="E257" s="1297" t="s">
        <v>907</v>
      </c>
      <c r="F257" s="1399"/>
      <c r="G257" s="1399">
        <v>17994574.32</v>
      </c>
      <c r="H257" s="1399"/>
      <c r="I257" s="1399"/>
      <c r="J257" s="1399">
        <v>17994574.32</v>
      </c>
    </row>
    <row r="258" spans="5:10" s="1297" customFormat="1">
      <c r="E258" s="1297" t="s">
        <v>908</v>
      </c>
      <c r="F258" s="1399"/>
      <c r="G258" s="1399">
        <v>42342.53</v>
      </c>
      <c r="H258" s="1399"/>
      <c r="I258" s="1399"/>
      <c r="J258" s="1399">
        <v>42342.53</v>
      </c>
    </row>
    <row r="259" spans="5:10" s="1297" customFormat="1">
      <c r="E259" s="1297" t="s">
        <v>909</v>
      </c>
      <c r="F259" s="1399"/>
      <c r="G259" s="1399"/>
      <c r="H259" s="1399">
        <v>208461.54</v>
      </c>
      <c r="I259" s="1399"/>
      <c r="J259" s="1399">
        <v>208461.54</v>
      </c>
    </row>
    <row r="260" spans="5:10" s="1297" customFormat="1">
      <c r="E260" s="1297" t="s">
        <v>910</v>
      </c>
      <c r="F260" s="1399"/>
      <c r="G260" s="1399"/>
      <c r="H260" s="1399">
        <v>200365.41999999995</v>
      </c>
      <c r="I260" s="1399"/>
      <c r="J260" s="1399">
        <v>200365.41999999995</v>
      </c>
    </row>
    <row r="261" spans="5:10" s="1297" customFormat="1">
      <c r="E261" s="1297" t="s">
        <v>1034</v>
      </c>
      <c r="F261" s="1399"/>
      <c r="G261" s="1399"/>
      <c r="H261" s="1399">
        <v>395153.77999999985</v>
      </c>
      <c r="I261" s="1399"/>
      <c r="J261" s="1399">
        <v>395153.77999999985</v>
      </c>
    </row>
    <row r="262" spans="5:10" s="1297" customFormat="1">
      <c r="E262" s="1297" t="s">
        <v>1035</v>
      </c>
      <c r="F262" s="1399"/>
      <c r="G262" s="1399"/>
      <c r="H262" s="1399">
        <v>926786.66999999993</v>
      </c>
      <c r="I262" s="1399"/>
      <c r="J262" s="1399">
        <v>926786.66999999993</v>
      </c>
    </row>
    <row r="263" spans="5:10" s="1297" customFormat="1">
      <c r="E263" s="1297" t="s">
        <v>1036</v>
      </c>
      <c r="F263" s="1399"/>
      <c r="G263" s="1399"/>
      <c r="H263" s="1399">
        <v>338262.96</v>
      </c>
      <c r="I263" s="1399"/>
      <c r="J263" s="1399">
        <v>338262.96</v>
      </c>
    </row>
    <row r="264" spans="5:10" s="1297" customFormat="1">
      <c r="E264" s="1297" t="s">
        <v>1037</v>
      </c>
      <c r="F264" s="1399"/>
      <c r="G264" s="1399"/>
      <c r="H264" s="1399">
        <v>586932</v>
      </c>
      <c r="I264" s="1399"/>
      <c r="J264" s="1399">
        <v>586932</v>
      </c>
    </row>
    <row r="265" spans="5:10" s="1297" customFormat="1">
      <c r="E265" s="1297" t="s">
        <v>1038</v>
      </c>
      <c r="F265" s="1399"/>
      <c r="G265" s="1399"/>
      <c r="H265" s="1399">
        <v>19602</v>
      </c>
      <c r="I265" s="1399"/>
      <c r="J265" s="1399">
        <v>19602</v>
      </c>
    </row>
    <row r="266" spans="5:10" s="1297" customFormat="1">
      <c r="E266" s="1297" t="s">
        <v>1039</v>
      </c>
      <c r="F266" s="1399"/>
      <c r="G266" s="1399"/>
      <c r="H266" s="1399">
        <v>382768.70999999996</v>
      </c>
      <c r="I266" s="1399"/>
      <c r="J266" s="1399">
        <v>382768.70999999996</v>
      </c>
    </row>
    <row r="267" spans="5:10" s="1297" customFormat="1">
      <c r="E267" s="1297" t="s">
        <v>1040</v>
      </c>
      <c r="F267" s="1399"/>
      <c r="G267" s="1399"/>
      <c r="H267" s="1399">
        <v>1644004.92</v>
      </c>
      <c r="I267" s="1399"/>
      <c r="J267" s="1399">
        <v>1644004.92</v>
      </c>
    </row>
    <row r="268" spans="5:10" s="1297" customFormat="1">
      <c r="E268" s="1297" t="s">
        <v>1041</v>
      </c>
      <c r="F268" s="1399"/>
      <c r="G268" s="1399"/>
      <c r="H268" s="1399">
        <v>332742.26</v>
      </c>
      <c r="I268" s="1399"/>
      <c r="J268" s="1399">
        <v>332742.26</v>
      </c>
    </row>
    <row r="269" spans="5:10" s="1297" customFormat="1">
      <c r="E269" s="1297" t="s">
        <v>1042</v>
      </c>
      <c r="F269" s="1399"/>
      <c r="G269" s="1399"/>
      <c r="H269" s="1399">
        <v>192948.58</v>
      </c>
      <c r="I269" s="1399"/>
      <c r="J269" s="1399">
        <v>192948.58</v>
      </c>
    </row>
    <row r="270" spans="5:10" s="1297" customFormat="1">
      <c r="E270" s="1297" t="s">
        <v>986</v>
      </c>
      <c r="F270" s="1399"/>
      <c r="G270" s="1399"/>
      <c r="H270" s="1399">
        <v>53353.38</v>
      </c>
      <c r="I270" s="1399"/>
      <c r="J270" s="1399">
        <v>53353.38</v>
      </c>
    </row>
    <row r="271" spans="5:10" s="1297" customFormat="1">
      <c r="E271" s="1297" t="s">
        <v>990</v>
      </c>
      <c r="F271" s="1399"/>
      <c r="G271" s="1399"/>
      <c r="H271" s="1399">
        <v>7466.24</v>
      </c>
      <c r="I271" s="1399"/>
      <c r="J271" s="1399">
        <v>7466.24</v>
      </c>
    </row>
    <row r="272" spans="5:10" s="1297" customFormat="1">
      <c r="E272" s="1297" t="s">
        <v>991</v>
      </c>
      <c r="F272" s="1399"/>
      <c r="G272" s="1399"/>
      <c r="H272" s="1399">
        <v>178534.09</v>
      </c>
      <c r="I272" s="1399"/>
      <c r="J272" s="1399">
        <v>178534.09</v>
      </c>
    </row>
    <row r="273" spans="5:10" s="1297" customFormat="1">
      <c r="E273" s="1297" t="s">
        <v>1044</v>
      </c>
      <c r="F273" s="1409">
        <v>349299.74</v>
      </c>
      <c r="G273" s="1399"/>
      <c r="H273" s="1399"/>
      <c r="I273" s="1399"/>
      <c r="J273" s="1399">
        <v>349299.74</v>
      </c>
    </row>
    <row r="274" spans="5:10" s="1297" customFormat="1">
      <c r="E274" s="1297" t="s">
        <v>1045</v>
      </c>
      <c r="F274" s="1399"/>
      <c r="G274" s="1399"/>
      <c r="H274" s="1399">
        <v>1891920.3499999996</v>
      </c>
      <c r="I274" s="1399"/>
      <c r="J274" s="1399">
        <v>1891920.3499999996</v>
      </c>
    </row>
    <row r="275" spans="5:10" s="1297" customFormat="1">
      <c r="E275" s="1297" t="s">
        <v>1046</v>
      </c>
      <c r="F275" s="1399"/>
      <c r="G275" s="1399"/>
      <c r="H275" s="1399"/>
      <c r="I275" s="1399">
        <v>74514992</v>
      </c>
      <c r="J275" s="1399">
        <v>74514992</v>
      </c>
    </row>
    <row r="276" spans="5:10" s="1297" customFormat="1">
      <c r="E276" s="1297" t="s">
        <v>1128</v>
      </c>
      <c r="F276" s="1399"/>
      <c r="G276" s="1399"/>
      <c r="H276" s="1399"/>
      <c r="I276" s="1399">
        <v>6339756</v>
      </c>
      <c r="J276" s="1399">
        <v>6339756</v>
      </c>
    </row>
    <row r="277" spans="5:10" s="1297" customFormat="1">
      <c r="E277" s="1297" t="s">
        <v>1129</v>
      </c>
      <c r="F277" s="1399"/>
      <c r="G277" s="1399"/>
      <c r="H277" s="1399"/>
      <c r="I277" s="1399">
        <v>-10260186</v>
      </c>
      <c r="J277" s="1399">
        <v>-10260186</v>
      </c>
    </row>
    <row r="278" spans="5:10" s="1297" customFormat="1">
      <c r="E278" s="1297" t="s">
        <v>1047</v>
      </c>
      <c r="F278" s="1399"/>
      <c r="G278" s="1399"/>
      <c r="H278" s="1399"/>
      <c r="I278" s="1399">
        <v>1738005</v>
      </c>
      <c r="J278" s="1399">
        <v>1738005</v>
      </c>
    </row>
    <row r="279" spans="5:10" s="1297" customFormat="1">
      <c r="E279" s="1297" t="s">
        <v>1048</v>
      </c>
      <c r="F279" s="1399"/>
      <c r="G279" s="1399"/>
      <c r="H279" s="1399"/>
      <c r="I279" s="1399">
        <v>-10440444</v>
      </c>
      <c r="J279" s="1399">
        <v>-10440444</v>
      </c>
    </row>
    <row r="280" spans="5:10" s="1297" customFormat="1">
      <c r="E280" s="1297" t="s">
        <v>932</v>
      </c>
      <c r="F280" s="1399"/>
      <c r="G280" s="1399"/>
      <c r="H280" s="1399"/>
      <c r="I280" s="1399">
        <v>7964256</v>
      </c>
      <c r="J280" s="1399">
        <v>7964256</v>
      </c>
    </row>
    <row r="281" spans="5:10" s="1297" customFormat="1">
      <c r="E281" s="1404" t="s">
        <v>955</v>
      </c>
      <c r="F281" s="1405"/>
      <c r="G281" s="1405"/>
      <c r="H281" s="1405"/>
      <c r="I281" s="1405">
        <v>1550304.94</v>
      </c>
      <c r="J281" s="1405">
        <v>1550304.94</v>
      </c>
    </row>
    <row r="282" spans="5:10" s="1297" customFormat="1">
      <c r="E282" s="1297" t="s">
        <v>934</v>
      </c>
      <c r="F282" s="1399"/>
      <c r="G282" s="1399"/>
      <c r="H282" s="1399"/>
      <c r="I282" s="1399">
        <v>209318</v>
      </c>
      <c r="J282" s="1399">
        <v>209318</v>
      </c>
    </row>
    <row r="283" spans="5:10" s="1297" customFormat="1">
      <c r="E283" s="1297" t="s">
        <v>1130</v>
      </c>
      <c r="F283" s="1399"/>
      <c r="G283" s="1399"/>
      <c r="H283" s="1399"/>
      <c r="I283" s="1399">
        <v>1243340</v>
      </c>
      <c r="J283" s="1399">
        <v>1243340</v>
      </c>
    </row>
    <row r="284" spans="5:10" s="1297" customFormat="1">
      <c r="E284" s="1297" t="s">
        <v>935</v>
      </c>
      <c r="F284" s="1399"/>
      <c r="G284" s="1399"/>
      <c r="H284" s="1399"/>
      <c r="I284" s="1399">
        <v>1462748.0399999998</v>
      </c>
      <c r="J284" s="1399">
        <v>1462748.0399999998</v>
      </c>
    </row>
    <row r="285" spans="5:10" s="1297" customFormat="1">
      <c r="E285" s="1297" t="s">
        <v>936</v>
      </c>
      <c r="F285" s="1399"/>
      <c r="G285" s="1399"/>
      <c r="H285" s="1399"/>
      <c r="I285" s="1399">
        <v>202036.86</v>
      </c>
      <c r="J285" s="1399">
        <v>202036.86</v>
      </c>
    </row>
    <row r="286" spans="5:10" s="1297" customFormat="1">
      <c r="E286" s="1297" t="s">
        <v>937</v>
      </c>
      <c r="F286" s="1399"/>
      <c r="G286" s="1399"/>
      <c r="H286" s="1399"/>
      <c r="I286" s="1399">
        <v>41730.480000000003</v>
      </c>
      <c r="J286" s="1399">
        <v>41730.480000000003</v>
      </c>
    </row>
    <row r="287" spans="5:10" s="1297" customFormat="1">
      <c r="E287" s="1297" t="s">
        <v>938</v>
      </c>
      <c r="F287" s="1399"/>
      <c r="G287" s="1399"/>
      <c r="H287" s="1399"/>
      <c r="I287" s="1399">
        <v>74302</v>
      </c>
      <c r="J287" s="1399">
        <v>74302</v>
      </c>
    </row>
    <row r="288" spans="5:10" s="1297" customFormat="1">
      <c r="E288" s="1297" t="s">
        <v>939</v>
      </c>
      <c r="F288" s="1399"/>
      <c r="G288" s="1399"/>
      <c r="H288" s="1399"/>
      <c r="I288" s="1399">
        <v>3220</v>
      </c>
      <c r="J288" s="1399">
        <v>3220</v>
      </c>
    </row>
    <row r="289" spans="2:12">
      <c r="B289" s="1297"/>
      <c r="C289" s="1297"/>
      <c r="D289" s="1297"/>
      <c r="E289" s="1297" t="s">
        <v>940</v>
      </c>
      <c r="F289" s="1399">
        <v>3377596.6</v>
      </c>
      <c r="J289" s="1399">
        <v>3377596.6</v>
      </c>
    </row>
    <row r="290" spans="2:12">
      <c r="B290" s="1297"/>
      <c r="C290" s="1297"/>
      <c r="D290" s="1297"/>
      <c r="E290" s="1297" t="s">
        <v>941</v>
      </c>
      <c r="F290" s="1399">
        <v>965993.68</v>
      </c>
      <c r="J290" s="1399">
        <v>965993.68</v>
      </c>
    </row>
    <row r="291" spans="2:12">
      <c r="B291" s="1297"/>
      <c r="C291" s="1297"/>
      <c r="D291" s="1297"/>
      <c r="E291" s="1297" t="s">
        <v>943</v>
      </c>
      <c r="F291" s="1399">
        <v>45686.44</v>
      </c>
      <c r="J291" s="1399">
        <v>45686.44</v>
      </c>
    </row>
    <row r="292" spans="2:12">
      <c r="B292" s="1297"/>
      <c r="C292" s="1297"/>
      <c r="D292" s="1297"/>
      <c r="E292" s="1297" t="s">
        <v>944</v>
      </c>
      <c r="F292" s="1399">
        <v>4552206.01</v>
      </c>
      <c r="J292" s="1399">
        <v>4552206.01</v>
      </c>
    </row>
    <row r="293" spans="2:12">
      <c r="B293" s="1297"/>
      <c r="C293" s="1297"/>
      <c r="D293" s="1297"/>
      <c r="E293" s="1297" t="s">
        <v>945</v>
      </c>
      <c r="F293" s="1399">
        <v>6103574.7299999995</v>
      </c>
      <c r="J293" s="1399">
        <v>6103574.7299999995</v>
      </c>
    </row>
    <row r="294" spans="2:12">
      <c r="B294" s="1297"/>
      <c r="C294" s="1297"/>
      <c r="D294" s="1297"/>
      <c r="E294" s="1297" t="s">
        <v>946</v>
      </c>
      <c r="F294" s="1399">
        <v>13333.34</v>
      </c>
      <c r="J294" s="1399">
        <v>13333.34</v>
      </c>
    </row>
    <row r="295" spans="2:12">
      <c r="B295" s="1297"/>
      <c r="C295" s="1297"/>
      <c r="D295" s="1297"/>
      <c r="E295" s="1297" t="s">
        <v>947</v>
      </c>
      <c r="F295" s="1399">
        <v>235604.96</v>
      </c>
      <c r="J295" s="1399">
        <v>235604.96</v>
      </c>
    </row>
    <row r="296" spans="2:12">
      <c r="B296" s="1297"/>
      <c r="C296" s="1297"/>
      <c r="D296" s="1297"/>
      <c r="E296" s="1297" t="s">
        <v>1115</v>
      </c>
      <c r="F296" s="1399">
        <v>125091.68000000001</v>
      </c>
      <c r="J296" s="1399">
        <v>125091.68000000001</v>
      </c>
    </row>
    <row r="297" spans="2:12">
      <c r="B297" s="1297"/>
      <c r="C297" s="1297"/>
      <c r="D297" s="1297"/>
      <c r="E297" s="1404" t="s">
        <v>1116</v>
      </c>
      <c r="F297" s="1405">
        <v>69960000</v>
      </c>
      <c r="G297" s="1405"/>
      <c r="H297" s="1405"/>
      <c r="I297" s="1405"/>
      <c r="J297" s="1405">
        <v>69960000</v>
      </c>
    </row>
    <row r="298" spans="2:12">
      <c r="B298" s="1297"/>
      <c r="C298" s="1297"/>
      <c r="D298" s="1297"/>
      <c r="E298" s="1404" t="s">
        <v>1117</v>
      </c>
      <c r="F298" s="1405"/>
      <c r="G298" s="1405"/>
      <c r="H298" s="1405">
        <v>5221889.7</v>
      </c>
      <c r="I298" s="1405"/>
      <c r="J298" s="1405">
        <v>5221889.7</v>
      </c>
    </row>
    <row r="299" spans="2:12">
      <c r="B299" s="1297"/>
      <c r="C299" s="1297"/>
      <c r="D299" s="1297"/>
      <c r="E299" s="1404" t="s">
        <v>948</v>
      </c>
      <c r="F299" s="1405"/>
      <c r="G299" s="1405"/>
      <c r="H299" s="1405">
        <v>93090840.229999989</v>
      </c>
      <c r="I299" s="1405"/>
      <c r="J299" s="1405">
        <v>93090840.229999989</v>
      </c>
    </row>
    <row r="300" spans="2:12">
      <c r="B300" s="1297"/>
      <c r="C300" s="1297"/>
      <c r="D300" s="1297"/>
      <c r="E300" s="359" t="s">
        <v>956</v>
      </c>
      <c r="H300" s="1399">
        <v>16105.31</v>
      </c>
      <c r="J300" s="1399">
        <v>16105.31</v>
      </c>
    </row>
    <row r="301" spans="2:12">
      <c r="B301" s="1297"/>
      <c r="C301" s="1297"/>
      <c r="D301" s="1400" t="s">
        <v>992</v>
      </c>
      <c r="E301" s="1400"/>
      <c r="F301" s="1401">
        <f>SUM(F255:F300)-F297</f>
        <v>15768387.180000007</v>
      </c>
      <c r="G301" s="1401">
        <f>SUM(G255:G300)</f>
        <v>55077464.960000001</v>
      </c>
      <c r="H301" s="1401">
        <f>SUM(H255:H300)-(H298+H299)</f>
        <v>7375408.2099999934</v>
      </c>
      <c r="I301" s="1401">
        <f>SUM(I255:I300)-I281</f>
        <v>73093074.38000001</v>
      </c>
      <c r="J301" s="1401">
        <f>SUM(J255:J300)</f>
        <v>321137369.59999996</v>
      </c>
      <c r="K301" s="1401">
        <f>SUM(F301:I301)</f>
        <v>151314334.73000002</v>
      </c>
      <c r="L301" s="1408">
        <f>K301/C255</f>
        <v>10944.187381021266</v>
      </c>
    </row>
    <row r="302" spans="2:12">
      <c r="B302" s="1297" t="s">
        <v>993</v>
      </c>
      <c r="C302" s="1297">
        <v>3110</v>
      </c>
      <c r="D302" s="1297" t="s">
        <v>994</v>
      </c>
      <c r="E302" s="1297" t="s">
        <v>906</v>
      </c>
      <c r="G302" s="1399">
        <v>5230085.1000000006</v>
      </c>
      <c r="J302" s="1399">
        <v>5230085.1000000006</v>
      </c>
    </row>
    <row r="303" spans="2:12">
      <c r="B303" s="1297"/>
      <c r="C303" s="1297"/>
      <c r="D303" s="1297"/>
      <c r="E303" s="1297" t="s">
        <v>952</v>
      </c>
      <c r="G303" s="1399">
        <v>44132.29</v>
      </c>
      <c r="J303" s="1399">
        <v>44132.29</v>
      </c>
    </row>
    <row r="304" spans="2:12">
      <c r="B304" s="1297"/>
      <c r="C304" s="1297"/>
      <c r="D304" s="1297"/>
      <c r="E304" s="1297" t="s">
        <v>907</v>
      </c>
      <c r="G304" s="1399">
        <v>2298617.0499999998</v>
      </c>
      <c r="J304" s="1399">
        <v>2298617.0499999998</v>
      </c>
    </row>
    <row r="305" spans="5:10" s="1297" customFormat="1">
      <c r="E305" s="1297" t="s">
        <v>995</v>
      </c>
      <c r="F305" s="1399"/>
      <c r="G305" s="1399">
        <v>9804.2000000000007</v>
      </c>
      <c r="H305" s="1399"/>
      <c r="I305" s="1399"/>
      <c r="J305" s="1399">
        <v>9804.2000000000007</v>
      </c>
    </row>
    <row r="306" spans="5:10" s="1297" customFormat="1">
      <c r="E306" s="1297" t="s">
        <v>908</v>
      </c>
      <c r="F306" s="1399"/>
      <c r="G306" s="1399">
        <v>15060.5</v>
      </c>
      <c r="H306" s="1399"/>
      <c r="I306" s="1399"/>
      <c r="J306" s="1399">
        <v>15060.5</v>
      </c>
    </row>
    <row r="307" spans="5:10" s="1297" customFormat="1">
      <c r="E307" s="1297" t="s">
        <v>909</v>
      </c>
      <c r="F307" s="1399"/>
      <c r="G307" s="1399"/>
      <c r="H307" s="1399">
        <v>36530.49</v>
      </c>
      <c r="I307" s="1399"/>
      <c r="J307" s="1399">
        <v>36530.49</v>
      </c>
    </row>
    <row r="308" spans="5:10" s="1297" customFormat="1">
      <c r="E308" s="1297" t="s">
        <v>910</v>
      </c>
      <c r="F308" s="1399"/>
      <c r="G308" s="1399"/>
      <c r="H308" s="1399">
        <v>24988.7</v>
      </c>
      <c r="I308" s="1399"/>
      <c r="J308" s="1399">
        <v>24988.7</v>
      </c>
    </row>
    <row r="309" spans="5:10" s="1297" customFormat="1">
      <c r="E309" s="1297" t="s">
        <v>1034</v>
      </c>
      <c r="F309" s="1399"/>
      <c r="G309" s="1399"/>
      <c r="H309" s="1399">
        <v>19228.98</v>
      </c>
      <c r="I309" s="1399"/>
      <c r="J309" s="1399">
        <v>19228.98</v>
      </c>
    </row>
    <row r="310" spans="5:10" s="1297" customFormat="1">
      <c r="E310" s="1297" t="s">
        <v>1035</v>
      </c>
      <c r="F310" s="1399"/>
      <c r="G310" s="1399"/>
      <c r="H310" s="1399">
        <v>379056.49</v>
      </c>
      <c r="I310" s="1399"/>
      <c r="J310" s="1399">
        <v>379056.49</v>
      </c>
    </row>
    <row r="311" spans="5:10" s="1297" customFormat="1">
      <c r="E311" s="1297" t="s">
        <v>1036</v>
      </c>
      <c r="F311" s="1399"/>
      <c r="G311" s="1399"/>
      <c r="H311" s="1399">
        <v>165604.35</v>
      </c>
      <c r="I311" s="1399"/>
      <c r="J311" s="1399">
        <v>165604.35</v>
      </c>
    </row>
    <row r="312" spans="5:10" s="1297" customFormat="1">
      <c r="E312" s="1297" t="s">
        <v>1037</v>
      </c>
      <c r="F312" s="1399"/>
      <c r="G312" s="1399"/>
      <c r="H312" s="1399">
        <v>10755.67</v>
      </c>
      <c r="I312" s="1399"/>
      <c r="J312" s="1399">
        <v>10755.67</v>
      </c>
    </row>
    <row r="313" spans="5:10" s="1297" customFormat="1">
      <c r="E313" s="1297" t="s">
        <v>1039</v>
      </c>
      <c r="F313" s="1399"/>
      <c r="G313" s="1399"/>
      <c r="H313" s="1399">
        <v>98163.25</v>
      </c>
      <c r="I313" s="1399"/>
      <c r="J313" s="1399">
        <v>98163.25</v>
      </c>
    </row>
    <row r="314" spans="5:10" s="1297" customFormat="1">
      <c r="E314" s="1297" t="s">
        <v>1040</v>
      </c>
      <c r="F314" s="1399"/>
      <c r="G314" s="1399"/>
      <c r="H314" s="1399">
        <v>93677.55</v>
      </c>
      <c r="I314" s="1399"/>
      <c r="J314" s="1399">
        <v>93677.55</v>
      </c>
    </row>
    <row r="315" spans="5:10" s="1297" customFormat="1">
      <c r="E315" s="1297" t="s">
        <v>1041</v>
      </c>
      <c r="F315" s="1399"/>
      <c r="G315" s="1399"/>
      <c r="H315" s="1399">
        <v>26484</v>
      </c>
      <c r="I315" s="1399"/>
      <c r="J315" s="1399">
        <v>26484</v>
      </c>
    </row>
    <row r="316" spans="5:10" s="1297" customFormat="1">
      <c r="E316" s="1297" t="s">
        <v>1042</v>
      </c>
      <c r="F316" s="1399"/>
      <c r="G316" s="1399"/>
      <c r="H316" s="1399">
        <v>51736.5</v>
      </c>
      <c r="I316" s="1399"/>
      <c r="J316" s="1399">
        <v>51736.5</v>
      </c>
    </row>
    <row r="317" spans="5:10" s="1297" customFormat="1">
      <c r="E317" s="1297" t="s">
        <v>1043</v>
      </c>
      <c r="F317" s="1399"/>
      <c r="G317" s="1399"/>
      <c r="H317" s="1399">
        <v>44450</v>
      </c>
      <c r="I317" s="1399"/>
      <c r="J317" s="1399">
        <v>44450</v>
      </c>
    </row>
    <row r="318" spans="5:10" s="1297" customFormat="1">
      <c r="E318" s="1297" t="s">
        <v>986</v>
      </c>
      <c r="F318" s="1399"/>
      <c r="G318" s="1399"/>
      <c r="H318" s="1399">
        <v>88551.09</v>
      </c>
      <c r="I318" s="1399"/>
      <c r="J318" s="1399">
        <v>88551.09</v>
      </c>
    </row>
    <row r="319" spans="5:10" s="1297" customFormat="1">
      <c r="E319" s="1297" t="s">
        <v>990</v>
      </c>
      <c r="F319" s="1399"/>
      <c r="G319" s="1399"/>
      <c r="H319" s="1399">
        <v>1329.31</v>
      </c>
      <c r="I319" s="1399"/>
      <c r="J319" s="1399">
        <v>1329.31</v>
      </c>
    </row>
    <row r="320" spans="5:10" s="1297" customFormat="1">
      <c r="E320" s="1297" t="s">
        <v>996</v>
      </c>
      <c r="F320" s="1399"/>
      <c r="G320" s="1399"/>
      <c r="H320" s="1399">
        <v>18499.86</v>
      </c>
      <c r="I320" s="1399"/>
      <c r="J320" s="1399">
        <v>18499.86</v>
      </c>
    </row>
    <row r="321" spans="5:10" s="1297" customFormat="1">
      <c r="E321" s="1297" t="s">
        <v>1045</v>
      </c>
      <c r="F321" s="1399"/>
      <c r="G321" s="1399"/>
      <c r="H321" s="1399">
        <v>140440.55000000002</v>
      </c>
      <c r="I321" s="1399"/>
      <c r="J321" s="1399">
        <v>140440.55000000002</v>
      </c>
    </row>
    <row r="322" spans="5:10" s="1297" customFormat="1">
      <c r="E322" s="1297" t="s">
        <v>1046</v>
      </c>
      <c r="F322" s="1399"/>
      <c r="G322" s="1399"/>
      <c r="H322" s="1399"/>
      <c r="I322" s="1399">
        <v>15684615</v>
      </c>
      <c r="J322" s="1399">
        <v>15684615</v>
      </c>
    </row>
    <row r="323" spans="5:10" s="1297" customFormat="1">
      <c r="E323" s="1297" t="s">
        <v>1047</v>
      </c>
      <c r="F323" s="1399"/>
      <c r="G323" s="1399"/>
      <c r="H323" s="1399"/>
      <c r="I323" s="1399">
        <v>433382</v>
      </c>
      <c r="J323" s="1399">
        <v>433382</v>
      </c>
    </row>
    <row r="324" spans="5:10" s="1297" customFormat="1">
      <c r="E324" s="1297" t="s">
        <v>1048</v>
      </c>
      <c r="F324" s="1399"/>
      <c r="G324" s="1399"/>
      <c r="H324" s="1399"/>
      <c r="I324" s="1399">
        <v>-1619137</v>
      </c>
      <c r="J324" s="1399">
        <v>-1619137</v>
      </c>
    </row>
    <row r="325" spans="5:10" s="1297" customFormat="1">
      <c r="E325" s="1297" t="s">
        <v>932</v>
      </c>
      <c r="F325" s="1399"/>
      <c r="G325" s="1399"/>
      <c r="H325" s="1399"/>
      <c r="I325" s="1399">
        <v>2303892</v>
      </c>
      <c r="J325" s="1399">
        <v>2303892</v>
      </c>
    </row>
    <row r="326" spans="5:10" s="1297" customFormat="1">
      <c r="E326" s="1404" t="s">
        <v>955</v>
      </c>
      <c r="F326" s="1405"/>
      <c r="G326" s="1405"/>
      <c r="H326" s="1405"/>
      <c r="I326" s="1405">
        <v>767134.16</v>
      </c>
      <c r="J326" s="1405">
        <v>767134.16</v>
      </c>
    </row>
    <row r="327" spans="5:10" s="1297" customFormat="1">
      <c r="E327" s="1297" t="s">
        <v>934</v>
      </c>
      <c r="F327" s="1399"/>
      <c r="G327" s="1399"/>
      <c r="H327" s="1399"/>
      <c r="I327" s="1399">
        <v>55120</v>
      </c>
      <c r="J327" s="1399">
        <v>55120</v>
      </c>
    </row>
    <row r="328" spans="5:10" s="1297" customFormat="1">
      <c r="E328" s="1297" t="s">
        <v>935</v>
      </c>
      <c r="F328" s="1399"/>
      <c r="G328" s="1399"/>
      <c r="H328" s="1399"/>
      <c r="I328" s="1399">
        <v>370485.04000000004</v>
      </c>
      <c r="J328" s="1399">
        <v>370485.04000000004</v>
      </c>
    </row>
    <row r="329" spans="5:10" s="1297" customFormat="1">
      <c r="E329" s="1297" t="s">
        <v>936</v>
      </c>
      <c r="F329" s="1399"/>
      <c r="G329" s="1399"/>
      <c r="H329" s="1399"/>
      <c r="I329" s="1399">
        <v>45519.57</v>
      </c>
      <c r="J329" s="1399">
        <v>45519.57</v>
      </c>
    </row>
    <row r="330" spans="5:10" s="1297" customFormat="1">
      <c r="E330" s="1297" t="s">
        <v>937</v>
      </c>
      <c r="F330" s="1399"/>
      <c r="G330" s="1399"/>
      <c r="H330" s="1399"/>
      <c r="I330" s="1399">
        <v>13319.62</v>
      </c>
      <c r="J330" s="1399">
        <v>13319.62</v>
      </c>
    </row>
    <row r="331" spans="5:10" s="1297" customFormat="1">
      <c r="E331" s="1297" t="s">
        <v>938</v>
      </c>
      <c r="F331" s="1399"/>
      <c r="G331" s="1399"/>
      <c r="H331" s="1399"/>
      <c r="I331" s="1399">
        <v>15347</v>
      </c>
      <c r="J331" s="1399">
        <v>15347</v>
      </c>
    </row>
    <row r="332" spans="5:10" s="1297" customFormat="1">
      <c r="E332" s="1297" t="s">
        <v>939</v>
      </c>
      <c r="F332" s="1399"/>
      <c r="G332" s="1399"/>
      <c r="H332" s="1399"/>
      <c r="I332" s="1399">
        <v>0</v>
      </c>
      <c r="J332" s="1399">
        <v>0</v>
      </c>
    </row>
    <row r="333" spans="5:10" s="1297" customFormat="1">
      <c r="E333" s="1297" t="s">
        <v>1131</v>
      </c>
      <c r="F333" s="1399">
        <v>45750.879999999997</v>
      </c>
      <c r="G333" s="1399"/>
      <c r="H333" s="1399"/>
      <c r="I333" s="1399"/>
      <c r="J333" s="1399">
        <v>45750.879999999997</v>
      </c>
    </row>
    <row r="334" spans="5:10" s="1297" customFormat="1">
      <c r="E334" s="1297" t="s">
        <v>940</v>
      </c>
      <c r="F334" s="1399">
        <v>988727.84</v>
      </c>
      <c r="G334" s="1399"/>
      <c r="H334" s="1399"/>
      <c r="I334" s="1399"/>
      <c r="J334" s="1399">
        <v>988727.84</v>
      </c>
    </row>
    <row r="335" spans="5:10" s="1297" customFormat="1">
      <c r="E335" s="1297" t="s">
        <v>941</v>
      </c>
      <c r="F335" s="1399">
        <v>345649.74</v>
      </c>
      <c r="G335" s="1399"/>
      <c r="H335" s="1399"/>
      <c r="I335" s="1399"/>
      <c r="J335" s="1399">
        <v>345649.74</v>
      </c>
    </row>
    <row r="336" spans="5:10" s="1297" customFormat="1">
      <c r="E336" s="1297" t="s">
        <v>943</v>
      </c>
      <c r="F336" s="1399">
        <v>5188.1400000000003</v>
      </c>
      <c r="G336" s="1399"/>
      <c r="H336" s="1399"/>
      <c r="I336" s="1399"/>
      <c r="J336" s="1399">
        <v>5188.1400000000003</v>
      </c>
    </row>
    <row r="337" spans="2:12">
      <c r="B337" s="1297"/>
      <c r="C337" s="1297"/>
      <c r="D337" s="1297"/>
      <c r="E337" s="1297" t="s">
        <v>944</v>
      </c>
      <c r="F337" s="1399">
        <v>2852188.2800000003</v>
      </c>
      <c r="J337" s="1399">
        <v>2852188.2800000003</v>
      </c>
    </row>
    <row r="338" spans="2:12">
      <c r="B338" s="1297"/>
      <c r="C338" s="1297"/>
      <c r="D338" s="1297"/>
      <c r="E338" s="1297" t="s">
        <v>945</v>
      </c>
      <c r="F338" s="1399">
        <v>1317457.6700000002</v>
      </c>
      <c r="J338" s="1399">
        <v>1317457.6700000002</v>
      </c>
    </row>
    <row r="339" spans="2:12">
      <c r="B339" s="1297"/>
      <c r="C339" s="1297"/>
      <c r="D339" s="1297"/>
      <c r="E339" s="1297" t="s">
        <v>946</v>
      </c>
      <c r="F339" s="1399">
        <v>73222.09</v>
      </c>
      <c r="J339" s="1399">
        <v>73222.09</v>
      </c>
    </row>
    <row r="340" spans="2:12">
      <c r="B340" s="1297"/>
      <c r="C340" s="1297"/>
      <c r="D340" s="1297"/>
      <c r="E340" s="1297" t="s">
        <v>947</v>
      </c>
      <c r="F340" s="1399">
        <v>42808.93</v>
      </c>
      <c r="J340" s="1399">
        <v>42808.93</v>
      </c>
    </row>
    <row r="341" spans="2:12">
      <c r="B341" s="1297"/>
      <c r="C341" s="1297"/>
      <c r="D341" s="1297"/>
      <c r="E341" s="1404" t="s">
        <v>948</v>
      </c>
      <c r="F341" s="1405"/>
      <c r="G341" s="1405"/>
      <c r="H341" s="1405">
        <v>2018960.91</v>
      </c>
      <c r="I341" s="1405"/>
      <c r="J341" s="1405">
        <v>2018960.91</v>
      </c>
    </row>
    <row r="342" spans="2:12">
      <c r="B342" s="1297"/>
      <c r="C342" s="1297"/>
      <c r="D342" s="1297"/>
      <c r="E342" s="1297" t="s">
        <v>1118</v>
      </c>
      <c r="H342" s="1399">
        <v>-228.28</v>
      </c>
      <c r="J342" s="1399">
        <v>-228.28</v>
      </c>
    </row>
    <row r="343" spans="2:12">
      <c r="B343" s="1297"/>
      <c r="C343" s="1297"/>
      <c r="D343" s="1400" t="s">
        <v>997</v>
      </c>
      <c r="E343" s="1400"/>
      <c r="F343" s="1401">
        <f>SUM(F302:F342)</f>
        <v>5670993.5699999994</v>
      </c>
      <c r="G343" s="1401">
        <f>SUM(G302:G342)</f>
        <v>7597699.1400000006</v>
      </c>
      <c r="H343" s="1401">
        <f>SUM(H302:H342)-H341</f>
        <v>1199268.5100000005</v>
      </c>
      <c r="I343" s="1401">
        <f>SUM(I302:I342)-I326</f>
        <v>17302543.23</v>
      </c>
      <c r="J343" s="1401">
        <f>SUM(J302:J342)</f>
        <v>34556599.519999996</v>
      </c>
      <c r="K343" s="1401">
        <f>SUM(F343:I343)</f>
        <v>31770504.450000003</v>
      </c>
      <c r="L343" s="1408">
        <f>K343/C302</f>
        <v>10215.596286173635</v>
      </c>
    </row>
    <row r="344" spans="2:12">
      <c r="B344" s="1297" t="s">
        <v>998</v>
      </c>
      <c r="C344" s="1297">
        <f>3093-'[2]1$REV-DATA-GAcharterAuditdata'!G66</f>
        <v>3025</v>
      </c>
      <c r="D344" s="1297" t="s">
        <v>999</v>
      </c>
      <c r="E344" s="1297" t="s">
        <v>906</v>
      </c>
      <c r="G344" s="1399">
        <v>4162894.8</v>
      </c>
      <c r="J344" s="1399">
        <v>4162894.8</v>
      </c>
    </row>
    <row r="345" spans="2:12">
      <c r="B345" s="1297"/>
      <c r="C345" s="1297"/>
      <c r="D345" s="1297"/>
      <c r="E345" s="1297" t="s">
        <v>907</v>
      </c>
      <c r="G345" s="1399">
        <v>1544649.6</v>
      </c>
      <c r="J345" s="1399">
        <v>1544649.6</v>
      </c>
    </row>
    <row r="346" spans="2:12">
      <c r="B346" s="1297"/>
      <c r="C346" s="1297"/>
      <c r="D346" s="1297"/>
      <c r="E346" s="1297" t="s">
        <v>908</v>
      </c>
      <c r="G346" s="1399">
        <v>11481.13</v>
      </c>
      <c r="J346" s="1399">
        <v>11481.13</v>
      </c>
    </row>
    <row r="347" spans="2:12">
      <c r="B347" s="1297"/>
      <c r="C347" s="1297"/>
      <c r="D347" s="1297"/>
      <c r="E347" s="1297" t="s">
        <v>909</v>
      </c>
      <c r="H347" s="1399">
        <v>44803.16</v>
      </c>
      <c r="J347" s="1399">
        <v>44803.16</v>
      </c>
    </row>
    <row r="348" spans="2:12">
      <c r="B348" s="1297"/>
      <c r="C348" s="1297"/>
      <c r="D348" s="1297"/>
      <c r="E348" s="1297" t="s">
        <v>910</v>
      </c>
      <c r="H348" s="1399">
        <v>12665.31</v>
      </c>
      <c r="J348" s="1399">
        <v>12665.31</v>
      </c>
    </row>
    <row r="349" spans="2:12">
      <c r="B349" s="1297"/>
      <c r="C349" s="1297"/>
      <c r="D349" s="1297"/>
      <c r="E349" s="1297" t="s">
        <v>1034</v>
      </c>
      <c r="H349" s="1399">
        <v>44820.12</v>
      </c>
      <c r="J349" s="1399">
        <v>44820.12</v>
      </c>
    </row>
    <row r="350" spans="2:12">
      <c r="B350" s="1297"/>
      <c r="C350" s="1297"/>
      <c r="D350" s="1297"/>
      <c r="E350" s="1297" t="s">
        <v>1035</v>
      </c>
      <c r="H350" s="1399">
        <v>1016314.38</v>
      </c>
      <c r="J350" s="1399">
        <v>1016314.38</v>
      </c>
    </row>
    <row r="351" spans="2:12">
      <c r="B351" s="1297"/>
      <c r="C351" s="1297"/>
      <c r="D351" s="1297"/>
      <c r="E351" s="1297" t="s">
        <v>1036</v>
      </c>
      <c r="H351" s="1399">
        <v>10630</v>
      </c>
      <c r="J351" s="1399">
        <v>10630</v>
      </c>
    </row>
    <row r="352" spans="2:12">
      <c r="B352" s="1297"/>
      <c r="C352" s="1297"/>
      <c r="D352" s="1297"/>
      <c r="E352" s="1297" t="s">
        <v>1039</v>
      </c>
      <c r="H352" s="1399">
        <v>81403.289999999994</v>
      </c>
      <c r="J352" s="1399">
        <v>81403.289999999994</v>
      </c>
    </row>
    <row r="353" spans="5:10" s="1297" customFormat="1">
      <c r="E353" s="1297" t="s">
        <v>1040</v>
      </c>
      <c r="F353" s="1399"/>
      <c r="G353" s="1399"/>
      <c r="H353" s="1399">
        <v>229501.64</v>
      </c>
      <c r="I353" s="1399"/>
      <c r="J353" s="1399">
        <v>229501.64</v>
      </c>
    </row>
    <row r="354" spans="5:10" s="1297" customFormat="1">
      <c r="E354" s="1297" t="s">
        <v>1041</v>
      </c>
      <c r="F354" s="1399"/>
      <c r="G354" s="1399"/>
      <c r="H354" s="1399">
        <v>3702.75</v>
      </c>
      <c r="I354" s="1399"/>
      <c r="J354" s="1399">
        <v>3702.75</v>
      </c>
    </row>
    <row r="355" spans="5:10" s="1297" customFormat="1">
      <c r="E355" s="1297" t="s">
        <v>1042</v>
      </c>
      <c r="F355" s="1399"/>
      <c r="G355" s="1399"/>
      <c r="H355" s="1399">
        <v>46946.95</v>
      </c>
      <c r="I355" s="1399"/>
      <c r="J355" s="1399">
        <v>46946.95</v>
      </c>
    </row>
    <row r="356" spans="5:10" s="1297" customFormat="1">
      <c r="E356" s="1297" t="s">
        <v>1044</v>
      </c>
      <c r="F356" s="1399">
        <v>0</v>
      </c>
      <c r="G356" s="1399"/>
      <c r="H356" s="1399"/>
      <c r="I356" s="1399"/>
      <c r="J356" s="1399">
        <v>0</v>
      </c>
    </row>
    <row r="357" spans="5:10" s="1297" customFormat="1">
      <c r="E357" s="1297" t="s">
        <v>1045</v>
      </c>
      <c r="F357" s="1399"/>
      <c r="G357" s="1399"/>
      <c r="H357" s="1399">
        <v>585497.76</v>
      </c>
      <c r="I357" s="1399"/>
      <c r="J357" s="1399">
        <v>585497.76</v>
      </c>
    </row>
    <row r="358" spans="5:10" s="1297" customFormat="1">
      <c r="E358" s="1297" t="s">
        <v>1046</v>
      </c>
      <c r="F358" s="1399"/>
      <c r="G358" s="1399"/>
      <c r="H358" s="1399"/>
      <c r="I358" s="1399">
        <v>16896595</v>
      </c>
      <c r="J358" s="1399">
        <v>16896595</v>
      </c>
    </row>
    <row r="359" spans="5:10" s="1297" customFormat="1">
      <c r="E359" s="1297" t="s">
        <v>1047</v>
      </c>
      <c r="F359" s="1399"/>
      <c r="G359" s="1399"/>
      <c r="H359" s="1399"/>
      <c r="I359" s="1399">
        <v>-1647827</v>
      </c>
      <c r="J359" s="1399">
        <v>-1647827</v>
      </c>
    </row>
    <row r="360" spans="5:10" s="1297" customFormat="1">
      <c r="E360" s="1297" t="s">
        <v>1048</v>
      </c>
      <c r="F360" s="1399"/>
      <c r="G360" s="1399"/>
      <c r="H360" s="1399"/>
      <c r="I360" s="1399">
        <v>-1260353</v>
      </c>
      <c r="J360" s="1399">
        <v>-1260353</v>
      </c>
    </row>
    <row r="361" spans="5:10" s="1297" customFormat="1">
      <c r="E361" s="1297" t="s">
        <v>932</v>
      </c>
      <c r="F361" s="1399"/>
      <c r="G361" s="1399"/>
      <c r="H361" s="1399"/>
      <c r="I361" s="1399">
        <v>2850707</v>
      </c>
      <c r="J361" s="1399">
        <v>2850707</v>
      </c>
    </row>
    <row r="362" spans="5:10" s="1297" customFormat="1">
      <c r="E362" s="1297" t="s">
        <v>933</v>
      </c>
      <c r="F362" s="1399"/>
      <c r="G362" s="1399"/>
      <c r="H362" s="1399"/>
      <c r="I362" s="1399">
        <v>542611.91999999993</v>
      </c>
      <c r="J362" s="1399">
        <v>542611.91999999993</v>
      </c>
    </row>
    <row r="363" spans="5:10" s="1297" customFormat="1">
      <c r="E363" s="1297" t="s">
        <v>934</v>
      </c>
      <c r="F363" s="1399"/>
      <c r="G363" s="1399"/>
      <c r="H363" s="1399"/>
      <c r="I363" s="1399">
        <v>48160</v>
      </c>
      <c r="J363" s="1399">
        <v>48160</v>
      </c>
    </row>
    <row r="364" spans="5:10" s="1297" customFormat="1">
      <c r="E364" s="1297" t="s">
        <v>935</v>
      </c>
      <c r="F364" s="1399"/>
      <c r="G364" s="1399"/>
      <c r="H364" s="1399"/>
      <c r="I364" s="1399">
        <v>473956.71</v>
      </c>
      <c r="J364" s="1399">
        <v>473956.71</v>
      </c>
    </row>
    <row r="365" spans="5:10" s="1297" customFormat="1">
      <c r="E365" s="1297" t="s">
        <v>936</v>
      </c>
      <c r="F365" s="1399"/>
      <c r="G365" s="1399"/>
      <c r="H365" s="1399"/>
      <c r="I365" s="1399">
        <v>49021.07</v>
      </c>
      <c r="J365" s="1399">
        <v>49021.07</v>
      </c>
    </row>
    <row r="366" spans="5:10" s="1297" customFormat="1">
      <c r="E366" s="1297" t="s">
        <v>937</v>
      </c>
      <c r="F366" s="1399"/>
      <c r="G366" s="1399"/>
      <c r="H366" s="1399"/>
      <c r="I366" s="1399">
        <v>12373.09</v>
      </c>
      <c r="J366" s="1399">
        <v>12373.09</v>
      </c>
    </row>
    <row r="367" spans="5:10" s="1297" customFormat="1">
      <c r="E367" s="1297" t="s">
        <v>938</v>
      </c>
      <c r="F367" s="1399"/>
      <c r="G367" s="1399"/>
      <c r="H367" s="1399"/>
      <c r="I367" s="1399">
        <v>11042</v>
      </c>
      <c r="J367" s="1399">
        <v>11042</v>
      </c>
    </row>
    <row r="368" spans="5:10" s="1297" customFormat="1">
      <c r="E368" s="1297" t="s">
        <v>939</v>
      </c>
      <c r="F368" s="1399"/>
      <c r="G368" s="1399"/>
      <c r="H368" s="1399"/>
      <c r="I368" s="1399">
        <v>790256.57000000007</v>
      </c>
      <c r="J368" s="1399">
        <v>790256.57000000007</v>
      </c>
    </row>
    <row r="369" spans="2:14">
      <c r="B369" s="1297"/>
      <c r="C369" s="1297"/>
      <c r="D369" s="1297"/>
      <c r="E369" s="1297" t="s">
        <v>1131</v>
      </c>
      <c r="F369" s="1399">
        <v>224831.01</v>
      </c>
      <c r="J369" s="1399">
        <v>224831.01</v>
      </c>
    </row>
    <row r="370" spans="2:14">
      <c r="B370" s="1297"/>
      <c r="C370" s="1297"/>
      <c r="D370" s="1297"/>
      <c r="E370" s="1297" t="s">
        <v>940</v>
      </c>
      <c r="F370" s="1399">
        <v>897730.24</v>
      </c>
      <c r="J370" s="1399">
        <v>897730.24</v>
      </c>
    </row>
    <row r="371" spans="2:14">
      <c r="B371" s="1297"/>
      <c r="C371" s="1297"/>
      <c r="D371" s="1297"/>
      <c r="E371" s="1297" t="s">
        <v>941</v>
      </c>
      <c r="F371" s="1399">
        <v>335407.48</v>
      </c>
      <c r="J371" s="1399">
        <v>335407.48</v>
      </c>
    </row>
    <row r="372" spans="2:14">
      <c r="B372" s="1297"/>
      <c r="C372" s="1297"/>
      <c r="D372" s="1297"/>
      <c r="E372" s="1297" t="s">
        <v>943</v>
      </c>
      <c r="F372" s="1399">
        <v>17261.240000000002</v>
      </c>
      <c r="J372" s="1399">
        <v>17261.240000000002</v>
      </c>
    </row>
    <row r="373" spans="2:14">
      <c r="B373" s="1297"/>
      <c r="C373" s="1297"/>
      <c r="D373" s="1297"/>
      <c r="E373" s="1297" t="s">
        <v>944</v>
      </c>
      <c r="F373" s="1399">
        <v>3221277.59</v>
      </c>
      <c r="J373" s="1399">
        <v>3221277.59</v>
      </c>
    </row>
    <row r="374" spans="2:14">
      <c r="B374" s="1297"/>
      <c r="C374" s="1297"/>
      <c r="D374" s="1297"/>
      <c r="E374" s="1297" t="s">
        <v>945</v>
      </c>
      <c r="F374" s="1399">
        <v>1039734.53</v>
      </c>
      <c r="J374" s="1399">
        <v>1039734.53</v>
      </c>
    </row>
    <row r="375" spans="2:14">
      <c r="B375" s="1297"/>
      <c r="C375" s="1297"/>
      <c r="D375" s="1297"/>
      <c r="E375" s="1297" t="s">
        <v>947</v>
      </c>
      <c r="F375" s="1399">
        <v>68294.36</v>
      </c>
      <c r="J375" s="1399">
        <v>68294.36</v>
      </c>
    </row>
    <row r="376" spans="2:14">
      <c r="B376" s="1297"/>
      <c r="C376" s="1297"/>
      <c r="D376" s="1297"/>
      <c r="E376" s="1404" t="s">
        <v>948</v>
      </c>
      <c r="F376" s="1405"/>
      <c r="G376" s="1405"/>
      <c r="H376" s="1405">
        <v>2141694.9300000002</v>
      </c>
      <c r="I376" s="1405"/>
      <c r="J376" s="1405">
        <v>2141694.9300000002</v>
      </c>
    </row>
    <row r="377" spans="2:14">
      <c r="B377" s="1297"/>
      <c r="C377" s="1297"/>
      <c r="D377" s="1297"/>
      <c r="E377" s="1297" t="s">
        <v>956</v>
      </c>
      <c r="H377" s="1399">
        <v>2356.3000000000002</v>
      </c>
      <c r="J377" s="1399">
        <v>2356.3000000000002</v>
      </c>
    </row>
    <row r="378" spans="2:14">
      <c r="B378" s="1297"/>
      <c r="C378" s="1297"/>
      <c r="D378" s="1400" t="s">
        <v>1000</v>
      </c>
      <c r="E378" s="1400" t="s">
        <v>1641</v>
      </c>
      <c r="F378" s="1401">
        <f>SUM(F344:F377)-'1$REV-CharterAuditData'!BM66</f>
        <v>5756875.5099999998</v>
      </c>
      <c r="G378" s="1401">
        <f>SUM(G344:G377)-'1$REV-CharterAuditData'!Q66</f>
        <v>5789629.4700000007</v>
      </c>
      <c r="H378" s="1401">
        <f>SUM(H344:H377)-H376</f>
        <v>2078641.6599999997</v>
      </c>
      <c r="I378" s="1401">
        <f>SUM(I344:I377)-'1$REV-CharterAuditData'!AZ66</f>
        <v>18357558.360000003</v>
      </c>
      <c r="J378" s="1401">
        <f>SUM(J344:J377)</f>
        <v>34510441.93</v>
      </c>
      <c r="K378" s="1401">
        <f>SUM(F378:I378)</f>
        <v>31982705.000000004</v>
      </c>
      <c r="L378" s="1407">
        <f>K378/C344</f>
        <v>10572.795041322315</v>
      </c>
      <c r="M378" s="1407">
        <f>F378/C344</f>
        <v>1903.0993421487603</v>
      </c>
      <c r="N378" s="1400">
        <f>F378/K378</f>
        <v>0.17999964387002285</v>
      </c>
    </row>
    <row r="379" spans="2:14">
      <c r="B379" s="1297" t="s">
        <v>1001</v>
      </c>
      <c r="C379" s="1297">
        <v>23656</v>
      </c>
      <c r="D379" s="1297" t="s">
        <v>1002</v>
      </c>
      <c r="E379" s="1297" t="s">
        <v>906</v>
      </c>
      <c r="G379" s="1399">
        <v>77327762.810000002</v>
      </c>
      <c r="J379" s="1399">
        <v>77327762.810000002</v>
      </c>
    </row>
    <row r="380" spans="2:14">
      <c r="B380" s="1297"/>
      <c r="C380" s="1297"/>
      <c r="D380" s="1297"/>
      <c r="E380" s="1297" t="s">
        <v>952</v>
      </c>
      <c r="G380" s="1399">
        <v>672470.97</v>
      </c>
      <c r="J380" s="1399">
        <v>672470.97</v>
      </c>
    </row>
    <row r="381" spans="2:14">
      <c r="B381" s="1297"/>
      <c r="C381" s="1297"/>
      <c r="D381" s="1297"/>
      <c r="E381" s="1297" t="s">
        <v>907</v>
      </c>
      <c r="G381" s="1399">
        <v>34113451.409999996</v>
      </c>
      <c r="J381" s="1399">
        <v>34113451.409999996</v>
      </c>
    </row>
    <row r="382" spans="2:14">
      <c r="B382" s="1297"/>
      <c r="C382" s="1297"/>
      <c r="D382" s="1297"/>
      <c r="E382" s="1297" t="s">
        <v>909</v>
      </c>
      <c r="H382" s="1399">
        <v>323053.95000000013</v>
      </c>
      <c r="J382" s="1399">
        <v>323053.95000000013</v>
      </c>
    </row>
    <row r="383" spans="2:14">
      <c r="B383" s="1297"/>
      <c r="C383" s="1297"/>
      <c r="D383" s="1297"/>
      <c r="E383" s="1297" t="s">
        <v>910</v>
      </c>
      <c r="H383" s="1399">
        <v>456433.55000000005</v>
      </c>
      <c r="J383" s="1399">
        <v>456433.55000000005</v>
      </c>
    </row>
    <row r="384" spans="2:14">
      <c r="B384" s="1297"/>
      <c r="C384" s="1297"/>
      <c r="D384" s="1297"/>
      <c r="E384" s="1297" t="s">
        <v>1034</v>
      </c>
      <c r="H384" s="1399">
        <v>249966.82</v>
      </c>
      <c r="J384" s="1399">
        <v>249966.82</v>
      </c>
    </row>
    <row r="385" spans="5:10" s="1297" customFormat="1">
      <c r="E385" s="1297" t="s">
        <v>1035</v>
      </c>
      <c r="F385" s="1399"/>
      <c r="G385" s="1399"/>
      <c r="H385" s="1399">
        <v>1548178.5099999998</v>
      </c>
      <c r="I385" s="1399"/>
      <c r="J385" s="1399">
        <v>1548178.5099999998</v>
      </c>
    </row>
    <row r="386" spans="5:10" s="1297" customFormat="1">
      <c r="E386" s="1297" t="s">
        <v>1036</v>
      </c>
      <c r="F386" s="1399"/>
      <c r="G386" s="1399"/>
      <c r="H386" s="1399">
        <v>463323.96</v>
      </c>
      <c r="I386" s="1399"/>
      <c r="J386" s="1399">
        <v>463323.96</v>
      </c>
    </row>
    <row r="387" spans="5:10" s="1297" customFormat="1">
      <c r="E387" s="1297" t="s">
        <v>1037</v>
      </c>
      <c r="F387" s="1399"/>
      <c r="G387" s="1399"/>
      <c r="H387" s="1399">
        <v>26011.56</v>
      </c>
      <c r="I387" s="1399"/>
      <c r="J387" s="1399">
        <v>26011.56</v>
      </c>
    </row>
    <row r="388" spans="5:10" s="1297" customFormat="1">
      <c r="E388" s="1297" t="s">
        <v>1038</v>
      </c>
      <c r="F388" s="1399"/>
      <c r="G388" s="1399"/>
      <c r="H388" s="1399">
        <v>64589.51</v>
      </c>
      <c r="I388" s="1399"/>
      <c r="J388" s="1399">
        <v>64589.51</v>
      </c>
    </row>
    <row r="389" spans="5:10" s="1297" customFormat="1">
      <c r="E389" s="1297" t="s">
        <v>1003</v>
      </c>
      <c r="F389" s="1399"/>
      <c r="G389" s="1399"/>
      <c r="H389" s="1399">
        <v>332820.56</v>
      </c>
      <c r="I389" s="1399"/>
      <c r="J389" s="1399">
        <v>332820.56</v>
      </c>
    </row>
    <row r="390" spans="5:10" s="1297" customFormat="1">
      <c r="E390" s="1297" t="s">
        <v>1039</v>
      </c>
      <c r="F390" s="1399"/>
      <c r="G390" s="1399"/>
      <c r="H390" s="1399">
        <v>122055.81999999998</v>
      </c>
      <c r="I390" s="1399"/>
      <c r="J390" s="1399">
        <v>122055.81999999998</v>
      </c>
    </row>
    <row r="391" spans="5:10" s="1297" customFormat="1">
      <c r="E391" s="1297" t="s">
        <v>1040</v>
      </c>
      <c r="F391" s="1399"/>
      <c r="G391" s="1399"/>
      <c r="H391" s="1399">
        <v>660365.20000000019</v>
      </c>
      <c r="I391" s="1399"/>
      <c r="J391" s="1399">
        <v>660365.20000000019</v>
      </c>
    </row>
    <row r="392" spans="5:10" s="1297" customFormat="1">
      <c r="E392" s="1297" t="s">
        <v>1127</v>
      </c>
      <c r="F392" s="1399"/>
      <c r="G392" s="1399"/>
      <c r="H392" s="1399">
        <v>87628.15</v>
      </c>
      <c r="I392" s="1399"/>
      <c r="J392" s="1399">
        <v>87628.15</v>
      </c>
    </row>
    <row r="393" spans="5:10" s="1297" customFormat="1">
      <c r="E393" s="1297" t="s">
        <v>1041</v>
      </c>
      <c r="F393" s="1399"/>
      <c r="G393" s="1399"/>
      <c r="H393" s="1399">
        <v>212777.15000000005</v>
      </c>
      <c r="I393" s="1399"/>
      <c r="J393" s="1399">
        <v>212777.15000000005</v>
      </c>
    </row>
    <row r="394" spans="5:10" s="1297" customFormat="1">
      <c r="E394" s="1297" t="s">
        <v>1042</v>
      </c>
      <c r="F394" s="1399"/>
      <c r="G394" s="1399"/>
      <c r="H394" s="1399">
        <v>220859.75000000003</v>
      </c>
      <c r="I394" s="1399"/>
      <c r="J394" s="1399">
        <v>220859.75000000003</v>
      </c>
    </row>
    <row r="395" spans="5:10" s="1297" customFormat="1">
      <c r="E395" s="1297" t="s">
        <v>953</v>
      </c>
      <c r="F395" s="1399"/>
      <c r="G395" s="1399"/>
      <c r="H395" s="1399">
        <v>469649.52</v>
      </c>
      <c r="I395" s="1399"/>
      <c r="J395" s="1399">
        <v>469649.52</v>
      </c>
    </row>
    <row r="396" spans="5:10" s="1297" customFormat="1">
      <c r="E396" s="1297" t="s">
        <v>1043</v>
      </c>
      <c r="F396" s="1399"/>
      <c r="G396" s="1399"/>
      <c r="H396" s="1399">
        <v>1363383.3599999999</v>
      </c>
      <c r="I396" s="1399"/>
      <c r="J396" s="1399">
        <v>1363383.3599999999</v>
      </c>
    </row>
    <row r="397" spans="5:10" s="1297" customFormat="1">
      <c r="E397" s="1297" t="s">
        <v>986</v>
      </c>
      <c r="F397" s="1399"/>
      <c r="G397" s="1399"/>
      <c r="H397" s="1399">
        <v>49811.490000000005</v>
      </c>
      <c r="I397" s="1399"/>
      <c r="J397" s="1399">
        <v>49811.490000000005</v>
      </c>
    </row>
    <row r="398" spans="5:10" s="1297" customFormat="1">
      <c r="E398" s="1297" t="s">
        <v>990</v>
      </c>
      <c r="F398" s="1399"/>
      <c r="G398" s="1399"/>
      <c r="H398" s="1399">
        <v>12697.07</v>
      </c>
      <c r="I398" s="1399"/>
      <c r="J398" s="1399">
        <v>12697.07</v>
      </c>
    </row>
    <row r="399" spans="5:10" s="1297" customFormat="1">
      <c r="E399" s="1297" t="s">
        <v>996</v>
      </c>
      <c r="F399" s="1399"/>
      <c r="G399" s="1399"/>
      <c r="H399" s="1399">
        <v>9507.7900000000009</v>
      </c>
      <c r="I399" s="1399"/>
      <c r="J399" s="1399">
        <v>9507.7900000000009</v>
      </c>
    </row>
    <row r="400" spans="5:10" s="1297" customFormat="1">
      <c r="E400" s="1297" t="s">
        <v>1004</v>
      </c>
      <c r="F400" s="1399"/>
      <c r="G400" s="1399"/>
      <c r="H400" s="1399">
        <v>-1746370.76</v>
      </c>
      <c r="I400" s="1399"/>
      <c r="J400" s="1399">
        <v>-1746370.76</v>
      </c>
    </row>
    <row r="401" spans="5:10" s="1297" customFormat="1">
      <c r="E401" s="1297" t="s">
        <v>1005</v>
      </c>
      <c r="F401" s="1399"/>
      <c r="G401" s="1399"/>
      <c r="H401" s="1399">
        <v>1734815.66</v>
      </c>
      <c r="I401" s="1399"/>
      <c r="J401" s="1399">
        <v>1734815.66</v>
      </c>
    </row>
    <row r="402" spans="5:10" s="1297" customFormat="1">
      <c r="E402" s="1297" t="s">
        <v>1044</v>
      </c>
      <c r="F402" s="1399">
        <v>1429359.25</v>
      </c>
      <c r="G402" s="1399"/>
      <c r="H402" s="1399"/>
      <c r="I402" s="1399"/>
      <c r="J402" s="1399">
        <v>1429359.25</v>
      </c>
    </row>
    <row r="403" spans="5:10" s="1297" customFormat="1">
      <c r="E403" s="1297" t="s">
        <v>1045</v>
      </c>
      <c r="F403" s="1399"/>
      <c r="G403" s="1399"/>
      <c r="H403" s="1399">
        <v>4693889.2800000012</v>
      </c>
      <c r="I403" s="1399"/>
      <c r="J403" s="1399">
        <v>4693889.2800000012</v>
      </c>
    </row>
    <row r="404" spans="5:10" s="1297" customFormat="1">
      <c r="E404" s="1297" t="s">
        <v>1046</v>
      </c>
      <c r="F404" s="1399"/>
      <c r="G404" s="1399"/>
      <c r="H404" s="1399"/>
      <c r="I404" s="1399">
        <v>93181855</v>
      </c>
      <c r="J404" s="1399">
        <v>93181855</v>
      </c>
    </row>
    <row r="405" spans="5:10" s="1297" customFormat="1">
      <c r="E405" s="1297" t="s">
        <v>932</v>
      </c>
      <c r="F405" s="1399"/>
      <c r="G405" s="1399"/>
      <c r="H405" s="1399"/>
      <c r="I405" s="1399">
        <v>4678040</v>
      </c>
      <c r="J405" s="1399">
        <v>4678040</v>
      </c>
    </row>
    <row r="406" spans="5:10" s="1297" customFormat="1">
      <c r="E406" s="1404" t="s">
        <v>955</v>
      </c>
      <c r="F406" s="1405"/>
      <c r="G406" s="1405"/>
      <c r="H406" s="1405"/>
      <c r="I406" s="1405">
        <v>3268033.79</v>
      </c>
      <c r="J406" s="1405">
        <v>3268033.79</v>
      </c>
    </row>
    <row r="407" spans="5:10" s="1297" customFormat="1">
      <c r="E407" s="1297" t="s">
        <v>934</v>
      </c>
      <c r="F407" s="1399"/>
      <c r="G407" s="1399"/>
      <c r="H407" s="1399"/>
      <c r="I407" s="1399">
        <v>414721.99999999988</v>
      </c>
      <c r="J407" s="1399">
        <v>414721.99999999988</v>
      </c>
    </row>
    <row r="408" spans="5:10" s="1297" customFormat="1">
      <c r="E408" s="1297" t="s">
        <v>1130</v>
      </c>
      <c r="F408" s="1399"/>
      <c r="G408" s="1399"/>
      <c r="H408" s="1399"/>
      <c r="I408" s="1399">
        <v>1048870.1000000001</v>
      </c>
      <c r="J408" s="1399">
        <v>1048870.1000000001</v>
      </c>
    </row>
    <row r="409" spans="5:10" s="1297" customFormat="1">
      <c r="E409" s="1297" t="s">
        <v>935</v>
      </c>
      <c r="F409" s="1399"/>
      <c r="G409" s="1399"/>
      <c r="H409" s="1399"/>
      <c r="I409" s="1399">
        <v>5453929.5700000003</v>
      </c>
      <c r="J409" s="1399">
        <v>5453929.5700000003</v>
      </c>
    </row>
    <row r="410" spans="5:10" s="1297" customFormat="1">
      <c r="E410" s="1297" t="s">
        <v>936</v>
      </c>
      <c r="F410" s="1399"/>
      <c r="G410" s="1399"/>
      <c r="H410" s="1399"/>
      <c r="I410" s="1399">
        <v>386216.04</v>
      </c>
      <c r="J410" s="1399">
        <v>386216.04</v>
      </c>
    </row>
    <row r="411" spans="5:10" s="1297" customFormat="1">
      <c r="E411" s="1297" t="s">
        <v>937</v>
      </c>
      <c r="F411" s="1399"/>
      <c r="G411" s="1399"/>
      <c r="H411" s="1399"/>
      <c r="I411" s="1399">
        <v>32689.27</v>
      </c>
      <c r="J411" s="1399">
        <v>32689.27</v>
      </c>
    </row>
    <row r="412" spans="5:10" s="1297" customFormat="1">
      <c r="E412" s="1297" t="s">
        <v>938</v>
      </c>
      <c r="F412" s="1399"/>
      <c r="G412" s="1399"/>
      <c r="H412" s="1399"/>
      <c r="I412" s="1399">
        <v>128391</v>
      </c>
      <c r="J412" s="1399">
        <v>128391</v>
      </c>
    </row>
    <row r="413" spans="5:10" s="1297" customFormat="1">
      <c r="E413" s="1297" t="s">
        <v>939</v>
      </c>
      <c r="F413" s="1399"/>
      <c r="G413" s="1399"/>
      <c r="H413" s="1399"/>
      <c r="I413" s="1399">
        <v>46007.86</v>
      </c>
      <c r="J413" s="1399">
        <v>46007.86</v>
      </c>
    </row>
    <row r="414" spans="5:10" s="1297" customFormat="1">
      <c r="E414" s="1297" t="s">
        <v>1131</v>
      </c>
      <c r="F414" s="1399">
        <v>368945.77</v>
      </c>
      <c r="G414" s="1399"/>
      <c r="H414" s="1399"/>
      <c r="I414" s="1399"/>
      <c r="J414" s="1399">
        <v>368945.77</v>
      </c>
    </row>
    <row r="415" spans="5:10" s="1297" customFormat="1">
      <c r="E415" s="1297" t="s">
        <v>940</v>
      </c>
      <c r="F415" s="1399">
        <v>8314258.7599999979</v>
      </c>
      <c r="G415" s="1399"/>
      <c r="H415" s="1399"/>
      <c r="I415" s="1399"/>
      <c r="J415" s="1399">
        <v>8314258.7599999979</v>
      </c>
    </row>
    <row r="416" spans="5:10" s="1297" customFormat="1">
      <c r="E416" s="1297" t="s">
        <v>941</v>
      </c>
      <c r="F416" s="1399">
        <v>3029838.44</v>
      </c>
      <c r="G416" s="1399"/>
      <c r="H416" s="1399"/>
      <c r="I416" s="1399"/>
      <c r="J416" s="1399">
        <v>3029838.44</v>
      </c>
    </row>
    <row r="417" spans="2:12">
      <c r="B417" s="1297"/>
      <c r="C417" s="1297"/>
      <c r="D417" s="1297"/>
      <c r="E417" s="1297" t="s">
        <v>943</v>
      </c>
      <c r="F417" s="1399">
        <v>106470.43</v>
      </c>
      <c r="J417" s="1399">
        <v>106470.43</v>
      </c>
    </row>
    <row r="418" spans="2:12">
      <c r="B418" s="1297"/>
      <c r="C418" s="1297"/>
      <c r="D418" s="1297"/>
      <c r="E418" s="1297" t="s">
        <v>944</v>
      </c>
      <c r="F418" s="1399">
        <v>28254194.460000001</v>
      </c>
      <c r="J418" s="1399">
        <v>28254194.460000001</v>
      </c>
    </row>
    <row r="419" spans="2:12">
      <c r="B419" s="1297"/>
      <c r="C419" s="1297"/>
      <c r="D419" s="1297"/>
      <c r="E419" s="1297" t="s">
        <v>945</v>
      </c>
      <c r="F419" s="1399">
        <v>15233625.889999999</v>
      </c>
      <c r="J419" s="1399">
        <v>15233625.889999999</v>
      </c>
    </row>
    <row r="420" spans="2:12">
      <c r="B420" s="1297"/>
      <c r="C420" s="1297"/>
      <c r="D420" s="1297"/>
      <c r="E420" s="1297" t="s">
        <v>946</v>
      </c>
      <c r="F420" s="1399">
        <v>406089.94</v>
      </c>
      <c r="J420" s="1399">
        <v>406089.94</v>
      </c>
    </row>
    <row r="421" spans="2:12">
      <c r="B421" s="1297"/>
      <c r="C421" s="1297"/>
      <c r="D421" s="1297"/>
      <c r="E421" s="1297" t="s">
        <v>978</v>
      </c>
      <c r="F421" s="1399">
        <v>30329.8</v>
      </c>
      <c r="J421" s="1399">
        <v>30329.8</v>
      </c>
    </row>
    <row r="422" spans="2:12">
      <c r="B422" s="1297"/>
      <c r="C422" s="1297"/>
      <c r="D422" s="1297"/>
      <c r="E422" s="1297" t="s">
        <v>1006</v>
      </c>
      <c r="F422" s="1399">
        <v>22780.77</v>
      </c>
      <c r="J422" s="1399">
        <v>22780.77</v>
      </c>
    </row>
    <row r="423" spans="2:12">
      <c r="B423" s="1297"/>
      <c r="C423" s="1297"/>
      <c r="D423" s="1297"/>
      <c r="E423" s="1297" t="s">
        <v>947</v>
      </c>
      <c r="F423" s="1399">
        <v>831895.67999999993</v>
      </c>
      <c r="J423" s="1399">
        <v>831895.67999999993</v>
      </c>
    </row>
    <row r="424" spans="2:12">
      <c r="B424" s="1297"/>
      <c r="C424" s="1297"/>
      <c r="D424" s="1297"/>
      <c r="E424" s="1404" t="s">
        <v>1116</v>
      </c>
      <c r="F424" s="1405"/>
      <c r="G424" s="1405"/>
      <c r="H424" s="1405">
        <v>30000000</v>
      </c>
      <c r="I424" s="1405"/>
      <c r="J424" s="1405">
        <v>30000000</v>
      </c>
    </row>
    <row r="425" spans="2:12">
      <c r="B425" s="1297"/>
      <c r="C425" s="1297"/>
      <c r="D425" s="1297"/>
      <c r="E425" s="1404" t="s">
        <v>1117</v>
      </c>
      <c r="F425" s="1405"/>
      <c r="G425" s="1405"/>
      <c r="H425" s="1405">
        <v>2701490.25</v>
      </c>
      <c r="I425" s="1405"/>
      <c r="J425" s="1405">
        <v>2701490.25</v>
      </c>
    </row>
    <row r="426" spans="2:12">
      <c r="B426" s="1297"/>
      <c r="C426" s="1297"/>
      <c r="D426" s="1297"/>
      <c r="E426" s="1404" t="s">
        <v>948</v>
      </c>
      <c r="F426" s="1405"/>
      <c r="G426" s="1405"/>
      <c r="H426" s="1405">
        <v>27176695.380000003</v>
      </c>
      <c r="I426" s="1405"/>
      <c r="J426" s="1405">
        <v>27176695.380000003</v>
      </c>
    </row>
    <row r="427" spans="2:12">
      <c r="B427" s="1297"/>
      <c r="C427" s="1297"/>
      <c r="D427" s="1297"/>
      <c r="E427" s="1297" t="s">
        <v>956</v>
      </c>
      <c r="H427" s="1399">
        <v>126591.49</v>
      </c>
      <c r="J427" s="1399">
        <v>126591.49</v>
      </c>
    </row>
    <row r="428" spans="2:12">
      <c r="B428" s="1297"/>
      <c r="C428" s="1297"/>
      <c r="D428" s="1297"/>
      <c r="E428" s="1297" t="s">
        <v>1118</v>
      </c>
      <c r="H428" s="1399">
        <v>124.13</v>
      </c>
      <c r="J428" s="1399">
        <v>124.13</v>
      </c>
    </row>
    <row r="429" spans="2:12">
      <c r="B429" s="1297"/>
      <c r="C429" s="1297"/>
      <c r="D429" s="1400" t="s">
        <v>1007</v>
      </c>
      <c r="E429" s="1400"/>
      <c r="F429" s="1401">
        <f>SUM(F379:F428)</f>
        <v>58027789.189999998</v>
      </c>
      <c r="G429" s="1401">
        <f>SUM(G379:G428)</f>
        <v>112113685.19</v>
      </c>
      <c r="H429" s="1401">
        <f>SUM(H379:H428)-(H424+H425+H426)</f>
        <v>11482163.519999988</v>
      </c>
      <c r="I429" s="1401">
        <f>SUM(I379:I428)-I406</f>
        <v>105370720.84</v>
      </c>
      <c r="J429" s="1401">
        <f>SUM(J379:J428)</f>
        <v>350140578.15999997</v>
      </c>
      <c r="K429" s="1401">
        <f>SUM(F429:I429)</f>
        <v>286994358.74000001</v>
      </c>
      <c r="L429" s="1408">
        <f>K429/C379</f>
        <v>12131.990139499494</v>
      </c>
    </row>
    <row r="430" spans="2:12">
      <c r="B430" s="1297" t="s">
        <v>1008</v>
      </c>
      <c r="C430" s="1297">
        <v>2332</v>
      </c>
      <c r="D430" s="1297" t="s">
        <v>1009</v>
      </c>
      <c r="E430" s="1297" t="s">
        <v>906</v>
      </c>
      <c r="G430" s="1399">
        <v>3194258.48</v>
      </c>
      <c r="J430" s="1399">
        <v>3194258.48</v>
      </c>
    </row>
    <row r="431" spans="2:12">
      <c r="B431" s="1297"/>
      <c r="C431" s="1297"/>
      <c r="D431" s="1297"/>
      <c r="E431" s="1297" t="s">
        <v>952</v>
      </c>
      <c r="G431" s="1399">
        <v>30587.24</v>
      </c>
      <c r="J431" s="1399">
        <v>30587.24</v>
      </c>
    </row>
    <row r="432" spans="2:12">
      <c r="B432" s="1297"/>
      <c r="C432" s="1297"/>
      <c r="D432" s="1297"/>
      <c r="E432" s="1297" t="s">
        <v>907</v>
      </c>
      <c r="G432" s="1399">
        <v>978939.77</v>
      </c>
      <c r="J432" s="1399">
        <v>978939.77</v>
      </c>
    </row>
    <row r="433" spans="5:10" s="1297" customFormat="1">
      <c r="E433" s="1297" t="s">
        <v>908</v>
      </c>
      <c r="F433" s="1399"/>
      <c r="G433" s="1399">
        <v>7469.03</v>
      </c>
      <c r="H433" s="1399"/>
      <c r="I433" s="1399"/>
      <c r="J433" s="1399">
        <v>7469.03</v>
      </c>
    </row>
    <row r="434" spans="5:10" s="1297" customFormat="1">
      <c r="E434" s="1297" t="s">
        <v>909</v>
      </c>
      <c r="F434" s="1399"/>
      <c r="G434" s="1399"/>
      <c r="H434" s="1399">
        <v>2247.4</v>
      </c>
      <c r="I434" s="1399"/>
      <c r="J434" s="1399">
        <v>2247.4</v>
      </c>
    </row>
    <row r="435" spans="5:10" s="1297" customFormat="1">
      <c r="E435" s="1297" t="s">
        <v>1035</v>
      </c>
      <c r="F435" s="1399"/>
      <c r="G435" s="1399"/>
      <c r="H435" s="1399">
        <v>776867.97</v>
      </c>
      <c r="I435" s="1399"/>
      <c r="J435" s="1399">
        <v>776867.97</v>
      </c>
    </row>
    <row r="436" spans="5:10" s="1297" customFormat="1">
      <c r="E436" s="1297" t="s">
        <v>1036</v>
      </c>
      <c r="F436" s="1399"/>
      <c r="G436" s="1399"/>
      <c r="H436" s="1399">
        <v>12456.97</v>
      </c>
      <c r="I436" s="1399"/>
      <c r="J436" s="1399">
        <v>12456.97</v>
      </c>
    </row>
    <row r="437" spans="5:10" s="1297" customFormat="1">
      <c r="E437" s="1297" t="s">
        <v>1039</v>
      </c>
      <c r="F437" s="1399"/>
      <c r="G437" s="1399"/>
      <c r="H437" s="1399">
        <v>37976.860000000008</v>
      </c>
      <c r="I437" s="1399"/>
      <c r="J437" s="1399">
        <v>37976.860000000008</v>
      </c>
    </row>
    <row r="438" spans="5:10" s="1297" customFormat="1">
      <c r="E438" s="1297" t="s">
        <v>1040</v>
      </c>
      <c r="F438" s="1399"/>
      <c r="G438" s="1399"/>
      <c r="H438" s="1399">
        <v>258390.11</v>
      </c>
      <c r="I438" s="1399"/>
      <c r="J438" s="1399">
        <v>258390.11</v>
      </c>
    </row>
    <row r="439" spans="5:10" s="1297" customFormat="1">
      <c r="E439" s="1297" t="s">
        <v>1041</v>
      </c>
      <c r="F439" s="1399"/>
      <c r="G439" s="1399"/>
      <c r="H439" s="1399">
        <v>26381.3</v>
      </c>
      <c r="I439" s="1399"/>
      <c r="J439" s="1399">
        <v>26381.3</v>
      </c>
    </row>
    <row r="440" spans="5:10" s="1297" customFormat="1">
      <c r="E440" s="1297" t="s">
        <v>1042</v>
      </c>
      <c r="F440" s="1399"/>
      <c r="G440" s="1399"/>
      <c r="H440" s="1399">
        <v>60862.879999999997</v>
      </c>
      <c r="I440" s="1399"/>
      <c r="J440" s="1399">
        <v>60862.879999999997</v>
      </c>
    </row>
    <row r="441" spans="5:10" s="1297" customFormat="1">
      <c r="E441" s="1297" t="s">
        <v>1044</v>
      </c>
      <c r="F441" s="1399">
        <v>13</v>
      </c>
      <c r="G441" s="1399"/>
      <c r="H441" s="1399">
        <v>13</v>
      </c>
      <c r="I441" s="1399"/>
      <c r="J441" s="1399">
        <v>13</v>
      </c>
    </row>
    <row r="442" spans="5:10" s="1297" customFormat="1">
      <c r="E442" s="1297" t="s">
        <v>1045</v>
      </c>
      <c r="F442" s="1399"/>
      <c r="G442" s="1399"/>
      <c r="H442" s="1399">
        <v>311247.40000000002</v>
      </c>
      <c r="I442" s="1399"/>
      <c r="J442" s="1399">
        <v>311247.40000000002</v>
      </c>
    </row>
    <row r="443" spans="5:10" s="1297" customFormat="1">
      <c r="E443" s="1297" t="s">
        <v>1046</v>
      </c>
      <c r="F443" s="1399"/>
      <c r="G443" s="1399"/>
      <c r="H443" s="1399"/>
      <c r="I443" s="1399">
        <v>12364588</v>
      </c>
      <c r="J443" s="1399">
        <v>12364588</v>
      </c>
    </row>
    <row r="444" spans="5:10" s="1297" customFormat="1">
      <c r="E444" s="1297" t="s">
        <v>1047</v>
      </c>
      <c r="F444" s="1399"/>
      <c r="G444" s="1399"/>
      <c r="H444" s="1399"/>
      <c r="I444" s="1399">
        <v>424423</v>
      </c>
      <c r="J444" s="1399">
        <v>424423</v>
      </c>
    </row>
    <row r="445" spans="5:10" s="1297" customFormat="1">
      <c r="E445" s="1297" t="s">
        <v>1048</v>
      </c>
      <c r="F445" s="1399"/>
      <c r="G445" s="1399"/>
      <c r="H445" s="1399"/>
      <c r="I445" s="1399">
        <v>-1114388</v>
      </c>
      <c r="J445" s="1399">
        <v>-1114388</v>
      </c>
    </row>
    <row r="446" spans="5:10" s="1297" customFormat="1">
      <c r="E446" s="1297" t="s">
        <v>932</v>
      </c>
      <c r="F446" s="1399"/>
      <c r="G446" s="1399"/>
      <c r="H446" s="1399"/>
      <c r="I446" s="1399">
        <v>1492901</v>
      </c>
      <c r="J446" s="1399">
        <v>1492901</v>
      </c>
    </row>
    <row r="447" spans="5:10" s="1297" customFormat="1">
      <c r="E447" s="1297" t="s">
        <v>933</v>
      </c>
      <c r="F447" s="1399"/>
      <c r="G447" s="1399"/>
      <c r="H447" s="1399"/>
      <c r="I447" s="1399">
        <v>738266.2</v>
      </c>
      <c r="J447" s="1399">
        <v>738266.2</v>
      </c>
    </row>
    <row r="448" spans="5:10" s="1297" customFormat="1">
      <c r="E448" s="1297" t="s">
        <v>934</v>
      </c>
      <c r="F448" s="1399"/>
      <c r="G448" s="1399"/>
      <c r="H448" s="1399"/>
      <c r="I448" s="1399">
        <v>45868</v>
      </c>
      <c r="J448" s="1399">
        <v>45868</v>
      </c>
    </row>
    <row r="449" spans="5:10" s="1297" customFormat="1">
      <c r="E449" s="1297" t="s">
        <v>1130</v>
      </c>
      <c r="F449" s="1399"/>
      <c r="G449" s="1399"/>
      <c r="H449" s="1399"/>
      <c r="I449" s="1399">
        <v>190853.6</v>
      </c>
      <c r="J449" s="1399">
        <v>190853.6</v>
      </c>
    </row>
    <row r="450" spans="5:10" s="1297" customFormat="1">
      <c r="E450" s="1297" t="s">
        <v>935</v>
      </c>
      <c r="F450" s="1399"/>
      <c r="G450" s="1399"/>
      <c r="H450" s="1399"/>
      <c r="I450" s="1399">
        <v>244616.97000000003</v>
      </c>
      <c r="J450" s="1399">
        <v>244616.97000000003</v>
      </c>
    </row>
    <row r="451" spans="5:10" s="1297" customFormat="1">
      <c r="E451" s="1297" t="s">
        <v>936</v>
      </c>
      <c r="F451" s="1399"/>
      <c r="G451" s="1399"/>
      <c r="H451" s="1399"/>
      <c r="I451" s="1399">
        <v>39917.160000000003</v>
      </c>
      <c r="J451" s="1399">
        <v>39917.160000000003</v>
      </c>
    </row>
    <row r="452" spans="5:10" s="1297" customFormat="1">
      <c r="E452" s="1297" t="s">
        <v>937</v>
      </c>
      <c r="F452" s="1399"/>
      <c r="G452" s="1399"/>
      <c r="H452" s="1399"/>
      <c r="I452" s="1399">
        <v>21793.4</v>
      </c>
      <c r="J452" s="1399">
        <v>21793.4</v>
      </c>
    </row>
    <row r="453" spans="5:10" s="1297" customFormat="1">
      <c r="E453" s="1297" t="s">
        <v>938</v>
      </c>
      <c r="F453" s="1399"/>
      <c r="G453" s="1399"/>
      <c r="H453" s="1399"/>
      <c r="I453" s="1399">
        <v>15534</v>
      </c>
      <c r="J453" s="1399">
        <v>15534</v>
      </c>
    </row>
    <row r="454" spans="5:10" s="1297" customFormat="1">
      <c r="E454" s="1297" t="s">
        <v>939</v>
      </c>
      <c r="F454" s="1399"/>
      <c r="G454" s="1399"/>
      <c r="H454" s="1399"/>
      <c r="I454" s="1399">
        <v>41770.47</v>
      </c>
      <c r="J454" s="1399">
        <v>41770.47</v>
      </c>
    </row>
    <row r="455" spans="5:10" s="1297" customFormat="1">
      <c r="E455" s="1297" t="s">
        <v>1131</v>
      </c>
      <c r="F455" s="1399">
        <v>1329942.1599999999</v>
      </c>
      <c r="G455" s="1399"/>
      <c r="H455" s="1399"/>
      <c r="I455" s="1399"/>
      <c r="J455" s="1399">
        <v>1329942.1599999999</v>
      </c>
    </row>
    <row r="456" spans="5:10" s="1297" customFormat="1">
      <c r="E456" s="1297" t="s">
        <v>940</v>
      </c>
      <c r="F456" s="1399">
        <v>768530.94</v>
      </c>
      <c r="G456" s="1399"/>
      <c r="H456" s="1399"/>
      <c r="I456" s="1399"/>
      <c r="J456" s="1399">
        <v>768530.94</v>
      </c>
    </row>
    <row r="457" spans="5:10" s="1297" customFormat="1">
      <c r="E457" s="1297" t="s">
        <v>941</v>
      </c>
      <c r="F457" s="1399">
        <v>246090.6</v>
      </c>
      <c r="G457" s="1399"/>
      <c r="H457" s="1399"/>
      <c r="I457" s="1399"/>
      <c r="J457" s="1399">
        <v>246090.6</v>
      </c>
    </row>
    <row r="458" spans="5:10" s="1297" customFormat="1">
      <c r="E458" s="1297" t="s">
        <v>943</v>
      </c>
      <c r="F458" s="1399">
        <v>27227.56</v>
      </c>
      <c r="G458" s="1399"/>
      <c r="H458" s="1399"/>
      <c r="I458" s="1399"/>
      <c r="J458" s="1399">
        <v>27227.56</v>
      </c>
    </row>
    <row r="459" spans="5:10" s="1297" customFormat="1">
      <c r="E459" s="1297" t="s">
        <v>944</v>
      </c>
      <c r="F459" s="1399">
        <v>1805985.21</v>
      </c>
      <c r="G459" s="1399"/>
      <c r="H459" s="1399"/>
      <c r="I459" s="1399"/>
      <c r="J459" s="1399">
        <v>1805985.21</v>
      </c>
    </row>
    <row r="460" spans="5:10" s="1297" customFormat="1">
      <c r="E460" s="1297" t="s">
        <v>945</v>
      </c>
      <c r="F460" s="1399">
        <v>948042.32</v>
      </c>
      <c r="G460" s="1399"/>
      <c r="H460" s="1399"/>
      <c r="I460" s="1399"/>
      <c r="J460" s="1399">
        <v>948042.32</v>
      </c>
    </row>
    <row r="461" spans="5:10" s="1297" customFormat="1">
      <c r="E461" s="1297" t="s">
        <v>946</v>
      </c>
      <c r="F461" s="1399">
        <v>48975.72</v>
      </c>
      <c r="G461" s="1399"/>
      <c r="H461" s="1399"/>
      <c r="I461" s="1399"/>
      <c r="J461" s="1399">
        <v>48975.72</v>
      </c>
    </row>
    <row r="462" spans="5:10" s="1297" customFormat="1">
      <c r="E462" s="1297" t="s">
        <v>947</v>
      </c>
      <c r="F462" s="1399">
        <v>176038.5</v>
      </c>
      <c r="G462" s="1399"/>
      <c r="H462" s="1399"/>
      <c r="I462" s="1399"/>
      <c r="J462" s="1399">
        <v>176038.5</v>
      </c>
    </row>
    <row r="463" spans="5:10" s="1297" customFormat="1">
      <c r="E463" s="1404" t="s">
        <v>948</v>
      </c>
      <c r="F463" s="1405"/>
      <c r="G463" s="1405"/>
      <c r="H463" s="1405">
        <v>4279306.82</v>
      </c>
      <c r="I463" s="1405"/>
      <c r="J463" s="1405">
        <v>4279306.82</v>
      </c>
    </row>
    <row r="464" spans="5:10" s="1297" customFormat="1">
      <c r="E464" s="1297" t="s">
        <v>1118</v>
      </c>
      <c r="F464" s="1399"/>
      <c r="G464" s="1399"/>
      <c r="H464" s="1399">
        <v>900</v>
      </c>
      <c r="I464" s="1399"/>
      <c r="J464" s="1399">
        <v>900</v>
      </c>
    </row>
    <row r="465" spans="2:12">
      <c r="B465" s="1297"/>
      <c r="C465" s="1297"/>
      <c r="D465" s="1400" t="s">
        <v>1010</v>
      </c>
      <c r="E465" s="1400"/>
      <c r="F465" s="1401">
        <f>SUM(F430:F464)</f>
        <v>5350846.01</v>
      </c>
      <c r="G465" s="1401">
        <f>SUM(G430:G464)</f>
        <v>4211254.5200000005</v>
      </c>
      <c r="H465" s="1401">
        <f>SUM(H430:H464)-H463</f>
        <v>1487343.8900000006</v>
      </c>
      <c r="I465" s="1401">
        <f>SUM(I430:I464)</f>
        <v>14506143.800000001</v>
      </c>
      <c r="J465" s="1401">
        <f>SUM(J430:J464)</f>
        <v>29834882.039999999</v>
      </c>
      <c r="K465" s="1401">
        <f>SUM(F465:I465)</f>
        <v>25555588.220000003</v>
      </c>
      <c r="L465" s="1408">
        <f>K465/C430</f>
        <v>10958.657041166382</v>
      </c>
    </row>
    <row r="466" spans="2:12">
      <c r="B466" s="1297" t="s">
        <v>1011</v>
      </c>
      <c r="C466" s="1297">
        <v>3308</v>
      </c>
      <c r="D466" s="1297" t="s">
        <v>1012</v>
      </c>
      <c r="E466" s="1297" t="s">
        <v>906</v>
      </c>
      <c r="G466" s="1399">
        <v>4123002.98</v>
      </c>
      <c r="J466" s="1399">
        <v>4123002.98</v>
      </c>
    </row>
    <row r="467" spans="2:12">
      <c r="B467" s="1297"/>
      <c r="C467" s="1297"/>
      <c r="D467" s="1297"/>
      <c r="E467" s="1297" t="s">
        <v>907</v>
      </c>
      <c r="G467" s="1399">
        <v>1066140.3899999999</v>
      </c>
      <c r="J467" s="1399">
        <v>1066140.3899999999</v>
      </c>
    </row>
    <row r="468" spans="2:12">
      <c r="B468" s="1297"/>
      <c r="C468" s="1297"/>
      <c r="D468" s="1297"/>
      <c r="E468" s="1297" t="s">
        <v>908</v>
      </c>
      <c r="G468" s="1399">
        <v>66814.100000000006</v>
      </c>
      <c r="J468" s="1399">
        <v>66814.100000000006</v>
      </c>
    </row>
    <row r="469" spans="2:12">
      <c r="B469" s="1297"/>
      <c r="C469" s="1297"/>
      <c r="D469" s="1297"/>
      <c r="E469" s="1297" t="s">
        <v>909</v>
      </c>
      <c r="H469" s="1399">
        <v>15542.18</v>
      </c>
      <c r="J469" s="1399">
        <v>15542.18</v>
      </c>
    </row>
    <row r="470" spans="2:12">
      <c r="B470" s="1297"/>
      <c r="C470" s="1297"/>
      <c r="D470" s="1297"/>
      <c r="E470" s="1297" t="s">
        <v>910</v>
      </c>
      <c r="H470" s="1399">
        <v>1770</v>
      </c>
      <c r="J470" s="1399">
        <v>1770</v>
      </c>
    </row>
    <row r="471" spans="2:12">
      <c r="B471" s="1297"/>
      <c r="C471" s="1297"/>
      <c r="D471" s="1297"/>
      <c r="E471" s="1297" t="s">
        <v>1034</v>
      </c>
      <c r="H471" s="1399">
        <v>30100.959999999999</v>
      </c>
      <c r="J471" s="1399">
        <v>30100.959999999999</v>
      </c>
    </row>
    <row r="472" spans="2:12">
      <c r="B472" s="1297"/>
      <c r="C472" s="1297"/>
      <c r="D472" s="1297"/>
      <c r="E472" s="1297" t="s">
        <v>1035</v>
      </c>
      <c r="H472" s="1399">
        <v>648058.62000000011</v>
      </c>
      <c r="J472" s="1399">
        <v>648058.62000000011</v>
      </c>
    </row>
    <row r="473" spans="2:12">
      <c r="B473" s="1297"/>
      <c r="C473" s="1297"/>
      <c r="D473" s="1297"/>
      <c r="E473" s="1297" t="s">
        <v>1036</v>
      </c>
      <c r="H473" s="1399">
        <v>116089.09</v>
      </c>
      <c r="J473" s="1399">
        <v>116089.09</v>
      </c>
    </row>
    <row r="474" spans="2:12">
      <c r="B474" s="1297"/>
      <c r="C474" s="1297"/>
      <c r="D474" s="1297"/>
      <c r="E474" s="1297" t="s">
        <v>1039</v>
      </c>
      <c r="H474" s="1399">
        <v>141468.00000000003</v>
      </c>
      <c r="J474" s="1399">
        <v>141468.00000000003</v>
      </c>
    </row>
    <row r="475" spans="2:12">
      <c r="B475" s="1297"/>
      <c r="C475" s="1297"/>
      <c r="D475" s="1297"/>
      <c r="E475" s="1297" t="s">
        <v>1040</v>
      </c>
      <c r="H475" s="1399">
        <v>180350.97</v>
      </c>
      <c r="J475" s="1399">
        <v>180350.97</v>
      </c>
    </row>
    <row r="476" spans="2:12">
      <c r="B476" s="1297"/>
      <c r="C476" s="1297"/>
      <c r="D476" s="1297"/>
      <c r="E476" s="1297" t="s">
        <v>1041</v>
      </c>
      <c r="H476" s="1399">
        <v>45259.09</v>
      </c>
      <c r="J476" s="1399">
        <v>45259.09</v>
      </c>
    </row>
    <row r="477" spans="2:12">
      <c r="B477" s="1297"/>
      <c r="C477" s="1297"/>
      <c r="D477" s="1297"/>
      <c r="E477" s="1297" t="s">
        <v>1042</v>
      </c>
      <c r="H477" s="1399">
        <v>55005.36</v>
      </c>
      <c r="J477" s="1399">
        <v>55005.36</v>
      </c>
    </row>
    <row r="478" spans="2:12">
      <c r="B478" s="1297"/>
      <c r="C478" s="1297"/>
      <c r="D478" s="1297"/>
      <c r="E478" s="1297" t="s">
        <v>953</v>
      </c>
      <c r="H478" s="1399">
        <v>29781</v>
      </c>
      <c r="J478" s="1399">
        <v>29781</v>
      </c>
    </row>
    <row r="479" spans="2:12">
      <c r="B479" s="1297"/>
      <c r="C479" s="1297"/>
      <c r="D479" s="1297"/>
      <c r="E479" s="1297" t="s">
        <v>986</v>
      </c>
      <c r="H479" s="1399">
        <v>28701.68</v>
      </c>
      <c r="J479" s="1399">
        <v>28701.68</v>
      </c>
    </row>
    <row r="480" spans="2:12">
      <c r="B480" s="1297"/>
      <c r="C480" s="1297"/>
      <c r="D480" s="1297"/>
      <c r="E480" s="1297" t="s">
        <v>1045</v>
      </c>
      <c r="H480" s="1399">
        <v>217217.83000000002</v>
      </c>
      <c r="J480" s="1399">
        <v>217217.83000000002</v>
      </c>
    </row>
    <row r="481" spans="5:10" s="1297" customFormat="1">
      <c r="E481" s="1297" t="s">
        <v>1046</v>
      </c>
      <c r="F481" s="1399"/>
      <c r="G481" s="1399"/>
      <c r="H481" s="1399"/>
      <c r="I481" s="1399">
        <v>16459799</v>
      </c>
      <c r="J481" s="1399">
        <v>16459799</v>
      </c>
    </row>
    <row r="482" spans="5:10" s="1297" customFormat="1">
      <c r="E482" s="1297" t="s">
        <v>1047</v>
      </c>
      <c r="F482" s="1399"/>
      <c r="G482" s="1399"/>
      <c r="H482" s="1399"/>
      <c r="I482" s="1399">
        <v>627857</v>
      </c>
      <c r="J482" s="1399">
        <v>627857</v>
      </c>
    </row>
    <row r="483" spans="5:10" s="1297" customFormat="1">
      <c r="E483" s="1297" t="s">
        <v>1048</v>
      </c>
      <c r="F483" s="1399"/>
      <c r="G483" s="1399"/>
      <c r="H483" s="1399"/>
      <c r="I483" s="1399">
        <v>-1507339</v>
      </c>
      <c r="J483" s="1399">
        <v>-1507339</v>
      </c>
    </row>
    <row r="484" spans="5:10" s="1297" customFormat="1">
      <c r="E484" s="1297" t="s">
        <v>932</v>
      </c>
      <c r="F484" s="1399"/>
      <c r="G484" s="1399"/>
      <c r="H484" s="1399"/>
      <c r="I484" s="1399">
        <v>2343553</v>
      </c>
      <c r="J484" s="1399">
        <v>2343553</v>
      </c>
    </row>
    <row r="485" spans="5:10" s="1297" customFormat="1">
      <c r="E485" s="1297" t="s">
        <v>933</v>
      </c>
      <c r="F485" s="1399"/>
      <c r="G485" s="1399"/>
      <c r="H485" s="1399"/>
      <c r="I485" s="1399">
        <v>907022.35</v>
      </c>
      <c r="J485" s="1399">
        <v>907022.35</v>
      </c>
    </row>
    <row r="486" spans="5:10" s="1297" customFormat="1">
      <c r="E486" s="1297" t="s">
        <v>934</v>
      </c>
      <c r="F486" s="1399"/>
      <c r="G486" s="1399"/>
      <c r="H486" s="1399"/>
      <c r="I486" s="1399">
        <v>56510</v>
      </c>
      <c r="J486" s="1399">
        <v>56510</v>
      </c>
    </row>
    <row r="487" spans="5:10" s="1297" customFormat="1">
      <c r="E487" s="1297" t="s">
        <v>1130</v>
      </c>
      <c r="F487" s="1399"/>
      <c r="G487" s="1399"/>
      <c r="H487" s="1399"/>
      <c r="I487" s="1399">
        <v>180</v>
      </c>
      <c r="J487" s="1399">
        <v>180</v>
      </c>
    </row>
    <row r="488" spans="5:10" s="1297" customFormat="1">
      <c r="E488" s="1297" t="s">
        <v>935</v>
      </c>
      <c r="F488" s="1399"/>
      <c r="G488" s="1399"/>
      <c r="H488" s="1399"/>
      <c r="I488" s="1399">
        <v>475185.07</v>
      </c>
      <c r="J488" s="1399">
        <v>475185.07</v>
      </c>
    </row>
    <row r="489" spans="5:10" s="1297" customFormat="1">
      <c r="E489" s="1297" t="s">
        <v>936</v>
      </c>
      <c r="F489" s="1399"/>
      <c r="G489" s="1399"/>
      <c r="H489" s="1399"/>
      <c r="I489" s="1399">
        <v>54973.63</v>
      </c>
      <c r="J489" s="1399">
        <v>54973.63</v>
      </c>
    </row>
    <row r="490" spans="5:10" s="1297" customFormat="1">
      <c r="E490" s="1297" t="s">
        <v>937</v>
      </c>
      <c r="F490" s="1399"/>
      <c r="G490" s="1399"/>
      <c r="H490" s="1399"/>
      <c r="I490" s="1399">
        <v>2590.65</v>
      </c>
      <c r="J490" s="1399">
        <v>2590.65</v>
      </c>
    </row>
    <row r="491" spans="5:10" s="1297" customFormat="1">
      <c r="E491" s="1297" t="s">
        <v>938</v>
      </c>
      <c r="F491" s="1399"/>
      <c r="G491" s="1399"/>
      <c r="H491" s="1399"/>
      <c r="I491" s="1399">
        <v>19839</v>
      </c>
      <c r="J491" s="1399">
        <v>19839</v>
      </c>
    </row>
    <row r="492" spans="5:10" s="1297" customFormat="1">
      <c r="E492" s="1297" t="s">
        <v>1131</v>
      </c>
      <c r="F492" s="1399">
        <v>59487.37</v>
      </c>
      <c r="G492" s="1399"/>
      <c r="H492" s="1399"/>
      <c r="I492" s="1399"/>
      <c r="J492" s="1399">
        <v>59487.37</v>
      </c>
    </row>
    <row r="493" spans="5:10" s="1297" customFormat="1">
      <c r="E493" s="1297" t="s">
        <v>940</v>
      </c>
      <c r="F493" s="1399">
        <v>1100370.25</v>
      </c>
      <c r="G493" s="1399"/>
      <c r="H493" s="1399"/>
      <c r="I493" s="1399"/>
      <c r="J493" s="1399">
        <v>1100370.25</v>
      </c>
    </row>
    <row r="494" spans="5:10" s="1297" customFormat="1">
      <c r="E494" s="1297" t="s">
        <v>941</v>
      </c>
      <c r="F494" s="1399">
        <v>438311.05000000005</v>
      </c>
      <c r="G494" s="1399"/>
      <c r="H494" s="1399"/>
      <c r="I494" s="1399"/>
      <c r="J494" s="1399">
        <v>438311.05000000005</v>
      </c>
    </row>
    <row r="495" spans="5:10" s="1297" customFormat="1">
      <c r="E495" s="1297" t="s">
        <v>942</v>
      </c>
      <c r="F495" s="1399">
        <v>11561.34</v>
      </c>
      <c r="G495" s="1399"/>
      <c r="H495" s="1399"/>
      <c r="I495" s="1399"/>
      <c r="J495" s="1399">
        <v>11561.34</v>
      </c>
    </row>
    <row r="496" spans="5:10" s="1297" customFormat="1">
      <c r="E496" s="1297" t="s">
        <v>944</v>
      </c>
      <c r="F496" s="1399">
        <v>1681473.34</v>
      </c>
      <c r="G496" s="1399"/>
      <c r="H496" s="1399"/>
      <c r="I496" s="1399"/>
      <c r="J496" s="1399">
        <v>1681473.34</v>
      </c>
    </row>
    <row r="497" spans="2:12">
      <c r="B497" s="1297"/>
      <c r="C497" s="1297"/>
      <c r="D497" s="1297"/>
      <c r="E497" s="1297" t="s">
        <v>945</v>
      </c>
      <c r="F497" s="1399">
        <v>1513879.6300000001</v>
      </c>
      <c r="J497" s="1399">
        <v>1513879.6300000001</v>
      </c>
    </row>
    <row r="498" spans="2:12">
      <c r="B498" s="1297"/>
      <c r="C498" s="1297"/>
      <c r="D498" s="1297"/>
      <c r="E498" s="1297" t="s">
        <v>978</v>
      </c>
      <c r="F498" s="1399">
        <v>1200</v>
      </c>
      <c r="J498" s="1399">
        <v>1200</v>
      </c>
    </row>
    <row r="499" spans="2:12">
      <c r="B499" s="1297"/>
      <c r="C499" s="1297"/>
      <c r="D499" s="1297"/>
      <c r="E499" s="1297" t="s">
        <v>947</v>
      </c>
      <c r="F499" s="1399">
        <v>104069.65999999997</v>
      </c>
      <c r="J499" s="1399">
        <v>104069.65999999997</v>
      </c>
    </row>
    <row r="500" spans="2:12">
      <c r="B500" s="1297"/>
      <c r="C500" s="1297"/>
      <c r="D500" s="1297"/>
      <c r="E500" s="1297" t="s">
        <v>1115</v>
      </c>
      <c r="F500" s="1399">
        <v>48000</v>
      </c>
      <c r="J500" s="1399">
        <v>48000</v>
      </c>
    </row>
    <row r="501" spans="2:12">
      <c r="B501" s="1297"/>
      <c r="C501" s="1297"/>
      <c r="D501" s="1297"/>
      <c r="E501" s="1404" t="s">
        <v>948</v>
      </c>
      <c r="F501" s="1405"/>
      <c r="G501" s="1405"/>
      <c r="H501" s="1405">
        <v>132306.93</v>
      </c>
      <c r="I501" s="1405"/>
      <c r="J501" s="1405">
        <v>132306.93</v>
      </c>
    </row>
    <row r="502" spans="2:12">
      <c r="B502" s="1297"/>
      <c r="C502" s="1297"/>
      <c r="D502" s="1297"/>
      <c r="E502" s="1297" t="s">
        <v>956</v>
      </c>
      <c r="H502" s="1399">
        <v>6071</v>
      </c>
      <c r="J502" s="1399">
        <v>6071</v>
      </c>
    </row>
    <row r="503" spans="2:12">
      <c r="B503" s="1297"/>
      <c r="C503" s="1297"/>
      <c r="D503" s="1297"/>
      <c r="E503" s="1297" t="s">
        <v>1118</v>
      </c>
      <c r="H503" s="1399">
        <v>203.75</v>
      </c>
      <c r="J503" s="1399">
        <v>203.75</v>
      </c>
    </row>
    <row r="504" spans="2:12">
      <c r="B504" s="1297"/>
      <c r="C504" s="1297"/>
      <c r="D504" s="1400" t="s">
        <v>1013</v>
      </c>
      <c r="E504" s="1400"/>
      <c r="F504" s="1401">
        <f>SUM(F466:F503)</f>
        <v>4958352.6400000006</v>
      </c>
      <c r="G504" s="1401">
        <f>SUM(G466:G503)</f>
        <v>5255957.47</v>
      </c>
      <c r="H504" s="1401">
        <f>SUM(H466:H503)-H501</f>
        <v>1515619.5300000003</v>
      </c>
      <c r="I504" s="1401">
        <f>SUM(I466:I503)</f>
        <v>19440170.699999999</v>
      </c>
      <c r="J504" s="1401">
        <f>SUM(J466:J503)</f>
        <v>31302407.27</v>
      </c>
      <c r="K504" s="1401">
        <f>SUM(F504:I504)</f>
        <v>31170100.34</v>
      </c>
      <c r="L504" s="1408">
        <f>K504/C466</f>
        <v>9422.642182587666</v>
      </c>
    </row>
    <row r="505" spans="2:12">
      <c r="B505" s="1297" t="s">
        <v>1014</v>
      </c>
      <c r="C505" s="1297">
        <v>2204</v>
      </c>
      <c r="D505" s="1297" t="s">
        <v>1015</v>
      </c>
      <c r="E505" s="1297" t="s">
        <v>906</v>
      </c>
      <c r="G505" s="1399">
        <v>5648792.4199999999</v>
      </c>
      <c r="J505" s="1399">
        <v>5648792.4199999999</v>
      </c>
    </row>
    <row r="506" spans="2:12">
      <c r="B506" s="1297"/>
      <c r="C506" s="1297"/>
      <c r="D506" s="1297"/>
      <c r="E506" s="1297" t="s">
        <v>952</v>
      </c>
      <c r="G506" s="1399">
        <v>57271.94</v>
      </c>
      <c r="J506" s="1399">
        <v>57271.94</v>
      </c>
    </row>
    <row r="507" spans="2:12">
      <c r="B507" s="1297"/>
      <c r="C507" s="1297"/>
      <c r="D507" s="1297"/>
      <c r="E507" s="1297" t="s">
        <v>907</v>
      </c>
      <c r="G507" s="1399">
        <v>1079329.0900000001</v>
      </c>
      <c r="J507" s="1399">
        <v>1079329.0900000001</v>
      </c>
    </row>
    <row r="508" spans="2:12">
      <c r="B508" s="1297"/>
      <c r="C508" s="1297"/>
      <c r="D508" s="1297"/>
      <c r="E508" s="1297" t="s">
        <v>908</v>
      </c>
      <c r="H508" s="1399">
        <v>26523.7</v>
      </c>
      <c r="J508" s="1399">
        <v>26523.7</v>
      </c>
    </row>
    <row r="509" spans="2:12">
      <c r="B509" s="1297"/>
      <c r="C509" s="1297"/>
      <c r="D509" s="1297"/>
      <c r="E509" s="1297" t="s">
        <v>909</v>
      </c>
      <c r="H509" s="1399">
        <v>19115.2</v>
      </c>
      <c r="J509" s="1399">
        <v>19115.2</v>
      </c>
    </row>
    <row r="510" spans="2:12">
      <c r="B510" s="1297"/>
      <c r="C510" s="1297"/>
      <c r="D510" s="1297"/>
      <c r="E510" s="1297" t="s">
        <v>910</v>
      </c>
      <c r="H510" s="1399">
        <v>41430.18</v>
      </c>
      <c r="J510" s="1399">
        <v>41430.18</v>
      </c>
    </row>
    <row r="511" spans="2:12">
      <c r="B511" s="1297"/>
      <c r="C511" s="1297"/>
      <c r="D511" s="1297"/>
      <c r="E511" s="1297" t="s">
        <v>1034</v>
      </c>
      <c r="H511" s="1399">
        <v>11295.369999999999</v>
      </c>
      <c r="J511" s="1399">
        <v>11295.369999999999</v>
      </c>
    </row>
    <row r="512" spans="2:12">
      <c r="B512" s="1297"/>
      <c r="C512" s="1297"/>
      <c r="D512" s="1297"/>
      <c r="E512" s="1297" t="s">
        <v>1035</v>
      </c>
      <c r="H512" s="1399">
        <v>106595.65</v>
      </c>
      <c r="J512" s="1399">
        <v>106595.65</v>
      </c>
    </row>
    <row r="513" spans="5:10" s="1297" customFormat="1">
      <c r="E513" s="1297" t="s">
        <v>1036</v>
      </c>
      <c r="F513" s="1399"/>
      <c r="G513" s="1399"/>
      <c r="H513" s="1399">
        <v>86378.23</v>
      </c>
      <c r="I513" s="1399"/>
      <c r="J513" s="1399">
        <v>86378.23</v>
      </c>
    </row>
    <row r="514" spans="5:10" s="1297" customFormat="1">
      <c r="E514" s="1297" t="s">
        <v>1039</v>
      </c>
      <c r="F514" s="1399"/>
      <c r="G514" s="1399"/>
      <c r="H514" s="1399">
        <v>52018.6</v>
      </c>
      <c r="I514" s="1399"/>
      <c r="J514" s="1399">
        <v>52018.6</v>
      </c>
    </row>
    <row r="515" spans="5:10" s="1297" customFormat="1">
      <c r="E515" s="1297" t="s">
        <v>1040</v>
      </c>
      <c r="F515" s="1399"/>
      <c r="G515" s="1399"/>
      <c r="H515" s="1399">
        <v>85803.540000000008</v>
      </c>
      <c r="I515" s="1399"/>
      <c r="J515" s="1399">
        <v>85803.540000000008</v>
      </c>
    </row>
    <row r="516" spans="5:10" s="1297" customFormat="1">
      <c r="E516" s="1297" t="s">
        <v>1041</v>
      </c>
      <c r="F516" s="1399"/>
      <c r="G516" s="1399"/>
      <c r="H516" s="1399">
        <v>13513.28</v>
      </c>
      <c r="I516" s="1399"/>
      <c r="J516" s="1399">
        <v>13513.28</v>
      </c>
    </row>
    <row r="517" spans="5:10" s="1297" customFormat="1">
      <c r="E517" s="1297" t="s">
        <v>1042</v>
      </c>
      <c r="F517" s="1399"/>
      <c r="G517" s="1399"/>
      <c r="H517" s="1399">
        <v>45110.84</v>
      </c>
      <c r="I517" s="1399"/>
      <c r="J517" s="1399">
        <v>45110.84</v>
      </c>
    </row>
    <row r="518" spans="5:10" s="1297" customFormat="1">
      <c r="E518" s="1297" t="s">
        <v>996</v>
      </c>
      <c r="F518" s="1399"/>
      <c r="G518" s="1399"/>
      <c r="H518" s="1399">
        <v>-1852.28</v>
      </c>
      <c r="I518" s="1399"/>
      <c r="J518" s="1399">
        <v>-1852.28</v>
      </c>
    </row>
    <row r="519" spans="5:10" s="1297" customFormat="1">
      <c r="E519" s="1297" t="s">
        <v>1044</v>
      </c>
      <c r="F519" s="1399">
        <v>93734.15</v>
      </c>
      <c r="G519" s="1399"/>
      <c r="H519" s="1399"/>
      <c r="I519" s="1399"/>
      <c r="J519" s="1399">
        <v>93734.15</v>
      </c>
    </row>
    <row r="520" spans="5:10" s="1297" customFormat="1">
      <c r="E520" s="1297" t="s">
        <v>1045</v>
      </c>
      <c r="F520" s="1399"/>
      <c r="G520" s="1399"/>
      <c r="H520" s="1399">
        <v>198294.88</v>
      </c>
      <c r="I520" s="1399"/>
      <c r="J520" s="1399">
        <v>198294.88</v>
      </c>
    </row>
    <row r="521" spans="5:10" s="1297" customFormat="1">
      <c r="E521" s="1297" t="s">
        <v>1046</v>
      </c>
      <c r="F521" s="1399"/>
      <c r="G521" s="1399"/>
      <c r="H521" s="1399"/>
      <c r="I521" s="1399">
        <v>10744744</v>
      </c>
      <c r="J521" s="1399">
        <v>10744744</v>
      </c>
    </row>
    <row r="522" spans="5:10" s="1297" customFormat="1">
      <c r="E522" s="1297" t="s">
        <v>1047</v>
      </c>
      <c r="F522" s="1399"/>
      <c r="G522" s="1399"/>
      <c r="H522" s="1399"/>
      <c r="I522" s="1399">
        <v>429155.27</v>
      </c>
      <c r="J522" s="1399">
        <v>429155.27</v>
      </c>
    </row>
    <row r="523" spans="5:10" s="1297" customFormat="1">
      <c r="E523" s="1297" t="s">
        <v>1048</v>
      </c>
      <c r="F523" s="1399"/>
      <c r="G523" s="1399"/>
      <c r="H523" s="1399"/>
      <c r="I523" s="1399">
        <v>-2035637</v>
      </c>
      <c r="J523" s="1399">
        <v>-2035637</v>
      </c>
    </row>
    <row r="524" spans="5:10" s="1297" customFormat="1">
      <c r="E524" s="1297" t="s">
        <v>932</v>
      </c>
      <c r="F524" s="1399"/>
      <c r="G524" s="1399"/>
      <c r="H524" s="1399"/>
      <c r="I524" s="1399">
        <v>383432</v>
      </c>
      <c r="J524" s="1399">
        <v>383432</v>
      </c>
    </row>
    <row r="525" spans="5:10" s="1297" customFormat="1">
      <c r="E525" s="1404" t="s">
        <v>955</v>
      </c>
      <c r="F525" s="1405"/>
      <c r="G525" s="1405"/>
      <c r="H525" s="1405"/>
      <c r="I525" s="1405">
        <v>-3808.64</v>
      </c>
      <c r="J525" s="1405">
        <v>-3808.64</v>
      </c>
    </row>
    <row r="526" spans="5:10" s="1297" customFormat="1">
      <c r="E526" s="1297" t="s">
        <v>934</v>
      </c>
      <c r="F526" s="1399"/>
      <c r="G526" s="1399"/>
      <c r="H526" s="1399"/>
      <c r="I526" s="1399">
        <v>40882</v>
      </c>
      <c r="J526" s="1399">
        <v>40882</v>
      </c>
    </row>
    <row r="527" spans="5:10" s="1297" customFormat="1">
      <c r="E527" s="1297" t="s">
        <v>935</v>
      </c>
      <c r="F527" s="1399"/>
      <c r="G527" s="1399"/>
      <c r="H527" s="1399"/>
      <c r="I527" s="1399">
        <v>930032.08000000007</v>
      </c>
      <c r="J527" s="1399">
        <v>930032.08000000007</v>
      </c>
    </row>
    <row r="528" spans="5:10" s="1297" customFormat="1">
      <c r="E528" s="1297" t="s">
        <v>936</v>
      </c>
      <c r="F528" s="1399"/>
      <c r="G528" s="1399"/>
      <c r="H528" s="1399"/>
      <c r="I528" s="1399">
        <v>35365.199999999997</v>
      </c>
      <c r="J528" s="1399">
        <v>35365.199999999997</v>
      </c>
    </row>
    <row r="529" spans="2:12">
      <c r="B529" s="1297"/>
      <c r="C529" s="1297"/>
      <c r="D529" s="1297"/>
      <c r="E529" s="1297" t="s">
        <v>937</v>
      </c>
      <c r="I529" s="1399">
        <v>22855.7</v>
      </c>
      <c r="J529" s="1399">
        <v>22855.7</v>
      </c>
    </row>
    <row r="530" spans="2:12">
      <c r="B530" s="1297"/>
      <c r="C530" s="1297"/>
      <c r="D530" s="1297"/>
      <c r="E530" s="1297" t="s">
        <v>938</v>
      </c>
      <c r="I530" s="1399">
        <v>14786</v>
      </c>
      <c r="J530" s="1399">
        <v>14786</v>
      </c>
    </row>
    <row r="531" spans="2:12">
      <c r="B531" s="1297"/>
      <c r="C531" s="1297"/>
      <c r="D531" s="1297"/>
      <c r="E531" s="1297" t="s">
        <v>940</v>
      </c>
      <c r="F531" s="1399">
        <v>820803</v>
      </c>
      <c r="J531" s="1399">
        <v>820803</v>
      </c>
    </row>
    <row r="532" spans="2:12">
      <c r="B532" s="1297"/>
      <c r="C532" s="1297"/>
      <c r="D532" s="1297"/>
      <c r="E532" s="1297" t="s">
        <v>941</v>
      </c>
      <c r="F532" s="1399">
        <v>438513.42</v>
      </c>
      <c r="J532" s="1399">
        <v>438513.42</v>
      </c>
    </row>
    <row r="533" spans="2:12">
      <c r="B533" s="1297"/>
      <c r="C533" s="1297"/>
      <c r="D533" s="1297"/>
      <c r="E533" s="1297" t="s">
        <v>943</v>
      </c>
      <c r="F533" s="1399">
        <v>17244.219999999998</v>
      </c>
      <c r="J533" s="1399">
        <v>17244.219999999998</v>
      </c>
    </row>
    <row r="534" spans="2:12">
      <c r="B534" s="1297"/>
      <c r="C534" s="1297"/>
      <c r="D534" s="1297"/>
      <c r="E534" s="1297" t="s">
        <v>944</v>
      </c>
      <c r="F534" s="1399">
        <v>2588652.23</v>
      </c>
      <c r="J534" s="1399">
        <v>2588652.23</v>
      </c>
    </row>
    <row r="535" spans="2:12">
      <c r="B535" s="1297"/>
      <c r="C535" s="1297"/>
      <c r="D535" s="1297"/>
      <c r="E535" s="1297" t="s">
        <v>945</v>
      </c>
      <c r="F535" s="1399">
        <v>1193024.27</v>
      </c>
      <c r="J535" s="1399">
        <v>1193024.27</v>
      </c>
    </row>
    <row r="536" spans="2:12">
      <c r="B536" s="1297"/>
      <c r="C536" s="1297"/>
      <c r="D536" s="1297"/>
      <c r="E536" s="1297" t="s">
        <v>978</v>
      </c>
      <c r="F536" s="1399">
        <v>1200</v>
      </c>
      <c r="J536" s="1399">
        <v>1200</v>
      </c>
    </row>
    <row r="537" spans="2:12">
      <c r="B537" s="1297"/>
      <c r="C537" s="1297"/>
      <c r="D537" s="1297"/>
      <c r="E537" s="1297" t="s">
        <v>947</v>
      </c>
      <c r="F537" s="1399">
        <v>90678.739999999991</v>
      </c>
      <c r="J537" s="1399">
        <v>90678.739999999991</v>
      </c>
    </row>
    <row r="538" spans="2:12">
      <c r="B538" s="1297"/>
      <c r="C538" s="1297"/>
      <c r="D538" s="1297"/>
      <c r="E538" s="1404" t="s">
        <v>948</v>
      </c>
      <c r="F538" s="1405"/>
      <c r="G538" s="1405"/>
      <c r="H538" s="1405">
        <v>1169071.8899999999</v>
      </c>
      <c r="I538" s="1405"/>
      <c r="J538" s="1405">
        <v>1169071.8899999999</v>
      </c>
    </row>
    <row r="539" spans="2:12">
      <c r="B539" s="1297"/>
      <c r="C539" s="1297"/>
      <c r="D539" s="1400" t="s">
        <v>1016</v>
      </c>
      <c r="E539" s="1400"/>
      <c r="F539" s="1401">
        <f>SUM(F505:F538)</f>
        <v>5243850.03</v>
      </c>
      <c r="G539" s="1401">
        <f>SUM(G505:G538)</f>
        <v>6785393.4500000002</v>
      </c>
      <c r="H539" s="1401">
        <f>SUM(H505:H538)-H538</f>
        <v>684227.19</v>
      </c>
      <c r="I539" s="1401">
        <f>SUM(I505:I538)</f>
        <v>10561806.609999998</v>
      </c>
      <c r="J539" s="1401">
        <f>SUM(J505:J538)</f>
        <v>24444349.169999998</v>
      </c>
      <c r="K539" s="1401">
        <f>SUM(F539:I539)</f>
        <v>23275277.279999997</v>
      </c>
      <c r="L539" s="1408">
        <f>K539/C505</f>
        <v>10560.470635208711</v>
      </c>
    </row>
    <row r="540" spans="2:12">
      <c r="B540" s="1297" t="s">
        <v>1017</v>
      </c>
      <c r="C540" s="1297">
        <v>7354</v>
      </c>
      <c r="D540" s="1297" t="s">
        <v>1018</v>
      </c>
      <c r="E540" s="1297" t="s">
        <v>906</v>
      </c>
      <c r="G540" s="1399">
        <v>19852987.77</v>
      </c>
      <c r="J540" s="1399">
        <v>19852987.77</v>
      </c>
    </row>
    <row r="541" spans="2:12">
      <c r="B541" s="1297"/>
      <c r="C541" s="1297"/>
      <c r="D541" s="1297"/>
      <c r="E541" s="1297" t="s">
        <v>952</v>
      </c>
      <c r="G541" s="1399">
        <v>96201.8</v>
      </c>
      <c r="J541" s="1399">
        <v>96201.8</v>
      </c>
    </row>
    <row r="542" spans="2:12">
      <c r="B542" s="1297"/>
      <c r="C542" s="1297"/>
      <c r="D542" s="1297"/>
      <c r="E542" s="1297" t="s">
        <v>907</v>
      </c>
      <c r="G542" s="1399">
        <v>5010195.18</v>
      </c>
      <c r="J542" s="1399">
        <v>5010195.18</v>
      </c>
    </row>
    <row r="543" spans="2:12">
      <c r="B543" s="1297"/>
      <c r="C543" s="1297"/>
      <c r="D543" s="1297"/>
      <c r="E543" s="1297" t="s">
        <v>908</v>
      </c>
      <c r="G543" s="1399">
        <v>26321.37</v>
      </c>
      <c r="J543" s="1399">
        <v>26321.37</v>
      </c>
    </row>
    <row r="544" spans="2:12">
      <c r="B544" s="1297"/>
      <c r="C544" s="1297"/>
      <c r="D544" s="1297"/>
      <c r="E544" s="1297" t="s">
        <v>1122</v>
      </c>
      <c r="H544" s="1399">
        <v>-2047</v>
      </c>
      <c r="J544" s="1399">
        <v>-2047</v>
      </c>
    </row>
    <row r="545" spans="5:10" s="1297" customFormat="1">
      <c r="E545" s="1297" t="s">
        <v>909</v>
      </c>
      <c r="F545" s="1399"/>
      <c r="G545" s="1399"/>
      <c r="H545" s="1399">
        <v>16385.689999999999</v>
      </c>
      <c r="I545" s="1399"/>
      <c r="J545" s="1399">
        <v>16385.689999999999</v>
      </c>
    </row>
    <row r="546" spans="5:10" s="1297" customFormat="1">
      <c r="E546" s="1297" t="s">
        <v>910</v>
      </c>
      <c r="F546" s="1399"/>
      <c r="G546" s="1399"/>
      <c r="H546" s="1399">
        <v>131053.62</v>
      </c>
      <c r="I546" s="1399"/>
      <c r="J546" s="1399">
        <v>131053.62</v>
      </c>
    </row>
    <row r="547" spans="5:10" s="1297" customFormat="1">
      <c r="E547" s="1297" t="s">
        <v>1034</v>
      </c>
      <c r="F547" s="1399"/>
      <c r="G547" s="1399"/>
      <c r="H547" s="1399">
        <v>45134.04</v>
      </c>
      <c r="I547" s="1399"/>
      <c r="J547" s="1399">
        <v>45134.04</v>
      </c>
    </row>
    <row r="548" spans="5:10" s="1297" customFormat="1">
      <c r="E548" s="1297" t="s">
        <v>1035</v>
      </c>
      <c r="F548" s="1399"/>
      <c r="G548" s="1399"/>
      <c r="H548" s="1399">
        <v>526253.48</v>
      </c>
      <c r="I548" s="1399"/>
      <c r="J548" s="1399">
        <v>526253.48</v>
      </c>
    </row>
    <row r="549" spans="5:10" s="1297" customFormat="1">
      <c r="E549" s="1297" t="s">
        <v>1036</v>
      </c>
      <c r="F549" s="1399"/>
      <c r="G549" s="1399"/>
      <c r="H549" s="1399">
        <v>164451.71</v>
      </c>
      <c r="I549" s="1399"/>
      <c r="J549" s="1399">
        <v>164451.71</v>
      </c>
    </row>
    <row r="550" spans="5:10" s="1297" customFormat="1">
      <c r="E550" s="1297" t="s">
        <v>1039</v>
      </c>
      <c r="F550" s="1399"/>
      <c r="G550" s="1399"/>
      <c r="H550" s="1399">
        <v>419494.04</v>
      </c>
      <c r="I550" s="1399"/>
      <c r="J550" s="1399">
        <v>419494.04</v>
      </c>
    </row>
    <row r="551" spans="5:10" s="1297" customFormat="1">
      <c r="E551" s="1297" t="s">
        <v>1040</v>
      </c>
      <c r="F551" s="1399"/>
      <c r="G551" s="1399"/>
      <c r="H551" s="1399">
        <v>1048189.42</v>
      </c>
      <c r="I551" s="1399"/>
      <c r="J551" s="1399">
        <v>1048189.42</v>
      </c>
    </row>
    <row r="552" spans="5:10" s="1297" customFormat="1">
      <c r="E552" s="1297" t="s">
        <v>1041</v>
      </c>
      <c r="F552" s="1399"/>
      <c r="G552" s="1399"/>
      <c r="H552" s="1399">
        <v>174842.82</v>
      </c>
      <c r="I552" s="1399"/>
      <c r="J552" s="1399">
        <v>174842.82</v>
      </c>
    </row>
    <row r="553" spans="5:10" s="1297" customFormat="1">
      <c r="E553" s="1297" t="s">
        <v>1042</v>
      </c>
      <c r="F553" s="1399"/>
      <c r="G553" s="1399"/>
      <c r="H553" s="1399">
        <v>93323.32</v>
      </c>
      <c r="I553" s="1399"/>
      <c r="J553" s="1399">
        <v>93323.32</v>
      </c>
    </row>
    <row r="554" spans="5:10" s="1297" customFormat="1">
      <c r="E554" s="1297" t="s">
        <v>985</v>
      </c>
      <c r="F554" s="1399"/>
      <c r="G554" s="1399"/>
      <c r="H554" s="1399">
        <v>878051.86</v>
      </c>
      <c r="I554" s="1399"/>
      <c r="J554" s="1399">
        <v>878051.86</v>
      </c>
    </row>
    <row r="555" spans="5:10" s="1297" customFormat="1">
      <c r="E555" s="1297" t="s">
        <v>1044</v>
      </c>
      <c r="F555" s="1399">
        <v>22736.9</v>
      </c>
      <c r="G555" s="1399"/>
      <c r="H555" s="1399"/>
      <c r="I555" s="1399"/>
      <c r="J555" s="1399">
        <v>22736.9</v>
      </c>
    </row>
    <row r="556" spans="5:10" s="1297" customFormat="1">
      <c r="E556" s="1297" t="s">
        <v>1045</v>
      </c>
      <c r="F556" s="1399"/>
      <c r="G556" s="1399"/>
      <c r="H556" s="1399">
        <v>231120.73</v>
      </c>
      <c r="I556" s="1399"/>
      <c r="J556" s="1399">
        <v>231120.73</v>
      </c>
    </row>
    <row r="557" spans="5:10" s="1297" customFormat="1">
      <c r="E557" s="1297" t="s">
        <v>1046</v>
      </c>
      <c r="F557" s="1399"/>
      <c r="G557" s="1399"/>
      <c r="H557" s="1399"/>
      <c r="I557" s="1399">
        <v>35414847</v>
      </c>
      <c r="J557" s="1399">
        <v>35414847</v>
      </c>
    </row>
    <row r="558" spans="5:10" s="1297" customFormat="1">
      <c r="E558" s="1297" t="s">
        <v>1128</v>
      </c>
      <c r="F558" s="1399"/>
      <c r="G558" s="1399"/>
      <c r="H558" s="1399"/>
      <c r="I558" s="1399">
        <v>3146868</v>
      </c>
      <c r="J558" s="1399">
        <v>3146868</v>
      </c>
    </row>
    <row r="559" spans="5:10" s="1297" customFormat="1">
      <c r="E559" s="1297" t="s">
        <v>1129</v>
      </c>
      <c r="F559" s="1399"/>
      <c r="G559" s="1399"/>
      <c r="H559" s="1399"/>
      <c r="I559" s="1399">
        <v>-4491870</v>
      </c>
      <c r="J559" s="1399">
        <v>-4491870</v>
      </c>
    </row>
    <row r="560" spans="5:10" s="1297" customFormat="1">
      <c r="E560" s="1297" t="s">
        <v>1047</v>
      </c>
      <c r="F560" s="1399"/>
      <c r="G560" s="1399"/>
      <c r="H560" s="1399"/>
      <c r="I560" s="1399">
        <v>603082</v>
      </c>
      <c r="J560" s="1399">
        <v>603082</v>
      </c>
    </row>
    <row r="561" spans="2:12">
      <c r="B561" s="1297"/>
      <c r="C561" s="1297"/>
      <c r="D561" s="1297"/>
      <c r="E561" s="1297" t="s">
        <v>1048</v>
      </c>
      <c r="I561" s="1399">
        <v>-5737449</v>
      </c>
      <c r="J561" s="1399">
        <v>-5737449</v>
      </c>
    </row>
    <row r="562" spans="2:12">
      <c r="B562" s="1297"/>
      <c r="C562" s="1297"/>
      <c r="D562" s="1297"/>
      <c r="E562" s="1297" t="s">
        <v>932</v>
      </c>
      <c r="I562" s="1399">
        <v>1603515</v>
      </c>
      <c r="J562" s="1399">
        <v>1603515</v>
      </c>
    </row>
    <row r="563" spans="2:12">
      <c r="B563" s="1297"/>
      <c r="C563" s="1297"/>
      <c r="D563" s="1297"/>
      <c r="E563" s="1404" t="s">
        <v>955</v>
      </c>
      <c r="F563" s="1405"/>
      <c r="G563" s="1405"/>
      <c r="H563" s="1405"/>
      <c r="I563" s="1405">
        <v>1040898.33</v>
      </c>
      <c r="J563" s="1405">
        <v>1040898.33</v>
      </c>
    </row>
    <row r="564" spans="2:12">
      <c r="B564" s="1297"/>
      <c r="C564" s="1297"/>
      <c r="D564" s="1297"/>
      <c r="E564" s="1297" t="s">
        <v>934</v>
      </c>
      <c r="I564" s="1399">
        <v>100410</v>
      </c>
      <c r="J564" s="1399">
        <v>100410</v>
      </c>
    </row>
    <row r="565" spans="2:12">
      <c r="B565" s="1297"/>
      <c r="C565" s="1297"/>
      <c r="D565" s="1297"/>
      <c r="E565" s="1297" t="s">
        <v>935</v>
      </c>
      <c r="I565" s="1399">
        <v>392770.27</v>
      </c>
      <c r="J565" s="1399">
        <v>392770.27</v>
      </c>
    </row>
    <row r="566" spans="2:12">
      <c r="B566" s="1297"/>
      <c r="C566" s="1297"/>
      <c r="D566" s="1297"/>
      <c r="E566" s="1297" t="s">
        <v>936</v>
      </c>
      <c r="I566" s="1399">
        <v>80534.62</v>
      </c>
      <c r="J566" s="1399">
        <v>80534.62</v>
      </c>
    </row>
    <row r="567" spans="2:12">
      <c r="B567" s="1297"/>
      <c r="C567" s="1297"/>
      <c r="D567" s="1297"/>
      <c r="E567" s="1297" t="s">
        <v>938</v>
      </c>
      <c r="I567" s="1399">
        <v>27700</v>
      </c>
      <c r="J567" s="1399">
        <v>27700</v>
      </c>
    </row>
    <row r="568" spans="2:12">
      <c r="B568" s="1297"/>
      <c r="C568" s="1297"/>
      <c r="D568" s="1297"/>
      <c r="E568" s="1297" t="s">
        <v>1131</v>
      </c>
      <c r="F568" s="1399">
        <v>200283.28999999998</v>
      </c>
      <c r="J568" s="1399">
        <v>200283.28999999998</v>
      </c>
    </row>
    <row r="569" spans="2:12">
      <c r="B569" s="1297"/>
      <c r="C569" s="1297"/>
      <c r="D569" s="1297"/>
      <c r="E569" s="1297" t="s">
        <v>940</v>
      </c>
      <c r="F569" s="1399">
        <v>1288087.6599999999</v>
      </c>
      <c r="J569" s="1399">
        <v>1288087.6599999999</v>
      </c>
    </row>
    <row r="570" spans="2:12">
      <c r="B570" s="1297"/>
      <c r="C570" s="1297"/>
      <c r="D570" s="1297"/>
      <c r="E570" s="1297" t="s">
        <v>941</v>
      </c>
      <c r="F570" s="1399">
        <v>209012.24</v>
      </c>
      <c r="J570" s="1399">
        <v>209012.24</v>
      </c>
    </row>
    <row r="571" spans="2:12">
      <c r="B571" s="1297"/>
      <c r="C571" s="1297"/>
      <c r="D571" s="1297"/>
      <c r="E571" s="1297" t="s">
        <v>944</v>
      </c>
      <c r="F571" s="1399">
        <v>2100207.79</v>
      </c>
      <c r="J571" s="1399">
        <v>2100207.79</v>
      </c>
    </row>
    <row r="572" spans="2:12">
      <c r="B572" s="1297"/>
      <c r="C572" s="1297"/>
      <c r="D572" s="1297"/>
      <c r="E572" s="1297" t="s">
        <v>945</v>
      </c>
      <c r="F572" s="1399">
        <v>2134367.83</v>
      </c>
      <c r="J572" s="1399">
        <v>2134367.83</v>
      </c>
    </row>
    <row r="573" spans="2:12">
      <c r="B573" s="1297"/>
      <c r="C573" s="1297"/>
      <c r="D573" s="1297"/>
      <c r="E573" s="1297" t="s">
        <v>1006</v>
      </c>
      <c r="F573" s="1399">
        <v>349018.05</v>
      </c>
      <c r="J573" s="1399">
        <v>349018.05</v>
      </c>
    </row>
    <row r="574" spans="2:12">
      <c r="B574" s="1297"/>
      <c r="C574" s="1297"/>
      <c r="D574" s="1297"/>
      <c r="E574" s="1297" t="s">
        <v>947</v>
      </c>
      <c r="F574" s="1399">
        <v>400712.24</v>
      </c>
      <c r="J574" s="1399">
        <v>400712.24</v>
      </c>
    </row>
    <row r="575" spans="2:12">
      <c r="B575" s="1297"/>
      <c r="C575" s="1297"/>
      <c r="D575" s="1297"/>
      <c r="E575" s="1404" t="s">
        <v>948</v>
      </c>
      <c r="F575" s="1405"/>
      <c r="G575" s="1405"/>
      <c r="H575" s="1405">
        <v>5861682.5700000003</v>
      </c>
      <c r="I575" s="1405"/>
      <c r="J575" s="1405">
        <v>5861682.5700000003</v>
      </c>
    </row>
    <row r="576" spans="2:12">
      <c r="B576" s="1297"/>
      <c r="C576" s="1297"/>
      <c r="D576" s="1400" t="s">
        <v>1019</v>
      </c>
      <c r="E576" s="1400"/>
      <c r="F576" s="1410">
        <f>SUM(F540:F575)</f>
        <v>6704426</v>
      </c>
      <c r="G576" s="1410">
        <f>SUM(G540:G575)</f>
        <v>24985706.120000001</v>
      </c>
      <c r="H576" s="1410">
        <f>SUM(H540:H575)-H575</f>
        <v>3726253.7300000004</v>
      </c>
      <c r="I576" s="1410">
        <f>SUM(I540:I575)-I563</f>
        <v>31140407.890000001</v>
      </c>
      <c r="J576" s="1410">
        <f>SUM(J540:J575)</f>
        <v>73459374.639999986</v>
      </c>
      <c r="K576" s="1401">
        <f>SUM(F576:I576)</f>
        <v>66556793.740000002</v>
      </c>
      <c r="L576" s="1408">
        <f>K576/C540</f>
        <v>9050.4206880609199</v>
      </c>
    </row>
    <row r="577" spans="2:10" s="1297" customFormat="1">
      <c r="B577" s="1297" t="s">
        <v>1020</v>
      </c>
      <c r="C577" s="1297">
        <v>9031</v>
      </c>
      <c r="D577" s="1297" t="s">
        <v>1021</v>
      </c>
      <c r="E577" s="1297" t="s">
        <v>906</v>
      </c>
      <c r="F577" s="1399"/>
      <c r="G577" s="1399">
        <v>18547231.27</v>
      </c>
      <c r="H577" s="1399"/>
      <c r="I577" s="1399"/>
      <c r="J577" s="1399">
        <v>18547231.27</v>
      </c>
    </row>
    <row r="578" spans="2:10" s="1297" customFormat="1">
      <c r="E578" s="1297" t="s">
        <v>1126</v>
      </c>
      <c r="F578" s="1399"/>
      <c r="G578" s="1399">
        <v>10041732.15</v>
      </c>
      <c r="H578" s="1399"/>
      <c r="I578" s="1399"/>
      <c r="J578" s="1399">
        <v>10041732.15</v>
      </c>
    </row>
    <row r="579" spans="2:10" s="1297" customFormat="1">
      <c r="E579" s="1297" t="s">
        <v>952</v>
      </c>
      <c r="F579" s="1399"/>
      <c r="G579" s="1399">
        <v>307599.13</v>
      </c>
      <c r="H579" s="1399"/>
      <c r="I579" s="1399"/>
      <c r="J579" s="1399">
        <v>307599.13</v>
      </c>
    </row>
    <row r="580" spans="2:10" s="1297" customFormat="1">
      <c r="E580" s="1297" t="s">
        <v>907</v>
      </c>
      <c r="F580" s="1399"/>
      <c r="G580" s="1399">
        <v>10038558.5</v>
      </c>
      <c r="H580" s="1399"/>
      <c r="I580" s="1399"/>
      <c r="J580" s="1399">
        <v>10038558.5</v>
      </c>
    </row>
    <row r="581" spans="2:10" s="1297" customFormat="1">
      <c r="E581" s="1297" t="s">
        <v>908</v>
      </c>
      <c r="F581" s="1399"/>
      <c r="G581" s="1399">
        <v>9519.0400000000009</v>
      </c>
      <c r="H581" s="1399"/>
      <c r="I581" s="1399"/>
      <c r="J581" s="1399">
        <v>9519.0400000000009</v>
      </c>
    </row>
    <row r="582" spans="2:10" s="1297" customFormat="1">
      <c r="E582" s="1297" t="s">
        <v>1122</v>
      </c>
      <c r="F582" s="1399"/>
      <c r="G582" s="1399"/>
      <c r="H582" s="1399">
        <v>-280960</v>
      </c>
      <c r="I582" s="1399"/>
      <c r="J582" s="1399">
        <v>-280960</v>
      </c>
    </row>
    <row r="583" spans="2:10" s="1297" customFormat="1">
      <c r="E583" s="1297" t="s">
        <v>1035</v>
      </c>
      <c r="F583" s="1399"/>
      <c r="G583" s="1399"/>
      <c r="H583" s="1399">
        <v>125833.59</v>
      </c>
      <c r="I583" s="1399"/>
      <c r="J583" s="1399">
        <v>125833.59</v>
      </c>
    </row>
    <row r="584" spans="2:10" s="1297" customFormat="1">
      <c r="E584" s="1297" t="s">
        <v>1036</v>
      </c>
      <c r="F584" s="1399"/>
      <c r="G584" s="1399"/>
      <c r="H584" s="1399">
        <v>183756.22</v>
      </c>
      <c r="I584" s="1399"/>
      <c r="J584" s="1399">
        <v>183756.22</v>
      </c>
    </row>
    <row r="585" spans="2:10" s="1297" customFormat="1">
      <c r="E585" s="1297" t="s">
        <v>1037</v>
      </c>
      <c r="F585" s="1399"/>
      <c r="G585" s="1399"/>
      <c r="H585" s="1399">
        <v>1329</v>
      </c>
      <c r="I585" s="1399"/>
      <c r="J585" s="1399">
        <v>1329</v>
      </c>
    </row>
    <row r="586" spans="2:10" s="1297" customFormat="1">
      <c r="E586" s="1297" t="s">
        <v>1039</v>
      </c>
      <c r="F586" s="1399"/>
      <c r="G586" s="1399"/>
      <c r="H586" s="1399">
        <v>160934.73000000007</v>
      </c>
      <c r="I586" s="1399"/>
      <c r="J586" s="1399">
        <v>160934.73000000007</v>
      </c>
    </row>
    <row r="587" spans="2:10" s="1297" customFormat="1">
      <c r="E587" s="1297" t="s">
        <v>1040</v>
      </c>
      <c r="F587" s="1399"/>
      <c r="G587" s="1399"/>
      <c r="H587" s="1399">
        <v>796909.39999999991</v>
      </c>
      <c r="I587" s="1399"/>
      <c r="J587" s="1399">
        <v>796909.39999999991</v>
      </c>
    </row>
    <row r="588" spans="2:10" s="1297" customFormat="1">
      <c r="E588" s="1297" t="s">
        <v>1041</v>
      </c>
      <c r="F588" s="1399"/>
      <c r="G588" s="1399"/>
      <c r="H588" s="1399">
        <v>283618.65000000002</v>
      </c>
      <c r="I588" s="1399"/>
      <c r="J588" s="1399">
        <v>283618.65000000002</v>
      </c>
    </row>
    <row r="589" spans="2:10" s="1297" customFormat="1">
      <c r="E589" s="1297" t="s">
        <v>1042</v>
      </c>
      <c r="F589" s="1399"/>
      <c r="G589" s="1399"/>
      <c r="H589" s="1399">
        <v>138649.51999999999</v>
      </c>
      <c r="I589" s="1399"/>
      <c r="J589" s="1399">
        <v>138649.51999999999</v>
      </c>
    </row>
    <row r="590" spans="2:10" s="1297" customFormat="1">
      <c r="E590" s="1297" t="s">
        <v>954</v>
      </c>
      <c r="F590" s="1399"/>
      <c r="G590" s="1399"/>
      <c r="H590" s="1399">
        <v>1668037.1400000001</v>
      </c>
      <c r="I590" s="1399"/>
      <c r="J590" s="1399">
        <v>1668037.1400000001</v>
      </c>
    </row>
    <row r="591" spans="2:10" s="1297" customFormat="1">
      <c r="E591" s="1297" t="s">
        <v>986</v>
      </c>
      <c r="F591" s="1399"/>
      <c r="G591" s="1399"/>
      <c r="H591" s="1399">
        <v>119572.03</v>
      </c>
      <c r="I591" s="1399"/>
      <c r="J591" s="1399">
        <v>119572.03</v>
      </c>
    </row>
    <row r="592" spans="2:10" s="1297" customFormat="1">
      <c r="E592" s="1297" t="s">
        <v>996</v>
      </c>
      <c r="F592" s="1399"/>
      <c r="G592" s="1399"/>
      <c r="H592" s="1399">
        <v>115350</v>
      </c>
      <c r="I592" s="1399"/>
      <c r="J592" s="1399">
        <v>115350</v>
      </c>
    </row>
    <row r="593" spans="5:10" s="1297" customFormat="1">
      <c r="E593" s="1297" t="s">
        <v>1044</v>
      </c>
      <c r="F593" s="1399">
        <v>295589.14</v>
      </c>
      <c r="G593" s="1399"/>
      <c r="H593" s="1399"/>
      <c r="I593" s="1399"/>
      <c r="J593" s="1399">
        <v>295589.14</v>
      </c>
    </row>
    <row r="594" spans="5:10" s="1297" customFormat="1">
      <c r="E594" s="1297" t="s">
        <v>1045</v>
      </c>
      <c r="F594" s="1399"/>
      <c r="G594" s="1399"/>
      <c r="H594" s="1399">
        <v>877806.66999999981</v>
      </c>
      <c r="I594" s="1399"/>
      <c r="J594" s="1399">
        <v>877806.66999999981</v>
      </c>
    </row>
    <row r="595" spans="5:10" s="1297" customFormat="1">
      <c r="E595" s="1297" t="s">
        <v>1046</v>
      </c>
      <c r="F595" s="1399"/>
      <c r="G595" s="1399"/>
      <c r="H595" s="1399"/>
      <c r="I595" s="1399">
        <v>47740760</v>
      </c>
      <c r="J595" s="1399">
        <v>47740760</v>
      </c>
    </row>
    <row r="596" spans="5:10" s="1297" customFormat="1">
      <c r="E596" s="1297" t="s">
        <v>1128</v>
      </c>
      <c r="F596" s="1399"/>
      <c r="G596" s="1399"/>
      <c r="H596" s="1399"/>
      <c r="I596" s="1399">
        <v>3922400</v>
      </c>
      <c r="J596" s="1399">
        <v>3922400</v>
      </c>
    </row>
    <row r="597" spans="5:10" s="1297" customFormat="1">
      <c r="E597" s="1297" t="s">
        <v>1129</v>
      </c>
      <c r="F597" s="1399"/>
      <c r="G597" s="1399"/>
      <c r="H597" s="1399"/>
      <c r="I597" s="1399">
        <v>-6409438</v>
      </c>
      <c r="J597" s="1399">
        <v>-6409438</v>
      </c>
    </row>
    <row r="598" spans="5:10" s="1297" customFormat="1">
      <c r="E598" s="1297" t="s">
        <v>1047</v>
      </c>
      <c r="F598" s="1399"/>
      <c r="G598" s="1399"/>
      <c r="H598" s="1399"/>
      <c r="I598" s="1399">
        <v>1399870</v>
      </c>
      <c r="J598" s="1399">
        <v>1399870</v>
      </c>
    </row>
    <row r="599" spans="5:10" s="1297" customFormat="1">
      <c r="E599" s="1297" t="s">
        <v>1048</v>
      </c>
      <c r="F599" s="1399"/>
      <c r="G599" s="1399"/>
      <c r="H599" s="1399"/>
      <c r="I599" s="1399">
        <v>-7800977</v>
      </c>
      <c r="J599" s="1399">
        <v>-7800977</v>
      </c>
    </row>
    <row r="600" spans="5:10" s="1297" customFormat="1">
      <c r="E600" s="1297" t="s">
        <v>932</v>
      </c>
      <c r="F600" s="1399"/>
      <c r="G600" s="1399"/>
      <c r="H600" s="1399"/>
      <c r="I600" s="1399">
        <v>2506159</v>
      </c>
      <c r="J600" s="1399">
        <v>2506159</v>
      </c>
    </row>
    <row r="601" spans="5:10" s="1297" customFormat="1">
      <c r="E601" s="1404" t="s">
        <v>955</v>
      </c>
      <c r="F601" s="1405"/>
      <c r="G601" s="1405"/>
      <c r="H601" s="1405"/>
      <c r="I601" s="1405">
        <v>1767453.44</v>
      </c>
      <c r="J601" s="1405">
        <v>1767453.44</v>
      </c>
    </row>
    <row r="602" spans="5:10" s="1297" customFormat="1">
      <c r="E602" s="1297" t="s">
        <v>934</v>
      </c>
      <c r="F602" s="1399"/>
      <c r="G602" s="1399"/>
      <c r="H602" s="1399"/>
      <c r="I602" s="1399">
        <v>135636</v>
      </c>
      <c r="J602" s="1399">
        <v>135636</v>
      </c>
    </row>
    <row r="603" spans="5:10" s="1297" customFormat="1">
      <c r="E603" s="1297" t="s">
        <v>1130</v>
      </c>
      <c r="F603" s="1399"/>
      <c r="G603" s="1399"/>
      <c r="H603" s="1399"/>
      <c r="I603" s="1399">
        <v>1342343</v>
      </c>
      <c r="J603" s="1399">
        <v>1342343</v>
      </c>
    </row>
    <row r="604" spans="5:10" s="1297" customFormat="1">
      <c r="E604" s="1297" t="s">
        <v>935</v>
      </c>
      <c r="F604" s="1399"/>
      <c r="G604" s="1399"/>
      <c r="H604" s="1399"/>
      <c r="I604" s="1399">
        <v>970726.51</v>
      </c>
      <c r="J604" s="1399">
        <v>970726.51</v>
      </c>
    </row>
    <row r="605" spans="5:10" s="1297" customFormat="1">
      <c r="E605" s="1297" t="s">
        <v>936</v>
      </c>
      <c r="F605" s="1399"/>
      <c r="G605" s="1399"/>
      <c r="H605" s="1399"/>
      <c r="I605" s="1399">
        <v>179977.38</v>
      </c>
      <c r="J605" s="1399">
        <v>179977.38</v>
      </c>
    </row>
    <row r="606" spans="5:10" s="1297" customFormat="1">
      <c r="E606" s="1297" t="s">
        <v>937</v>
      </c>
      <c r="F606" s="1399"/>
      <c r="G606" s="1399"/>
      <c r="H606" s="1399"/>
      <c r="I606" s="1399">
        <v>48935.76</v>
      </c>
      <c r="J606" s="1399">
        <v>48935.76</v>
      </c>
    </row>
    <row r="607" spans="5:10" s="1297" customFormat="1">
      <c r="E607" s="1297" t="s">
        <v>938</v>
      </c>
      <c r="F607" s="1399"/>
      <c r="G607" s="1399"/>
      <c r="H607" s="1399"/>
      <c r="I607" s="1399">
        <v>56709</v>
      </c>
      <c r="J607" s="1399">
        <v>56709</v>
      </c>
    </row>
    <row r="608" spans="5:10" s="1297" customFormat="1">
      <c r="E608" s="1297" t="s">
        <v>939</v>
      </c>
      <c r="F608" s="1399"/>
      <c r="G608" s="1399"/>
      <c r="H608" s="1399"/>
      <c r="I608" s="1399">
        <v>43908.29</v>
      </c>
      <c r="J608" s="1399">
        <v>43908.29</v>
      </c>
    </row>
    <row r="609" spans="2:12">
      <c r="B609" s="1297"/>
      <c r="C609" s="1297"/>
      <c r="D609" s="1297"/>
      <c r="E609" s="1297" t="s">
        <v>940</v>
      </c>
      <c r="F609" s="1399">
        <v>2447984</v>
      </c>
      <c r="J609" s="1399">
        <v>2447984</v>
      </c>
    </row>
    <row r="610" spans="2:12">
      <c r="B610" s="1297"/>
      <c r="C610" s="1297"/>
      <c r="D610" s="1297"/>
      <c r="E610" s="1297" t="s">
        <v>941</v>
      </c>
      <c r="F610" s="1399">
        <v>806360.76</v>
      </c>
      <c r="J610" s="1399">
        <v>806360.76</v>
      </c>
    </row>
    <row r="611" spans="2:12">
      <c r="B611" s="1297"/>
      <c r="C611" s="1297"/>
      <c r="D611" s="1297"/>
      <c r="E611" s="1297" t="s">
        <v>943</v>
      </c>
      <c r="F611" s="1399">
        <v>51482.37</v>
      </c>
      <c r="J611" s="1399">
        <v>51482.37</v>
      </c>
    </row>
    <row r="612" spans="2:12">
      <c r="B612" s="1297"/>
      <c r="C612" s="1297"/>
      <c r="D612" s="1297"/>
      <c r="E612" s="1297" t="s">
        <v>944</v>
      </c>
      <c r="F612" s="1399">
        <v>5808599.2300000004</v>
      </c>
      <c r="J612" s="1399">
        <v>5808599.2300000004</v>
      </c>
    </row>
    <row r="613" spans="2:12">
      <c r="B613" s="1297"/>
      <c r="C613" s="1297"/>
      <c r="D613" s="1297"/>
      <c r="E613" s="1297" t="s">
        <v>945</v>
      </c>
      <c r="F613" s="1399">
        <v>3693386.19</v>
      </c>
      <c r="J613" s="1399">
        <v>3693386.19</v>
      </c>
    </row>
    <row r="614" spans="2:12">
      <c r="B614" s="1297"/>
      <c r="C614" s="1297"/>
      <c r="D614" s="1297"/>
      <c r="E614" s="1297" t="s">
        <v>946</v>
      </c>
      <c r="F614" s="1399">
        <v>475902.44999999995</v>
      </c>
      <c r="J614" s="1399">
        <v>475902.44999999995</v>
      </c>
    </row>
    <row r="615" spans="2:12">
      <c r="B615" s="1297"/>
      <c r="C615" s="1297"/>
      <c r="D615" s="1297"/>
      <c r="E615" s="1297" t="s">
        <v>947</v>
      </c>
      <c r="F615" s="1399">
        <v>284081.54000000004</v>
      </c>
      <c r="J615" s="1399">
        <v>284081.54000000004</v>
      </c>
    </row>
    <row r="616" spans="2:12">
      <c r="B616" s="1297"/>
      <c r="C616" s="1297"/>
      <c r="D616" s="1297"/>
      <c r="E616" s="1404" t="s">
        <v>1116</v>
      </c>
      <c r="F616" s="1405"/>
      <c r="G616" s="1405"/>
      <c r="H616" s="1405">
        <v>13600500</v>
      </c>
      <c r="I616" s="1405"/>
      <c r="J616" s="1405">
        <v>13600500</v>
      </c>
    </row>
    <row r="617" spans="2:12">
      <c r="B617" s="1297"/>
      <c r="C617" s="1297"/>
      <c r="D617" s="1297"/>
      <c r="E617" s="1404" t="s">
        <v>948</v>
      </c>
      <c r="F617" s="1405"/>
      <c r="G617" s="1405"/>
      <c r="H617" s="1405">
        <v>8350984.4900000012</v>
      </c>
      <c r="I617" s="1405"/>
      <c r="J617" s="1405">
        <v>8350984.4900000012</v>
      </c>
    </row>
    <row r="618" spans="2:12">
      <c r="B618" s="1297"/>
      <c r="C618" s="1297"/>
      <c r="D618" s="1400" t="s">
        <v>1022</v>
      </c>
      <c r="E618" s="1400"/>
      <c r="F618" s="1401">
        <f>SUM(F577:F617)</f>
        <v>13863385.68</v>
      </c>
      <c r="G618" s="1401">
        <f>SUM(G577:G617)</f>
        <v>38944640.089999996</v>
      </c>
      <c r="H618" s="1401">
        <f>SUM(H577:H617)-(H616+H617)</f>
        <v>4190836.9499999993</v>
      </c>
      <c r="I618" s="1401">
        <f>SUM(I577:I617)-I601</f>
        <v>44137009.939999998</v>
      </c>
      <c r="J618" s="1401">
        <f>SUM(J577:J617)</f>
        <v>124854810.59000003</v>
      </c>
      <c r="K618" s="1401">
        <f>SUM(F618:I618)</f>
        <v>101135872.66</v>
      </c>
      <c r="L618" s="1408">
        <f>K618/C577</f>
        <v>11198.745726940539</v>
      </c>
    </row>
    <row r="619" spans="2:12">
      <c r="B619" s="1297" t="s">
        <v>1023</v>
      </c>
      <c r="C619" s="1297">
        <v>4317</v>
      </c>
      <c r="D619" s="1297" t="s">
        <v>1024</v>
      </c>
      <c r="E619" s="1297" t="s">
        <v>906</v>
      </c>
      <c r="G619" s="1399">
        <v>21178206.510000002</v>
      </c>
      <c r="J619" s="1399">
        <v>21178206.510000002</v>
      </c>
    </row>
    <row r="620" spans="2:12">
      <c r="B620" s="1297"/>
      <c r="C620" s="1297"/>
      <c r="D620" s="1297"/>
      <c r="E620" s="1297" t="s">
        <v>952</v>
      </c>
      <c r="G620" s="1399">
        <v>56542.47</v>
      </c>
      <c r="J620" s="1399">
        <v>56542.47</v>
      </c>
    </row>
    <row r="621" spans="2:12">
      <c r="B621" s="1297"/>
      <c r="C621" s="1297"/>
      <c r="D621" s="1297"/>
      <c r="E621" s="1297" t="s">
        <v>995</v>
      </c>
      <c r="G621" s="1399">
        <v>52325.84</v>
      </c>
      <c r="J621" s="1399">
        <v>52325.84</v>
      </c>
    </row>
    <row r="622" spans="2:12">
      <c r="B622" s="1297"/>
      <c r="C622" s="1297"/>
      <c r="D622" s="1297"/>
      <c r="E622" s="1297" t="s">
        <v>908</v>
      </c>
      <c r="G622" s="1399">
        <v>29261.03</v>
      </c>
      <c r="J622" s="1399">
        <v>29261.03</v>
      </c>
    </row>
    <row r="623" spans="2:12">
      <c r="B623" s="1297"/>
      <c r="C623" s="1297"/>
      <c r="D623" s="1297"/>
      <c r="E623" s="1297" t="s">
        <v>1034</v>
      </c>
      <c r="H623" s="1399">
        <v>45980.5</v>
      </c>
      <c r="J623" s="1399">
        <v>45980.5</v>
      </c>
    </row>
    <row r="624" spans="2:12">
      <c r="B624" s="1297"/>
      <c r="C624" s="1297"/>
      <c r="D624" s="1297"/>
      <c r="E624" s="1297" t="s">
        <v>1037</v>
      </c>
      <c r="H624" s="1399">
        <v>1370</v>
      </c>
      <c r="J624" s="1399">
        <v>1370</v>
      </c>
    </row>
    <row r="625" spans="5:10" s="1297" customFormat="1">
      <c r="E625" s="1297" t="s">
        <v>1003</v>
      </c>
      <c r="F625" s="1399"/>
      <c r="G625" s="1399"/>
      <c r="H625" s="1399">
        <v>5441.55</v>
      </c>
      <c r="I625" s="1399"/>
      <c r="J625" s="1399">
        <v>5441.55</v>
      </c>
    </row>
    <row r="626" spans="5:10" s="1297" customFormat="1">
      <c r="E626" s="1297" t="s">
        <v>1039</v>
      </c>
      <c r="F626" s="1399"/>
      <c r="G626" s="1399"/>
      <c r="H626" s="1399">
        <v>61714.73</v>
      </c>
      <c r="I626" s="1399"/>
      <c r="J626" s="1399">
        <v>61714.73</v>
      </c>
    </row>
    <row r="627" spans="5:10" s="1297" customFormat="1">
      <c r="E627" s="1297" t="s">
        <v>1041</v>
      </c>
      <c r="F627" s="1399"/>
      <c r="G627" s="1399"/>
      <c r="H627" s="1399">
        <v>66561.11</v>
      </c>
      <c r="I627" s="1399"/>
      <c r="J627" s="1399">
        <v>66561.11</v>
      </c>
    </row>
    <row r="628" spans="5:10" s="1297" customFormat="1">
      <c r="E628" s="1297" t="s">
        <v>1042</v>
      </c>
      <c r="F628" s="1399"/>
      <c r="G628" s="1399"/>
      <c r="H628" s="1399">
        <v>107958.08999999998</v>
      </c>
      <c r="I628" s="1399"/>
      <c r="J628" s="1399">
        <v>107958.08999999998</v>
      </c>
    </row>
    <row r="629" spans="5:10" s="1297" customFormat="1">
      <c r="E629" s="1297" t="s">
        <v>985</v>
      </c>
      <c r="F629" s="1399"/>
      <c r="G629" s="1399"/>
      <c r="H629" s="1399">
        <v>43100.42</v>
      </c>
      <c r="I629" s="1399"/>
      <c r="J629" s="1399">
        <v>43100.42</v>
      </c>
    </row>
    <row r="630" spans="5:10" s="1297" customFormat="1">
      <c r="E630" s="1297" t="s">
        <v>1043</v>
      </c>
      <c r="F630" s="1399"/>
      <c r="G630" s="1399"/>
      <c r="H630" s="1399">
        <v>85055</v>
      </c>
      <c r="I630" s="1399"/>
      <c r="J630" s="1399">
        <v>85055</v>
      </c>
    </row>
    <row r="631" spans="5:10" s="1297" customFormat="1">
      <c r="E631" s="1297" t="s">
        <v>1044</v>
      </c>
      <c r="F631" s="1399">
        <v>51876.56</v>
      </c>
      <c r="G631" s="1399"/>
      <c r="H631" s="1399"/>
      <c r="I631" s="1399"/>
      <c r="J631" s="1399">
        <v>51876.56</v>
      </c>
    </row>
    <row r="632" spans="5:10" s="1297" customFormat="1">
      <c r="E632" s="1297" t="s">
        <v>1045</v>
      </c>
      <c r="F632" s="1399"/>
      <c r="G632" s="1399"/>
      <c r="H632" s="1399">
        <v>331176.67000000004</v>
      </c>
      <c r="I632" s="1399"/>
      <c r="J632" s="1399">
        <v>331176.67000000004</v>
      </c>
    </row>
    <row r="633" spans="5:10" s="1297" customFormat="1">
      <c r="E633" s="1297" t="s">
        <v>1046</v>
      </c>
      <c r="F633" s="1399"/>
      <c r="G633" s="1399"/>
      <c r="H633" s="1399"/>
      <c r="I633" s="1399">
        <v>22356110</v>
      </c>
      <c r="J633" s="1399">
        <v>22356110</v>
      </c>
    </row>
    <row r="634" spans="5:10" s="1297" customFormat="1">
      <c r="E634" s="1297" t="s">
        <v>1128</v>
      </c>
      <c r="F634" s="1399"/>
      <c r="G634" s="1399"/>
      <c r="H634" s="1399"/>
      <c r="I634" s="1399">
        <v>1886770</v>
      </c>
      <c r="J634" s="1399">
        <v>1886770</v>
      </c>
    </row>
    <row r="635" spans="5:10" s="1297" customFormat="1">
      <c r="E635" s="1297" t="s">
        <v>1129</v>
      </c>
      <c r="F635" s="1399"/>
      <c r="G635" s="1399"/>
      <c r="H635" s="1399"/>
      <c r="I635" s="1399">
        <v>-2604918</v>
      </c>
      <c r="J635" s="1399">
        <v>-2604918</v>
      </c>
    </row>
    <row r="636" spans="5:10" s="1297" customFormat="1">
      <c r="E636" s="1297" t="s">
        <v>1047</v>
      </c>
      <c r="F636" s="1399"/>
      <c r="G636" s="1399"/>
      <c r="H636" s="1399"/>
      <c r="I636" s="1399">
        <v>957292</v>
      </c>
      <c r="J636" s="1399">
        <v>957292</v>
      </c>
    </row>
    <row r="637" spans="5:10" s="1297" customFormat="1">
      <c r="E637" s="1297" t="s">
        <v>1048</v>
      </c>
      <c r="F637" s="1399"/>
      <c r="G637" s="1399"/>
      <c r="H637" s="1399"/>
      <c r="I637" s="1399">
        <v>-6788158</v>
      </c>
      <c r="J637" s="1399">
        <v>-6788158</v>
      </c>
    </row>
    <row r="638" spans="5:10" s="1297" customFormat="1">
      <c r="E638" s="1404" t="s">
        <v>955</v>
      </c>
      <c r="F638" s="1405"/>
      <c r="G638" s="1405"/>
      <c r="H638" s="1405"/>
      <c r="I638" s="1405">
        <v>1282149.1299999999</v>
      </c>
      <c r="J638" s="1405">
        <v>1282149.1299999999</v>
      </c>
    </row>
    <row r="639" spans="5:10" s="1297" customFormat="1">
      <c r="E639" s="1297" t="s">
        <v>934</v>
      </c>
      <c r="F639" s="1399"/>
      <c r="G639" s="1399"/>
      <c r="H639" s="1399"/>
      <c r="I639" s="1399">
        <v>85590</v>
      </c>
      <c r="J639" s="1399">
        <v>85590</v>
      </c>
    </row>
    <row r="640" spans="5:10" s="1297" customFormat="1">
      <c r="E640" s="1297" t="s">
        <v>1130</v>
      </c>
      <c r="F640" s="1399"/>
      <c r="G640" s="1399"/>
      <c r="H640" s="1399"/>
      <c r="I640" s="1399">
        <v>152584</v>
      </c>
      <c r="J640" s="1399">
        <v>152584</v>
      </c>
    </row>
    <row r="641" spans="2:12">
      <c r="B641" s="1297"/>
      <c r="C641" s="1297"/>
      <c r="D641" s="1297"/>
      <c r="E641" s="1297" t="s">
        <v>935</v>
      </c>
      <c r="I641" s="1399">
        <v>565925.45000000007</v>
      </c>
      <c r="J641" s="1399">
        <v>565925.45000000007</v>
      </c>
    </row>
    <row r="642" spans="2:12">
      <c r="B642" s="1297"/>
      <c r="C642" s="1297"/>
      <c r="D642" s="1297"/>
      <c r="E642" s="1297" t="s">
        <v>936</v>
      </c>
      <c r="I642" s="1399">
        <v>124303.44</v>
      </c>
      <c r="J642" s="1399">
        <v>124303.44</v>
      </c>
    </row>
    <row r="643" spans="2:12">
      <c r="B643" s="1297"/>
      <c r="C643" s="1297"/>
      <c r="D643" s="1297"/>
      <c r="E643" s="1297" t="s">
        <v>937</v>
      </c>
      <c r="I643" s="1399">
        <v>570.03</v>
      </c>
      <c r="J643" s="1399">
        <v>570.03</v>
      </c>
    </row>
    <row r="644" spans="2:12">
      <c r="B644" s="1297"/>
      <c r="C644" s="1297"/>
      <c r="D644" s="1297"/>
      <c r="E644" s="1297" t="s">
        <v>938</v>
      </c>
      <c r="I644" s="1399">
        <v>34250</v>
      </c>
      <c r="J644" s="1399">
        <v>34250</v>
      </c>
    </row>
    <row r="645" spans="2:12">
      <c r="B645" s="1297"/>
      <c r="C645" s="1297"/>
      <c r="D645" s="1297"/>
      <c r="E645" s="1297" t="s">
        <v>940</v>
      </c>
      <c r="F645" s="1399">
        <v>1868139.5899999999</v>
      </c>
      <c r="J645" s="1399">
        <v>1868139.5899999999</v>
      </c>
    </row>
    <row r="646" spans="2:12">
      <c r="B646" s="1297"/>
      <c r="C646" s="1297"/>
      <c r="D646" s="1297"/>
      <c r="E646" s="1297" t="s">
        <v>941</v>
      </c>
      <c r="F646" s="1399">
        <v>875010.8</v>
      </c>
      <c r="J646" s="1399">
        <v>875010.8</v>
      </c>
    </row>
    <row r="647" spans="2:12">
      <c r="B647" s="1297"/>
      <c r="C647" s="1297"/>
      <c r="D647" s="1297"/>
      <c r="E647" s="1297" t="s">
        <v>943</v>
      </c>
      <c r="F647" s="1399">
        <v>31838.5</v>
      </c>
      <c r="J647" s="1399">
        <v>31838.5</v>
      </c>
    </row>
    <row r="648" spans="2:12">
      <c r="B648" s="1297"/>
      <c r="C648" s="1297"/>
      <c r="D648" s="1297"/>
      <c r="E648" s="1297" t="s">
        <v>944</v>
      </c>
      <c r="F648" s="1399">
        <v>4387987.3099999996</v>
      </c>
      <c r="J648" s="1399">
        <v>4387987.3099999996</v>
      </c>
    </row>
    <row r="649" spans="2:12">
      <c r="B649" s="1297"/>
      <c r="C649" s="1297"/>
      <c r="D649" s="1297"/>
      <c r="E649" s="1297" t="s">
        <v>945</v>
      </c>
      <c r="F649" s="1399">
        <v>2746595.35</v>
      </c>
      <c r="J649" s="1399">
        <v>2746595.35</v>
      </c>
    </row>
    <row r="650" spans="2:12">
      <c r="B650" s="1297"/>
      <c r="C650" s="1297"/>
      <c r="D650" s="1297"/>
      <c r="E650" s="1297" t="s">
        <v>946</v>
      </c>
      <c r="F650" s="1399">
        <v>120209.35</v>
      </c>
      <c r="J650" s="1399">
        <v>120209.35</v>
      </c>
    </row>
    <row r="651" spans="2:12">
      <c r="B651" s="1297"/>
      <c r="C651" s="1297"/>
      <c r="D651" s="1297"/>
      <c r="E651" s="1297" t="s">
        <v>978</v>
      </c>
      <c r="F651" s="1399">
        <v>1131493.6299999999</v>
      </c>
      <c r="J651" s="1399">
        <v>1131493.6299999999</v>
      </c>
    </row>
    <row r="652" spans="2:12">
      <c r="B652" s="1297"/>
      <c r="C652" s="1297"/>
      <c r="D652" s="1297"/>
      <c r="E652" s="1297" t="s">
        <v>947</v>
      </c>
      <c r="F652" s="1399">
        <v>146466.12</v>
      </c>
      <c r="J652" s="1399">
        <v>146466.12</v>
      </c>
    </row>
    <row r="653" spans="2:12">
      <c r="B653" s="1297"/>
      <c r="C653" s="1297"/>
      <c r="D653" s="1297"/>
      <c r="E653" s="1404" t="s">
        <v>948</v>
      </c>
      <c r="F653" s="1405"/>
      <c r="G653" s="1405"/>
      <c r="H653" s="1405">
        <v>174273.55</v>
      </c>
      <c r="I653" s="1405"/>
      <c r="J653" s="1405">
        <v>174273.55</v>
      </c>
    </row>
    <row r="654" spans="2:12">
      <c r="B654" s="1297"/>
      <c r="C654" s="1297"/>
      <c r="D654" s="1297"/>
      <c r="E654" s="1297" t="s">
        <v>956</v>
      </c>
      <c r="H654" s="1399">
        <v>7491.75</v>
      </c>
      <c r="J654" s="1399">
        <v>7491.75</v>
      </c>
    </row>
    <row r="655" spans="2:12">
      <c r="B655" s="1297"/>
      <c r="C655" s="1297"/>
      <c r="D655" s="1400" t="s">
        <v>1025</v>
      </c>
      <c r="E655" s="1400"/>
      <c r="F655" s="1401">
        <f>SUM(F619:F654)</f>
        <v>11359617.209999999</v>
      </c>
      <c r="G655" s="1401">
        <f>SUM(G619:G654)</f>
        <v>21316335.850000001</v>
      </c>
      <c r="H655" s="1401">
        <f>SUM(H619:H654)-H653</f>
        <v>755849.82000000007</v>
      </c>
      <c r="I655" s="1401">
        <f>SUM(I619:I654)-I638</f>
        <v>16770318.920000002</v>
      </c>
      <c r="J655" s="1401">
        <f>SUM(J619:J654)</f>
        <v>51658544.480000004</v>
      </c>
      <c r="K655" s="1401">
        <f>SUM(F655:I655)</f>
        <v>50202121.800000004</v>
      </c>
      <c r="L655" s="1408">
        <f>K655/C619</f>
        <v>11628.937178596248</v>
      </c>
    </row>
    <row r="656" spans="2:12">
      <c r="B656" s="1297" t="s">
        <v>1026</v>
      </c>
      <c r="C656" s="1297">
        <v>3508</v>
      </c>
      <c r="D656" s="1297" t="s">
        <v>1027</v>
      </c>
      <c r="E656" s="1297" t="s">
        <v>906</v>
      </c>
      <c r="G656" s="1399">
        <v>10796409.119999999</v>
      </c>
      <c r="J656" s="1399">
        <v>10796409.119999999</v>
      </c>
    </row>
    <row r="657" spans="5:10" s="1297" customFormat="1">
      <c r="E657" s="1297" t="s">
        <v>952</v>
      </c>
      <c r="F657" s="1399"/>
      <c r="G657" s="1399">
        <v>92300.01</v>
      </c>
      <c r="H657" s="1399"/>
      <c r="I657" s="1399"/>
      <c r="J657" s="1399">
        <v>92300.01</v>
      </c>
    </row>
    <row r="658" spans="5:10" s="1297" customFormat="1">
      <c r="E658" s="1297" t="s">
        <v>907</v>
      </c>
      <c r="F658" s="1399"/>
      <c r="G658" s="1399">
        <v>3040203.5</v>
      </c>
      <c r="H658" s="1399"/>
      <c r="I658" s="1399"/>
      <c r="J658" s="1399">
        <v>3040203.5</v>
      </c>
    </row>
    <row r="659" spans="5:10" s="1297" customFormat="1">
      <c r="E659" s="1297" t="s">
        <v>908</v>
      </c>
      <c r="F659" s="1399"/>
      <c r="G659" s="1399">
        <v>16381.83</v>
      </c>
      <c r="H659" s="1399"/>
      <c r="I659" s="1399"/>
      <c r="J659" s="1399">
        <v>16381.83</v>
      </c>
    </row>
    <row r="660" spans="5:10" s="1297" customFormat="1">
      <c r="E660" s="1297" t="s">
        <v>909</v>
      </c>
      <c r="F660" s="1399"/>
      <c r="G660" s="1399"/>
      <c r="H660" s="1399">
        <v>398275.34</v>
      </c>
      <c r="I660" s="1399"/>
      <c r="J660" s="1399">
        <v>398275.34</v>
      </c>
    </row>
    <row r="661" spans="5:10" s="1297" customFormat="1">
      <c r="E661" s="1297" t="s">
        <v>910</v>
      </c>
      <c r="F661" s="1399"/>
      <c r="G661" s="1399"/>
      <c r="H661" s="1399">
        <v>21549.5</v>
      </c>
      <c r="I661" s="1399"/>
      <c r="J661" s="1399">
        <v>21549.5</v>
      </c>
    </row>
    <row r="662" spans="5:10" s="1297" customFormat="1">
      <c r="E662" s="1297" t="s">
        <v>1034</v>
      </c>
      <c r="F662" s="1399"/>
      <c r="G662" s="1399"/>
      <c r="H662" s="1399">
        <v>7229.07</v>
      </c>
      <c r="I662" s="1399"/>
      <c r="J662" s="1399">
        <v>7229.07</v>
      </c>
    </row>
    <row r="663" spans="5:10" s="1297" customFormat="1">
      <c r="E663" s="1297" t="s">
        <v>1035</v>
      </c>
      <c r="F663" s="1399"/>
      <c r="G663" s="1399"/>
      <c r="H663" s="1399">
        <v>150213.23999999996</v>
      </c>
      <c r="I663" s="1399"/>
      <c r="J663" s="1399">
        <v>150213.23999999996</v>
      </c>
    </row>
    <row r="664" spans="5:10" s="1297" customFormat="1">
      <c r="E664" s="1297" t="s">
        <v>1036</v>
      </c>
      <c r="F664" s="1399"/>
      <c r="G664" s="1399"/>
      <c r="H664" s="1399">
        <v>87306.65</v>
      </c>
      <c r="I664" s="1399"/>
      <c r="J664" s="1399">
        <v>87306.65</v>
      </c>
    </row>
    <row r="665" spans="5:10" s="1297" customFormat="1">
      <c r="E665" s="1297" t="s">
        <v>1037</v>
      </c>
      <c r="F665" s="1399"/>
      <c r="G665" s="1399"/>
      <c r="H665" s="1399">
        <v>9183.7199999999993</v>
      </c>
      <c r="I665" s="1399"/>
      <c r="J665" s="1399">
        <v>9183.7199999999993</v>
      </c>
    </row>
    <row r="666" spans="5:10" s="1297" customFormat="1">
      <c r="E666" s="1297" t="s">
        <v>1038</v>
      </c>
      <c r="F666" s="1399"/>
      <c r="G666" s="1399"/>
      <c r="H666" s="1399">
        <v>20195.5</v>
      </c>
      <c r="I666" s="1399"/>
      <c r="J666" s="1399">
        <v>20195.5</v>
      </c>
    </row>
    <row r="667" spans="5:10" s="1297" customFormat="1">
      <c r="E667" s="1297" t="s">
        <v>1003</v>
      </c>
      <c r="F667" s="1399"/>
      <c r="G667" s="1399"/>
      <c r="H667" s="1399">
        <v>4050.41</v>
      </c>
      <c r="I667" s="1399"/>
      <c r="J667" s="1399">
        <v>4050.41</v>
      </c>
    </row>
    <row r="668" spans="5:10" s="1297" customFormat="1">
      <c r="E668" s="1297" t="s">
        <v>1039</v>
      </c>
      <c r="F668" s="1399"/>
      <c r="G668" s="1399"/>
      <c r="H668" s="1399">
        <v>21275.809999999998</v>
      </c>
      <c r="I668" s="1399"/>
      <c r="J668" s="1399">
        <v>21275.809999999998</v>
      </c>
    </row>
    <row r="669" spans="5:10" s="1297" customFormat="1">
      <c r="E669" s="1297" t="s">
        <v>1040</v>
      </c>
      <c r="F669" s="1399"/>
      <c r="G669" s="1399"/>
      <c r="H669" s="1399">
        <v>230452.04</v>
      </c>
      <c r="I669" s="1399"/>
      <c r="J669" s="1399">
        <v>230452.04</v>
      </c>
    </row>
    <row r="670" spans="5:10" s="1297" customFormat="1">
      <c r="E670" s="1297" t="s">
        <v>1127</v>
      </c>
      <c r="F670" s="1399"/>
      <c r="G670" s="1399"/>
      <c r="H670" s="1399">
        <v>442.56</v>
      </c>
      <c r="I670" s="1399"/>
      <c r="J670" s="1399">
        <v>442.56</v>
      </c>
    </row>
    <row r="671" spans="5:10" s="1297" customFormat="1">
      <c r="E671" s="1297" t="s">
        <v>1041</v>
      </c>
      <c r="F671" s="1399"/>
      <c r="G671" s="1399"/>
      <c r="H671" s="1399">
        <v>16467.899999999998</v>
      </c>
      <c r="I671" s="1399"/>
      <c r="J671" s="1399">
        <v>16467.899999999998</v>
      </c>
    </row>
    <row r="672" spans="5:10" s="1297" customFormat="1">
      <c r="E672" s="1297" t="s">
        <v>1042</v>
      </c>
      <c r="F672" s="1399"/>
      <c r="G672" s="1399"/>
      <c r="H672" s="1399">
        <v>53563.32</v>
      </c>
      <c r="I672" s="1399"/>
      <c r="J672" s="1399">
        <v>53563.32</v>
      </c>
    </row>
    <row r="673" spans="5:10" s="1297" customFormat="1">
      <c r="E673" s="1297" t="s">
        <v>986</v>
      </c>
      <c r="F673" s="1399"/>
      <c r="G673" s="1399"/>
      <c r="H673" s="1399">
        <v>10000</v>
      </c>
      <c r="I673" s="1399"/>
      <c r="J673" s="1399">
        <v>10000</v>
      </c>
    </row>
    <row r="674" spans="5:10" s="1297" customFormat="1">
      <c r="E674" s="1297" t="s">
        <v>1045</v>
      </c>
      <c r="F674" s="1399"/>
      <c r="G674" s="1399"/>
      <c r="H674" s="1399">
        <v>358627.92</v>
      </c>
      <c r="I674" s="1399"/>
      <c r="J674" s="1399">
        <v>358627.92</v>
      </c>
    </row>
    <row r="675" spans="5:10" s="1297" customFormat="1">
      <c r="E675" s="1297" t="s">
        <v>1046</v>
      </c>
      <c r="F675" s="1399"/>
      <c r="G675" s="1399"/>
      <c r="H675" s="1399"/>
      <c r="I675" s="1399">
        <v>19143246</v>
      </c>
      <c r="J675" s="1399">
        <v>19143246</v>
      </c>
    </row>
    <row r="676" spans="5:10" s="1297" customFormat="1">
      <c r="E676" s="1297" t="s">
        <v>1129</v>
      </c>
      <c r="F676" s="1399"/>
      <c r="G676" s="1399"/>
      <c r="H676" s="1399"/>
      <c r="I676" s="1399">
        <v>-2319107</v>
      </c>
      <c r="J676" s="1399">
        <v>-2319107</v>
      </c>
    </row>
    <row r="677" spans="5:10" s="1297" customFormat="1">
      <c r="E677" s="1297" t="s">
        <v>1047</v>
      </c>
      <c r="F677" s="1399"/>
      <c r="G677" s="1399"/>
      <c r="H677" s="1399"/>
      <c r="I677" s="1399">
        <v>475841.5</v>
      </c>
      <c r="J677" s="1399">
        <v>475841.5</v>
      </c>
    </row>
    <row r="678" spans="5:10" s="1297" customFormat="1">
      <c r="E678" s="1297" t="s">
        <v>1048</v>
      </c>
      <c r="F678" s="1399"/>
      <c r="G678" s="1399"/>
      <c r="H678" s="1399"/>
      <c r="I678" s="1399">
        <v>-3086052</v>
      </c>
      <c r="J678" s="1399">
        <v>-3086052</v>
      </c>
    </row>
    <row r="679" spans="5:10" s="1297" customFormat="1">
      <c r="E679" s="1297" t="s">
        <v>932</v>
      </c>
      <c r="F679" s="1399"/>
      <c r="G679" s="1399"/>
      <c r="H679" s="1399"/>
      <c r="I679" s="1399">
        <v>893981</v>
      </c>
      <c r="J679" s="1399">
        <v>893981</v>
      </c>
    </row>
    <row r="680" spans="5:10" s="1297" customFormat="1">
      <c r="E680" s="1404" t="s">
        <v>955</v>
      </c>
      <c r="F680" s="1405"/>
      <c r="G680" s="1405"/>
      <c r="H680" s="1405"/>
      <c r="I680" s="1405">
        <v>77090.59</v>
      </c>
      <c r="J680" s="1405">
        <v>77090.59</v>
      </c>
    </row>
    <row r="681" spans="5:10" s="1297" customFormat="1">
      <c r="E681" s="1297" t="s">
        <v>934</v>
      </c>
      <c r="F681" s="1399"/>
      <c r="G681" s="1399"/>
      <c r="H681" s="1399"/>
      <c r="I681" s="1399">
        <v>54700</v>
      </c>
      <c r="J681" s="1399">
        <v>54700</v>
      </c>
    </row>
    <row r="682" spans="5:10" s="1297" customFormat="1">
      <c r="E682" s="1297" t="s">
        <v>935</v>
      </c>
      <c r="F682" s="1399"/>
      <c r="G682" s="1399"/>
      <c r="H682" s="1399"/>
      <c r="I682" s="1399">
        <v>329192.3</v>
      </c>
      <c r="J682" s="1399">
        <v>329192.3</v>
      </c>
    </row>
    <row r="683" spans="5:10" s="1297" customFormat="1">
      <c r="E683" s="1297" t="s">
        <v>936</v>
      </c>
      <c r="F683" s="1399"/>
      <c r="G683" s="1399"/>
      <c r="H683" s="1399"/>
      <c r="I683" s="1399">
        <v>49721.38</v>
      </c>
      <c r="J683" s="1399">
        <v>49721.38</v>
      </c>
    </row>
    <row r="684" spans="5:10" s="1297" customFormat="1">
      <c r="E684" s="1297" t="s">
        <v>937</v>
      </c>
      <c r="F684" s="1399"/>
      <c r="G684" s="1399"/>
      <c r="H684" s="1399"/>
      <c r="I684" s="1399">
        <v>9192.18</v>
      </c>
      <c r="J684" s="1399">
        <v>9192.18</v>
      </c>
    </row>
    <row r="685" spans="5:10" s="1297" customFormat="1">
      <c r="E685" s="1297" t="s">
        <v>938</v>
      </c>
      <c r="F685" s="1399"/>
      <c r="G685" s="1399"/>
      <c r="H685" s="1399"/>
      <c r="I685" s="1399">
        <v>24705</v>
      </c>
      <c r="J685" s="1399">
        <v>24705</v>
      </c>
    </row>
    <row r="686" spans="5:10" s="1297" customFormat="1">
      <c r="E686" s="1297" t="s">
        <v>939</v>
      </c>
      <c r="F686" s="1399"/>
      <c r="G686" s="1399"/>
      <c r="H686" s="1399"/>
      <c r="I686" s="1399">
        <v>119772.8</v>
      </c>
      <c r="J686" s="1399">
        <v>119772.8</v>
      </c>
    </row>
    <row r="687" spans="5:10" s="1297" customFormat="1">
      <c r="E687" s="1297" t="s">
        <v>940</v>
      </c>
      <c r="F687" s="1399">
        <v>901437.29999999993</v>
      </c>
      <c r="G687" s="1399"/>
      <c r="H687" s="1399"/>
      <c r="I687" s="1399"/>
      <c r="J687" s="1399">
        <v>901437.29999999993</v>
      </c>
    </row>
    <row r="688" spans="5:10" s="1297" customFormat="1">
      <c r="E688" s="1297" t="s">
        <v>941</v>
      </c>
      <c r="F688" s="1399">
        <v>285147.44</v>
      </c>
      <c r="G688" s="1399"/>
      <c r="H688" s="1399"/>
      <c r="I688" s="1399"/>
      <c r="J688" s="1399">
        <v>285147.44</v>
      </c>
    </row>
    <row r="689" spans="2:12">
      <c r="B689" s="1297"/>
      <c r="C689" s="1297"/>
      <c r="D689" s="1297"/>
      <c r="E689" s="1297" t="s">
        <v>943</v>
      </c>
      <c r="F689" s="1399">
        <v>14871.04</v>
      </c>
      <c r="J689" s="1399">
        <v>14871.04</v>
      </c>
    </row>
    <row r="690" spans="2:12">
      <c r="B690" s="1297"/>
      <c r="C690" s="1297"/>
      <c r="D690" s="1297"/>
      <c r="E690" s="1297" t="s">
        <v>944</v>
      </c>
      <c r="F690" s="1399">
        <v>2015595.1199999999</v>
      </c>
      <c r="J690" s="1399">
        <v>2015595.1199999999</v>
      </c>
    </row>
    <row r="691" spans="2:12">
      <c r="B691" s="1297"/>
      <c r="C691" s="1297"/>
      <c r="D691" s="1297"/>
      <c r="E691" s="1297" t="s">
        <v>945</v>
      </c>
      <c r="F691" s="1399">
        <v>1201416.8700000001</v>
      </c>
      <c r="J691" s="1399">
        <v>1201416.8700000001</v>
      </c>
    </row>
    <row r="692" spans="2:12">
      <c r="B692" s="1297"/>
      <c r="C692" s="1297"/>
      <c r="D692" s="1297"/>
      <c r="E692" s="1297" t="s">
        <v>946</v>
      </c>
      <c r="F692" s="1399">
        <v>272867.94</v>
      </c>
      <c r="J692" s="1399">
        <v>272867.94</v>
      </c>
    </row>
    <row r="693" spans="2:12">
      <c r="B693" s="1297"/>
      <c r="C693" s="1297"/>
      <c r="D693" s="1297"/>
      <c r="E693" s="1297" t="s">
        <v>947</v>
      </c>
      <c r="F693" s="1399">
        <v>127823.58000000002</v>
      </c>
      <c r="J693" s="1399">
        <v>127823.58000000002</v>
      </c>
    </row>
    <row r="694" spans="2:12">
      <c r="B694" s="1297"/>
      <c r="C694" s="1297"/>
      <c r="D694" s="1297"/>
      <c r="E694" s="1297" t="s">
        <v>1115</v>
      </c>
      <c r="F694" s="1399">
        <v>62536.76</v>
      </c>
      <c r="J694" s="1399">
        <v>62536.76</v>
      </c>
    </row>
    <row r="695" spans="2:12">
      <c r="B695" s="1297"/>
      <c r="C695" s="1297"/>
      <c r="D695" s="1297"/>
      <c r="E695" s="1404" t="s">
        <v>948</v>
      </c>
      <c r="F695" s="1405"/>
      <c r="G695" s="1405"/>
      <c r="H695" s="1405">
        <v>6036750.2400000002</v>
      </c>
      <c r="I695" s="1405"/>
      <c r="J695" s="1405">
        <v>6036750.2400000002</v>
      </c>
    </row>
    <row r="696" spans="2:12">
      <c r="B696" s="1297"/>
      <c r="C696" s="1297"/>
      <c r="D696" s="1297"/>
      <c r="E696" s="1297" t="s">
        <v>956</v>
      </c>
      <c r="H696" s="1399">
        <v>7000</v>
      </c>
      <c r="J696" s="1399">
        <v>7000</v>
      </c>
    </row>
    <row r="697" spans="2:12">
      <c r="B697" s="1297"/>
      <c r="C697" s="1297"/>
      <c r="D697" s="1297"/>
      <c r="E697" s="1297" t="s">
        <v>1118</v>
      </c>
      <c r="H697" s="1399">
        <v>711.41</v>
      </c>
      <c r="J697" s="1399">
        <v>711.41</v>
      </c>
    </row>
    <row r="698" spans="2:12">
      <c r="B698" s="1297"/>
      <c r="C698" s="1297"/>
      <c r="D698" s="1400" t="s">
        <v>1028</v>
      </c>
      <c r="E698" s="1400"/>
      <c r="F698" s="1401">
        <f>SUM(F656:F697)</f>
        <v>4881696.05</v>
      </c>
      <c r="G698" s="1401">
        <f>SUM(G656:G697)</f>
        <v>13945294.459999999</v>
      </c>
      <c r="H698" s="1401">
        <f>SUM(H656:H697)-H695</f>
        <v>1396544.3900000006</v>
      </c>
      <c r="I698" s="1401">
        <f>SUM(I656:I697)-I680</f>
        <v>15695193.160000002</v>
      </c>
      <c r="J698" s="1401">
        <f>SUM(J656:J697)</f>
        <v>42032568.889999986</v>
      </c>
      <c r="K698" s="1401">
        <f>SUM(F698:I698)</f>
        <v>35918728.060000002</v>
      </c>
      <c r="L698" s="1408">
        <f>K698/C656</f>
        <v>10239.090096921323</v>
      </c>
    </row>
    <row r="699" spans="2:12">
      <c r="B699" s="1297" t="s">
        <v>1029</v>
      </c>
      <c r="C699" s="1297">
        <v>608</v>
      </c>
      <c r="D699" s="1297" t="s">
        <v>1030</v>
      </c>
      <c r="E699" s="1297" t="s">
        <v>906</v>
      </c>
      <c r="G699" s="1399">
        <v>2088257.93</v>
      </c>
      <c r="J699" s="1399">
        <v>2088257.93</v>
      </c>
    </row>
    <row r="700" spans="2:12">
      <c r="B700" s="1297"/>
      <c r="C700" s="1297"/>
      <c r="D700" s="1297"/>
      <c r="E700" s="1297" t="s">
        <v>952</v>
      </c>
      <c r="G700" s="1399">
        <v>38201.599999999999</v>
      </c>
      <c r="J700" s="1399">
        <v>38201.599999999999</v>
      </c>
    </row>
    <row r="701" spans="2:12">
      <c r="B701" s="1297"/>
      <c r="C701" s="1297"/>
      <c r="D701" s="1297"/>
      <c r="E701" s="1297" t="s">
        <v>907</v>
      </c>
      <c r="G701" s="1399">
        <v>431037.27</v>
      </c>
      <c r="J701" s="1399">
        <v>431037.27</v>
      </c>
    </row>
    <row r="702" spans="2:12">
      <c r="B702" s="1297"/>
      <c r="C702" s="1297"/>
      <c r="D702" s="1297"/>
      <c r="E702" s="1297" t="s">
        <v>908</v>
      </c>
      <c r="G702" s="1399">
        <v>20778.54</v>
      </c>
      <c r="J702" s="1399">
        <v>20778.54</v>
      </c>
    </row>
    <row r="703" spans="2:12">
      <c r="B703" s="1297"/>
      <c r="C703" s="1297"/>
      <c r="D703" s="1297"/>
      <c r="E703" s="1297" t="s">
        <v>1039</v>
      </c>
      <c r="H703" s="1399">
        <v>10037.01</v>
      </c>
      <c r="J703" s="1399">
        <v>10037.01</v>
      </c>
    </row>
    <row r="704" spans="2:12">
      <c r="B704" s="1297"/>
      <c r="C704" s="1297"/>
      <c r="D704" s="1297"/>
      <c r="E704" s="1297" t="s">
        <v>1041</v>
      </c>
      <c r="H704" s="1399">
        <v>1156.8500000000001</v>
      </c>
      <c r="J704" s="1399">
        <v>1156.8500000000001</v>
      </c>
    </row>
    <row r="705" spans="5:10" s="1297" customFormat="1">
      <c r="E705" s="1297" t="s">
        <v>1042</v>
      </c>
      <c r="F705" s="1399"/>
      <c r="G705" s="1399"/>
      <c r="H705" s="1399">
        <v>22589.72</v>
      </c>
      <c r="I705" s="1399"/>
      <c r="J705" s="1399">
        <v>22589.72</v>
      </c>
    </row>
    <row r="706" spans="5:10" s="1297" customFormat="1">
      <c r="E706" s="1297" t="s">
        <v>1043</v>
      </c>
      <c r="F706" s="1399"/>
      <c r="G706" s="1399"/>
      <c r="H706" s="1399">
        <v>5640</v>
      </c>
      <c r="I706" s="1399"/>
      <c r="J706" s="1399">
        <v>5640</v>
      </c>
    </row>
    <row r="707" spans="5:10" s="1297" customFormat="1">
      <c r="E707" s="1297" t="s">
        <v>1044</v>
      </c>
      <c r="F707" s="1399">
        <v>7351</v>
      </c>
      <c r="G707" s="1399"/>
      <c r="H707" s="1399"/>
      <c r="I707" s="1399"/>
      <c r="J707" s="1399">
        <v>7351</v>
      </c>
    </row>
    <row r="708" spans="5:10" s="1297" customFormat="1">
      <c r="E708" s="1297" t="s">
        <v>1045</v>
      </c>
      <c r="F708" s="1399"/>
      <c r="G708" s="1399"/>
      <c r="H708" s="1399">
        <v>29329.79</v>
      </c>
      <c r="I708" s="1399"/>
      <c r="J708" s="1399">
        <v>29329.79</v>
      </c>
    </row>
    <row r="709" spans="5:10" s="1297" customFormat="1">
      <c r="E709" s="1297" t="s">
        <v>1046</v>
      </c>
      <c r="F709" s="1399"/>
      <c r="G709" s="1399"/>
      <c r="H709" s="1399"/>
      <c r="I709" s="1399">
        <v>3249064</v>
      </c>
      <c r="J709" s="1399">
        <v>3249064</v>
      </c>
    </row>
    <row r="710" spans="5:10" s="1297" customFormat="1">
      <c r="E710" s="1297" t="s">
        <v>1047</v>
      </c>
      <c r="F710" s="1399"/>
      <c r="G710" s="1399"/>
      <c r="H710" s="1399"/>
      <c r="I710" s="1399">
        <v>392754</v>
      </c>
      <c r="J710" s="1399">
        <v>392754</v>
      </c>
    </row>
    <row r="711" spans="5:10" s="1297" customFormat="1">
      <c r="E711" s="1297" t="s">
        <v>1048</v>
      </c>
      <c r="F711" s="1399"/>
      <c r="G711" s="1399"/>
      <c r="H711" s="1399"/>
      <c r="I711" s="1399">
        <v>-792848</v>
      </c>
      <c r="J711" s="1399">
        <v>-792848</v>
      </c>
    </row>
    <row r="712" spans="5:10" s="1297" customFormat="1">
      <c r="E712" s="1297" t="s">
        <v>932</v>
      </c>
      <c r="F712" s="1399"/>
      <c r="G712" s="1399"/>
      <c r="H712" s="1399"/>
      <c r="I712" s="1399">
        <v>177065</v>
      </c>
      <c r="J712" s="1399">
        <v>177065</v>
      </c>
    </row>
    <row r="713" spans="5:10" s="1297" customFormat="1">
      <c r="E713" s="359" t="s">
        <v>933</v>
      </c>
      <c r="F713" s="1411"/>
      <c r="G713" s="1411"/>
      <c r="H713" s="1411"/>
      <c r="I713" s="1411">
        <v>94435.74</v>
      </c>
      <c r="J713" s="1411">
        <v>94435.74</v>
      </c>
    </row>
    <row r="714" spans="5:10" s="1297" customFormat="1">
      <c r="E714" s="1297" t="s">
        <v>934</v>
      </c>
      <c r="F714" s="1399"/>
      <c r="G714" s="1399"/>
      <c r="H714" s="1399"/>
      <c r="I714" s="1399">
        <v>12498</v>
      </c>
      <c r="J714" s="1399">
        <v>12498</v>
      </c>
    </row>
    <row r="715" spans="5:10" s="1297" customFormat="1">
      <c r="E715" s="1297" t="s">
        <v>935</v>
      </c>
      <c r="F715" s="1399"/>
      <c r="G715" s="1399"/>
      <c r="H715" s="1399"/>
      <c r="I715" s="1399">
        <v>77651.33</v>
      </c>
      <c r="J715" s="1399">
        <v>77651.33</v>
      </c>
    </row>
    <row r="716" spans="5:10" s="1297" customFormat="1">
      <c r="E716" s="1297" t="s">
        <v>936</v>
      </c>
      <c r="F716" s="1399"/>
      <c r="G716" s="1399"/>
      <c r="H716" s="1399"/>
      <c r="I716" s="1399">
        <v>16457.080000000002</v>
      </c>
      <c r="J716" s="1399">
        <v>16457.080000000002</v>
      </c>
    </row>
    <row r="717" spans="5:10" s="1297" customFormat="1">
      <c r="E717" s="1297" t="s">
        <v>937</v>
      </c>
      <c r="F717" s="1399"/>
      <c r="G717" s="1399"/>
      <c r="H717" s="1399"/>
      <c r="I717" s="1399">
        <v>2890.36</v>
      </c>
      <c r="J717" s="1399">
        <v>2890.36</v>
      </c>
    </row>
    <row r="718" spans="5:10" s="1297" customFormat="1">
      <c r="E718" s="1297" t="s">
        <v>938</v>
      </c>
      <c r="F718" s="1399"/>
      <c r="G718" s="1399"/>
      <c r="H718" s="1399"/>
      <c r="I718" s="1399">
        <v>4679</v>
      </c>
      <c r="J718" s="1399">
        <v>4679</v>
      </c>
    </row>
    <row r="719" spans="5:10" s="1297" customFormat="1">
      <c r="E719" s="1297" t="s">
        <v>939</v>
      </c>
      <c r="F719" s="1399"/>
      <c r="G719" s="1399"/>
      <c r="H719" s="1399"/>
      <c r="I719" s="1399">
        <v>49506.619999999995</v>
      </c>
      <c r="J719" s="1399">
        <v>49506.619999999995</v>
      </c>
    </row>
    <row r="720" spans="5:10" s="1297" customFormat="1">
      <c r="E720" s="1297" t="s">
        <v>1131</v>
      </c>
      <c r="F720" s="1399">
        <v>31497.1</v>
      </c>
      <c r="G720" s="1399"/>
      <c r="H720" s="1399"/>
      <c r="I720" s="1399"/>
      <c r="J720" s="1399">
        <v>31497.1</v>
      </c>
    </row>
    <row r="721" spans="2:12">
      <c r="B721" s="1297"/>
      <c r="C721" s="1297"/>
      <c r="D721" s="1297"/>
      <c r="E721" s="1297" t="s">
        <v>940</v>
      </c>
      <c r="F721" s="1399">
        <v>234367.5</v>
      </c>
      <c r="J721" s="1399">
        <v>234367.5</v>
      </c>
    </row>
    <row r="722" spans="2:12">
      <c r="B722" s="1297"/>
      <c r="C722" s="1297"/>
      <c r="D722" s="1297"/>
      <c r="E722" s="1297" t="s">
        <v>941</v>
      </c>
      <c r="F722" s="1399">
        <v>107511.44</v>
      </c>
      <c r="J722" s="1399">
        <v>107511.44</v>
      </c>
    </row>
    <row r="723" spans="2:12">
      <c r="B723" s="1297"/>
      <c r="C723" s="1297"/>
      <c r="D723" s="1297"/>
      <c r="E723" s="1297" t="s">
        <v>943</v>
      </c>
      <c r="F723" s="1399">
        <v>0</v>
      </c>
      <c r="J723" s="1399">
        <v>0</v>
      </c>
    </row>
    <row r="724" spans="2:12">
      <c r="B724" s="1297"/>
      <c r="C724" s="1297"/>
      <c r="D724" s="1297"/>
      <c r="E724" s="1297" t="s">
        <v>944</v>
      </c>
      <c r="F724" s="1399">
        <v>810932.54</v>
      </c>
      <c r="J724" s="1399">
        <v>810932.54</v>
      </c>
    </row>
    <row r="725" spans="2:12">
      <c r="B725" s="1297"/>
      <c r="C725" s="1297"/>
      <c r="D725" s="1297"/>
      <c r="E725" s="1297" t="s">
        <v>945</v>
      </c>
      <c r="F725" s="1399">
        <v>441779.01999999996</v>
      </c>
      <c r="J725" s="1399">
        <v>441779.01999999996</v>
      </c>
    </row>
    <row r="726" spans="2:12">
      <c r="B726" s="1297"/>
      <c r="C726" s="1297"/>
      <c r="D726" s="1297"/>
      <c r="E726" s="1297" t="s">
        <v>947</v>
      </c>
      <c r="F726" s="1399">
        <v>30958.48</v>
      </c>
      <c r="J726" s="1399">
        <v>30958.48</v>
      </c>
    </row>
    <row r="727" spans="2:12">
      <c r="B727" s="1297"/>
      <c r="C727" s="1297"/>
      <c r="D727" s="1297"/>
      <c r="E727" s="1297" t="s">
        <v>1115</v>
      </c>
      <c r="F727" s="1399">
        <v>30.42</v>
      </c>
      <c r="J727" s="1399">
        <v>30.42</v>
      </c>
    </row>
    <row r="728" spans="2:12">
      <c r="B728" s="1297"/>
      <c r="C728" s="1297"/>
      <c r="D728" s="1297"/>
      <c r="E728" s="1404" t="s">
        <v>948</v>
      </c>
      <c r="F728" s="1405"/>
      <c r="G728" s="1405"/>
      <c r="H728" s="1405">
        <v>75595.459999999992</v>
      </c>
      <c r="I728" s="1405"/>
      <c r="J728" s="1405">
        <v>75595.459999999992</v>
      </c>
    </row>
    <row r="729" spans="2:12">
      <c r="B729" s="1297"/>
      <c r="C729" s="1297"/>
      <c r="D729" s="1297"/>
      <c r="E729" s="1297" t="s">
        <v>1118</v>
      </c>
      <c r="H729" s="1399">
        <v>352.64</v>
      </c>
      <c r="J729" s="1399">
        <v>352.64</v>
      </c>
    </row>
    <row r="730" spans="2:12">
      <c r="B730" s="1297"/>
      <c r="C730" s="1297"/>
      <c r="D730" s="1400" t="s">
        <v>1031</v>
      </c>
      <c r="E730" s="1400"/>
      <c r="F730" s="1401">
        <f>SUM(F699:F729)</f>
        <v>1664427.5</v>
      </c>
      <c r="G730" s="1401">
        <f>SUM(G699:G729)</f>
        <v>2578275.34</v>
      </c>
      <c r="H730" s="1401">
        <f>SUM(H699:H729)-H728</f>
        <v>69106.010000000009</v>
      </c>
      <c r="I730" s="1401">
        <f>SUM(I699:I729)</f>
        <v>3284153.1300000004</v>
      </c>
      <c r="J730" s="1401">
        <f>SUM(J699:J729)</f>
        <v>7671557.4400000004</v>
      </c>
      <c r="K730" s="1401">
        <f>SUM(F730:I730)</f>
        <v>7595961.9800000004</v>
      </c>
      <c r="L730" s="1408">
        <f>K730/C699</f>
        <v>12493.358519736843</v>
      </c>
    </row>
    <row r="731" spans="2:12">
      <c r="B731" s="1297" t="s">
        <v>1032</v>
      </c>
      <c r="C731" s="1297">
        <v>9099</v>
      </c>
      <c r="D731" s="1297" t="s">
        <v>1033</v>
      </c>
      <c r="E731" s="1297" t="s">
        <v>906</v>
      </c>
      <c r="G731" s="1399">
        <v>23899770.120000001</v>
      </c>
      <c r="J731" s="1399">
        <v>23899770.120000001</v>
      </c>
    </row>
    <row r="732" spans="2:12">
      <c r="B732" s="1297"/>
      <c r="C732" s="1297"/>
      <c r="D732" s="1297"/>
      <c r="E732" s="1297" t="s">
        <v>952</v>
      </c>
      <c r="G732" s="1399">
        <v>291133.52</v>
      </c>
      <c r="J732" s="1399">
        <v>291133.52</v>
      </c>
    </row>
    <row r="733" spans="2:12">
      <c r="B733" s="1297"/>
      <c r="C733" s="1297"/>
      <c r="D733" s="1297"/>
      <c r="E733" s="1297" t="s">
        <v>907</v>
      </c>
      <c r="G733" s="1399">
        <v>7916231.0099999998</v>
      </c>
      <c r="J733" s="1399">
        <v>7916231.0099999998</v>
      </c>
    </row>
    <row r="734" spans="2:12">
      <c r="B734" s="1297"/>
      <c r="C734" s="1297"/>
      <c r="D734" s="1297"/>
      <c r="E734" s="1297" t="s">
        <v>908</v>
      </c>
      <c r="G734" s="1399">
        <v>17123.68</v>
      </c>
      <c r="J734" s="1399">
        <v>17123.68</v>
      </c>
    </row>
    <row r="735" spans="2:12">
      <c r="B735" s="1297"/>
      <c r="C735" s="1297"/>
      <c r="D735" s="1297"/>
      <c r="E735" s="1297" t="s">
        <v>909</v>
      </c>
      <c r="H735" s="1399">
        <v>71733.14</v>
      </c>
      <c r="J735" s="1399">
        <v>71733.14</v>
      </c>
    </row>
    <row r="736" spans="2:12">
      <c r="B736" s="1297"/>
      <c r="C736" s="1297"/>
      <c r="D736" s="1297"/>
      <c r="E736" s="1297" t="s">
        <v>910</v>
      </c>
      <c r="H736" s="1399">
        <v>314863.61</v>
      </c>
      <c r="J736" s="1399">
        <v>314863.61</v>
      </c>
    </row>
    <row r="737" spans="5:10" s="1297" customFormat="1">
      <c r="E737" s="1297" t="s">
        <v>1034</v>
      </c>
      <c r="F737" s="1399"/>
      <c r="G737" s="1399"/>
      <c r="H737" s="1399">
        <v>128826.29999999999</v>
      </c>
      <c r="I737" s="1399"/>
      <c r="J737" s="1399">
        <v>128826.29999999999</v>
      </c>
    </row>
    <row r="738" spans="5:10" s="1297" customFormat="1">
      <c r="E738" s="1297" t="s">
        <v>1035</v>
      </c>
      <c r="F738" s="1399"/>
      <c r="G738" s="1399"/>
      <c r="H738" s="1399">
        <v>963133.89000000013</v>
      </c>
      <c r="I738" s="1399"/>
      <c r="J738" s="1399">
        <v>963133.89000000013</v>
      </c>
    </row>
    <row r="739" spans="5:10" s="1297" customFormat="1">
      <c r="E739" s="1297" t="s">
        <v>1036</v>
      </c>
      <c r="F739" s="1399"/>
      <c r="G739" s="1399"/>
      <c r="H739" s="1399">
        <v>306326.32</v>
      </c>
      <c r="I739" s="1399"/>
      <c r="J739" s="1399">
        <v>306326.32</v>
      </c>
    </row>
    <row r="740" spans="5:10" s="1297" customFormat="1">
      <c r="E740" s="1297" t="s">
        <v>1039</v>
      </c>
      <c r="F740" s="1399"/>
      <c r="G740" s="1399"/>
      <c r="H740" s="1399">
        <v>45148.279999999984</v>
      </c>
      <c r="I740" s="1399"/>
      <c r="J740" s="1399">
        <v>45148.279999999984</v>
      </c>
    </row>
    <row r="741" spans="5:10" s="1297" customFormat="1">
      <c r="E741" s="1297" t="s">
        <v>1040</v>
      </c>
      <c r="F741" s="1399"/>
      <c r="G741" s="1399"/>
      <c r="H741" s="1399">
        <v>879715.10999999987</v>
      </c>
      <c r="I741" s="1399"/>
      <c r="J741" s="1399">
        <v>879715.10999999987</v>
      </c>
    </row>
    <row r="742" spans="5:10" s="1297" customFormat="1">
      <c r="E742" s="1297" t="s">
        <v>1041</v>
      </c>
      <c r="F742" s="1399"/>
      <c r="G742" s="1399"/>
      <c r="H742" s="1399">
        <v>29321.559999999998</v>
      </c>
      <c r="I742" s="1399"/>
      <c r="J742" s="1399">
        <v>29321.559999999998</v>
      </c>
    </row>
    <row r="743" spans="5:10" s="1297" customFormat="1">
      <c r="E743" s="1297" t="s">
        <v>1042</v>
      </c>
      <c r="F743" s="1399"/>
      <c r="G743" s="1399"/>
      <c r="H743" s="1399">
        <v>79687.41</v>
      </c>
      <c r="I743" s="1399"/>
      <c r="J743" s="1399">
        <v>79687.41</v>
      </c>
    </row>
    <row r="744" spans="5:10" s="1297" customFormat="1">
      <c r="E744" s="1297" t="s">
        <v>985</v>
      </c>
      <c r="F744" s="1399"/>
      <c r="G744" s="1399"/>
      <c r="H744" s="1399">
        <v>373119</v>
      </c>
      <c r="I744" s="1399"/>
      <c r="J744" s="1399">
        <v>373119</v>
      </c>
    </row>
    <row r="745" spans="5:10" s="1297" customFormat="1">
      <c r="E745" s="1297" t="s">
        <v>986</v>
      </c>
      <c r="F745" s="1399"/>
      <c r="G745" s="1399"/>
      <c r="H745" s="1399">
        <v>17579.05</v>
      </c>
      <c r="I745" s="1399"/>
      <c r="J745" s="1399">
        <v>17579.05</v>
      </c>
    </row>
    <row r="746" spans="5:10" s="1297" customFormat="1">
      <c r="E746" s="1297" t="s">
        <v>1044</v>
      </c>
      <c r="F746" s="1399">
        <v>44565.97</v>
      </c>
      <c r="G746" s="1399"/>
      <c r="H746" s="1399"/>
      <c r="I746" s="1399"/>
      <c r="J746" s="1399">
        <v>44565.97</v>
      </c>
    </row>
    <row r="747" spans="5:10" s="1297" customFormat="1">
      <c r="E747" s="1297" t="s">
        <v>1045</v>
      </c>
      <c r="F747" s="1399"/>
      <c r="G747" s="1399"/>
      <c r="H747" s="1399">
        <v>309508.98</v>
      </c>
      <c r="I747" s="1399"/>
      <c r="J747" s="1399">
        <v>309508.98</v>
      </c>
    </row>
    <row r="748" spans="5:10" s="1297" customFormat="1">
      <c r="E748" s="1297" t="s">
        <v>1046</v>
      </c>
      <c r="F748" s="1399"/>
      <c r="G748" s="1399"/>
      <c r="H748" s="1399"/>
      <c r="I748" s="1399">
        <v>48927176</v>
      </c>
      <c r="J748" s="1399">
        <v>48927176</v>
      </c>
    </row>
    <row r="749" spans="5:10" s="1297" customFormat="1">
      <c r="E749" s="1297" t="s">
        <v>1128</v>
      </c>
      <c r="F749" s="1399"/>
      <c r="G749" s="1399"/>
      <c r="H749" s="1399"/>
      <c r="I749" s="1399">
        <v>3960987</v>
      </c>
      <c r="J749" s="1399">
        <v>3960987</v>
      </c>
    </row>
    <row r="750" spans="5:10" s="1297" customFormat="1">
      <c r="E750" s="1297" t="s">
        <v>1129</v>
      </c>
      <c r="F750" s="1399"/>
      <c r="G750" s="1399"/>
      <c r="H750" s="1399"/>
      <c r="I750" s="1399">
        <v>-6903385</v>
      </c>
      <c r="J750" s="1399">
        <v>-6903385</v>
      </c>
    </row>
    <row r="751" spans="5:10" s="1297" customFormat="1">
      <c r="E751" s="1297" t="s">
        <v>1047</v>
      </c>
      <c r="F751" s="1399"/>
      <c r="G751" s="1399"/>
      <c r="H751" s="1399"/>
      <c r="I751" s="1399">
        <v>1173435</v>
      </c>
      <c r="J751" s="1399">
        <v>1173435</v>
      </c>
    </row>
    <row r="752" spans="5:10" s="1297" customFormat="1">
      <c r="E752" s="1297" t="s">
        <v>1048</v>
      </c>
      <c r="F752" s="1399"/>
      <c r="G752" s="1399"/>
      <c r="H752" s="1399"/>
      <c r="I752" s="1399">
        <v>-8473261</v>
      </c>
      <c r="J752" s="1399">
        <v>-8473261</v>
      </c>
    </row>
    <row r="753" spans="5:10" s="1297" customFormat="1">
      <c r="E753" s="1297" t="s">
        <v>932</v>
      </c>
      <c r="F753" s="1399"/>
      <c r="G753" s="1399"/>
      <c r="H753" s="1399"/>
      <c r="I753" s="1399">
        <v>1693789</v>
      </c>
      <c r="J753" s="1399">
        <v>1693789</v>
      </c>
    </row>
    <row r="754" spans="5:10" s="1297" customFormat="1">
      <c r="E754" s="1404" t="s">
        <v>955</v>
      </c>
      <c r="F754" s="1405"/>
      <c r="G754" s="1405"/>
      <c r="H754" s="1405"/>
      <c r="I754" s="1405">
        <v>951671.52000000014</v>
      </c>
      <c r="J754" s="1405">
        <v>951671.52000000014</v>
      </c>
    </row>
    <row r="755" spans="5:10" s="1297" customFormat="1">
      <c r="E755" s="1297" t="s">
        <v>934</v>
      </c>
      <c r="F755" s="1399"/>
      <c r="G755" s="1399"/>
      <c r="H755" s="1399"/>
      <c r="I755" s="1399">
        <v>140096</v>
      </c>
      <c r="J755" s="1399">
        <v>140096</v>
      </c>
    </row>
    <row r="756" spans="5:10" s="1297" customFormat="1">
      <c r="E756" s="1297" t="s">
        <v>935</v>
      </c>
      <c r="F756" s="1399"/>
      <c r="G756" s="1399"/>
      <c r="H756" s="1399"/>
      <c r="I756" s="1399">
        <v>695873.0399999998</v>
      </c>
      <c r="J756" s="1399">
        <v>695873.0399999998</v>
      </c>
    </row>
    <row r="757" spans="5:10" s="1297" customFormat="1">
      <c r="E757" s="1297" t="s">
        <v>936</v>
      </c>
      <c r="F757" s="1399"/>
      <c r="G757" s="1399"/>
      <c r="H757" s="1399"/>
      <c r="I757" s="1399">
        <v>91739.44</v>
      </c>
      <c r="J757" s="1399">
        <v>91739.44</v>
      </c>
    </row>
    <row r="758" spans="5:10" s="1297" customFormat="1">
      <c r="E758" s="1297" t="s">
        <v>937</v>
      </c>
      <c r="F758" s="1399"/>
      <c r="G758" s="1399"/>
      <c r="H758" s="1399"/>
      <c r="I758" s="1399">
        <v>50621.47</v>
      </c>
      <c r="J758" s="1399">
        <v>50621.47</v>
      </c>
    </row>
    <row r="759" spans="5:10" s="1297" customFormat="1">
      <c r="E759" s="1297" t="s">
        <v>938</v>
      </c>
      <c r="F759" s="1399"/>
      <c r="G759" s="1399"/>
      <c r="H759" s="1399"/>
      <c r="I759" s="1399">
        <v>43982</v>
      </c>
      <c r="J759" s="1399">
        <v>43982</v>
      </c>
    </row>
    <row r="760" spans="5:10" s="1297" customFormat="1">
      <c r="E760" s="1297" t="s">
        <v>939</v>
      </c>
      <c r="F760" s="1399"/>
      <c r="G760" s="1399"/>
      <c r="H760" s="1399"/>
      <c r="I760" s="1399">
        <v>254204.64</v>
      </c>
      <c r="J760" s="1399">
        <v>254204.64</v>
      </c>
    </row>
    <row r="761" spans="5:10" s="1297" customFormat="1">
      <c r="E761" s="1297" t="s">
        <v>1131</v>
      </c>
      <c r="F761" s="1399">
        <v>88112.11</v>
      </c>
      <c r="G761" s="1399"/>
      <c r="H761" s="1399"/>
      <c r="I761" s="1399"/>
      <c r="J761" s="1399">
        <v>88112.11</v>
      </c>
    </row>
    <row r="762" spans="5:10" s="1297" customFormat="1">
      <c r="E762" s="1297" t="s">
        <v>940</v>
      </c>
      <c r="F762" s="1399">
        <v>1688181.76</v>
      </c>
      <c r="G762" s="1399"/>
      <c r="H762" s="1399"/>
      <c r="I762" s="1399"/>
      <c r="J762" s="1399">
        <v>1688181.76</v>
      </c>
    </row>
    <row r="763" spans="5:10" s="1297" customFormat="1">
      <c r="E763" s="1297" t="s">
        <v>941</v>
      </c>
      <c r="F763" s="1399">
        <v>709390.37999999989</v>
      </c>
      <c r="G763" s="1399"/>
      <c r="H763" s="1399"/>
      <c r="I763" s="1399"/>
      <c r="J763" s="1399">
        <v>709390.37999999989</v>
      </c>
    </row>
    <row r="764" spans="5:10" s="1297" customFormat="1">
      <c r="E764" s="1297" t="s">
        <v>943</v>
      </c>
      <c r="F764" s="1399">
        <v>13050.640000000003</v>
      </c>
      <c r="G764" s="1399"/>
      <c r="H764" s="1399"/>
      <c r="I764" s="1399"/>
      <c r="J764" s="1399">
        <v>13050.640000000003</v>
      </c>
    </row>
    <row r="765" spans="5:10" s="1297" customFormat="1">
      <c r="E765" s="1297" t="s">
        <v>944</v>
      </c>
      <c r="F765" s="1399">
        <v>3703853.6300000004</v>
      </c>
      <c r="G765" s="1399"/>
      <c r="H765" s="1399"/>
      <c r="I765" s="1399"/>
      <c r="J765" s="1399">
        <v>3703853.6300000004</v>
      </c>
    </row>
    <row r="766" spans="5:10" s="1297" customFormat="1">
      <c r="E766" s="1297" t="s">
        <v>945</v>
      </c>
      <c r="F766" s="1399">
        <v>4192425.91</v>
      </c>
      <c r="G766" s="1399"/>
      <c r="H766" s="1399"/>
      <c r="I766" s="1399"/>
      <c r="J766" s="1399">
        <v>4192425.91</v>
      </c>
    </row>
    <row r="767" spans="5:10" s="1297" customFormat="1">
      <c r="E767" s="1297" t="s">
        <v>1006</v>
      </c>
      <c r="F767" s="1399">
        <v>6584695.6999999993</v>
      </c>
      <c r="G767" s="1399"/>
      <c r="H767" s="1399"/>
      <c r="I767" s="1399"/>
      <c r="J767" s="1399">
        <v>6584695.6999999993</v>
      </c>
    </row>
    <row r="768" spans="5:10" s="1297" customFormat="1">
      <c r="E768" s="1297" t="s">
        <v>1199</v>
      </c>
      <c r="F768" s="1399">
        <v>6504</v>
      </c>
      <c r="G768" s="1399"/>
      <c r="H768" s="1399"/>
      <c r="I768" s="1399"/>
      <c r="J768" s="1399">
        <v>6504</v>
      </c>
    </row>
    <row r="769" spans="2:12">
      <c r="B769" s="1297"/>
      <c r="C769" s="1297"/>
      <c r="D769" s="1297"/>
      <c r="E769" s="1297" t="s">
        <v>947</v>
      </c>
      <c r="F769" s="1399">
        <v>275066.57</v>
      </c>
      <c r="J769" s="1399">
        <v>275066.57</v>
      </c>
    </row>
    <row r="770" spans="2:12">
      <c r="B770" s="1297"/>
      <c r="C770" s="1297"/>
      <c r="D770" s="1297"/>
      <c r="E770" s="1297" t="s">
        <v>1115</v>
      </c>
      <c r="F770" s="1399">
        <v>285369</v>
      </c>
      <c r="J770" s="1399">
        <v>285369</v>
      </c>
    </row>
    <row r="771" spans="2:12">
      <c r="B771" s="1297"/>
      <c r="C771" s="1297"/>
      <c r="D771" s="1297"/>
      <c r="E771" s="1404" t="s">
        <v>948</v>
      </c>
      <c r="F771" s="1405"/>
      <c r="G771" s="1405"/>
      <c r="H771" s="1405">
        <v>479246.73000000004</v>
      </c>
      <c r="I771" s="1405"/>
      <c r="J771" s="1405">
        <v>479246.73000000004</v>
      </c>
    </row>
    <row r="772" spans="2:12">
      <c r="B772" s="1297"/>
      <c r="C772" s="1297"/>
      <c r="D772" s="1400" t="s">
        <v>1200</v>
      </c>
      <c r="E772" s="1400"/>
      <c r="F772" s="1401">
        <f>SUM(F731:F771)</f>
        <v>17591215.670000002</v>
      </c>
      <c r="G772" s="1401">
        <f>SUM(G731:G771)</f>
        <v>32124258.329999998</v>
      </c>
      <c r="H772" s="1401">
        <f>SUM(H731:H771)-H771</f>
        <v>3518962.6500000004</v>
      </c>
      <c r="I772" s="1401">
        <f>SUM(I731:I771)-I754</f>
        <v>41655257.589999996</v>
      </c>
      <c r="J772" s="1401">
        <f>SUM(J731:J771)</f>
        <v>96320612.48999998</v>
      </c>
      <c r="K772" s="1401">
        <f>SUM(F772:I772)</f>
        <v>94889694.239999995</v>
      </c>
      <c r="L772" s="1408">
        <f>K772/C731</f>
        <v>10428.584925816023</v>
      </c>
    </row>
    <row r="773" spans="2:12">
      <c r="B773" s="1297" t="s">
        <v>1201</v>
      </c>
      <c r="C773" s="1297">
        <v>1916</v>
      </c>
      <c r="D773" s="1297" t="s">
        <v>1202</v>
      </c>
      <c r="E773" s="1297" t="s">
        <v>906</v>
      </c>
      <c r="G773" s="1399">
        <v>2906761.75</v>
      </c>
      <c r="J773" s="1399">
        <v>2906761.75</v>
      </c>
    </row>
    <row r="774" spans="2:12">
      <c r="B774" s="1297"/>
      <c r="C774" s="1297"/>
      <c r="D774" s="1297"/>
      <c r="E774" s="1297" t="s">
        <v>952</v>
      </c>
      <c r="G774" s="1399">
        <v>23960.52</v>
      </c>
      <c r="J774" s="1399">
        <v>23960.52</v>
      </c>
    </row>
    <row r="775" spans="2:12">
      <c r="B775" s="1297"/>
      <c r="C775" s="1297"/>
      <c r="D775" s="1297"/>
      <c r="E775" s="1297" t="s">
        <v>907</v>
      </c>
      <c r="G775" s="1399">
        <v>1271486.57</v>
      </c>
      <c r="J775" s="1399">
        <v>1271486.57</v>
      </c>
    </row>
    <row r="776" spans="2:12">
      <c r="B776" s="1297"/>
      <c r="C776" s="1297"/>
      <c r="D776" s="1297"/>
      <c r="E776" s="1297" t="s">
        <v>908</v>
      </c>
      <c r="G776" s="1399">
        <v>3903.03</v>
      </c>
      <c r="J776" s="1399">
        <v>3903.03</v>
      </c>
    </row>
    <row r="777" spans="2:12">
      <c r="B777" s="1297"/>
      <c r="C777" s="1297"/>
      <c r="D777" s="1297"/>
      <c r="E777" s="1297" t="s">
        <v>1122</v>
      </c>
      <c r="H777" s="1399">
        <v>-1495</v>
      </c>
      <c r="J777" s="1399">
        <v>-1495</v>
      </c>
    </row>
    <row r="778" spans="2:12">
      <c r="B778" s="1297"/>
      <c r="C778" s="1297"/>
      <c r="D778" s="1297"/>
      <c r="E778" s="1297" t="s">
        <v>909</v>
      </c>
      <c r="H778" s="1399">
        <v>44111.3</v>
      </c>
      <c r="J778" s="1399">
        <v>44111.3</v>
      </c>
    </row>
    <row r="779" spans="2:12">
      <c r="B779" s="1297"/>
      <c r="C779" s="1297"/>
      <c r="D779" s="1297"/>
      <c r="E779" s="1297" t="s">
        <v>910</v>
      </c>
      <c r="H779" s="1399">
        <v>50673.17</v>
      </c>
      <c r="J779" s="1399">
        <v>50673.17</v>
      </c>
    </row>
    <row r="780" spans="2:12">
      <c r="B780" s="1297"/>
      <c r="C780" s="1297"/>
      <c r="D780" s="1297"/>
      <c r="E780" s="1297" t="s">
        <v>1034</v>
      </c>
      <c r="H780" s="1399">
        <v>102796.63</v>
      </c>
      <c r="J780" s="1399">
        <v>102796.63</v>
      </c>
    </row>
    <row r="781" spans="2:12">
      <c r="B781" s="1297"/>
      <c r="C781" s="1297"/>
      <c r="D781" s="1297"/>
      <c r="E781" s="1297" t="s">
        <v>1035</v>
      </c>
      <c r="H781" s="1399">
        <v>251793.61</v>
      </c>
      <c r="J781" s="1399">
        <v>251793.61</v>
      </c>
    </row>
    <row r="782" spans="2:12">
      <c r="B782" s="1297"/>
      <c r="C782" s="1297"/>
      <c r="D782" s="1297"/>
      <c r="E782" s="1297" t="s">
        <v>1036</v>
      </c>
      <c r="H782" s="1399">
        <v>54754.42</v>
      </c>
      <c r="J782" s="1399">
        <v>54754.42</v>
      </c>
    </row>
    <row r="783" spans="2:12">
      <c r="B783" s="1297"/>
      <c r="C783" s="1297"/>
      <c r="D783" s="1297"/>
      <c r="E783" s="1297" t="s">
        <v>1003</v>
      </c>
      <c r="H783" s="1399">
        <v>21486.32</v>
      </c>
      <c r="J783" s="1399">
        <v>21486.32</v>
      </c>
    </row>
    <row r="784" spans="2:12">
      <c r="B784" s="1297"/>
      <c r="C784" s="1297"/>
      <c r="D784" s="1297"/>
      <c r="E784" s="1297" t="s">
        <v>1039</v>
      </c>
      <c r="H784" s="1399">
        <v>112490.55</v>
      </c>
      <c r="J784" s="1399">
        <v>112490.55</v>
      </c>
    </row>
    <row r="785" spans="5:10" s="1297" customFormat="1">
      <c r="E785" s="1297" t="s">
        <v>1040</v>
      </c>
      <c r="F785" s="1399"/>
      <c r="G785" s="1399"/>
      <c r="H785" s="1399">
        <v>112565.33000000002</v>
      </c>
      <c r="I785" s="1399"/>
      <c r="J785" s="1399">
        <v>112565.33000000002</v>
      </c>
    </row>
    <row r="786" spans="5:10" s="1297" customFormat="1">
      <c r="E786" s="1297" t="s">
        <v>1041</v>
      </c>
      <c r="F786" s="1399"/>
      <c r="G786" s="1399"/>
      <c r="H786" s="1399">
        <v>24092.25</v>
      </c>
      <c r="I786" s="1399"/>
      <c r="J786" s="1399">
        <v>24092.25</v>
      </c>
    </row>
    <row r="787" spans="5:10" s="1297" customFormat="1">
      <c r="E787" s="1297" t="s">
        <v>1042</v>
      </c>
      <c r="F787" s="1399"/>
      <c r="G787" s="1399"/>
      <c r="H787" s="1399">
        <v>19507.849999999999</v>
      </c>
      <c r="I787" s="1399"/>
      <c r="J787" s="1399">
        <v>19507.849999999999</v>
      </c>
    </row>
    <row r="788" spans="5:10" s="1297" customFormat="1">
      <c r="E788" s="1297" t="s">
        <v>953</v>
      </c>
      <c r="F788" s="1399"/>
      <c r="G788" s="1399"/>
      <c r="H788" s="1399">
        <v>32164.51</v>
      </c>
      <c r="I788" s="1399"/>
      <c r="J788" s="1399">
        <v>32164.51</v>
      </c>
    </row>
    <row r="789" spans="5:10" s="1297" customFormat="1">
      <c r="E789" s="1297" t="s">
        <v>985</v>
      </c>
      <c r="F789" s="1399"/>
      <c r="G789" s="1399"/>
      <c r="H789" s="1399">
        <v>49649.37</v>
      </c>
      <c r="I789" s="1399"/>
      <c r="J789" s="1399">
        <v>49649.37</v>
      </c>
    </row>
    <row r="790" spans="5:10" s="1297" customFormat="1">
      <c r="E790" s="1297" t="s">
        <v>1043</v>
      </c>
      <c r="F790" s="1399"/>
      <c r="G790" s="1399"/>
      <c r="H790" s="1399">
        <v>2400</v>
      </c>
      <c r="I790" s="1399"/>
      <c r="J790" s="1399">
        <v>2400</v>
      </c>
    </row>
    <row r="791" spans="5:10" s="1297" customFormat="1">
      <c r="E791" s="1297" t="s">
        <v>1203</v>
      </c>
      <c r="F791" s="1399"/>
      <c r="G791" s="1399"/>
      <c r="H791" s="1399">
        <v>1200</v>
      </c>
      <c r="I791" s="1399"/>
      <c r="J791" s="1399">
        <v>1200</v>
      </c>
    </row>
    <row r="792" spans="5:10" s="1297" customFormat="1">
      <c r="E792" s="1297" t="s">
        <v>1044</v>
      </c>
      <c r="F792" s="1399">
        <v>43950.18</v>
      </c>
      <c r="G792" s="1399"/>
      <c r="H792" s="1399"/>
      <c r="I792" s="1399"/>
      <c r="J792" s="1399">
        <v>43950.18</v>
      </c>
    </row>
    <row r="793" spans="5:10" s="1297" customFormat="1">
      <c r="E793" s="1297" t="s">
        <v>1045</v>
      </c>
      <c r="F793" s="1399"/>
      <c r="G793" s="1399"/>
      <c r="H793" s="1399">
        <v>216384.45</v>
      </c>
      <c r="I793" s="1399"/>
      <c r="J793" s="1399">
        <v>216384.45</v>
      </c>
    </row>
    <row r="794" spans="5:10" s="1297" customFormat="1">
      <c r="E794" s="1297" t="s">
        <v>1046</v>
      </c>
      <c r="F794" s="1399"/>
      <c r="G794" s="1399"/>
      <c r="H794" s="1399"/>
      <c r="I794" s="1399">
        <v>11095194</v>
      </c>
      <c r="J794" s="1399">
        <v>11095194</v>
      </c>
    </row>
    <row r="795" spans="5:10" s="1297" customFormat="1">
      <c r="E795" s="1297" t="s">
        <v>1129</v>
      </c>
      <c r="F795" s="1399"/>
      <c r="G795" s="1399"/>
      <c r="H795" s="1399"/>
      <c r="I795" s="1399">
        <v>-1391455</v>
      </c>
      <c r="J795" s="1399">
        <v>-1391455</v>
      </c>
    </row>
    <row r="796" spans="5:10" s="1297" customFormat="1">
      <c r="E796" s="1297" t="s">
        <v>1047</v>
      </c>
      <c r="F796" s="1399"/>
      <c r="G796" s="1399"/>
      <c r="H796" s="1399"/>
      <c r="I796" s="1399">
        <v>328587</v>
      </c>
      <c r="J796" s="1399">
        <v>328587</v>
      </c>
    </row>
    <row r="797" spans="5:10" s="1297" customFormat="1">
      <c r="E797" s="1297" t="s">
        <v>1048</v>
      </c>
      <c r="F797" s="1399"/>
      <c r="G797" s="1399"/>
      <c r="H797" s="1399"/>
      <c r="I797" s="1399">
        <v>-962507</v>
      </c>
      <c r="J797" s="1399">
        <v>-962507</v>
      </c>
    </row>
    <row r="798" spans="5:10" s="1297" customFormat="1">
      <c r="E798" s="1297" t="s">
        <v>932</v>
      </c>
      <c r="F798" s="1399"/>
      <c r="G798" s="1399"/>
      <c r="H798" s="1399"/>
      <c r="I798" s="1399">
        <v>1133383</v>
      </c>
      <c r="J798" s="1399">
        <v>1133383</v>
      </c>
    </row>
    <row r="799" spans="5:10" s="1297" customFormat="1">
      <c r="E799" s="1404" t="s">
        <v>955</v>
      </c>
      <c r="F799" s="1405"/>
      <c r="G799" s="1405"/>
      <c r="H799" s="1405"/>
      <c r="I799" s="1405">
        <v>702822.34</v>
      </c>
      <c r="J799" s="1405">
        <v>702822.34</v>
      </c>
    </row>
    <row r="800" spans="5:10" s="1297" customFormat="1">
      <c r="E800" s="1297" t="s">
        <v>934</v>
      </c>
      <c r="F800" s="1399"/>
      <c r="G800" s="1399"/>
      <c r="H800" s="1399"/>
      <c r="I800" s="1399">
        <v>31316</v>
      </c>
      <c r="J800" s="1399">
        <v>31316</v>
      </c>
    </row>
    <row r="801" spans="5:10" s="1297" customFormat="1">
      <c r="E801" s="1297" t="s">
        <v>1130</v>
      </c>
      <c r="F801" s="1399"/>
      <c r="G801" s="1399"/>
      <c r="H801" s="1399"/>
      <c r="I801" s="1399">
        <v>2388</v>
      </c>
      <c r="J801" s="1399">
        <v>2388</v>
      </c>
    </row>
    <row r="802" spans="5:10" s="1297" customFormat="1">
      <c r="E802" s="1297" t="s">
        <v>935</v>
      </c>
      <c r="F802" s="1399"/>
      <c r="G802" s="1399"/>
      <c r="H802" s="1399"/>
      <c r="I802" s="1399">
        <v>320984.76</v>
      </c>
      <c r="J802" s="1399">
        <v>320984.76</v>
      </c>
    </row>
    <row r="803" spans="5:10" s="1297" customFormat="1">
      <c r="E803" s="1297" t="s">
        <v>936</v>
      </c>
      <c r="F803" s="1399"/>
      <c r="G803" s="1399"/>
      <c r="H803" s="1399"/>
      <c r="I803" s="1399">
        <v>33964.6</v>
      </c>
      <c r="J803" s="1399">
        <v>33964.6</v>
      </c>
    </row>
    <row r="804" spans="5:10" s="1297" customFormat="1">
      <c r="E804" s="1297" t="s">
        <v>937</v>
      </c>
      <c r="F804" s="1399"/>
      <c r="G804" s="1399"/>
      <c r="H804" s="1399"/>
      <c r="I804" s="1399">
        <v>14113.58</v>
      </c>
      <c r="J804" s="1399">
        <v>14113.58</v>
      </c>
    </row>
    <row r="805" spans="5:10" s="1297" customFormat="1">
      <c r="E805" s="1297" t="s">
        <v>938</v>
      </c>
      <c r="F805" s="1399"/>
      <c r="G805" s="1399"/>
      <c r="H805" s="1399"/>
      <c r="I805" s="1399">
        <v>10481</v>
      </c>
      <c r="J805" s="1399">
        <v>10481</v>
      </c>
    </row>
    <row r="806" spans="5:10" s="1297" customFormat="1">
      <c r="E806" s="1297" t="s">
        <v>939</v>
      </c>
      <c r="F806" s="1399"/>
      <c r="G806" s="1399"/>
      <c r="H806" s="1399"/>
      <c r="I806" s="1399">
        <v>-5250</v>
      </c>
      <c r="J806" s="1399">
        <v>-5250</v>
      </c>
    </row>
    <row r="807" spans="5:10" s="1297" customFormat="1">
      <c r="E807" s="1297" t="s">
        <v>940</v>
      </c>
      <c r="F807" s="1399">
        <v>601122.98</v>
      </c>
      <c r="G807" s="1399"/>
      <c r="H807" s="1399"/>
      <c r="I807" s="1399"/>
      <c r="J807" s="1399">
        <v>601122.98</v>
      </c>
    </row>
    <row r="808" spans="5:10" s="1297" customFormat="1">
      <c r="E808" s="1297" t="s">
        <v>941</v>
      </c>
      <c r="F808" s="1399">
        <v>244068.36</v>
      </c>
      <c r="G808" s="1399"/>
      <c r="H808" s="1399"/>
      <c r="I808" s="1399"/>
      <c r="J808" s="1399">
        <v>244068.36</v>
      </c>
    </row>
    <row r="809" spans="5:10" s="1297" customFormat="1">
      <c r="E809" s="1297" t="s">
        <v>942</v>
      </c>
      <c r="F809" s="1399">
        <v>11359.27</v>
      </c>
      <c r="G809" s="1399"/>
      <c r="H809" s="1399"/>
      <c r="I809" s="1399"/>
      <c r="J809" s="1399">
        <v>11359.27</v>
      </c>
    </row>
    <row r="810" spans="5:10" s="1297" customFormat="1">
      <c r="E810" s="1297" t="s">
        <v>943</v>
      </c>
      <c r="F810" s="1399">
        <v>9830.9</v>
      </c>
      <c r="G810" s="1399"/>
      <c r="H810" s="1399"/>
      <c r="I810" s="1399"/>
      <c r="J810" s="1399">
        <v>9830.9</v>
      </c>
    </row>
    <row r="811" spans="5:10" s="1297" customFormat="1">
      <c r="E811" s="1297" t="s">
        <v>944</v>
      </c>
      <c r="F811" s="1399">
        <v>2075826.4400000002</v>
      </c>
      <c r="G811" s="1399"/>
      <c r="H811" s="1399"/>
      <c r="I811" s="1399"/>
      <c r="J811" s="1399">
        <v>2075826.4400000002</v>
      </c>
    </row>
    <row r="812" spans="5:10" s="1297" customFormat="1">
      <c r="E812" s="1297" t="s">
        <v>945</v>
      </c>
      <c r="F812" s="1399">
        <v>856783.39999999991</v>
      </c>
      <c r="G812" s="1399"/>
      <c r="H812" s="1399"/>
      <c r="I812" s="1399"/>
      <c r="J812" s="1399">
        <v>856783.39999999991</v>
      </c>
    </row>
    <row r="813" spans="5:10" s="1297" customFormat="1">
      <c r="E813" s="1297" t="s">
        <v>946</v>
      </c>
      <c r="F813" s="1399">
        <v>22040.32</v>
      </c>
      <c r="G813" s="1399"/>
      <c r="H813" s="1399"/>
      <c r="I813" s="1399"/>
      <c r="J813" s="1399">
        <v>22040.32</v>
      </c>
    </row>
    <row r="814" spans="5:10" s="1297" customFormat="1">
      <c r="E814" s="1297" t="s">
        <v>947</v>
      </c>
      <c r="F814" s="1399">
        <v>61251.82</v>
      </c>
      <c r="G814" s="1399"/>
      <c r="H814" s="1399"/>
      <c r="I814" s="1399"/>
      <c r="J814" s="1399">
        <v>61251.82</v>
      </c>
    </row>
    <row r="815" spans="5:10" s="1297" customFormat="1">
      <c r="E815" s="1297" t="s">
        <v>1115</v>
      </c>
      <c r="F815" s="1399">
        <v>60030.22</v>
      </c>
      <c r="G815" s="1399"/>
      <c r="H815" s="1399"/>
      <c r="I815" s="1399"/>
      <c r="J815" s="1399">
        <v>60030.22</v>
      </c>
    </row>
    <row r="816" spans="5:10" s="1297" customFormat="1">
      <c r="E816" s="1404" t="s">
        <v>1116</v>
      </c>
      <c r="F816" s="1405"/>
      <c r="G816" s="1405"/>
      <c r="H816" s="1405">
        <v>17625000</v>
      </c>
      <c r="I816" s="1405"/>
      <c r="J816" s="1405">
        <v>17625000</v>
      </c>
    </row>
    <row r="817" spans="2:12">
      <c r="B817" s="1297"/>
      <c r="C817" s="1297"/>
      <c r="D817" s="1297"/>
      <c r="E817" s="1404" t="s">
        <v>948</v>
      </c>
      <c r="F817" s="1405"/>
      <c r="G817" s="1405"/>
      <c r="H817" s="1405">
        <v>1519631.56</v>
      </c>
      <c r="I817" s="1405"/>
      <c r="J817" s="1405">
        <v>1519631.56</v>
      </c>
    </row>
    <row r="818" spans="2:12">
      <c r="B818" s="1297"/>
      <c r="C818" s="1297"/>
      <c r="D818" s="1400" t="s">
        <v>1204</v>
      </c>
      <c r="E818" s="1400"/>
      <c r="F818" s="1401">
        <f>SUM(F773:F817)</f>
        <v>3986263.89</v>
      </c>
      <c r="G818" s="1401">
        <f>SUM(G773:G817)</f>
        <v>4206111.87</v>
      </c>
      <c r="H818" s="1401">
        <f>SUM(H773:H817)-(H816+H817)</f>
        <v>1094574.7600000016</v>
      </c>
      <c r="I818" s="1401">
        <f>SUM(I773:I817)-I799</f>
        <v>10611199.939999999</v>
      </c>
      <c r="J818" s="1401">
        <f>SUM(J773:J817)</f>
        <v>39745604.359999999</v>
      </c>
      <c r="K818" s="1401">
        <f>SUM(F818:I818)</f>
        <v>19898150.460000001</v>
      </c>
      <c r="L818" s="1408">
        <f>K818/C773</f>
        <v>10385.255981210856</v>
      </c>
    </row>
    <row r="819" spans="2:12">
      <c r="B819" s="1297" t="s">
        <v>1205</v>
      </c>
      <c r="C819" s="1297">
        <v>13922</v>
      </c>
      <c r="D819" s="1297" t="s">
        <v>1206</v>
      </c>
      <c r="E819" s="1297" t="s">
        <v>906</v>
      </c>
      <c r="G819" s="1399">
        <v>32845079.120000001</v>
      </c>
      <c r="J819" s="1399">
        <v>32845079.120000001</v>
      </c>
    </row>
    <row r="820" spans="2:12">
      <c r="B820" s="1297"/>
      <c r="C820" s="1297"/>
      <c r="D820" s="1297"/>
      <c r="E820" s="1297" t="s">
        <v>952</v>
      </c>
      <c r="G820" s="1399">
        <v>523860.52</v>
      </c>
      <c r="J820" s="1399">
        <v>523860.52</v>
      </c>
    </row>
    <row r="821" spans="2:12">
      <c r="B821" s="1297"/>
      <c r="C821" s="1297"/>
      <c r="D821" s="1297"/>
      <c r="E821" s="1297" t="s">
        <v>907</v>
      </c>
      <c r="G821" s="1399">
        <v>11171892.220000001</v>
      </c>
      <c r="J821" s="1399">
        <v>11171892.220000001</v>
      </c>
    </row>
    <row r="822" spans="2:12">
      <c r="B822" s="1297"/>
      <c r="C822" s="1297"/>
      <c r="D822" s="1297"/>
      <c r="E822" s="1297" t="s">
        <v>908</v>
      </c>
      <c r="G822" s="1399">
        <v>31670.799999999999</v>
      </c>
      <c r="J822" s="1399">
        <v>31670.799999999999</v>
      </c>
    </row>
    <row r="823" spans="2:12">
      <c r="B823" s="1297"/>
      <c r="C823" s="1297"/>
      <c r="D823" s="1297"/>
      <c r="E823" s="1297" t="s">
        <v>909</v>
      </c>
      <c r="H823" s="1399">
        <v>301083.02</v>
      </c>
      <c r="J823" s="1399">
        <v>301083.02</v>
      </c>
    </row>
    <row r="824" spans="2:12">
      <c r="B824" s="1297"/>
      <c r="C824" s="1297"/>
      <c r="D824" s="1297"/>
      <c r="E824" s="1297" t="s">
        <v>910</v>
      </c>
      <c r="H824" s="1399">
        <v>285554.32000000007</v>
      </c>
      <c r="J824" s="1399">
        <v>285554.32000000007</v>
      </c>
    </row>
    <row r="825" spans="2:12">
      <c r="B825" s="1297"/>
      <c r="C825" s="1297"/>
      <c r="D825" s="1297"/>
      <c r="E825" s="1297" t="s">
        <v>1034</v>
      </c>
      <c r="H825" s="1399">
        <v>301813.47000000003</v>
      </c>
      <c r="J825" s="1399">
        <v>301813.47000000003</v>
      </c>
    </row>
    <row r="826" spans="2:12">
      <c r="B826" s="1297"/>
      <c r="C826" s="1297"/>
      <c r="D826" s="1297"/>
      <c r="E826" s="1297" t="s">
        <v>1035</v>
      </c>
      <c r="H826" s="1399">
        <v>1671953.53</v>
      </c>
      <c r="J826" s="1399">
        <v>1671953.53</v>
      </c>
    </row>
    <row r="827" spans="2:12">
      <c r="B827" s="1297"/>
      <c r="C827" s="1297"/>
      <c r="D827" s="1297"/>
      <c r="E827" s="1297" t="s">
        <v>1036</v>
      </c>
      <c r="H827" s="1399">
        <v>372660.37</v>
      </c>
      <c r="J827" s="1399">
        <v>372660.37</v>
      </c>
    </row>
    <row r="828" spans="2:12">
      <c r="B828" s="1297"/>
      <c r="C828" s="1297"/>
      <c r="D828" s="1297"/>
      <c r="E828" s="1297" t="s">
        <v>1037</v>
      </c>
      <c r="H828" s="1399">
        <v>9380</v>
      </c>
      <c r="J828" s="1399">
        <v>9380</v>
      </c>
    </row>
    <row r="829" spans="2:12">
      <c r="B829" s="1297"/>
      <c r="C829" s="1297"/>
      <c r="D829" s="1297"/>
      <c r="E829" s="1297" t="s">
        <v>1038</v>
      </c>
      <c r="H829" s="1399">
        <v>14115</v>
      </c>
      <c r="J829" s="1399">
        <v>14115</v>
      </c>
    </row>
    <row r="830" spans="2:12">
      <c r="B830" s="1297"/>
      <c r="C830" s="1297"/>
      <c r="D830" s="1297"/>
      <c r="E830" s="1297" t="s">
        <v>1039</v>
      </c>
      <c r="H830" s="1399">
        <v>74501.22</v>
      </c>
      <c r="J830" s="1399">
        <v>74501.22</v>
      </c>
    </row>
    <row r="831" spans="2:12">
      <c r="B831" s="1297"/>
      <c r="C831" s="1297"/>
      <c r="D831" s="1297"/>
      <c r="E831" s="1297" t="s">
        <v>1040</v>
      </c>
      <c r="H831" s="1399">
        <v>1363462.1199999996</v>
      </c>
      <c r="J831" s="1399">
        <v>1363462.1199999996</v>
      </c>
    </row>
    <row r="832" spans="2:12">
      <c r="B832" s="1297"/>
      <c r="C832" s="1297"/>
      <c r="D832" s="1297"/>
      <c r="E832" s="1297" t="s">
        <v>1207</v>
      </c>
      <c r="H832" s="1399">
        <v>2263</v>
      </c>
      <c r="J832" s="1399">
        <v>2263</v>
      </c>
    </row>
    <row r="833" spans="5:10" s="1297" customFormat="1">
      <c r="E833" s="1297" t="s">
        <v>1041</v>
      </c>
      <c r="F833" s="1399"/>
      <c r="G833" s="1399"/>
      <c r="H833" s="1399">
        <v>67396.73000000001</v>
      </c>
      <c r="I833" s="1399"/>
      <c r="J833" s="1399">
        <v>67396.73000000001</v>
      </c>
    </row>
    <row r="834" spans="5:10" s="1297" customFormat="1">
      <c r="E834" s="1297" t="s">
        <v>1042</v>
      </c>
      <c r="F834" s="1399"/>
      <c r="G834" s="1399"/>
      <c r="H834" s="1399">
        <v>189474.06</v>
      </c>
      <c r="I834" s="1399"/>
      <c r="J834" s="1399">
        <v>189474.06</v>
      </c>
    </row>
    <row r="835" spans="5:10" s="1297" customFormat="1">
      <c r="E835" s="1297" t="s">
        <v>1043</v>
      </c>
      <c r="F835" s="1399"/>
      <c r="G835" s="1399"/>
      <c r="H835" s="1399">
        <v>105</v>
      </c>
      <c r="I835" s="1399"/>
      <c r="J835" s="1399">
        <v>105</v>
      </c>
    </row>
    <row r="836" spans="5:10" s="1297" customFormat="1">
      <c r="E836" s="1297" t="s">
        <v>986</v>
      </c>
      <c r="F836" s="1399"/>
      <c r="G836" s="1399"/>
      <c r="H836" s="1399">
        <v>412002.6</v>
      </c>
      <c r="I836" s="1399"/>
      <c r="J836" s="1399">
        <v>412002.6</v>
      </c>
    </row>
    <row r="837" spans="5:10" s="1297" customFormat="1">
      <c r="E837" s="1297" t="s">
        <v>1203</v>
      </c>
      <c r="F837" s="1399"/>
      <c r="G837" s="1399"/>
      <c r="H837" s="1399">
        <v>-122330</v>
      </c>
      <c r="I837" s="1399"/>
      <c r="J837" s="1399">
        <v>-122330</v>
      </c>
    </row>
    <row r="838" spans="5:10" s="1297" customFormat="1">
      <c r="E838" s="1297" t="s">
        <v>1045</v>
      </c>
      <c r="F838" s="1399"/>
      <c r="G838" s="1399"/>
      <c r="H838" s="1399">
        <v>1184836.2100000002</v>
      </c>
      <c r="I838" s="1399"/>
      <c r="J838" s="1399">
        <v>1184836.2100000002</v>
      </c>
    </row>
    <row r="839" spans="5:10" s="1297" customFormat="1">
      <c r="E839" s="1297" t="s">
        <v>1046</v>
      </c>
      <c r="F839" s="1399"/>
      <c r="G839" s="1399"/>
      <c r="H839" s="1399"/>
      <c r="I839" s="1399">
        <v>71791858</v>
      </c>
      <c r="J839" s="1399">
        <v>71791858</v>
      </c>
    </row>
    <row r="840" spans="5:10" s="1297" customFormat="1">
      <c r="E840" s="1297" t="s">
        <v>1128</v>
      </c>
      <c r="F840" s="1399"/>
      <c r="G840" s="1399"/>
      <c r="H840" s="1399"/>
      <c r="I840" s="1399">
        <v>6080322</v>
      </c>
      <c r="J840" s="1399">
        <v>6080322</v>
      </c>
    </row>
    <row r="841" spans="5:10" s="1297" customFormat="1">
      <c r="E841" s="1297" t="s">
        <v>1129</v>
      </c>
      <c r="F841" s="1399"/>
      <c r="G841" s="1399"/>
      <c r="H841" s="1399"/>
      <c r="I841" s="1399">
        <v>-10177310</v>
      </c>
      <c r="J841" s="1399">
        <v>-10177310</v>
      </c>
    </row>
    <row r="842" spans="5:10" s="1297" customFormat="1">
      <c r="E842" s="1297" t="s">
        <v>1047</v>
      </c>
      <c r="F842" s="1399"/>
      <c r="G842" s="1399"/>
      <c r="H842" s="1399"/>
      <c r="I842" s="1399">
        <v>1801221</v>
      </c>
      <c r="J842" s="1399">
        <v>1801221</v>
      </c>
    </row>
    <row r="843" spans="5:10" s="1297" customFormat="1">
      <c r="E843" s="1297" t="s">
        <v>1048</v>
      </c>
      <c r="F843" s="1399"/>
      <c r="G843" s="1399"/>
      <c r="H843" s="1399"/>
      <c r="I843" s="1399">
        <v>-9306628</v>
      </c>
      <c r="J843" s="1399">
        <v>-9306628</v>
      </c>
    </row>
    <row r="844" spans="5:10" s="1297" customFormat="1">
      <c r="E844" s="1297" t="s">
        <v>932</v>
      </c>
      <c r="F844" s="1399"/>
      <c r="G844" s="1399"/>
      <c r="H844" s="1399"/>
      <c r="I844" s="1399">
        <v>10779283</v>
      </c>
      <c r="J844" s="1399">
        <v>10779283</v>
      </c>
    </row>
    <row r="845" spans="5:10" s="1297" customFormat="1">
      <c r="E845" s="1404" t="s">
        <v>955</v>
      </c>
      <c r="F845" s="1405"/>
      <c r="G845" s="1405"/>
      <c r="H845" s="1405"/>
      <c r="I845" s="1405">
        <v>2224807.73</v>
      </c>
      <c r="J845" s="1405">
        <v>2224807.73</v>
      </c>
    </row>
    <row r="846" spans="5:10" s="1297" customFormat="1">
      <c r="E846" s="1297" t="s">
        <v>934</v>
      </c>
      <c r="F846" s="1399"/>
      <c r="G846" s="1399"/>
      <c r="H846" s="1399"/>
      <c r="I846" s="1399">
        <v>236078</v>
      </c>
      <c r="J846" s="1399">
        <v>236078</v>
      </c>
    </row>
    <row r="847" spans="5:10" s="1297" customFormat="1">
      <c r="E847" s="1297" t="s">
        <v>1130</v>
      </c>
      <c r="F847" s="1399"/>
      <c r="G847" s="1399"/>
      <c r="H847" s="1399"/>
      <c r="I847" s="1399">
        <v>7283893.0899999999</v>
      </c>
      <c r="J847" s="1399">
        <v>7283893.0899999999</v>
      </c>
    </row>
    <row r="848" spans="5:10" s="1297" customFormat="1">
      <c r="E848" s="1297" t="s">
        <v>935</v>
      </c>
      <c r="F848" s="1399"/>
      <c r="G848" s="1399"/>
      <c r="H848" s="1399"/>
      <c r="I848" s="1399">
        <v>1497451.76</v>
      </c>
      <c r="J848" s="1399">
        <v>1497451.76</v>
      </c>
    </row>
    <row r="849" spans="5:10" s="1297" customFormat="1">
      <c r="E849" s="1297" t="s">
        <v>936</v>
      </c>
      <c r="F849" s="1399"/>
      <c r="G849" s="1399"/>
      <c r="H849" s="1399"/>
      <c r="I849" s="1399">
        <v>234250.71</v>
      </c>
      <c r="J849" s="1399">
        <v>234250.71</v>
      </c>
    </row>
    <row r="850" spans="5:10" s="1297" customFormat="1">
      <c r="E850" s="1297" t="s">
        <v>937</v>
      </c>
      <c r="F850" s="1399"/>
      <c r="G850" s="1399"/>
      <c r="H850" s="1399"/>
      <c r="I850" s="1399">
        <v>40267.410000000003</v>
      </c>
      <c r="J850" s="1399">
        <v>40267.410000000003</v>
      </c>
    </row>
    <row r="851" spans="5:10" s="1297" customFormat="1">
      <c r="E851" s="1297" t="s">
        <v>938</v>
      </c>
      <c r="F851" s="1399"/>
      <c r="G851" s="1399"/>
      <c r="H851" s="1399"/>
      <c r="I851" s="1399">
        <v>84970</v>
      </c>
      <c r="J851" s="1399">
        <v>84970</v>
      </c>
    </row>
    <row r="852" spans="5:10" s="1297" customFormat="1">
      <c r="E852" s="1297" t="s">
        <v>939</v>
      </c>
      <c r="F852" s="1399"/>
      <c r="G852" s="1399"/>
      <c r="H852" s="1399"/>
      <c r="I852" s="1399">
        <v>42250</v>
      </c>
      <c r="J852" s="1399">
        <v>42250</v>
      </c>
    </row>
    <row r="853" spans="5:10" s="1297" customFormat="1">
      <c r="E853" s="1297" t="s">
        <v>940</v>
      </c>
      <c r="F853" s="1399">
        <v>3804283.2399999998</v>
      </c>
      <c r="G853" s="1399"/>
      <c r="H853" s="1399"/>
      <c r="I853" s="1399"/>
      <c r="J853" s="1399">
        <v>3804283.2399999998</v>
      </c>
    </row>
    <row r="854" spans="5:10" s="1297" customFormat="1">
      <c r="E854" s="1297" t="s">
        <v>941</v>
      </c>
      <c r="F854" s="1399">
        <v>1322251.9800000002</v>
      </c>
      <c r="G854" s="1399"/>
      <c r="H854" s="1399"/>
      <c r="I854" s="1399"/>
      <c r="J854" s="1399">
        <v>1322251.9800000002</v>
      </c>
    </row>
    <row r="855" spans="5:10" s="1297" customFormat="1">
      <c r="E855" s="1297" t="s">
        <v>943</v>
      </c>
      <c r="F855" s="1399">
        <v>65202.090000000011</v>
      </c>
      <c r="G855" s="1399"/>
      <c r="H855" s="1399"/>
      <c r="I855" s="1399"/>
      <c r="J855" s="1399">
        <v>65202.090000000011</v>
      </c>
    </row>
    <row r="856" spans="5:10" s="1297" customFormat="1">
      <c r="E856" s="1297" t="s">
        <v>944</v>
      </c>
      <c r="F856" s="1399">
        <v>6628780.3599999994</v>
      </c>
      <c r="G856" s="1399"/>
      <c r="H856" s="1399"/>
      <c r="I856" s="1399"/>
      <c r="J856" s="1399">
        <v>6628780.3599999994</v>
      </c>
    </row>
    <row r="857" spans="5:10" s="1297" customFormat="1">
      <c r="E857" s="1297" t="s">
        <v>945</v>
      </c>
      <c r="F857" s="1399">
        <v>6398019.1799999997</v>
      </c>
      <c r="G857" s="1399"/>
      <c r="H857" s="1399"/>
      <c r="I857" s="1399"/>
      <c r="J857" s="1399">
        <v>6398019.1799999997</v>
      </c>
    </row>
    <row r="858" spans="5:10" s="1297" customFormat="1">
      <c r="E858" s="1297" t="s">
        <v>946</v>
      </c>
      <c r="F858" s="1399">
        <v>18814.349999999999</v>
      </c>
      <c r="G858" s="1399"/>
      <c r="H858" s="1399"/>
      <c r="I858" s="1399"/>
      <c r="J858" s="1399">
        <v>18814.349999999999</v>
      </c>
    </row>
    <row r="859" spans="5:10" s="1297" customFormat="1">
      <c r="E859" s="1297" t="s">
        <v>947</v>
      </c>
      <c r="F859" s="1399">
        <v>529910.45999999985</v>
      </c>
      <c r="G859" s="1399"/>
      <c r="H859" s="1399"/>
      <c r="I859" s="1399"/>
      <c r="J859" s="1399">
        <v>529910.45999999985</v>
      </c>
    </row>
    <row r="860" spans="5:10" s="1297" customFormat="1">
      <c r="E860" s="1297" t="s">
        <v>1115</v>
      </c>
      <c r="F860" s="1399">
        <v>66830.929999999993</v>
      </c>
      <c r="G860" s="1399"/>
      <c r="H860" s="1399"/>
      <c r="I860" s="1399"/>
      <c r="J860" s="1399">
        <v>66830.929999999993</v>
      </c>
    </row>
    <row r="861" spans="5:10" s="1297" customFormat="1">
      <c r="E861" s="1404" t="s">
        <v>1116</v>
      </c>
      <c r="F861" s="1405"/>
      <c r="G861" s="1405"/>
      <c r="H861" s="1405">
        <v>71245000</v>
      </c>
      <c r="I861" s="1405"/>
      <c r="J861" s="1405">
        <v>71245000</v>
      </c>
    </row>
    <row r="862" spans="5:10" s="1297" customFormat="1">
      <c r="E862" s="1404" t="s">
        <v>1117</v>
      </c>
      <c r="F862" s="1405"/>
      <c r="G862" s="1405"/>
      <c r="H862" s="1405">
        <v>10301203.550000001</v>
      </c>
      <c r="I862" s="1405"/>
      <c r="J862" s="1405">
        <v>10301203.550000001</v>
      </c>
    </row>
    <row r="863" spans="5:10" s="1297" customFormat="1">
      <c r="E863" s="1404" t="s">
        <v>948</v>
      </c>
      <c r="F863" s="1405"/>
      <c r="G863" s="1405"/>
      <c r="H863" s="1405">
        <v>10948332.08</v>
      </c>
      <c r="I863" s="1405"/>
      <c r="J863" s="1405">
        <v>10948332.08</v>
      </c>
    </row>
    <row r="864" spans="5:10" s="1297" customFormat="1">
      <c r="E864" s="1297" t="s">
        <v>956</v>
      </c>
      <c r="F864" s="1399"/>
      <c r="G864" s="1399"/>
      <c r="H864" s="1399">
        <v>1</v>
      </c>
      <c r="I864" s="1399"/>
      <c r="J864" s="1399">
        <v>1</v>
      </c>
    </row>
    <row r="865" spans="2:12">
      <c r="B865" s="1297"/>
      <c r="C865" s="1297"/>
      <c r="D865" s="1297"/>
      <c r="E865" s="1297" t="s">
        <v>1118</v>
      </c>
      <c r="H865" s="1399">
        <v>-448506.5</v>
      </c>
      <c r="J865" s="1399">
        <v>-448506.5</v>
      </c>
    </row>
    <row r="866" spans="2:12">
      <c r="B866" s="1297"/>
      <c r="C866" s="1297"/>
      <c r="D866" s="1400" t="s">
        <v>1208</v>
      </c>
      <c r="E866" s="1400"/>
      <c r="F866" s="1401">
        <f>SUM(F819:F865)</f>
        <v>18834092.59</v>
      </c>
      <c r="G866" s="1401">
        <f>SUM(G819:G865)</f>
        <v>44572502.659999996</v>
      </c>
      <c r="H866" s="1401">
        <f>SUM(H819:H865)-(H861+H862+H863)</f>
        <v>5679765.150000006</v>
      </c>
      <c r="I866" s="1401">
        <f>SUM(I819:I865)-I845</f>
        <v>80387906.969999999</v>
      </c>
      <c r="J866" s="1401">
        <f>SUM(J819:J865)</f>
        <v>244193610.73000005</v>
      </c>
      <c r="K866" s="1401">
        <f>SUM(F866:I866)</f>
        <v>149474267.37</v>
      </c>
      <c r="L866" s="1408">
        <f>K866/C819</f>
        <v>10736.551312311451</v>
      </c>
    </row>
    <row r="867" spans="2:12">
      <c r="B867" s="1297" t="s">
        <v>1209</v>
      </c>
      <c r="C867" s="1297">
        <v>10672</v>
      </c>
      <c r="D867" s="1297" t="s">
        <v>1210</v>
      </c>
      <c r="E867" s="1297" t="s">
        <v>906</v>
      </c>
      <c r="G867" s="1399">
        <v>25594595.850000001</v>
      </c>
      <c r="J867" s="1399">
        <v>25594595.850000001</v>
      </c>
    </row>
    <row r="868" spans="2:12">
      <c r="B868" s="1297"/>
      <c r="C868" s="1297"/>
      <c r="D868" s="1297"/>
      <c r="E868" s="1297" t="s">
        <v>952</v>
      </c>
      <c r="G868" s="1399">
        <v>472637.93</v>
      </c>
      <c r="J868" s="1399">
        <v>472637.93</v>
      </c>
    </row>
    <row r="869" spans="2:12">
      <c r="B869" s="1297"/>
      <c r="C869" s="1297"/>
      <c r="D869" s="1297"/>
      <c r="E869" s="1297" t="s">
        <v>907</v>
      </c>
      <c r="G869" s="1399">
        <v>8274321.4199999999</v>
      </c>
      <c r="J869" s="1399">
        <v>8274321.4199999999</v>
      </c>
    </row>
    <row r="870" spans="2:12">
      <c r="B870" s="1297"/>
      <c r="C870" s="1297"/>
      <c r="D870" s="1297"/>
      <c r="E870" s="1297" t="s">
        <v>908</v>
      </c>
      <c r="G870" s="1399">
        <v>1026925.47</v>
      </c>
      <c r="J870" s="1399">
        <v>1026925.47</v>
      </c>
    </row>
    <row r="871" spans="2:12">
      <c r="B871" s="1297"/>
      <c r="C871" s="1297"/>
      <c r="D871" s="1297"/>
      <c r="E871" s="1297" t="s">
        <v>909</v>
      </c>
      <c r="H871" s="1399">
        <v>23070.42</v>
      </c>
      <c r="J871" s="1399">
        <v>23070.42</v>
      </c>
    </row>
    <row r="872" spans="2:12">
      <c r="B872" s="1297"/>
      <c r="C872" s="1297"/>
      <c r="D872" s="1297"/>
      <c r="E872" s="1297" t="s">
        <v>910</v>
      </c>
      <c r="H872" s="1399">
        <v>518579.38</v>
      </c>
      <c r="J872" s="1399">
        <v>518579.38</v>
      </c>
    </row>
    <row r="873" spans="2:12">
      <c r="B873" s="1297"/>
      <c r="C873" s="1297"/>
      <c r="D873" s="1297"/>
      <c r="E873" s="1297" t="s">
        <v>1034</v>
      </c>
      <c r="H873" s="1399">
        <v>344190.12</v>
      </c>
      <c r="J873" s="1399">
        <v>344190.12</v>
      </c>
    </row>
    <row r="874" spans="2:12">
      <c r="B874" s="1297"/>
      <c r="C874" s="1297"/>
      <c r="D874" s="1297"/>
      <c r="E874" s="1297" t="s">
        <v>1035</v>
      </c>
      <c r="H874" s="1399">
        <v>1179508.77</v>
      </c>
      <c r="J874" s="1399">
        <v>1179508.77</v>
      </c>
    </row>
    <row r="875" spans="2:12">
      <c r="B875" s="1297"/>
      <c r="C875" s="1297"/>
      <c r="D875" s="1297"/>
      <c r="E875" s="1297" t="s">
        <v>1036</v>
      </c>
      <c r="H875" s="1399">
        <v>331137.13</v>
      </c>
      <c r="J875" s="1399">
        <v>331137.13</v>
      </c>
    </row>
    <row r="876" spans="2:12">
      <c r="B876" s="1297"/>
      <c r="C876" s="1297"/>
      <c r="D876" s="1297"/>
      <c r="E876" s="1297" t="s">
        <v>1037</v>
      </c>
      <c r="H876" s="1399">
        <v>43623.519999999997</v>
      </c>
      <c r="J876" s="1399">
        <v>43623.519999999997</v>
      </c>
    </row>
    <row r="877" spans="2:12">
      <c r="B877" s="1297"/>
      <c r="C877" s="1297"/>
      <c r="D877" s="1297"/>
      <c r="E877" s="1297" t="s">
        <v>1039</v>
      </c>
      <c r="H877" s="1399">
        <v>653213.11</v>
      </c>
      <c r="J877" s="1399">
        <v>653213.11</v>
      </c>
    </row>
    <row r="878" spans="2:12">
      <c r="B878" s="1297"/>
      <c r="C878" s="1297"/>
      <c r="D878" s="1297"/>
      <c r="E878" s="1297" t="s">
        <v>1040</v>
      </c>
      <c r="H878" s="1399">
        <v>549691.6</v>
      </c>
      <c r="J878" s="1399">
        <v>549691.6</v>
      </c>
    </row>
    <row r="879" spans="2:12">
      <c r="B879" s="1297"/>
      <c r="C879" s="1297"/>
      <c r="D879" s="1297"/>
      <c r="E879" s="1297" t="s">
        <v>1127</v>
      </c>
      <c r="H879" s="1399">
        <v>632408</v>
      </c>
      <c r="J879" s="1399">
        <v>632408</v>
      </c>
    </row>
    <row r="880" spans="2:12">
      <c r="B880" s="1297"/>
      <c r="C880" s="1297"/>
      <c r="D880" s="1297"/>
      <c r="E880" s="1297" t="s">
        <v>1041</v>
      </c>
      <c r="H880" s="1399">
        <v>374529.11</v>
      </c>
      <c r="J880" s="1399">
        <v>374529.11</v>
      </c>
    </row>
    <row r="881" spans="5:10" s="1297" customFormat="1">
      <c r="E881" s="1297" t="s">
        <v>1042</v>
      </c>
      <c r="F881" s="1399"/>
      <c r="G881" s="1399"/>
      <c r="H881" s="1399">
        <v>135756.03</v>
      </c>
      <c r="I881" s="1399"/>
      <c r="J881" s="1399">
        <v>135756.03</v>
      </c>
    </row>
    <row r="882" spans="5:10" s="1297" customFormat="1">
      <c r="E882" s="1297" t="s">
        <v>953</v>
      </c>
      <c r="F882" s="1399"/>
      <c r="G882" s="1399"/>
      <c r="H882" s="1399">
        <v>66121.22</v>
      </c>
      <c r="I882" s="1399"/>
      <c r="J882" s="1399">
        <v>66121.22</v>
      </c>
    </row>
    <row r="883" spans="5:10" s="1297" customFormat="1">
      <c r="E883" s="1297" t="s">
        <v>985</v>
      </c>
      <c r="F883" s="1399"/>
      <c r="G883" s="1399"/>
      <c r="H883" s="1399">
        <v>451936.33</v>
      </c>
      <c r="I883" s="1399"/>
      <c r="J883" s="1399">
        <v>451936.33</v>
      </c>
    </row>
    <row r="884" spans="5:10" s="1297" customFormat="1">
      <c r="E884" s="1297" t="s">
        <v>1043</v>
      </c>
      <c r="F884" s="1399"/>
      <c r="G884" s="1399"/>
      <c r="H884" s="1399">
        <v>1670</v>
      </c>
      <c r="I884" s="1399"/>
      <c r="J884" s="1399">
        <v>1670</v>
      </c>
    </row>
    <row r="885" spans="5:10" s="1297" customFormat="1">
      <c r="E885" s="1297" t="s">
        <v>986</v>
      </c>
      <c r="F885" s="1399"/>
      <c r="G885" s="1399"/>
      <c r="H885" s="1399">
        <v>135808.5</v>
      </c>
      <c r="I885" s="1399"/>
      <c r="J885" s="1399">
        <v>135808.5</v>
      </c>
    </row>
    <row r="886" spans="5:10" s="1297" customFormat="1">
      <c r="E886" s="1297" t="s">
        <v>990</v>
      </c>
      <c r="F886" s="1399"/>
      <c r="G886" s="1399"/>
      <c r="H886" s="1399">
        <v>234</v>
      </c>
      <c r="I886" s="1399"/>
      <c r="J886" s="1399">
        <v>234</v>
      </c>
    </row>
    <row r="887" spans="5:10" s="1297" customFormat="1">
      <c r="E887" s="1297" t="s">
        <v>991</v>
      </c>
      <c r="F887" s="1399"/>
      <c r="G887" s="1399"/>
      <c r="H887" s="1399">
        <v>170497.56</v>
      </c>
      <c r="I887" s="1399"/>
      <c r="J887" s="1399">
        <v>170497.56</v>
      </c>
    </row>
    <row r="888" spans="5:10" s="1297" customFormat="1">
      <c r="E888" s="1297" t="s">
        <v>1045</v>
      </c>
      <c r="F888" s="1399"/>
      <c r="G888" s="1399"/>
      <c r="H888" s="1399">
        <v>1810485.73</v>
      </c>
      <c r="I888" s="1399"/>
      <c r="J888" s="1399">
        <v>1810485.73</v>
      </c>
    </row>
    <row r="889" spans="5:10" s="1297" customFormat="1">
      <c r="E889" s="1297" t="s">
        <v>1046</v>
      </c>
      <c r="F889" s="1399"/>
      <c r="G889" s="1399"/>
      <c r="H889" s="1399"/>
      <c r="I889" s="1399">
        <v>47781179</v>
      </c>
      <c r="J889" s="1399">
        <v>47781179</v>
      </c>
    </row>
    <row r="890" spans="5:10" s="1297" customFormat="1">
      <c r="E890" s="1297" t="s">
        <v>1047</v>
      </c>
      <c r="F890" s="1399"/>
      <c r="G890" s="1399"/>
      <c r="H890" s="1399"/>
      <c r="I890" s="1399">
        <v>1021081</v>
      </c>
      <c r="J890" s="1399">
        <v>1021081</v>
      </c>
    </row>
    <row r="891" spans="5:10" s="1297" customFormat="1">
      <c r="E891" s="1297" t="s">
        <v>932</v>
      </c>
      <c r="F891" s="1399"/>
      <c r="G891" s="1399"/>
      <c r="H891" s="1399"/>
      <c r="I891" s="1399">
        <v>5909522</v>
      </c>
      <c r="J891" s="1399">
        <v>5909522</v>
      </c>
    </row>
    <row r="892" spans="5:10" s="1297" customFormat="1">
      <c r="E892" s="1404" t="s">
        <v>955</v>
      </c>
      <c r="F892" s="1405"/>
      <c r="G892" s="1405"/>
      <c r="H892" s="1405"/>
      <c r="I892" s="1405">
        <v>958899.64</v>
      </c>
      <c r="J892" s="1405">
        <v>958899.64</v>
      </c>
    </row>
    <row r="893" spans="5:10" s="1297" customFormat="1">
      <c r="E893" s="1297" t="s">
        <v>934</v>
      </c>
      <c r="F893" s="1399"/>
      <c r="G893" s="1399"/>
      <c r="H893" s="1399"/>
      <c r="I893" s="1399">
        <v>158750</v>
      </c>
      <c r="J893" s="1399">
        <v>158750</v>
      </c>
    </row>
    <row r="894" spans="5:10" s="1297" customFormat="1">
      <c r="E894" s="1297" t="s">
        <v>935</v>
      </c>
      <c r="F894" s="1399"/>
      <c r="G894" s="1399"/>
      <c r="H894" s="1399"/>
      <c r="I894" s="1399">
        <v>787342.77</v>
      </c>
      <c r="J894" s="1399">
        <v>787342.77</v>
      </c>
    </row>
    <row r="895" spans="5:10" s="1297" customFormat="1">
      <c r="E895" s="1297" t="s">
        <v>936</v>
      </c>
      <c r="F895" s="1399"/>
      <c r="G895" s="1399"/>
      <c r="H895" s="1399"/>
      <c r="I895" s="1399">
        <v>196434.45</v>
      </c>
      <c r="J895" s="1399">
        <v>196434.45</v>
      </c>
    </row>
    <row r="896" spans="5:10" s="1297" customFormat="1">
      <c r="E896" s="1297" t="s">
        <v>937</v>
      </c>
      <c r="F896" s="1399"/>
      <c r="G896" s="1399"/>
      <c r="H896" s="1399"/>
      <c r="I896" s="1399">
        <v>10083.73</v>
      </c>
      <c r="J896" s="1399">
        <v>10083.73</v>
      </c>
    </row>
    <row r="897" spans="2:12">
      <c r="B897" s="1297"/>
      <c r="C897" s="1297"/>
      <c r="D897" s="1297"/>
      <c r="E897" s="1297" t="s">
        <v>938</v>
      </c>
      <c r="I897" s="1399">
        <v>55960</v>
      </c>
      <c r="J897" s="1399">
        <v>55960</v>
      </c>
    </row>
    <row r="898" spans="2:12">
      <c r="B898" s="1297"/>
      <c r="C898" s="1297"/>
      <c r="D898" s="1297"/>
      <c r="E898" s="1297" t="s">
        <v>1131</v>
      </c>
      <c r="F898" s="1399">
        <v>127752.36</v>
      </c>
      <c r="J898" s="1399">
        <v>127752.36</v>
      </c>
    </row>
    <row r="899" spans="2:12">
      <c r="B899" s="1297"/>
      <c r="C899" s="1297"/>
      <c r="D899" s="1297"/>
      <c r="E899" s="1297" t="s">
        <v>940</v>
      </c>
      <c r="F899" s="1399">
        <v>2087388.42</v>
      </c>
      <c r="J899" s="1399">
        <v>2087388.42</v>
      </c>
    </row>
    <row r="900" spans="2:12">
      <c r="B900" s="1297"/>
      <c r="C900" s="1297"/>
      <c r="D900" s="1297"/>
      <c r="E900" s="1297" t="s">
        <v>941</v>
      </c>
      <c r="F900" s="1399">
        <v>732607.74</v>
      </c>
      <c r="J900" s="1399">
        <v>732607.74</v>
      </c>
    </row>
    <row r="901" spans="2:12">
      <c r="B901" s="1297"/>
      <c r="C901" s="1297"/>
      <c r="D901" s="1297"/>
      <c r="E901" s="1297" t="s">
        <v>943</v>
      </c>
      <c r="F901" s="1399">
        <v>34046.660000000003</v>
      </c>
      <c r="J901" s="1399">
        <v>34046.660000000003</v>
      </c>
    </row>
    <row r="902" spans="2:12">
      <c r="B902" s="1297"/>
      <c r="C902" s="1297"/>
      <c r="D902" s="1297"/>
      <c r="E902" s="1297" t="s">
        <v>944</v>
      </c>
      <c r="F902" s="1399">
        <v>4695851.5</v>
      </c>
      <c r="J902" s="1399">
        <v>4695851.5</v>
      </c>
    </row>
    <row r="903" spans="2:12">
      <c r="B903" s="1297"/>
      <c r="C903" s="1297"/>
      <c r="D903" s="1297"/>
      <c r="E903" s="1297" t="s">
        <v>945</v>
      </c>
      <c r="F903" s="1399">
        <v>3769253.56</v>
      </c>
      <c r="J903" s="1399">
        <v>3769253.56</v>
      </c>
    </row>
    <row r="904" spans="2:12">
      <c r="B904" s="1297"/>
      <c r="C904" s="1297"/>
      <c r="D904" s="1297"/>
      <c r="E904" s="1297" t="s">
        <v>978</v>
      </c>
      <c r="F904" s="1399">
        <v>2396.54</v>
      </c>
      <c r="J904" s="1399">
        <v>2396.54</v>
      </c>
    </row>
    <row r="905" spans="2:12">
      <c r="B905" s="1297"/>
      <c r="C905" s="1297"/>
      <c r="D905" s="1297"/>
      <c r="E905" s="1297" t="s">
        <v>947</v>
      </c>
      <c r="F905" s="1399">
        <v>286005.48</v>
      </c>
      <c r="J905" s="1399">
        <v>286005.48</v>
      </c>
    </row>
    <row r="906" spans="2:12">
      <c r="B906" s="1297"/>
      <c r="C906" s="1297"/>
      <c r="D906" s="1297"/>
      <c r="E906" s="1404" t="s">
        <v>948</v>
      </c>
      <c r="F906" s="1405"/>
      <c r="G906" s="1405"/>
      <c r="H906" s="1405">
        <v>10890726.499999998</v>
      </c>
      <c r="I906" s="1405"/>
      <c r="J906" s="1405">
        <v>10890726.499999998</v>
      </c>
    </row>
    <row r="907" spans="2:12">
      <c r="B907" s="1297"/>
      <c r="C907" s="1297"/>
      <c r="D907" s="1297"/>
      <c r="E907" s="1297" t="s">
        <v>956</v>
      </c>
      <c r="H907" s="1399">
        <v>8328523.1200000001</v>
      </c>
      <c r="J907" s="1399">
        <v>8328523.1200000001</v>
      </c>
    </row>
    <row r="908" spans="2:12">
      <c r="B908" s="1297"/>
      <c r="C908" s="1297"/>
      <c r="D908" s="1297"/>
      <c r="E908" s="1297" t="s">
        <v>1118</v>
      </c>
      <c r="H908" s="1399">
        <v>501536.86</v>
      </c>
      <c r="J908" s="1399">
        <v>501536.86</v>
      </c>
    </row>
    <row r="909" spans="2:12">
      <c r="B909" s="1297"/>
      <c r="C909" s="1297"/>
      <c r="D909" s="1400" t="s">
        <v>1211</v>
      </c>
      <c r="E909" s="1400"/>
      <c r="F909" s="1401">
        <f>SUM(F867:F908)</f>
        <v>11735302.26</v>
      </c>
      <c r="G909" s="1401">
        <f>SUM(G867:G908)</f>
        <v>35368480.670000002</v>
      </c>
      <c r="H909" s="1401">
        <f>SUM(H867:H908)-H906</f>
        <v>16252520.51</v>
      </c>
      <c r="I909" s="1401">
        <f>SUM(I867:I908)-I892</f>
        <v>55920352.950000003</v>
      </c>
      <c r="J909" s="1401">
        <f>SUM(J867:J908)</f>
        <v>131126282.53000003</v>
      </c>
      <c r="K909" s="1401">
        <f>SUM(F909:I909)</f>
        <v>119276656.39</v>
      </c>
      <c r="L909" s="1408">
        <f>K909/C867</f>
        <v>11176.598237443779</v>
      </c>
    </row>
    <row r="910" spans="2:12">
      <c r="B910" s="1297" t="s">
        <v>1212</v>
      </c>
      <c r="C910" s="1297">
        <v>1635</v>
      </c>
      <c r="D910" s="1297" t="s">
        <v>1213</v>
      </c>
      <c r="E910" s="1297" t="s">
        <v>906</v>
      </c>
      <c r="G910" s="1399">
        <v>5068037.29</v>
      </c>
      <c r="J910" s="1399">
        <v>5068037.29</v>
      </c>
    </row>
    <row r="911" spans="2:12">
      <c r="B911" s="1297"/>
      <c r="C911" s="1297"/>
      <c r="D911" s="1297"/>
      <c r="E911" s="1297" t="s">
        <v>952</v>
      </c>
      <c r="G911" s="1399">
        <v>20551.73</v>
      </c>
      <c r="J911" s="1399">
        <v>20551.73</v>
      </c>
    </row>
    <row r="912" spans="2:12">
      <c r="B912" s="1297"/>
      <c r="C912" s="1297"/>
      <c r="D912" s="1297"/>
      <c r="E912" s="1297" t="s">
        <v>907</v>
      </c>
      <c r="G912" s="1399">
        <v>1108958.99</v>
      </c>
      <c r="J912" s="1399">
        <v>1108958.99</v>
      </c>
    </row>
    <row r="913" spans="5:10" s="1297" customFormat="1">
      <c r="E913" s="1297" t="s">
        <v>908</v>
      </c>
      <c r="F913" s="1399"/>
      <c r="G913" s="1399"/>
      <c r="H913" s="1399">
        <v>30777.91</v>
      </c>
      <c r="I913" s="1399"/>
      <c r="J913" s="1399">
        <v>30777.91</v>
      </c>
    </row>
    <row r="914" spans="5:10" s="1297" customFormat="1">
      <c r="E914" s="1297" t="s">
        <v>909</v>
      </c>
      <c r="F914" s="1399"/>
      <c r="G914" s="1399"/>
      <c r="H914" s="1399">
        <v>29167.01</v>
      </c>
      <c r="I914" s="1399"/>
      <c r="J914" s="1399">
        <v>29167.01</v>
      </c>
    </row>
    <row r="915" spans="5:10" s="1297" customFormat="1">
      <c r="E915" s="1297" t="s">
        <v>910</v>
      </c>
      <c r="F915" s="1399"/>
      <c r="G915" s="1399"/>
      <c r="H915" s="1399">
        <v>2689.25</v>
      </c>
      <c r="I915" s="1399"/>
      <c r="J915" s="1399">
        <v>2689.25</v>
      </c>
    </row>
    <row r="916" spans="5:10" s="1297" customFormat="1">
      <c r="E916" s="1297" t="s">
        <v>1034</v>
      </c>
      <c r="F916" s="1399"/>
      <c r="G916" s="1399"/>
      <c r="H916" s="1399">
        <v>16107.42</v>
      </c>
      <c r="I916" s="1399"/>
      <c r="J916" s="1399">
        <v>16107.42</v>
      </c>
    </row>
    <row r="917" spans="5:10" s="1297" customFormat="1">
      <c r="E917" s="1297" t="s">
        <v>1035</v>
      </c>
      <c r="F917" s="1399"/>
      <c r="G917" s="1399"/>
      <c r="H917" s="1399">
        <v>197974.66999999998</v>
      </c>
      <c r="I917" s="1399"/>
      <c r="J917" s="1399">
        <v>197974.66999999998</v>
      </c>
    </row>
    <row r="918" spans="5:10" s="1297" customFormat="1">
      <c r="E918" s="1297" t="s">
        <v>1036</v>
      </c>
      <c r="F918" s="1399"/>
      <c r="G918" s="1399"/>
      <c r="H918" s="1399">
        <v>109994.17</v>
      </c>
      <c r="I918" s="1399"/>
      <c r="J918" s="1399">
        <v>109994.17</v>
      </c>
    </row>
    <row r="919" spans="5:10" s="1297" customFormat="1">
      <c r="E919" s="1297" t="s">
        <v>1039</v>
      </c>
      <c r="F919" s="1399"/>
      <c r="G919" s="1399"/>
      <c r="H919" s="1399">
        <v>35089.079999999994</v>
      </c>
      <c r="I919" s="1399"/>
      <c r="J919" s="1399">
        <v>35089.079999999994</v>
      </c>
    </row>
    <row r="920" spans="5:10" s="1297" customFormat="1">
      <c r="E920" s="1297" t="s">
        <v>1040</v>
      </c>
      <c r="F920" s="1399"/>
      <c r="G920" s="1399"/>
      <c r="H920" s="1399">
        <v>75566.2</v>
      </c>
      <c r="I920" s="1399"/>
      <c r="J920" s="1399">
        <v>75566.2</v>
      </c>
    </row>
    <row r="921" spans="5:10" s="1297" customFormat="1">
      <c r="E921" s="1297" t="s">
        <v>1127</v>
      </c>
      <c r="F921" s="1399"/>
      <c r="G921" s="1399"/>
      <c r="H921" s="1399">
        <v>29158.15</v>
      </c>
      <c r="I921" s="1399"/>
      <c r="J921" s="1399">
        <v>29158.15</v>
      </c>
    </row>
    <row r="922" spans="5:10" s="1297" customFormat="1">
      <c r="E922" s="1297" t="s">
        <v>1041</v>
      </c>
      <c r="F922" s="1399"/>
      <c r="G922" s="1399"/>
      <c r="H922" s="1399">
        <v>43696.630000000005</v>
      </c>
      <c r="I922" s="1399"/>
      <c r="J922" s="1399">
        <v>43696.630000000005</v>
      </c>
    </row>
    <row r="923" spans="5:10" s="1297" customFormat="1">
      <c r="E923" s="1297" t="s">
        <v>1042</v>
      </c>
      <c r="F923" s="1399"/>
      <c r="G923" s="1399"/>
      <c r="H923" s="1399">
        <v>10791.57</v>
      </c>
      <c r="I923" s="1399"/>
      <c r="J923" s="1399">
        <v>10791.57</v>
      </c>
    </row>
    <row r="924" spans="5:10" s="1297" customFormat="1">
      <c r="E924" s="1297" t="s">
        <v>953</v>
      </c>
      <c r="F924" s="1399"/>
      <c r="G924" s="1399"/>
      <c r="H924" s="1399">
        <v>26004.3</v>
      </c>
      <c r="I924" s="1399"/>
      <c r="J924" s="1399">
        <v>26004.3</v>
      </c>
    </row>
    <row r="925" spans="5:10" s="1297" customFormat="1">
      <c r="E925" s="1297" t="s">
        <v>954</v>
      </c>
      <c r="F925" s="1399"/>
      <c r="G925" s="1399"/>
      <c r="H925" s="1399">
        <v>3244.05</v>
      </c>
      <c r="I925" s="1399"/>
      <c r="J925" s="1399">
        <v>3244.05</v>
      </c>
    </row>
    <row r="926" spans="5:10" s="1297" customFormat="1">
      <c r="E926" s="1297" t="s">
        <v>1044</v>
      </c>
      <c r="F926" s="1399">
        <v>3215.64</v>
      </c>
      <c r="G926" s="1399"/>
      <c r="H926" s="1399"/>
      <c r="I926" s="1399"/>
      <c r="J926" s="1399">
        <v>3215.64</v>
      </c>
    </row>
    <row r="927" spans="5:10" s="1297" customFormat="1">
      <c r="E927" s="1297" t="s">
        <v>1045</v>
      </c>
      <c r="F927" s="1399"/>
      <c r="G927" s="1399"/>
      <c r="H927" s="1399">
        <v>288927.80999999994</v>
      </c>
      <c r="I927" s="1399"/>
      <c r="J927" s="1399">
        <v>288927.80999999994</v>
      </c>
    </row>
    <row r="928" spans="5:10" s="1297" customFormat="1">
      <c r="E928" s="1297" t="s">
        <v>1046</v>
      </c>
      <c r="F928" s="1399"/>
      <c r="G928" s="1399"/>
      <c r="H928" s="1399"/>
      <c r="I928" s="1399">
        <v>8416877</v>
      </c>
      <c r="J928" s="1399">
        <v>8416877</v>
      </c>
    </row>
    <row r="929" spans="5:10" s="1297" customFormat="1">
      <c r="E929" s="1297" t="s">
        <v>1047</v>
      </c>
      <c r="F929" s="1399"/>
      <c r="G929" s="1399"/>
      <c r="H929" s="1399"/>
      <c r="I929" s="1399">
        <v>450483</v>
      </c>
      <c r="J929" s="1399">
        <v>450483</v>
      </c>
    </row>
    <row r="930" spans="5:10" s="1297" customFormat="1">
      <c r="E930" s="1297" t="s">
        <v>1048</v>
      </c>
      <c r="F930" s="1399"/>
      <c r="G930" s="1399"/>
      <c r="H930" s="1399"/>
      <c r="I930" s="1399">
        <v>-1628065</v>
      </c>
      <c r="J930" s="1399">
        <v>-1628065</v>
      </c>
    </row>
    <row r="931" spans="5:10" s="1297" customFormat="1">
      <c r="E931" s="1297" t="s">
        <v>932</v>
      </c>
      <c r="F931" s="1399"/>
      <c r="G931" s="1399"/>
      <c r="H931" s="1399"/>
      <c r="I931" s="1399">
        <v>27419</v>
      </c>
      <c r="J931" s="1399">
        <v>27419</v>
      </c>
    </row>
    <row r="932" spans="5:10" s="1297" customFormat="1">
      <c r="E932" s="1404" t="s">
        <v>955</v>
      </c>
      <c r="F932" s="1405"/>
      <c r="G932" s="1405"/>
      <c r="H932" s="1405"/>
      <c r="I932" s="1405">
        <v>477022.43</v>
      </c>
      <c r="J932" s="1405">
        <v>477022.43</v>
      </c>
    </row>
    <row r="933" spans="5:10" s="1297" customFormat="1">
      <c r="E933" s="1297" t="s">
        <v>934</v>
      </c>
      <c r="F933" s="1399"/>
      <c r="G933" s="1399"/>
      <c r="H933" s="1399"/>
      <c r="I933" s="1399">
        <v>28052</v>
      </c>
      <c r="J933" s="1399">
        <v>28052</v>
      </c>
    </row>
    <row r="934" spans="5:10" s="1297" customFormat="1">
      <c r="E934" s="1297" t="s">
        <v>1130</v>
      </c>
      <c r="F934" s="1399"/>
      <c r="G934" s="1399"/>
      <c r="H934" s="1399"/>
      <c r="I934" s="1399">
        <v>546731</v>
      </c>
      <c r="J934" s="1399">
        <v>546731</v>
      </c>
    </row>
    <row r="935" spans="5:10" s="1297" customFormat="1">
      <c r="E935" s="1297" t="s">
        <v>935</v>
      </c>
      <c r="F935" s="1399"/>
      <c r="G935" s="1399"/>
      <c r="H935" s="1399"/>
      <c r="I935" s="1399">
        <v>206594.61</v>
      </c>
      <c r="J935" s="1399">
        <v>206594.61</v>
      </c>
    </row>
    <row r="936" spans="5:10" s="1297" customFormat="1">
      <c r="E936" s="1297" t="s">
        <v>936</v>
      </c>
      <c r="F936" s="1399"/>
      <c r="G936" s="1399"/>
      <c r="H936" s="1399"/>
      <c r="I936" s="1399">
        <v>24160.39</v>
      </c>
      <c r="J936" s="1399">
        <v>24160.39</v>
      </c>
    </row>
    <row r="937" spans="5:10" s="1297" customFormat="1">
      <c r="E937" s="1297" t="s">
        <v>937</v>
      </c>
      <c r="F937" s="1399"/>
      <c r="G937" s="1399"/>
      <c r="H937" s="1399"/>
      <c r="I937" s="1399">
        <v>12292.95</v>
      </c>
      <c r="J937" s="1399">
        <v>12292.95</v>
      </c>
    </row>
    <row r="938" spans="5:10" s="1297" customFormat="1">
      <c r="E938" s="1297" t="s">
        <v>938</v>
      </c>
      <c r="F938" s="1399"/>
      <c r="G938" s="1399"/>
      <c r="H938" s="1399"/>
      <c r="I938" s="1399">
        <v>9545</v>
      </c>
      <c r="J938" s="1399">
        <v>9545</v>
      </c>
    </row>
    <row r="939" spans="5:10" s="1297" customFormat="1">
      <c r="E939" s="1297" t="s">
        <v>939</v>
      </c>
      <c r="F939" s="1399"/>
      <c r="G939" s="1399"/>
      <c r="H939" s="1399"/>
      <c r="I939" s="1399">
        <v>46250</v>
      </c>
      <c r="J939" s="1399">
        <v>46250</v>
      </c>
    </row>
    <row r="940" spans="5:10" s="1297" customFormat="1">
      <c r="E940" s="1297" t="s">
        <v>940</v>
      </c>
      <c r="F940" s="1399">
        <v>486191.42</v>
      </c>
      <c r="G940" s="1399"/>
      <c r="H940" s="1399"/>
      <c r="I940" s="1399"/>
      <c r="J940" s="1399">
        <v>486191.42</v>
      </c>
    </row>
    <row r="941" spans="5:10" s="1297" customFormat="1">
      <c r="E941" s="1297" t="s">
        <v>941</v>
      </c>
      <c r="F941" s="1399">
        <v>162693.60000000003</v>
      </c>
      <c r="G941" s="1399"/>
      <c r="H941" s="1399"/>
      <c r="I941" s="1399"/>
      <c r="J941" s="1399">
        <v>162693.60000000003</v>
      </c>
    </row>
    <row r="942" spans="5:10" s="1297" customFormat="1">
      <c r="E942" s="1297" t="s">
        <v>944</v>
      </c>
      <c r="F942" s="1399">
        <v>1103714.5899999999</v>
      </c>
      <c r="G942" s="1399"/>
      <c r="H942" s="1399"/>
      <c r="I942" s="1399"/>
      <c r="J942" s="1399">
        <v>1103714.5899999999</v>
      </c>
    </row>
    <row r="943" spans="5:10" s="1297" customFormat="1">
      <c r="E943" s="1297" t="s">
        <v>945</v>
      </c>
      <c r="F943" s="1399">
        <v>764274.09000000008</v>
      </c>
      <c r="G943" s="1399"/>
      <c r="H943" s="1399"/>
      <c r="I943" s="1399"/>
      <c r="J943" s="1399">
        <v>764274.09000000008</v>
      </c>
    </row>
    <row r="944" spans="5:10" s="1297" customFormat="1">
      <c r="E944" s="1297" t="s">
        <v>946</v>
      </c>
      <c r="F944" s="1399">
        <v>1152</v>
      </c>
      <c r="G944" s="1399"/>
      <c r="H944" s="1399"/>
      <c r="I944" s="1399"/>
      <c r="J944" s="1399">
        <v>1152</v>
      </c>
    </row>
    <row r="945" spans="2:12">
      <c r="B945" s="1297"/>
      <c r="C945" s="1297"/>
      <c r="D945" s="1297"/>
      <c r="E945" s="1297" t="s">
        <v>1214</v>
      </c>
      <c r="F945" s="1399">
        <v>221003</v>
      </c>
      <c r="J945" s="1399">
        <v>221003</v>
      </c>
    </row>
    <row r="946" spans="2:12">
      <c r="B946" s="1297"/>
      <c r="C946" s="1297"/>
      <c r="D946" s="1297"/>
      <c r="E946" s="1297" t="s">
        <v>947</v>
      </c>
      <c r="F946" s="1399">
        <v>28159.81</v>
      </c>
      <c r="J946" s="1399">
        <v>28159.81</v>
      </c>
    </row>
    <row r="947" spans="2:12">
      <c r="B947" s="1297"/>
      <c r="C947" s="1297"/>
      <c r="D947" s="1297"/>
      <c r="E947" s="1404" t="s">
        <v>948</v>
      </c>
      <c r="F947" s="1405"/>
      <c r="G947" s="1405"/>
      <c r="H947" s="1405">
        <v>12104487.939999999</v>
      </c>
      <c r="I947" s="1405"/>
      <c r="J947" s="1405">
        <v>12104487.939999999</v>
      </c>
    </row>
    <row r="948" spans="2:12">
      <c r="B948" s="1297"/>
      <c r="C948" s="1297"/>
      <c r="D948" s="1400" t="s">
        <v>1215</v>
      </c>
      <c r="E948" s="1400"/>
      <c r="F948" s="1401">
        <f>SUM(F910:F947)</f>
        <v>2770404.15</v>
      </c>
      <c r="G948" s="1401">
        <f>SUM(G910:G947)</f>
        <v>6197548.0100000007</v>
      </c>
      <c r="H948" s="1401">
        <f>SUM(H910:H947)-H947</f>
        <v>899188.22000000067</v>
      </c>
      <c r="I948" s="1401">
        <f>SUM(I910:I947)-I932</f>
        <v>8140339.9499999993</v>
      </c>
      <c r="J948" s="1401">
        <f>SUM(J910:J947)</f>
        <v>30588990.699999996</v>
      </c>
      <c r="K948" s="1401">
        <f>SUM(F948:I948)</f>
        <v>18007480.329999998</v>
      </c>
      <c r="L948" s="1408">
        <f>K948/C910</f>
        <v>11013.749437308867</v>
      </c>
    </row>
    <row r="949" spans="2:12">
      <c r="B949" s="1297" t="s">
        <v>1216</v>
      </c>
      <c r="C949" s="1297">
        <f>33543-'[2]1$REV-DATA-GAcharterAuditdata'!G62</f>
        <v>32891</v>
      </c>
      <c r="D949" s="1297" t="s">
        <v>1217</v>
      </c>
      <c r="E949" s="1297" t="s">
        <v>906</v>
      </c>
      <c r="G949" s="1399">
        <v>164412782.51000002</v>
      </c>
      <c r="J949" s="1399">
        <v>164412782.51000002</v>
      </c>
    </row>
    <row r="950" spans="2:12">
      <c r="B950" s="1297"/>
      <c r="C950" s="1297"/>
      <c r="D950" s="1297"/>
      <c r="E950" s="1297" t="s">
        <v>952</v>
      </c>
      <c r="G950" s="1399">
        <v>1704217.65</v>
      </c>
      <c r="J950" s="1399">
        <v>1704217.65</v>
      </c>
    </row>
    <row r="951" spans="2:12">
      <c r="B951" s="1297"/>
      <c r="C951" s="1297"/>
      <c r="D951" s="1297"/>
      <c r="E951" s="1297" t="s">
        <v>907</v>
      </c>
      <c r="G951" s="1399">
        <v>52006946.969999999</v>
      </c>
      <c r="J951" s="1399">
        <v>52006946.969999999</v>
      </c>
    </row>
    <row r="952" spans="2:12">
      <c r="B952" s="1297"/>
      <c r="C952" s="1297"/>
      <c r="D952" s="1297"/>
      <c r="E952" s="1297" t="s">
        <v>908</v>
      </c>
      <c r="G952" s="1399">
        <v>202895.86</v>
      </c>
      <c r="J952" s="1399">
        <v>202895.86</v>
      </c>
    </row>
    <row r="953" spans="2:12">
      <c r="B953" s="1297"/>
      <c r="C953" s="1297"/>
      <c r="D953" s="1297"/>
      <c r="E953" s="1297" t="s">
        <v>1037</v>
      </c>
      <c r="H953" s="1399">
        <v>53407.020000000004</v>
      </c>
      <c r="J953" s="1399">
        <v>53407.020000000004</v>
      </c>
    </row>
    <row r="954" spans="2:12">
      <c r="B954" s="1297"/>
      <c r="C954" s="1297"/>
      <c r="D954" s="1297"/>
      <c r="E954" s="1297" t="s">
        <v>1039</v>
      </c>
      <c r="H954" s="1399">
        <v>221756.31000000003</v>
      </c>
      <c r="J954" s="1399">
        <v>221756.31000000003</v>
      </c>
    </row>
    <row r="955" spans="2:12">
      <c r="B955" s="1297"/>
      <c r="C955" s="1297"/>
      <c r="D955" s="1297"/>
      <c r="E955" s="1297" t="s">
        <v>1040</v>
      </c>
      <c r="H955" s="1399">
        <v>1719225.9500000002</v>
      </c>
      <c r="J955" s="1399">
        <v>1719225.9500000002</v>
      </c>
    </row>
    <row r="956" spans="2:12">
      <c r="B956" s="1297"/>
      <c r="C956" s="1297"/>
      <c r="D956" s="1297"/>
      <c r="E956" s="1297" t="s">
        <v>1041</v>
      </c>
      <c r="H956" s="1399">
        <v>368960.06999999995</v>
      </c>
      <c r="J956" s="1399">
        <v>368960.06999999995</v>
      </c>
    </row>
    <row r="957" spans="2:12">
      <c r="B957" s="1297"/>
      <c r="C957" s="1297"/>
      <c r="D957" s="1297"/>
      <c r="E957" s="1297" t="s">
        <v>1042</v>
      </c>
      <c r="H957" s="1399">
        <v>116797.62</v>
      </c>
      <c r="J957" s="1399">
        <v>116797.62</v>
      </c>
    </row>
    <row r="958" spans="2:12">
      <c r="B958" s="1297"/>
      <c r="C958" s="1297"/>
      <c r="D958" s="1297"/>
      <c r="E958" s="1297" t="s">
        <v>954</v>
      </c>
      <c r="H958" s="1399">
        <v>331530.02999999997</v>
      </c>
      <c r="J958" s="1399">
        <v>331530.02999999997</v>
      </c>
    </row>
    <row r="959" spans="2:12">
      <c r="B959" s="1297"/>
      <c r="C959" s="1297"/>
      <c r="D959" s="1297"/>
      <c r="E959" s="1297" t="s">
        <v>1043</v>
      </c>
      <c r="H959" s="1399">
        <v>14873.26</v>
      </c>
      <c r="J959" s="1399">
        <v>14873.26</v>
      </c>
    </row>
    <row r="960" spans="2:12">
      <c r="B960" s="1297"/>
      <c r="C960" s="1297"/>
      <c r="D960" s="1297"/>
      <c r="E960" s="1297" t="s">
        <v>986</v>
      </c>
      <c r="H960" s="1399">
        <v>865557.58000000007</v>
      </c>
      <c r="J960" s="1399">
        <v>865557.58000000007</v>
      </c>
    </row>
    <row r="961" spans="5:10" s="1297" customFormat="1">
      <c r="E961" s="1297" t="s">
        <v>1044</v>
      </c>
      <c r="F961" s="1399">
        <v>733132.66</v>
      </c>
      <c r="G961" s="1399"/>
      <c r="H961" s="1399"/>
      <c r="I961" s="1399"/>
      <c r="J961" s="1399">
        <v>733132.66</v>
      </c>
    </row>
    <row r="962" spans="5:10" s="1297" customFormat="1">
      <c r="E962" s="1297" t="s">
        <v>1045</v>
      </c>
      <c r="F962" s="1399"/>
      <c r="G962" s="1399"/>
      <c r="H962" s="1399">
        <v>6046079.5799999991</v>
      </c>
      <c r="I962" s="1399"/>
      <c r="J962" s="1399">
        <v>6046079.5799999991</v>
      </c>
    </row>
    <row r="963" spans="5:10" s="1297" customFormat="1">
      <c r="E963" s="1297" t="s">
        <v>1046</v>
      </c>
      <c r="F963" s="1399"/>
      <c r="G963" s="1399"/>
      <c r="H963" s="1399"/>
      <c r="I963" s="1399">
        <v>175566197</v>
      </c>
      <c r="J963" s="1399">
        <v>175566197</v>
      </c>
    </row>
    <row r="964" spans="5:10" s="1297" customFormat="1">
      <c r="E964" s="1297" t="s">
        <v>1128</v>
      </c>
      <c r="F964" s="1399"/>
      <c r="G964" s="1399"/>
      <c r="H964" s="1399"/>
      <c r="I964" s="1399">
        <v>14458966</v>
      </c>
      <c r="J964" s="1399">
        <v>14458966</v>
      </c>
    </row>
    <row r="965" spans="5:10" s="1297" customFormat="1">
      <c r="E965" s="1297" t="s">
        <v>1129</v>
      </c>
      <c r="F965" s="1399"/>
      <c r="G965" s="1399"/>
      <c r="H965" s="1399"/>
      <c r="I965" s="1399">
        <v>-17039600</v>
      </c>
      <c r="J965" s="1399">
        <v>-17039600</v>
      </c>
    </row>
    <row r="966" spans="5:10" s="1297" customFormat="1">
      <c r="E966" s="1297" t="s">
        <v>1047</v>
      </c>
      <c r="F966" s="1399"/>
      <c r="G966" s="1399"/>
      <c r="H966" s="1399"/>
      <c r="I966" s="1399">
        <v>2847498</v>
      </c>
      <c r="J966" s="1399">
        <v>2847498</v>
      </c>
    </row>
    <row r="967" spans="5:10" s="1297" customFormat="1">
      <c r="E967" s="1297" t="s">
        <v>1048</v>
      </c>
      <c r="F967" s="1399"/>
      <c r="G967" s="1399"/>
      <c r="H967" s="1399"/>
      <c r="I967" s="1399">
        <v>-61256290</v>
      </c>
      <c r="J967" s="1399">
        <v>-61256290</v>
      </c>
    </row>
    <row r="968" spans="5:10" s="1297" customFormat="1">
      <c r="E968" s="1404" t="s">
        <v>955</v>
      </c>
      <c r="F968" s="1405"/>
      <c r="G968" s="1405"/>
      <c r="H968" s="1405"/>
      <c r="I968" s="1405">
        <v>5314257.95</v>
      </c>
      <c r="J968" s="1405">
        <v>5314257.95</v>
      </c>
    </row>
    <row r="969" spans="5:10" s="1297" customFormat="1">
      <c r="E969" s="1297" t="s">
        <v>934</v>
      </c>
      <c r="F969" s="1399"/>
      <c r="G969" s="1399"/>
      <c r="H969" s="1399"/>
      <c r="I969" s="1399">
        <v>437230</v>
      </c>
      <c r="J969" s="1399">
        <v>437230</v>
      </c>
    </row>
    <row r="970" spans="5:10" s="1297" customFormat="1">
      <c r="E970" s="1297" t="s">
        <v>1130</v>
      </c>
      <c r="F970" s="1399"/>
      <c r="G970" s="1399"/>
      <c r="H970" s="1399"/>
      <c r="I970" s="1399">
        <v>7292700</v>
      </c>
      <c r="J970" s="1399">
        <v>7292700</v>
      </c>
    </row>
    <row r="971" spans="5:10" s="1297" customFormat="1">
      <c r="E971" s="1297" t="s">
        <v>935</v>
      </c>
      <c r="F971" s="1399"/>
      <c r="G971" s="1399"/>
      <c r="H971" s="1399"/>
      <c r="I971" s="1399">
        <v>5192937.2300000004</v>
      </c>
      <c r="J971" s="1399">
        <v>5192937.2300000004</v>
      </c>
    </row>
    <row r="972" spans="5:10" s="1297" customFormat="1">
      <c r="E972" s="1297" t="s">
        <v>939</v>
      </c>
      <c r="F972" s="1399"/>
      <c r="G972" s="1399"/>
      <c r="H972" s="1399"/>
      <c r="I972" s="1399">
        <v>181361.15000000002</v>
      </c>
      <c r="J972" s="1399">
        <v>181361.15000000002</v>
      </c>
    </row>
    <row r="973" spans="5:10" s="1297" customFormat="1">
      <c r="E973" s="1297" t="s">
        <v>1131</v>
      </c>
      <c r="F973" s="1399">
        <v>478923.01999999996</v>
      </c>
      <c r="G973" s="1399"/>
      <c r="H973" s="1399"/>
      <c r="I973" s="1399"/>
      <c r="J973" s="1399">
        <v>478923.01999999996</v>
      </c>
    </row>
    <row r="974" spans="5:10" s="1297" customFormat="1">
      <c r="E974" s="1297" t="s">
        <v>940</v>
      </c>
      <c r="F974" s="1399">
        <v>8951832.8200000022</v>
      </c>
      <c r="G974" s="1399"/>
      <c r="H974" s="1399"/>
      <c r="I974" s="1399"/>
      <c r="J974" s="1399">
        <v>8951832.8200000022</v>
      </c>
    </row>
    <row r="975" spans="5:10" s="1297" customFormat="1">
      <c r="E975" s="1297" t="s">
        <v>941</v>
      </c>
      <c r="F975" s="1399">
        <v>2734289.2799999993</v>
      </c>
      <c r="G975" s="1399"/>
      <c r="H975" s="1399"/>
      <c r="I975" s="1399"/>
      <c r="J975" s="1399">
        <v>2734289.2799999993</v>
      </c>
    </row>
    <row r="976" spans="5:10" s="1297" customFormat="1">
      <c r="E976" s="1297" t="s">
        <v>944</v>
      </c>
      <c r="F976" s="1399">
        <v>30595292.75</v>
      </c>
      <c r="G976" s="1399"/>
      <c r="H976" s="1399"/>
      <c r="I976" s="1399"/>
      <c r="J976" s="1399">
        <v>30595292.75</v>
      </c>
    </row>
    <row r="977" spans="2:14">
      <c r="B977" s="1297"/>
      <c r="C977" s="1297"/>
      <c r="D977" s="1297"/>
      <c r="E977" s="1297" t="s">
        <v>945</v>
      </c>
      <c r="F977" s="1399">
        <v>6126585.1799999997</v>
      </c>
      <c r="J977" s="1399">
        <v>6126585.1799999997</v>
      </c>
    </row>
    <row r="978" spans="2:14">
      <c r="B978" s="1297"/>
      <c r="C978" s="1297"/>
      <c r="D978" s="1297"/>
      <c r="E978" s="1297" t="s">
        <v>946</v>
      </c>
      <c r="F978" s="1399">
        <v>1266959.8700000001</v>
      </c>
      <c r="J978" s="1399">
        <v>1266959.8700000001</v>
      </c>
    </row>
    <row r="979" spans="2:14">
      <c r="B979" s="1297"/>
      <c r="C979" s="1297"/>
      <c r="D979" s="1297"/>
      <c r="E979" s="1297" t="s">
        <v>978</v>
      </c>
      <c r="F979" s="1399">
        <v>106666.72</v>
      </c>
      <c r="J979" s="1399">
        <v>106666.72</v>
      </c>
    </row>
    <row r="980" spans="2:14">
      <c r="B980" s="1297"/>
      <c r="C980" s="1297"/>
      <c r="D980" s="1297"/>
      <c r="E980" s="1297" t="s">
        <v>1006</v>
      </c>
      <c r="F980" s="1399">
        <v>519630.07</v>
      </c>
      <c r="J980" s="1399">
        <v>519630.07</v>
      </c>
    </row>
    <row r="981" spans="2:14">
      <c r="B981" s="1297"/>
      <c r="C981" s="1297"/>
      <c r="D981" s="1297"/>
      <c r="E981" s="1297" t="s">
        <v>1214</v>
      </c>
      <c r="F981" s="1399">
        <v>606298.57999999996</v>
      </c>
      <c r="J981" s="1399">
        <v>606298.57999999996</v>
      </c>
    </row>
    <row r="982" spans="2:14">
      <c r="B982" s="1297"/>
      <c r="C982" s="1297"/>
      <c r="D982" s="1297"/>
      <c r="E982" s="1297" t="s">
        <v>947</v>
      </c>
      <c r="F982" s="1399">
        <v>469179.85999999993</v>
      </c>
      <c r="J982" s="1399">
        <v>469179.85999999993</v>
      </c>
    </row>
    <row r="983" spans="2:14">
      <c r="B983" s="1297"/>
      <c r="C983" s="1297"/>
      <c r="D983" s="1297"/>
      <c r="E983" s="1404" t="s">
        <v>948</v>
      </c>
      <c r="F983" s="1405"/>
      <c r="G983" s="1405"/>
      <c r="H983" s="1405">
        <v>22580108.5</v>
      </c>
      <c r="I983" s="1405"/>
      <c r="J983" s="1405">
        <v>22580108.5</v>
      </c>
    </row>
    <row r="984" spans="2:14">
      <c r="B984" s="1297"/>
      <c r="C984" s="1297"/>
      <c r="D984" s="1297"/>
      <c r="E984" s="1297" t="s">
        <v>956</v>
      </c>
      <c r="H984" s="1399">
        <v>905673.2</v>
      </c>
      <c r="J984" s="1399">
        <v>905673.2</v>
      </c>
    </row>
    <row r="985" spans="2:14">
      <c r="B985" s="1297"/>
      <c r="C985" s="1297"/>
      <c r="D985" s="1297"/>
      <c r="E985" s="1297" t="s">
        <v>1218</v>
      </c>
      <c r="H985" s="1399">
        <v>6332427.2999999998</v>
      </c>
      <c r="J985" s="1399">
        <v>6332427.2999999998</v>
      </c>
    </row>
    <row r="986" spans="2:14">
      <c r="B986" s="1297"/>
      <c r="C986" s="1297"/>
      <c r="D986" s="1400" t="s">
        <v>1219</v>
      </c>
      <c r="E986" s="1400" t="s">
        <v>1641</v>
      </c>
      <c r="F986" s="1401">
        <f>SUM(F949:F985)-'1$REV-CharterAuditData'!BM62</f>
        <v>52244315.659999996</v>
      </c>
      <c r="G986" s="1401">
        <f>SUM(G949:G985)-'1$REV-CharterAuditData'!Q62</f>
        <v>217401410.14000005</v>
      </c>
      <c r="H986" s="1401">
        <f>SUM(H949:H985)-H983</f>
        <v>16976287.919999994</v>
      </c>
      <c r="I986" s="1401">
        <f>SUM(I949:I985)-(I968+'1$REV-CharterAuditData'!AZ62)</f>
        <v>124183513.38000001</v>
      </c>
      <c r="J986" s="1401">
        <f>SUM(J949:J985)</f>
        <v>443467287.55000001</v>
      </c>
      <c r="K986" s="1401">
        <f>SUM(F986:I986)</f>
        <v>410805527.10000008</v>
      </c>
      <c r="L986" s="1407">
        <f>K986/C949</f>
        <v>12489.906877261259</v>
      </c>
      <c r="M986" s="1407">
        <f>F986/C949</f>
        <v>1588.4076391718097</v>
      </c>
      <c r="N986" s="1400">
        <f>F986/K986</f>
        <v>0.1271752988057594</v>
      </c>
    </row>
    <row r="987" spans="2:14">
      <c r="B987" s="1297" t="s">
        <v>1220</v>
      </c>
      <c r="C987" s="1297">
        <v>884</v>
      </c>
      <c r="D987" s="1297" t="s">
        <v>1221</v>
      </c>
      <c r="E987" s="1297" t="s">
        <v>906</v>
      </c>
      <c r="G987" s="1399">
        <v>1014972.62</v>
      </c>
      <c r="J987" s="1399">
        <v>1014972.62</v>
      </c>
    </row>
    <row r="988" spans="2:14">
      <c r="B988" s="1297"/>
      <c r="C988" s="1297"/>
      <c r="D988" s="1297"/>
      <c r="E988" s="1297" t="s">
        <v>952</v>
      </c>
      <c r="G988" s="1399">
        <v>29539.4</v>
      </c>
      <c r="J988" s="1399">
        <v>29539.4</v>
      </c>
    </row>
    <row r="989" spans="2:14">
      <c r="B989" s="1297"/>
      <c r="C989" s="1297"/>
      <c r="D989" s="1297"/>
      <c r="E989" s="1297" t="s">
        <v>907</v>
      </c>
      <c r="G989" s="1399">
        <v>1300744.71</v>
      </c>
      <c r="J989" s="1399">
        <v>1300744.71</v>
      </c>
    </row>
    <row r="990" spans="2:14">
      <c r="B990" s="1297"/>
      <c r="C990" s="1297"/>
      <c r="D990" s="1297"/>
      <c r="E990" s="1297" t="s">
        <v>1035</v>
      </c>
      <c r="H990" s="1399">
        <v>178242.26</v>
      </c>
      <c r="J990" s="1399">
        <v>178242.26</v>
      </c>
    </row>
    <row r="991" spans="2:14">
      <c r="B991" s="1297"/>
      <c r="C991" s="1297"/>
      <c r="D991" s="1297"/>
      <c r="E991" s="1297" t="s">
        <v>1037</v>
      </c>
      <c r="H991" s="1399">
        <v>39190</v>
      </c>
      <c r="J991" s="1399">
        <v>39190</v>
      </c>
    </row>
    <row r="992" spans="2:14">
      <c r="B992" s="1297"/>
      <c r="C992" s="1297"/>
      <c r="D992" s="1297"/>
      <c r="E992" s="1297" t="s">
        <v>1039</v>
      </c>
      <c r="H992" s="1399">
        <v>1849.6299999999999</v>
      </c>
      <c r="J992" s="1399">
        <v>1849.6299999999999</v>
      </c>
    </row>
    <row r="993" spans="5:10" s="1297" customFormat="1">
      <c r="E993" s="1297" t="s">
        <v>1040</v>
      </c>
      <c r="F993" s="1399"/>
      <c r="G993" s="1399"/>
      <c r="H993" s="1399">
        <v>56621.85</v>
      </c>
      <c r="I993" s="1399"/>
      <c r="J993" s="1399">
        <v>56621.85</v>
      </c>
    </row>
    <row r="994" spans="5:10" s="1297" customFormat="1">
      <c r="E994" s="1297" t="s">
        <v>1042</v>
      </c>
      <c r="F994" s="1399"/>
      <c r="G994" s="1399"/>
      <c r="H994" s="1399">
        <v>25787.26</v>
      </c>
      <c r="I994" s="1399"/>
      <c r="J994" s="1399">
        <v>25787.26</v>
      </c>
    </row>
    <row r="995" spans="5:10" s="1297" customFormat="1">
      <c r="E995" s="1297" t="s">
        <v>985</v>
      </c>
      <c r="F995" s="1399"/>
      <c r="G995" s="1399"/>
      <c r="H995" s="1399">
        <v>117930.5</v>
      </c>
      <c r="I995" s="1399"/>
      <c r="J995" s="1399">
        <v>117930.5</v>
      </c>
    </row>
    <row r="996" spans="5:10" s="1297" customFormat="1">
      <c r="E996" s="1297" t="s">
        <v>1044</v>
      </c>
      <c r="F996" s="1399">
        <v>8655</v>
      </c>
      <c r="G996" s="1399"/>
      <c r="H996" s="1399"/>
      <c r="I996" s="1399"/>
      <c r="J996" s="1399">
        <v>8655</v>
      </c>
    </row>
    <row r="997" spans="5:10" s="1297" customFormat="1">
      <c r="E997" s="1297" t="s">
        <v>1045</v>
      </c>
      <c r="F997" s="1399"/>
      <c r="G997" s="1399"/>
      <c r="H997" s="1399">
        <v>136631.21</v>
      </c>
      <c r="I997" s="1399"/>
      <c r="J997" s="1399">
        <v>136631.21</v>
      </c>
    </row>
    <row r="998" spans="5:10" s="1297" customFormat="1">
      <c r="E998" s="1297" t="s">
        <v>1046</v>
      </c>
      <c r="F998" s="1399"/>
      <c r="G998" s="1399"/>
      <c r="H998" s="1399"/>
      <c r="I998" s="1399">
        <v>4814717</v>
      </c>
      <c r="J998" s="1399">
        <v>4814717</v>
      </c>
    </row>
    <row r="999" spans="5:10" s="1297" customFormat="1">
      <c r="E999" s="1297" t="s">
        <v>1047</v>
      </c>
      <c r="F999" s="1399"/>
      <c r="G999" s="1399"/>
      <c r="H999" s="1399"/>
      <c r="I999" s="1399">
        <v>249352</v>
      </c>
      <c r="J999" s="1399">
        <v>249352</v>
      </c>
    </row>
    <row r="1000" spans="5:10" s="1297" customFormat="1">
      <c r="E1000" s="1297" t="s">
        <v>1048</v>
      </c>
      <c r="F1000" s="1399"/>
      <c r="G1000" s="1399"/>
      <c r="H1000" s="1399"/>
      <c r="I1000" s="1399">
        <v>-269642</v>
      </c>
      <c r="J1000" s="1399">
        <v>-269642</v>
      </c>
    </row>
    <row r="1001" spans="5:10" s="1297" customFormat="1">
      <c r="E1001" s="1297" t="s">
        <v>932</v>
      </c>
      <c r="F1001" s="1399"/>
      <c r="G1001" s="1399"/>
      <c r="H1001" s="1399"/>
      <c r="I1001" s="1399">
        <v>1350552</v>
      </c>
      <c r="J1001" s="1399">
        <v>1350552</v>
      </c>
    </row>
    <row r="1002" spans="5:10" s="1297" customFormat="1">
      <c r="E1002" s="1404" t="s">
        <v>955</v>
      </c>
      <c r="F1002" s="1405"/>
      <c r="G1002" s="1405"/>
      <c r="H1002" s="1405"/>
      <c r="I1002" s="1405">
        <v>178620.58</v>
      </c>
      <c r="J1002" s="1405">
        <v>178620.58</v>
      </c>
    </row>
    <row r="1003" spans="5:10" s="1297" customFormat="1">
      <c r="E1003" s="1297" t="s">
        <v>934</v>
      </c>
      <c r="F1003" s="1399"/>
      <c r="G1003" s="1399"/>
      <c r="H1003" s="1399"/>
      <c r="I1003" s="1399">
        <v>15872</v>
      </c>
      <c r="J1003" s="1399">
        <v>15872</v>
      </c>
    </row>
    <row r="1004" spans="5:10" s="1297" customFormat="1">
      <c r="E1004" s="1297" t="s">
        <v>1130</v>
      </c>
      <c r="F1004" s="1399"/>
      <c r="G1004" s="1399"/>
      <c r="H1004" s="1399"/>
      <c r="I1004" s="1399">
        <v>117801</v>
      </c>
      <c r="J1004" s="1399">
        <v>117801</v>
      </c>
    </row>
    <row r="1005" spans="5:10" s="1297" customFormat="1">
      <c r="E1005" s="1297" t="s">
        <v>935</v>
      </c>
      <c r="F1005" s="1399"/>
      <c r="G1005" s="1399"/>
      <c r="H1005" s="1399"/>
      <c r="I1005" s="1399">
        <v>26921.34</v>
      </c>
      <c r="J1005" s="1399">
        <v>26921.34</v>
      </c>
    </row>
    <row r="1006" spans="5:10" s="1297" customFormat="1">
      <c r="E1006" s="1297" t="s">
        <v>936</v>
      </c>
      <c r="F1006" s="1399"/>
      <c r="G1006" s="1399"/>
      <c r="H1006" s="1399"/>
      <c r="I1006" s="1399">
        <v>16807.23</v>
      </c>
      <c r="J1006" s="1399">
        <v>16807.23</v>
      </c>
    </row>
    <row r="1007" spans="5:10" s="1297" customFormat="1">
      <c r="E1007" s="1297" t="s">
        <v>937</v>
      </c>
      <c r="F1007" s="1399"/>
      <c r="G1007" s="1399"/>
      <c r="H1007" s="1399"/>
      <c r="I1007" s="1399">
        <v>5902.42</v>
      </c>
      <c r="J1007" s="1399">
        <v>5902.42</v>
      </c>
    </row>
    <row r="1008" spans="5:10" s="1297" customFormat="1">
      <c r="E1008" s="1297" t="s">
        <v>938</v>
      </c>
      <c r="F1008" s="1399"/>
      <c r="G1008" s="1399"/>
      <c r="H1008" s="1399"/>
      <c r="I1008" s="1399">
        <v>2620</v>
      </c>
      <c r="J1008" s="1399">
        <v>2620</v>
      </c>
    </row>
    <row r="1009" spans="2:12">
      <c r="B1009" s="1297"/>
      <c r="C1009" s="1297"/>
      <c r="D1009" s="1297"/>
      <c r="E1009" s="1297" t="s">
        <v>940</v>
      </c>
      <c r="F1009" s="1399">
        <v>280787.56</v>
      </c>
      <c r="J1009" s="1399">
        <v>280787.56</v>
      </c>
    </row>
    <row r="1010" spans="2:12">
      <c r="B1010" s="1297"/>
      <c r="C1010" s="1297"/>
      <c r="D1010" s="1297"/>
      <c r="E1010" s="1297" t="s">
        <v>941</v>
      </c>
      <c r="F1010" s="1399">
        <v>127059.38</v>
      </c>
      <c r="J1010" s="1399">
        <v>127059.38</v>
      </c>
    </row>
    <row r="1011" spans="2:12">
      <c r="B1011" s="1297"/>
      <c r="C1011" s="1297"/>
      <c r="D1011" s="1297"/>
      <c r="E1011" s="1297" t="s">
        <v>943</v>
      </c>
      <c r="F1011" s="1399">
        <v>10143.18</v>
      </c>
      <c r="J1011" s="1399">
        <v>10143.18</v>
      </c>
    </row>
    <row r="1012" spans="2:12">
      <c r="B1012" s="1297"/>
      <c r="C1012" s="1297"/>
      <c r="D1012" s="1297"/>
      <c r="E1012" s="1297" t="s">
        <v>944</v>
      </c>
      <c r="F1012" s="1399">
        <v>739657.99999999988</v>
      </c>
      <c r="J1012" s="1399">
        <v>739657.99999999988</v>
      </c>
    </row>
    <row r="1013" spans="2:12">
      <c r="B1013" s="1297"/>
      <c r="C1013" s="1297"/>
      <c r="D1013" s="1297"/>
      <c r="E1013" s="1297" t="s">
        <v>945</v>
      </c>
      <c r="F1013" s="1399">
        <v>311572.25999999995</v>
      </c>
      <c r="J1013" s="1399">
        <v>311572.25999999995</v>
      </c>
    </row>
    <row r="1014" spans="2:12">
      <c r="B1014" s="1297"/>
      <c r="C1014" s="1297"/>
      <c r="D1014" s="1297"/>
      <c r="E1014" s="1297" t="s">
        <v>1006</v>
      </c>
      <c r="F1014" s="1399">
        <v>635893.52</v>
      </c>
      <c r="J1014" s="1399">
        <v>635893.52</v>
      </c>
    </row>
    <row r="1015" spans="2:12">
      <c r="B1015" s="1297"/>
      <c r="C1015" s="1297"/>
      <c r="D1015" s="1297"/>
      <c r="E1015" s="1297" t="s">
        <v>947</v>
      </c>
      <c r="F1015" s="1399">
        <v>14269.3</v>
      </c>
      <c r="J1015" s="1399">
        <v>14269.3</v>
      </c>
    </row>
    <row r="1016" spans="2:12">
      <c r="B1016" s="1297"/>
      <c r="C1016" s="1297"/>
      <c r="D1016" s="1297"/>
      <c r="E1016" s="1404" t="s">
        <v>948</v>
      </c>
      <c r="F1016" s="1405"/>
      <c r="G1016" s="1405"/>
      <c r="H1016" s="1405">
        <v>1041468.94</v>
      </c>
      <c r="I1016" s="1405"/>
      <c r="J1016" s="1405">
        <v>1041468.94</v>
      </c>
    </row>
    <row r="1017" spans="2:12">
      <c r="B1017" s="1297"/>
      <c r="C1017" s="1297"/>
      <c r="D1017" s="1297"/>
      <c r="E1017" s="1297" t="s">
        <v>956</v>
      </c>
      <c r="H1017" s="1399">
        <v>2647.09</v>
      </c>
      <c r="J1017" s="1399">
        <v>2647.09</v>
      </c>
    </row>
    <row r="1018" spans="2:12">
      <c r="B1018" s="1297"/>
      <c r="C1018" s="1297"/>
      <c r="D1018" s="1400" t="s">
        <v>1222</v>
      </c>
      <c r="E1018" s="1400"/>
      <c r="F1018" s="1401">
        <f>SUM(F987:F1017)</f>
        <v>2128038.1999999997</v>
      </c>
      <c r="G1018" s="1401">
        <f>SUM(G987:G1017)</f>
        <v>2345256.73</v>
      </c>
      <c r="H1018" s="1401">
        <f>SUM(H987:H1017)-H1016</f>
        <v>558899.80000000005</v>
      </c>
      <c r="I1018" s="1401">
        <f>SUM(I987:I1017)-I1002</f>
        <v>6330902.9900000002</v>
      </c>
      <c r="J1018" s="1401">
        <f>SUM(J987:J1017)</f>
        <v>12583187.24</v>
      </c>
      <c r="K1018" s="1401">
        <f>SUM(F1018:I1018)</f>
        <v>11363097.719999999</v>
      </c>
      <c r="L1018" s="1408">
        <f>K1018/C987</f>
        <v>12854.182941176468</v>
      </c>
    </row>
    <row r="1019" spans="2:12">
      <c r="B1019" s="1297" t="s">
        <v>1049</v>
      </c>
      <c r="C1019" s="1297">
        <v>2606</v>
      </c>
      <c r="D1019" s="1297" t="s">
        <v>1050</v>
      </c>
      <c r="E1019" s="1297" t="s">
        <v>906</v>
      </c>
      <c r="G1019" s="1399">
        <v>4967755.6399999997</v>
      </c>
      <c r="J1019" s="1399">
        <v>4967755.6399999997</v>
      </c>
    </row>
    <row r="1020" spans="2:12">
      <c r="B1020" s="1297"/>
      <c r="C1020" s="1297"/>
      <c r="D1020" s="1297"/>
      <c r="E1020" s="1297" t="s">
        <v>1126</v>
      </c>
      <c r="G1020" s="1399">
        <v>1657890.01</v>
      </c>
      <c r="J1020" s="1399">
        <v>1657890.01</v>
      </c>
    </row>
    <row r="1021" spans="2:12">
      <c r="B1021" s="1297"/>
      <c r="C1021" s="1297"/>
      <c r="D1021" s="1297"/>
      <c r="E1021" s="1297" t="s">
        <v>952</v>
      </c>
      <c r="G1021" s="1399">
        <v>61944.69</v>
      </c>
      <c r="J1021" s="1399">
        <v>61944.69</v>
      </c>
    </row>
    <row r="1022" spans="2:12">
      <c r="B1022" s="1297"/>
      <c r="C1022" s="1297"/>
      <c r="D1022" s="1297"/>
      <c r="E1022" s="1297" t="s">
        <v>907</v>
      </c>
      <c r="G1022" s="1399">
        <v>1721616.97</v>
      </c>
      <c r="J1022" s="1399">
        <v>1721616.97</v>
      </c>
    </row>
    <row r="1023" spans="2:12">
      <c r="B1023" s="1297"/>
      <c r="C1023" s="1297"/>
      <c r="D1023" s="1297"/>
      <c r="E1023" s="1297" t="s">
        <v>908</v>
      </c>
      <c r="G1023" s="1399">
        <v>35337.49</v>
      </c>
      <c r="J1023" s="1399">
        <v>35337.49</v>
      </c>
    </row>
    <row r="1024" spans="2:12">
      <c r="B1024" s="1297"/>
      <c r="C1024" s="1297"/>
      <c r="D1024" s="1297"/>
      <c r="E1024" s="1297" t="s">
        <v>1039</v>
      </c>
      <c r="H1024" s="1399">
        <v>177764.96</v>
      </c>
      <c r="J1024" s="1399">
        <v>177764.96</v>
      </c>
    </row>
    <row r="1025" spans="5:10" s="1297" customFormat="1">
      <c r="E1025" s="1297" t="s">
        <v>1040</v>
      </c>
      <c r="F1025" s="1399"/>
      <c r="G1025" s="1399"/>
      <c r="H1025" s="1399">
        <v>111079.63999999998</v>
      </c>
      <c r="I1025" s="1399"/>
      <c r="J1025" s="1399">
        <v>111079.63999999998</v>
      </c>
    </row>
    <row r="1026" spans="5:10" s="1297" customFormat="1">
      <c r="E1026" s="1297" t="s">
        <v>1041</v>
      </c>
      <c r="F1026" s="1399"/>
      <c r="G1026" s="1399"/>
      <c r="H1026" s="1399">
        <v>71261</v>
      </c>
      <c r="I1026" s="1399"/>
      <c r="J1026" s="1399">
        <v>71261</v>
      </c>
    </row>
    <row r="1027" spans="5:10" s="1297" customFormat="1">
      <c r="E1027" s="1297" t="s">
        <v>1042</v>
      </c>
      <c r="F1027" s="1399"/>
      <c r="G1027" s="1399"/>
      <c r="H1027" s="1399">
        <v>26230.11</v>
      </c>
      <c r="I1027" s="1399"/>
      <c r="J1027" s="1399">
        <v>26230.11</v>
      </c>
    </row>
    <row r="1028" spans="5:10" s="1297" customFormat="1">
      <c r="E1028" s="1297" t="s">
        <v>953</v>
      </c>
      <c r="F1028" s="1399"/>
      <c r="G1028" s="1399"/>
      <c r="H1028" s="1399">
        <v>28852.2</v>
      </c>
      <c r="I1028" s="1399"/>
      <c r="J1028" s="1399">
        <v>28852.2</v>
      </c>
    </row>
    <row r="1029" spans="5:10" s="1297" customFormat="1">
      <c r="E1029" s="1297" t="s">
        <v>986</v>
      </c>
      <c r="F1029" s="1399"/>
      <c r="G1029" s="1399"/>
      <c r="H1029" s="1399">
        <v>590508.13</v>
      </c>
      <c r="I1029" s="1399"/>
      <c r="J1029" s="1399">
        <v>590508.13</v>
      </c>
    </row>
    <row r="1030" spans="5:10" s="1297" customFormat="1">
      <c r="E1030" s="1297" t="s">
        <v>996</v>
      </c>
      <c r="F1030" s="1399"/>
      <c r="G1030" s="1399"/>
      <c r="H1030" s="1399">
        <v>23684</v>
      </c>
      <c r="I1030" s="1399"/>
      <c r="J1030" s="1399">
        <v>23684</v>
      </c>
    </row>
    <row r="1031" spans="5:10" s="1297" customFormat="1">
      <c r="E1031" s="1297" t="s">
        <v>1045</v>
      </c>
      <c r="F1031" s="1399"/>
      <c r="G1031" s="1399"/>
      <c r="H1031" s="1399">
        <v>223311.16</v>
      </c>
      <c r="I1031" s="1399"/>
      <c r="J1031" s="1399">
        <v>223311.16</v>
      </c>
    </row>
    <row r="1032" spans="5:10" s="1297" customFormat="1">
      <c r="E1032" s="1297" t="s">
        <v>1046</v>
      </c>
      <c r="F1032" s="1399"/>
      <c r="G1032" s="1399"/>
      <c r="H1032" s="1399"/>
      <c r="I1032" s="1399">
        <v>14614563</v>
      </c>
      <c r="J1032" s="1399">
        <v>14614563</v>
      </c>
    </row>
    <row r="1033" spans="5:10" s="1297" customFormat="1">
      <c r="E1033" s="1297" t="s">
        <v>1128</v>
      </c>
      <c r="F1033" s="1399"/>
      <c r="G1033" s="1399"/>
      <c r="H1033" s="1399"/>
      <c r="I1033" s="1399">
        <v>1142774</v>
      </c>
      <c r="J1033" s="1399">
        <v>1142774</v>
      </c>
    </row>
    <row r="1034" spans="5:10" s="1297" customFormat="1">
      <c r="E1034" s="1297" t="s">
        <v>1129</v>
      </c>
      <c r="F1034" s="1399"/>
      <c r="G1034" s="1399"/>
      <c r="H1034" s="1399"/>
      <c r="I1034" s="1399">
        <v>-2110535</v>
      </c>
      <c r="J1034" s="1399">
        <v>-2110535</v>
      </c>
    </row>
    <row r="1035" spans="5:10" s="1297" customFormat="1">
      <c r="E1035" s="1297" t="s">
        <v>1047</v>
      </c>
      <c r="F1035" s="1399"/>
      <c r="G1035" s="1399"/>
      <c r="H1035" s="1399"/>
      <c r="I1035" s="1399">
        <v>440055</v>
      </c>
      <c r="J1035" s="1399">
        <v>440055</v>
      </c>
    </row>
    <row r="1036" spans="5:10" s="1297" customFormat="1">
      <c r="E1036" s="1297" t="s">
        <v>1048</v>
      </c>
      <c r="F1036" s="1399"/>
      <c r="G1036" s="1399"/>
      <c r="H1036" s="1399"/>
      <c r="I1036" s="1399">
        <v>-2236461</v>
      </c>
      <c r="J1036" s="1399">
        <v>-2236461</v>
      </c>
    </row>
    <row r="1037" spans="5:10" s="1297" customFormat="1">
      <c r="E1037" s="1297" t="s">
        <v>932</v>
      </c>
      <c r="F1037" s="1399"/>
      <c r="G1037" s="1399"/>
      <c r="H1037" s="1399"/>
      <c r="I1037" s="1399">
        <v>813293</v>
      </c>
      <c r="J1037" s="1399">
        <v>813293</v>
      </c>
    </row>
    <row r="1038" spans="5:10" s="1297" customFormat="1">
      <c r="E1038" s="1404" t="s">
        <v>955</v>
      </c>
      <c r="F1038" s="1405"/>
      <c r="G1038" s="1405"/>
      <c r="H1038" s="1405"/>
      <c r="I1038" s="1405">
        <v>360013.71</v>
      </c>
      <c r="J1038" s="1405">
        <v>360013.71</v>
      </c>
    </row>
    <row r="1039" spans="5:10" s="1297" customFormat="1">
      <c r="E1039" s="1297" t="s">
        <v>934</v>
      </c>
      <c r="F1039" s="1399"/>
      <c r="G1039" s="1399"/>
      <c r="H1039" s="1399"/>
      <c r="I1039" s="1399">
        <v>53956</v>
      </c>
      <c r="J1039" s="1399">
        <v>53956</v>
      </c>
    </row>
    <row r="1040" spans="5:10" s="1297" customFormat="1">
      <c r="E1040" s="1297" t="s">
        <v>935</v>
      </c>
      <c r="F1040" s="1399"/>
      <c r="G1040" s="1399"/>
      <c r="H1040" s="1399"/>
      <c r="I1040" s="1399">
        <v>400099.21</v>
      </c>
      <c r="J1040" s="1399">
        <v>400099.21</v>
      </c>
    </row>
    <row r="1041" spans="2:12">
      <c r="B1041" s="1297"/>
      <c r="C1041" s="1297"/>
      <c r="D1041" s="1297"/>
      <c r="E1041" s="1297" t="s">
        <v>936</v>
      </c>
      <c r="I1041" s="1399">
        <v>47970.62</v>
      </c>
      <c r="J1041" s="1399">
        <v>47970.62</v>
      </c>
    </row>
    <row r="1042" spans="2:12">
      <c r="B1042" s="1297"/>
      <c r="C1042" s="1297"/>
      <c r="D1042" s="1297"/>
      <c r="E1042" s="1297" t="s">
        <v>937</v>
      </c>
      <c r="I1042" s="1399">
        <v>7017.75</v>
      </c>
      <c r="J1042" s="1399">
        <v>7017.75</v>
      </c>
    </row>
    <row r="1043" spans="2:12">
      <c r="B1043" s="1297"/>
      <c r="C1043" s="1297"/>
      <c r="D1043" s="1297"/>
      <c r="E1043" s="1297" t="s">
        <v>938</v>
      </c>
      <c r="I1043" s="1399">
        <v>14786</v>
      </c>
      <c r="J1043" s="1399">
        <v>14786</v>
      </c>
    </row>
    <row r="1044" spans="2:12">
      <c r="B1044" s="1297"/>
      <c r="C1044" s="1297"/>
      <c r="D1044" s="1297"/>
      <c r="E1044" s="1297" t="s">
        <v>939</v>
      </c>
      <c r="I1044" s="1399">
        <v>49765.41</v>
      </c>
      <c r="J1044" s="1399">
        <v>49765.41</v>
      </c>
    </row>
    <row r="1045" spans="2:12">
      <c r="B1045" s="1297"/>
      <c r="C1045" s="1297"/>
      <c r="D1045" s="1297"/>
      <c r="E1045" s="1297" t="s">
        <v>940</v>
      </c>
      <c r="F1045" s="1399">
        <v>776208.12</v>
      </c>
      <c r="J1045" s="1399">
        <v>776208.12</v>
      </c>
    </row>
    <row r="1046" spans="2:12">
      <c r="B1046" s="1297"/>
      <c r="C1046" s="1297"/>
      <c r="D1046" s="1297"/>
      <c r="E1046" s="1297" t="s">
        <v>941</v>
      </c>
      <c r="F1046" s="1399">
        <v>277785.96000000002</v>
      </c>
      <c r="J1046" s="1399">
        <v>277785.96000000002</v>
      </c>
    </row>
    <row r="1047" spans="2:12">
      <c r="B1047" s="1297"/>
      <c r="C1047" s="1297"/>
      <c r="D1047" s="1297"/>
      <c r="E1047" s="1297" t="s">
        <v>943</v>
      </c>
      <c r="F1047" s="1399">
        <v>4752.28</v>
      </c>
      <c r="J1047" s="1399">
        <v>4752.28</v>
      </c>
    </row>
    <row r="1048" spans="2:12">
      <c r="B1048" s="1297"/>
      <c r="C1048" s="1297"/>
      <c r="D1048" s="1297"/>
      <c r="E1048" s="1297" t="s">
        <v>944</v>
      </c>
      <c r="F1048" s="1399">
        <v>2270693.5</v>
      </c>
      <c r="J1048" s="1399">
        <v>2270693.5</v>
      </c>
    </row>
    <row r="1049" spans="2:12">
      <c r="B1049" s="1297"/>
      <c r="C1049" s="1297"/>
      <c r="D1049" s="1297"/>
      <c r="E1049" s="1297" t="s">
        <v>945</v>
      </c>
      <c r="F1049" s="1399">
        <v>1638095.81</v>
      </c>
      <c r="J1049" s="1399">
        <v>1638095.81</v>
      </c>
    </row>
    <row r="1050" spans="2:12">
      <c r="B1050" s="1297"/>
      <c r="C1050" s="1297"/>
      <c r="D1050" s="1297"/>
      <c r="E1050" s="1297" t="s">
        <v>946</v>
      </c>
      <c r="F1050" s="1399">
        <v>28373.269999999997</v>
      </c>
      <c r="J1050" s="1399">
        <v>28373.269999999997</v>
      </c>
    </row>
    <row r="1051" spans="2:12">
      <c r="B1051" s="1297"/>
      <c r="C1051" s="1297"/>
      <c r="D1051" s="1297"/>
      <c r="E1051" s="1297" t="s">
        <v>978</v>
      </c>
      <c r="F1051" s="1399">
        <v>1200</v>
      </c>
      <c r="J1051" s="1399">
        <v>1200</v>
      </c>
    </row>
    <row r="1052" spans="2:12">
      <c r="B1052" s="1297"/>
      <c r="C1052" s="1297"/>
      <c r="D1052" s="1297"/>
      <c r="E1052" s="1297" t="s">
        <v>947</v>
      </c>
      <c r="F1052" s="1399">
        <v>36058.39</v>
      </c>
      <c r="J1052" s="1399">
        <v>36058.39</v>
      </c>
    </row>
    <row r="1053" spans="2:12">
      <c r="B1053" s="1297"/>
      <c r="C1053" s="1297"/>
      <c r="D1053" s="1297"/>
      <c r="E1053" s="1404" t="s">
        <v>948</v>
      </c>
      <c r="F1053" s="1405"/>
      <c r="G1053" s="1405"/>
      <c r="H1053" s="1405">
        <v>1705047.32</v>
      </c>
      <c r="I1053" s="1405"/>
      <c r="J1053" s="1405">
        <v>1705047.32</v>
      </c>
    </row>
    <row r="1054" spans="2:12">
      <c r="B1054" s="1297"/>
      <c r="C1054" s="1297"/>
      <c r="D1054" s="1297"/>
      <c r="E1054" s="1297" t="s">
        <v>1051</v>
      </c>
      <c r="H1054" s="1399">
        <v>158260.09</v>
      </c>
      <c r="J1054" s="1399">
        <v>158260.09</v>
      </c>
    </row>
    <row r="1055" spans="2:12">
      <c r="B1055" s="1297"/>
      <c r="C1055" s="1297"/>
      <c r="D1055" s="1400" t="s">
        <v>1052</v>
      </c>
      <c r="E1055" s="1400"/>
      <c r="F1055" s="1401">
        <f>SUM(F1019:F1054)</f>
        <v>5033167.3299999991</v>
      </c>
      <c r="G1055" s="1401">
        <f>SUM(G1019:G1054)</f>
        <v>8444544.8000000007</v>
      </c>
      <c r="H1055" s="1401">
        <f>SUM(H1019:H1054)-H1053</f>
        <v>1410951.2899999998</v>
      </c>
      <c r="I1055" s="1401">
        <f>SUM(I1019:I1054)-I1038</f>
        <v>13237283.99</v>
      </c>
      <c r="J1055" s="1401">
        <f>SUM(J1019:J1054)</f>
        <v>30191008.440000005</v>
      </c>
      <c r="K1055" s="1401">
        <f>SUM(F1055:I1055)</f>
        <v>28125947.409999996</v>
      </c>
      <c r="L1055" s="1408">
        <f>K1055/C1019</f>
        <v>10792.765698388333</v>
      </c>
    </row>
    <row r="1056" spans="2:12">
      <c r="B1056" s="1297" t="s">
        <v>1053</v>
      </c>
      <c r="C1056" s="1297">
        <v>38014</v>
      </c>
      <c r="D1056" s="1297" t="s">
        <v>1054</v>
      </c>
      <c r="E1056" s="1297" t="s">
        <v>906</v>
      </c>
      <c r="G1056" s="1399">
        <v>135151475.52000001</v>
      </c>
      <c r="J1056" s="1399">
        <v>135151475.52000001</v>
      </c>
    </row>
    <row r="1057" spans="5:10" s="1297" customFormat="1">
      <c r="E1057" s="1297" t="s">
        <v>907</v>
      </c>
      <c r="F1057" s="1399"/>
      <c r="G1057" s="1399">
        <v>28033590.719999999</v>
      </c>
      <c r="H1057" s="1399"/>
      <c r="I1057" s="1399"/>
      <c r="J1057" s="1399">
        <v>28033590.719999999</v>
      </c>
    </row>
    <row r="1058" spans="5:10" s="1297" customFormat="1">
      <c r="E1058" s="1297" t="s">
        <v>908</v>
      </c>
      <c r="F1058" s="1399"/>
      <c r="G1058" s="1399">
        <v>22955.88</v>
      </c>
      <c r="H1058" s="1399"/>
      <c r="I1058" s="1399"/>
      <c r="J1058" s="1399">
        <v>22955.88</v>
      </c>
    </row>
    <row r="1059" spans="5:10" s="1297" customFormat="1">
      <c r="E1059" s="1297" t="s">
        <v>909</v>
      </c>
      <c r="F1059" s="1399"/>
      <c r="G1059" s="1399">
        <v>1151199.05</v>
      </c>
      <c r="H1059" s="1399"/>
      <c r="I1059" s="1399"/>
      <c r="J1059" s="1399">
        <v>1151199.05</v>
      </c>
    </row>
    <row r="1060" spans="5:10" s="1297" customFormat="1">
      <c r="E1060" s="1297" t="s">
        <v>910</v>
      </c>
      <c r="F1060" s="1399"/>
      <c r="G1060" s="1399">
        <v>332397.99</v>
      </c>
      <c r="H1060" s="1399"/>
      <c r="I1060" s="1399"/>
      <c r="J1060" s="1399">
        <v>332397.99</v>
      </c>
    </row>
    <row r="1061" spans="5:10" s="1297" customFormat="1">
      <c r="E1061" s="1297" t="s">
        <v>1034</v>
      </c>
      <c r="F1061" s="1399"/>
      <c r="G1061" s="1399"/>
      <c r="H1061" s="1399">
        <v>457258.14</v>
      </c>
      <c r="I1061" s="1399"/>
      <c r="J1061" s="1399">
        <v>457258.14</v>
      </c>
    </row>
    <row r="1062" spans="5:10" s="1297" customFormat="1">
      <c r="E1062" s="1297" t="s">
        <v>1035</v>
      </c>
      <c r="F1062" s="1399"/>
      <c r="G1062" s="1399"/>
      <c r="H1062" s="1399">
        <v>7692954.4400000004</v>
      </c>
      <c r="I1062" s="1399"/>
      <c r="J1062" s="1399">
        <v>7692954.4400000004</v>
      </c>
    </row>
    <row r="1063" spans="5:10" s="1297" customFormat="1">
      <c r="E1063" s="1297" t="s">
        <v>1036</v>
      </c>
      <c r="F1063" s="1399"/>
      <c r="G1063" s="1399"/>
      <c r="H1063" s="1399">
        <v>1299410.51</v>
      </c>
      <c r="I1063" s="1399"/>
      <c r="J1063" s="1399">
        <v>1299410.51</v>
      </c>
    </row>
    <row r="1064" spans="5:10" s="1297" customFormat="1">
      <c r="E1064" s="1297" t="s">
        <v>1037</v>
      </c>
      <c r="F1064" s="1399"/>
      <c r="G1064" s="1399"/>
      <c r="H1064" s="1399">
        <v>17883</v>
      </c>
      <c r="I1064" s="1399"/>
      <c r="J1064" s="1399">
        <v>17883</v>
      </c>
    </row>
    <row r="1065" spans="5:10" s="1297" customFormat="1">
      <c r="E1065" s="1297" t="s">
        <v>1038</v>
      </c>
      <c r="F1065" s="1399"/>
      <c r="G1065" s="1399"/>
      <c r="H1065" s="1399">
        <v>379323</v>
      </c>
      <c r="I1065" s="1399"/>
      <c r="J1065" s="1399">
        <v>379323</v>
      </c>
    </row>
    <row r="1066" spans="5:10" s="1297" customFormat="1">
      <c r="E1066" s="1297" t="s">
        <v>1039</v>
      </c>
      <c r="F1066" s="1399"/>
      <c r="G1066" s="1399"/>
      <c r="H1066" s="1399">
        <v>170012.75000000003</v>
      </c>
      <c r="I1066" s="1399"/>
      <c r="J1066" s="1399">
        <v>170012.75000000003</v>
      </c>
    </row>
    <row r="1067" spans="5:10" s="1297" customFormat="1">
      <c r="E1067" s="1297" t="s">
        <v>1040</v>
      </c>
      <c r="F1067" s="1399"/>
      <c r="G1067" s="1399"/>
      <c r="H1067" s="1399">
        <v>4755894.6399999997</v>
      </c>
      <c r="I1067" s="1399"/>
      <c r="J1067" s="1399">
        <v>4755894.6399999997</v>
      </c>
    </row>
    <row r="1068" spans="5:10" s="1297" customFormat="1">
      <c r="E1068" s="1297" t="s">
        <v>1127</v>
      </c>
      <c r="F1068" s="1399"/>
      <c r="G1068" s="1399"/>
      <c r="H1068" s="1399">
        <v>348802.45</v>
      </c>
      <c r="I1068" s="1399"/>
      <c r="J1068" s="1399">
        <v>348802.45</v>
      </c>
    </row>
    <row r="1069" spans="5:10" s="1297" customFormat="1">
      <c r="E1069" s="1297" t="s">
        <v>1041</v>
      </c>
      <c r="F1069" s="1399"/>
      <c r="G1069" s="1399"/>
      <c r="H1069" s="1399">
        <v>1234255.94</v>
      </c>
      <c r="I1069" s="1399"/>
      <c r="J1069" s="1399">
        <v>1234255.94</v>
      </c>
    </row>
    <row r="1070" spans="5:10" s="1297" customFormat="1">
      <c r="E1070" s="1297" t="s">
        <v>1042</v>
      </c>
      <c r="F1070" s="1399"/>
      <c r="G1070" s="1399"/>
      <c r="H1070" s="1399">
        <v>302672.21999999997</v>
      </c>
      <c r="I1070" s="1399"/>
      <c r="J1070" s="1399">
        <v>302672.21999999997</v>
      </c>
    </row>
    <row r="1071" spans="5:10" s="1297" customFormat="1">
      <c r="E1071" s="1297" t="s">
        <v>953</v>
      </c>
      <c r="F1071" s="1399"/>
      <c r="G1071" s="1399"/>
      <c r="H1071" s="1399">
        <v>165.9</v>
      </c>
      <c r="I1071" s="1399"/>
      <c r="J1071" s="1399">
        <v>165.9</v>
      </c>
    </row>
    <row r="1072" spans="5:10" s="1297" customFormat="1">
      <c r="E1072" s="1297" t="s">
        <v>1043</v>
      </c>
      <c r="F1072" s="1399"/>
      <c r="G1072" s="1399"/>
      <c r="H1072" s="1399">
        <v>520487.23</v>
      </c>
      <c r="I1072" s="1399"/>
      <c r="J1072" s="1399">
        <v>520487.23</v>
      </c>
    </row>
    <row r="1073" spans="5:10" s="1297" customFormat="1">
      <c r="E1073" s="1297" t="s">
        <v>986</v>
      </c>
      <c r="F1073" s="1399"/>
      <c r="G1073" s="1399"/>
      <c r="H1073" s="1399">
        <v>35950</v>
      </c>
      <c r="I1073" s="1399"/>
      <c r="J1073" s="1399">
        <v>35950</v>
      </c>
    </row>
    <row r="1074" spans="5:10" s="1297" customFormat="1">
      <c r="E1074" s="1297" t="s">
        <v>1044</v>
      </c>
      <c r="F1074" s="1399">
        <v>85923.57</v>
      </c>
      <c r="G1074" s="1399"/>
      <c r="H1074" s="1399"/>
      <c r="I1074" s="1399"/>
      <c r="J1074" s="1399">
        <v>85923.57</v>
      </c>
    </row>
    <row r="1075" spans="5:10" s="1297" customFormat="1">
      <c r="E1075" s="1297" t="s">
        <v>1045</v>
      </c>
      <c r="F1075" s="1399"/>
      <c r="G1075" s="1399"/>
      <c r="H1075" s="1399">
        <v>7901826.6599999992</v>
      </c>
      <c r="I1075" s="1399"/>
      <c r="J1075" s="1399">
        <v>7901826.6599999992</v>
      </c>
    </row>
    <row r="1076" spans="5:10" s="1297" customFormat="1">
      <c r="E1076" s="1297" t="s">
        <v>1046</v>
      </c>
      <c r="F1076" s="1399"/>
      <c r="G1076" s="1399"/>
      <c r="H1076" s="1399"/>
      <c r="I1076" s="1399">
        <v>129911808</v>
      </c>
      <c r="J1076" s="1399">
        <v>129911808</v>
      </c>
    </row>
    <row r="1077" spans="5:10" s="1297" customFormat="1">
      <c r="E1077" s="1297" t="s">
        <v>1128</v>
      </c>
      <c r="F1077" s="1399"/>
      <c r="G1077" s="1399"/>
      <c r="H1077" s="1399"/>
      <c r="I1077" s="1399">
        <v>16308357</v>
      </c>
      <c r="J1077" s="1399">
        <v>16308357</v>
      </c>
    </row>
    <row r="1078" spans="5:10" s="1297" customFormat="1">
      <c r="E1078" s="1297" t="s">
        <v>932</v>
      </c>
      <c r="F1078" s="1399"/>
      <c r="G1078" s="1399"/>
      <c r="H1078" s="1399"/>
      <c r="I1078" s="1399">
        <v>132230</v>
      </c>
      <c r="J1078" s="1399">
        <v>132230</v>
      </c>
    </row>
    <row r="1079" spans="5:10" s="1297" customFormat="1">
      <c r="E1079" s="1297" t="s">
        <v>933</v>
      </c>
      <c r="F1079" s="1399"/>
      <c r="G1079" s="1399"/>
      <c r="H1079" s="1399"/>
      <c r="I1079" s="1399">
        <v>589217.35</v>
      </c>
      <c r="J1079" s="1399">
        <v>589217.35</v>
      </c>
    </row>
    <row r="1080" spans="5:10" s="1297" customFormat="1">
      <c r="E1080" s="1297" t="s">
        <v>934</v>
      </c>
      <c r="F1080" s="1399"/>
      <c r="G1080" s="1399"/>
      <c r="H1080" s="1399"/>
      <c r="I1080" s="1399">
        <v>487370</v>
      </c>
      <c r="J1080" s="1399">
        <v>487370</v>
      </c>
    </row>
    <row r="1081" spans="5:10" s="1297" customFormat="1">
      <c r="E1081" s="1297" t="s">
        <v>1130</v>
      </c>
      <c r="F1081" s="1399"/>
      <c r="G1081" s="1399"/>
      <c r="H1081" s="1399"/>
      <c r="I1081" s="1399">
        <v>5661822.8300000001</v>
      </c>
      <c r="J1081" s="1399">
        <v>5661822.8300000001</v>
      </c>
    </row>
    <row r="1082" spans="5:10" s="1297" customFormat="1">
      <c r="E1082" s="1297" t="s">
        <v>935</v>
      </c>
      <c r="F1082" s="1399"/>
      <c r="G1082" s="1399"/>
      <c r="H1082" s="1399"/>
      <c r="I1082" s="1399">
        <v>27076389.489999998</v>
      </c>
      <c r="J1082" s="1399">
        <v>27076389.489999998</v>
      </c>
    </row>
    <row r="1083" spans="5:10" s="1297" customFormat="1">
      <c r="E1083" s="1297" t="s">
        <v>936</v>
      </c>
      <c r="F1083" s="1399"/>
      <c r="G1083" s="1399"/>
      <c r="H1083" s="1399"/>
      <c r="I1083" s="1399">
        <v>502466.02</v>
      </c>
      <c r="J1083" s="1399">
        <v>502466.02</v>
      </c>
    </row>
    <row r="1084" spans="5:10" s="1297" customFormat="1">
      <c r="E1084" s="1297" t="s">
        <v>937</v>
      </c>
      <c r="F1084" s="1399"/>
      <c r="G1084" s="1399"/>
      <c r="H1084" s="1399"/>
      <c r="I1084" s="1399">
        <v>287023.51</v>
      </c>
      <c r="J1084" s="1399">
        <v>287023.51</v>
      </c>
    </row>
    <row r="1085" spans="5:10" s="1297" customFormat="1">
      <c r="E1085" s="1297" t="s">
        <v>939</v>
      </c>
      <c r="F1085" s="1399"/>
      <c r="G1085" s="1399"/>
      <c r="H1085" s="1399"/>
      <c r="I1085" s="1399">
        <v>1553143.33</v>
      </c>
      <c r="J1085" s="1399">
        <v>1553143.33</v>
      </c>
    </row>
    <row r="1086" spans="5:10" s="1297" customFormat="1">
      <c r="E1086" s="1297" t="s">
        <v>940</v>
      </c>
      <c r="F1086" s="1399">
        <v>5276056.74</v>
      </c>
      <c r="G1086" s="1399"/>
      <c r="H1086" s="1399"/>
      <c r="I1086" s="1399"/>
      <c r="J1086" s="1399">
        <v>5276056.74</v>
      </c>
    </row>
    <row r="1087" spans="5:10" s="1297" customFormat="1">
      <c r="E1087" s="1297" t="s">
        <v>941</v>
      </c>
      <c r="F1087" s="1399">
        <v>1216271.72</v>
      </c>
      <c r="G1087" s="1399"/>
      <c r="H1087" s="1399"/>
      <c r="I1087" s="1399"/>
      <c r="J1087" s="1399">
        <v>1216271.72</v>
      </c>
    </row>
    <row r="1088" spans="5:10" s="1297" customFormat="1">
      <c r="E1088" s="1297" t="s">
        <v>944</v>
      </c>
      <c r="F1088" s="1399">
        <v>10752469.630000001</v>
      </c>
      <c r="G1088" s="1399"/>
      <c r="H1088" s="1399"/>
      <c r="I1088" s="1399"/>
      <c r="J1088" s="1399">
        <v>10752469.630000001</v>
      </c>
    </row>
    <row r="1089" spans="2:12">
      <c r="B1089" s="1297"/>
      <c r="C1089" s="1297"/>
      <c r="D1089" s="1297"/>
      <c r="E1089" s="1297" t="s">
        <v>945</v>
      </c>
      <c r="F1089" s="1399">
        <v>16107308.73</v>
      </c>
      <c r="J1089" s="1399">
        <v>16107308.73</v>
      </c>
    </row>
    <row r="1090" spans="2:12">
      <c r="B1090" s="1297"/>
      <c r="C1090" s="1297"/>
      <c r="D1090" s="1297"/>
      <c r="E1090" s="1297" t="s">
        <v>946</v>
      </c>
      <c r="F1090" s="1399">
        <v>817245.67</v>
      </c>
      <c r="J1090" s="1399">
        <v>817245.67</v>
      </c>
    </row>
    <row r="1091" spans="2:12">
      <c r="B1091" s="1297"/>
      <c r="C1091" s="1297"/>
      <c r="D1091" s="1297"/>
      <c r="E1091" s="1297" t="s">
        <v>1214</v>
      </c>
      <c r="F1091" s="1399">
        <v>172653.83</v>
      </c>
      <c r="J1091" s="1399">
        <v>172653.83</v>
      </c>
    </row>
    <row r="1092" spans="2:12">
      <c r="B1092" s="1297"/>
      <c r="C1092" s="1297"/>
      <c r="D1092" s="1297"/>
      <c r="E1092" s="1297" t="s">
        <v>947</v>
      </c>
      <c r="F1092" s="1399">
        <v>963178.36</v>
      </c>
      <c r="J1092" s="1399">
        <v>963178.36</v>
      </c>
    </row>
    <row r="1093" spans="2:12">
      <c r="B1093" s="1297"/>
      <c r="C1093" s="1297"/>
      <c r="D1093" s="1297"/>
      <c r="E1093" s="1404" t="s">
        <v>1116</v>
      </c>
      <c r="F1093" s="1405"/>
      <c r="G1093" s="1405"/>
      <c r="H1093" s="1405">
        <v>39854332.030000001</v>
      </c>
      <c r="I1093" s="1405"/>
      <c r="J1093" s="1405">
        <v>39854332.030000001</v>
      </c>
    </row>
    <row r="1094" spans="2:12">
      <c r="B1094" s="1297"/>
      <c r="C1094" s="1297"/>
      <c r="D1094" s="1297"/>
      <c r="E1094" s="1404" t="s">
        <v>948</v>
      </c>
      <c r="F1094" s="1405"/>
      <c r="G1094" s="1405"/>
      <c r="H1094" s="1405">
        <v>46529339.949999988</v>
      </c>
      <c r="I1094" s="1405"/>
      <c r="J1094" s="1405">
        <v>46529339.949999988</v>
      </c>
    </row>
    <row r="1095" spans="2:12">
      <c r="B1095" s="1297"/>
      <c r="C1095" s="1297"/>
      <c r="D1095" s="1297"/>
      <c r="E1095" s="1297" t="s">
        <v>956</v>
      </c>
      <c r="H1095" s="1399">
        <v>201092.54</v>
      </c>
      <c r="J1095" s="1399">
        <v>201092.54</v>
      </c>
    </row>
    <row r="1096" spans="2:12">
      <c r="B1096" s="1297"/>
      <c r="C1096" s="1297"/>
      <c r="D1096" s="1297"/>
      <c r="E1096" s="1297" t="s">
        <v>1118</v>
      </c>
      <c r="H1096" s="1399">
        <v>15001500</v>
      </c>
      <c r="J1096" s="1399">
        <v>15001500</v>
      </c>
    </row>
    <row r="1097" spans="2:12">
      <c r="B1097" s="1297"/>
      <c r="C1097" s="1297"/>
      <c r="D1097" s="1400" t="s">
        <v>1055</v>
      </c>
      <c r="E1097" s="1400"/>
      <c r="F1097" s="1401">
        <f>SUM(F1056:F1096)</f>
        <v>35391108.25</v>
      </c>
      <c r="G1097" s="1401">
        <f>SUM(G1056:G1096)</f>
        <v>164691619.16000003</v>
      </c>
      <c r="H1097" s="1401">
        <f>SUM(H1056:H1096)-(H1093+H1094)</f>
        <v>40319489.420000002</v>
      </c>
      <c r="I1097" s="1401">
        <f>SUM(I1056:I1096)</f>
        <v>182509827.53000003</v>
      </c>
      <c r="J1097" s="1401">
        <f>SUM(J1056:J1096)</f>
        <v>509295716.34000003</v>
      </c>
      <c r="K1097" s="1401">
        <f>SUM(F1097:I1097)</f>
        <v>422912044.36000007</v>
      </c>
      <c r="L1097" s="1408">
        <f>K1097/C1056</f>
        <v>11125.165580049457</v>
      </c>
    </row>
    <row r="1098" spans="2:12">
      <c r="B1098" s="1297" t="s">
        <v>1056</v>
      </c>
      <c r="C1098" s="1297">
        <v>11574</v>
      </c>
      <c r="D1098" s="1297" t="s">
        <v>1057</v>
      </c>
      <c r="E1098" s="1297" t="s">
        <v>906</v>
      </c>
      <c r="G1098" s="1399">
        <v>68490107.579999998</v>
      </c>
      <c r="J1098" s="1399">
        <v>68490107.579999998</v>
      </c>
    </row>
    <row r="1099" spans="2:12">
      <c r="B1099" s="1297"/>
      <c r="C1099" s="1297"/>
      <c r="D1099" s="1297"/>
      <c r="E1099" s="1297" t="s">
        <v>952</v>
      </c>
      <c r="G1099" s="1399">
        <v>609106.79</v>
      </c>
      <c r="J1099" s="1399">
        <v>609106.79</v>
      </c>
    </row>
    <row r="1100" spans="2:12">
      <c r="B1100" s="1297"/>
      <c r="C1100" s="1297"/>
      <c r="D1100" s="1297"/>
      <c r="E1100" s="1297" t="s">
        <v>907</v>
      </c>
      <c r="G1100" s="1399">
        <v>19429331.850000001</v>
      </c>
      <c r="J1100" s="1399">
        <v>19429331.850000001</v>
      </c>
    </row>
    <row r="1101" spans="2:12">
      <c r="B1101" s="1297"/>
      <c r="C1101" s="1297"/>
      <c r="D1101" s="1297"/>
      <c r="E1101" s="1297" t="s">
        <v>908</v>
      </c>
      <c r="G1101" s="1399">
        <v>45133.78</v>
      </c>
      <c r="J1101" s="1399">
        <v>45133.78</v>
      </c>
    </row>
    <row r="1102" spans="2:12">
      <c r="B1102" s="1297"/>
      <c r="C1102" s="1297"/>
      <c r="D1102" s="1297"/>
      <c r="E1102" s="1297" t="s">
        <v>909</v>
      </c>
      <c r="G1102" s="1399">
        <v>12678.49</v>
      </c>
      <c r="J1102" s="1399">
        <v>12678.49</v>
      </c>
    </row>
    <row r="1103" spans="2:12">
      <c r="B1103" s="1297"/>
      <c r="C1103" s="1297"/>
      <c r="D1103" s="1297"/>
      <c r="E1103" s="1297" t="s">
        <v>910</v>
      </c>
      <c r="G1103" s="1399">
        <v>91970.71</v>
      </c>
      <c r="J1103" s="1399">
        <v>91970.71</v>
      </c>
    </row>
    <row r="1104" spans="2:12">
      <c r="B1104" s="1297"/>
      <c r="C1104" s="1297"/>
      <c r="D1104" s="1297"/>
      <c r="E1104" s="1297" t="s">
        <v>1034</v>
      </c>
      <c r="H1104" s="1399">
        <v>168791.66</v>
      </c>
      <c r="J1104" s="1399">
        <v>168791.66</v>
      </c>
    </row>
    <row r="1105" spans="5:10" s="1297" customFormat="1">
      <c r="E1105" s="1297" t="s">
        <v>1035</v>
      </c>
      <c r="F1105" s="1399"/>
      <c r="G1105" s="1399"/>
      <c r="H1105" s="1399">
        <v>649047.68999999994</v>
      </c>
      <c r="I1105" s="1399"/>
      <c r="J1105" s="1399">
        <v>649047.68999999994</v>
      </c>
    </row>
    <row r="1106" spans="5:10" s="1297" customFormat="1">
      <c r="E1106" s="1297" t="s">
        <v>1036</v>
      </c>
      <c r="F1106" s="1399"/>
      <c r="G1106" s="1399"/>
      <c r="H1106" s="1399">
        <v>242723.01</v>
      </c>
      <c r="I1106" s="1399"/>
      <c r="J1106" s="1399">
        <v>242723.01</v>
      </c>
    </row>
    <row r="1107" spans="5:10" s="1297" customFormat="1">
      <c r="E1107" s="1297" t="s">
        <v>1037</v>
      </c>
      <c r="F1107" s="1399"/>
      <c r="G1107" s="1399"/>
      <c r="H1107" s="1399">
        <v>-175</v>
      </c>
      <c r="I1107" s="1399"/>
      <c r="J1107" s="1399">
        <v>-175</v>
      </c>
    </row>
    <row r="1108" spans="5:10" s="1297" customFormat="1">
      <c r="E1108" s="1297" t="s">
        <v>1038</v>
      </c>
      <c r="F1108" s="1399"/>
      <c r="G1108" s="1399"/>
      <c r="H1108" s="1399">
        <v>7375</v>
      </c>
      <c r="I1108" s="1399"/>
      <c r="J1108" s="1399">
        <v>7375</v>
      </c>
    </row>
    <row r="1109" spans="5:10" s="1297" customFormat="1">
      <c r="E1109" s="1297" t="s">
        <v>1003</v>
      </c>
      <c r="F1109" s="1399"/>
      <c r="G1109" s="1399"/>
      <c r="H1109" s="1399">
        <v>588763.02</v>
      </c>
      <c r="I1109" s="1399"/>
      <c r="J1109" s="1399">
        <v>588763.02</v>
      </c>
    </row>
    <row r="1110" spans="5:10" s="1297" customFormat="1">
      <c r="E1110" s="1297" t="s">
        <v>1039</v>
      </c>
      <c r="F1110" s="1399"/>
      <c r="G1110" s="1399"/>
      <c r="H1110" s="1399">
        <v>673062.39999999991</v>
      </c>
      <c r="I1110" s="1399"/>
      <c r="J1110" s="1399">
        <v>673062.39999999991</v>
      </c>
    </row>
    <row r="1111" spans="5:10" s="1297" customFormat="1">
      <c r="E1111" s="1297" t="s">
        <v>1040</v>
      </c>
      <c r="F1111" s="1399"/>
      <c r="G1111" s="1399"/>
      <c r="H1111" s="1399">
        <v>512392.74</v>
      </c>
      <c r="I1111" s="1399"/>
      <c r="J1111" s="1399">
        <v>512392.74</v>
      </c>
    </row>
    <row r="1112" spans="5:10" s="1297" customFormat="1">
      <c r="E1112" s="1297" t="s">
        <v>1041</v>
      </c>
      <c r="F1112" s="1399"/>
      <c r="G1112" s="1399"/>
      <c r="H1112" s="1399">
        <v>70720.08</v>
      </c>
      <c r="I1112" s="1399"/>
      <c r="J1112" s="1399">
        <v>70720.08</v>
      </c>
    </row>
    <row r="1113" spans="5:10" s="1297" customFormat="1">
      <c r="E1113" s="1297" t="s">
        <v>1042</v>
      </c>
      <c r="F1113" s="1399"/>
      <c r="G1113" s="1399"/>
      <c r="H1113" s="1399">
        <v>174894.91</v>
      </c>
      <c r="I1113" s="1399"/>
      <c r="J1113" s="1399">
        <v>174894.91</v>
      </c>
    </row>
    <row r="1114" spans="5:10" s="1297" customFormat="1">
      <c r="E1114" s="1297" t="s">
        <v>985</v>
      </c>
      <c r="F1114" s="1399"/>
      <c r="G1114" s="1399"/>
      <c r="H1114" s="1399">
        <v>629455.13</v>
      </c>
      <c r="I1114" s="1399"/>
      <c r="J1114" s="1399">
        <v>629455.13</v>
      </c>
    </row>
    <row r="1115" spans="5:10" s="1297" customFormat="1">
      <c r="E1115" s="1297" t="s">
        <v>1043</v>
      </c>
      <c r="F1115" s="1399"/>
      <c r="G1115" s="1399"/>
      <c r="H1115" s="1399">
        <v>70131.16</v>
      </c>
      <c r="I1115" s="1399"/>
      <c r="J1115" s="1399">
        <v>70131.16</v>
      </c>
    </row>
    <row r="1116" spans="5:10" s="1297" customFormat="1">
      <c r="E1116" s="1297" t="s">
        <v>986</v>
      </c>
      <c r="F1116" s="1399"/>
      <c r="G1116" s="1399"/>
      <c r="H1116" s="1399">
        <v>2380</v>
      </c>
      <c r="I1116" s="1399"/>
      <c r="J1116" s="1399">
        <v>2380</v>
      </c>
    </row>
    <row r="1117" spans="5:10" s="1297" customFormat="1">
      <c r="E1117" s="1297" t="s">
        <v>990</v>
      </c>
      <c r="F1117" s="1399"/>
      <c r="G1117" s="1399"/>
      <c r="H1117" s="1399">
        <v>522.28</v>
      </c>
      <c r="I1117" s="1399"/>
      <c r="J1117" s="1399">
        <v>522.28</v>
      </c>
    </row>
    <row r="1118" spans="5:10" s="1297" customFormat="1">
      <c r="E1118" s="1297" t="s">
        <v>1044</v>
      </c>
      <c r="F1118" s="1399">
        <v>48612.29</v>
      </c>
      <c r="G1118" s="1399"/>
      <c r="H1118" s="1399"/>
      <c r="I1118" s="1399"/>
      <c r="J1118" s="1399">
        <v>48612.29</v>
      </c>
    </row>
    <row r="1119" spans="5:10" s="1297" customFormat="1">
      <c r="E1119" s="1297" t="s">
        <v>1045</v>
      </c>
      <c r="F1119" s="1399"/>
      <c r="G1119" s="1399"/>
      <c r="H1119" s="1399">
        <v>6001995.7200000007</v>
      </c>
      <c r="I1119" s="1399"/>
      <c r="J1119" s="1399">
        <v>6001995.7200000007</v>
      </c>
    </row>
    <row r="1120" spans="5:10" s="1297" customFormat="1">
      <c r="E1120" s="1297" t="s">
        <v>1046</v>
      </c>
      <c r="F1120" s="1399"/>
      <c r="G1120" s="1399"/>
      <c r="H1120" s="1399"/>
      <c r="I1120" s="1399">
        <v>67479183</v>
      </c>
      <c r="J1120" s="1399">
        <v>67479183</v>
      </c>
    </row>
    <row r="1121" spans="5:10" s="1297" customFormat="1">
      <c r="E1121" s="1297" t="s">
        <v>1128</v>
      </c>
      <c r="F1121" s="1399"/>
      <c r="G1121" s="1399"/>
      <c r="H1121" s="1399"/>
      <c r="I1121" s="1399">
        <v>5068866</v>
      </c>
      <c r="J1121" s="1399">
        <v>5068866</v>
      </c>
    </row>
    <row r="1122" spans="5:10" s="1297" customFormat="1">
      <c r="E1122" s="1297" t="s">
        <v>1129</v>
      </c>
      <c r="F1122" s="1399"/>
      <c r="G1122" s="1399"/>
      <c r="H1122" s="1399"/>
      <c r="I1122" s="1399">
        <v>-8255182</v>
      </c>
      <c r="J1122" s="1399">
        <v>-8255182</v>
      </c>
    </row>
    <row r="1123" spans="5:10" s="1297" customFormat="1">
      <c r="E1123" s="1297" t="s">
        <v>1047</v>
      </c>
      <c r="F1123" s="1399"/>
      <c r="G1123" s="1399"/>
      <c r="H1123" s="1399"/>
      <c r="I1123" s="1399">
        <v>1243214</v>
      </c>
      <c r="J1123" s="1399">
        <v>1243214</v>
      </c>
    </row>
    <row r="1124" spans="5:10" s="1297" customFormat="1">
      <c r="E1124" s="1297" t="s">
        <v>1048</v>
      </c>
      <c r="F1124" s="1399"/>
      <c r="G1124" s="1399"/>
      <c r="H1124" s="1399"/>
      <c r="I1124" s="1399">
        <v>-16403230</v>
      </c>
      <c r="J1124" s="1399">
        <v>-16403230</v>
      </c>
    </row>
    <row r="1125" spans="5:10" s="1297" customFormat="1">
      <c r="E1125" s="1404" t="s">
        <v>955</v>
      </c>
      <c r="F1125" s="1405"/>
      <c r="G1125" s="1405"/>
      <c r="H1125" s="1405"/>
      <c r="I1125" s="1405">
        <v>3292959.58</v>
      </c>
      <c r="J1125" s="1405">
        <v>3292959.58</v>
      </c>
    </row>
    <row r="1126" spans="5:10" s="1297" customFormat="1">
      <c r="E1126" s="1297" t="s">
        <v>934</v>
      </c>
      <c r="F1126" s="1399"/>
      <c r="G1126" s="1399"/>
      <c r="H1126" s="1399"/>
      <c r="I1126" s="1399">
        <v>206956</v>
      </c>
      <c r="J1126" s="1399">
        <v>206956</v>
      </c>
    </row>
    <row r="1127" spans="5:10" s="1297" customFormat="1">
      <c r="E1127" s="1297" t="s">
        <v>1130</v>
      </c>
      <c r="F1127" s="1399"/>
      <c r="G1127" s="1399"/>
      <c r="H1127" s="1399"/>
      <c r="I1127" s="1399">
        <v>252464.64000000001</v>
      </c>
      <c r="J1127" s="1399">
        <v>252464.64000000001</v>
      </c>
    </row>
    <row r="1128" spans="5:10" s="1297" customFormat="1">
      <c r="E1128" s="1297" t="s">
        <v>935</v>
      </c>
      <c r="F1128" s="1399"/>
      <c r="G1128" s="1399"/>
      <c r="H1128" s="1399"/>
      <c r="I1128" s="1399">
        <v>1096291.1800000002</v>
      </c>
      <c r="J1128" s="1399">
        <v>1096291.1800000002</v>
      </c>
    </row>
    <row r="1129" spans="5:10" s="1297" customFormat="1">
      <c r="E1129" s="1297" t="s">
        <v>936</v>
      </c>
      <c r="F1129" s="1399"/>
      <c r="G1129" s="1399"/>
      <c r="H1129" s="1399"/>
      <c r="I1129" s="1399">
        <v>297978.11</v>
      </c>
      <c r="J1129" s="1399">
        <v>297978.11</v>
      </c>
    </row>
    <row r="1130" spans="5:10" s="1297" customFormat="1">
      <c r="E1130" s="1297" t="s">
        <v>937</v>
      </c>
      <c r="F1130" s="1399"/>
      <c r="G1130" s="1399"/>
      <c r="H1130" s="1399"/>
      <c r="I1130" s="1399">
        <v>160592.24</v>
      </c>
      <c r="J1130" s="1399">
        <v>160592.24</v>
      </c>
    </row>
    <row r="1131" spans="5:10" s="1297" customFormat="1">
      <c r="E1131" s="1297" t="s">
        <v>938</v>
      </c>
      <c r="F1131" s="1399"/>
      <c r="G1131" s="1399"/>
      <c r="H1131" s="1399"/>
      <c r="I1131" s="1399">
        <v>81227</v>
      </c>
      <c r="J1131" s="1399">
        <v>81227</v>
      </c>
    </row>
    <row r="1132" spans="5:10" s="1297" customFormat="1">
      <c r="E1132" s="1297" t="s">
        <v>939</v>
      </c>
      <c r="F1132" s="1399"/>
      <c r="G1132" s="1399"/>
      <c r="H1132" s="1399"/>
      <c r="I1132" s="1399">
        <v>139194.88999999998</v>
      </c>
      <c r="J1132" s="1399">
        <v>139194.88999999998</v>
      </c>
    </row>
    <row r="1133" spans="5:10" s="1297" customFormat="1">
      <c r="E1133" s="1297" t="s">
        <v>1131</v>
      </c>
      <c r="F1133" s="1399">
        <v>6390676.7800000012</v>
      </c>
      <c r="G1133" s="1399"/>
      <c r="H1133" s="1399"/>
      <c r="I1133" s="1399"/>
      <c r="J1133" s="1399">
        <v>6390676.7800000012</v>
      </c>
    </row>
    <row r="1134" spans="5:10" s="1297" customFormat="1">
      <c r="E1134" s="1297" t="s">
        <v>940</v>
      </c>
      <c r="F1134" s="1399">
        <v>4098727.38</v>
      </c>
      <c r="G1134" s="1399"/>
      <c r="H1134" s="1399"/>
      <c r="I1134" s="1399"/>
      <c r="J1134" s="1399">
        <v>4098727.38</v>
      </c>
    </row>
    <row r="1135" spans="5:10" s="1297" customFormat="1">
      <c r="E1135" s="1297" t="s">
        <v>941</v>
      </c>
      <c r="F1135" s="1399">
        <v>1717697.29</v>
      </c>
      <c r="G1135" s="1399"/>
      <c r="H1135" s="1399"/>
      <c r="I1135" s="1399"/>
      <c r="J1135" s="1399">
        <v>1717697.29</v>
      </c>
    </row>
    <row r="1136" spans="5:10" s="1297" customFormat="1">
      <c r="E1136" s="1297" t="s">
        <v>943</v>
      </c>
      <c r="F1136" s="1399">
        <v>156080.81</v>
      </c>
      <c r="G1136" s="1399"/>
      <c r="H1136" s="1399"/>
      <c r="I1136" s="1399"/>
      <c r="J1136" s="1399">
        <v>156080.81</v>
      </c>
    </row>
    <row r="1137" spans="2:12">
      <c r="B1137" s="1297"/>
      <c r="C1137" s="1297"/>
      <c r="D1137" s="1297"/>
      <c r="E1137" s="1297" t="s">
        <v>944</v>
      </c>
      <c r="F1137" s="1399">
        <v>11448542.740000002</v>
      </c>
      <c r="J1137" s="1399">
        <v>11448542.740000002</v>
      </c>
    </row>
    <row r="1138" spans="2:12">
      <c r="B1138" s="1297"/>
      <c r="C1138" s="1297"/>
      <c r="D1138" s="1297"/>
      <c r="E1138" s="1297" t="s">
        <v>945</v>
      </c>
      <c r="F1138" s="1399">
        <v>5072659.3499999996</v>
      </c>
      <c r="J1138" s="1399">
        <v>5072659.3499999996</v>
      </c>
    </row>
    <row r="1139" spans="2:12">
      <c r="B1139" s="1297"/>
      <c r="C1139" s="1297"/>
      <c r="D1139" s="1297"/>
      <c r="E1139" s="1297" t="s">
        <v>978</v>
      </c>
      <c r="F1139" s="1399">
        <v>1200</v>
      </c>
      <c r="J1139" s="1399">
        <v>1200</v>
      </c>
    </row>
    <row r="1140" spans="2:12">
      <c r="B1140" s="1297"/>
      <c r="C1140" s="1297"/>
      <c r="D1140" s="1297"/>
      <c r="E1140" s="1297" t="s">
        <v>1006</v>
      </c>
      <c r="F1140" s="1399">
        <v>48928.26</v>
      </c>
      <c r="J1140" s="1399">
        <v>48928.26</v>
      </c>
    </row>
    <row r="1141" spans="2:12">
      <c r="B1141" s="1297"/>
      <c r="C1141" s="1297"/>
      <c r="D1141" s="1297"/>
      <c r="E1141" s="1297" t="s">
        <v>947</v>
      </c>
      <c r="F1141" s="1399">
        <v>367189.77</v>
      </c>
      <c r="J1141" s="1399">
        <v>367189.77</v>
      </c>
    </row>
    <row r="1142" spans="2:12">
      <c r="B1142" s="1297"/>
      <c r="C1142" s="1297"/>
      <c r="D1142" s="1297"/>
      <c r="E1142" s="1404" t="s">
        <v>948</v>
      </c>
      <c r="F1142" s="1405"/>
      <c r="G1142" s="1405"/>
      <c r="H1142" s="1405">
        <v>11689602.279999999</v>
      </c>
      <c r="I1142" s="1405"/>
      <c r="J1142" s="1405">
        <v>11689602.279999999</v>
      </c>
    </row>
    <row r="1143" spans="2:12">
      <c r="B1143" s="1297"/>
      <c r="C1143" s="1297"/>
      <c r="D1143" s="1400" t="s">
        <v>1058</v>
      </c>
      <c r="E1143" s="1400"/>
      <c r="F1143" s="1401">
        <f>SUM(F1098:F1142)</f>
        <v>29350314.670000009</v>
      </c>
      <c r="G1143" s="1401">
        <f>SUM(G1098:G1142)</f>
        <v>88678329.199999988</v>
      </c>
      <c r="H1143" s="1401">
        <f>SUM(H1098:H1142)-H1142</f>
        <v>9792079.7999999989</v>
      </c>
      <c r="I1143" s="1401">
        <f>SUM(I1098:I1142)-I1125</f>
        <v>51367555.060000002</v>
      </c>
      <c r="J1143" s="1401">
        <f>SUM(J1098:J1142)</f>
        <v>194170840.58999997</v>
      </c>
      <c r="K1143" s="1401">
        <f>SUM(F1143:I1143)</f>
        <v>179188278.73000002</v>
      </c>
      <c r="L1143" s="1408">
        <f>K1143/C1098</f>
        <v>15481.96636685675</v>
      </c>
    </row>
    <row r="1144" spans="2:12">
      <c r="B1144" s="1297" t="s">
        <v>1059</v>
      </c>
      <c r="C1144" s="1297">
        <v>270</v>
      </c>
      <c r="D1144" s="1297" t="s">
        <v>1060</v>
      </c>
      <c r="E1144" s="1297" t="s">
        <v>906</v>
      </c>
      <c r="G1144" s="1399">
        <v>1315800.8999999999</v>
      </c>
      <c r="J1144" s="1399">
        <v>1315800.8999999999</v>
      </c>
    </row>
    <row r="1145" spans="2:12">
      <c r="B1145" s="1297"/>
      <c r="C1145" s="1297"/>
      <c r="D1145" s="1297"/>
      <c r="E1145" s="1297" t="s">
        <v>952</v>
      </c>
      <c r="G1145" s="1399">
        <v>9512.19</v>
      </c>
      <c r="J1145" s="1399">
        <v>9512.19</v>
      </c>
    </row>
    <row r="1146" spans="2:12">
      <c r="B1146" s="1297"/>
      <c r="C1146" s="1297"/>
      <c r="D1146" s="1297"/>
      <c r="E1146" s="1297" t="s">
        <v>907</v>
      </c>
      <c r="G1146" s="1399">
        <v>264525.75</v>
      </c>
      <c r="J1146" s="1399">
        <v>264525.75</v>
      </c>
    </row>
    <row r="1147" spans="2:12">
      <c r="B1147" s="1297"/>
      <c r="C1147" s="1297"/>
      <c r="D1147" s="1297"/>
      <c r="E1147" s="1297" t="s">
        <v>1122</v>
      </c>
      <c r="H1147" s="1399">
        <v>-56312</v>
      </c>
      <c r="J1147" s="1399">
        <v>-56312</v>
      </c>
    </row>
    <row r="1148" spans="2:12">
      <c r="B1148" s="1297"/>
      <c r="C1148" s="1297"/>
      <c r="D1148" s="1297"/>
      <c r="E1148" s="1297" t="s">
        <v>909</v>
      </c>
      <c r="H1148" s="1399">
        <v>1360.9</v>
      </c>
      <c r="J1148" s="1399">
        <v>1360.9</v>
      </c>
    </row>
    <row r="1149" spans="2:12">
      <c r="B1149" s="1297"/>
      <c r="C1149" s="1297"/>
      <c r="D1149" s="1297"/>
      <c r="E1149" s="1297" t="s">
        <v>1035</v>
      </c>
      <c r="H1149" s="1399">
        <v>42039.78</v>
      </c>
      <c r="J1149" s="1399">
        <v>42039.78</v>
      </c>
    </row>
    <row r="1150" spans="2:12">
      <c r="B1150" s="1297"/>
      <c r="C1150" s="1297"/>
      <c r="D1150" s="1297"/>
      <c r="E1150" s="1297" t="s">
        <v>1036</v>
      </c>
      <c r="H1150" s="1399">
        <v>1768.25</v>
      </c>
      <c r="J1150" s="1399">
        <v>1768.25</v>
      </c>
    </row>
    <row r="1151" spans="2:12">
      <c r="B1151" s="1297"/>
      <c r="C1151" s="1297"/>
      <c r="D1151" s="1297"/>
      <c r="E1151" s="1297" t="s">
        <v>1039</v>
      </c>
      <c r="H1151" s="1399">
        <v>419.88</v>
      </c>
      <c r="J1151" s="1399">
        <v>419.88</v>
      </c>
    </row>
    <row r="1152" spans="2:12">
      <c r="B1152" s="1297"/>
      <c r="C1152" s="1297"/>
      <c r="D1152" s="1297"/>
      <c r="E1152" s="1297" t="s">
        <v>1042</v>
      </c>
      <c r="H1152" s="1399">
        <v>7969.85</v>
      </c>
      <c r="J1152" s="1399">
        <v>7969.85</v>
      </c>
    </row>
    <row r="1153" spans="5:10" s="1297" customFormat="1">
      <c r="E1153" s="1297" t="s">
        <v>1045</v>
      </c>
      <c r="F1153" s="1399"/>
      <c r="G1153" s="1399"/>
      <c r="H1153" s="1399">
        <v>24965.88</v>
      </c>
      <c r="I1153" s="1399"/>
      <c r="J1153" s="1399">
        <v>24965.88</v>
      </c>
    </row>
    <row r="1154" spans="5:10" s="1297" customFormat="1">
      <c r="E1154" s="1297" t="s">
        <v>1046</v>
      </c>
      <c r="F1154" s="1399"/>
      <c r="G1154" s="1399"/>
      <c r="H1154" s="1399"/>
      <c r="I1154" s="1399">
        <v>1850400</v>
      </c>
      <c r="J1154" s="1399">
        <v>1850400</v>
      </c>
    </row>
    <row r="1155" spans="5:10" s="1297" customFormat="1">
      <c r="E1155" s="1297" t="s">
        <v>1047</v>
      </c>
      <c r="F1155" s="1399"/>
      <c r="G1155" s="1399"/>
      <c r="H1155" s="1399"/>
      <c r="I1155" s="1399">
        <v>299921</v>
      </c>
      <c r="J1155" s="1399">
        <v>299921</v>
      </c>
    </row>
    <row r="1156" spans="5:10" s="1297" customFormat="1">
      <c r="E1156" s="1297" t="s">
        <v>1048</v>
      </c>
      <c r="F1156" s="1399"/>
      <c r="G1156" s="1399"/>
      <c r="H1156" s="1399"/>
      <c r="I1156" s="1399">
        <v>-476950</v>
      </c>
      <c r="J1156" s="1399">
        <v>-476950</v>
      </c>
    </row>
    <row r="1157" spans="5:10" s="1297" customFormat="1">
      <c r="E1157" s="1404" t="s">
        <v>955</v>
      </c>
      <c r="F1157" s="1405"/>
      <c r="G1157" s="1405"/>
      <c r="H1157" s="1405"/>
      <c r="I1157" s="1405">
        <v>260053.14</v>
      </c>
      <c r="J1157" s="1405">
        <v>260053.14</v>
      </c>
    </row>
    <row r="1158" spans="5:10" s="1297" customFormat="1">
      <c r="E1158" s="1297" t="s">
        <v>934</v>
      </c>
      <c r="F1158" s="1399"/>
      <c r="G1158" s="1399"/>
      <c r="H1158" s="1399"/>
      <c r="I1158" s="1399">
        <v>7190</v>
      </c>
      <c r="J1158" s="1399">
        <v>7190</v>
      </c>
    </row>
    <row r="1159" spans="5:10" s="1297" customFormat="1">
      <c r="E1159" s="1297" t="s">
        <v>935</v>
      </c>
      <c r="F1159" s="1399"/>
      <c r="G1159" s="1399"/>
      <c r="H1159" s="1399"/>
      <c r="I1159" s="1399">
        <v>12692.05</v>
      </c>
      <c r="J1159" s="1399">
        <v>12692.05</v>
      </c>
    </row>
    <row r="1160" spans="5:10" s="1297" customFormat="1">
      <c r="E1160" s="1297" t="s">
        <v>936</v>
      </c>
      <c r="F1160" s="1399"/>
      <c r="G1160" s="1399"/>
      <c r="H1160" s="1399"/>
      <c r="I1160" s="1399">
        <v>9804.2099999999991</v>
      </c>
      <c r="J1160" s="1399">
        <v>9804.2099999999991</v>
      </c>
    </row>
    <row r="1161" spans="5:10" s="1297" customFormat="1">
      <c r="E1161" s="1297" t="s">
        <v>937</v>
      </c>
      <c r="F1161" s="1399"/>
      <c r="G1161" s="1399"/>
      <c r="H1161" s="1399"/>
      <c r="I1161" s="1399">
        <v>4954.9799999999996</v>
      </c>
      <c r="J1161" s="1399">
        <v>4954.9799999999996</v>
      </c>
    </row>
    <row r="1162" spans="5:10" s="1297" customFormat="1">
      <c r="E1162" s="1297" t="s">
        <v>938</v>
      </c>
      <c r="F1162" s="1399"/>
      <c r="G1162" s="1399"/>
      <c r="H1162" s="1399"/>
      <c r="I1162" s="1399">
        <v>2246</v>
      </c>
      <c r="J1162" s="1399">
        <v>2246</v>
      </c>
    </row>
    <row r="1163" spans="5:10" s="1297" customFormat="1">
      <c r="E1163" s="1297" t="s">
        <v>939</v>
      </c>
      <c r="F1163" s="1399"/>
      <c r="G1163" s="1399"/>
      <c r="H1163" s="1399"/>
      <c r="I1163" s="1399">
        <v>6292.34</v>
      </c>
      <c r="J1163" s="1399">
        <v>6292.34</v>
      </c>
    </row>
    <row r="1164" spans="5:10" s="1297" customFormat="1">
      <c r="E1164" s="1297" t="s">
        <v>940</v>
      </c>
      <c r="F1164" s="1399">
        <v>134371.42000000001</v>
      </c>
      <c r="G1164" s="1399"/>
      <c r="H1164" s="1399"/>
      <c r="I1164" s="1399"/>
      <c r="J1164" s="1399">
        <v>134371.42000000001</v>
      </c>
    </row>
    <row r="1165" spans="5:10" s="1297" customFormat="1">
      <c r="E1165" s="1297" t="s">
        <v>941</v>
      </c>
      <c r="F1165" s="1399">
        <v>76014.960000000006</v>
      </c>
      <c r="G1165" s="1399"/>
      <c r="H1165" s="1399"/>
      <c r="I1165" s="1399"/>
      <c r="J1165" s="1399">
        <v>76014.960000000006</v>
      </c>
    </row>
    <row r="1166" spans="5:10" s="1297" customFormat="1">
      <c r="E1166" s="1297" t="s">
        <v>943</v>
      </c>
      <c r="F1166" s="1399">
        <v>2408.6999999999998</v>
      </c>
      <c r="G1166" s="1399"/>
      <c r="H1166" s="1399"/>
      <c r="I1166" s="1399"/>
      <c r="J1166" s="1399">
        <v>2408.6999999999998</v>
      </c>
    </row>
    <row r="1167" spans="5:10" s="1297" customFormat="1">
      <c r="E1167" s="1297" t="s">
        <v>944</v>
      </c>
      <c r="F1167" s="1399">
        <v>624122.82000000007</v>
      </c>
      <c r="G1167" s="1399"/>
      <c r="H1167" s="1399"/>
      <c r="I1167" s="1399"/>
      <c r="J1167" s="1399">
        <v>624122.82000000007</v>
      </c>
    </row>
    <row r="1168" spans="5:10" s="1297" customFormat="1">
      <c r="E1168" s="1297" t="s">
        <v>945</v>
      </c>
      <c r="F1168" s="1399">
        <v>375110.44</v>
      </c>
      <c r="G1168" s="1399"/>
      <c r="H1168" s="1399"/>
      <c r="I1168" s="1399"/>
      <c r="J1168" s="1399">
        <v>375110.44</v>
      </c>
    </row>
    <row r="1169" spans="2:12">
      <c r="B1169" s="1297"/>
      <c r="C1169" s="1297"/>
      <c r="D1169" s="1297"/>
      <c r="E1169" s="1297" t="s">
        <v>946</v>
      </c>
      <c r="F1169" s="1399">
        <v>41175</v>
      </c>
      <c r="J1169" s="1399">
        <v>41175</v>
      </c>
    </row>
    <row r="1170" spans="2:12">
      <c r="B1170" s="1297"/>
      <c r="C1170" s="1297"/>
      <c r="D1170" s="1297"/>
      <c r="E1170" s="1297" t="s">
        <v>1006</v>
      </c>
      <c r="F1170" s="1399">
        <v>110018.99</v>
      </c>
      <c r="J1170" s="1399">
        <v>110018.99</v>
      </c>
    </row>
    <row r="1171" spans="2:12">
      <c r="B1171" s="1297"/>
      <c r="C1171" s="1297"/>
      <c r="D1171" s="1297"/>
      <c r="E1171" s="1297" t="s">
        <v>947</v>
      </c>
      <c r="F1171" s="1399">
        <v>9891.4</v>
      </c>
      <c r="J1171" s="1399">
        <v>9891.4</v>
      </c>
    </row>
    <row r="1172" spans="2:12">
      <c r="B1172" s="1297"/>
      <c r="C1172" s="1297"/>
      <c r="D1172" s="1297"/>
      <c r="E1172" s="1404" t="s">
        <v>948</v>
      </c>
      <c r="F1172" s="1405"/>
      <c r="G1172" s="1405"/>
      <c r="H1172" s="1405">
        <v>21378.68</v>
      </c>
      <c r="I1172" s="1405"/>
      <c r="J1172" s="1405">
        <v>21378.68</v>
      </c>
    </row>
    <row r="1173" spans="2:12">
      <c r="B1173" s="1297"/>
      <c r="C1173" s="1297"/>
      <c r="D1173" s="1400" t="s">
        <v>1061</v>
      </c>
      <c r="E1173" s="1400"/>
      <c r="F1173" s="1401">
        <f>SUM(F1144:F1172)</f>
        <v>1373113.73</v>
      </c>
      <c r="G1173" s="1401">
        <f>SUM(G1144:G1172)</f>
        <v>1589838.8399999999</v>
      </c>
      <c r="H1173" s="1401">
        <f>SUM(H1144:H1172)-H1172</f>
        <v>22212.54</v>
      </c>
      <c r="I1173" s="1401">
        <f>SUM(I1144:I1172)-I1157</f>
        <v>1716550.58</v>
      </c>
      <c r="J1173" s="1401">
        <f>SUM(J1144:J1172)</f>
        <v>4983147.5100000007</v>
      </c>
      <c r="K1173" s="1401">
        <f>SUM(F1173:I1173)</f>
        <v>4701715.6899999995</v>
      </c>
      <c r="L1173" s="1408">
        <f>K1173/C1144</f>
        <v>17413.761814814814</v>
      </c>
    </row>
    <row r="1174" spans="2:12">
      <c r="B1174" s="1297" t="s">
        <v>1062</v>
      </c>
      <c r="C1174" s="1297">
        <v>49505</v>
      </c>
      <c r="D1174" s="1297" t="s">
        <v>1063</v>
      </c>
      <c r="E1174" s="1297" t="s">
        <v>906</v>
      </c>
      <c r="G1174" s="1399">
        <v>131952999.45999999</v>
      </c>
      <c r="J1174" s="1399">
        <v>131952999.45999999</v>
      </c>
    </row>
    <row r="1175" spans="2:12">
      <c r="B1175" s="1297"/>
      <c r="C1175" s="1297"/>
      <c r="D1175" s="1297"/>
      <c r="E1175" s="1297" t="s">
        <v>952</v>
      </c>
      <c r="G1175" s="1399">
        <v>821708.85</v>
      </c>
      <c r="J1175" s="1399">
        <v>821708.85</v>
      </c>
    </row>
    <row r="1176" spans="2:12">
      <c r="B1176" s="1297"/>
      <c r="C1176" s="1297"/>
      <c r="D1176" s="1297"/>
      <c r="E1176" s="1297" t="s">
        <v>907</v>
      </c>
      <c r="G1176" s="1399">
        <v>48115084.350000001</v>
      </c>
      <c r="J1176" s="1399">
        <v>48115084.350000001</v>
      </c>
    </row>
    <row r="1177" spans="2:12">
      <c r="B1177" s="1297"/>
      <c r="C1177" s="1297"/>
      <c r="D1177" s="1297"/>
      <c r="E1177" s="1297" t="s">
        <v>908</v>
      </c>
      <c r="G1177" s="1399">
        <v>5988.02</v>
      </c>
      <c r="J1177" s="1399">
        <v>5988.02</v>
      </c>
    </row>
    <row r="1178" spans="2:12">
      <c r="B1178" s="1297"/>
      <c r="C1178" s="1297"/>
      <c r="D1178" s="1297"/>
      <c r="E1178" s="1297" t="s">
        <v>909</v>
      </c>
      <c r="H1178" s="1399">
        <v>658670.5199999999</v>
      </c>
      <c r="J1178" s="1399">
        <v>658670.5199999999</v>
      </c>
    </row>
    <row r="1179" spans="2:12">
      <c r="B1179" s="1297"/>
      <c r="C1179" s="1297"/>
      <c r="D1179" s="1297"/>
      <c r="E1179" s="1297" t="s">
        <v>910</v>
      </c>
      <c r="H1179" s="1399">
        <v>1511979.05</v>
      </c>
      <c r="J1179" s="1399">
        <v>1511979.05</v>
      </c>
    </row>
    <row r="1180" spans="2:12">
      <c r="B1180" s="1297"/>
      <c r="C1180" s="1297"/>
      <c r="D1180" s="1297"/>
      <c r="E1180" s="1297" t="s">
        <v>1034</v>
      </c>
      <c r="H1180" s="1399">
        <v>103005.92000000001</v>
      </c>
      <c r="J1180" s="1399">
        <v>103005.92000000001</v>
      </c>
    </row>
    <row r="1181" spans="2:12">
      <c r="B1181" s="1297"/>
      <c r="C1181" s="1297"/>
      <c r="D1181" s="1297"/>
      <c r="E1181" s="1297" t="s">
        <v>1035</v>
      </c>
      <c r="H1181" s="1399">
        <v>1024007.9999999999</v>
      </c>
      <c r="J1181" s="1399">
        <v>1024007.9999999999</v>
      </c>
    </row>
    <row r="1182" spans="2:12">
      <c r="B1182" s="1297"/>
      <c r="C1182" s="1297"/>
      <c r="D1182" s="1297"/>
      <c r="E1182" s="1297" t="s">
        <v>1036</v>
      </c>
      <c r="H1182" s="1399">
        <v>150979.90999999997</v>
      </c>
      <c r="J1182" s="1399">
        <v>150979.90999999997</v>
      </c>
    </row>
    <row r="1183" spans="2:12">
      <c r="B1183" s="1297"/>
      <c r="C1183" s="1297"/>
      <c r="D1183" s="1297"/>
      <c r="E1183" s="1297" t="s">
        <v>1037</v>
      </c>
      <c r="H1183" s="1399">
        <v>2599948.66</v>
      </c>
      <c r="J1183" s="1399">
        <v>2599948.66</v>
      </c>
    </row>
    <row r="1184" spans="2:12">
      <c r="B1184" s="1297"/>
      <c r="C1184" s="1297"/>
      <c r="D1184" s="1297"/>
      <c r="E1184" s="1297" t="s">
        <v>1064</v>
      </c>
      <c r="H1184" s="1399">
        <v>115847.8</v>
      </c>
      <c r="J1184" s="1399">
        <v>115847.8</v>
      </c>
    </row>
    <row r="1185" spans="5:10" s="1297" customFormat="1">
      <c r="E1185" s="1297" t="s">
        <v>1038</v>
      </c>
      <c r="F1185" s="1399"/>
      <c r="G1185" s="1399"/>
      <c r="H1185" s="1399">
        <v>19316</v>
      </c>
      <c r="I1185" s="1399"/>
      <c r="J1185" s="1399">
        <v>19316</v>
      </c>
    </row>
    <row r="1186" spans="5:10" s="1297" customFormat="1">
      <c r="E1186" s="1297" t="s">
        <v>1039</v>
      </c>
      <c r="F1186" s="1399"/>
      <c r="G1186" s="1399"/>
      <c r="H1186" s="1399">
        <v>426430.38000000012</v>
      </c>
      <c r="I1186" s="1399"/>
      <c r="J1186" s="1399">
        <v>426430.38000000012</v>
      </c>
    </row>
    <row r="1187" spans="5:10" s="1297" customFormat="1">
      <c r="E1187" s="1297" t="s">
        <v>1040</v>
      </c>
      <c r="F1187" s="1399"/>
      <c r="G1187" s="1399"/>
      <c r="H1187" s="1399">
        <v>1328257.0400000003</v>
      </c>
      <c r="I1187" s="1399"/>
      <c r="J1187" s="1399">
        <v>1328257.0400000003</v>
      </c>
    </row>
    <row r="1188" spans="5:10" s="1297" customFormat="1">
      <c r="E1188" s="1297" t="s">
        <v>1127</v>
      </c>
      <c r="F1188" s="1399"/>
      <c r="G1188" s="1399"/>
      <c r="H1188" s="1399">
        <v>216939.29999999987</v>
      </c>
      <c r="I1188" s="1399"/>
      <c r="J1188" s="1399">
        <v>216939.29999999987</v>
      </c>
    </row>
    <row r="1189" spans="5:10" s="1297" customFormat="1">
      <c r="E1189" s="1297" t="s">
        <v>1041</v>
      </c>
      <c r="F1189" s="1399"/>
      <c r="G1189" s="1399"/>
      <c r="H1189" s="1399">
        <v>106948.84999999998</v>
      </c>
      <c r="I1189" s="1399"/>
      <c r="J1189" s="1399">
        <v>106948.84999999998</v>
      </c>
    </row>
    <row r="1190" spans="5:10" s="1297" customFormat="1">
      <c r="E1190" s="1297" t="s">
        <v>1042</v>
      </c>
      <c r="F1190" s="1399"/>
      <c r="G1190" s="1399"/>
      <c r="H1190" s="1399">
        <v>383676.25</v>
      </c>
      <c r="I1190" s="1399"/>
      <c r="J1190" s="1399">
        <v>383676.25</v>
      </c>
    </row>
    <row r="1191" spans="5:10" s="1297" customFormat="1">
      <c r="E1191" s="1297" t="s">
        <v>985</v>
      </c>
      <c r="F1191" s="1399"/>
      <c r="G1191" s="1399"/>
      <c r="H1191" s="1399">
        <v>1450253.65</v>
      </c>
      <c r="I1191" s="1399"/>
      <c r="J1191" s="1399">
        <v>1450253.65</v>
      </c>
    </row>
    <row r="1192" spans="5:10" s="1297" customFormat="1">
      <c r="E1192" s="1297" t="s">
        <v>986</v>
      </c>
      <c r="F1192" s="1399"/>
      <c r="G1192" s="1399"/>
      <c r="H1192" s="1399">
        <v>40547.299999999988</v>
      </c>
      <c r="I1192" s="1399"/>
      <c r="J1192" s="1399">
        <v>40547.299999999988</v>
      </c>
    </row>
    <row r="1193" spans="5:10" s="1297" customFormat="1">
      <c r="E1193" s="1297" t="s">
        <v>1044</v>
      </c>
      <c r="F1193" s="1399">
        <v>2447497.4</v>
      </c>
      <c r="G1193" s="1399"/>
      <c r="H1193" s="1399"/>
      <c r="I1193" s="1399"/>
      <c r="J1193" s="1399">
        <v>2447497.4</v>
      </c>
    </row>
    <row r="1194" spans="5:10" s="1297" customFormat="1">
      <c r="E1194" s="1297" t="s">
        <v>1045</v>
      </c>
      <c r="F1194" s="1399"/>
      <c r="G1194" s="1399"/>
      <c r="H1194" s="1399">
        <v>17288235.569999993</v>
      </c>
      <c r="I1194" s="1399"/>
      <c r="J1194" s="1399">
        <v>17288235.569999993</v>
      </c>
    </row>
    <row r="1195" spans="5:10" s="1297" customFormat="1">
      <c r="E1195" s="1297" t="s">
        <v>1046</v>
      </c>
      <c r="F1195" s="1399"/>
      <c r="G1195" s="1399"/>
      <c r="H1195" s="1399"/>
      <c r="I1195" s="1399">
        <v>242041236</v>
      </c>
      <c r="J1195" s="1399">
        <v>242041236</v>
      </c>
    </row>
    <row r="1196" spans="5:10" s="1297" customFormat="1">
      <c r="E1196" s="1297" t="s">
        <v>1128</v>
      </c>
      <c r="F1196" s="1399"/>
      <c r="G1196" s="1399"/>
      <c r="H1196" s="1399"/>
      <c r="I1196" s="1399">
        <v>21203085</v>
      </c>
      <c r="J1196" s="1399">
        <v>21203085</v>
      </c>
    </row>
    <row r="1197" spans="5:10" s="1297" customFormat="1">
      <c r="E1197" s="1297" t="s">
        <v>1129</v>
      </c>
      <c r="F1197" s="1399"/>
      <c r="G1197" s="1399"/>
      <c r="H1197" s="1399"/>
      <c r="I1197" s="1399">
        <v>-32768254</v>
      </c>
      <c r="J1197" s="1399">
        <v>-32768254</v>
      </c>
    </row>
    <row r="1198" spans="5:10" s="1297" customFormat="1">
      <c r="E1198" s="1297" t="s">
        <v>1047</v>
      </c>
      <c r="F1198" s="1399"/>
      <c r="G1198" s="1399"/>
      <c r="H1198" s="1399"/>
      <c r="I1198" s="1399">
        <v>3059583</v>
      </c>
      <c r="J1198" s="1399">
        <v>3059583</v>
      </c>
    </row>
    <row r="1199" spans="5:10" s="1297" customFormat="1">
      <c r="E1199" s="1297" t="s">
        <v>1048</v>
      </c>
      <c r="F1199" s="1399"/>
      <c r="G1199" s="1399"/>
      <c r="H1199" s="1399"/>
      <c r="I1199" s="1399">
        <v>-41379980</v>
      </c>
      <c r="J1199" s="1399">
        <v>-41379980</v>
      </c>
    </row>
    <row r="1200" spans="5:10" s="1297" customFormat="1">
      <c r="E1200" s="1297" t="s">
        <v>932</v>
      </c>
      <c r="F1200" s="1399"/>
      <c r="G1200" s="1399"/>
      <c r="H1200" s="1399"/>
      <c r="I1200" s="1399">
        <v>17960563</v>
      </c>
      <c r="J1200" s="1399">
        <v>17960563</v>
      </c>
    </row>
    <row r="1201" spans="2:12">
      <c r="B1201" s="1297"/>
      <c r="C1201" s="1297"/>
      <c r="D1201" s="1297"/>
      <c r="E1201" s="1404" t="s">
        <v>955</v>
      </c>
      <c r="F1201" s="1405"/>
      <c r="G1201" s="1405"/>
      <c r="H1201" s="1405"/>
      <c r="I1201" s="1405">
        <v>2841879.7199999997</v>
      </c>
      <c r="J1201" s="1405">
        <v>2841879.7199999997</v>
      </c>
    </row>
    <row r="1202" spans="2:12">
      <c r="B1202" s="1297"/>
      <c r="C1202" s="1297"/>
      <c r="D1202" s="1297"/>
      <c r="E1202" s="1297" t="s">
        <v>934</v>
      </c>
      <c r="I1202" s="1399">
        <v>812392</v>
      </c>
      <c r="J1202" s="1399">
        <v>812392</v>
      </c>
    </row>
    <row r="1203" spans="2:12">
      <c r="B1203" s="1297"/>
      <c r="C1203" s="1297"/>
      <c r="D1203" s="1297"/>
      <c r="E1203" s="1297" t="s">
        <v>935</v>
      </c>
      <c r="I1203" s="1399">
        <v>5649180.4400000004</v>
      </c>
      <c r="J1203" s="1399">
        <v>5649180.4400000004</v>
      </c>
    </row>
    <row r="1204" spans="2:12">
      <c r="B1204" s="1297"/>
      <c r="C1204" s="1297"/>
      <c r="D1204" s="1297"/>
      <c r="E1204" s="1297" t="s">
        <v>939</v>
      </c>
      <c r="I1204" s="1399">
        <v>6644581.2999999998</v>
      </c>
      <c r="J1204" s="1399">
        <v>6644581.2999999998</v>
      </c>
    </row>
    <row r="1205" spans="2:12">
      <c r="B1205" s="1297"/>
      <c r="C1205" s="1297"/>
      <c r="D1205" s="1297"/>
      <c r="E1205" s="1297" t="s">
        <v>1131</v>
      </c>
      <c r="F1205" s="1399">
        <v>638681.69000000006</v>
      </c>
      <c r="J1205" s="1399">
        <v>638681.69000000006</v>
      </c>
    </row>
    <row r="1206" spans="2:12">
      <c r="B1206" s="1297"/>
      <c r="C1206" s="1297"/>
      <c r="D1206" s="1297"/>
      <c r="E1206" s="1297" t="s">
        <v>940</v>
      </c>
      <c r="F1206" s="1399">
        <v>17164089.259999998</v>
      </c>
      <c r="J1206" s="1399">
        <v>17164089.259999998</v>
      </c>
    </row>
    <row r="1207" spans="2:12">
      <c r="B1207" s="1297"/>
      <c r="C1207" s="1297"/>
      <c r="D1207" s="1297"/>
      <c r="E1207" s="1297" t="s">
        <v>941</v>
      </c>
      <c r="F1207" s="1399">
        <v>5396067.5000000019</v>
      </c>
      <c r="J1207" s="1399">
        <v>5396067.5000000019</v>
      </c>
    </row>
    <row r="1208" spans="2:12">
      <c r="B1208" s="1297"/>
      <c r="C1208" s="1297"/>
      <c r="D1208" s="1297"/>
      <c r="E1208" s="1297" t="s">
        <v>943</v>
      </c>
      <c r="F1208" s="1399">
        <v>258992.43000000002</v>
      </c>
      <c r="J1208" s="1399">
        <v>258992.43000000002</v>
      </c>
    </row>
    <row r="1209" spans="2:12">
      <c r="B1209" s="1297"/>
      <c r="C1209" s="1297"/>
      <c r="D1209" s="1297"/>
      <c r="E1209" s="1297" t="s">
        <v>944</v>
      </c>
      <c r="F1209" s="1399">
        <v>20279266.250000004</v>
      </c>
      <c r="J1209" s="1399">
        <v>20279266.250000004</v>
      </c>
    </row>
    <row r="1210" spans="2:12">
      <c r="B1210" s="1297"/>
      <c r="C1210" s="1297"/>
      <c r="D1210" s="1297"/>
      <c r="E1210" s="1297" t="s">
        <v>945</v>
      </c>
      <c r="F1210" s="1399">
        <v>19913858.969999999</v>
      </c>
      <c r="J1210" s="1399">
        <v>19913858.969999999</v>
      </c>
    </row>
    <row r="1211" spans="2:12">
      <c r="B1211" s="1297"/>
      <c r="C1211" s="1297"/>
      <c r="D1211" s="1297"/>
      <c r="E1211" s="1297" t="s">
        <v>946</v>
      </c>
      <c r="F1211" s="1399">
        <v>659841.61</v>
      </c>
      <c r="J1211" s="1399">
        <v>659841.61</v>
      </c>
    </row>
    <row r="1212" spans="2:12">
      <c r="B1212" s="1297"/>
      <c r="C1212" s="1297"/>
      <c r="D1212" s="1297"/>
      <c r="E1212" s="1297" t="s">
        <v>947</v>
      </c>
      <c r="F1212" s="1399">
        <v>1454301.3800000001</v>
      </c>
      <c r="J1212" s="1399">
        <v>1454301.3800000001</v>
      </c>
    </row>
    <row r="1213" spans="2:12">
      <c r="B1213" s="1297"/>
      <c r="C1213" s="1297"/>
      <c r="D1213" s="1297"/>
      <c r="E1213" s="1404" t="s">
        <v>948</v>
      </c>
      <c r="F1213" s="1405"/>
      <c r="G1213" s="1405"/>
      <c r="H1213" s="1405">
        <v>2092591.8999999997</v>
      </c>
      <c r="I1213" s="1405"/>
      <c r="J1213" s="1405">
        <v>2092591.8999999997</v>
      </c>
    </row>
    <row r="1214" spans="2:12">
      <c r="B1214" s="1297"/>
      <c r="C1214" s="1297"/>
      <c r="D1214" s="1400" t="s">
        <v>1065</v>
      </c>
      <c r="E1214" s="1400"/>
      <c r="F1214" s="1401">
        <f>SUM(F1174:F1213)</f>
        <v>68212596.489999995</v>
      </c>
      <c r="G1214" s="1401">
        <f>SUM(G1174:G1213)</f>
        <v>180895780.68000001</v>
      </c>
      <c r="H1214" s="1401">
        <f>SUM(H1174:H1213)-H1213</f>
        <v>27425044.199999996</v>
      </c>
      <c r="I1214" s="1401">
        <f>SUM(I1174:I1213)-I1201</f>
        <v>223222386.74000001</v>
      </c>
      <c r="J1214" s="1401">
        <f>SUM(J1174:J1213)</f>
        <v>504690279.73000002</v>
      </c>
      <c r="K1214" s="1401">
        <f>SUM(F1214:I1214)</f>
        <v>499755808.11000001</v>
      </c>
      <c r="L1214" s="1408">
        <f>K1214/C1174</f>
        <v>10095.057228764772</v>
      </c>
    </row>
    <row r="1215" spans="2:12">
      <c r="B1215" s="1297" t="s">
        <v>1066</v>
      </c>
      <c r="C1215" s="1297">
        <v>1301</v>
      </c>
      <c r="D1215" s="1297" t="s">
        <v>1067</v>
      </c>
      <c r="E1215" s="1297" t="s">
        <v>906</v>
      </c>
      <c r="G1215" s="1399">
        <v>3763426.17</v>
      </c>
      <c r="J1215" s="1399">
        <v>3763426.17</v>
      </c>
    </row>
    <row r="1216" spans="2:12">
      <c r="B1216" s="1297"/>
      <c r="C1216" s="1297"/>
      <c r="D1216" s="1297"/>
      <c r="E1216" s="1297" t="s">
        <v>952</v>
      </c>
      <c r="G1216" s="1399">
        <v>14921.34</v>
      </c>
      <c r="J1216" s="1399">
        <v>14921.34</v>
      </c>
    </row>
    <row r="1217" spans="5:10" s="1297" customFormat="1">
      <c r="E1217" s="1297" t="s">
        <v>907</v>
      </c>
      <c r="F1217" s="1399"/>
      <c r="G1217" s="1399">
        <v>756126.68</v>
      </c>
      <c r="H1217" s="1399"/>
      <c r="I1217" s="1399"/>
      <c r="J1217" s="1399">
        <v>756126.68</v>
      </c>
    </row>
    <row r="1218" spans="5:10" s="1297" customFormat="1">
      <c r="E1218" s="1297" t="s">
        <v>995</v>
      </c>
      <c r="F1218" s="1399"/>
      <c r="G1218" s="1399">
        <v>66031.570000000007</v>
      </c>
      <c r="H1218" s="1399"/>
      <c r="I1218" s="1399"/>
      <c r="J1218" s="1399">
        <v>66031.570000000007</v>
      </c>
    </row>
    <row r="1219" spans="5:10" s="1297" customFormat="1">
      <c r="E1219" s="1297" t="s">
        <v>908</v>
      </c>
      <c r="F1219" s="1399"/>
      <c r="G1219" s="1399">
        <v>-75.55</v>
      </c>
      <c r="H1219" s="1399"/>
      <c r="I1219" s="1399"/>
      <c r="J1219" s="1399">
        <v>-75.55</v>
      </c>
    </row>
    <row r="1220" spans="5:10" s="1297" customFormat="1">
      <c r="E1220" s="1297" t="s">
        <v>1034</v>
      </c>
      <c r="F1220" s="1399"/>
      <c r="G1220" s="1399"/>
      <c r="H1220" s="1399">
        <v>4000</v>
      </c>
      <c r="I1220" s="1399"/>
      <c r="J1220" s="1399">
        <v>4000</v>
      </c>
    </row>
    <row r="1221" spans="5:10" s="1297" customFormat="1">
      <c r="E1221" s="1297" t="s">
        <v>1039</v>
      </c>
      <c r="F1221" s="1399"/>
      <c r="G1221" s="1399"/>
      <c r="H1221" s="1399">
        <v>79047.680000000008</v>
      </c>
      <c r="I1221" s="1399"/>
      <c r="J1221" s="1399">
        <v>79047.680000000008</v>
      </c>
    </row>
    <row r="1222" spans="5:10" s="1297" customFormat="1">
      <c r="E1222" s="1297" t="s">
        <v>1040</v>
      </c>
      <c r="F1222" s="1399"/>
      <c r="G1222" s="1399"/>
      <c r="H1222" s="1399">
        <v>62342.78</v>
      </c>
      <c r="I1222" s="1399"/>
      <c r="J1222" s="1399">
        <v>62342.78</v>
      </c>
    </row>
    <row r="1223" spans="5:10" s="1297" customFormat="1">
      <c r="E1223" s="1297" t="s">
        <v>1127</v>
      </c>
      <c r="F1223" s="1399"/>
      <c r="G1223" s="1399"/>
      <c r="H1223" s="1399">
        <v>20809.009999999998</v>
      </c>
      <c r="I1223" s="1399"/>
      <c r="J1223" s="1399">
        <v>20809.009999999998</v>
      </c>
    </row>
    <row r="1224" spans="5:10" s="1297" customFormat="1">
      <c r="E1224" s="1297" t="s">
        <v>1041</v>
      </c>
      <c r="F1224" s="1399"/>
      <c r="G1224" s="1399"/>
      <c r="H1224" s="1399">
        <v>3749.9</v>
      </c>
      <c r="I1224" s="1399"/>
      <c r="J1224" s="1399">
        <v>3749.9</v>
      </c>
    </row>
    <row r="1225" spans="5:10" s="1297" customFormat="1">
      <c r="E1225" s="1297" t="s">
        <v>1042</v>
      </c>
      <c r="F1225" s="1399"/>
      <c r="G1225" s="1399"/>
      <c r="H1225" s="1399">
        <v>15510.46</v>
      </c>
      <c r="I1225" s="1399"/>
      <c r="J1225" s="1399">
        <v>15510.46</v>
      </c>
    </row>
    <row r="1226" spans="5:10" s="1297" customFormat="1">
      <c r="E1226" s="1297" t="s">
        <v>953</v>
      </c>
      <c r="F1226" s="1399"/>
      <c r="G1226" s="1399"/>
      <c r="H1226" s="1399">
        <v>22314.799999999999</v>
      </c>
      <c r="I1226" s="1399"/>
      <c r="J1226" s="1399">
        <v>22314.799999999999</v>
      </c>
    </row>
    <row r="1227" spans="5:10" s="1297" customFormat="1">
      <c r="E1227" s="1297" t="s">
        <v>986</v>
      </c>
      <c r="F1227" s="1399"/>
      <c r="G1227" s="1399"/>
      <c r="H1227" s="1399">
        <v>343392.24</v>
      </c>
      <c r="I1227" s="1399"/>
      <c r="J1227" s="1399">
        <v>343392.24</v>
      </c>
    </row>
    <row r="1228" spans="5:10" s="1297" customFormat="1">
      <c r="E1228" s="1297" t="s">
        <v>1044</v>
      </c>
      <c r="F1228" s="1399">
        <v>7060.35</v>
      </c>
      <c r="G1228" s="1399"/>
      <c r="H1228" s="1399"/>
      <c r="I1228" s="1399"/>
      <c r="J1228" s="1399">
        <v>7060.35</v>
      </c>
    </row>
    <row r="1229" spans="5:10" s="1297" customFormat="1">
      <c r="E1229" s="1297" t="s">
        <v>1045</v>
      </c>
      <c r="F1229" s="1399"/>
      <c r="G1229" s="1399"/>
      <c r="H1229" s="1399">
        <v>34284.629999999997</v>
      </c>
      <c r="I1229" s="1399"/>
      <c r="J1229" s="1399">
        <v>34284.629999999997</v>
      </c>
    </row>
    <row r="1230" spans="5:10" s="1297" customFormat="1">
      <c r="E1230" s="1297" t="s">
        <v>1046</v>
      </c>
      <c r="F1230" s="1399"/>
      <c r="G1230" s="1399"/>
      <c r="H1230" s="1399"/>
      <c r="I1230" s="1399">
        <v>6988616</v>
      </c>
      <c r="J1230" s="1399">
        <v>6988616</v>
      </c>
    </row>
    <row r="1231" spans="5:10" s="1297" customFormat="1">
      <c r="E1231" s="1297" t="s">
        <v>1128</v>
      </c>
      <c r="F1231" s="1399"/>
      <c r="G1231" s="1399"/>
      <c r="H1231" s="1399"/>
      <c r="I1231" s="1399">
        <v>565547</v>
      </c>
      <c r="J1231" s="1399">
        <v>565547</v>
      </c>
    </row>
    <row r="1232" spans="5:10" s="1297" customFormat="1">
      <c r="E1232" s="1297" t="s">
        <v>1129</v>
      </c>
      <c r="F1232" s="1399"/>
      <c r="G1232" s="1399"/>
      <c r="H1232" s="1399"/>
      <c r="I1232" s="1399">
        <v>-899887</v>
      </c>
      <c r="J1232" s="1399">
        <v>-899887</v>
      </c>
    </row>
    <row r="1233" spans="5:10" s="1297" customFormat="1">
      <c r="E1233" s="1297" t="s">
        <v>1047</v>
      </c>
      <c r="F1233" s="1399"/>
      <c r="G1233" s="1399"/>
      <c r="H1233" s="1399"/>
      <c r="I1233" s="1399">
        <v>345342</v>
      </c>
      <c r="J1233" s="1399">
        <v>345342</v>
      </c>
    </row>
    <row r="1234" spans="5:10" s="1297" customFormat="1">
      <c r="E1234" s="1297" t="s">
        <v>1048</v>
      </c>
      <c r="F1234" s="1399"/>
      <c r="G1234" s="1399"/>
      <c r="H1234" s="1399"/>
      <c r="I1234" s="1399">
        <v>-1127423</v>
      </c>
      <c r="J1234" s="1399">
        <v>-1127423</v>
      </c>
    </row>
    <row r="1235" spans="5:10" s="1297" customFormat="1">
      <c r="E1235" s="1297" t="s">
        <v>932</v>
      </c>
      <c r="F1235" s="1399"/>
      <c r="G1235" s="1399"/>
      <c r="H1235" s="1399"/>
      <c r="I1235" s="1399">
        <v>436570</v>
      </c>
      <c r="J1235" s="1399">
        <v>436570</v>
      </c>
    </row>
    <row r="1236" spans="5:10" s="1297" customFormat="1">
      <c r="E1236" s="1404" t="s">
        <v>955</v>
      </c>
      <c r="F1236" s="1405"/>
      <c r="G1236" s="1405"/>
      <c r="H1236" s="1405"/>
      <c r="I1236" s="1405">
        <v>460028.57</v>
      </c>
      <c r="J1236" s="1405">
        <v>460028.57</v>
      </c>
    </row>
    <row r="1237" spans="5:10" s="1297" customFormat="1">
      <c r="E1237" s="1297" t="s">
        <v>934</v>
      </c>
      <c r="F1237" s="1399"/>
      <c r="G1237" s="1399"/>
      <c r="H1237" s="1399"/>
      <c r="I1237" s="1399">
        <v>20970</v>
      </c>
      <c r="J1237" s="1399">
        <v>20970</v>
      </c>
    </row>
    <row r="1238" spans="5:10" s="1297" customFormat="1">
      <c r="E1238" s="1297" t="s">
        <v>1130</v>
      </c>
      <c r="F1238" s="1399"/>
      <c r="G1238" s="1399"/>
      <c r="H1238" s="1399"/>
      <c r="I1238" s="1399">
        <v>-43143.53</v>
      </c>
      <c r="J1238" s="1399">
        <v>-43143.53</v>
      </c>
    </row>
    <row r="1239" spans="5:10" s="1297" customFormat="1">
      <c r="E1239" s="1297" t="s">
        <v>935</v>
      </c>
      <c r="F1239" s="1399"/>
      <c r="G1239" s="1399"/>
      <c r="H1239" s="1399"/>
      <c r="I1239" s="1399">
        <v>76166.17</v>
      </c>
      <c r="J1239" s="1399">
        <v>76166.17</v>
      </c>
    </row>
    <row r="1240" spans="5:10" s="1297" customFormat="1">
      <c r="E1240" s="1297" t="s">
        <v>936</v>
      </c>
      <c r="F1240" s="1399"/>
      <c r="G1240" s="1399"/>
      <c r="H1240" s="1399"/>
      <c r="I1240" s="1399">
        <v>20308.73</v>
      </c>
      <c r="J1240" s="1399">
        <v>20308.73</v>
      </c>
    </row>
    <row r="1241" spans="5:10" s="1297" customFormat="1">
      <c r="E1241" s="1297" t="s">
        <v>938</v>
      </c>
      <c r="F1241" s="1399"/>
      <c r="G1241" s="1399"/>
      <c r="H1241" s="1399"/>
      <c r="I1241" s="1399">
        <v>6176</v>
      </c>
      <c r="J1241" s="1399">
        <v>6176</v>
      </c>
    </row>
    <row r="1242" spans="5:10" s="1297" customFormat="1">
      <c r="E1242" s="1297" t="s">
        <v>939</v>
      </c>
      <c r="F1242" s="1399"/>
      <c r="G1242" s="1399"/>
      <c r="H1242" s="1399"/>
      <c r="I1242" s="1399">
        <v>57456.03</v>
      </c>
      <c r="J1242" s="1399">
        <v>57456.03</v>
      </c>
    </row>
    <row r="1243" spans="5:10" s="1297" customFormat="1">
      <c r="E1243" s="1297" t="s">
        <v>940</v>
      </c>
      <c r="F1243" s="1399">
        <v>373822.96</v>
      </c>
      <c r="G1243" s="1399"/>
      <c r="H1243" s="1399"/>
      <c r="I1243" s="1399"/>
      <c r="J1243" s="1399">
        <v>373822.96</v>
      </c>
    </row>
    <row r="1244" spans="5:10" s="1297" customFormat="1">
      <c r="E1244" s="1297" t="s">
        <v>941</v>
      </c>
      <c r="F1244" s="1399">
        <v>133611.06</v>
      </c>
      <c r="G1244" s="1399"/>
      <c r="H1244" s="1399"/>
      <c r="I1244" s="1399"/>
      <c r="J1244" s="1399">
        <v>133611.06</v>
      </c>
    </row>
    <row r="1245" spans="5:10" s="1297" customFormat="1">
      <c r="E1245" s="1297" t="s">
        <v>944</v>
      </c>
      <c r="F1245" s="1399">
        <v>1076732.3100000003</v>
      </c>
      <c r="G1245" s="1399"/>
      <c r="H1245" s="1399"/>
      <c r="I1245" s="1399"/>
      <c r="J1245" s="1399">
        <v>1076732.3100000003</v>
      </c>
    </row>
    <row r="1246" spans="5:10" s="1297" customFormat="1">
      <c r="E1246" s="1297" t="s">
        <v>945</v>
      </c>
      <c r="F1246" s="1399">
        <v>535836.81999999995</v>
      </c>
      <c r="G1246" s="1399"/>
      <c r="H1246" s="1399"/>
      <c r="I1246" s="1399"/>
      <c r="J1246" s="1399">
        <v>535836.81999999995</v>
      </c>
    </row>
    <row r="1247" spans="5:10" s="1297" customFormat="1">
      <c r="E1247" s="1297" t="s">
        <v>946</v>
      </c>
      <c r="F1247" s="1399">
        <v>159585.44</v>
      </c>
      <c r="G1247" s="1399"/>
      <c r="H1247" s="1399"/>
      <c r="I1247" s="1399"/>
      <c r="J1247" s="1399">
        <v>159585.44</v>
      </c>
    </row>
    <row r="1248" spans="5:10" s="1297" customFormat="1">
      <c r="E1248" s="1297" t="s">
        <v>947</v>
      </c>
      <c r="F1248" s="1399">
        <v>39370.79</v>
      </c>
      <c r="G1248" s="1399"/>
      <c r="H1248" s="1399"/>
      <c r="I1248" s="1399"/>
      <c r="J1248" s="1399">
        <v>39370.79</v>
      </c>
    </row>
    <row r="1249" spans="2:12">
      <c r="B1249" s="1297"/>
      <c r="C1249" s="1297"/>
      <c r="D1249" s="1297"/>
      <c r="E1249" s="1404" t="s">
        <v>948</v>
      </c>
      <c r="F1249" s="1405"/>
      <c r="G1249" s="1405"/>
      <c r="H1249" s="1405">
        <v>770371.99</v>
      </c>
      <c r="I1249" s="1405"/>
      <c r="J1249" s="1405">
        <v>770371.99</v>
      </c>
    </row>
    <row r="1250" spans="2:12">
      <c r="B1250" s="1297"/>
      <c r="C1250" s="1297"/>
      <c r="D1250" s="1400" t="s">
        <v>1068</v>
      </c>
      <c r="E1250" s="1400"/>
      <c r="F1250" s="1401">
        <f>SUM(F1215:F1249)</f>
        <v>2326019.73</v>
      </c>
      <c r="G1250" s="1401">
        <f>SUM(G1215:G1249)</f>
        <v>4600430.21</v>
      </c>
      <c r="H1250" s="1401">
        <f>SUM(H1215:H1249)-H1249</f>
        <v>585451.5</v>
      </c>
      <c r="I1250" s="1401">
        <f>SUM(I1215:I1249)-I1236</f>
        <v>6446698.4000000004</v>
      </c>
      <c r="J1250" s="1401">
        <f>SUM(J1215:J1249)</f>
        <v>15189000.4</v>
      </c>
      <c r="K1250" s="1401">
        <f>SUM(F1250:I1250)</f>
        <v>13958599.84</v>
      </c>
      <c r="L1250" s="1408">
        <f>K1250/C1215</f>
        <v>10729.131314373559</v>
      </c>
    </row>
    <row r="1251" spans="2:12">
      <c r="B1251" s="1297" t="s">
        <v>1069</v>
      </c>
      <c r="C1251" s="1297">
        <f>105780-'[2]1$REV-DATA-GAcharterAuditdata'!G65</f>
        <v>104101</v>
      </c>
      <c r="D1251" s="1297" t="s">
        <v>1070</v>
      </c>
      <c r="E1251" s="1297" t="s">
        <v>906</v>
      </c>
      <c r="G1251" s="1399">
        <v>416532033.91000003</v>
      </c>
      <c r="J1251" s="1399">
        <v>416532033.91000003</v>
      </c>
    </row>
    <row r="1252" spans="2:12">
      <c r="B1252" s="1297"/>
      <c r="C1252" s="1297"/>
      <c r="D1252" s="1297"/>
      <c r="E1252" s="1297" t="s">
        <v>952</v>
      </c>
      <c r="G1252" s="1399">
        <v>9193497.8900000006</v>
      </c>
      <c r="J1252" s="1399">
        <v>9193497.8900000006</v>
      </c>
    </row>
    <row r="1253" spans="2:12">
      <c r="B1253" s="1297"/>
      <c r="C1253" s="1297"/>
      <c r="D1253" s="1297"/>
      <c r="E1253" s="1297" t="s">
        <v>907</v>
      </c>
      <c r="G1253" s="1399">
        <v>115300111.86</v>
      </c>
      <c r="J1253" s="1399">
        <v>115300111.86</v>
      </c>
    </row>
    <row r="1254" spans="2:12">
      <c r="B1254" s="1297"/>
      <c r="C1254" s="1297"/>
      <c r="D1254" s="1297"/>
      <c r="E1254" s="1297" t="s">
        <v>908</v>
      </c>
      <c r="G1254" s="1399">
        <v>1473183.08</v>
      </c>
      <c r="J1254" s="1399">
        <v>1473183.08</v>
      </c>
    </row>
    <row r="1255" spans="2:12">
      <c r="B1255" s="1297"/>
      <c r="C1255" s="1297"/>
      <c r="D1255" s="1297"/>
      <c r="E1255" s="1297" t="s">
        <v>909</v>
      </c>
      <c r="H1255" s="1399">
        <v>95363.15</v>
      </c>
      <c r="J1255" s="1399">
        <v>95363.15</v>
      </c>
    </row>
    <row r="1256" spans="2:12">
      <c r="B1256" s="1297"/>
      <c r="C1256" s="1297"/>
      <c r="D1256" s="1297"/>
      <c r="E1256" s="1297" t="s">
        <v>1034</v>
      </c>
      <c r="H1256" s="1399">
        <v>2460486.7799999998</v>
      </c>
      <c r="J1256" s="1399">
        <v>2460486.7799999998</v>
      </c>
    </row>
    <row r="1257" spans="2:12">
      <c r="B1257" s="1297"/>
      <c r="C1257" s="1297"/>
      <c r="D1257" s="1297"/>
      <c r="E1257" s="1297" t="s">
        <v>1035</v>
      </c>
      <c r="H1257" s="1399">
        <v>5546340.3300000001</v>
      </c>
      <c r="J1257" s="1399">
        <v>5546340.3300000001</v>
      </c>
    </row>
    <row r="1258" spans="2:12">
      <c r="B1258" s="1297"/>
      <c r="C1258" s="1297"/>
      <c r="D1258" s="1297"/>
      <c r="E1258" s="1297" t="s">
        <v>1036</v>
      </c>
      <c r="H1258" s="1399">
        <v>3821683.2</v>
      </c>
      <c r="J1258" s="1399">
        <v>3821683.2</v>
      </c>
    </row>
    <row r="1259" spans="2:12">
      <c r="B1259" s="1297"/>
      <c r="C1259" s="1297"/>
      <c r="D1259" s="1297"/>
      <c r="E1259" s="1297" t="s">
        <v>1037</v>
      </c>
      <c r="H1259" s="1399">
        <v>16201295.029999999</v>
      </c>
      <c r="J1259" s="1399">
        <v>16201295.029999999</v>
      </c>
    </row>
    <row r="1260" spans="2:12">
      <c r="B1260" s="1297"/>
      <c r="C1260" s="1297"/>
      <c r="D1260" s="1297"/>
      <c r="E1260" s="1297" t="s">
        <v>1038</v>
      </c>
      <c r="H1260" s="1399">
        <v>393399</v>
      </c>
      <c r="J1260" s="1399">
        <v>393399</v>
      </c>
    </row>
    <row r="1261" spans="2:12">
      <c r="B1261" s="1297"/>
      <c r="C1261" s="1297"/>
      <c r="D1261" s="1297"/>
      <c r="E1261" s="1297" t="s">
        <v>1039</v>
      </c>
      <c r="H1261" s="1399">
        <v>3070160.2600000002</v>
      </c>
      <c r="J1261" s="1399">
        <v>3070160.2600000002</v>
      </c>
    </row>
    <row r="1262" spans="2:12">
      <c r="B1262" s="1297"/>
      <c r="C1262" s="1297"/>
      <c r="D1262" s="1297"/>
      <c r="E1262" s="1297" t="s">
        <v>1040</v>
      </c>
      <c r="H1262" s="1399">
        <v>9975159.2799999993</v>
      </c>
      <c r="J1262" s="1399">
        <v>9975159.2799999993</v>
      </c>
    </row>
    <row r="1263" spans="2:12">
      <c r="B1263" s="1297"/>
      <c r="C1263" s="1297"/>
      <c r="D1263" s="1297"/>
      <c r="E1263" s="1297" t="s">
        <v>1041</v>
      </c>
      <c r="H1263" s="1399">
        <v>8530350.4399999995</v>
      </c>
      <c r="J1263" s="1399">
        <v>8530350.4399999995</v>
      </c>
    </row>
    <row r="1264" spans="2:12">
      <c r="B1264" s="1297"/>
      <c r="C1264" s="1297"/>
      <c r="D1264" s="1297"/>
      <c r="E1264" s="1297" t="s">
        <v>1042</v>
      </c>
      <c r="H1264" s="1399">
        <v>955230</v>
      </c>
      <c r="J1264" s="1399">
        <v>955230</v>
      </c>
    </row>
    <row r="1265" spans="5:10" s="1297" customFormat="1">
      <c r="E1265" s="1297" t="s">
        <v>954</v>
      </c>
      <c r="F1265" s="1399"/>
      <c r="G1265" s="1399"/>
      <c r="H1265" s="1399">
        <v>378861.71</v>
      </c>
      <c r="I1265" s="1399"/>
      <c r="J1265" s="1399">
        <v>378861.71</v>
      </c>
    </row>
    <row r="1266" spans="5:10" s="1297" customFormat="1">
      <c r="E1266" s="1297" t="s">
        <v>985</v>
      </c>
      <c r="F1266" s="1399"/>
      <c r="G1266" s="1399"/>
      <c r="H1266" s="1399">
        <v>105359</v>
      </c>
      <c r="I1266" s="1399"/>
      <c r="J1266" s="1399">
        <v>105359</v>
      </c>
    </row>
    <row r="1267" spans="5:10" s="1297" customFormat="1">
      <c r="E1267" s="1297" t="s">
        <v>1043</v>
      </c>
      <c r="F1267" s="1399"/>
      <c r="G1267" s="1399"/>
      <c r="H1267" s="1399">
        <v>43000</v>
      </c>
      <c r="I1267" s="1399"/>
      <c r="J1267" s="1399">
        <v>43000</v>
      </c>
    </row>
    <row r="1268" spans="5:10" s="1297" customFormat="1">
      <c r="E1268" s="1297" t="s">
        <v>986</v>
      </c>
      <c r="F1268" s="1399"/>
      <c r="G1268" s="1399"/>
      <c r="H1268" s="1399">
        <v>17450.8</v>
      </c>
      <c r="I1268" s="1399"/>
      <c r="J1268" s="1399">
        <v>17450.8</v>
      </c>
    </row>
    <row r="1269" spans="5:10" s="1297" customFormat="1">
      <c r="E1269" s="1297" t="s">
        <v>1005</v>
      </c>
      <c r="F1269" s="1399"/>
      <c r="G1269" s="1399"/>
      <c r="H1269" s="1399">
        <v>14739510.939999999</v>
      </c>
      <c r="I1269" s="1399"/>
      <c r="J1269" s="1399">
        <v>14739510.939999999</v>
      </c>
    </row>
    <row r="1270" spans="5:10" s="1297" customFormat="1">
      <c r="E1270" s="1297" t="s">
        <v>991</v>
      </c>
      <c r="F1270" s="1399"/>
      <c r="G1270" s="1399"/>
      <c r="H1270" s="1399">
        <v>7169021.4800000004</v>
      </c>
      <c r="I1270" s="1399"/>
      <c r="J1270" s="1399">
        <v>7169021.4800000004</v>
      </c>
    </row>
    <row r="1271" spans="5:10" s="1297" customFormat="1">
      <c r="E1271" s="1297" t="s">
        <v>1045</v>
      </c>
      <c r="F1271" s="1399"/>
      <c r="G1271" s="1399"/>
      <c r="H1271" s="1399">
        <v>3655389.97</v>
      </c>
      <c r="I1271" s="1399"/>
      <c r="J1271" s="1399">
        <v>3655389.97</v>
      </c>
    </row>
    <row r="1272" spans="5:10" s="1297" customFormat="1">
      <c r="E1272" s="1297" t="s">
        <v>1046</v>
      </c>
      <c r="F1272" s="1399"/>
      <c r="G1272" s="1399"/>
      <c r="H1272" s="1399"/>
      <c r="I1272" s="1399">
        <v>544366502</v>
      </c>
      <c r="J1272" s="1399">
        <v>544366502</v>
      </c>
    </row>
    <row r="1273" spans="5:10" s="1297" customFormat="1">
      <c r="E1273" s="1297" t="s">
        <v>1128</v>
      </c>
      <c r="F1273" s="1399"/>
      <c r="G1273" s="1399"/>
      <c r="H1273" s="1399"/>
      <c r="I1273" s="1399">
        <v>48867976</v>
      </c>
      <c r="J1273" s="1399">
        <v>48867976</v>
      </c>
    </row>
    <row r="1274" spans="5:10" s="1297" customFormat="1">
      <c r="E1274" s="1297" t="s">
        <v>1129</v>
      </c>
      <c r="F1274" s="1399"/>
      <c r="G1274" s="1399"/>
      <c r="H1274" s="1399"/>
      <c r="I1274" s="1399">
        <v>-69394711</v>
      </c>
      <c r="J1274" s="1399">
        <v>-69394711</v>
      </c>
    </row>
    <row r="1275" spans="5:10" s="1297" customFormat="1">
      <c r="E1275" s="1297" t="s">
        <v>1047</v>
      </c>
      <c r="F1275" s="1399"/>
      <c r="G1275" s="1399"/>
      <c r="H1275" s="1399"/>
      <c r="I1275" s="1399">
        <v>6800504</v>
      </c>
      <c r="J1275" s="1399">
        <v>6800504</v>
      </c>
    </row>
    <row r="1276" spans="5:10" s="1297" customFormat="1">
      <c r="E1276" s="1297" t="s">
        <v>1048</v>
      </c>
      <c r="F1276" s="1399"/>
      <c r="G1276" s="1399"/>
      <c r="H1276" s="1399"/>
      <c r="I1276" s="1399">
        <v>-133566148</v>
      </c>
      <c r="J1276" s="1399">
        <v>-133566148</v>
      </c>
    </row>
    <row r="1277" spans="5:10" s="1297" customFormat="1">
      <c r="E1277" s="1297" t="s">
        <v>934</v>
      </c>
      <c r="F1277" s="1399"/>
      <c r="G1277" s="1399"/>
      <c r="H1277" s="1399"/>
      <c r="I1277" s="1399">
        <v>1368132</v>
      </c>
      <c r="J1277" s="1399">
        <v>1368132</v>
      </c>
    </row>
    <row r="1278" spans="5:10" s="1297" customFormat="1">
      <c r="E1278" s="1297" t="s">
        <v>935</v>
      </c>
      <c r="F1278" s="1399"/>
      <c r="G1278" s="1399"/>
      <c r="H1278" s="1399"/>
      <c r="I1278" s="1399">
        <v>9009547.6300000008</v>
      </c>
      <c r="J1278" s="1399">
        <v>9009547.6300000008</v>
      </c>
    </row>
    <row r="1279" spans="5:10" s="1297" customFormat="1">
      <c r="E1279" s="1297" t="s">
        <v>939</v>
      </c>
      <c r="F1279" s="1399"/>
      <c r="G1279" s="1399"/>
      <c r="H1279" s="1399"/>
      <c r="I1279" s="1399">
        <v>405183.81</v>
      </c>
      <c r="J1279" s="1399">
        <v>405183.81</v>
      </c>
    </row>
    <row r="1280" spans="5:10" s="1297" customFormat="1">
      <c r="E1280" s="1297" t="s">
        <v>1131</v>
      </c>
      <c r="F1280" s="1399">
        <v>6972246.2400000002</v>
      </c>
      <c r="G1280" s="1399"/>
      <c r="H1280" s="1399"/>
      <c r="I1280" s="1399"/>
      <c r="J1280" s="1399">
        <v>6972246.2400000002</v>
      </c>
    </row>
    <row r="1281" spans="2:14">
      <c r="B1281" s="1297"/>
      <c r="C1281" s="1297"/>
      <c r="D1281" s="1297"/>
      <c r="E1281" s="1297" t="s">
        <v>940</v>
      </c>
      <c r="F1281" s="1399">
        <v>18669627.960000001</v>
      </c>
      <c r="J1281" s="1399">
        <v>18669627.960000001</v>
      </c>
    </row>
    <row r="1282" spans="2:14">
      <c r="B1282" s="1297"/>
      <c r="C1282" s="1297"/>
      <c r="D1282" s="1297"/>
      <c r="E1282" s="1297" t="s">
        <v>941</v>
      </c>
      <c r="F1282" s="1399">
        <v>4668005.9400000004</v>
      </c>
      <c r="J1282" s="1399">
        <v>4668005.9400000004</v>
      </c>
    </row>
    <row r="1283" spans="2:14">
      <c r="B1283" s="1297"/>
      <c r="C1283" s="1297"/>
      <c r="D1283" s="1297"/>
      <c r="E1283" s="1297" t="s">
        <v>943</v>
      </c>
      <c r="F1283" s="1399">
        <v>303400</v>
      </c>
      <c r="J1283" s="1399">
        <v>303400</v>
      </c>
    </row>
    <row r="1284" spans="2:14">
      <c r="B1284" s="1297"/>
      <c r="C1284" s="1297"/>
      <c r="D1284" s="1297"/>
      <c r="E1284" s="1297" t="s">
        <v>944</v>
      </c>
      <c r="F1284" s="1399">
        <v>35980637.050000004</v>
      </c>
      <c r="J1284" s="1399">
        <v>35980637.050000004</v>
      </c>
    </row>
    <row r="1285" spans="2:14">
      <c r="B1285" s="1297"/>
      <c r="C1285" s="1297"/>
      <c r="D1285" s="1297"/>
      <c r="E1285" s="1297" t="s">
        <v>945</v>
      </c>
      <c r="F1285" s="1399">
        <v>38200553.420000002</v>
      </c>
      <c r="J1285" s="1399">
        <v>38200553.420000002</v>
      </c>
    </row>
    <row r="1286" spans="2:14">
      <c r="B1286" s="1297"/>
      <c r="C1286" s="1297"/>
      <c r="D1286" s="1297"/>
      <c r="E1286" s="1297" t="s">
        <v>946</v>
      </c>
      <c r="F1286" s="1399">
        <v>2749959.1399999997</v>
      </c>
      <c r="J1286" s="1399">
        <v>2749959.1399999997</v>
      </c>
    </row>
    <row r="1287" spans="2:14">
      <c r="B1287" s="1297"/>
      <c r="C1287" s="1297"/>
      <c r="D1287" s="1297"/>
      <c r="E1287" s="1297" t="s">
        <v>978</v>
      </c>
      <c r="F1287" s="1399">
        <v>419526</v>
      </c>
      <c r="J1287" s="1399">
        <v>419526</v>
      </c>
    </row>
    <row r="1288" spans="2:14">
      <c r="B1288" s="1297"/>
      <c r="C1288" s="1297"/>
      <c r="D1288" s="1297"/>
      <c r="E1288" s="1297" t="s">
        <v>947</v>
      </c>
      <c r="F1288" s="1399">
        <v>2454837.3199999998</v>
      </c>
      <c r="J1288" s="1399">
        <v>2454837.3199999998</v>
      </c>
    </row>
    <row r="1289" spans="2:14">
      <c r="B1289" s="1297"/>
      <c r="C1289" s="1297"/>
      <c r="D1289" s="1297"/>
      <c r="E1289" s="1404" t="s">
        <v>948</v>
      </c>
      <c r="F1289" s="1405"/>
      <c r="G1289" s="1405"/>
      <c r="H1289" s="1405">
        <v>29450650.75</v>
      </c>
      <c r="I1289" s="1405"/>
      <c r="J1289" s="1405">
        <v>29450650.75</v>
      </c>
    </row>
    <row r="1290" spans="2:14">
      <c r="B1290" s="1297"/>
      <c r="C1290" s="1297"/>
      <c r="D1290" s="1297"/>
      <c r="E1290" s="1297" t="s">
        <v>956</v>
      </c>
      <c r="H1290" s="1399">
        <v>267672.26</v>
      </c>
      <c r="J1290" s="1399">
        <v>267672.26</v>
      </c>
    </row>
    <row r="1291" spans="2:14">
      <c r="B1291" s="1297"/>
      <c r="C1291" s="1297"/>
      <c r="D1291" s="1297"/>
      <c r="E1291" s="1297" t="s">
        <v>1118</v>
      </c>
      <c r="H1291" s="1399">
        <v>278482.54000000004</v>
      </c>
      <c r="J1291" s="1399">
        <v>278482.54000000004</v>
      </c>
    </row>
    <row r="1292" spans="2:14">
      <c r="B1292" s="1297"/>
      <c r="C1292" s="1297"/>
      <c r="D1292" s="1297"/>
      <c r="E1292" s="1297" t="s">
        <v>1051</v>
      </c>
      <c r="H1292" s="1399">
        <v>1527307</v>
      </c>
      <c r="J1292" s="1399">
        <v>1527307</v>
      </c>
    </row>
    <row r="1293" spans="2:14">
      <c r="B1293" s="1297"/>
      <c r="C1293" s="1297"/>
      <c r="D1293" s="1400" t="s">
        <v>1071</v>
      </c>
      <c r="E1293" s="1400" t="s">
        <v>1641</v>
      </c>
      <c r="F1293" s="1401">
        <f>SUM(F1251:F1292)-'1$REV-CharterAuditData'!BM65</f>
        <v>108887600.12</v>
      </c>
      <c r="G1293" s="1401">
        <f>SUM(G1251:G1292)-'1$REV-CharterAuditData'!Q65</f>
        <v>540290232.69000006</v>
      </c>
      <c r="H1293" s="1401">
        <f>SUM(H1251:H1292)-H1289</f>
        <v>79231523.170000002</v>
      </c>
      <c r="I1293" s="1401">
        <f>SUM(I1251:I1292)-'1$REV-CharterAuditData'!AZ65</f>
        <v>399129560.44</v>
      </c>
      <c r="J1293" s="1401">
        <f>SUM(J1251:J1292)</f>
        <v>1169456780.1700003</v>
      </c>
      <c r="K1293" s="1401">
        <f>SUM(F1293:I1293)</f>
        <v>1127538916.4200001</v>
      </c>
      <c r="L1293" s="1407">
        <f>K1293/C1251</f>
        <v>10831.201587112517</v>
      </c>
      <c r="M1293" s="1407">
        <f>F1293/C1251</f>
        <v>1045.9803471628516</v>
      </c>
      <c r="N1293" s="1400">
        <f>F1293/K1293</f>
        <v>9.6571034963231508E-2</v>
      </c>
    </row>
    <row r="1294" spans="2:14">
      <c r="B1294" s="1297" t="s">
        <v>1072</v>
      </c>
      <c r="C1294" s="1297">
        <v>7332</v>
      </c>
      <c r="D1294" s="1297" t="s">
        <v>1073</v>
      </c>
      <c r="E1294" s="1297" t="s">
        <v>906</v>
      </c>
      <c r="G1294" s="1399">
        <v>12203501.08</v>
      </c>
      <c r="J1294" s="1399">
        <v>12203501.08</v>
      </c>
    </row>
    <row r="1295" spans="2:14">
      <c r="B1295" s="1297"/>
      <c r="C1295" s="1297"/>
      <c r="D1295" s="1297"/>
      <c r="E1295" s="1297" t="s">
        <v>952</v>
      </c>
      <c r="G1295" s="1399">
        <v>100592.94</v>
      </c>
      <c r="J1295" s="1399">
        <v>100592.94</v>
      </c>
    </row>
    <row r="1296" spans="2:14">
      <c r="B1296" s="1297"/>
      <c r="C1296" s="1297"/>
      <c r="D1296" s="1297"/>
      <c r="E1296" s="1297" t="s">
        <v>907</v>
      </c>
      <c r="G1296" s="1399">
        <v>5264338.4000000004</v>
      </c>
      <c r="J1296" s="1399">
        <v>5264338.4000000004</v>
      </c>
    </row>
    <row r="1297" spans="5:10" s="1297" customFormat="1">
      <c r="E1297" s="1297" t="s">
        <v>908</v>
      </c>
      <c r="F1297" s="1399"/>
      <c r="G1297" s="1399">
        <v>20650.72</v>
      </c>
      <c r="H1297" s="1399"/>
      <c r="I1297" s="1399"/>
      <c r="J1297" s="1399">
        <v>20650.72</v>
      </c>
    </row>
    <row r="1298" spans="5:10" s="1297" customFormat="1">
      <c r="E1298" s="1297" t="s">
        <v>1035</v>
      </c>
      <c r="F1298" s="1399"/>
      <c r="G1298" s="1399"/>
      <c r="H1298" s="1399">
        <v>1058858.73</v>
      </c>
      <c r="I1298" s="1399"/>
      <c r="J1298" s="1399">
        <v>1058858.73</v>
      </c>
    </row>
    <row r="1299" spans="5:10" s="1297" customFormat="1">
      <c r="E1299" s="1297" t="s">
        <v>1036</v>
      </c>
      <c r="F1299" s="1399"/>
      <c r="G1299" s="1399"/>
      <c r="H1299" s="1399">
        <v>449465.7</v>
      </c>
      <c r="I1299" s="1399"/>
      <c r="J1299" s="1399">
        <v>449465.7</v>
      </c>
    </row>
    <row r="1300" spans="5:10" s="1297" customFormat="1">
      <c r="E1300" s="1297" t="s">
        <v>1037</v>
      </c>
      <c r="F1300" s="1399"/>
      <c r="G1300" s="1399"/>
      <c r="H1300" s="1399">
        <v>4600</v>
      </c>
      <c r="I1300" s="1399"/>
      <c r="J1300" s="1399">
        <v>4600</v>
      </c>
    </row>
    <row r="1301" spans="5:10" s="1297" customFormat="1">
      <c r="E1301" s="1297" t="s">
        <v>1039</v>
      </c>
      <c r="F1301" s="1399"/>
      <c r="G1301" s="1399"/>
      <c r="H1301" s="1399">
        <v>35594.25</v>
      </c>
      <c r="I1301" s="1399"/>
      <c r="J1301" s="1399">
        <v>35594.25</v>
      </c>
    </row>
    <row r="1302" spans="5:10" s="1297" customFormat="1">
      <c r="E1302" s="1297" t="s">
        <v>1040</v>
      </c>
      <c r="F1302" s="1399"/>
      <c r="G1302" s="1399"/>
      <c r="H1302" s="1399">
        <v>266581.55</v>
      </c>
      <c r="I1302" s="1399"/>
      <c r="J1302" s="1399">
        <v>266581.55</v>
      </c>
    </row>
    <row r="1303" spans="5:10" s="1297" customFormat="1">
      <c r="E1303" s="1297" t="s">
        <v>1127</v>
      </c>
      <c r="F1303" s="1399"/>
      <c r="G1303" s="1399"/>
      <c r="H1303" s="1399">
        <v>44579.15</v>
      </c>
      <c r="I1303" s="1399"/>
      <c r="J1303" s="1399">
        <v>44579.15</v>
      </c>
    </row>
    <row r="1304" spans="5:10" s="1297" customFormat="1">
      <c r="E1304" s="1297" t="s">
        <v>1041</v>
      </c>
      <c r="F1304" s="1399"/>
      <c r="G1304" s="1399"/>
      <c r="H1304" s="1399">
        <v>168388.16</v>
      </c>
      <c r="I1304" s="1399"/>
      <c r="J1304" s="1399">
        <v>168388.16</v>
      </c>
    </row>
    <row r="1305" spans="5:10" s="1297" customFormat="1">
      <c r="E1305" s="1297" t="s">
        <v>1042</v>
      </c>
      <c r="F1305" s="1399"/>
      <c r="G1305" s="1399"/>
      <c r="H1305" s="1399">
        <v>109732.77</v>
      </c>
      <c r="I1305" s="1399"/>
      <c r="J1305" s="1399">
        <v>109732.77</v>
      </c>
    </row>
    <row r="1306" spans="5:10" s="1297" customFormat="1">
      <c r="E1306" s="1297" t="s">
        <v>953</v>
      </c>
      <c r="F1306" s="1399"/>
      <c r="G1306" s="1399"/>
      <c r="H1306" s="1399">
        <v>142852.4</v>
      </c>
      <c r="I1306" s="1399"/>
      <c r="J1306" s="1399">
        <v>142852.4</v>
      </c>
    </row>
    <row r="1307" spans="5:10" s="1297" customFormat="1">
      <c r="E1307" s="1297" t="s">
        <v>996</v>
      </c>
      <c r="F1307" s="1399"/>
      <c r="G1307" s="1399"/>
      <c r="H1307" s="1399">
        <v>18375</v>
      </c>
      <c r="I1307" s="1399"/>
      <c r="J1307" s="1399">
        <v>18375</v>
      </c>
    </row>
    <row r="1308" spans="5:10" s="1297" customFormat="1">
      <c r="E1308" s="1297" t="s">
        <v>1005</v>
      </c>
      <c r="F1308" s="1399"/>
      <c r="G1308" s="1399"/>
      <c r="H1308" s="1399">
        <v>263330.65999999997</v>
      </c>
      <c r="I1308" s="1399"/>
      <c r="J1308" s="1399">
        <v>263330.65999999997</v>
      </c>
    </row>
    <row r="1309" spans="5:10" s="1297" customFormat="1">
      <c r="E1309" s="1297" t="s">
        <v>1044</v>
      </c>
      <c r="F1309" s="1399">
        <v>49543</v>
      </c>
      <c r="G1309" s="1399"/>
      <c r="H1309" s="1399"/>
      <c r="I1309" s="1399"/>
      <c r="J1309" s="1399">
        <v>49543</v>
      </c>
    </row>
    <row r="1310" spans="5:10" s="1297" customFormat="1">
      <c r="E1310" s="1297" t="s">
        <v>1045</v>
      </c>
      <c r="F1310" s="1399"/>
      <c r="G1310" s="1399"/>
      <c r="H1310" s="1399">
        <v>983090.72000000009</v>
      </c>
      <c r="I1310" s="1399"/>
      <c r="J1310" s="1399">
        <v>983090.72000000009</v>
      </c>
    </row>
    <row r="1311" spans="5:10" s="1297" customFormat="1">
      <c r="E1311" s="1297" t="s">
        <v>1046</v>
      </c>
      <c r="F1311" s="1399"/>
      <c r="G1311" s="1399"/>
      <c r="H1311" s="1399"/>
      <c r="I1311" s="1399">
        <v>42336321</v>
      </c>
      <c r="J1311" s="1399">
        <v>42336321</v>
      </c>
    </row>
    <row r="1312" spans="5:10" s="1297" customFormat="1">
      <c r="E1312" s="1297" t="s">
        <v>1129</v>
      </c>
      <c r="F1312" s="1399"/>
      <c r="G1312" s="1399"/>
      <c r="H1312" s="1399"/>
      <c r="I1312" s="1399">
        <v>-5856554</v>
      </c>
      <c r="J1312" s="1399">
        <v>-5856554</v>
      </c>
    </row>
    <row r="1313" spans="5:10" s="1297" customFormat="1">
      <c r="E1313" s="1297" t="s">
        <v>1047</v>
      </c>
      <c r="F1313" s="1399"/>
      <c r="G1313" s="1399"/>
      <c r="H1313" s="1399"/>
      <c r="I1313" s="1399">
        <v>1106843</v>
      </c>
      <c r="J1313" s="1399">
        <v>1106843</v>
      </c>
    </row>
    <row r="1314" spans="5:10" s="1297" customFormat="1">
      <c r="E1314" s="1297" t="s">
        <v>1048</v>
      </c>
      <c r="F1314" s="1399"/>
      <c r="G1314" s="1399"/>
      <c r="H1314" s="1399"/>
      <c r="I1314" s="1399">
        <v>-3782251</v>
      </c>
      <c r="J1314" s="1399">
        <v>-3782251</v>
      </c>
    </row>
    <row r="1315" spans="5:10" s="1297" customFormat="1">
      <c r="E1315" s="359" t="s">
        <v>932</v>
      </c>
      <c r="F1315" s="1411"/>
      <c r="G1315" s="1411"/>
      <c r="H1315" s="1411"/>
      <c r="I1315" s="1411">
        <v>5855517</v>
      </c>
      <c r="J1315" s="1411">
        <v>5855517</v>
      </c>
    </row>
    <row r="1316" spans="5:10" s="1297" customFormat="1">
      <c r="E1316" s="1404" t="s">
        <v>955</v>
      </c>
      <c r="F1316" s="1405"/>
      <c r="G1316" s="1405"/>
      <c r="H1316" s="1405"/>
      <c r="I1316" s="1405">
        <v>1973923.83</v>
      </c>
      <c r="J1316" s="1405">
        <v>1973923.83</v>
      </c>
    </row>
    <row r="1317" spans="5:10" s="1297" customFormat="1">
      <c r="E1317" s="1297" t="s">
        <v>934</v>
      </c>
      <c r="F1317" s="1399"/>
      <c r="G1317" s="1399"/>
      <c r="H1317" s="1399"/>
      <c r="I1317" s="1399">
        <v>127450</v>
      </c>
      <c r="J1317" s="1399">
        <v>127450</v>
      </c>
    </row>
    <row r="1318" spans="5:10" s="1297" customFormat="1">
      <c r="E1318" s="1297" t="s">
        <v>935</v>
      </c>
      <c r="F1318" s="1399"/>
      <c r="G1318" s="1399"/>
      <c r="H1318" s="1399"/>
      <c r="I1318" s="1399">
        <v>396821.48</v>
      </c>
      <c r="J1318" s="1399">
        <v>396821.48</v>
      </c>
    </row>
    <row r="1319" spans="5:10" s="1297" customFormat="1">
      <c r="E1319" s="1297" t="s">
        <v>936</v>
      </c>
      <c r="F1319" s="1399"/>
      <c r="G1319" s="1399"/>
      <c r="H1319" s="1399"/>
      <c r="I1319" s="1399">
        <v>133057.20000000001</v>
      </c>
      <c r="J1319" s="1399">
        <v>133057.20000000001</v>
      </c>
    </row>
    <row r="1320" spans="5:10" s="1297" customFormat="1">
      <c r="E1320" s="1297" t="s">
        <v>937</v>
      </c>
      <c r="F1320" s="1399"/>
      <c r="G1320" s="1399"/>
      <c r="H1320" s="1399"/>
      <c r="I1320" s="1399">
        <v>53144.68</v>
      </c>
      <c r="J1320" s="1399">
        <v>53144.68</v>
      </c>
    </row>
    <row r="1321" spans="5:10" s="1297" customFormat="1">
      <c r="E1321" s="1297" t="s">
        <v>938</v>
      </c>
      <c r="F1321" s="1399"/>
      <c r="G1321" s="1399"/>
      <c r="H1321" s="1399"/>
      <c r="I1321" s="1399">
        <v>34999</v>
      </c>
      <c r="J1321" s="1399">
        <v>34999</v>
      </c>
    </row>
    <row r="1322" spans="5:10" s="1297" customFormat="1">
      <c r="E1322" s="1297" t="s">
        <v>940</v>
      </c>
      <c r="F1322" s="1399">
        <v>2443366.2400000002</v>
      </c>
      <c r="G1322" s="1399"/>
      <c r="H1322" s="1399"/>
      <c r="I1322" s="1399"/>
      <c r="J1322" s="1399">
        <v>2443366.2400000002</v>
      </c>
    </row>
    <row r="1323" spans="5:10" s="1297" customFormat="1">
      <c r="E1323" s="1297" t="s">
        <v>941</v>
      </c>
      <c r="F1323" s="1399">
        <v>1005568.06</v>
      </c>
      <c r="G1323" s="1399"/>
      <c r="H1323" s="1399"/>
      <c r="I1323" s="1399"/>
      <c r="J1323" s="1399">
        <v>1005568.06</v>
      </c>
    </row>
    <row r="1324" spans="5:10" s="1297" customFormat="1">
      <c r="E1324" s="1297" t="s">
        <v>944</v>
      </c>
      <c r="F1324" s="1399">
        <v>5718824.9799999986</v>
      </c>
      <c r="G1324" s="1399"/>
      <c r="H1324" s="1399"/>
      <c r="I1324" s="1399"/>
      <c r="J1324" s="1399">
        <v>5718824.9799999986</v>
      </c>
    </row>
    <row r="1325" spans="5:10" s="1297" customFormat="1">
      <c r="E1325" s="1297" t="s">
        <v>945</v>
      </c>
      <c r="F1325" s="1399">
        <v>3462626.9699999997</v>
      </c>
      <c r="G1325" s="1399"/>
      <c r="H1325" s="1399"/>
      <c r="I1325" s="1399"/>
      <c r="J1325" s="1399">
        <v>3462626.9699999997</v>
      </c>
    </row>
    <row r="1326" spans="5:10" s="1297" customFormat="1">
      <c r="E1326" s="1297" t="s">
        <v>978</v>
      </c>
      <c r="F1326" s="1399">
        <v>3600</v>
      </c>
      <c r="G1326" s="1399"/>
      <c r="H1326" s="1399"/>
      <c r="I1326" s="1399"/>
      <c r="J1326" s="1399">
        <v>3600</v>
      </c>
    </row>
    <row r="1327" spans="5:10" s="1297" customFormat="1">
      <c r="E1327" s="1297" t="s">
        <v>947</v>
      </c>
      <c r="F1327" s="1399">
        <v>241990.47</v>
      </c>
      <c r="G1327" s="1399"/>
      <c r="H1327" s="1399"/>
      <c r="I1327" s="1399"/>
      <c r="J1327" s="1399">
        <v>241990.47</v>
      </c>
    </row>
    <row r="1328" spans="5:10" s="1297" customFormat="1">
      <c r="E1328" s="1297" t="s">
        <v>1115</v>
      </c>
      <c r="F1328" s="1399">
        <v>30850.69</v>
      </c>
      <c r="G1328" s="1399"/>
      <c r="H1328" s="1399"/>
      <c r="I1328" s="1399"/>
      <c r="J1328" s="1399">
        <v>30850.69</v>
      </c>
    </row>
    <row r="1329" spans="2:12">
      <c r="B1329" s="1297"/>
      <c r="C1329" s="1297"/>
      <c r="D1329" s="1297"/>
      <c r="E1329" s="1404" t="s">
        <v>948</v>
      </c>
      <c r="F1329" s="1405"/>
      <c r="G1329" s="1405"/>
      <c r="H1329" s="1405">
        <v>13382705.850000001</v>
      </c>
      <c r="I1329" s="1405"/>
      <c r="J1329" s="1405">
        <v>13382705.850000001</v>
      </c>
    </row>
    <row r="1330" spans="2:12">
      <c r="B1330" s="1297"/>
      <c r="C1330" s="1297"/>
      <c r="D1330" s="1297"/>
      <c r="E1330" s="1297" t="s">
        <v>956</v>
      </c>
      <c r="H1330" s="1399">
        <v>151415.70000000001</v>
      </c>
      <c r="J1330" s="1399">
        <v>151415.70000000001</v>
      </c>
    </row>
    <row r="1331" spans="2:12">
      <c r="B1331" s="1297"/>
      <c r="C1331" s="1297"/>
      <c r="D1331" s="1297"/>
      <c r="E1331" s="1297" t="s">
        <v>1118</v>
      </c>
      <c r="H1331" s="1399">
        <v>4000</v>
      </c>
      <c r="J1331" s="1399">
        <v>4000</v>
      </c>
    </row>
    <row r="1332" spans="2:12">
      <c r="B1332" s="1297"/>
      <c r="C1332" s="1297"/>
      <c r="D1332" s="1400" t="s">
        <v>1074</v>
      </c>
      <c r="E1332" s="1400"/>
      <c r="F1332" s="1401">
        <f>SUM(F1294:F1331)</f>
        <v>12956370.41</v>
      </c>
      <c r="G1332" s="1401">
        <f>SUM(G1294:G1331)</f>
        <v>17589083.140000001</v>
      </c>
      <c r="H1332" s="1401">
        <f>SUM(H1294:H1331)-H1329</f>
        <v>3700864.7899999991</v>
      </c>
      <c r="I1332" s="1401">
        <f>SUM(I1294:I1331)-I1316</f>
        <v>40405348.359999999</v>
      </c>
      <c r="J1332" s="1401">
        <f>SUM(J1294:J1331)</f>
        <v>90008296.38000001</v>
      </c>
      <c r="K1332" s="1401">
        <f>SUM(F1332:I1332)</f>
        <v>74651666.700000003</v>
      </c>
      <c r="L1332" s="1408">
        <f>K1332/C1294</f>
        <v>10181.623936170214</v>
      </c>
    </row>
    <row r="1333" spans="2:12">
      <c r="B1333" s="1297" t="s">
        <v>1075</v>
      </c>
      <c r="C1333" s="1297">
        <v>8595</v>
      </c>
      <c r="D1333" s="1297" t="s">
        <v>1076</v>
      </c>
      <c r="E1333" s="1297" t="s">
        <v>906</v>
      </c>
      <c r="G1333" s="1399">
        <v>7128429.7699999996</v>
      </c>
      <c r="J1333" s="1399">
        <v>7128429.7699999996</v>
      </c>
    </row>
    <row r="1334" spans="2:12">
      <c r="B1334" s="1297"/>
      <c r="C1334" s="1297"/>
      <c r="D1334" s="1297"/>
      <c r="E1334" s="1297" t="s">
        <v>1126</v>
      </c>
      <c r="G1334" s="1399">
        <v>5477091.0099999998</v>
      </c>
      <c r="J1334" s="1399">
        <v>5477091.0099999998</v>
      </c>
    </row>
    <row r="1335" spans="2:12">
      <c r="B1335" s="1297"/>
      <c r="C1335" s="1297"/>
      <c r="D1335" s="1297"/>
      <c r="E1335" s="1297" t="s">
        <v>952</v>
      </c>
      <c r="G1335" s="1399">
        <v>112217.73</v>
      </c>
      <c r="J1335" s="1399">
        <v>112217.73</v>
      </c>
    </row>
    <row r="1336" spans="2:12">
      <c r="B1336" s="1297"/>
      <c r="C1336" s="1297"/>
      <c r="D1336" s="1297"/>
      <c r="E1336" s="1297" t="s">
        <v>907</v>
      </c>
      <c r="G1336" s="1399">
        <v>5474293.3499999996</v>
      </c>
      <c r="J1336" s="1399">
        <v>5474293.3499999996</v>
      </c>
    </row>
    <row r="1337" spans="2:12">
      <c r="B1337" s="1297"/>
      <c r="C1337" s="1297"/>
      <c r="D1337" s="1297"/>
      <c r="E1337" s="1297" t="s">
        <v>908</v>
      </c>
      <c r="G1337" s="1399">
        <v>13479.87</v>
      </c>
      <c r="J1337" s="1399">
        <v>13479.87</v>
      </c>
    </row>
    <row r="1338" spans="2:12">
      <c r="B1338" s="1297"/>
      <c r="C1338" s="1297"/>
      <c r="D1338" s="1297"/>
      <c r="E1338" s="1297" t="s">
        <v>909</v>
      </c>
      <c r="H1338" s="1399">
        <v>11872</v>
      </c>
      <c r="J1338" s="1399">
        <v>11872</v>
      </c>
    </row>
    <row r="1339" spans="2:12">
      <c r="B1339" s="1297"/>
      <c r="C1339" s="1297"/>
      <c r="D1339" s="1297"/>
      <c r="E1339" s="1297" t="s">
        <v>1034</v>
      </c>
      <c r="H1339" s="1399">
        <v>320635.87</v>
      </c>
      <c r="J1339" s="1399">
        <v>320635.87</v>
      </c>
    </row>
    <row r="1340" spans="2:12">
      <c r="B1340" s="1297"/>
      <c r="C1340" s="1297"/>
      <c r="D1340" s="1297"/>
      <c r="E1340" s="1297" t="s">
        <v>1035</v>
      </c>
      <c r="H1340" s="1399">
        <v>604316.06999999995</v>
      </c>
      <c r="J1340" s="1399">
        <v>604316.06999999995</v>
      </c>
    </row>
    <row r="1341" spans="2:12">
      <c r="B1341" s="1297"/>
      <c r="C1341" s="1297"/>
      <c r="D1341" s="1297"/>
      <c r="E1341" s="1297" t="s">
        <v>1036</v>
      </c>
      <c r="H1341" s="1399">
        <v>441707.99</v>
      </c>
      <c r="J1341" s="1399">
        <v>441707.99</v>
      </c>
    </row>
    <row r="1342" spans="2:12">
      <c r="B1342" s="1297"/>
      <c r="C1342" s="1297"/>
      <c r="D1342" s="1297"/>
      <c r="E1342" s="1297" t="s">
        <v>1039</v>
      </c>
      <c r="H1342" s="1399">
        <v>224375.08</v>
      </c>
      <c r="J1342" s="1399">
        <v>224375.08</v>
      </c>
    </row>
    <row r="1343" spans="2:12">
      <c r="B1343" s="1297"/>
      <c r="C1343" s="1297"/>
      <c r="D1343" s="1297"/>
      <c r="E1343" s="1297" t="s">
        <v>1040</v>
      </c>
      <c r="H1343" s="1399">
        <v>455037.37</v>
      </c>
      <c r="J1343" s="1399">
        <v>455037.37</v>
      </c>
    </row>
    <row r="1344" spans="2:12">
      <c r="B1344" s="1297"/>
      <c r="C1344" s="1297"/>
      <c r="D1344" s="1297"/>
      <c r="E1344" s="1297" t="s">
        <v>1127</v>
      </c>
      <c r="H1344" s="1399">
        <v>80473.570000000007</v>
      </c>
      <c r="J1344" s="1399">
        <v>80473.570000000007</v>
      </c>
    </row>
    <row r="1345" spans="5:10" s="1297" customFormat="1">
      <c r="E1345" s="1297" t="s">
        <v>1207</v>
      </c>
      <c r="F1345" s="1399"/>
      <c r="G1345" s="1399"/>
      <c r="H1345" s="1399">
        <v>3811.9</v>
      </c>
      <c r="I1345" s="1399"/>
      <c r="J1345" s="1399">
        <v>3811.9</v>
      </c>
    </row>
    <row r="1346" spans="5:10" s="1297" customFormat="1">
      <c r="E1346" s="1297" t="s">
        <v>1041</v>
      </c>
      <c r="F1346" s="1399"/>
      <c r="G1346" s="1399"/>
      <c r="H1346" s="1399">
        <v>76166.789999999994</v>
      </c>
      <c r="I1346" s="1399"/>
      <c r="J1346" s="1399">
        <v>76166.789999999994</v>
      </c>
    </row>
    <row r="1347" spans="5:10" s="1297" customFormat="1">
      <c r="E1347" s="1297" t="s">
        <v>1042</v>
      </c>
      <c r="F1347" s="1399"/>
      <c r="G1347" s="1399"/>
      <c r="H1347" s="1399">
        <v>173136.51</v>
      </c>
      <c r="I1347" s="1399"/>
      <c r="J1347" s="1399">
        <v>173136.51</v>
      </c>
    </row>
    <row r="1348" spans="5:10" s="1297" customFormat="1">
      <c r="E1348" s="1297" t="s">
        <v>1043</v>
      </c>
      <c r="F1348" s="1399"/>
      <c r="G1348" s="1399"/>
      <c r="H1348" s="1399">
        <v>4462.5</v>
      </c>
      <c r="I1348" s="1399"/>
      <c r="J1348" s="1399">
        <v>4462.5</v>
      </c>
    </row>
    <row r="1349" spans="5:10" s="1297" customFormat="1">
      <c r="E1349" s="1297" t="s">
        <v>986</v>
      </c>
      <c r="F1349" s="1399"/>
      <c r="G1349" s="1399"/>
      <c r="H1349" s="1399">
        <v>715</v>
      </c>
      <c r="I1349" s="1399"/>
      <c r="J1349" s="1399">
        <v>715</v>
      </c>
    </row>
    <row r="1350" spans="5:10" s="1297" customFormat="1">
      <c r="E1350" s="1297" t="s">
        <v>1005</v>
      </c>
      <c r="F1350" s="1399"/>
      <c r="G1350" s="1399"/>
      <c r="H1350" s="1399">
        <v>96881.680000000008</v>
      </c>
      <c r="I1350" s="1399"/>
      <c r="J1350" s="1399">
        <v>96881.680000000008</v>
      </c>
    </row>
    <row r="1351" spans="5:10" s="1297" customFormat="1">
      <c r="E1351" s="1297" t="s">
        <v>1044</v>
      </c>
      <c r="F1351" s="1399">
        <v>114621.19</v>
      </c>
      <c r="G1351" s="1399"/>
      <c r="H1351" s="1399"/>
      <c r="I1351" s="1399"/>
      <c r="J1351" s="1399">
        <v>114621.19</v>
      </c>
    </row>
    <row r="1352" spans="5:10" s="1297" customFormat="1">
      <c r="E1352" s="1297" t="s">
        <v>1045</v>
      </c>
      <c r="F1352" s="1399"/>
      <c r="G1352" s="1399"/>
      <c r="H1352" s="1399">
        <v>941491.68</v>
      </c>
      <c r="I1352" s="1399"/>
      <c r="J1352" s="1399">
        <v>941491.68</v>
      </c>
    </row>
    <row r="1353" spans="5:10" s="1297" customFormat="1">
      <c r="E1353" s="1297" t="s">
        <v>1046</v>
      </c>
      <c r="F1353" s="1399"/>
      <c r="G1353" s="1399"/>
      <c r="H1353" s="1399"/>
      <c r="I1353" s="1399">
        <v>46116974</v>
      </c>
      <c r="J1353" s="1399">
        <v>46116974</v>
      </c>
    </row>
    <row r="1354" spans="5:10" s="1297" customFormat="1">
      <c r="E1354" s="1297" t="s">
        <v>1128</v>
      </c>
      <c r="F1354" s="1399"/>
      <c r="G1354" s="1399"/>
      <c r="H1354" s="1399"/>
      <c r="I1354" s="1399">
        <v>3746196</v>
      </c>
      <c r="J1354" s="1399">
        <v>3746196</v>
      </c>
    </row>
    <row r="1355" spans="5:10" s="1297" customFormat="1">
      <c r="E1355" s="1297" t="s">
        <v>1129</v>
      </c>
      <c r="F1355" s="1399"/>
      <c r="G1355" s="1399"/>
      <c r="H1355" s="1399"/>
      <c r="I1355" s="1399">
        <v>-6728742</v>
      </c>
      <c r="J1355" s="1399">
        <v>-6728742</v>
      </c>
    </row>
    <row r="1356" spans="5:10" s="1297" customFormat="1">
      <c r="E1356" s="1297" t="s">
        <v>1047</v>
      </c>
      <c r="F1356" s="1399"/>
      <c r="G1356" s="1399"/>
      <c r="H1356" s="1399"/>
      <c r="I1356" s="1399">
        <v>1123467</v>
      </c>
      <c r="J1356" s="1399">
        <v>1123467</v>
      </c>
    </row>
    <row r="1357" spans="5:10" s="1297" customFormat="1">
      <c r="E1357" s="1297" t="s">
        <v>1048</v>
      </c>
      <c r="F1357" s="1399"/>
      <c r="G1357" s="1399"/>
      <c r="H1357" s="1399"/>
      <c r="I1357" s="1399">
        <v>-3722306</v>
      </c>
      <c r="J1357" s="1399">
        <v>-3722306</v>
      </c>
    </row>
    <row r="1358" spans="5:10" s="1297" customFormat="1">
      <c r="E1358" s="1297" t="s">
        <v>932</v>
      </c>
      <c r="F1358" s="1399"/>
      <c r="G1358" s="1399"/>
      <c r="H1358" s="1399"/>
      <c r="I1358" s="1399">
        <v>8172784</v>
      </c>
      <c r="J1358" s="1399">
        <v>8172784</v>
      </c>
    </row>
    <row r="1359" spans="5:10" s="1297" customFormat="1">
      <c r="E1359" s="1404" t="s">
        <v>955</v>
      </c>
      <c r="F1359" s="1405"/>
      <c r="G1359" s="1405"/>
      <c r="H1359" s="1405"/>
      <c r="I1359" s="1405">
        <v>2745815.45</v>
      </c>
      <c r="J1359" s="1405">
        <v>2745815.45</v>
      </c>
    </row>
    <row r="1360" spans="5:10" s="1297" customFormat="1">
      <c r="E1360" s="1297" t="s">
        <v>934</v>
      </c>
      <c r="F1360" s="1399"/>
      <c r="G1360" s="1399"/>
      <c r="H1360" s="1399"/>
      <c r="I1360" s="1399">
        <v>151330</v>
      </c>
      <c r="J1360" s="1399">
        <v>151330</v>
      </c>
    </row>
    <row r="1361" spans="5:10" s="1297" customFormat="1">
      <c r="E1361" s="1297" t="s">
        <v>935</v>
      </c>
      <c r="F1361" s="1399"/>
      <c r="G1361" s="1399"/>
      <c r="H1361" s="1399"/>
      <c r="I1361" s="1399">
        <v>1304263.19</v>
      </c>
      <c r="J1361" s="1399">
        <v>1304263.19</v>
      </c>
    </row>
    <row r="1362" spans="5:10" s="1297" customFormat="1">
      <c r="E1362" s="1297" t="s">
        <v>936</v>
      </c>
      <c r="F1362" s="1399"/>
      <c r="G1362" s="1399"/>
      <c r="H1362" s="1399"/>
      <c r="I1362" s="1399">
        <v>170523.31</v>
      </c>
      <c r="J1362" s="1399">
        <v>170523.31</v>
      </c>
    </row>
    <row r="1363" spans="5:10" s="1297" customFormat="1">
      <c r="E1363" s="1297" t="s">
        <v>937</v>
      </c>
      <c r="F1363" s="1399"/>
      <c r="G1363" s="1399"/>
      <c r="H1363" s="1399"/>
      <c r="I1363" s="1399">
        <v>31821.84</v>
      </c>
      <c r="J1363" s="1399">
        <v>31821.84</v>
      </c>
    </row>
    <row r="1364" spans="5:10" s="1297" customFormat="1">
      <c r="E1364" s="1297" t="s">
        <v>938</v>
      </c>
      <c r="F1364" s="1399"/>
      <c r="G1364" s="1399"/>
      <c r="H1364" s="1399"/>
      <c r="I1364" s="1399">
        <v>47351</v>
      </c>
      <c r="J1364" s="1399">
        <v>47351</v>
      </c>
    </row>
    <row r="1365" spans="5:10" s="1297" customFormat="1">
      <c r="E1365" s="1297" t="s">
        <v>939</v>
      </c>
      <c r="F1365" s="1399"/>
      <c r="G1365" s="1399"/>
      <c r="H1365" s="1399"/>
      <c r="I1365" s="1399">
        <v>6175.35</v>
      </c>
      <c r="J1365" s="1399">
        <v>6175.35</v>
      </c>
    </row>
    <row r="1366" spans="5:10" s="1297" customFormat="1">
      <c r="E1366" s="1297" t="s">
        <v>1131</v>
      </c>
      <c r="F1366" s="1399">
        <v>63171</v>
      </c>
      <c r="G1366" s="1399"/>
      <c r="H1366" s="1399"/>
      <c r="I1366" s="1399"/>
      <c r="J1366" s="1399">
        <v>63171</v>
      </c>
    </row>
    <row r="1367" spans="5:10" s="1297" customFormat="1">
      <c r="E1367" s="1297" t="s">
        <v>940</v>
      </c>
      <c r="F1367" s="1399">
        <v>2952246.78</v>
      </c>
      <c r="G1367" s="1399"/>
      <c r="H1367" s="1399"/>
      <c r="I1367" s="1399"/>
      <c r="J1367" s="1399">
        <v>2952246.78</v>
      </c>
    </row>
    <row r="1368" spans="5:10" s="1297" customFormat="1">
      <c r="E1368" s="1297" t="s">
        <v>941</v>
      </c>
      <c r="F1368" s="1399">
        <v>1102092.44</v>
      </c>
      <c r="G1368" s="1399"/>
      <c r="H1368" s="1399"/>
      <c r="I1368" s="1399"/>
      <c r="J1368" s="1399">
        <v>1102092.44</v>
      </c>
    </row>
    <row r="1369" spans="5:10" s="1297" customFormat="1">
      <c r="E1369" s="1297" t="s">
        <v>943</v>
      </c>
      <c r="F1369" s="1399">
        <v>71612.08</v>
      </c>
      <c r="G1369" s="1399"/>
      <c r="H1369" s="1399"/>
      <c r="I1369" s="1399"/>
      <c r="J1369" s="1399">
        <v>71612.08</v>
      </c>
    </row>
    <row r="1370" spans="5:10" s="1297" customFormat="1">
      <c r="E1370" s="1297" t="s">
        <v>944</v>
      </c>
      <c r="F1370" s="1399">
        <v>6549458.8999999994</v>
      </c>
      <c r="G1370" s="1399"/>
      <c r="H1370" s="1399"/>
      <c r="I1370" s="1399"/>
      <c r="J1370" s="1399">
        <v>6549458.8999999994</v>
      </c>
    </row>
    <row r="1371" spans="5:10" s="1297" customFormat="1">
      <c r="E1371" s="1297" t="s">
        <v>945</v>
      </c>
      <c r="F1371" s="1399">
        <v>3692246.93</v>
      </c>
      <c r="G1371" s="1399"/>
      <c r="H1371" s="1399"/>
      <c r="I1371" s="1399"/>
      <c r="J1371" s="1399">
        <v>3692246.93</v>
      </c>
    </row>
    <row r="1372" spans="5:10" s="1297" customFormat="1">
      <c r="E1372" s="1297" t="s">
        <v>978</v>
      </c>
      <c r="F1372" s="1399">
        <v>1200</v>
      </c>
      <c r="G1372" s="1399"/>
      <c r="H1372" s="1399"/>
      <c r="I1372" s="1399"/>
      <c r="J1372" s="1399">
        <v>1200</v>
      </c>
    </row>
    <row r="1373" spans="5:10" s="1297" customFormat="1">
      <c r="E1373" s="1297" t="s">
        <v>947</v>
      </c>
      <c r="F1373" s="1399">
        <v>199936.18</v>
      </c>
      <c r="G1373" s="1399"/>
      <c r="H1373" s="1399"/>
      <c r="I1373" s="1399"/>
      <c r="J1373" s="1399">
        <v>199936.18</v>
      </c>
    </row>
    <row r="1374" spans="5:10" s="1297" customFormat="1">
      <c r="E1374" s="1404" t="s">
        <v>948</v>
      </c>
      <c r="F1374" s="1405"/>
      <c r="G1374" s="1405"/>
      <c r="H1374" s="1405">
        <v>7271305.2800000003</v>
      </c>
      <c r="I1374" s="1405"/>
      <c r="J1374" s="1405">
        <v>7271305.2800000003</v>
      </c>
    </row>
    <row r="1375" spans="5:10" s="1297" customFormat="1">
      <c r="E1375" s="1297" t="s">
        <v>956</v>
      </c>
      <c r="F1375" s="1399"/>
      <c r="G1375" s="1399"/>
      <c r="H1375" s="1399">
        <v>41596.44</v>
      </c>
      <c r="I1375" s="1399"/>
      <c r="J1375" s="1399">
        <v>41596.44</v>
      </c>
    </row>
    <row r="1376" spans="5:10" s="1297" customFormat="1">
      <c r="E1376" s="1297" t="s">
        <v>1118</v>
      </c>
      <c r="F1376" s="1399"/>
      <c r="G1376" s="1399"/>
      <c r="H1376" s="1399">
        <v>531970.51</v>
      </c>
      <c r="I1376" s="1399"/>
      <c r="J1376" s="1399">
        <v>531970.51</v>
      </c>
    </row>
    <row r="1377" spans="2:12">
      <c r="B1377" s="1297"/>
      <c r="C1377" s="1297"/>
      <c r="D1377" s="1400" t="s">
        <v>1077</v>
      </c>
      <c r="E1377" s="1400"/>
      <c r="F1377" s="1401">
        <f>SUM(F1333:F1376)</f>
        <v>14746585.5</v>
      </c>
      <c r="G1377" s="1401">
        <f>SUM(G1333:G1376)</f>
        <v>18205511.73</v>
      </c>
      <c r="H1377" s="1401">
        <f>SUM(H1333:H1376)-H1374</f>
        <v>4008650.9599999981</v>
      </c>
      <c r="I1377" s="1401">
        <f>SUM(I1333:I1376)-I1359</f>
        <v>50419837.690000005</v>
      </c>
      <c r="J1377" s="1401">
        <f>SUM(J1333:J1376)</f>
        <v>97397706.610000029</v>
      </c>
      <c r="K1377" s="1401">
        <f>SUM(F1377:I1377)</f>
        <v>87380585.879999995</v>
      </c>
      <c r="L1377" s="1408">
        <f>K1377/C1333</f>
        <v>10166.443965095985</v>
      </c>
    </row>
    <row r="1378" spans="2:12">
      <c r="B1378" s="1297" t="s">
        <v>1078</v>
      </c>
      <c r="C1378" s="1297">
        <v>23094</v>
      </c>
      <c r="D1378" s="1297" t="s">
        <v>1079</v>
      </c>
      <c r="E1378" s="1297" t="s">
        <v>906</v>
      </c>
      <c r="G1378" s="1399">
        <v>66880145.719999999</v>
      </c>
      <c r="J1378" s="1399">
        <v>66880145.719999999</v>
      </c>
    </row>
    <row r="1379" spans="2:12">
      <c r="B1379" s="1297"/>
      <c r="C1379" s="1297"/>
      <c r="D1379" s="1297"/>
      <c r="E1379" s="1297" t="s">
        <v>952</v>
      </c>
      <c r="G1379" s="1399">
        <v>1953174.72</v>
      </c>
      <c r="J1379" s="1399">
        <v>1953174.72</v>
      </c>
    </row>
    <row r="1380" spans="2:12">
      <c r="B1380" s="1297"/>
      <c r="C1380" s="1297"/>
      <c r="D1380" s="1297"/>
      <c r="E1380" s="1297" t="s">
        <v>907</v>
      </c>
      <c r="G1380" s="1399">
        <v>18162813.420000002</v>
      </c>
      <c r="J1380" s="1399">
        <v>18162813.420000002</v>
      </c>
    </row>
    <row r="1381" spans="2:12">
      <c r="B1381" s="1297"/>
      <c r="C1381" s="1297"/>
      <c r="D1381" s="1297"/>
      <c r="E1381" s="1297" t="s">
        <v>908</v>
      </c>
      <c r="G1381" s="1399">
        <v>16860.02</v>
      </c>
      <c r="J1381" s="1399">
        <v>16860.02</v>
      </c>
    </row>
    <row r="1382" spans="2:12">
      <c r="B1382" s="1297"/>
      <c r="C1382" s="1297"/>
      <c r="D1382" s="1297"/>
      <c r="E1382" s="1297" t="s">
        <v>909</v>
      </c>
      <c r="H1382" s="1399">
        <v>109684.5</v>
      </c>
      <c r="J1382" s="1399">
        <v>109684.5</v>
      </c>
    </row>
    <row r="1383" spans="2:12">
      <c r="B1383" s="1297"/>
      <c r="C1383" s="1297"/>
      <c r="D1383" s="1297"/>
      <c r="E1383" s="1297" t="s">
        <v>910</v>
      </c>
      <c r="H1383" s="1399">
        <v>1885320.2099999997</v>
      </c>
      <c r="J1383" s="1399">
        <v>1885320.2099999997</v>
      </c>
    </row>
    <row r="1384" spans="2:12">
      <c r="B1384" s="1297"/>
      <c r="C1384" s="1297"/>
      <c r="D1384" s="1297"/>
      <c r="E1384" s="1297" t="s">
        <v>1034</v>
      </c>
      <c r="H1384" s="1399">
        <v>376180.76999999996</v>
      </c>
      <c r="J1384" s="1399">
        <v>376180.76999999996</v>
      </c>
    </row>
    <row r="1385" spans="2:12">
      <c r="B1385" s="1297"/>
      <c r="C1385" s="1297"/>
      <c r="D1385" s="1297"/>
      <c r="E1385" s="1297" t="s">
        <v>1035</v>
      </c>
      <c r="H1385" s="1399">
        <v>5714566.0800000019</v>
      </c>
      <c r="J1385" s="1399">
        <v>5714566.0800000019</v>
      </c>
    </row>
    <row r="1386" spans="2:12">
      <c r="B1386" s="1297"/>
      <c r="C1386" s="1297"/>
      <c r="D1386" s="1297"/>
      <c r="E1386" s="1297" t="s">
        <v>1036</v>
      </c>
      <c r="H1386" s="1399">
        <v>510659.94999999995</v>
      </c>
      <c r="J1386" s="1399">
        <v>510659.94999999995</v>
      </c>
    </row>
    <row r="1387" spans="2:12">
      <c r="B1387" s="1297"/>
      <c r="C1387" s="1297"/>
      <c r="D1387" s="1297"/>
      <c r="E1387" s="1297" t="s">
        <v>1038</v>
      </c>
      <c r="H1387" s="1399">
        <v>174903.64</v>
      </c>
      <c r="J1387" s="1399">
        <v>174903.64</v>
      </c>
    </row>
    <row r="1388" spans="2:12">
      <c r="B1388" s="1297"/>
      <c r="C1388" s="1297"/>
      <c r="D1388" s="1297"/>
      <c r="E1388" s="1297" t="s">
        <v>1039</v>
      </c>
      <c r="H1388" s="1399">
        <v>194415.01000000013</v>
      </c>
      <c r="J1388" s="1399">
        <v>194415.01000000013</v>
      </c>
    </row>
    <row r="1389" spans="2:12">
      <c r="B1389" s="1297"/>
      <c r="C1389" s="1297"/>
      <c r="D1389" s="1297"/>
      <c r="E1389" s="1297" t="s">
        <v>1040</v>
      </c>
      <c r="H1389" s="1399">
        <v>3069163.2199999993</v>
      </c>
      <c r="J1389" s="1399">
        <v>3069163.2199999993</v>
      </c>
    </row>
    <row r="1390" spans="2:12">
      <c r="B1390" s="1297"/>
      <c r="C1390" s="1297"/>
      <c r="D1390" s="1297"/>
      <c r="E1390" s="1297" t="s">
        <v>1127</v>
      </c>
      <c r="H1390" s="1399">
        <v>205829.2</v>
      </c>
      <c r="J1390" s="1399">
        <v>205829.2</v>
      </c>
    </row>
    <row r="1391" spans="2:12">
      <c r="B1391" s="1297"/>
      <c r="C1391" s="1297"/>
      <c r="D1391" s="1297"/>
      <c r="E1391" s="1297" t="s">
        <v>1041</v>
      </c>
      <c r="H1391" s="1399">
        <v>885262.56</v>
      </c>
      <c r="J1391" s="1399">
        <v>885262.56</v>
      </c>
    </row>
    <row r="1392" spans="2:12">
      <c r="B1392" s="1297"/>
      <c r="C1392" s="1297"/>
      <c r="D1392" s="1297"/>
      <c r="E1392" s="1297" t="s">
        <v>1042</v>
      </c>
      <c r="H1392" s="1399">
        <v>152930.45000000001</v>
      </c>
      <c r="J1392" s="1399">
        <v>152930.45000000001</v>
      </c>
    </row>
    <row r="1393" spans="5:10" s="1297" customFormat="1">
      <c r="E1393" s="1297" t="s">
        <v>954</v>
      </c>
      <c r="F1393" s="1399"/>
      <c r="G1393" s="1399"/>
      <c r="H1393" s="1399">
        <v>1081745.1299999999</v>
      </c>
      <c r="I1393" s="1399"/>
      <c r="J1393" s="1399">
        <v>1081745.1299999999</v>
      </c>
    </row>
    <row r="1394" spans="5:10" s="1297" customFormat="1">
      <c r="E1394" s="1297" t="s">
        <v>1044</v>
      </c>
      <c r="F1394" s="1399">
        <v>222081.5</v>
      </c>
      <c r="G1394" s="1399"/>
      <c r="H1394" s="1399"/>
      <c r="I1394" s="1399"/>
      <c r="J1394" s="1399">
        <v>222081.5</v>
      </c>
    </row>
    <row r="1395" spans="5:10" s="1297" customFormat="1">
      <c r="E1395" s="1297" t="s">
        <v>1045</v>
      </c>
      <c r="F1395" s="1399"/>
      <c r="G1395" s="1399"/>
      <c r="H1395" s="1399">
        <v>952227.42999999993</v>
      </c>
      <c r="I1395" s="1399"/>
      <c r="J1395" s="1399">
        <v>952227.42999999993</v>
      </c>
    </row>
    <row r="1396" spans="5:10" s="1297" customFormat="1">
      <c r="E1396" s="1297" t="s">
        <v>1046</v>
      </c>
      <c r="F1396" s="1399"/>
      <c r="G1396" s="1399"/>
      <c r="H1396" s="1399"/>
      <c r="I1396" s="1399">
        <v>112596567</v>
      </c>
      <c r="J1396" s="1399">
        <v>112596567</v>
      </c>
    </row>
    <row r="1397" spans="5:10" s="1297" customFormat="1">
      <c r="E1397" s="1297" t="s">
        <v>1128</v>
      </c>
      <c r="F1397" s="1399"/>
      <c r="G1397" s="1399"/>
      <c r="H1397" s="1399"/>
      <c r="I1397" s="1399">
        <v>9834089</v>
      </c>
      <c r="J1397" s="1399">
        <v>9834089</v>
      </c>
    </row>
    <row r="1398" spans="5:10" s="1297" customFormat="1">
      <c r="E1398" s="1297" t="s">
        <v>1129</v>
      </c>
      <c r="F1398" s="1399"/>
      <c r="G1398" s="1399"/>
      <c r="H1398" s="1399"/>
      <c r="I1398" s="1399">
        <v>-14901370</v>
      </c>
      <c r="J1398" s="1399">
        <v>-14901370</v>
      </c>
    </row>
    <row r="1399" spans="5:10" s="1297" customFormat="1">
      <c r="E1399" s="1297" t="s">
        <v>1047</v>
      </c>
      <c r="F1399" s="1399"/>
      <c r="G1399" s="1399"/>
      <c r="H1399" s="1399"/>
      <c r="I1399" s="1399">
        <v>2013836</v>
      </c>
      <c r="J1399" s="1399">
        <v>2013836</v>
      </c>
    </row>
    <row r="1400" spans="5:10" s="1297" customFormat="1">
      <c r="E1400" s="1297" t="s">
        <v>1048</v>
      </c>
      <c r="F1400" s="1399"/>
      <c r="G1400" s="1399"/>
      <c r="H1400" s="1399"/>
      <c r="I1400" s="1399">
        <v>-18319740</v>
      </c>
      <c r="J1400" s="1399">
        <v>-18319740</v>
      </c>
    </row>
    <row r="1401" spans="5:10" s="1297" customFormat="1">
      <c r="E1401" s="1297" t="s">
        <v>932</v>
      </c>
      <c r="F1401" s="1399"/>
      <c r="G1401" s="1399"/>
      <c r="H1401" s="1399"/>
      <c r="I1401" s="1399">
        <v>6638611</v>
      </c>
      <c r="J1401" s="1399">
        <v>6638611</v>
      </c>
    </row>
    <row r="1402" spans="5:10" s="1297" customFormat="1">
      <c r="E1402" s="1404" t="s">
        <v>955</v>
      </c>
      <c r="F1402" s="1405"/>
      <c r="G1402" s="1405"/>
      <c r="H1402" s="1405"/>
      <c r="I1402" s="1405">
        <v>1862893.29</v>
      </c>
      <c r="J1402" s="1405">
        <v>1862893.29</v>
      </c>
    </row>
    <row r="1403" spans="5:10" s="1297" customFormat="1">
      <c r="E1403" s="1297" t="s">
        <v>934</v>
      </c>
      <c r="F1403" s="1399"/>
      <c r="G1403" s="1399"/>
      <c r="H1403" s="1399"/>
      <c r="I1403" s="1399">
        <v>282938</v>
      </c>
      <c r="J1403" s="1399">
        <v>282938</v>
      </c>
    </row>
    <row r="1404" spans="5:10" s="1297" customFormat="1">
      <c r="E1404" s="1297" t="s">
        <v>1130</v>
      </c>
      <c r="F1404" s="1399"/>
      <c r="G1404" s="1399"/>
      <c r="H1404" s="1399"/>
      <c r="I1404" s="1399">
        <v>3532521.6</v>
      </c>
      <c r="J1404" s="1399">
        <v>3532521.6</v>
      </c>
    </row>
    <row r="1405" spans="5:10" s="1297" customFormat="1">
      <c r="E1405" s="1297" t="s">
        <v>935</v>
      </c>
      <c r="F1405" s="1399"/>
      <c r="G1405" s="1399"/>
      <c r="H1405" s="1399"/>
      <c r="I1405" s="1399">
        <v>1134889.01</v>
      </c>
      <c r="J1405" s="1399">
        <v>1134889.01</v>
      </c>
    </row>
    <row r="1406" spans="5:10" s="1297" customFormat="1">
      <c r="E1406" s="1297" t="s">
        <v>936</v>
      </c>
      <c r="F1406" s="1399"/>
      <c r="G1406" s="1399"/>
      <c r="H1406" s="1399"/>
      <c r="I1406" s="1399">
        <v>310933.68</v>
      </c>
      <c r="J1406" s="1399">
        <v>310933.68</v>
      </c>
    </row>
    <row r="1407" spans="5:10" s="1297" customFormat="1">
      <c r="E1407" s="1297" t="s">
        <v>937</v>
      </c>
      <c r="F1407" s="1399"/>
      <c r="G1407" s="1399"/>
      <c r="H1407" s="1399"/>
      <c r="I1407" s="1399">
        <v>22491.23</v>
      </c>
      <c r="J1407" s="1399">
        <v>22491.23</v>
      </c>
    </row>
    <row r="1408" spans="5:10" s="1297" customFormat="1">
      <c r="E1408" s="1297" t="s">
        <v>938</v>
      </c>
      <c r="F1408" s="1399"/>
      <c r="G1408" s="1399"/>
      <c r="H1408" s="1399"/>
      <c r="I1408" s="1399">
        <v>112482</v>
      </c>
      <c r="J1408" s="1399">
        <v>112482</v>
      </c>
    </row>
    <row r="1409" spans="2:12">
      <c r="B1409" s="1297"/>
      <c r="C1409" s="1297"/>
      <c r="D1409" s="1297"/>
      <c r="E1409" s="1297" t="s">
        <v>939</v>
      </c>
      <c r="I1409" s="1399">
        <v>20427.669999999998</v>
      </c>
      <c r="J1409" s="1399">
        <v>20427.669999999998</v>
      </c>
    </row>
    <row r="1410" spans="2:12">
      <c r="B1410" s="1297"/>
      <c r="C1410" s="1297"/>
      <c r="D1410" s="1297"/>
      <c r="E1410" s="1297" t="s">
        <v>1131</v>
      </c>
      <c r="F1410" s="1399">
        <v>284947.5</v>
      </c>
      <c r="J1410" s="1399">
        <v>284947.5</v>
      </c>
    </row>
    <row r="1411" spans="2:12">
      <c r="B1411" s="1297"/>
      <c r="C1411" s="1297"/>
      <c r="D1411" s="1297"/>
      <c r="E1411" s="1297" t="s">
        <v>940</v>
      </c>
      <c r="F1411" s="1399">
        <v>3167548.4399999995</v>
      </c>
      <c r="J1411" s="1399">
        <v>3167548.4399999995</v>
      </c>
    </row>
    <row r="1412" spans="2:12">
      <c r="B1412" s="1297"/>
      <c r="C1412" s="1297"/>
      <c r="D1412" s="1297"/>
      <c r="E1412" s="1297" t="s">
        <v>941</v>
      </c>
      <c r="F1412" s="1399">
        <v>678320.90000000014</v>
      </c>
      <c r="J1412" s="1399">
        <v>678320.90000000014</v>
      </c>
    </row>
    <row r="1413" spans="2:12">
      <c r="B1413" s="1297"/>
      <c r="C1413" s="1297"/>
      <c r="D1413" s="1297"/>
      <c r="E1413" s="1297" t="s">
        <v>943</v>
      </c>
      <c r="F1413" s="1399">
        <v>19632.740000000002</v>
      </c>
      <c r="J1413" s="1399">
        <v>19632.740000000002</v>
      </c>
    </row>
    <row r="1414" spans="2:12">
      <c r="B1414" s="1297"/>
      <c r="C1414" s="1297"/>
      <c r="D1414" s="1297"/>
      <c r="E1414" s="1297" t="s">
        <v>944</v>
      </c>
      <c r="F1414" s="1399">
        <v>6222285.870000001</v>
      </c>
      <c r="J1414" s="1399">
        <v>6222285.870000001</v>
      </c>
    </row>
    <row r="1415" spans="2:12">
      <c r="B1415" s="1297"/>
      <c r="C1415" s="1297"/>
      <c r="D1415" s="1297"/>
      <c r="E1415" s="1297" t="s">
        <v>945</v>
      </c>
      <c r="F1415" s="1399">
        <v>7287681.04</v>
      </c>
      <c r="J1415" s="1399">
        <v>7287681.04</v>
      </c>
    </row>
    <row r="1416" spans="2:12">
      <c r="B1416" s="1297"/>
      <c r="C1416" s="1297"/>
      <c r="D1416" s="1297"/>
      <c r="E1416" s="1297" t="s">
        <v>1006</v>
      </c>
      <c r="F1416" s="1399">
        <v>480306.63</v>
      </c>
      <c r="J1416" s="1399">
        <v>480306.63</v>
      </c>
    </row>
    <row r="1417" spans="2:12">
      <c r="B1417" s="1297"/>
      <c r="C1417" s="1297"/>
      <c r="D1417" s="1297"/>
      <c r="E1417" s="1297" t="s">
        <v>947</v>
      </c>
      <c r="F1417" s="1399">
        <v>538644.05999999994</v>
      </c>
      <c r="J1417" s="1399">
        <v>538644.05999999994</v>
      </c>
    </row>
    <row r="1418" spans="2:12">
      <c r="B1418" s="1297"/>
      <c r="C1418" s="1297"/>
      <c r="D1418" s="1297"/>
      <c r="E1418" s="1404" t="s">
        <v>1116</v>
      </c>
      <c r="F1418" s="1405"/>
      <c r="G1418" s="1405"/>
      <c r="H1418" s="1405">
        <v>35000000</v>
      </c>
      <c r="I1418" s="1405"/>
      <c r="J1418" s="1405">
        <v>35000000</v>
      </c>
    </row>
    <row r="1419" spans="2:12">
      <c r="B1419" s="1297"/>
      <c r="C1419" s="1297"/>
      <c r="D1419" s="1297"/>
      <c r="E1419" s="1404" t="s">
        <v>1117</v>
      </c>
      <c r="F1419" s="1405"/>
      <c r="G1419" s="1405"/>
      <c r="H1419" s="1405">
        <v>3685575.45</v>
      </c>
      <c r="I1419" s="1405"/>
      <c r="J1419" s="1405">
        <v>3685575.45</v>
      </c>
    </row>
    <row r="1420" spans="2:12">
      <c r="B1420" s="1297"/>
      <c r="C1420" s="1297"/>
      <c r="D1420" s="1297"/>
      <c r="E1420" s="1404" t="s">
        <v>948</v>
      </c>
      <c r="F1420" s="1405"/>
      <c r="G1420" s="1405"/>
      <c r="H1420" s="1405">
        <v>25412030.180000011</v>
      </c>
      <c r="I1420" s="1405"/>
      <c r="J1420" s="1405">
        <v>25412030.180000011</v>
      </c>
    </row>
    <row r="1421" spans="2:12">
      <c r="B1421" s="1297"/>
      <c r="C1421" s="1297"/>
      <c r="D1421" s="1297"/>
      <c r="E1421" s="359" t="s">
        <v>1080</v>
      </c>
      <c r="F1421" s="1411"/>
      <c r="G1421" s="1411"/>
      <c r="H1421" s="1411">
        <v>78483.63</v>
      </c>
      <c r="I1421" s="1411"/>
      <c r="J1421" s="1411">
        <v>78483.63</v>
      </c>
    </row>
    <row r="1422" spans="2:12">
      <c r="B1422" s="1297"/>
      <c r="C1422" s="1297"/>
      <c r="D1422" s="1400" t="s">
        <v>1081</v>
      </c>
      <c r="E1422" s="1400"/>
      <c r="F1422" s="1401">
        <f>SUM(F1378:F1421)</f>
        <v>18901448.68</v>
      </c>
      <c r="G1422" s="1401">
        <f>SUM(G1378:G1421)</f>
        <v>87012993.879999995</v>
      </c>
      <c r="H1422" s="1401">
        <f>SUM(H1378:H1421)-(H1418+H1419+H1420)</f>
        <v>15391371.780000001</v>
      </c>
      <c r="I1422" s="1401">
        <f>SUM(I1378:I1421)-I1402</f>
        <v>103278676.19000001</v>
      </c>
      <c r="J1422" s="1401">
        <f>SUM(J1378:J1421)</f>
        <v>290544989.44999999</v>
      </c>
      <c r="K1422" s="1401">
        <f>SUM(F1422:I1422)</f>
        <v>224584490.53000003</v>
      </c>
      <c r="L1422" s="1408">
        <f>K1422/C1378</f>
        <v>9724.7982389365225</v>
      </c>
    </row>
    <row r="1423" spans="2:12">
      <c r="B1423" s="1297" t="s">
        <v>1082</v>
      </c>
      <c r="C1423" s="1297">
        <v>3077</v>
      </c>
      <c r="D1423" s="1297" t="s">
        <v>1083</v>
      </c>
      <c r="E1423" s="1297" t="s">
        <v>906</v>
      </c>
      <c r="G1423" s="1399">
        <v>5584989.5700000003</v>
      </c>
      <c r="J1423" s="1399">
        <v>5584989.5700000003</v>
      </c>
    </row>
    <row r="1424" spans="2:12">
      <c r="B1424" s="1297"/>
      <c r="C1424" s="1297"/>
      <c r="D1424" s="1297"/>
      <c r="E1424" s="1297" t="s">
        <v>952</v>
      </c>
      <c r="G1424" s="1399">
        <v>56567.06</v>
      </c>
      <c r="J1424" s="1399">
        <v>56567.06</v>
      </c>
    </row>
    <row r="1425" spans="5:10" s="1297" customFormat="1">
      <c r="E1425" s="1297" t="s">
        <v>907</v>
      </c>
      <c r="F1425" s="1399"/>
      <c r="G1425" s="1399">
        <v>1655269.22</v>
      </c>
      <c r="H1425" s="1399"/>
      <c r="I1425" s="1399"/>
      <c r="J1425" s="1399">
        <v>1655269.22</v>
      </c>
    </row>
    <row r="1426" spans="5:10" s="1297" customFormat="1">
      <c r="E1426" s="1297" t="s">
        <v>908</v>
      </c>
      <c r="F1426" s="1399"/>
      <c r="G1426" s="1399">
        <v>23924.13</v>
      </c>
      <c r="H1426" s="1399"/>
      <c r="I1426" s="1399"/>
      <c r="J1426" s="1399">
        <v>23924.13</v>
      </c>
    </row>
    <row r="1427" spans="5:10" s="1297" customFormat="1">
      <c r="E1427" s="1297" t="s">
        <v>909</v>
      </c>
      <c r="F1427" s="1399"/>
      <c r="G1427" s="1399"/>
      <c r="H1427" s="1399">
        <v>34866.99</v>
      </c>
      <c r="I1427" s="1399"/>
      <c r="J1427" s="1399">
        <v>34866.99</v>
      </c>
    </row>
    <row r="1428" spans="5:10" s="1297" customFormat="1">
      <c r="E1428" s="1297" t="s">
        <v>910</v>
      </c>
      <c r="F1428" s="1399"/>
      <c r="G1428" s="1399"/>
      <c r="H1428" s="1399">
        <v>68852.009999999995</v>
      </c>
      <c r="I1428" s="1399"/>
      <c r="J1428" s="1399">
        <v>68852.009999999995</v>
      </c>
    </row>
    <row r="1429" spans="5:10" s="1297" customFormat="1">
      <c r="E1429" s="1297" t="s">
        <v>1034</v>
      </c>
      <c r="F1429" s="1399"/>
      <c r="G1429" s="1399"/>
      <c r="H1429" s="1399">
        <v>32839.89</v>
      </c>
      <c r="I1429" s="1399"/>
      <c r="J1429" s="1399">
        <v>32839.89</v>
      </c>
    </row>
    <row r="1430" spans="5:10" s="1297" customFormat="1">
      <c r="E1430" s="1297" t="s">
        <v>1035</v>
      </c>
      <c r="F1430" s="1399"/>
      <c r="G1430" s="1399"/>
      <c r="H1430" s="1399">
        <v>47076.41</v>
      </c>
      <c r="I1430" s="1399"/>
      <c r="J1430" s="1399">
        <v>47076.41</v>
      </c>
    </row>
    <row r="1431" spans="5:10" s="1297" customFormat="1">
      <c r="E1431" s="1297" t="s">
        <v>1036</v>
      </c>
      <c r="F1431" s="1399"/>
      <c r="G1431" s="1399"/>
      <c r="H1431" s="1399">
        <v>9570.59</v>
      </c>
      <c r="I1431" s="1399"/>
      <c r="J1431" s="1399">
        <v>9570.59</v>
      </c>
    </row>
    <row r="1432" spans="5:10" s="1297" customFormat="1">
      <c r="E1432" s="1297" t="s">
        <v>1037</v>
      </c>
      <c r="F1432" s="1399"/>
      <c r="G1432" s="1399"/>
      <c r="H1432" s="1399">
        <v>4230</v>
      </c>
      <c r="I1432" s="1399"/>
      <c r="J1432" s="1399">
        <v>4230</v>
      </c>
    </row>
    <row r="1433" spans="5:10" s="1297" customFormat="1">
      <c r="E1433" s="1297" t="s">
        <v>1038</v>
      </c>
      <c r="F1433" s="1399"/>
      <c r="G1433" s="1399"/>
      <c r="H1433" s="1399">
        <v>650</v>
      </c>
      <c r="I1433" s="1399"/>
      <c r="J1433" s="1399">
        <v>650</v>
      </c>
    </row>
    <row r="1434" spans="5:10" s="1297" customFormat="1">
      <c r="E1434" s="1297" t="s">
        <v>1039</v>
      </c>
      <c r="F1434" s="1399"/>
      <c r="G1434" s="1399"/>
      <c r="H1434" s="1399">
        <v>13777.46</v>
      </c>
      <c r="I1434" s="1399"/>
      <c r="J1434" s="1399">
        <v>13777.46</v>
      </c>
    </row>
    <row r="1435" spans="5:10" s="1297" customFormat="1">
      <c r="E1435" s="1297" t="s">
        <v>1040</v>
      </c>
      <c r="F1435" s="1399"/>
      <c r="G1435" s="1399"/>
      <c r="H1435" s="1399">
        <v>153606.32</v>
      </c>
      <c r="I1435" s="1399"/>
      <c r="J1435" s="1399">
        <v>153606.32</v>
      </c>
    </row>
    <row r="1436" spans="5:10" s="1297" customFormat="1">
      <c r="E1436" s="1297" t="s">
        <v>1041</v>
      </c>
      <c r="F1436" s="1399"/>
      <c r="G1436" s="1399"/>
      <c r="H1436" s="1399">
        <v>58566.89</v>
      </c>
      <c r="I1436" s="1399"/>
      <c r="J1436" s="1399">
        <v>58566.89</v>
      </c>
    </row>
    <row r="1437" spans="5:10" s="1297" customFormat="1">
      <c r="E1437" s="1297" t="s">
        <v>1042</v>
      </c>
      <c r="F1437" s="1399"/>
      <c r="G1437" s="1399"/>
      <c r="H1437" s="1399">
        <v>56648.9</v>
      </c>
      <c r="I1437" s="1399"/>
      <c r="J1437" s="1399">
        <v>56648.9</v>
      </c>
    </row>
    <row r="1438" spans="5:10" s="1297" customFormat="1">
      <c r="E1438" s="1297" t="s">
        <v>986</v>
      </c>
      <c r="F1438" s="1399"/>
      <c r="G1438" s="1399"/>
      <c r="H1438" s="1399">
        <v>16788.52</v>
      </c>
      <c r="I1438" s="1399"/>
      <c r="J1438" s="1399">
        <v>16788.52</v>
      </c>
    </row>
    <row r="1439" spans="5:10" s="1297" customFormat="1">
      <c r="E1439" s="1297" t="s">
        <v>1045</v>
      </c>
      <c r="F1439" s="1399"/>
      <c r="G1439" s="1399"/>
      <c r="H1439" s="1399">
        <v>347168.75000000006</v>
      </c>
      <c r="I1439" s="1399"/>
      <c r="J1439" s="1399">
        <v>347168.75000000006</v>
      </c>
    </row>
    <row r="1440" spans="5:10" s="1297" customFormat="1">
      <c r="E1440" s="1297" t="s">
        <v>1046</v>
      </c>
      <c r="F1440" s="1399"/>
      <c r="G1440" s="1399"/>
      <c r="H1440" s="1399"/>
      <c r="I1440" s="1399">
        <v>14857163</v>
      </c>
      <c r="J1440" s="1399">
        <v>14857163</v>
      </c>
    </row>
    <row r="1441" spans="5:10" s="1297" customFormat="1">
      <c r="E1441" s="1297" t="s">
        <v>1047</v>
      </c>
      <c r="F1441" s="1399"/>
      <c r="G1441" s="1399"/>
      <c r="H1441" s="1399"/>
      <c r="I1441" s="1399">
        <v>414854</v>
      </c>
      <c r="J1441" s="1399">
        <v>414854</v>
      </c>
    </row>
    <row r="1442" spans="5:10" s="1297" customFormat="1">
      <c r="E1442" s="1297" t="s">
        <v>1048</v>
      </c>
      <c r="F1442" s="1399"/>
      <c r="G1442" s="1399"/>
      <c r="H1442" s="1399"/>
      <c r="I1442" s="1399">
        <v>-1664567</v>
      </c>
      <c r="J1442" s="1399">
        <v>-1664567</v>
      </c>
    </row>
    <row r="1443" spans="5:10" s="1297" customFormat="1">
      <c r="E1443" s="1297" t="s">
        <v>932</v>
      </c>
      <c r="F1443" s="1399"/>
      <c r="G1443" s="1399"/>
      <c r="H1443" s="1399"/>
      <c r="I1443" s="1399">
        <v>2243375</v>
      </c>
      <c r="J1443" s="1399">
        <v>2243375</v>
      </c>
    </row>
    <row r="1444" spans="5:10" s="1297" customFormat="1">
      <c r="E1444" s="1297" t="s">
        <v>933</v>
      </c>
      <c r="F1444" s="1399"/>
      <c r="G1444" s="1399"/>
      <c r="H1444" s="1399"/>
      <c r="I1444" s="1399">
        <v>1166686.92</v>
      </c>
      <c r="J1444" s="1399">
        <v>1166686.92</v>
      </c>
    </row>
    <row r="1445" spans="5:10" s="1297" customFormat="1">
      <c r="E1445" s="1297" t="s">
        <v>934</v>
      </c>
      <c r="F1445" s="1399"/>
      <c r="G1445" s="1399"/>
      <c r="H1445" s="1399"/>
      <c r="I1445" s="1399">
        <v>53328</v>
      </c>
      <c r="J1445" s="1399">
        <v>53328</v>
      </c>
    </row>
    <row r="1446" spans="5:10" s="1297" customFormat="1">
      <c r="E1446" s="1297" t="s">
        <v>935</v>
      </c>
      <c r="F1446" s="1399"/>
      <c r="G1446" s="1399"/>
      <c r="H1446" s="1399"/>
      <c r="I1446" s="1399">
        <v>379378.22000000003</v>
      </c>
      <c r="J1446" s="1399">
        <v>379378.22000000003</v>
      </c>
    </row>
    <row r="1447" spans="5:10" s="1297" customFormat="1">
      <c r="E1447" s="1297" t="s">
        <v>936</v>
      </c>
      <c r="F1447" s="1399"/>
      <c r="G1447" s="1399"/>
      <c r="H1447" s="1399"/>
      <c r="I1447" s="1399">
        <v>58124.99</v>
      </c>
      <c r="J1447" s="1399">
        <v>58124.99</v>
      </c>
    </row>
    <row r="1448" spans="5:10" s="1297" customFormat="1">
      <c r="E1448" s="1297" t="s">
        <v>937</v>
      </c>
      <c r="F1448" s="1399"/>
      <c r="G1448" s="1399"/>
      <c r="H1448" s="1399"/>
      <c r="I1448" s="1399">
        <v>11735.59</v>
      </c>
      <c r="J1448" s="1399">
        <v>11735.59</v>
      </c>
    </row>
    <row r="1449" spans="5:10" s="1297" customFormat="1">
      <c r="E1449" s="1297" t="s">
        <v>938</v>
      </c>
      <c r="F1449" s="1399"/>
      <c r="G1449" s="1399"/>
      <c r="H1449" s="1399"/>
      <c r="I1449" s="1399">
        <v>17967</v>
      </c>
      <c r="J1449" s="1399">
        <v>17967</v>
      </c>
    </row>
    <row r="1450" spans="5:10" s="1297" customFormat="1">
      <c r="E1450" s="1297" t="s">
        <v>939</v>
      </c>
      <c r="F1450" s="1399"/>
      <c r="G1450" s="1399"/>
      <c r="H1450" s="1399"/>
      <c r="I1450" s="1399">
        <v>225809.6</v>
      </c>
      <c r="J1450" s="1399">
        <v>225809.6</v>
      </c>
    </row>
    <row r="1451" spans="5:10" s="1297" customFormat="1">
      <c r="E1451" s="1297" t="s">
        <v>940</v>
      </c>
      <c r="F1451" s="1399">
        <v>872821.64</v>
      </c>
      <c r="G1451" s="1399"/>
      <c r="H1451" s="1399"/>
      <c r="I1451" s="1399"/>
      <c r="J1451" s="1399">
        <v>872821.64</v>
      </c>
    </row>
    <row r="1452" spans="5:10" s="1297" customFormat="1">
      <c r="E1452" s="1297" t="s">
        <v>941</v>
      </c>
      <c r="F1452" s="1399">
        <v>339005.44</v>
      </c>
      <c r="G1452" s="1399"/>
      <c r="H1452" s="1399"/>
      <c r="I1452" s="1399"/>
      <c r="J1452" s="1399">
        <v>339005.44</v>
      </c>
    </row>
    <row r="1453" spans="5:10" s="1297" customFormat="1">
      <c r="E1453" s="1297" t="s">
        <v>943</v>
      </c>
      <c r="F1453" s="1399">
        <v>8315.3799999999992</v>
      </c>
      <c r="G1453" s="1399"/>
      <c r="H1453" s="1399"/>
      <c r="I1453" s="1399"/>
      <c r="J1453" s="1399">
        <v>8315.3799999999992</v>
      </c>
    </row>
    <row r="1454" spans="5:10" s="1297" customFormat="1">
      <c r="E1454" s="1297" t="s">
        <v>944</v>
      </c>
      <c r="F1454" s="1399">
        <v>2349819.4499999997</v>
      </c>
      <c r="G1454" s="1399"/>
      <c r="H1454" s="1399"/>
      <c r="I1454" s="1399"/>
      <c r="J1454" s="1399">
        <v>2349819.4499999997</v>
      </c>
    </row>
    <row r="1455" spans="5:10" s="1297" customFormat="1">
      <c r="E1455" s="1297" t="s">
        <v>945</v>
      </c>
      <c r="F1455" s="1399">
        <v>1564061.5</v>
      </c>
      <c r="G1455" s="1399"/>
      <c r="H1455" s="1399"/>
      <c r="I1455" s="1399"/>
      <c r="J1455" s="1399">
        <v>1564061.5</v>
      </c>
    </row>
    <row r="1456" spans="5:10" s="1297" customFormat="1">
      <c r="E1456" s="1297" t="s">
        <v>946</v>
      </c>
      <c r="F1456" s="1399">
        <v>126215.28</v>
      </c>
      <c r="G1456" s="1399"/>
      <c r="H1456" s="1399"/>
      <c r="I1456" s="1399"/>
      <c r="J1456" s="1399">
        <v>126215.28</v>
      </c>
    </row>
    <row r="1457" spans="2:12">
      <c r="B1457" s="1297"/>
      <c r="C1457" s="1297"/>
      <c r="D1457" s="1297"/>
      <c r="E1457" s="1297" t="s">
        <v>947</v>
      </c>
      <c r="F1457" s="1399">
        <v>94631.41</v>
      </c>
      <c r="J1457" s="1399">
        <v>94631.41</v>
      </c>
    </row>
    <row r="1458" spans="2:12">
      <c r="B1458" s="1297"/>
      <c r="C1458" s="1297"/>
      <c r="D1458" s="1297"/>
      <c r="E1458" s="1404" t="s">
        <v>948</v>
      </c>
      <c r="F1458" s="1405"/>
      <c r="G1458" s="1405"/>
      <c r="H1458" s="1405">
        <v>2497391.3700000006</v>
      </c>
      <c r="I1458" s="1405"/>
      <c r="J1458" s="1405">
        <v>2497391.3700000006</v>
      </c>
    </row>
    <row r="1459" spans="2:12">
      <c r="B1459" s="1297"/>
      <c r="C1459" s="1297"/>
      <c r="D1459" s="1297"/>
      <c r="E1459" s="1297" t="s">
        <v>1118</v>
      </c>
      <c r="H1459" s="1399">
        <v>388070.04000000004</v>
      </c>
      <c r="J1459" s="1399">
        <v>388070.04000000004</v>
      </c>
    </row>
    <row r="1460" spans="2:12">
      <c r="B1460" s="1297"/>
      <c r="C1460" s="1297"/>
      <c r="D1460" s="1400" t="s">
        <v>1084</v>
      </c>
      <c r="E1460" s="1400"/>
      <c r="F1460" s="1401">
        <f>SUM(F1423:F1459)</f>
        <v>5354870.1000000006</v>
      </c>
      <c r="G1460" s="1401">
        <f>SUM(G1423:G1459)</f>
        <v>7320749.9799999995</v>
      </c>
      <c r="H1460" s="1401">
        <f>SUM(H1423:H1459)-H1458</f>
        <v>1232712.77</v>
      </c>
      <c r="I1460" s="1401">
        <f>SUM(I1423:I1459)</f>
        <v>17763855.32</v>
      </c>
      <c r="J1460" s="1401">
        <f>SUM(J1423:J1459)</f>
        <v>34169579.539999999</v>
      </c>
      <c r="K1460" s="1401">
        <f>SUM(F1460:I1460)</f>
        <v>31672188.170000002</v>
      </c>
      <c r="L1460" s="1408">
        <f>K1460/C1423</f>
        <v>10293.203825154371</v>
      </c>
    </row>
    <row r="1461" spans="2:12">
      <c r="B1461" s="1297" t="s">
        <v>1085</v>
      </c>
      <c r="C1461" s="1297">
        <v>21783</v>
      </c>
      <c r="D1461" s="1297" t="s">
        <v>1086</v>
      </c>
      <c r="E1461" s="1297" t="s">
        <v>906</v>
      </c>
      <c r="G1461" s="1399">
        <v>73521907.789999992</v>
      </c>
      <c r="J1461" s="1399">
        <v>73521907.789999992</v>
      </c>
    </row>
    <row r="1462" spans="2:12">
      <c r="B1462" s="1297"/>
      <c r="C1462" s="1297"/>
      <c r="D1462" s="1297"/>
      <c r="E1462" s="1297" t="s">
        <v>952</v>
      </c>
      <c r="G1462" s="1399">
        <v>1083489.92</v>
      </c>
      <c r="J1462" s="1399">
        <v>1083489.92</v>
      </c>
    </row>
    <row r="1463" spans="2:12">
      <c r="B1463" s="1297"/>
      <c r="C1463" s="1297"/>
      <c r="D1463" s="1297"/>
      <c r="E1463" s="1297" t="s">
        <v>907</v>
      </c>
      <c r="G1463" s="1399">
        <v>19188526.219999999</v>
      </c>
      <c r="J1463" s="1399">
        <v>19188526.219999999</v>
      </c>
    </row>
    <row r="1464" spans="2:12">
      <c r="B1464" s="1297"/>
      <c r="C1464" s="1297"/>
      <c r="D1464" s="1297"/>
      <c r="E1464" s="1297" t="s">
        <v>908</v>
      </c>
      <c r="G1464" s="1399">
        <v>56682.93</v>
      </c>
      <c r="J1464" s="1399">
        <v>56682.93</v>
      </c>
    </row>
    <row r="1465" spans="2:12">
      <c r="B1465" s="1297"/>
      <c r="C1465" s="1297"/>
      <c r="D1465" s="1297"/>
      <c r="E1465" s="1297" t="s">
        <v>909</v>
      </c>
      <c r="H1465" s="1399">
        <v>73219.899999999994</v>
      </c>
      <c r="J1465" s="1399">
        <v>73219.899999999994</v>
      </c>
    </row>
    <row r="1466" spans="2:12">
      <c r="B1466" s="1297"/>
      <c r="C1466" s="1297"/>
      <c r="D1466" s="1297"/>
      <c r="E1466" s="1297" t="s">
        <v>1034</v>
      </c>
      <c r="H1466" s="1399">
        <v>512233.88</v>
      </c>
      <c r="J1466" s="1399">
        <v>512233.88</v>
      </c>
    </row>
    <row r="1467" spans="2:12">
      <c r="B1467" s="1297"/>
      <c r="C1467" s="1297"/>
      <c r="D1467" s="1297"/>
      <c r="E1467" s="1297" t="s">
        <v>1035</v>
      </c>
      <c r="H1467" s="1399">
        <v>2300484.7000000002</v>
      </c>
      <c r="J1467" s="1399">
        <v>2300484.7000000002</v>
      </c>
    </row>
    <row r="1468" spans="2:12">
      <c r="B1468" s="1297"/>
      <c r="C1468" s="1297"/>
      <c r="D1468" s="1297"/>
      <c r="E1468" s="1297" t="s">
        <v>1036</v>
      </c>
      <c r="H1468" s="1399">
        <v>586180.12</v>
      </c>
      <c r="J1468" s="1399">
        <v>586180.12</v>
      </c>
    </row>
    <row r="1469" spans="2:12">
      <c r="B1469" s="1297"/>
      <c r="C1469" s="1297"/>
      <c r="D1469" s="1297"/>
      <c r="E1469" s="1297" t="s">
        <v>1037</v>
      </c>
      <c r="H1469" s="1399">
        <v>48400</v>
      </c>
      <c r="J1469" s="1399">
        <v>48400</v>
      </c>
    </row>
    <row r="1470" spans="2:12">
      <c r="B1470" s="1297"/>
      <c r="C1470" s="1297"/>
      <c r="D1470" s="1297"/>
      <c r="E1470" s="1297" t="s">
        <v>1039</v>
      </c>
      <c r="H1470" s="1399">
        <v>177703.58</v>
      </c>
      <c r="J1470" s="1399">
        <v>177703.58</v>
      </c>
    </row>
    <row r="1471" spans="2:12">
      <c r="B1471" s="1297"/>
      <c r="C1471" s="1297"/>
      <c r="D1471" s="1297"/>
      <c r="E1471" s="1297" t="s">
        <v>1040</v>
      </c>
      <c r="H1471" s="1399">
        <v>2781167.6400000011</v>
      </c>
      <c r="J1471" s="1399">
        <v>2781167.6400000011</v>
      </c>
    </row>
    <row r="1472" spans="2:12">
      <c r="B1472" s="1297"/>
      <c r="C1472" s="1297"/>
      <c r="D1472" s="1297"/>
      <c r="E1472" s="1297" t="s">
        <v>1041</v>
      </c>
      <c r="H1472" s="1399">
        <v>109897.68</v>
      </c>
      <c r="J1472" s="1399">
        <v>109897.68</v>
      </c>
    </row>
    <row r="1473" spans="5:10" s="1297" customFormat="1">
      <c r="E1473" s="1297" t="s">
        <v>1042</v>
      </c>
      <c r="F1473" s="1399"/>
      <c r="G1473" s="1399"/>
      <c r="H1473" s="1399">
        <v>214087.50000000003</v>
      </c>
      <c r="I1473" s="1399"/>
      <c r="J1473" s="1399">
        <v>214087.50000000003</v>
      </c>
    </row>
    <row r="1474" spans="5:10" s="1297" customFormat="1">
      <c r="E1474" s="1297" t="s">
        <v>985</v>
      </c>
      <c r="F1474" s="1399"/>
      <c r="G1474" s="1399"/>
      <c r="H1474" s="1399">
        <v>994443</v>
      </c>
      <c r="I1474" s="1399"/>
      <c r="J1474" s="1399">
        <v>994443</v>
      </c>
    </row>
    <row r="1475" spans="5:10" s="1297" customFormat="1">
      <c r="E1475" s="1297" t="s">
        <v>1044</v>
      </c>
      <c r="F1475" s="1399">
        <v>244307.92</v>
      </c>
      <c r="G1475" s="1399"/>
      <c r="H1475" s="1399"/>
      <c r="I1475" s="1399"/>
      <c r="J1475" s="1399">
        <v>244307.92</v>
      </c>
    </row>
    <row r="1476" spans="5:10" s="1297" customFormat="1">
      <c r="E1476" s="1297" t="s">
        <v>1045</v>
      </c>
      <c r="F1476" s="1399"/>
      <c r="G1476" s="1399"/>
      <c r="H1476" s="1399">
        <v>1031304.4099999999</v>
      </c>
      <c r="I1476" s="1399"/>
      <c r="J1476" s="1399">
        <v>1031304.4099999999</v>
      </c>
    </row>
    <row r="1477" spans="5:10" s="1297" customFormat="1">
      <c r="E1477" s="1297" t="s">
        <v>1046</v>
      </c>
      <c r="F1477" s="1399"/>
      <c r="G1477" s="1399"/>
      <c r="H1477" s="1399"/>
      <c r="I1477" s="1399">
        <v>118804604</v>
      </c>
      <c r="J1477" s="1399">
        <v>118804604</v>
      </c>
    </row>
    <row r="1478" spans="5:10" s="1297" customFormat="1">
      <c r="E1478" s="1297" t="s">
        <v>1129</v>
      </c>
      <c r="F1478" s="1399"/>
      <c r="G1478" s="1399"/>
      <c r="H1478" s="1399"/>
      <c r="I1478" s="1399">
        <v>-14832476</v>
      </c>
      <c r="J1478" s="1399">
        <v>-14832476</v>
      </c>
    </row>
    <row r="1479" spans="5:10" s="1297" customFormat="1">
      <c r="E1479" s="1297" t="s">
        <v>1047</v>
      </c>
      <c r="F1479" s="1399"/>
      <c r="G1479" s="1399"/>
      <c r="H1479" s="1399"/>
      <c r="I1479" s="1399">
        <v>2082429</v>
      </c>
      <c r="J1479" s="1399">
        <v>2082429</v>
      </c>
    </row>
    <row r="1480" spans="5:10" s="1297" customFormat="1">
      <c r="E1480" s="1297" t="s">
        <v>1048</v>
      </c>
      <c r="F1480" s="1399"/>
      <c r="G1480" s="1399"/>
      <c r="H1480" s="1399"/>
      <c r="I1480" s="1399">
        <v>-20594102</v>
      </c>
      <c r="J1480" s="1399">
        <v>-20594102</v>
      </c>
    </row>
    <row r="1481" spans="5:10" s="1297" customFormat="1">
      <c r="E1481" s="1297" t="s">
        <v>932</v>
      </c>
      <c r="F1481" s="1399"/>
      <c r="G1481" s="1399"/>
      <c r="H1481" s="1399"/>
      <c r="I1481" s="1399">
        <v>3510445</v>
      </c>
      <c r="J1481" s="1399">
        <v>3510445</v>
      </c>
    </row>
    <row r="1482" spans="5:10" s="1297" customFormat="1">
      <c r="E1482" s="1404" t="s">
        <v>955</v>
      </c>
      <c r="F1482" s="1405"/>
      <c r="G1482" s="1405"/>
      <c r="H1482" s="1405"/>
      <c r="I1482" s="1405">
        <v>2520060.96</v>
      </c>
      <c r="J1482" s="1405">
        <v>2520060.96</v>
      </c>
    </row>
    <row r="1483" spans="5:10" s="1297" customFormat="1">
      <c r="E1483" s="1297" t="s">
        <v>934</v>
      </c>
      <c r="F1483" s="1399"/>
      <c r="G1483" s="1399"/>
      <c r="H1483" s="1399"/>
      <c r="I1483" s="1399">
        <v>295742</v>
      </c>
      <c r="J1483" s="1399">
        <v>295742</v>
      </c>
    </row>
    <row r="1484" spans="5:10" s="1297" customFormat="1">
      <c r="E1484" s="1297" t="s">
        <v>1130</v>
      </c>
      <c r="F1484" s="1399"/>
      <c r="G1484" s="1399"/>
      <c r="H1484" s="1399"/>
      <c r="I1484" s="1399">
        <v>2970251.88</v>
      </c>
      <c r="J1484" s="1399">
        <v>2970251.88</v>
      </c>
    </row>
    <row r="1485" spans="5:10" s="1297" customFormat="1">
      <c r="E1485" s="1297" t="s">
        <v>935</v>
      </c>
      <c r="F1485" s="1399"/>
      <c r="G1485" s="1399"/>
      <c r="H1485" s="1399"/>
      <c r="I1485" s="1399">
        <v>1260595.4400000002</v>
      </c>
      <c r="J1485" s="1399">
        <v>1260595.4400000002</v>
      </c>
    </row>
    <row r="1486" spans="5:10" s="1297" customFormat="1">
      <c r="E1486" s="1297" t="s">
        <v>936</v>
      </c>
      <c r="F1486" s="1399"/>
      <c r="G1486" s="1399"/>
      <c r="H1486" s="1399"/>
      <c r="I1486" s="1399">
        <v>335444.21000000002</v>
      </c>
      <c r="J1486" s="1399">
        <v>335444.21000000002</v>
      </c>
    </row>
    <row r="1487" spans="5:10" s="1297" customFormat="1">
      <c r="E1487" s="1297" t="s">
        <v>938</v>
      </c>
      <c r="F1487" s="1399"/>
      <c r="G1487" s="1399"/>
      <c r="H1487" s="1399"/>
      <c r="I1487" s="1399">
        <v>125022</v>
      </c>
      <c r="J1487" s="1399">
        <v>125022</v>
      </c>
    </row>
    <row r="1488" spans="5:10" s="1297" customFormat="1">
      <c r="E1488" s="1297" t="s">
        <v>939</v>
      </c>
      <c r="F1488" s="1399"/>
      <c r="G1488" s="1399"/>
      <c r="H1488" s="1399"/>
      <c r="I1488" s="1399">
        <v>40755.89</v>
      </c>
      <c r="J1488" s="1399">
        <v>40755.89</v>
      </c>
    </row>
    <row r="1489" spans="2:12">
      <c r="B1489" s="1297"/>
      <c r="C1489" s="1297"/>
      <c r="D1489" s="1297"/>
      <c r="E1489" s="1297" t="s">
        <v>1131</v>
      </c>
      <c r="F1489" s="1399">
        <v>190339.52</v>
      </c>
      <c r="J1489" s="1399">
        <v>190339.52</v>
      </c>
    </row>
    <row r="1490" spans="2:12">
      <c r="B1490" s="1297"/>
      <c r="C1490" s="1297"/>
      <c r="D1490" s="1297"/>
      <c r="E1490" s="1297" t="s">
        <v>940</v>
      </c>
      <c r="F1490" s="1399">
        <v>3968224.3999999994</v>
      </c>
      <c r="J1490" s="1399">
        <v>3968224.3999999994</v>
      </c>
    </row>
    <row r="1491" spans="2:12">
      <c r="B1491" s="1297"/>
      <c r="C1491" s="1297"/>
      <c r="D1491" s="1297"/>
      <c r="E1491" s="1297" t="s">
        <v>941</v>
      </c>
      <c r="F1491" s="1399">
        <v>1042471.2600000002</v>
      </c>
      <c r="J1491" s="1399">
        <v>1042471.2600000002</v>
      </c>
    </row>
    <row r="1492" spans="2:12">
      <c r="B1492" s="1297"/>
      <c r="C1492" s="1297"/>
      <c r="D1492" s="1297"/>
      <c r="E1492" s="1297" t="s">
        <v>944</v>
      </c>
      <c r="F1492" s="1399">
        <v>8268146.9299999997</v>
      </c>
      <c r="J1492" s="1399">
        <v>8268146.9299999997</v>
      </c>
    </row>
    <row r="1493" spans="2:12">
      <c r="B1493" s="1297"/>
      <c r="C1493" s="1297"/>
      <c r="D1493" s="1297"/>
      <c r="E1493" s="1297" t="s">
        <v>945</v>
      </c>
      <c r="F1493" s="1399">
        <v>6995934.7299999995</v>
      </c>
      <c r="J1493" s="1399">
        <v>6995934.7299999995</v>
      </c>
    </row>
    <row r="1494" spans="2:12">
      <c r="B1494" s="1297"/>
      <c r="C1494" s="1297"/>
      <c r="D1494" s="1297"/>
      <c r="E1494" s="1297" t="s">
        <v>946</v>
      </c>
      <c r="F1494" s="1399">
        <v>823248.13</v>
      </c>
      <c r="J1494" s="1399">
        <v>823248.13</v>
      </c>
    </row>
    <row r="1495" spans="2:12">
      <c r="B1495" s="1297"/>
      <c r="C1495" s="1297"/>
      <c r="D1495" s="1297"/>
      <c r="E1495" s="1297" t="s">
        <v>947</v>
      </c>
      <c r="F1495" s="1399">
        <v>276717.33</v>
      </c>
      <c r="J1495" s="1399">
        <v>276717.33</v>
      </c>
    </row>
    <row r="1496" spans="2:12">
      <c r="B1496" s="1297"/>
      <c r="C1496" s="1297"/>
      <c r="D1496" s="1297"/>
      <c r="E1496" s="1404" t="s">
        <v>948</v>
      </c>
      <c r="F1496" s="1405"/>
      <c r="G1496" s="1405"/>
      <c r="H1496" s="1405">
        <v>15766588.520000001</v>
      </c>
      <c r="I1496" s="1405"/>
      <c r="J1496" s="1405">
        <v>15766588.520000001</v>
      </c>
    </row>
    <row r="1497" spans="2:12">
      <c r="B1497" s="1297"/>
      <c r="C1497" s="1297"/>
      <c r="D1497" s="1297"/>
      <c r="E1497" s="1297" t="s">
        <v>956</v>
      </c>
      <c r="H1497" s="1399">
        <v>119568.12000000001</v>
      </c>
      <c r="J1497" s="1399">
        <v>119568.12000000001</v>
      </c>
    </row>
    <row r="1498" spans="2:12">
      <c r="B1498" s="1297"/>
      <c r="C1498" s="1297"/>
      <c r="D1498" s="1400" t="s">
        <v>1087</v>
      </c>
      <c r="E1498" s="1400"/>
      <c r="F1498" s="1401">
        <f>SUM(F1461:F1497)</f>
        <v>21809390.219999995</v>
      </c>
      <c r="G1498" s="1401">
        <f>SUM(G1461:G1497)</f>
        <v>93850606.859999999</v>
      </c>
      <c r="H1498" s="1401">
        <f>SUM(H1461:H1497)-H1496</f>
        <v>8948690.5300000031</v>
      </c>
      <c r="I1498" s="1401">
        <f>SUM(I1461:I1497)-I1482</f>
        <v>93998711.419999987</v>
      </c>
      <c r="J1498" s="1401">
        <f>SUM(J1461:J1497)</f>
        <v>236894048.51000002</v>
      </c>
      <c r="K1498" s="1401">
        <f>SUM(F1498:I1498)</f>
        <v>218607399.02999997</v>
      </c>
      <c r="L1498" s="1408">
        <f>K1498/C1461</f>
        <v>10035.688336317311</v>
      </c>
    </row>
    <row r="1499" spans="2:12">
      <c r="B1499" s="1297" t="s">
        <v>1088</v>
      </c>
      <c r="C1499" s="1297">
        <v>1805</v>
      </c>
      <c r="D1499" s="1297" t="s">
        <v>1089</v>
      </c>
      <c r="E1499" s="1297" t="s">
        <v>906</v>
      </c>
      <c r="G1499" s="1399">
        <v>3978390.69</v>
      </c>
      <c r="J1499" s="1399">
        <v>3978390.69</v>
      </c>
    </row>
    <row r="1500" spans="2:12">
      <c r="B1500" s="1297"/>
      <c r="C1500" s="1297"/>
      <c r="D1500" s="1297"/>
      <c r="E1500" s="1297" t="s">
        <v>952</v>
      </c>
      <c r="G1500" s="1399">
        <v>35506.14</v>
      </c>
      <c r="J1500" s="1399">
        <v>35506.14</v>
      </c>
    </row>
    <row r="1501" spans="2:12">
      <c r="B1501" s="1297"/>
      <c r="C1501" s="1297"/>
      <c r="D1501" s="1297"/>
      <c r="E1501" s="1297" t="s">
        <v>907</v>
      </c>
      <c r="G1501" s="1399">
        <v>593403.49</v>
      </c>
      <c r="J1501" s="1399">
        <v>593403.49</v>
      </c>
    </row>
    <row r="1502" spans="2:12">
      <c r="B1502" s="1297"/>
      <c r="C1502" s="1297"/>
      <c r="D1502" s="1297"/>
      <c r="E1502" s="1297" t="s">
        <v>908</v>
      </c>
      <c r="G1502" s="1399">
        <v>4262</v>
      </c>
      <c r="J1502" s="1399">
        <v>4262</v>
      </c>
    </row>
    <row r="1503" spans="2:12">
      <c r="B1503" s="1297"/>
      <c r="C1503" s="1297"/>
      <c r="D1503" s="1297"/>
      <c r="E1503" s="1297" t="s">
        <v>909</v>
      </c>
      <c r="H1503" s="1399">
        <v>8243.0600000000013</v>
      </c>
      <c r="J1503" s="1399">
        <v>8243.0600000000013</v>
      </c>
    </row>
    <row r="1504" spans="2:12">
      <c r="B1504" s="1297"/>
      <c r="C1504" s="1297"/>
      <c r="D1504" s="1297"/>
      <c r="E1504" s="1297" t="s">
        <v>910</v>
      </c>
      <c r="H1504" s="1399">
        <v>137635.85999999999</v>
      </c>
      <c r="J1504" s="1399">
        <v>137635.85999999999</v>
      </c>
    </row>
    <row r="1505" spans="5:10" s="1297" customFormat="1">
      <c r="E1505" s="1297" t="s">
        <v>1034</v>
      </c>
      <c r="F1505" s="1399"/>
      <c r="G1505" s="1399"/>
      <c r="H1505" s="1399">
        <v>16188.259999999998</v>
      </c>
      <c r="I1505" s="1399"/>
      <c r="J1505" s="1399">
        <v>16188.259999999998</v>
      </c>
    </row>
    <row r="1506" spans="5:10" s="1297" customFormat="1">
      <c r="E1506" s="1297" t="s">
        <v>1035</v>
      </c>
      <c r="F1506" s="1399"/>
      <c r="G1506" s="1399"/>
      <c r="H1506" s="1399">
        <v>144240.60999999999</v>
      </c>
      <c r="I1506" s="1399"/>
      <c r="J1506" s="1399">
        <v>144240.60999999999</v>
      </c>
    </row>
    <row r="1507" spans="5:10" s="1297" customFormat="1">
      <c r="E1507" s="1297" t="s">
        <v>1036</v>
      </c>
      <c r="F1507" s="1399"/>
      <c r="G1507" s="1399"/>
      <c r="H1507" s="1399">
        <v>55080.25</v>
      </c>
      <c r="I1507" s="1399"/>
      <c r="J1507" s="1399">
        <v>55080.25</v>
      </c>
    </row>
    <row r="1508" spans="5:10" s="1297" customFormat="1">
      <c r="E1508" s="1297" t="s">
        <v>1039</v>
      </c>
      <c r="F1508" s="1399"/>
      <c r="G1508" s="1399"/>
      <c r="H1508" s="1399">
        <v>5240.45</v>
      </c>
      <c r="I1508" s="1399"/>
      <c r="J1508" s="1399">
        <v>5240.45</v>
      </c>
    </row>
    <row r="1509" spans="5:10" s="1297" customFormat="1">
      <c r="E1509" s="1297" t="s">
        <v>1040</v>
      </c>
      <c r="F1509" s="1399"/>
      <c r="G1509" s="1399"/>
      <c r="H1509" s="1399">
        <v>115796.65</v>
      </c>
      <c r="I1509" s="1399"/>
      <c r="J1509" s="1399">
        <v>115796.65</v>
      </c>
    </row>
    <row r="1510" spans="5:10" s="1297" customFormat="1">
      <c r="E1510" s="1297" t="s">
        <v>1041</v>
      </c>
      <c r="F1510" s="1399"/>
      <c r="G1510" s="1399"/>
      <c r="H1510" s="1399">
        <v>30519.200000000001</v>
      </c>
      <c r="I1510" s="1399"/>
      <c r="J1510" s="1399">
        <v>30519.200000000001</v>
      </c>
    </row>
    <row r="1511" spans="5:10" s="1297" customFormat="1">
      <c r="E1511" s="1297" t="s">
        <v>1042</v>
      </c>
      <c r="F1511" s="1399"/>
      <c r="G1511" s="1399"/>
      <c r="H1511" s="1399">
        <v>39260.980000000003</v>
      </c>
      <c r="I1511" s="1399"/>
      <c r="J1511" s="1399">
        <v>39260.980000000003</v>
      </c>
    </row>
    <row r="1512" spans="5:10" s="1297" customFormat="1">
      <c r="E1512" s="1297" t="s">
        <v>1045</v>
      </c>
      <c r="F1512" s="1399"/>
      <c r="G1512" s="1399"/>
      <c r="H1512" s="1399">
        <v>130524.79</v>
      </c>
      <c r="I1512" s="1399"/>
      <c r="J1512" s="1399">
        <v>130524.79</v>
      </c>
    </row>
    <row r="1513" spans="5:10" s="1297" customFormat="1">
      <c r="E1513" s="1297" t="s">
        <v>1046</v>
      </c>
      <c r="F1513" s="1399"/>
      <c r="G1513" s="1399"/>
      <c r="H1513" s="1399"/>
      <c r="I1513" s="1399">
        <v>10356672</v>
      </c>
      <c r="J1513" s="1399">
        <v>10356672</v>
      </c>
    </row>
    <row r="1514" spans="5:10" s="1297" customFormat="1">
      <c r="E1514" s="1297" t="s">
        <v>1129</v>
      </c>
      <c r="F1514" s="1399"/>
      <c r="G1514" s="1399"/>
      <c r="H1514" s="1399"/>
      <c r="I1514" s="1399">
        <v>-1254798</v>
      </c>
      <c r="J1514" s="1399">
        <v>-1254798</v>
      </c>
    </row>
    <row r="1515" spans="5:10" s="1297" customFormat="1">
      <c r="E1515" s="1297" t="s">
        <v>1047</v>
      </c>
      <c r="F1515" s="1399"/>
      <c r="G1515" s="1399"/>
      <c r="H1515" s="1399"/>
      <c r="I1515" s="1399">
        <v>369566</v>
      </c>
      <c r="J1515" s="1399">
        <v>369566</v>
      </c>
    </row>
    <row r="1516" spans="5:10" s="1297" customFormat="1">
      <c r="E1516" s="1297" t="s">
        <v>1048</v>
      </c>
      <c r="F1516" s="1399"/>
      <c r="G1516" s="1399"/>
      <c r="H1516" s="1399"/>
      <c r="I1516" s="1399">
        <v>-1336712</v>
      </c>
      <c r="J1516" s="1399">
        <v>-1336712</v>
      </c>
    </row>
    <row r="1517" spans="5:10" s="1297" customFormat="1">
      <c r="E1517" s="1297" t="s">
        <v>932</v>
      </c>
      <c r="F1517" s="1399"/>
      <c r="G1517" s="1399"/>
      <c r="H1517" s="1399"/>
      <c r="I1517" s="1399">
        <v>613294</v>
      </c>
      <c r="J1517" s="1399">
        <v>613294</v>
      </c>
    </row>
    <row r="1518" spans="5:10" s="1297" customFormat="1">
      <c r="E1518" s="1297" t="s">
        <v>933</v>
      </c>
      <c r="F1518" s="1399"/>
      <c r="G1518" s="1399"/>
      <c r="H1518" s="1399"/>
      <c r="I1518" s="1399">
        <v>445286.96</v>
      </c>
      <c r="J1518" s="1399">
        <v>445286.96</v>
      </c>
    </row>
    <row r="1519" spans="5:10" s="1297" customFormat="1">
      <c r="E1519" s="1297" t="s">
        <v>934</v>
      </c>
      <c r="F1519" s="1399"/>
      <c r="G1519" s="1399"/>
      <c r="H1519" s="1399"/>
      <c r="I1519" s="1399">
        <v>33538</v>
      </c>
      <c r="J1519" s="1399">
        <v>33538</v>
      </c>
    </row>
    <row r="1520" spans="5:10" s="1297" customFormat="1">
      <c r="E1520" s="1297" t="s">
        <v>1130</v>
      </c>
      <c r="F1520" s="1399"/>
      <c r="G1520" s="1399"/>
      <c r="H1520" s="1399"/>
      <c r="I1520" s="1399">
        <v>496498</v>
      </c>
      <c r="J1520" s="1399">
        <v>496498</v>
      </c>
    </row>
    <row r="1521" spans="2:12">
      <c r="B1521" s="1297"/>
      <c r="C1521" s="1297"/>
      <c r="D1521" s="1297"/>
      <c r="E1521" s="1297" t="s">
        <v>935</v>
      </c>
      <c r="I1521" s="1399">
        <v>-347136.67000000004</v>
      </c>
      <c r="J1521" s="1399">
        <v>-347136.67000000004</v>
      </c>
    </row>
    <row r="1522" spans="2:12">
      <c r="B1522" s="1297"/>
      <c r="C1522" s="1297"/>
      <c r="D1522" s="1297"/>
      <c r="E1522" s="1297" t="s">
        <v>936</v>
      </c>
      <c r="I1522" s="1399">
        <v>27661.89</v>
      </c>
      <c r="J1522" s="1399">
        <v>27661.89</v>
      </c>
    </row>
    <row r="1523" spans="2:12">
      <c r="B1523" s="1297"/>
      <c r="C1523" s="1297"/>
      <c r="D1523" s="1297"/>
      <c r="E1523" s="1297" t="s">
        <v>937</v>
      </c>
      <c r="I1523" s="1399">
        <v>14234.79</v>
      </c>
      <c r="J1523" s="1399">
        <v>14234.79</v>
      </c>
    </row>
    <row r="1524" spans="2:12">
      <c r="B1524" s="1297"/>
      <c r="C1524" s="1297"/>
      <c r="D1524" s="1297"/>
      <c r="E1524" s="1297" t="s">
        <v>938</v>
      </c>
      <c r="I1524" s="1399">
        <v>10855</v>
      </c>
      <c r="J1524" s="1399">
        <v>10855</v>
      </c>
    </row>
    <row r="1525" spans="2:12">
      <c r="B1525" s="1297"/>
      <c r="C1525" s="1297"/>
      <c r="D1525" s="1297"/>
      <c r="E1525" s="1297" t="s">
        <v>939</v>
      </c>
      <c r="I1525" s="1399">
        <v>6880.13</v>
      </c>
      <c r="J1525" s="1399">
        <v>6880.13</v>
      </c>
    </row>
    <row r="1526" spans="2:12">
      <c r="B1526" s="1297"/>
      <c r="C1526" s="1297"/>
      <c r="D1526" s="1297"/>
      <c r="E1526" s="1297" t="s">
        <v>1131</v>
      </c>
      <c r="F1526" s="1399">
        <v>60353.61</v>
      </c>
      <c r="J1526" s="1399">
        <v>60353.61</v>
      </c>
    </row>
    <row r="1527" spans="2:12">
      <c r="B1527" s="1297"/>
      <c r="C1527" s="1297"/>
      <c r="D1527" s="1297"/>
      <c r="E1527" s="1297" t="s">
        <v>940</v>
      </c>
      <c r="F1527" s="1399">
        <v>609572.48</v>
      </c>
      <c r="J1527" s="1399">
        <v>609572.48</v>
      </c>
    </row>
    <row r="1528" spans="2:12">
      <c r="B1528" s="1297"/>
      <c r="C1528" s="1297"/>
      <c r="D1528" s="1297"/>
      <c r="E1528" s="1297" t="s">
        <v>941</v>
      </c>
      <c r="F1528" s="1399">
        <v>268246.68</v>
      </c>
      <c r="J1528" s="1399">
        <v>268246.68</v>
      </c>
    </row>
    <row r="1529" spans="2:12">
      <c r="B1529" s="1297"/>
      <c r="C1529" s="1297"/>
      <c r="D1529" s="1297"/>
      <c r="E1529" s="1297" t="s">
        <v>944</v>
      </c>
      <c r="F1529" s="1399">
        <v>1400865.83</v>
      </c>
      <c r="J1529" s="1399">
        <v>1400865.83</v>
      </c>
    </row>
    <row r="1530" spans="2:12">
      <c r="B1530" s="1297"/>
      <c r="C1530" s="1297"/>
      <c r="D1530" s="1297"/>
      <c r="E1530" s="1297" t="s">
        <v>945</v>
      </c>
      <c r="F1530" s="1399">
        <v>740220.23</v>
      </c>
      <c r="J1530" s="1399">
        <v>740220.23</v>
      </c>
    </row>
    <row r="1531" spans="2:12">
      <c r="B1531" s="1297"/>
      <c r="C1531" s="1297"/>
      <c r="D1531" s="1297"/>
      <c r="E1531" s="1297" t="s">
        <v>947</v>
      </c>
      <c r="F1531" s="1399">
        <v>72328.66</v>
      </c>
      <c r="J1531" s="1399">
        <v>72328.66</v>
      </c>
    </row>
    <row r="1532" spans="2:12">
      <c r="B1532" s="1297"/>
      <c r="C1532" s="1297"/>
      <c r="D1532" s="1297"/>
      <c r="E1532" s="1404" t="s">
        <v>948</v>
      </c>
      <c r="F1532" s="1405"/>
      <c r="G1532" s="1405"/>
      <c r="H1532" s="1405">
        <v>78693.34</v>
      </c>
      <c r="I1532" s="1405"/>
      <c r="J1532" s="1405">
        <v>78693.34</v>
      </c>
    </row>
    <row r="1533" spans="2:12">
      <c r="B1533" s="1297"/>
      <c r="C1533" s="1297"/>
      <c r="D1533" s="1297"/>
      <c r="E1533" s="1297" t="s">
        <v>1051</v>
      </c>
      <c r="H1533" s="1399">
        <v>209478.44</v>
      </c>
      <c r="J1533" s="1399">
        <v>209478.44</v>
      </c>
    </row>
    <row r="1534" spans="2:12">
      <c r="B1534" s="1297"/>
      <c r="C1534" s="1297"/>
      <c r="D1534" s="1400" t="s">
        <v>1090</v>
      </c>
      <c r="E1534" s="1400"/>
      <c r="F1534" s="1401">
        <f>SUM(F1499:F1533)</f>
        <v>3151587.49</v>
      </c>
      <c r="G1534" s="1401">
        <f>SUM(G1499:G1533)</f>
        <v>4611562.32</v>
      </c>
      <c r="H1534" s="1401">
        <f>SUM(H1499:H1533)-H1532</f>
        <v>892208.55000000016</v>
      </c>
      <c r="I1534" s="1401">
        <f>SUM(I1499:I1533)</f>
        <v>9435840.1000000015</v>
      </c>
      <c r="J1534" s="1401">
        <f>SUM(J1499:J1533)</f>
        <v>18169891.800000004</v>
      </c>
      <c r="K1534" s="1401">
        <f>SUM(F1534:I1534)</f>
        <v>18091198.460000001</v>
      </c>
      <c r="L1534" s="1408">
        <f>K1534/C1499</f>
        <v>10022.824631578947</v>
      </c>
    </row>
    <row r="1535" spans="2:12">
      <c r="B1535" s="1297" t="s">
        <v>1091</v>
      </c>
      <c r="C1535" s="1297">
        <v>3921</v>
      </c>
      <c r="D1535" s="1297" t="s">
        <v>1092</v>
      </c>
      <c r="E1535" s="1297" t="s">
        <v>906</v>
      </c>
      <c r="G1535" s="1399">
        <v>8374983.4000000004</v>
      </c>
      <c r="J1535" s="1399">
        <v>8374983.4000000004</v>
      </c>
    </row>
    <row r="1536" spans="2:12">
      <c r="B1536" s="1297"/>
      <c r="C1536" s="1297"/>
      <c r="D1536" s="1297"/>
      <c r="E1536" s="1297" t="s">
        <v>952</v>
      </c>
      <c r="G1536" s="1399">
        <v>86798.51</v>
      </c>
      <c r="J1536" s="1399">
        <v>86798.51</v>
      </c>
    </row>
    <row r="1537" spans="5:10" s="1297" customFormat="1">
      <c r="E1537" s="1297" t="s">
        <v>907</v>
      </c>
      <c r="F1537" s="1399"/>
      <c r="G1537" s="1399">
        <v>3826976.84</v>
      </c>
      <c r="H1537" s="1399"/>
      <c r="I1537" s="1399"/>
      <c r="J1537" s="1399">
        <v>3826976.84</v>
      </c>
    </row>
    <row r="1538" spans="5:10" s="1297" customFormat="1">
      <c r="E1538" s="1297" t="s">
        <v>908</v>
      </c>
      <c r="F1538" s="1399"/>
      <c r="G1538" s="1399">
        <v>41362.92</v>
      </c>
      <c r="H1538" s="1399"/>
      <c r="I1538" s="1399"/>
      <c r="J1538" s="1399">
        <v>41362.92</v>
      </c>
    </row>
    <row r="1539" spans="5:10" s="1297" customFormat="1">
      <c r="E1539" s="1297" t="s">
        <v>909</v>
      </c>
      <c r="F1539" s="1399"/>
      <c r="G1539" s="1399"/>
      <c r="H1539" s="1399">
        <v>35388.46</v>
      </c>
      <c r="I1539" s="1399"/>
      <c r="J1539" s="1399">
        <v>35388.46</v>
      </c>
    </row>
    <row r="1540" spans="5:10" s="1297" customFormat="1">
      <c r="E1540" s="1297" t="s">
        <v>910</v>
      </c>
      <c r="F1540" s="1399"/>
      <c r="G1540" s="1399"/>
      <c r="H1540" s="1399">
        <v>140296.37</v>
      </c>
      <c r="I1540" s="1399"/>
      <c r="J1540" s="1399">
        <v>140296.37</v>
      </c>
    </row>
    <row r="1541" spans="5:10" s="1297" customFormat="1">
      <c r="E1541" s="1297" t="s">
        <v>1034</v>
      </c>
      <c r="F1541" s="1399"/>
      <c r="G1541" s="1399"/>
      <c r="H1541" s="1399">
        <v>31092.16</v>
      </c>
      <c r="I1541" s="1399"/>
      <c r="J1541" s="1399">
        <v>31092.16</v>
      </c>
    </row>
    <row r="1542" spans="5:10" s="1297" customFormat="1">
      <c r="E1542" s="1297" t="s">
        <v>1035</v>
      </c>
      <c r="F1542" s="1399"/>
      <c r="G1542" s="1399"/>
      <c r="H1542" s="1399">
        <v>193301.45</v>
      </c>
      <c r="I1542" s="1399"/>
      <c r="J1542" s="1399">
        <v>193301.45</v>
      </c>
    </row>
    <row r="1543" spans="5:10" s="1297" customFormat="1">
      <c r="E1543" s="1297" t="s">
        <v>1036</v>
      </c>
      <c r="F1543" s="1399"/>
      <c r="G1543" s="1399"/>
      <c r="H1543" s="1399">
        <v>120506.32999999999</v>
      </c>
      <c r="I1543" s="1399"/>
      <c r="J1543" s="1399">
        <v>120506.32999999999</v>
      </c>
    </row>
    <row r="1544" spans="5:10" s="1297" customFormat="1">
      <c r="E1544" s="1297" t="s">
        <v>1037</v>
      </c>
      <c r="F1544" s="1399"/>
      <c r="G1544" s="1399"/>
      <c r="H1544" s="1399">
        <v>58000.62</v>
      </c>
      <c r="I1544" s="1399"/>
      <c r="J1544" s="1399">
        <v>58000.62</v>
      </c>
    </row>
    <row r="1545" spans="5:10" s="1297" customFormat="1">
      <c r="E1545" s="1297" t="s">
        <v>1039</v>
      </c>
      <c r="F1545" s="1399"/>
      <c r="G1545" s="1399"/>
      <c r="H1545" s="1399">
        <v>37616.229999999996</v>
      </c>
      <c r="I1545" s="1399"/>
      <c r="J1545" s="1399">
        <v>37616.229999999996</v>
      </c>
    </row>
    <row r="1546" spans="5:10" s="1297" customFormat="1">
      <c r="E1546" s="1297" t="s">
        <v>1040</v>
      </c>
      <c r="F1546" s="1399"/>
      <c r="G1546" s="1399"/>
      <c r="H1546" s="1399">
        <v>143183.9</v>
      </c>
      <c r="I1546" s="1399"/>
      <c r="J1546" s="1399">
        <v>143183.9</v>
      </c>
    </row>
    <row r="1547" spans="5:10" s="1297" customFormat="1">
      <c r="E1547" s="1297" t="s">
        <v>1041</v>
      </c>
      <c r="F1547" s="1399"/>
      <c r="G1547" s="1399"/>
      <c r="H1547" s="1399">
        <v>81327.520000000004</v>
      </c>
      <c r="I1547" s="1399"/>
      <c r="J1547" s="1399">
        <v>81327.520000000004</v>
      </c>
    </row>
    <row r="1548" spans="5:10" s="1297" customFormat="1">
      <c r="E1548" s="1297" t="s">
        <v>1042</v>
      </c>
      <c r="F1548" s="1399"/>
      <c r="G1548" s="1399"/>
      <c r="H1548" s="1399">
        <v>56594.34</v>
      </c>
      <c r="I1548" s="1399"/>
      <c r="J1548" s="1399">
        <v>56594.34</v>
      </c>
    </row>
    <row r="1549" spans="5:10" s="1297" customFormat="1">
      <c r="E1549" s="1297" t="s">
        <v>953</v>
      </c>
      <c r="F1549" s="1399"/>
      <c r="G1549" s="1399"/>
      <c r="H1549" s="1399">
        <v>49171.81</v>
      </c>
      <c r="I1549" s="1399"/>
      <c r="J1549" s="1399">
        <v>49171.81</v>
      </c>
    </row>
    <row r="1550" spans="5:10" s="1297" customFormat="1">
      <c r="E1550" s="1297" t="s">
        <v>1043</v>
      </c>
      <c r="F1550" s="1399"/>
      <c r="G1550" s="1399"/>
      <c r="H1550" s="1399">
        <v>16095</v>
      </c>
      <c r="I1550" s="1399"/>
      <c r="J1550" s="1399">
        <v>16095</v>
      </c>
    </row>
    <row r="1551" spans="5:10" s="1297" customFormat="1">
      <c r="E1551" s="1297" t="s">
        <v>1044</v>
      </c>
      <c r="F1551" s="1399">
        <v>33776.269999999997</v>
      </c>
      <c r="G1551" s="1399"/>
      <c r="H1551" s="1399"/>
      <c r="I1551" s="1399"/>
      <c r="J1551" s="1399">
        <v>33776.269999999997</v>
      </c>
    </row>
    <row r="1552" spans="5:10" s="1297" customFormat="1">
      <c r="E1552" s="1297" t="s">
        <v>1045</v>
      </c>
      <c r="F1552" s="1399"/>
      <c r="G1552" s="1399"/>
      <c r="H1552" s="1399">
        <v>228534.43000000002</v>
      </c>
      <c r="I1552" s="1399"/>
      <c r="J1552" s="1399">
        <v>228534.43000000002</v>
      </c>
    </row>
    <row r="1553" spans="5:10" s="1297" customFormat="1">
      <c r="E1553" s="1297" t="s">
        <v>1046</v>
      </c>
      <c r="F1553" s="1399"/>
      <c r="G1553" s="1399"/>
      <c r="H1553" s="1399"/>
      <c r="I1553" s="1399">
        <v>21767236</v>
      </c>
      <c r="J1553" s="1399">
        <v>21767236</v>
      </c>
    </row>
    <row r="1554" spans="5:10" s="1297" customFormat="1">
      <c r="E1554" s="1297" t="s">
        <v>1128</v>
      </c>
      <c r="F1554" s="1399"/>
      <c r="G1554" s="1399"/>
      <c r="H1554" s="1399"/>
      <c r="I1554" s="1399">
        <v>1715498</v>
      </c>
      <c r="J1554" s="1399">
        <v>1715498</v>
      </c>
    </row>
    <row r="1555" spans="5:10" s="1297" customFormat="1">
      <c r="E1555" s="1297" t="s">
        <v>1129</v>
      </c>
      <c r="F1555" s="1399"/>
      <c r="G1555" s="1399"/>
      <c r="H1555" s="1399"/>
      <c r="I1555" s="1399">
        <v>-3090113</v>
      </c>
      <c r="J1555" s="1399">
        <v>-3090113</v>
      </c>
    </row>
    <row r="1556" spans="5:10" s="1297" customFormat="1">
      <c r="E1556" s="1297" t="s">
        <v>1047</v>
      </c>
      <c r="F1556" s="1399"/>
      <c r="G1556" s="1399"/>
      <c r="H1556" s="1399"/>
      <c r="I1556" s="1399">
        <v>597922</v>
      </c>
      <c r="J1556" s="1399">
        <v>597922</v>
      </c>
    </row>
    <row r="1557" spans="5:10" s="1297" customFormat="1">
      <c r="E1557" s="1297" t="s">
        <v>1048</v>
      </c>
      <c r="F1557" s="1399"/>
      <c r="G1557" s="1399"/>
      <c r="H1557" s="1399"/>
      <c r="I1557" s="1399">
        <v>-2841899</v>
      </c>
      <c r="J1557" s="1399">
        <v>-2841899</v>
      </c>
    </row>
    <row r="1558" spans="5:10" s="1297" customFormat="1">
      <c r="E1558" s="1297" t="s">
        <v>932</v>
      </c>
      <c r="F1558" s="1399"/>
      <c r="G1558" s="1399"/>
      <c r="H1558" s="1399"/>
      <c r="I1558" s="1399">
        <v>1922707</v>
      </c>
      <c r="J1558" s="1399">
        <v>1922707</v>
      </c>
    </row>
    <row r="1559" spans="5:10" s="1297" customFormat="1">
      <c r="E1559" s="1404" t="s">
        <v>955</v>
      </c>
      <c r="F1559" s="1405"/>
      <c r="G1559" s="1405"/>
      <c r="H1559" s="1405"/>
      <c r="I1559" s="1405">
        <v>1353278.95</v>
      </c>
      <c r="J1559" s="1405">
        <v>1353278.95</v>
      </c>
    </row>
    <row r="1560" spans="5:10" s="1297" customFormat="1">
      <c r="E1560" s="1297" t="s">
        <v>934</v>
      </c>
      <c r="F1560" s="1399"/>
      <c r="G1560" s="1399"/>
      <c r="H1560" s="1399"/>
      <c r="I1560" s="1399">
        <v>74790</v>
      </c>
      <c r="J1560" s="1399">
        <v>74790</v>
      </c>
    </row>
    <row r="1561" spans="5:10" s="1297" customFormat="1">
      <c r="E1561" s="1297" t="s">
        <v>935</v>
      </c>
      <c r="F1561" s="1399"/>
      <c r="G1561" s="1399"/>
      <c r="H1561" s="1399"/>
      <c r="I1561" s="1399">
        <v>1586035.33</v>
      </c>
      <c r="J1561" s="1399">
        <v>1586035.33</v>
      </c>
    </row>
    <row r="1562" spans="5:10" s="1297" customFormat="1">
      <c r="E1562" s="1297" t="s">
        <v>936</v>
      </c>
      <c r="F1562" s="1399"/>
      <c r="G1562" s="1399"/>
      <c r="H1562" s="1399"/>
      <c r="I1562" s="1399">
        <v>81234.92</v>
      </c>
      <c r="J1562" s="1399">
        <v>81234.92</v>
      </c>
    </row>
    <row r="1563" spans="5:10" s="1297" customFormat="1">
      <c r="E1563" s="1297" t="s">
        <v>937</v>
      </c>
      <c r="F1563" s="1399"/>
      <c r="G1563" s="1399"/>
      <c r="H1563" s="1399"/>
      <c r="I1563" s="1399">
        <v>24356.65</v>
      </c>
      <c r="J1563" s="1399">
        <v>24356.65</v>
      </c>
    </row>
    <row r="1564" spans="5:10" s="1297" customFormat="1">
      <c r="E1564" s="1297" t="s">
        <v>938</v>
      </c>
      <c r="F1564" s="1399"/>
      <c r="G1564" s="1399"/>
      <c r="H1564" s="1399"/>
      <c r="I1564" s="1399">
        <v>26202</v>
      </c>
      <c r="J1564" s="1399">
        <v>26202</v>
      </c>
    </row>
    <row r="1565" spans="5:10" s="1297" customFormat="1">
      <c r="E1565" s="1297" t="s">
        <v>940</v>
      </c>
      <c r="F1565" s="1399">
        <v>1450475.14</v>
      </c>
      <c r="G1565" s="1399"/>
      <c r="H1565" s="1399"/>
      <c r="I1565" s="1399"/>
      <c r="J1565" s="1399">
        <v>1450475.14</v>
      </c>
    </row>
    <row r="1566" spans="5:10" s="1297" customFormat="1">
      <c r="E1566" s="1297" t="s">
        <v>941</v>
      </c>
      <c r="F1566" s="1399">
        <v>508601</v>
      </c>
      <c r="G1566" s="1399"/>
      <c r="H1566" s="1399"/>
      <c r="I1566" s="1399"/>
      <c r="J1566" s="1399">
        <v>508601</v>
      </c>
    </row>
    <row r="1567" spans="5:10" s="1297" customFormat="1">
      <c r="E1567" s="1297" t="s">
        <v>943</v>
      </c>
      <c r="F1567" s="1399">
        <v>11052.64</v>
      </c>
      <c r="G1567" s="1399"/>
      <c r="H1567" s="1399"/>
      <c r="I1567" s="1399"/>
      <c r="J1567" s="1399">
        <v>11052.64</v>
      </c>
    </row>
    <row r="1568" spans="5:10" s="1297" customFormat="1">
      <c r="E1568" s="1297" t="s">
        <v>944</v>
      </c>
      <c r="F1568" s="1399">
        <v>4450978.92</v>
      </c>
      <c r="G1568" s="1399"/>
      <c r="H1568" s="1399"/>
      <c r="I1568" s="1399"/>
      <c r="J1568" s="1399">
        <v>4450978.92</v>
      </c>
    </row>
    <row r="1569" spans="2:12">
      <c r="B1569" s="1297"/>
      <c r="C1569" s="1297"/>
      <c r="D1569" s="1297"/>
      <c r="E1569" s="1297" t="s">
        <v>945</v>
      </c>
      <c r="F1569" s="1399">
        <v>2188464.83</v>
      </c>
      <c r="J1569" s="1399">
        <v>2188464.83</v>
      </c>
    </row>
    <row r="1570" spans="2:12">
      <c r="B1570" s="1297"/>
      <c r="C1570" s="1297"/>
      <c r="D1570" s="1297"/>
      <c r="E1570" s="1297" t="s">
        <v>946</v>
      </c>
      <c r="F1570" s="1399">
        <v>69819.570000000007</v>
      </c>
      <c r="J1570" s="1399">
        <v>69819.570000000007</v>
      </c>
    </row>
    <row r="1571" spans="2:12">
      <c r="B1571" s="1297"/>
      <c r="C1571" s="1297"/>
      <c r="D1571" s="1297"/>
      <c r="E1571" s="1297" t="s">
        <v>978</v>
      </c>
      <c r="F1571" s="1399">
        <v>29990.47</v>
      </c>
      <c r="J1571" s="1399">
        <v>29990.47</v>
      </c>
    </row>
    <row r="1572" spans="2:12">
      <c r="B1572" s="1297"/>
      <c r="C1572" s="1297"/>
      <c r="D1572" s="1297"/>
      <c r="E1572" s="1297" t="s">
        <v>1006</v>
      </c>
      <c r="F1572" s="1399">
        <v>13370.04</v>
      </c>
      <c r="J1572" s="1399">
        <v>13370.04</v>
      </c>
    </row>
    <row r="1573" spans="2:12">
      <c r="B1573" s="1297"/>
      <c r="C1573" s="1297"/>
      <c r="D1573" s="1297"/>
      <c r="E1573" s="1297" t="s">
        <v>947</v>
      </c>
      <c r="F1573" s="1399">
        <v>90323.15</v>
      </c>
      <c r="J1573" s="1399">
        <v>90323.15</v>
      </c>
    </row>
    <row r="1574" spans="2:12">
      <c r="B1574" s="1297"/>
      <c r="C1574" s="1297"/>
      <c r="D1574" s="1297"/>
      <c r="E1574" s="1404" t="s">
        <v>948</v>
      </c>
      <c r="F1574" s="1405"/>
      <c r="G1574" s="1405"/>
      <c r="H1574" s="1405">
        <v>523402.30999999994</v>
      </c>
      <c r="I1574" s="1405"/>
      <c r="J1574" s="1405">
        <v>523402.30999999994</v>
      </c>
    </row>
    <row r="1575" spans="2:12">
      <c r="B1575" s="1297"/>
      <c r="C1575" s="1297"/>
      <c r="D1575" s="1400" t="s">
        <v>1093</v>
      </c>
      <c r="E1575" s="1400"/>
      <c r="F1575" s="1401">
        <f>SUM(F1535:F1574)</f>
        <v>8846852.0300000012</v>
      </c>
      <c r="G1575" s="1401">
        <f>SUM(G1535:G1574)</f>
        <v>12330121.67</v>
      </c>
      <c r="H1575" s="1401">
        <f>SUM(H1535:H1574)-H1574</f>
        <v>1191108.6199999996</v>
      </c>
      <c r="I1575" s="1401">
        <f>SUM(I1535:I1574)-I1559</f>
        <v>21863969.900000002</v>
      </c>
      <c r="J1575" s="1401">
        <f>SUM(J1535:J1574)</f>
        <v>46108733.480000004</v>
      </c>
      <c r="K1575" s="1401">
        <f>SUM(F1575:I1575)</f>
        <v>44232052.220000006</v>
      </c>
      <c r="L1575" s="1408">
        <f>K1575/C1535</f>
        <v>11280.809033409845</v>
      </c>
    </row>
    <row r="1576" spans="2:12">
      <c r="B1576" s="1297" t="s">
        <v>1094</v>
      </c>
      <c r="C1576" s="1297">
        <v>2264</v>
      </c>
      <c r="D1576" s="1297" t="s">
        <v>1095</v>
      </c>
      <c r="E1576" s="1297" t="s">
        <v>906</v>
      </c>
      <c r="G1576" s="1399">
        <v>5174587.59</v>
      </c>
      <c r="J1576" s="1399">
        <v>5174587.59</v>
      </c>
    </row>
    <row r="1577" spans="2:12">
      <c r="B1577" s="1297"/>
      <c r="C1577" s="1297"/>
      <c r="D1577" s="1297"/>
      <c r="E1577" s="1297" t="s">
        <v>952</v>
      </c>
      <c r="G1577" s="1399">
        <v>83520.44</v>
      </c>
      <c r="J1577" s="1399">
        <v>83520.44</v>
      </c>
    </row>
    <row r="1578" spans="2:12">
      <c r="B1578" s="1297"/>
      <c r="C1578" s="1297"/>
      <c r="D1578" s="1297"/>
      <c r="E1578" s="1297" t="s">
        <v>907</v>
      </c>
      <c r="G1578" s="1399">
        <v>1943255.73</v>
      </c>
      <c r="J1578" s="1399">
        <v>1943255.73</v>
      </c>
    </row>
    <row r="1579" spans="2:12">
      <c r="B1579" s="1297"/>
      <c r="C1579" s="1297"/>
      <c r="D1579" s="1297"/>
      <c r="E1579" s="1297" t="s">
        <v>908</v>
      </c>
      <c r="G1579" s="1399">
        <v>206797.84</v>
      </c>
      <c r="J1579" s="1399">
        <v>206797.84</v>
      </c>
    </row>
    <row r="1580" spans="2:12">
      <c r="B1580" s="1297"/>
      <c r="C1580" s="1297"/>
      <c r="D1580" s="1297"/>
      <c r="E1580" s="1297" t="s">
        <v>1036</v>
      </c>
      <c r="H1580" s="1399">
        <v>115508.6</v>
      </c>
      <c r="J1580" s="1399">
        <v>115508.6</v>
      </c>
    </row>
    <row r="1581" spans="2:12">
      <c r="B1581" s="1297"/>
      <c r="C1581" s="1297"/>
      <c r="D1581" s="1297"/>
      <c r="E1581" s="1297" t="s">
        <v>1037</v>
      </c>
      <c r="H1581" s="1399">
        <v>2238</v>
      </c>
      <c r="J1581" s="1399">
        <v>2238</v>
      </c>
    </row>
    <row r="1582" spans="2:12">
      <c r="B1582" s="1297"/>
      <c r="C1582" s="1297"/>
      <c r="D1582" s="1297"/>
      <c r="E1582" s="1297" t="s">
        <v>1039</v>
      </c>
      <c r="H1582" s="1399">
        <v>238547.27</v>
      </c>
      <c r="J1582" s="1399">
        <v>238547.27</v>
      </c>
    </row>
    <row r="1583" spans="2:12">
      <c r="B1583" s="1297"/>
      <c r="C1583" s="1297"/>
      <c r="D1583" s="1297"/>
      <c r="E1583" s="1297" t="s">
        <v>1040</v>
      </c>
      <c r="H1583" s="1399">
        <v>354822.32</v>
      </c>
      <c r="J1583" s="1399">
        <v>354822.32</v>
      </c>
    </row>
    <row r="1584" spans="2:12">
      <c r="B1584" s="1297"/>
      <c r="C1584" s="1297"/>
      <c r="D1584" s="1297"/>
      <c r="E1584" s="1297" t="s">
        <v>1041</v>
      </c>
      <c r="H1584" s="1399">
        <v>22859.93</v>
      </c>
      <c r="J1584" s="1399">
        <v>22859.93</v>
      </c>
    </row>
    <row r="1585" spans="5:10" s="1297" customFormat="1">
      <c r="E1585" s="1297" t="s">
        <v>1042</v>
      </c>
      <c r="F1585" s="1399"/>
      <c r="G1585" s="1399"/>
      <c r="H1585" s="1399">
        <v>37950.1</v>
      </c>
      <c r="I1585" s="1399"/>
      <c r="J1585" s="1399">
        <v>37950.1</v>
      </c>
    </row>
    <row r="1586" spans="5:10" s="1297" customFormat="1">
      <c r="E1586" s="1297" t="s">
        <v>953</v>
      </c>
      <c r="F1586" s="1399"/>
      <c r="G1586" s="1399"/>
      <c r="H1586" s="1399">
        <v>44597.05</v>
      </c>
      <c r="I1586" s="1399"/>
      <c r="J1586" s="1399">
        <v>44597.05</v>
      </c>
    </row>
    <row r="1587" spans="5:10" s="1297" customFormat="1">
      <c r="E1587" s="1297" t="s">
        <v>986</v>
      </c>
      <c r="F1587" s="1399"/>
      <c r="G1587" s="1399"/>
      <c r="H1587" s="1399">
        <v>25173.01</v>
      </c>
      <c r="I1587" s="1399"/>
      <c r="J1587" s="1399">
        <v>25173.01</v>
      </c>
    </row>
    <row r="1588" spans="5:10" s="1297" customFormat="1">
      <c r="E1588" s="1297" t="s">
        <v>1044</v>
      </c>
      <c r="F1588" s="1399">
        <v>4234.45</v>
      </c>
      <c r="G1588" s="1399"/>
      <c r="H1588" s="1399"/>
      <c r="I1588" s="1399"/>
      <c r="J1588" s="1399">
        <v>4234.45</v>
      </c>
    </row>
    <row r="1589" spans="5:10" s="1297" customFormat="1">
      <c r="E1589" s="1297" t="s">
        <v>1045</v>
      </c>
      <c r="F1589" s="1399"/>
      <c r="G1589" s="1399"/>
      <c r="H1589" s="1399">
        <v>614214.55999999994</v>
      </c>
      <c r="I1589" s="1399"/>
      <c r="J1589" s="1399">
        <v>614214.55999999994</v>
      </c>
    </row>
    <row r="1590" spans="5:10" s="1297" customFormat="1">
      <c r="E1590" s="1297" t="s">
        <v>1046</v>
      </c>
      <c r="F1590" s="1399"/>
      <c r="G1590" s="1399"/>
      <c r="H1590" s="1399"/>
      <c r="I1590" s="1399">
        <v>12123461</v>
      </c>
      <c r="J1590" s="1399">
        <v>12123461</v>
      </c>
    </row>
    <row r="1591" spans="5:10" s="1297" customFormat="1">
      <c r="E1591" s="1297" t="s">
        <v>1047</v>
      </c>
      <c r="F1591" s="1399"/>
      <c r="G1591" s="1399"/>
      <c r="H1591" s="1399"/>
      <c r="I1591" s="1399">
        <v>338015</v>
      </c>
      <c r="J1591" s="1399">
        <v>338015</v>
      </c>
    </row>
    <row r="1592" spans="5:10" s="1297" customFormat="1">
      <c r="E1592" s="1297" t="s">
        <v>1048</v>
      </c>
      <c r="F1592" s="1399"/>
      <c r="G1592" s="1399"/>
      <c r="H1592" s="1399"/>
      <c r="I1592" s="1399">
        <v>-1961377</v>
      </c>
      <c r="J1592" s="1399">
        <v>-1961377</v>
      </c>
    </row>
    <row r="1593" spans="5:10" s="1297" customFormat="1">
      <c r="E1593" s="1297" t="s">
        <v>932</v>
      </c>
      <c r="F1593" s="1399"/>
      <c r="G1593" s="1399"/>
      <c r="H1593" s="1399"/>
      <c r="I1593" s="1399">
        <v>552582</v>
      </c>
      <c r="J1593" s="1399">
        <v>552582</v>
      </c>
    </row>
    <row r="1594" spans="5:10" s="1297" customFormat="1">
      <c r="E1594" s="1297" t="s">
        <v>933</v>
      </c>
      <c r="F1594" s="1399"/>
      <c r="G1594" s="1399"/>
      <c r="H1594" s="1399"/>
      <c r="I1594" s="1399">
        <v>716028.38</v>
      </c>
      <c r="J1594" s="1399">
        <v>716028.38</v>
      </c>
    </row>
    <row r="1595" spans="5:10" s="1297" customFormat="1">
      <c r="E1595" s="1297" t="s">
        <v>934</v>
      </c>
      <c r="F1595" s="1399"/>
      <c r="G1595" s="1399"/>
      <c r="H1595" s="1399"/>
      <c r="I1595" s="1399">
        <v>39988</v>
      </c>
      <c r="J1595" s="1399">
        <v>39988</v>
      </c>
    </row>
    <row r="1596" spans="5:10" s="1297" customFormat="1">
      <c r="E1596" s="1297" t="s">
        <v>935</v>
      </c>
      <c r="F1596" s="1399"/>
      <c r="G1596" s="1399"/>
      <c r="H1596" s="1399"/>
      <c r="I1596" s="1399">
        <v>288427.90999999997</v>
      </c>
      <c r="J1596" s="1399">
        <v>288427.90999999997</v>
      </c>
    </row>
    <row r="1597" spans="5:10" s="1297" customFormat="1">
      <c r="E1597" s="1297" t="s">
        <v>936</v>
      </c>
      <c r="F1597" s="1399"/>
      <c r="G1597" s="1399"/>
      <c r="H1597" s="1399"/>
      <c r="I1597" s="1399">
        <v>37816.26</v>
      </c>
      <c r="J1597" s="1399">
        <v>37816.26</v>
      </c>
    </row>
    <row r="1598" spans="5:10" s="1297" customFormat="1">
      <c r="E1598" s="1297" t="s">
        <v>938</v>
      </c>
      <c r="F1598" s="1399"/>
      <c r="G1598" s="1399"/>
      <c r="H1598" s="1399"/>
      <c r="I1598" s="1399">
        <v>11604</v>
      </c>
      <c r="J1598" s="1399">
        <v>11604</v>
      </c>
    </row>
    <row r="1599" spans="5:10" s="1297" customFormat="1">
      <c r="E1599" s="1297" t="s">
        <v>939</v>
      </c>
      <c r="F1599" s="1399"/>
      <c r="G1599" s="1399"/>
      <c r="H1599" s="1399"/>
      <c r="I1599" s="1399">
        <v>104674.66</v>
      </c>
      <c r="J1599" s="1399">
        <v>104674.66</v>
      </c>
    </row>
    <row r="1600" spans="5:10" s="1297" customFormat="1">
      <c r="E1600" s="1297" t="s">
        <v>940</v>
      </c>
      <c r="F1600" s="1399">
        <v>548854.98</v>
      </c>
      <c r="G1600" s="1399"/>
      <c r="H1600" s="1399"/>
      <c r="I1600" s="1399"/>
      <c r="J1600" s="1399">
        <v>548854.98</v>
      </c>
    </row>
    <row r="1601" spans="2:12">
      <c r="B1601" s="1297"/>
      <c r="C1601" s="1297"/>
      <c r="D1601" s="1297"/>
      <c r="E1601" s="1297" t="s">
        <v>941</v>
      </c>
      <c r="F1601" s="1399">
        <v>181186.4</v>
      </c>
      <c r="J1601" s="1399">
        <v>181186.4</v>
      </c>
    </row>
    <row r="1602" spans="2:12">
      <c r="B1602" s="1297"/>
      <c r="C1602" s="1297"/>
      <c r="D1602" s="1297"/>
      <c r="E1602" s="1297" t="s">
        <v>943</v>
      </c>
      <c r="F1602" s="1399">
        <v>2148.2199999999998</v>
      </c>
      <c r="J1602" s="1399">
        <v>2148.2199999999998</v>
      </c>
    </row>
    <row r="1603" spans="2:12">
      <c r="B1603" s="1297"/>
      <c r="C1603" s="1297"/>
      <c r="D1603" s="1297"/>
      <c r="E1603" s="1297" t="s">
        <v>944</v>
      </c>
      <c r="F1603" s="1399">
        <v>1177639.6399999999</v>
      </c>
      <c r="J1603" s="1399">
        <v>1177639.6399999999</v>
      </c>
    </row>
    <row r="1604" spans="2:12">
      <c r="B1604" s="1297"/>
      <c r="C1604" s="1297"/>
      <c r="D1604" s="1297"/>
      <c r="E1604" s="1297" t="s">
        <v>945</v>
      </c>
      <c r="F1604" s="1399">
        <v>1668072.8199999998</v>
      </c>
      <c r="J1604" s="1399">
        <v>1668072.8199999998</v>
      </c>
    </row>
    <row r="1605" spans="2:12">
      <c r="B1605" s="1297"/>
      <c r="C1605" s="1297"/>
      <c r="D1605" s="1297"/>
      <c r="E1605" s="1297" t="s">
        <v>947</v>
      </c>
      <c r="F1605" s="1399">
        <v>90943.86</v>
      </c>
      <c r="J1605" s="1399">
        <v>90943.86</v>
      </c>
    </row>
    <row r="1606" spans="2:12">
      <c r="B1606" s="1297"/>
      <c r="C1606" s="1297"/>
      <c r="D1606" s="1297"/>
      <c r="E1606" s="1404" t="s">
        <v>948</v>
      </c>
      <c r="F1606" s="1405"/>
      <c r="G1606" s="1405"/>
      <c r="H1606" s="1405">
        <v>2375412.98</v>
      </c>
      <c r="I1606" s="1405"/>
      <c r="J1606" s="1405">
        <v>2375412.98</v>
      </c>
    </row>
    <row r="1607" spans="2:12">
      <c r="B1607" s="1297"/>
      <c r="C1607" s="1297"/>
      <c r="D1607" s="1297"/>
      <c r="E1607" s="1297" t="s">
        <v>1051</v>
      </c>
      <c r="H1607" s="1399">
        <v>200000</v>
      </c>
      <c r="J1607" s="1399">
        <v>200000</v>
      </c>
    </row>
    <row r="1608" spans="2:12">
      <c r="B1608" s="1297"/>
      <c r="C1608" s="1297"/>
      <c r="D1608" s="1400" t="s">
        <v>1096</v>
      </c>
      <c r="E1608" s="1400"/>
      <c r="F1608" s="1401">
        <f>SUM(F1576:F1607)</f>
        <v>3673080.3699999996</v>
      </c>
      <c r="G1608" s="1401">
        <f>SUM(G1576:G1607)</f>
        <v>7408161.5999999996</v>
      </c>
      <c r="H1608" s="1401">
        <f>SUM(H1576:H1607)-H1606</f>
        <v>1655910.8399999999</v>
      </c>
      <c r="I1608" s="1401">
        <f>SUM(I1576:I1607)</f>
        <v>12251220.210000001</v>
      </c>
      <c r="J1608" s="1401">
        <f>SUM(J1576:J1607)</f>
        <v>27363786</v>
      </c>
      <c r="K1608" s="1401">
        <f>SUM(F1608:I1608)</f>
        <v>24988373.02</v>
      </c>
      <c r="L1608" s="1408">
        <f>K1608/C1576</f>
        <v>11037.267234982332</v>
      </c>
    </row>
    <row r="1609" spans="2:12">
      <c r="B1609" s="1297" t="s">
        <v>1097</v>
      </c>
      <c r="C1609" s="1297">
        <v>3431</v>
      </c>
      <c r="D1609" s="1297" t="s">
        <v>1098</v>
      </c>
      <c r="E1609" s="1297" t="s">
        <v>906</v>
      </c>
      <c r="G1609" s="1399">
        <v>19634715.949999999</v>
      </c>
      <c r="J1609" s="1399">
        <v>19634715.949999999</v>
      </c>
    </row>
    <row r="1610" spans="2:12">
      <c r="B1610" s="1297"/>
      <c r="C1610" s="1297"/>
      <c r="D1610" s="1297"/>
      <c r="E1610" s="1297" t="s">
        <v>952</v>
      </c>
      <c r="G1610" s="1399">
        <v>263834.98</v>
      </c>
      <c r="J1610" s="1399">
        <v>263834.98</v>
      </c>
    </row>
    <row r="1611" spans="2:12">
      <c r="B1611" s="1297"/>
      <c r="C1611" s="1297"/>
      <c r="D1611" s="1297"/>
      <c r="E1611" s="1297" t="s">
        <v>907</v>
      </c>
      <c r="G1611" s="1399">
        <v>4904355.63</v>
      </c>
      <c r="J1611" s="1399">
        <v>4904355.63</v>
      </c>
    </row>
    <row r="1612" spans="2:12">
      <c r="B1612" s="1297"/>
      <c r="C1612" s="1297"/>
      <c r="D1612" s="1297"/>
      <c r="E1612" s="1297" t="s">
        <v>909</v>
      </c>
      <c r="H1612" s="1399">
        <v>26431.16</v>
      </c>
      <c r="J1612" s="1399">
        <v>26431.16</v>
      </c>
    </row>
    <row r="1613" spans="2:12">
      <c r="B1613" s="1297"/>
      <c r="C1613" s="1297"/>
      <c r="D1613" s="1297"/>
      <c r="E1613" s="1297" t="s">
        <v>910</v>
      </c>
      <c r="H1613" s="1399">
        <v>27794</v>
      </c>
      <c r="J1613" s="1399">
        <v>27794</v>
      </c>
    </row>
    <row r="1614" spans="2:12">
      <c r="B1614" s="1297"/>
      <c r="C1614" s="1297"/>
      <c r="D1614" s="1297"/>
      <c r="E1614" s="1297" t="s">
        <v>1034</v>
      </c>
      <c r="H1614" s="1399">
        <v>18773.25</v>
      </c>
      <c r="J1614" s="1399">
        <v>18773.25</v>
      </c>
    </row>
    <row r="1615" spans="2:12">
      <c r="B1615" s="1297"/>
      <c r="C1615" s="1297"/>
      <c r="D1615" s="1297"/>
      <c r="E1615" s="1297" t="s">
        <v>1035</v>
      </c>
      <c r="H1615" s="1399">
        <v>69128.600000000006</v>
      </c>
      <c r="J1615" s="1399">
        <v>69128.600000000006</v>
      </c>
    </row>
    <row r="1616" spans="2:12">
      <c r="B1616" s="1297"/>
      <c r="C1616" s="1297"/>
      <c r="D1616" s="1297"/>
      <c r="E1616" s="1297" t="s">
        <v>1036</v>
      </c>
      <c r="H1616" s="1399">
        <v>117729.45</v>
      </c>
      <c r="J1616" s="1399">
        <v>117729.45</v>
      </c>
    </row>
    <row r="1617" spans="5:10" s="1297" customFormat="1">
      <c r="E1617" s="1297" t="s">
        <v>1039</v>
      </c>
      <c r="F1617" s="1399"/>
      <c r="G1617" s="1399"/>
      <c r="H1617" s="1399">
        <v>51910.09</v>
      </c>
      <c r="I1617" s="1399"/>
      <c r="J1617" s="1399">
        <v>51910.09</v>
      </c>
    </row>
    <row r="1618" spans="5:10" s="1297" customFormat="1">
      <c r="E1618" s="1297" t="s">
        <v>1040</v>
      </c>
      <c r="F1618" s="1399"/>
      <c r="G1618" s="1399"/>
      <c r="H1618" s="1399">
        <v>594927.59</v>
      </c>
      <c r="I1618" s="1399"/>
      <c r="J1618" s="1399">
        <v>594927.59</v>
      </c>
    </row>
    <row r="1619" spans="5:10" s="1297" customFormat="1">
      <c r="E1619" s="1297" t="s">
        <v>1041</v>
      </c>
      <c r="F1619" s="1399"/>
      <c r="G1619" s="1399"/>
      <c r="H1619" s="1399">
        <v>183351</v>
      </c>
      <c r="I1619" s="1399"/>
      <c r="J1619" s="1399">
        <v>183351</v>
      </c>
    </row>
    <row r="1620" spans="5:10" s="1297" customFormat="1">
      <c r="E1620" s="1297" t="s">
        <v>1042</v>
      </c>
      <c r="F1620" s="1399"/>
      <c r="G1620" s="1399"/>
      <c r="H1620" s="1399">
        <v>90740.4</v>
      </c>
      <c r="I1620" s="1399"/>
      <c r="J1620" s="1399">
        <v>90740.4</v>
      </c>
    </row>
    <row r="1621" spans="5:10" s="1297" customFormat="1">
      <c r="E1621" s="1297" t="s">
        <v>986</v>
      </c>
      <c r="F1621" s="1399"/>
      <c r="G1621" s="1399"/>
      <c r="H1621" s="1399">
        <v>66128.95</v>
      </c>
      <c r="I1621" s="1399"/>
      <c r="J1621" s="1399">
        <v>66128.95</v>
      </c>
    </row>
    <row r="1622" spans="5:10" s="1297" customFormat="1">
      <c r="E1622" s="1297" t="s">
        <v>1044</v>
      </c>
      <c r="F1622" s="1399">
        <v>17056</v>
      </c>
      <c r="G1622" s="1399"/>
      <c r="H1622" s="1399"/>
      <c r="I1622" s="1399"/>
      <c r="J1622" s="1399">
        <v>17056</v>
      </c>
    </row>
    <row r="1623" spans="5:10" s="1297" customFormat="1">
      <c r="E1623" s="1297" t="s">
        <v>1045</v>
      </c>
      <c r="F1623" s="1399"/>
      <c r="G1623" s="1399"/>
      <c r="H1623" s="1399">
        <v>835313.12999999989</v>
      </c>
      <c r="I1623" s="1399"/>
      <c r="J1623" s="1399">
        <v>835313.12999999989</v>
      </c>
    </row>
    <row r="1624" spans="5:10" s="1297" customFormat="1">
      <c r="E1624" s="1297" t="s">
        <v>1046</v>
      </c>
      <c r="F1624" s="1399"/>
      <c r="G1624" s="1399"/>
      <c r="H1624" s="1399"/>
      <c r="I1624" s="1399">
        <v>18302384</v>
      </c>
      <c r="J1624" s="1399">
        <v>18302384</v>
      </c>
    </row>
    <row r="1625" spans="5:10" s="1297" customFormat="1">
      <c r="E1625" s="1297" t="s">
        <v>1047</v>
      </c>
      <c r="F1625" s="1399"/>
      <c r="G1625" s="1399"/>
      <c r="H1625" s="1399"/>
      <c r="I1625" s="1399">
        <v>440152</v>
      </c>
      <c r="J1625" s="1399">
        <v>440152</v>
      </c>
    </row>
    <row r="1626" spans="5:10" s="1297" customFormat="1">
      <c r="E1626" s="1297" t="s">
        <v>1048</v>
      </c>
      <c r="F1626" s="1399"/>
      <c r="G1626" s="1399"/>
      <c r="H1626" s="1399"/>
      <c r="I1626" s="1399">
        <v>-6538429</v>
      </c>
      <c r="J1626" s="1399">
        <v>-6538429</v>
      </c>
    </row>
    <row r="1627" spans="5:10" s="1297" customFormat="1">
      <c r="E1627" s="1404" t="s">
        <v>955</v>
      </c>
      <c r="F1627" s="1405"/>
      <c r="G1627" s="1405"/>
      <c r="H1627" s="1405"/>
      <c r="I1627" s="1405">
        <v>251991.79</v>
      </c>
      <c r="J1627" s="1405">
        <v>251991.79</v>
      </c>
    </row>
    <row r="1628" spans="5:10" s="1297" customFormat="1">
      <c r="E1628" s="1297" t="s">
        <v>934</v>
      </c>
      <c r="F1628" s="1399"/>
      <c r="G1628" s="1399"/>
      <c r="H1628" s="1399"/>
      <c r="I1628" s="1399">
        <v>55028</v>
      </c>
      <c r="J1628" s="1399">
        <v>55028</v>
      </c>
    </row>
    <row r="1629" spans="5:10" s="1297" customFormat="1">
      <c r="E1629" s="1297" t="s">
        <v>935</v>
      </c>
      <c r="F1629" s="1399"/>
      <c r="G1629" s="1399"/>
      <c r="H1629" s="1399"/>
      <c r="I1629" s="1399">
        <v>378428.88</v>
      </c>
      <c r="J1629" s="1399">
        <v>378428.88</v>
      </c>
    </row>
    <row r="1630" spans="5:10" s="1297" customFormat="1">
      <c r="E1630" s="1297" t="s">
        <v>936</v>
      </c>
      <c r="F1630" s="1399"/>
      <c r="G1630" s="1399"/>
      <c r="H1630" s="1399"/>
      <c r="I1630" s="1399">
        <v>70030.11</v>
      </c>
      <c r="J1630" s="1399">
        <v>70030.11</v>
      </c>
    </row>
    <row r="1631" spans="5:10" s="1297" customFormat="1">
      <c r="E1631" s="1297" t="s">
        <v>937</v>
      </c>
      <c r="F1631" s="1399"/>
      <c r="G1631" s="1399"/>
      <c r="H1631" s="1399"/>
      <c r="I1631" s="1399">
        <v>51310.9</v>
      </c>
      <c r="J1631" s="1399">
        <v>51310.9</v>
      </c>
    </row>
    <row r="1632" spans="5:10" s="1297" customFormat="1">
      <c r="E1632" s="1297" t="s">
        <v>938</v>
      </c>
      <c r="F1632" s="1399"/>
      <c r="G1632" s="1399"/>
      <c r="H1632" s="1399"/>
      <c r="I1632" s="1399">
        <v>18529</v>
      </c>
      <c r="J1632" s="1399">
        <v>18529</v>
      </c>
    </row>
    <row r="1633" spans="2:12">
      <c r="B1633" s="1297"/>
      <c r="C1633" s="1297"/>
      <c r="D1633" s="1297"/>
      <c r="E1633" s="1297" t="s">
        <v>940</v>
      </c>
      <c r="F1633" s="1399">
        <v>692909.96</v>
      </c>
      <c r="J1633" s="1399">
        <v>692909.96</v>
      </c>
    </row>
    <row r="1634" spans="2:12">
      <c r="B1634" s="1297"/>
      <c r="C1634" s="1297"/>
      <c r="D1634" s="1297"/>
      <c r="E1634" s="1297" t="s">
        <v>941</v>
      </c>
      <c r="F1634" s="1399">
        <v>200974.2</v>
      </c>
      <c r="J1634" s="1399">
        <v>200974.2</v>
      </c>
    </row>
    <row r="1635" spans="2:12">
      <c r="B1635" s="1297"/>
      <c r="C1635" s="1297"/>
      <c r="D1635" s="1297"/>
      <c r="E1635" s="1297" t="s">
        <v>943</v>
      </c>
      <c r="F1635" s="1399">
        <v>2405.7399999999998</v>
      </c>
      <c r="J1635" s="1399">
        <v>2405.7399999999998</v>
      </c>
    </row>
    <row r="1636" spans="2:12">
      <c r="B1636" s="1297"/>
      <c r="C1636" s="1297"/>
      <c r="D1636" s="1297"/>
      <c r="E1636" s="1297" t="s">
        <v>944</v>
      </c>
      <c r="F1636" s="1399">
        <v>1488468.2299999997</v>
      </c>
      <c r="J1636" s="1399">
        <v>1488468.2299999997</v>
      </c>
    </row>
    <row r="1637" spans="2:12">
      <c r="B1637" s="1297"/>
      <c r="C1637" s="1297"/>
      <c r="D1637" s="1297"/>
      <c r="E1637" s="1297" t="s">
        <v>945</v>
      </c>
      <c r="F1637" s="1399">
        <v>1470183.86</v>
      </c>
      <c r="J1637" s="1399">
        <v>1470183.86</v>
      </c>
    </row>
    <row r="1638" spans="2:12">
      <c r="B1638" s="1297"/>
      <c r="C1638" s="1297"/>
      <c r="D1638" s="1297"/>
      <c r="E1638" s="1297" t="s">
        <v>1214</v>
      </c>
      <c r="F1638" s="1399">
        <v>18063.02</v>
      </c>
      <c r="J1638" s="1399">
        <v>18063.02</v>
      </c>
    </row>
    <row r="1639" spans="2:12">
      <c r="B1639" s="1297"/>
      <c r="C1639" s="1297"/>
      <c r="D1639" s="1297"/>
      <c r="E1639" s="1297" t="s">
        <v>947</v>
      </c>
      <c r="F1639" s="1399">
        <v>99656.610000000015</v>
      </c>
      <c r="J1639" s="1399">
        <v>99656.610000000015</v>
      </c>
    </row>
    <row r="1640" spans="2:12">
      <c r="B1640" s="1297"/>
      <c r="C1640" s="1297"/>
      <c r="D1640" s="1297"/>
      <c r="E1640" s="1297" t="s">
        <v>1115</v>
      </c>
      <c r="F1640" s="1399">
        <v>1688.8500000000001</v>
      </c>
      <c r="J1640" s="1399">
        <v>1688.8500000000001</v>
      </c>
    </row>
    <row r="1641" spans="2:12">
      <c r="B1641" s="1297"/>
      <c r="C1641" s="1297"/>
      <c r="D1641" s="1297"/>
      <c r="E1641" s="1404" t="s">
        <v>948</v>
      </c>
      <c r="F1641" s="1405"/>
      <c r="G1641" s="1405"/>
      <c r="H1641" s="1405">
        <v>14398458.300000001</v>
      </c>
      <c r="I1641" s="1405"/>
      <c r="J1641" s="1405">
        <v>14398458.300000001</v>
      </c>
    </row>
    <row r="1642" spans="2:12">
      <c r="B1642" s="1297"/>
      <c r="C1642" s="1297"/>
      <c r="D1642" s="1400" t="s">
        <v>1099</v>
      </c>
      <c r="E1642" s="1400"/>
      <c r="F1642" s="1401">
        <f>SUM(F1609:F1641)</f>
        <v>3991406.47</v>
      </c>
      <c r="G1642" s="1401">
        <f>SUM(G1609:G1641)</f>
        <v>24802906.559999999</v>
      </c>
      <c r="H1642" s="1401">
        <f>SUM(H1609:H1641)-H1641</f>
        <v>2082227.6199999992</v>
      </c>
      <c r="I1642" s="1401">
        <f>SUM(I1609:I1641)-I1627</f>
        <v>12777433.890000001</v>
      </c>
      <c r="J1642" s="1401">
        <f>SUM(J1609:J1641)</f>
        <v>58304424.629999995</v>
      </c>
      <c r="K1642" s="1401">
        <f>SUM(F1642:I1642)</f>
        <v>43653974.539999999</v>
      </c>
      <c r="L1642" s="1408">
        <f>K1642/C1609</f>
        <v>12723.396834742058</v>
      </c>
    </row>
    <row r="1643" spans="2:12">
      <c r="B1643" s="1297" t="s">
        <v>1100</v>
      </c>
      <c r="C1643" s="1297">
        <v>5248</v>
      </c>
      <c r="D1643" s="1297" t="s">
        <v>1101</v>
      </c>
      <c r="E1643" s="1297" t="s">
        <v>906</v>
      </c>
      <c r="G1643" s="1399">
        <v>10745033.85</v>
      </c>
      <c r="J1643" s="1399">
        <v>10745033.85</v>
      </c>
    </row>
    <row r="1644" spans="2:12">
      <c r="B1644" s="1297"/>
      <c r="C1644" s="1297"/>
      <c r="D1644" s="1297"/>
      <c r="E1644" s="1297" t="s">
        <v>952</v>
      </c>
      <c r="G1644" s="1399">
        <v>79053.259999999995</v>
      </c>
      <c r="J1644" s="1399">
        <v>79053.259999999995</v>
      </c>
    </row>
    <row r="1645" spans="2:12">
      <c r="B1645" s="1297"/>
      <c r="C1645" s="1297"/>
      <c r="D1645" s="1297"/>
      <c r="E1645" s="1297" t="s">
        <v>907</v>
      </c>
      <c r="G1645" s="1399">
        <v>4712515.55</v>
      </c>
      <c r="J1645" s="1399">
        <v>4712515.55</v>
      </c>
    </row>
    <row r="1646" spans="2:12">
      <c r="B1646" s="1297"/>
      <c r="C1646" s="1297"/>
      <c r="D1646" s="1297"/>
      <c r="E1646" s="1297" t="s">
        <v>908</v>
      </c>
      <c r="G1646" s="1399">
        <v>29879.78</v>
      </c>
      <c r="J1646" s="1399">
        <v>29879.78</v>
      </c>
    </row>
    <row r="1647" spans="2:12">
      <c r="B1647" s="1297"/>
      <c r="C1647" s="1297"/>
      <c r="D1647" s="1297"/>
      <c r="E1647" s="1297" t="s">
        <v>1037</v>
      </c>
      <c r="H1647" s="1399">
        <v>1400</v>
      </c>
      <c r="J1647" s="1399">
        <v>1400</v>
      </c>
    </row>
    <row r="1648" spans="2:12">
      <c r="B1648" s="1297"/>
      <c r="C1648" s="1297"/>
      <c r="D1648" s="1297"/>
      <c r="E1648" s="1297" t="s">
        <v>1039</v>
      </c>
      <c r="H1648" s="1399">
        <v>27300.67</v>
      </c>
      <c r="J1648" s="1399">
        <v>27300.67</v>
      </c>
    </row>
    <row r="1649" spans="5:10" s="1297" customFormat="1">
      <c r="E1649" s="1297" t="s">
        <v>1040</v>
      </c>
      <c r="F1649" s="1399"/>
      <c r="G1649" s="1399"/>
      <c r="H1649" s="1399">
        <v>328799.48</v>
      </c>
      <c r="I1649" s="1399"/>
      <c r="J1649" s="1399">
        <v>328799.48</v>
      </c>
    </row>
    <row r="1650" spans="5:10" s="1297" customFormat="1">
      <c r="E1650" s="1297" t="s">
        <v>1041</v>
      </c>
      <c r="F1650" s="1399"/>
      <c r="G1650" s="1399"/>
      <c r="H1650" s="1399">
        <v>37240.79</v>
      </c>
      <c r="I1650" s="1399"/>
      <c r="J1650" s="1399">
        <v>37240.79</v>
      </c>
    </row>
    <row r="1651" spans="5:10" s="1297" customFormat="1">
      <c r="E1651" s="1297" t="s">
        <v>1042</v>
      </c>
      <c r="F1651" s="1399"/>
      <c r="G1651" s="1399"/>
      <c r="H1651" s="1399">
        <v>45970.87</v>
      </c>
      <c r="I1651" s="1399"/>
      <c r="J1651" s="1399">
        <v>45970.87</v>
      </c>
    </row>
    <row r="1652" spans="5:10" s="1297" customFormat="1">
      <c r="E1652" s="1297" t="s">
        <v>954</v>
      </c>
      <c r="F1652" s="1399"/>
      <c r="G1652" s="1399"/>
      <c r="H1652" s="1399">
        <v>1275149.8</v>
      </c>
      <c r="I1652" s="1399"/>
      <c r="J1652" s="1399">
        <v>1275149.8</v>
      </c>
    </row>
    <row r="1653" spans="5:10" s="1297" customFormat="1">
      <c r="E1653" s="1297" t="s">
        <v>1043</v>
      </c>
      <c r="F1653" s="1399"/>
      <c r="G1653" s="1399"/>
      <c r="H1653" s="1399">
        <v>6000</v>
      </c>
      <c r="I1653" s="1399"/>
      <c r="J1653" s="1399">
        <v>6000</v>
      </c>
    </row>
    <row r="1654" spans="5:10" s="1297" customFormat="1">
      <c r="E1654" s="1297" t="s">
        <v>986</v>
      </c>
      <c r="F1654" s="1399"/>
      <c r="G1654" s="1399"/>
      <c r="H1654" s="1399">
        <v>26557.919999999998</v>
      </c>
      <c r="I1654" s="1399"/>
      <c r="J1654" s="1399">
        <v>26557.919999999998</v>
      </c>
    </row>
    <row r="1655" spans="5:10" s="1297" customFormat="1">
      <c r="E1655" s="1297" t="s">
        <v>1044</v>
      </c>
      <c r="F1655" s="1399">
        <v>39053.519999999997</v>
      </c>
      <c r="G1655" s="1399"/>
      <c r="H1655" s="1399"/>
      <c r="I1655" s="1399"/>
      <c r="J1655" s="1399">
        <v>39053.519999999997</v>
      </c>
    </row>
    <row r="1656" spans="5:10" s="1297" customFormat="1">
      <c r="E1656" s="1297" t="s">
        <v>1045</v>
      </c>
      <c r="F1656" s="1399"/>
      <c r="G1656" s="1399"/>
      <c r="H1656" s="1399">
        <v>362561.84</v>
      </c>
      <c r="I1656" s="1399"/>
      <c r="J1656" s="1399">
        <v>362561.84</v>
      </c>
    </row>
    <row r="1657" spans="5:10" s="1297" customFormat="1">
      <c r="E1657" s="1297" t="s">
        <v>1046</v>
      </c>
      <c r="F1657" s="1399"/>
      <c r="G1657" s="1399"/>
      <c r="H1657" s="1399"/>
      <c r="I1657" s="1399">
        <v>28062223</v>
      </c>
      <c r="J1657" s="1399">
        <v>28062223</v>
      </c>
    </row>
    <row r="1658" spans="5:10" s="1297" customFormat="1">
      <c r="E1658" s="1297" t="s">
        <v>1128</v>
      </c>
      <c r="F1658" s="1399"/>
      <c r="G1658" s="1399"/>
      <c r="H1658" s="1399"/>
      <c r="I1658" s="1399">
        <v>2287908</v>
      </c>
      <c r="J1658" s="1399">
        <v>2287908</v>
      </c>
    </row>
    <row r="1659" spans="5:10" s="1297" customFormat="1">
      <c r="E1659" s="1297" t="s">
        <v>1129</v>
      </c>
      <c r="F1659" s="1399"/>
      <c r="G1659" s="1399"/>
      <c r="H1659" s="1399"/>
      <c r="I1659" s="1399">
        <v>-3867672</v>
      </c>
      <c r="J1659" s="1399">
        <v>-3867672</v>
      </c>
    </row>
    <row r="1660" spans="5:10" s="1297" customFormat="1">
      <c r="E1660" s="1297" t="s">
        <v>1047</v>
      </c>
      <c r="F1660" s="1399"/>
      <c r="G1660" s="1399"/>
      <c r="H1660" s="1399"/>
      <c r="I1660" s="1399">
        <v>914587</v>
      </c>
      <c r="J1660" s="1399">
        <v>914587</v>
      </c>
    </row>
    <row r="1661" spans="5:10" s="1297" customFormat="1">
      <c r="E1661" s="1297" t="s">
        <v>1048</v>
      </c>
      <c r="F1661" s="1399"/>
      <c r="G1661" s="1399"/>
      <c r="H1661" s="1399"/>
      <c r="I1661" s="1399">
        <v>-4133722</v>
      </c>
      <c r="J1661" s="1399">
        <v>-4133722</v>
      </c>
    </row>
    <row r="1662" spans="5:10" s="1297" customFormat="1">
      <c r="E1662" s="1297" t="s">
        <v>932</v>
      </c>
      <c r="F1662" s="1399"/>
      <c r="G1662" s="1399"/>
      <c r="H1662" s="1399"/>
      <c r="I1662" s="1399">
        <v>1702187</v>
      </c>
      <c r="J1662" s="1399">
        <v>1702187</v>
      </c>
    </row>
    <row r="1663" spans="5:10" s="1297" customFormat="1">
      <c r="E1663" s="1297" t="s">
        <v>933</v>
      </c>
      <c r="F1663" s="1399"/>
      <c r="G1663" s="1399"/>
      <c r="H1663" s="1399"/>
      <c r="I1663" s="1399">
        <v>1496664.74</v>
      </c>
      <c r="J1663" s="1399">
        <v>1496664.74</v>
      </c>
    </row>
    <row r="1664" spans="5:10" s="1297" customFormat="1">
      <c r="E1664" s="1297" t="s">
        <v>934</v>
      </c>
      <c r="F1664" s="1399"/>
      <c r="G1664" s="1399"/>
      <c r="H1664" s="1399"/>
      <c r="I1664" s="1399">
        <v>92128</v>
      </c>
      <c r="J1664" s="1399">
        <v>92128</v>
      </c>
    </row>
    <row r="1665" spans="2:12">
      <c r="B1665" s="1297"/>
      <c r="C1665" s="1297"/>
      <c r="D1665" s="1297"/>
      <c r="E1665" s="1297" t="s">
        <v>935</v>
      </c>
      <c r="I1665" s="1399">
        <v>682121.08000000007</v>
      </c>
      <c r="J1665" s="1399">
        <v>682121.08000000007</v>
      </c>
    </row>
    <row r="1666" spans="2:12">
      <c r="B1666" s="1297"/>
      <c r="C1666" s="1297"/>
      <c r="D1666" s="1297"/>
      <c r="E1666" s="1297" t="s">
        <v>936</v>
      </c>
      <c r="I1666" s="1399">
        <v>107496.21</v>
      </c>
      <c r="J1666" s="1399">
        <v>107496.21</v>
      </c>
    </row>
    <row r="1667" spans="2:12">
      <c r="B1667" s="1297"/>
      <c r="C1667" s="1297"/>
      <c r="D1667" s="1297"/>
      <c r="E1667" s="1297" t="s">
        <v>937</v>
      </c>
      <c r="I1667" s="1399">
        <v>17991.16</v>
      </c>
      <c r="J1667" s="1399">
        <v>17991.16</v>
      </c>
    </row>
    <row r="1668" spans="2:12">
      <c r="B1668" s="1297"/>
      <c r="C1668" s="1297"/>
      <c r="D1668" s="1297"/>
      <c r="E1668" s="1297" t="s">
        <v>938</v>
      </c>
      <c r="I1668" s="1399">
        <v>31068</v>
      </c>
      <c r="J1668" s="1399">
        <v>31068</v>
      </c>
    </row>
    <row r="1669" spans="2:12">
      <c r="B1669" s="1297"/>
      <c r="C1669" s="1297"/>
      <c r="D1669" s="1297"/>
      <c r="E1669" s="1297" t="s">
        <v>939</v>
      </c>
      <c r="I1669" s="1399">
        <v>201834.02</v>
      </c>
      <c r="J1669" s="1399">
        <v>201834.02</v>
      </c>
    </row>
    <row r="1670" spans="2:12">
      <c r="B1670" s="1297"/>
      <c r="C1670" s="1297"/>
      <c r="D1670" s="1297"/>
      <c r="E1670" s="1297" t="s">
        <v>940</v>
      </c>
      <c r="F1670" s="1399">
        <v>1720068.58</v>
      </c>
      <c r="J1670" s="1399">
        <v>1720068.58</v>
      </c>
    </row>
    <row r="1671" spans="2:12">
      <c r="B1671" s="1297"/>
      <c r="C1671" s="1297"/>
      <c r="D1671" s="1297"/>
      <c r="E1671" s="1297" t="s">
        <v>941</v>
      </c>
      <c r="F1671" s="1399">
        <v>877641.04</v>
      </c>
      <c r="J1671" s="1399">
        <v>877641.04</v>
      </c>
    </row>
    <row r="1672" spans="2:12">
      <c r="B1672" s="1297"/>
      <c r="C1672" s="1297"/>
      <c r="D1672" s="1297"/>
      <c r="E1672" s="1297" t="s">
        <v>943</v>
      </c>
      <c r="F1672" s="1399">
        <v>31184.34</v>
      </c>
      <c r="J1672" s="1399">
        <v>31184.34</v>
      </c>
    </row>
    <row r="1673" spans="2:12">
      <c r="B1673" s="1297"/>
      <c r="C1673" s="1297"/>
      <c r="D1673" s="1297"/>
      <c r="E1673" s="1297" t="s">
        <v>944</v>
      </c>
      <c r="F1673" s="1399">
        <v>5447897.1099999994</v>
      </c>
      <c r="J1673" s="1399">
        <v>5447897.1099999994</v>
      </c>
    </row>
    <row r="1674" spans="2:12">
      <c r="B1674" s="1297"/>
      <c r="C1674" s="1297"/>
      <c r="D1674" s="1297"/>
      <c r="E1674" s="1297" t="s">
        <v>945</v>
      </c>
      <c r="F1674" s="1399">
        <v>2840240.1700000004</v>
      </c>
      <c r="J1674" s="1399">
        <v>2840240.1700000004</v>
      </c>
    </row>
    <row r="1675" spans="2:12">
      <c r="B1675" s="1297"/>
      <c r="C1675" s="1297"/>
      <c r="D1675" s="1297"/>
      <c r="E1675" s="1297" t="s">
        <v>946</v>
      </c>
      <c r="F1675" s="1399">
        <v>196215.28</v>
      </c>
      <c r="J1675" s="1399">
        <v>196215.28</v>
      </c>
    </row>
    <row r="1676" spans="2:12">
      <c r="B1676" s="1297"/>
      <c r="C1676" s="1297"/>
      <c r="D1676" s="1297"/>
      <c r="E1676" s="1297" t="s">
        <v>947</v>
      </c>
      <c r="F1676" s="1399">
        <v>155535.59</v>
      </c>
      <c r="J1676" s="1399">
        <v>155535.59</v>
      </c>
    </row>
    <row r="1677" spans="2:12">
      <c r="B1677" s="1297"/>
      <c r="C1677" s="1297"/>
      <c r="D1677" s="1297"/>
      <c r="E1677" s="1404" t="s">
        <v>948</v>
      </c>
      <c r="F1677" s="1405"/>
      <c r="G1677" s="1405"/>
      <c r="H1677" s="1405">
        <v>5743059.2299999995</v>
      </c>
      <c r="I1677" s="1405"/>
      <c r="J1677" s="1405">
        <v>5743059.2299999995</v>
      </c>
    </row>
    <row r="1678" spans="2:12">
      <c r="B1678" s="1297"/>
      <c r="C1678" s="1297"/>
      <c r="D1678" s="1297"/>
      <c r="E1678" s="1297" t="s">
        <v>956</v>
      </c>
      <c r="H1678" s="1399">
        <v>181634</v>
      </c>
      <c r="J1678" s="1399">
        <v>181634</v>
      </c>
    </row>
    <row r="1679" spans="2:12">
      <c r="B1679" s="1297"/>
      <c r="C1679" s="1297"/>
      <c r="D1679" s="1400" t="s">
        <v>1102</v>
      </c>
      <c r="E1679" s="1400"/>
      <c r="F1679" s="1401">
        <f>SUM(F1643:F1678)</f>
        <v>11307835.629999999</v>
      </c>
      <c r="G1679" s="1401">
        <f>SUM(G1643:G1678)</f>
        <v>15566482.439999999</v>
      </c>
      <c r="H1679" s="1401">
        <f>SUM(H1643:H1678)-H1677</f>
        <v>2292615.37</v>
      </c>
      <c r="I1679" s="1401">
        <f>SUM(I1643:I1678)</f>
        <v>27594814.210000001</v>
      </c>
      <c r="J1679" s="1401">
        <f>SUM(J1643:J1678)</f>
        <v>62504806.880000003</v>
      </c>
      <c r="K1679" s="1401">
        <f>SUM(F1679:I1679)</f>
        <v>56761747.650000006</v>
      </c>
      <c r="L1679" s="1408">
        <f>K1679/C1643</f>
        <v>10815.881793064025</v>
      </c>
    </row>
    <row r="1680" spans="2:12">
      <c r="B1680" s="1297" t="s">
        <v>1103</v>
      </c>
      <c r="C1680" s="1297">
        <f>94946-'[2]1$REV-DATA-GAcharterAuditdata'!G63</f>
        <v>93455</v>
      </c>
      <c r="D1680" s="1297" t="s">
        <v>1104</v>
      </c>
      <c r="E1680" s="1297" t="s">
        <v>906</v>
      </c>
      <c r="G1680" s="1399">
        <v>446762804.91000003</v>
      </c>
      <c r="J1680" s="1399">
        <v>446762804.91000003</v>
      </c>
    </row>
    <row r="1681" spans="5:10" s="1297" customFormat="1">
      <c r="E1681" s="1297" t="s">
        <v>952</v>
      </c>
      <c r="F1681" s="1399"/>
      <c r="G1681" s="1399">
        <v>5245556.91</v>
      </c>
      <c r="H1681" s="1399"/>
      <c r="I1681" s="1399"/>
      <c r="J1681" s="1399">
        <v>5245556.91</v>
      </c>
    </row>
    <row r="1682" spans="5:10" s="1297" customFormat="1">
      <c r="E1682" s="1297" t="s">
        <v>907</v>
      </c>
      <c r="F1682" s="1399"/>
      <c r="G1682" s="1399">
        <v>104440242.56</v>
      </c>
      <c r="H1682" s="1399"/>
      <c r="I1682" s="1399"/>
      <c r="J1682" s="1399">
        <v>104440242.56</v>
      </c>
    </row>
    <row r="1683" spans="5:10" s="1297" customFormat="1">
      <c r="E1683" s="1297" t="s">
        <v>908</v>
      </c>
      <c r="F1683" s="1399"/>
      <c r="G1683" s="1399">
        <v>5358375.92</v>
      </c>
      <c r="H1683" s="1399"/>
      <c r="I1683" s="1399"/>
      <c r="J1683" s="1399">
        <v>5358375.92</v>
      </c>
    </row>
    <row r="1684" spans="5:10" s="1297" customFormat="1">
      <c r="E1684" s="1297" t="s">
        <v>1035</v>
      </c>
      <c r="F1684" s="1399"/>
      <c r="G1684" s="1399"/>
      <c r="H1684" s="1399">
        <v>8165594.4000000004</v>
      </c>
      <c r="I1684" s="1399"/>
      <c r="J1684" s="1399">
        <v>8165594.4000000004</v>
      </c>
    </row>
    <row r="1685" spans="5:10" s="1297" customFormat="1">
      <c r="E1685" s="1297" t="s">
        <v>1036</v>
      </c>
      <c r="F1685" s="1399"/>
      <c r="G1685" s="1399"/>
      <c r="H1685" s="1399">
        <v>10562284.57</v>
      </c>
      <c r="I1685" s="1399"/>
      <c r="J1685" s="1399">
        <v>10562284.57</v>
      </c>
    </row>
    <row r="1686" spans="5:10" s="1297" customFormat="1">
      <c r="E1686" s="1297" t="s">
        <v>1105</v>
      </c>
      <c r="F1686" s="1399"/>
      <c r="G1686" s="1399"/>
      <c r="H1686" s="1399">
        <v>17994.8</v>
      </c>
      <c r="I1686" s="1399"/>
      <c r="J1686" s="1399">
        <v>17994.8</v>
      </c>
    </row>
    <row r="1687" spans="5:10" s="1297" customFormat="1">
      <c r="E1687" s="1297" t="s">
        <v>1038</v>
      </c>
      <c r="F1687" s="1399"/>
      <c r="G1687" s="1399"/>
      <c r="H1687" s="1399">
        <v>50050</v>
      </c>
      <c r="I1687" s="1399"/>
      <c r="J1687" s="1399">
        <v>50050</v>
      </c>
    </row>
    <row r="1688" spans="5:10" s="1297" customFormat="1">
      <c r="E1688" s="1297" t="s">
        <v>1003</v>
      </c>
      <c r="F1688" s="1399"/>
      <c r="G1688" s="1399"/>
      <c r="H1688" s="1399">
        <v>709973.81</v>
      </c>
      <c r="I1688" s="1399"/>
      <c r="J1688" s="1399">
        <v>709973.81</v>
      </c>
    </row>
    <row r="1689" spans="5:10" s="1297" customFormat="1">
      <c r="E1689" s="1297" t="s">
        <v>1039</v>
      </c>
      <c r="F1689" s="1399"/>
      <c r="G1689" s="1399"/>
      <c r="H1689" s="1399">
        <v>2298416.7000000002</v>
      </c>
      <c r="I1689" s="1399"/>
      <c r="J1689" s="1399">
        <v>2298416.7000000002</v>
      </c>
    </row>
    <row r="1690" spans="5:10" s="1297" customFormat="1">
      <c r="E1690" s="1297" t="s">
        <v>1040</v>
      </c>
      <c r="F1690" s="1399"/>
      <c r="G1690" s="1399"/>
      <c r="H1690" s="1399">
        <v>3060997.3300000005</v>
      </c>
      <c r="I1690" s="1399"/>
      <c r="J1690" s="1399">
        <v>3060997.3300000005</v>
      </c>
    </row>
    <row r="1691" spans="5:10" s="1297" customFormat="1">
      <c r="E1691" s="1297" t="s">
        <v>1127</v>
      </c>
      <c r="F1691" s="1399"/>
      <c r="G1691" s="1399"/>
      <c r="H1691" s="1399">
        <v>47827.549999999988</v>
      </c>
      <c r="I1691" s="1399"/>
      <c r="J1691" s="1399">
        <v>47827.549999999988</v>
      </c>
    </row>
    <row r="1692" spans="5:10" s="1297" customFormat="1">
      <c r="E1692" s="1297" t="s">
        <v>1041</v>
      </c>
      <c r="F1692" s="1399"/>
      <c r="G1692" s="1399"/>
      <c r="H1692" s="1399">
        <v>735265.99</v>
      </c>
      <c r="I1692" s="1399"/>
      <c r="J1692" s="1399">
        <v>735265.99</v>
      </c>
    </row>
    <row r="1693" spans="5:10" s="1297" customFormat="1">
      <c r="E1693" s="1297" t="s">
        <v>1042</v>
      </c>
      <c r="F1693" s="1399"/>
      <c r="G1693" s="1399"/>
      <c r="H1693" s="1399">
        <v>635087.79</v>
      </c>
      <c r="I1693" s="1399"/>
      <c r="J1693" s="1399">
        <v>635087.79</v>
      </c>
    </row>
    <row r="1694" spans="5:10" s="1297" customFormat="1">
      <c r="E1694" s="1297" t="s">
        <v>1043</v>
      </c>
      <c r="F1694" s="1399"/>
      <c r="G1694" s="1399"/>
      <c r="H1694" s="1399">
        <v>-680</v>
      </c>
      <c r="I1694" s="1399"/>
      <c r="J1694" s="1399">
        <v>-680</v>
      </c>
    </row>
    <row r="1695" spans="5:10" s="1297" customFormat="1">
      <c r="E1695" s="1297" t="s">
        <v>1045</v>
      </c>
      <c r="F1695" s="1399"/>
      <c r="G1695" s="1399"/>
      <c r="H1695" s="1399">
        <v>31644188.000000004</v>
      </c>
      <c r="I1695" s="1399"/>
      <c r="J1695" s="1399">
        <v>31644188.000000004</v>
      </c>
    </row>
    <row r="1696" spans="5:10" s="1297" customFormat="1">
      <c r="E1696" s="1297" t="s">
        <v>1046</v>
      </c>
      <c r="F1696" s="1399"/>
      <c r="G1696" s="1399"/>
      <c r="H1696" s="1399"/>
      <c r="I1696" s="1399">
        <v>480203456.99999994</v>
      </c>
      <c r="J1696" s="1399">
        <v>480203456.99999994</v>
      </c>
    </row>
    <row r="1697" spans="5:10" s="1297" customFormat="1">
      <c r="E1697" s="1297" t="s">
        <v>1128</v>
      </c>
      <c r="F1697" s="1399"/>
      <c r="G1697" s="1399"/>
      <c r="H1697" s="1399"/>
      <c r="I1697" s="1399">
        <v>41113467</v>
      </c>
      <c r="J1697" s="1399">
        <v>41113467</v>
      </c>
    </row>
    <row r="1698" spans="5:10" s="1297" customFormat="1">
      <c r="E1698" s="1297" t="s">
        <v>1129</v>
      </c>
      <c r="F1698" s="1399"/>
      <c r="G1698" s="1399"/>
      <c r="H1698" s="1399"/>
      <c r="I1698" s="1399">
        <v>-61457248</v>
      </c>
      <c r="J1698" s="1399">
        <v>-61457248</v>
      </c>
    </row>
    <row r="1699" spans="5:10" s="1297" customFormat="1">
      <c r="E1699" s="1297" t="s">
        <v>1047</v>
      </c>
      <c r="F1699" s="1399"/>
      <c r="G1699" s="1399"/>
      <c r="H1699" s="1399"/>
      <c r="I1699" s="1399">
        <v>9812982</v>
      </c>
      <c r="J1699" s="1399">
        <v>9812982</v>
      </c>
    </row>
    <row r="1700" spans="5:10" s="1297" customFormat="1">
      <c r="E1700" s="1297" t="s">
        <v>1048</v>
      </c>
      <c r="F1700" s="1399"/>
      <c r="G1700" s="1399"/>
      <c r="H1700" s="1399"/>
      <c r="I1700" s="1399">
        <v>-113919515</v>
      </c>
      <c r="J1700" s="1399">
        <v>-113919515</v>
      </c>
    </row>
    <row r="1701" spans="5:10" s="1297" customFormat="1">
      <c r="E1701" s="1404" t="s">
        <v>955</v>
      </c>
      <c r="F1701" s="1405"/>
      <c r="G1701" s="1405"/>
      <c r="H1701" s="1405"/>
      <c r="I1701" s="1405">
        <v>8934160.0099999998</v>
      </c>
      <c r="J1701" s="1405">
        <v>8934160.0099999998</v>
      </c>
    </row>
    <row r="1702" spans="5:10" s="1297" customFormat="1">
      <c r="E1702" s="1297" t="s">
        <v>934</v>
      </c>
      <c r="F1702" s="1399"/>
      <c r="G1702" s="1399"/>
      <c r="H1702" s="1399"/>
      <c r="I1702" s="1399">
        <v>1407904.5800000003</v>
      </c>
      <c r="J1702" s="1399">
        <v>1407904.5800000003</v>
      </c>
    </row>
    <row r="1703" spans="5:10" s="1297" customFormat="1">
      <c r="E1703" s="1297" t="s">
        <v>1130</v>
      </c>
      <c r="F1703" s="1399"/>
      <c r="G1703" s="1399"/>
      <c r="H1703" s="1399"/>
      <c r="I1703" s="1399">
        <v>448403.8</v>
      </c>
      <c r="J1703" s="1399">
        <v>448403.8</v>
      </c>
    </row>
    <row r="1704" spans="5:10" s="1297" customFormat="1">
      <c r="E1704" s="1297" t="s">
        <v>935</v>
      </c>
      <c r="F1704" s="1399"/>
      <c r="G1704" s="1399"/>
      <c r="H1704" s="1399"/>
      <c r="I1704" s="1399">
        <v>6504188.4900000002</v>
      </c>
      <c r="J1704" s="1399">
        <v>6504188.4900000002</v>
      </c>
    </row>
    <row r="1705" spans="5:10" s="1297" customFormat="1">
      <c r="E1705" s="1297" t="s">
        <v>936</v>
      </c>
      <c r="F1705" s="1399"/>
      <c r="G1705" s="1399"/>
      <c r="H1705" s="1399"/>
      <c r="I1705" s="1399">
        <v>1546264.76</v>
      </c>
      <c r="J1705" s="1399">
        <v>1546264.76</v>
      </c>
    </row>
    <row r="1706" spans="5:10" s="1297" customFormat="1">
      <c r="E1706" s="1297" t="s">
        <v>937</v>
      </c>
      <c r="F1706" s="1399"/>
      <c r="G1706" s="1399"/>
      <c r="H1706" s="1399"/>
      <c r="I1706" s="1399">
        <v>632924.77</v>
      </c>
      <c r="J1706" s="1399">
        <v>632924.77</v>
      </c>
    </row>
    <row r="1707" spans="5:10" s="1297" customFormat="1">
      <c r="E1707" s="1297" t="s">
        <v>938</v>
      </c>
      <c r="F1707" s="1399"/>
      <c r="G1707" s="1399"/>
      <c r="H1707" s="1399"/>
      <c r="I1707" s="1399">
        <v>434021</v>
      </c>
      <c r="J1707" s="1399">
        <v>434021</v>
      </c>
    </row>
    <row r="1708" spans="5:10" s="1297" customFormat="1">
      <c r="E1708" s="1297" t="s">
        <v>939</v>
      </c>
      <c r="F1708" s="1399"/>
      <c r="G1708" s="1399"/>
      <c r="H1708" s="1399"/>
      <c r="I1708" s="1399">
        <v>27709.83</v>
      </c>
      <c r="J1708" s="1399">
        <v>27709.83</v>
      </c>
    </row>
    <row r="1709" spans="5:10" s="1297" customFormat="1">
      <c r="E1709" s="1297" t="s">
        <v>1131</v>
      </c>
      <c r="F1709" s="1399">
        <v>1938128.12</v>
      </c>
      <c r="G1709" s="1399"/>
      <c r="H1709" s="1399"/>
      <c r="I1709" s="1399"/>
      <c r="J1709" s="1399">
        <v>1938128.12</v>
      </c>
    </row>
    <row r="1710" spans="5:10" s="1297" customFormat="1">
      <c r="E1710" s="1297" t="s">
        <v>940</v>
      </c>
      <c r="F1710" s="1399">
        <v>27576216.460000008</v>
      </c>
      <c r="G1710" s="1399"/>
      <c r="H1710" s="1399"/>
      <c r="I1710" s="1399"/>
      <c r="J1710" s="1399">
        <v>27576216.460000008</v>
      </c>
    </row>
    <row r="1711" spans="5:10" s="1297" customFormat="1">
      <c r="E1711" s="1297" t="s">
        <v>941</v>
      </c>
      <c r="F1711" s="1399">
        <v>7864429.299999997</v>
      </c>
      <c r="G1711" s="1399"/>
      <c r="H1711" s="1399"/>
      <c r="I1711" s="1399"/>
      <c r="J1711" s="1399">
        <v>7864429.299999997</v>
      </c>
    </row>
    <row r="1712" spans="5:10" s="1297" customFormat="1">
      <c r="E1712" s="1297" t="s">
        <v>943</v>
      </c>
      <c r="F1712" s="1399">
        <v>260462.46000000014</v>
      </c>
      <c r="G1712" s="1399"/>
      <c r="H1712" s="1399"/>
      <c r="I1712" s="1399"/>
      <c r="J1712" s="1399">
        <v>260462.46000000014</v>
      </c>
    </row>
    <row r="1713" spans="2:14">
      <c r="B1713" s="1297"/>
      <c r="C1713" s="1297"/>
      <c r="D1713" s="1297"/>
      <c r="E1713" s="1297" t="s">
        <v>944</v>
      </c>
      <c r="F1713" s="1399">
        <v>54536423.250000022</v>
      </c>
      <c r="J1713" s="1399">
        <v>54536423.250000022</v>
      </c>
    </row>
    <row r="1714" spans="2:14">
      <c r="B1714" s="1297"/>
      <c r="C1714" s="1297"/>
      <c r="D1714" s="1297"/>
      <c r="E1714" s="1297" t="s">
        <v>945</v>
      </c>
      <c r="F1714" s="1399">
        <v>42735961.240000002</v>
      </c>
      <c r="J1714" s="1399">
        <v>42735961.240000002</v>
      </c>
    </row>
    <row r="1715" spans="2:14">
      <c r="B1715" s="1297"/>
      <c r="C1715" s="1297"/>
      <c r="D1715" s="1297"/>
      <c r="E1715" s="1297" t="s">
        <v>946</v>
      </c>
      <c r="F1715" s="1399">
        <v>1658420.3</v>
      </c>
      <c r="J1715" s="1399">
        <v>1658420.3</v>
      </c>
    </row>
    <row r="1716" spans="2:14">
      <c r="B1716" s="1297"/>
      <c r="C1716" s="1297"/>
      <c r="D1716" s="1297"/>
      <c r="E1716" s="1297" t="s">
        <v>978</v>
      </c>
      <c r="F1716" s="1399">
        <v>3600</v>
      </c>
      <c r="J1716" s="1399">
        <v>3600</v>
      </c>
    </row>
    <row r="1717" spans="2:14">
      <c r="B1717" s="1297"/>
      <c r="C1717" s="1297"/>
      <c r="D1717" s="1297"/>
      <c r="E1717" s="1297" t="s">
        <v>947</v>
      </c>
      <c r="F1717" s="1399">
        <v>6135464.3800000045</v>
      </c>
      <c r="J1717" s="1399">
        <v>6135464.3800000045</v>
      </c>
    </row>
    <row r="1718" spans="2:14">
      <c r="B1718" s="1297"/>
      <c r="C1718" s="1297"/>
      <c r="D1718" s="1297"/>
      <c r="E1718" s="1404" t="s">
        <v>948</v>
      </c>
      <c r="F1718" s="1405"/>
      <c r="G1718" s="1405"/>
      <c r="H1718" s="1405">
        <v>98424434.530000001</v>
      </c>
      <c r="I1718" s="1405"/>
      <c r="J1718" s="1405">
        <v>98424434.530000001</v>
      </c>
    </row>
    <row r="1719" spans="2:14">
      <c r="B1719" s="1297"/>
      <c r="C1719" s="1297"/>
      <c r="D1719" s="1297"/>
      <c r="E1719" s="1297" t="s">
        <v>956</v>
      </c>
      <c r="H1719" s="1399">
        <v>2933.05</v>
      </c>
      <c r="J1719" s="1399">
        <v>2933.05</v>
      </c>
    </row>
    <row r="1720" spans="2:14">
      <c r="B1720" s="1297"/>
      <c r="C1720" s="1297"/>
      <c r="D1720" s="1297"/>
      <c r="E1720" s="1297" t="s">
        <v>1118</v>
      </c>
      <c r="H1720" s="1399">
        <v>2062299.81</v>
      </c>
      <c r="J1720" s="1399">
        <v>2062299.81</v>
      </c>
    </row>
    <row r="1721" spans="2:14">
      <c r="B1721" s="1297"/>
      <c r="C1721" s="1297"/>
      <c r="D1721" s="1297"/>
      <c r="E1721" s="1297" t="s">
        <v>1051</v>
      </c>
      <c r="H1721" s="1399">
        <v>300000</v>
      </c>
      <c r="J1721" s="1399">
        <v>300000</v>
      </c>
    </row>
    <row r="1722" spans="2:14">
      <c r="B1722" s="1297"/>
      <c r="C1722" s="1297"/>
      <c r="D1722" s="1400" t="s">
        <v>1106</v>
      </c>
      <c r="E1722" s="1400" t="s">
        <v>1641</v>
      </c>
      <c r="F1722" s="1401">
        <f>SUM(F1680:F1721)-'1$REV-CharterAuditData'!BM63</f>
        <v>141215837.94000006</v>
      </c>
      <c r="G1722" s="1401">
        <f>SUM(G1680:G1721)-'1$REV-CharterAuditData'!Q63</f>
        <v>557008638.87000012</v>
      </c>
      <c r="H1722" s="1401">
        <f>SUM(H1680:H1721)-H1718</f>
        <v>60292233.800000012</v>
      </c>
      <c r="I1722" s="1401">
        <f>SUM(I1680:I1721)-'1$REV-CharterAuditData'!AZ63</f>
        <v>368633820.23999989</v>
      </c>
      <c r="J1722" s="1401">
        <f>SUM(J1680:J1721)</f>
        <v>1238921474.3800001</v>
      </c>
      <c r="K1722" s="1401">
        <f>SUM(F1722:I1722)</f>
        <v>1127150530.8499999</v>
      </c>
      <c r="L1722" s="1408">
        <f>K1722/C1680</f>
        <v>12060.890598148841</v>
      </c>
      <c r="M1722" s="1408">
        <f>F1722/C1680</f>
        <v>1511.0570642555247</v>
      </c>
      <c r="N1722" s="1297">
        <f>F1722/K1722</f>
        <v>0.12528569527754846</v>
      </c>
    </row>
    <row r="1723" spans="2:14">
      <c r="B1723" s="1297" t="s">
        <v>1107</v>
      </c>
      <c r="C1723" s="1297">
        <v>3178</v>
      </c>
      <c r="D1723" s="1297" t="s">
        <v>1108</v>
      </c>
      <c r="E1723" s="1297" t="s">
        <v>906</v>
      </c>
      <c r="G1723" s="1399">
        <v>4426909.45</v>
      </c>
      <c r="J1723" s="1399">
        <v>4426909.45</v>
      </c>
    </row>
    <row r="1724" spans="2:14">
      <c r="B1724" s="1297"/>
      <c r="C1724" s="1297"/>
      <c r="D1724" s="1297"/>
      <c r="E1724" s="1297" t="s">
        <v>952</v>
      </c>
      <c r="G1724" s="1399">
        <v>35884.449999999997</v>
      </c>
      <c r="J1724" s="1399">
        <v>35884.449999999997</v>
      </c>
    </row>
    <row r="1725" spans="2:14">
      <c r="B1725" s="1297"/>
      <c r="C1725" s="1297"/>
      <c r="D1725" s="1297"/>
      <c r="E1725" s="1297" t="s">
        <v>907</v>
      </c>
      <c r="G1725" s="1399">
        <v>1945875.75</v>
      </c>
      <c r="J1725" s="1399">
        <v>1945875.75</v>
      </c>
    </row>
    <row r="1726" spans="2:14">
      <c r="B1726" s="1297"/>
      <c r="C1726" s="1297"/>
      <c r="D1726" s="1297"/>
      <c r="E1726" s="1297" t="s">
        <v>908</v>
      </c>
      <c r="G1726" s="1399">
        <v>21452.19</v>
      </c>
      <c r="J1726" s="1399">
        <v>21452.19</v>
      </c>
    </row>
    <row r="1727" spans="2:14">
      <c r="B1727" s="1297"/>
      <c r="C1727" s="1297"/>
      <c r="D1727" s="1297"/>
      <c r="E1727" s="1297" t="s">
        <v>1035</v>
      </c>
      <c r="H1727" s="1399">
        <v>234095.84</v>
      </c>
      <c r="J1727" s="1399">
        <v>234095.84</v>
      </c>
    </row>
    <row r="1728" spans="2:14">
      <c r="B1728" s="1297"/>
      <c r="C1728" s="1297"/>
      <c r="D1728" s="1297"/>
      <c r="E1728" s="1297" t="s">
        <v>1038</v>
      </c>
      <c r="H1728" s="1399">
        <v>15064</v>
      </c>
      <c r="J1728" s="1399">
        <v>15064</v>
      </c>
    </row>
    <row r="1729" spans="5:10" s="1297" customFormat="1">
      <c r="E1729" s="1297" t="s">
        <v>1039</v>
      </c>
      <c r="F1729" s="1399"/>
      <c r="G1729" s="1399"/>
      <c r="H1729" s="1399">
        <v>8312.15</v>
      </c>
      <c r="I1729" s="1399"/>
      <c r="J1729" s="1399">
        <v>8312.15</v>
      </c>
    </row>
    <row r="1730" spans="5:10" s="1297" customFormat="1">
      <c r="E1730" s="1297" t="s">
        <v>1040</v>
      </c>
      <c r="F1730" s="1399"/>
      <c r="G1730" s="1399"/>
      <c r="H1730" s="1399">
        <v>228540.33</v>
      </c>
      <c r="I1730" s="1399"/>
      <c r="J1730" s="1399">
        <v>228540.33</v>
      </c>
    </row>
    <row r="1731" spans="5:10" s="1297" customFormat="1">
      <c r="E1731" s="1297" t="s">
        <v>1041</v>
      </c>
      <c r="F1731" s="1399"/>
      <c r="G1731" s="1399"/>
      <c r="H1731" s="1399">
        <v>31130.53</v>
      </c>
      <c r="I1731" s="1399"/>
      <c r="J1731" s="1399">
        <v>31130.53</v>
      </c>
    </row>
    <row r="1732" spans="5:10" s="1297" customFormat="1">
      <c r="E1732" s="1297" t="s">
        <v>1042</v>
      </c>
      <c r="F1732" s="1399"/>
      <c r="G1732" s="1399"/>
      <c r="H1732" s="1399">
        <v>67736.83</v>
      </c>
      <c r="I1732" s="1399"/>
      <c r="J1732" s="1399">
        <v>67736.83</v>
      </c>
    </row>
    <row r="1733" spans="5:10" s="1297" customFormat="1">
      <c r="E1733" s="1297" t="s">
        <v>1045</v>
      </c>
      <c r="F1733" s="1399"/>
      <c r="G1733" s="1399"/>
      <c r="H1733" s="1399">
        <v>1340661.8599999999</v>
      </c>
      <c r="I1733" s="1399"/>
      <c r="J1733" s="1399">
        <v>1340661.8599999999</v>
      </c>
    </row>
    <row r="1734" spans="5:10" s="1297" customFormat="1">
      <c r="E1734" s="1297" t="s">
        <v>1046</v>
      </c>
      <c r="F1734" s="1399"/>
      <c r="G1734" s="1399"/>
      <c r="H1734" s="1399"/>
      <c r="I1734" s="1399">
        <v>16155369</v>
      </c>
      <c r="J1734" s="1399">
        <v>16155369</v>
      </c>
    </row>
    <row r="1735" spans="5:10" s="1297" customFormat="1">
      <c r="E1735" s="1297" t="s">
        <v>1047</v>
      </c>
      <c r="F1735" s="1399"/>
      <c r="G1735" s="1399"/>
      <c r="H1735" s="1399"/>
      <c r="I1735" s="1399">
        <v>671659</v>
      </c>
      <c r="J1735" s="1399">
        <v>671659</v>
      </c>
    </row>
    <row r="1736" spans="5:10" s="1297" customFormat="1">
      <c r="E1736" s="1297" t="s">
        <v>1048</v>
      </c>
      <c r="F1736" s="1399"/>
      <c r="G1736" s="1399"/>
      <c r="H1736" s="1399"/>
      <c r="I1736" s="1399">
        <v>-1613376</v>
      </c>
      <c r="J1736" s="1399">
        <v>-1613376</v>
      </c>
    </row>
    <row r="1737" spans="5:10" s="1297" customFormat="1">
      <c r="E1737" s="1297" t="s">
        <v>932</v>
      </c>
      <c r="F1737" s="1399"/>
      <c r="G1737" s="1399"/>
      <c r="H1737" s="1399"/>
      <c r="I1737" s="1399">
        <v>2106401</v>
      </c>
      <c r="J1737" s="1399">
        <v>2106401</v>
      </c>
    </row>
    <row r="1738" spans="5:10" s="1297" customFormat="1">
      <c r="E1738" s="1297" t="s">
        <v>933</v>
      </c>
      <c r="F1738" s="1399"/>
      <c r="G1738" s="1399"/>
      <c r="H1738" s="1399"/>
      <c r="I1738" s="1399">
        <v>748047</v>
      </c>
      <c r="J1738" s="1399">
        <v>748047</v>
      </c>
    </row>
    <row r="1739" spans="5:10" s="1297" customFormat="1">
      <c r="E1739" s="1297" t="s">
        <v>934</v>
      </c>
      <c r="F1739" s="1399"/>
      <c r="G1739" s="1399"/>
      <c r="H1739" s="1399"/>
      <c r="I1739" s="1399">
        <v>61870</v>
      </c>
      <c r="J1739" s="1399">
        <v>61870</v>
      </c>
    </row>
    <row r="1740" spans="5:10" s="1297" customFormat="1">
      <c r="E1740" s="1297" t="s">
        <v>935</v>
      </c>
      <c r="F1740" s="1399"/>
      <c r="G1740" s="1399"/>
      <c r="H1740" s="1399"/>
      <c r="I1740" s="1399">
        <v>428102.92000000004</v>
      </c>
      <c r="J1740" s="1399">
        <v>428102.92000000004</v>
      </c>
    </row>
    <row r="1741" spans="5:10" s="1297" customFormat="1">
      <c r="E1741" s="1297" t="s">
        <v>936</v>
      </c>
      <c r="F1741" s="1399"/>
      <c r="G1741" s="1399"/>
      <c r="H1741" s="1399"/>
      <c r="I1741" s="1399">
        <v>60225.89</v>
      </c>
      <c r="J1741" s="1399">
        <v>60225.89</v>
      </c>
    </row>
    <row r="1742" spans="5:10" s="1297" customFormat="1">
      <c r="E1742" s="1297" t="s">
        <v>937</v>
      </c>
      <c r="F1742" s="1399"/>
      <c r="G1742" s="1399"/>
      <c r="H1742" s="1399"/>
      <c r="I1742" s="1399">
        <v>17212.23</v>
      </c>
      <c r="J1742" s="1399">
        <v>17212.23</v>
      </c>
    </row>
    <row r="1743" spans="5:10" s="1297" customFormat="1">
      <c r="E1743" s="1297" t="s">
        <v>938</v>
      </c>
      <c r="F1743" s="1399"/>
      <c r="G1743" s="1399"/>
      <c r="H1743" s="1399"/>
      <c r="I1743" s="1399">
        <v>18903</v>
      </c>
      <c r="J1743" s="1399">
        <v>18903</v>
      </c>
    </row>
    <row r="1744" spans="5:10" s="1297" customFormat="1">
      <c r="E1744" s="1297" t="s">
        <v>1131</v>
      </c>
      <c r="F1744" s="1399">
        <v>498579.16</v>
      </c>
      <c r="G1744" s="1399"/>
      <c r="H1744" s="1399"/>
      <c r="I1744" s="1399"/>
      <c r="J1744" s="1399">
        <v>498579.16</v>
      </c>
    </row>
    <row r="1745" spans="2:12">
      <c r="B1745" s="1297"/>
      <c r="C1745" s="1297"/>
      <c r="D1745" s="1297"/>
      <c r="E1745" s="1297" t="s">
        <v>940</v>
      </c>
      <c r="F1745" s="1399">
        <v>1207174.22</v>
      </c>
      <c r="J1745" s="1399">
        <v>1207174.22</v>
      </c>
    </row>
    <row r="1746" spans="2:12">
      <c r="B1746" s="1297"/>
      <c r="C1746" s="1297"/>
      <c r="D1746" s="1297"/>
      <c r="E1746" s="1297" t="s">
        <v>941</v>
      </c>
      <c r="F1746" s="1399">
        <v>393653.2</v>
      </c>
      <c r="J1746" s="1399">
        <v>393653.2</v>
      </c>
    </row>
    <row r="1747" spans="2:12">
      <c r="B1747" s="1297"/>
      <c r="C1747" s="1297"/>
      <c r="D1747" s="1297"/>
      <c r="E1747" s="1297" t="s">
        <v>943</v>
      </c>
      <c r="F1747" s="1399">
        <v>21135.88</v>
      </c>
      <c r="J1747" s="1399">
        <v>21135.88</v>
      </c>
    </row>
    <row r="1748" spans="2:12">
      <c r="B1748" s="1297"/>
      <c r="C1748" s="1297"/>
      <c r="D1748" s="1297"/>
      <c r="E1748" s="1297" t="s">
        <v>944</v>
      </c>
      <c r="F1748" s="1399">
        <v>2733443.59</v>
      </c>
      <c r="J1748" s="1399">
        <v>2733443.59</v>
      </c>
    </row>
    <row r="1749" spans="2:12">
      <c r="B1749" s="1297"/>
      <c r="C1749" s="1297"/>
      <c r="D1749" s="1297"/>
      <c r="E1749" s="1297" t="s">
        <v>945</v>
      </c>
      <c r="F1749" s="1399">
        <v>1485848.25</v>
      </c>
      <c r="J1749" s="1399">
        <v>1485848.25</v>
      </c>
    </row>
    <row r="1750" spans="2:12">
      <c r="B1750" s="1297"/>
      <c r="C1750" s="1297"/>
      <c r="D1750" s="1297"/>
      <c r="E1750" s="1297" t="s">
        <v>946</v>
      </c>
      <c r="F1750" s="1399">
        <v>386485.92</v>
      </c>
      <c r="J1750" s="1399">
        <v>386485.92</v>
      </c>
    </row>
    <row r="1751" spans="2:12">
      <c r="B1751" s="1297"/>
      <c r="C1751" s="1297"/>
      <c r="D1751" s="1297"/>
      <c r="E1751" s="1297" t="s">
        <v>947</v>
      </c>
      <c r="F1751" s="1399">
        <v>107349.41</v>
      </c>
      <c r="J1751" s="1399">
        <v>107349.41</v>
      </c>
    </row>
    <row r="1752" spans="2:12">
      <c r="B1752" s="1297"/>
      <c r="C1752" s="1297"/>
      <c r="D1752" s="1297"/>
      <c r="E1752" s="1297" t="s">
        <v>1115</v>
      </c>
      <c r="F1752" s="1399">
        <v>0</v>
      </c>
      <c r="J1752" s="1399">
        <v>0</v>
      </c>
    </row>
    <row r="1753" spans="2:12">
      <c r="B1753" s="1297"/>
      <c r="C1753" s="1297"/>
      <c r="D1753" s="1297"/>
      <c r="E1753" s="1404" t="s">
        <v>948</v>
      </c>
      <c r="F1753" s="1405"/>
      <c r="G1753" s="1405"/>
      <c r="H1753" s="1405">
        <v>2134103.84</v>
      </c>
      <c r="I1753" s="1405"/>
      <c r="J1753" s="1405">
        <v>2134103.84</v>
      </c>
    </row>
    <row r="1754" spans="2:12">
      <c r="B1754" s="1297"/>
      <c r="C1754" s="1297"/>
      <c r="D1754" s="1297"/>
      <c r="E1754" s="1297" t="s">
        <v>956</v>
      </c>
      <c r="H1754" s="1399">
        <v>6185</v>
      </c>
      <c r="J1754" s="1399">
        <v>6185</v>
      </c>
    </row>
    <row r="1755" spans="2:12">
      <c r="B1755" s="1297"/>
      <c r="C1755" s="1297"/>
      <c r="D1755" s="1400" t="s">
        <v>1109</v>
      </c>
      <c r="E1755" s="1400"/>
      <c r="F1755" s="1401">
        <f>SUM(F1723:F1754)</f>
        <v>6833669.6299999999</v>
      </c>
      <c r="G1755" s="1401">
        <f>SUM(G1723:G1754)</f>
        <v>6430121.8400000008</v>
      </c>
      <c r="H1755" s="1401">
        <f>SUM(H1723:H1754)-H1753</f>
        <v>1931726.54</v>
      </c>
      <c r="I1755" s="1401">
        <f>SUM(I1723:I1754)</f>
        <v>18654414.040000003</v>
      </c>
      <c r="J1755" s="1401">
        <f>SUM(J1723:J1754)</f>
        <v>35984035.890000001</v>
      </c>
      <c r="K1755" s="1401">
        <f>SUM(F1755:I1755)</f>
        <v>33849932.050000004</v>
      </c>
      <c r="L1755" s="1408">
        <f>K1755/C1723</f>
        <v>10651.331670862179</v>
      </c>
    </row>
    <row r="1756" spans="2:12">
      <c r="B1756" s="1297" t="s">
        <v>1110</v>
      </c>
      <c r="C1756" s="1297">
        <v>1331</v>
      </c>
      <c r="D1756" s="1297" t="s">
        <v>1111</v>
      </c>
      <c r="E1756" s="1297" t="s">
        <v>906</v>
      </c>
      <c r="G1756" s="1399">
        <v>4230476.6900000004</v>
      </c>
      <c r="J1756" s="1399">
        <v>4230476.6900000004</v>
      </c>
    </row>
    <row r="1757" spans="2:12">
      <c r="B1757" s="1297"/>
      <c r="C1757" s="1297"/>
      <c r="D1757" s="1297"/>
      <c r="E1757" s="1297" t="s">
        <v>952</v>
      </c>
      <c r="G1757" s="1399">
        <v>29906.720000000001</v>
      </c>
      <c r="J1757" s="1399">
        <v>29906.720000000001</v>
      </c>
    </row>
    <row r="1758" spans="2:12">
      <c r="B1758" s="1297"/>
      <c r="C1758" s="1297"/>
      <c r="D1758" s="1297"/>
      <c r="E1758" s="1297" t="s">
        <v>907</v>
      </c>
      <c r="G1758" s="1399">
        <v>1583064.18</v>
      </c>
      <c r="J1758" s="1399">
        <v>1583064.18</v>
      </c>
    </row>
    <row r="1759" spans="2:12">
      <c r="B1759" s="1297"/>
      <c r="C1759" s="1297"/>
      <c r="D1759" s="1297"/>
      <c r="E1759" s="1297" t="s">
        <v>908</v>
      </c>
      <c r="G1759" s="1399">
        <v>22843.89</v>
      </c>
      <c r="J1759" s="1399">
        <v>22843.89</v>
      </c>
    </row>
    <row r="1760" spans="2:12">
      <c r="B1760" s="1297"/>
      <c r="C1760" s="1297"/>
      <c r="D1760" s="1297"/>
      <c r="E1760" s="1297" t="s">
        <v>1035</v>
      </c>
      <c r="H1760" s="1399">
        <v>289761.01</v>
      </c>
      <c r="J1760" s="1399">
        <v>289761.01</v>
      </c>
    </row>
    <row r="1761" spans="5:10" s="1297" customFormat="1">
      <c r="E1761" s="1297" t="s">
        <v>1039</v>
      </c>
      <c r="F1761" s="1399"/>
      <c r="G1761" s="1399"/>
      <c r="H1761" s="1399">
        <v>18676.829999999998</v>
      </c>
      <c r="I1761" s="1399"/>
      <c r="J1761" s="1399">
        <v>18676.829999999998</v>
      </c>
    </row>
    <row r="1762" spans="5:10" s="1297" customFormat="1">
      <c r="E1762" s="1297" t="s">
        <v>1041</v>
      </c>
      <c r="F1762" s="1399"/>
      <c r="G1762" s="1399"/>
      <c r="H1762" s="1399">
        <v>3058.21</v>
      </c>
      <c r="I1762" s="1399"/>
      <c r="J1762" s="1399">
        <v>3058.21</v>
      </c>
    </row>
    <row r="1763" spans="5:10" s="1297" customFormat="1">
      <c r="E1763" s="1297" t="s">
        <v>1042</v>
      </c>
      <c r="F1763" s="1399"/>
      <c r="G1763" s="1399"/>
      <c r="H1763" s="1399">
        <v>19619.21</v>
      </c>
      <c r="I1763" s="1399"/>
      <c r="J1763" s="1399">
        <v>19619.21</v>
      </c>
    </row>
    <row r="1764" spans="5:10" s="1297" customFormat="1">
      <c r="E1764" s="1297" t="s">
        <v>953</v>
      </c>
      <c r="F1764" s="1399"/>
      <c r="G1764" s="1399"/>
      <c r="H1764" s="1399">
        <v>2867.99</v>
      </c>
      <c r="I1764" s="1399"/>
      <c r="J1764" s="1399">
        <v>2867.99</v>
      </c>
    </row>
    <row r="1765" spans="5:10" s="1297" customFormat="1">
      <c r="E1765" s="1297" t="s">
        <v>986</v>
      </c>
      <c r="F1765" s="1399"/>
      <c r="G1765" s="1399"/>
      <c r="H1765" s="1399">
        <v>19570</v>
      </c>
      <c r="I1765" s="1399"/>
      <c r="J1765" s="1399">
        <v>19570</v>
      </c>
    </row>
    <row r="1766" spans="5:10" s="1297" customFormat="1">
      <c r="E1766" s="1297" t="s">
        <v>1045</v>
      </c>
      <c r="F1766" s="1399"/>
      <c r="G1766" s="1399"/>
      <c r="H1766" s="1399">
        <v>56030.42</v>
      </c>
      <c r="I1766" s="1399"/>
      <c r="J1766" s="1399">
        <v>56030.42</v>
      </c>
    </row>
    <row r="1767" spans="5:10" s="1297" customFormat="1">
      <c r="E1767" s="1297" t="s">
        <v>1046</v>
      </c>
      <c r="F1767" s="1399"/>
      <c r="G1767" s="1399"/>
      <c r="H1767" s="1399"/>
      <c r="I1767" s="1399">
        <v>7080828</v>
      </c>
      <c r="J1767" s="1399">
        <v>7080828</v>
      </c>
    </row>
    <row r="1768" spans="5:10" s="1297" customFormat="1">
      <c r="E1768" s="1297" t="s">
        <v>1047</v>
      </c>
      <c r="F1768" s="1399"/>
      <c r="G1768" s="1399"/>
      <c r="H1768" s="1399"/>
      <c r="I1768" s="1399">
        <v>364884</v>
      </c>
      <c r="J1768" s="1399">
        <v>364884</v>
      </c>
    </row>
    <row r="1769" spans="5:10" s="1297" customFormat="1">
      <c r="E1769" s="1297" t="s">
        <v>1048</v>
      </c>
      <c r="F1769" s="1399"/>
      <c r="G1769" s="1399"/>
      <c r="H1769" s="1399"/>
      <c r="I1769" s="1399">
        <v>-1292918</v>
      </c>
      <c r="J1769" s="1399">
        <v>-1292918</v>
      </c>
    </row>
    <row r="1770" spans="5:10" s="1297" customFormat="1">
      <c r="E1770" s="1297" t="s">
        <v>932</v>
      </c>
      <c r="F1770" s="1399"/>
      <c r="G1770" s="1399"/>
      <c r="H1770" s="1399"/>
      <c r="I1770" s="1399">
        <v>168536</v>
      </c>
      <c r="J1770" s="1399">
        <v>168536</v>
      </c>
    </row>
    <row r="1771" spans="5:10" s="1297" customFormat="1">
      <c r="E1771" s="1404" t="s">
        <v>955</v>
      </c>
      <c r="F1771" s="1405"/>
      <c r="G1771" s="1405"/>
      <c r="H1771" s="1405"/>
      <c r="I1771" s="1405">
        <v>511333.71</v>
      </c>
      <c r="J1771" s="1405">
        <v>511333.71</v>
      </c>
    </row>
    <row r="1772" spans="5:10" s="1297" customFormat="1">
      <c r="E1772" s="1297" t="s">
        <v>934</v>
      </c>
      <c r="F1772" s="1399"/>
      <c r="G1772" s="1399"/>
      <c r="H1772" s="1399"/>
      <c r="I1772" s="1399">
        <v>27452</v>
      </c>
      <c r="J1772" s="1399">
        <v>27452</v>
      </c>
    </row>
    <row r="1773" spans="5:10" s="1297" customFormat="1">
      <c r="E1773" s="1297" t="s">
        <v>935</v>
      </c>
      <c r="F1773" s="1399"/>
      <c r="G1773" s="1399"/>
      <c r="H1773" s="1399"/>
      <c r="I1773" s="1399">
        <v>243722.04</v>
      </c>
      <c r="J1773" s="1399">
        <v>243722.04</v>
      </c>
    </row>
    <row r="1774" spans="5:10" s="1297" customFormat="1">
      <c r="E1774" s="1297" t="s">
        <v>936</v>
      </c>
      <c r="F1774" s="1399"/>
      <c r="G1774" s="1399"/>
      <c r="H1774" s="1399"/>
      <c r="I1774" s="1399">
        <v>31513.55</v>
      </c>
      <c r="J1774" s="1399">
        <v>31513.55</v>
      </c>
    </row>
    <row r="1775" spans="5:10" s="1297" customFormat="1">
      <c r="E1775" s="1297" t="s">
        <v>937</v>
      </c>
      <c r="F1775" s="1399"/>
      <c r="G1775" s="1399"/>
      <c r="H1775" s="1399"/>
      <c r="I1775" s="1399">
        <v>5795.51</v>
      </c>
      <c r="J1775" s="1399">
        <v>5795.51</v>
      </c>
    </row>
    <row r="1776" spans="5:10" s="1297" customFormat="1">
      <c r="E1776" s="1297" t="s">
        <v>938</v>
      </c>
      <c r="F1776" s="1399"/>
      <c r="G1776" s="1399"/>
      <c r="H1776" s="1399"/>
      <c r="I1776" s="1399">
        <v>11604</v>
      </c>
      <c r="J1776" s="1399">
        <v>11604</v>
      </c>
    </row>
    <row r="1777" spans="2:12">
      <c r="B1777" s="1297"/>
      <c r="C1777" s="1297"/>
      <c r="D1777" s="1297"/>
      <c r="E1777" s="1297" t="s">
        <v>939</v>
      </c>
      <c r="I1777" s="1399">
        <v>77460.84</v>
      </c>
      <c r="J1777" s="1399">
        <v>77460.84</v>
      </c>
    </row>
    <row r="1778" spans="2:12">
      <c r="B1778" s="1297"/>
      <c r="C1778" s="1297"/>
      <c r="D1778" s="1297"/>
      <c r="E1778" s="1297" t="s">
        <v>1131</v>
      </c>
      <c r="F1778" s="1399">
        <v>140595.85999999999</v>
      </c>
      <c r="J1778" s="1399">
        <v>140595.85999999999</v>
      </c>
    </row>
    <row r="1779" spans="2:12">
      <c r="B1779" s="1297"/>
      <c r="C1779" s="1297"/>
      <c r="D1779" s="1297"/>
      <c r="E1779" s="1297" t="s">
        <v>940</v>
      </c>
      <c r="F1779" s="1399">
        <v>553221.81999999995</v>
      </c>
      <c r="J1779" s="1399">
        <v>553221.81999999995</v>
      </c>
    </row>
    <row r="1780" spans="2:12">
      <c r="B1780" s="1297"/>
      <c r="C1780" s="1297"/>
      <c r="D1780" s="1297"/>
      <c r="E1780" s="1297" t="s">
        <v>941</v>
      </c>
      <c r="F1780" s="1399">
        <v>258789.16</v>
      </c>
      <c r="J1780" s="1399">
        <v>258789.16</v>
      </c>
    </row>
    <row r="1781" spans="2:12">
      <c r="B1781" s="1297"/>
      <c r="C1781" s="1297"/>
      <c r="D1781" s="1297"/>
      <c r="E1781" s="1297" t="s">
        <v>943</v>
      </c>
      <c r="F1781" s="1399">
        <v>2456.06</v>
      </c>
      <c r="J1781" s="1399">
        <v>2456.06</v>
      </c>
    </row>
    <row r="1782" spans="2:12">
      <c r="B1782" s="1297"/>
      <c r="C1782" s="1297"/>
      <c r="D1782" s="1297"/>
      <c r="E1782" s="1297" t="s">
        <v>944</v>
      </c>
      <c r="F1782" s="1399">
        <v>1645859.5499999998</v>
      </c>
      <c r="J1782" s="1399">
        <v>1645859.5499999998</v>
      </c>
    </row>
    <row r="1783" spans="2:12">
      <c r="B1783" s="1297"/>
      <c r="C1783" s="1297"/>
      <c r="D1783" s="1297"/>
      <c r="E1783" s="1297" t="s">
        <v>945</v>
      </c>
      <c r="F1783" s="1399">
        <v>2032851.32</v>
      </c>
      <c r="J1783" s="1399">
        <v>2032851.32</v>
      </c>
    </row>
    <row r="1784" spans="2:12">
      <c r="B1784" s="1297"/>
      <c r="C1784" s="1297"/>
      <c r="D1784" s="1297"/>
      <c r="E1784" s="1297" t="s">
        <v>946</v>
      </c>
      <c r="F1784" s="1399">
        <v>35526.61</v>
      </c>
      <c r="J1784" s="1399">
        <v>35526.61</v>
      </c>
    </row>
    <row r="1785" spans="2:12">
      <c r="B1785" s="1297"/>
      <c r="C1785" s="1297"/>
      <c r="D1785" s="1297"/>
      <c r="E1785" s="1297" t="s">
        <v>978</v>
      </c>
      <c r="F1785" s="1399">
        <v>18285.599999999999</v>
      </c>
      <c r="J1785" s="1399">
        <v>18285.599999999999</v>
      </c>
    </row>
    <row r="1786" spans="2:12">
      <c r="B1786" s="1297"/>
      <c r="C1786" s="1297"/>
      <c r="D1786" s="1297"/>
      <c r="E1786" s="1297" t="s">
        <v>1006</v>
      </c>
      <c r="F1786" s="1399">
        <v>7487.01</v>
      </c>
      <c r="J1786" s="1399">
        <v>7487.01</v>
      </c>
    </row>
    <row r="1787" spans="2:12">
      <c r="B1787" s="1297"/>
      <c r="C1787" s="1297"/>
      <c r="D1787" s="1297"/>
      <c r="E1787" s="1297" t="s">
        <v>947</v>
      </c>
      <c r="F1787" s="1399">
        <v>52396.08</v>
      </c>
      <c r="J1787" s="1399">
        <v>52396.08</v>
      </c>
    </row>
    <row r="1788" spans="2:12">
      <c r="B1788" s="1297"/>
      <c r="C1788" s="1297"/>
      <c r="D1788" s="1297"/>
      <c r="E1788" s="1297" t="s">
        <v>1115</v>
      </c>
      <c r="F1788" s="1399">
        <v>348.87</v>
      </c>
      <c r="J1788" s="1399">
        <v>348.87</v>
      </c>
    </row>
    <row r="1789" spans="2:12">
      <c r="B1789" s="1297"/>
      <c r="C1789" s="1297"/>
      <c r="D1789" s="1297"/>
      <c r="E1789" s="1404" t="s">
        <v>948</v>
      </c>
      <c r="F1789" s="1405"/>
      <c r="G1789" s="1405"/>
      <c r="H1789" s="1405">
        <v>1229977.7100000002</v>
      </c>
      <c r="I1789" s="1405"/>
      <c r="J1789" s="1405">
        <v>1229977.7100000002</v>
      </c>
    </row>
    <row r="1790" spans="2:12">
      <c r="B1790" s="1297"/>
      <c r="C1790" s="1297"/>
      <c r="D1790" s="1297"/>
      <c r="E1790" s="1297" t="s">
        <v>1118</v>
      </c>
      <c r="H1790" s="1399">
        <v>71.69</v>
      </c>
      <c r="J1790" s="1399">
        <v>71.69</v>
      </c>
    </row>
    <row r="1791" spans="2:12">
      <c r="B1791" s="1297"/>
      <c r="C1791" s="1297"/>
      <c r="D1791" s="1400" t="s">
        <v>1112</v>
      </c>
      <c r="E1791" s="1400"/>
      <c r="F1791" s="1401">
        <f>SUM(F1756:F1790)</f>
        <v>4747817.9399999995</v>
      </c>
      <c r="G1791" s="1401">
        <f>SUM(G1756:G1790)</f>
        <v>5866291.4799999995</v>
      </c>
      <c r="H1791" s="1401">
        <f>SUM(H1756:H1790)</f>
        <v>1639633.0700000003</v>
      </c>
      <c r="I1791" s="1401">
        <f>SUM(I1756:I1790)</f>
        <v>7230211.6499999994</v>
      </c>
      <c r="J1791" s="1401">
        <f>SUM(J1756:J1790)</f>
        <v>19483954.140000004</v>
      </c>
      <c r="K1791" s="1401">
        <f>SUM(F1791:I1791)</f>
        <v>19483954.139999997</v>
      </c>
      <c r="L1791" s="1408">
        <f>K1791/C1756</f>
        <v>14638.583125469569</v>
      </c>
    </row>
    <row r="1792" spans="2:12">
      <c r="B1792" s="1297" t="s">
        <v>1113</v>
      </c>
      <c r="C1792" s="1297">
        <v>15474</v>
      </c>
      <c r="D1792" s="1297" t="s">
        <v>1114</v>
      </c>
      <c r="E1792" s="1297" t="s">
        <v>906</v>
      </c>
      <c r="G1792" s="1399">
        <v>39170979.039999999</v>
      </c>
      <c r="J1792" s="1399">
        <v>39170979.039999999</v>
      </c>
    </row>
    <row r="1793" spans="5:10" s="1297" customFormat="1">
      <c r="E1793" s="1297" t="s">
        <v>952</v>
      </c>
      <c r="F1793" s="1399"/>
      <c r="G1793" s="1399">
        <v>221370.14</v>
      </c>
      <c r="H1793" s="1399"/>
      <c r="I1793" s="1399"/>
      <c r="J1793" s="1399">
        <v>221370.14</v>
      </c>
    </row>
    <row r="1794" spans="5:10" s="1297" customFormat="1">
      <c r="E1794" s="1297" t="s">
        <v>907</v>
      </c>
      <c r="F1794" s="1399"/>
      <c r="G1794" s="1399">
        <v>18160512.710000001</v>
      </c>
      <c r="H1794" s="1399"/>
      <c r="I1794" s="1399"/>
      <c r="J1794" s="1399">
        <v>18160512.710000001</v>
      </c>
    </row>
    <row r="1795" spans="5:10" s="1297" customFormat="1">
      <c r="E1795" s="1297" t="s">
        <v>908</v>
      </c>
      <c r="F1795" s="1399"/>
      <c r="G1795" s="1399">
        <v>45379.73</v>
      </c>
      <c r="H1795" s="1399"/>
      <c r="I1795" s="1399"/>
      <c r="J1795" s="1399">
        <v>45379.73</v>
      </c>
    </row>
    <row r="1796" spans="5:10" s="1297" customFormat="1">
      <c r="E1796" s="1297" t="s">
        <v>909</v>
      </c>
      <c r="F1796" s="1399"/>
      <c r="G1796" s="1399"/>
      <c r="H1796" s="1399">
        <v>85406.63</v>
      </c>
      <c r="I1796" s="1399"/>
      <c r="J1796" s="1399">
        <v>85406.63</v>
      </c>
    </row>
    <row r="1797" spans="5:10" s="1297" customFormat="1">
      <c r="E1797" s="1297" t="s">
        <v>1034</v>
      </c>
      <c r="F1797" s="1399"/>
      <c r="G1797" s="1399"/>
      <c r="H1797" s="1399">
        <v>91302.77</v>
      </c>
      <c r="I1797" s="1399"/>
      <c r="J1797" s="1399">
        <v>91302.77</v>
      </c>
    </row>
    <row r="1798" spans="5:10" s="1297" customFormat="1">
      <c r="E1798" s="1297" t="s">
        <v>1035</v>
      </c>
      <c r="F1798" s="1399"/>
      <c r="G1798" s="1399"/>
      <c r="H1798" s="1399">
        <v>376846.62000000011</v>
      </c>
      <c r="I1798" s="1399"/>
      <c r="J1798" s="1399">
        <v>376846.62000000011</v>
      </c>
    </row>
    <row r="1799" spans="5:10" s="1297" customFormat="1">
      <c r="E1799" s="1297" t="s">
        <v>1036</v>
      </c>
      <c r="F1799" s="1399"/>
      <c r="G1799" s="1399"/>
      <c r="H1799" s="1399">
        <v>698</v>
      </c>
      <c r="I1799" s="1399"/>
      <c r="J1799" s="1399">
        <v>698</v>
      </c>
    </row>
    <row r="1800" spans="5:10" s="1297" customFormat="1">
      <c r="E1800" s="1297" t="s">
        <v>1037</v>
      </c>
      <c r="F1800" s="1399"/>
      <c r="G1800" s="1399"/>
      <c r="H1800" s="1399">
        <v>475435.45</v>
      </c>
      <c r="I1800" s="1399"/>
      <c r="J1800" s="1399">
        <v>475435.45</v>
      </c>
    </row>
    <row r="1801" spans="5:10" s="1297" customFormat="1">
      <c r="E1801" s="1297" t="s">
        <v>1105</v>
      </c>
      <c r="F1801" s="1399"/>
      <c r="G1801" s="1399"/>
      <c r="H1801" s="1399">
        <v>46210</v>
      </c>
      <c r="I1801" s="1399"/>
      <c r="J1801" s="1399">
        <v>46210</v>
      </c>
    </row>
    <row r="1802" spans="5:10" s="1297" customFormat="1">
      <c r="E1802" s="1297" t="s">
        <v>1003</v>
      </c>
      <c r="F1802" s="1399"/>
      <c r="G1802" s="1399"/>
      <c r="H1802" s="1399">
        <v>175269.7</v>
      </c>
      <c r="I1802" s="1399"/>
      <c r="J1802" s="1399">
        <v>175269.7</v>
      </c>
    </row>
    <row r="1803" spans="5:10" s="1297" customFormat="1">
      <c r="E1803" s="1297" t="s">
        <v>1039</v>
      </c>
      <c r="F1803" s="1399"/>
      <c r="G1803" s="1399"/>
      <c r="H1803" s="1399">
        <v>61299.28</v>
      </c>
      <c r="I1803" s="1399"/>
      <c r="J1803" s="1399">
        <v>61299.28</v>
      </c>
    </row>
    <row r="1804" spans="5:10" s="1297" customFormat="1">
      <c r="E1804" s="1297" t="s">
        <v>1040</v>
      </c>
      <c r="F1804" s="1399"/>
      <c r="G1804" s="1399"/>
      <c r="H1804" s="1399">
        <v>481721.81000000006</v>
      </c>
      <c r="I1804" s="1399"/>
      <c r="J1804" s="1399">
        <v>481721.81000000006</v>
      </c>
    </row>
    <row r="1805" spans="5:10" s="1297" customFormat="1">
      <c r="E1805" s="1297" t="s">
        <v>1041</v>
      </c>
      <c r="F1805" s="1399"/>
      <c r="G1805" s="1399"/>
      <c r="H1805" s="1399">
        <v>63338.36</v>
      </c>
      <c r="I1805" s="1399"/>
      <c r="J1805" s="1399">
        <v>63338.36</v>
      </c>
    </row>
    <row r="1806" spans="5:10" s="1297" customFormat="1">
      <c r="E1806" s="1297" t="s">
        <v>1042</v>
      </c>
      <c r="F1806" s="1399"/>
      <c r="G1806" s="1399"/>
      <c r="H1806" s="1399">
        <v>98988.71</v>
      </c>
      <c r="I1806" s="1399"/>
      <c r="J1806" s="1399">
        <v>98988.71</v>
      </c>
    </row>
    <row r="1807" spans="5:10" s="1297" customFormat="1">
      <c r="E1807" s="1297" t="s">
        <v>953</v>
      </c>
      <c r="F1807" s="1399"/>
      <c r="G1807" s="1399"/>
      <c r="H1807" s="1399">
        <v>50696.25</v>
      </c>
      <c r="I1807" s="1399"/>
      <c r="J1807" s="1399">
        <v>50696.25</v>
      </c>
    </row>
    <row r="1808" spans="5:10" s="1297" customFormat="1">
      <c r="E1808" s="1297" t="s">
        <v>954</v>
      </c>
      <c r="F1808" s="1399"/>
      <c r="G1808" s="1399"/>
      <c r="H1808" s="1399">
        <v>577867.44999999995</v>
      </c>
      <c r="I1808" s="1399"/>
      <c r="J1808" s="1399">
        <v>577867.44999999995</v>
      </c>
    </row>
    <row r="1809" spans="5:10" s="1297" customFormat="1">
      <c r="E1809" s="1297" t="s">
        <v>1043</v>
      </c>
      <c r="F1809" s="1399"/>
      <c r="G1809" s="1399"/>
      <c r="H1809" s="1399">
        <v>65299.089999999989</v>
      </c>
      <c r="I1809" s="1399"/>
      <c r="J1809" s="1399">
        <v>65299.089999999989</v>
      </c>
    </row>
    <row r="1810" spans="5:10" s="1297" customFormat="1">
      <c r="E1810" s="1297" t="s">
        <v>986</v>
      </c>
      <c r="F1810" s="1399"/>
      <c r="G1810" s="1399"/>
      <c r="H1810" s="1399">
        <v>179674.63</v>
      </c>
      <c r="I1810" s="1399"/>
      <c r="J1810" s="1399">
        <v>179674.63</v>
      </c>
    </row>
    <row r="1811" spans="5:10" s="1297" customFormat="1">
      <c r="E1811" s="1297" t="s">
        <v>996</v>
      </c>
      <c r="F1811" s="1399"/>
      <c r="G1811" s="1399"/>
      <c r="H1811" s="1399">
        <v>191413.51</v>
      </c>
      <c r="I1811" s="1399"/>
      <c r="J1811" s="1399">
        <v>191413.51</v>
      </c>
    </row>
    <row r="1812" spans="5:10" s="1297" customFormat="1">
      <c r="E1812" s="1297" t="s">
        <v>1044</v>
      </c>
      <c r="F1812" s="1399">
        <v>655092.65</v>
      </c>
      <c r="G1812" s="1399"/>
      <c r="H1812" s="1399"/>
      <c r="I1812" s="1399"/>
      <c r="J1812" s="1399">
        <v>655092.65</v>
      </c>
    </row>
    <row r="1813" spans="5:10" s="1297" customFormat="1">
      <c r="E1813" s="1297" t="s">
        <v>1045</v>
      </c>
      <c r="F1813" s="1399"/>
      <c r="G1813" s="1399"/>
      <c r="H1813" s="1399">
        <v>1689331.3699999996</v>
      </c>
      <c r="I1813" s="1399"/>
      <c r="J1813" s="1399">
        <v>1689331.3699999996</v>
      </c>
    </row>
    <row r="1814" spans="5:10" s="1297" customFormat="1">
      <c r="E1814" s="1297" t="s">
        <v>1046</v>
      </c>
      <c r="F1814" s="1399"/>
      <c r="G1814" s="1399"/>
      <c r="H1814" s="1399"/>
      <c r="I1814" s="1399">
        <v>77529421</v>
      </c>
      <c r="J1814" s="1399">
        <v>77529421</v>
      </c>
    </row>
    <row r="1815" spans="5:10" s="1297" customFormat="1">
      <c r="E1815" s="1297" t="s">
        <v>1128</v>
      </c>
      <c r="F1815" s="1399"/>
      <c r="G1815" s="1399"/>
      <c r="H1815" s="1399"/>
      <c r="I1815" s="1399">
        <v>6585115</v>
      </c>
      <c r="J1815" s="1399">
        <v>6585115</v>
      </c>
    </row>
    <row r="1816" spans="5:10" s="1297" customFormat="1">
      <c r="E1816" s="1297" t="s">
        <v>1129</v>
      </c>
      <c r="F1816" s="1399"/>
      <c r="G1816" s="1399"/>
      <c r="H1816" s="1399"/>
      <c r="I1816" s="1399">
        <v>-11051841</v>
      </c>
      <c r="J1816" s="1399">
        <v>-11051841</v>
      </c>
    </row>
    <row r="1817" spans="5:10" s="1297" customFormat="1">
      <c r="E1817" s="1297" t="s">
        <v>1047</v>
      </c>
      <c r="F1817" s="1399"/>
      <c r="G1817" s="1399"/>
      <c r="H1817" s="1399"/>
      <c r="I1817" s="1399">
        <v>1910014</v>
      </c>
      <c r="J1817" s="1399">
        <v>1910014</v>
      </c>
    </row>
    <row r="1818" spans="5:10" s="1297" customFormat="1">
      <c r="E1818" s="1297" t="s">
        <v>1048</v>
      </c>
      <c r="F1818" s="1399"/>
      <c r="G1818" s="1399"/>
      <c r="H1818" s="1399"/>
      <c r="I1818" s="1399">
        <v>-10524484</v>
      </c>
      <c r="J1818" s="1399">
        <v>-10524484</v>
      </c>
    </row>
    <row r="1819" spans="5:10" s="1297" customFormat="1">
      <c r="E1819" s="1297" t="s">
        <v>932</v>
      </c>
      <c r="F1819" s="1399"/>
      <c r="G1819" s="1399"/>
      <c r="H1819" s="1399"/>
      <c r="I1819" s="1399">
        <v>9558626</v>
      </c>
      <c r="J1819" s="1399">
        <v>9558626</v>
      </c>
    </row>
    <row r="1820" spans="5:10" s="1297" customFormat="1">
      <c r="E1820" s="1404" t="s">
        <v>955</v>
      </c>
      <c r="F1820" s="1405"/>
      <c r="G1820" s="1405"/>
      <c r="H1820" s="1405"/>
      <c r="I1820" s="1405">
        <v>1113568.6000000001</v>
      </c>
      <c r="J1820" s="1405">
        <v>1113568.6000000001</v>
      </c>
    </row>
    <row r="1821" spans="5:10" s="1297" customFormat="1">
      <c r="E1821" s="1297" t="s">
        <v>934</v>
      </c>
      <c r="F1821" s="1399"/>
      <c r="G1821" s="1399"/>
      <c r="H1821" s="1399"/>
      <c r="I1821" s="1399">
        <v>266983.64</v>
      </c>
      <c r="J1821" s="1399">
        <v>266983.64</v>
      </c>
    </row>
    <row r="1822" spans="5:10" s="1297" customFormat="1">
      <c r="E1822" s="1297" t="s">
        <v>935</v>
      </c>
      <c r="F1822" s="1399"/>
      <c r="G1822" s="1399"/>
      <c r="H1822" s="1399"/>
      <c r="I1822" s="1399">
        <v>3066730.74</v>
      </c>
      <c r="J1822" s="1399">
        <v>3066730.74</v>
      </c>
    </row>
    <row r="1823" spans="5:10" s="1297" customFormat="1">
      <c r="E1823" s="1297" t="s">
        <v>936</v>
      </c>
      <c r="F1823" s="1399"/>
      <c r="G1823" s="1399"/>
      <c r="H1823" s="1399"/>
      <c r="I1823" s="1399">
        <v>283972.08</v>
      </c>
      <c r="J1823" s="1399">
        <v>283972.08</v>
      </c>
    </row>
    <row r="1824" spans="5:10" s="1297" customFormat="1">
      <c r="E1824" s="1297" t="s">
        <v>937</v>
      </c>
      <c r="F1824" s="1399"/>
      <c r="G1824" s="1399"/>
      <c r="H1824" s="1399"/>
      <c r="I1824" s="1399">
        <v>51483.82</v>
      </c>
      <c r="J1824" s="1399">
        <v>51483.82</v>
      </c>
    </row>
    <row r="1825" spans="2:12">
      <c r="B1825" s="1297"/>
      <c r="C1825" s="1297"/>
      <c r="D1825" s="1297"/>
      <c r="E1825" s="1297" t="s">
        <v>938</v>
      </c>
      <c r="I1825" s="1399">
        <v>94702</v>
      </c>
      <c r="J1825" s="1399">
        <v>94702</v>
      </c>
    </row>
    <row r="1826" spans="2:12">
      <c r="B1826" s="1297"/>
      <c r="C1826" s="1297"/>
      <c r="D1826" s="1297"/>
      <c r="E1826" s="1297" t="s">
        <v>1131</v>
      </c>
      <c r="F1826" s="1399">
        <v>248892.93</v>
      </c>
      <c r="J1826" s="1399">
        <v>248892.93</v>
      </c>
    </row>
    <row r="1827" spans="2:12">
      <c r="B1827" s="1297"/>
      <c r="C1827" s="1297"/>
      <c r="D1827" s="1297"/>
      <c r="E1827" s="1297" t="s">
        <v>940</v>
      </c>
      <c r="F1827" s="1399">
        <v>5569711.3200000003</v>
      </c>
      <c r="J1827" s="1399">
        <v>5569711.3200000003</v>
      </c>
    </row>
    <row r="1828" spans="2:12">
      <c r="B1828" s="1297"/>
      <c r="C1828" s="1297"/>
      <c r="D1828" s="1297"/>
      <c r="E1828" s="1297" t="s">
        <v>941</v>
      </c>
      <c r="F1828" s="1399">
        <v>2507484.48</v>
      </c>
      <c r="J1828" s="1399">
        <v>2507484.48</v>
      </c>
    </row>
    <row r="1829" spans="2:12">
      <c r="B1829" s="1297"/>
      <c r="C1829" s="1297"/>
      <c r="D1829" s="1297"/>
      <c r="E1829" s="1297" t="s">
        <v>943</v>
      </c>
      <c r="F1829" s="1399">
        <v>106166.85999999999</v>
      </c>
      <c r="J1829" s="1399">
        <v>106166.85999999999</v>
      </c>
    </row>
    <row r="1830" spans="2:12">
      <c r="B1830" s="1297"/>
      <c r="C1830" s="1297"/>
      <c r="D1830" s="1297"/>
      <c r="E1830" s="1297" t="s">
        <v>944</v>
      </c>
      <c r="F1830" s="1399">
        <v>14046194.749999996</v>
      </c>
      <c r="J1830" s="1399">
        <v>14046194.749999996</v>
      </c>
    </row>
    <row r="1831" spans="2:12">
      <c r="B1831" s="1297"/>
      <c r="C1831" s="1297"/>
      <c r="D1831" s="1297"/>
      <c r="E1831" s="1297" t="s">
        <v>945</v>
      </c>
      <c r="F1831" s="1399">
        <v>8325692.9399999995</v>
      </c>
      <c r="J1831" s="1399">
        <v>8325692.9399999995</v>
      </c>
    </row>
    <row r="1832" spans="2:12">
      <c r="B1832" s="1297"/>
      <c r="C1832" s="1297"/>
      <c r="D1832" s="1297"/>
      <c r="E1832" s="1297" t="s">
        <v>946</v>
      </c>
      <c r="F1832" s="1399">
        <v>85801.84</v>
      </c>
      <c r="J1832" s="1399">
        <v>85801.84</v>
      </c>
    </row>
    <row r="1833" spans="2:12">
      <c r="B1833" s="1297"/>
      <c r="C1833" s="1297"/>
      <c r="D1833" s="1297"/>
      <c r="E1833" s="1297" t="s">
        <v>1006</v>
      </c>
      <c r="F1833" s="1399">
        <v>59270.78</v>
      </c>
      <c r="J1833" s="1399">
        <v>59270.78</v>
      </c>
    </row>
    <row r="1834" spans="2:12">
      <c r="B1834" s="1297"/>
      <c r="C1834" s="1297"/>
      <c r="D1834" s="1297"/>
      <c r="E1834" s="1297" t="s">
        <v>947</v>
      </c>
      <c r="F1834" s="1399">
        <v>527097.31000000006</v>
      </c>
      <c r="J1834" s="1399">
        <v>527097.31000000006</v>
      </c>
    </row>
    <row r="1835" spans="2:12">
      <c r="B1835" s="1297"/>
      <c r="C1835" s="1297"/>
      <c r="D1835" s="1297"/>
      <c r="E1835" s="1404" t="s">
        <v>948</v>
      </c>
      <c r="F1835" s="1405"/>
      <c r="G1835" s="1405"/>
      <c r="H1835" s="1405">
        <v>20774224.930000003</v>
      </c>
      <c r="I1835" s="1405"/>
      <c r="J1835" s="1405">
        <v>20774224.930000003</v>
      </c>
    </row>
    <row r="1836" spans="2:12">
      <c r="B1836" s="1297"/>
      <c r="C1836" s="1297"/>
      <c r="D1836" s="1297"/>
      <c r="E1836" s="1297" t="s">
        <v>956</v>
      </c>
      <c r="H1836" s="1399">
        <v>18649.96</v>
      </c>
      <c r="J1836" s="1399">
        <v>18649.96</v>
      </c>
    </row>
    <row r="1837" spans="2:12">
      <c r="B1837" s="1297"/>
      <c r="C1837" s="1297"/>
      <c r="D1837" s="1297"/>
      <c r="E1837" s="1297" t="s">
        <v>1118</v>
      </c>
      <c r="H1837" s="1399">
        <v>2485787.83</v>
      </c>
      <c r="J1837" s="1399">
        <v>2485787.83</v>
      </c>
    </row>
    <row r="1838" spans="2:12">
      <c r="B1838" s="1297"/>
      <c r="C1838" s="1297"/>
      <c r="D1838" s="1400" t="s">
        <v>1291</v>
      </c>
      <c r="E1838" s="1400"/>
      <c r="F1838" s="1401">
        <f>SUM(F1792:F1837)</f>
        <v>32131405.859999992</v>
      </c>
      <c r="G1838" s="1401">
        <f>SUM(G1792:G1837)</f>
        <v>57598241.619999997</v>
      </c>
      <c r="H1838" s="1401">
        <f>SUM(H1792:H1837)-H1835</f>
        <v>7215237.4199999981</v>
      </c>
      <c r="I1838" s="1401">
        <f>SUM(I1792:I1837)-I1820</f>
        <v>77770723.279999986</v>
      </c>
      <c r="J1838" s="1401">
        <f>SUM(J1792:J1837)</f>
        <v>196603401.71000004</v>
      </c>
      <c r="K1838" s="1401">
        <f>SUM(F1838:I1838)</f>
        <v>174715608.17999998</v>
      </c>
      <c r="L1838" s="1408">
        <f>K1838/C1792</f>
        <v>11290.914319503681</v>
      </c>
    </row>
    <row r="1839" spans="2:12">
      <c r="B1839" s="1297" t="s">
        <v>1292</v>
      </c>
      <c r="C1839" s="1297">
        <f>24361-'[2]1$REV-DATA-GAcharterAuditdata'!G67</f>
        <v>23936</v>
      </c>
      <c r="D1839" s="1297" t="s">
        <v>1293</v>
      </c>
      <c r="E1839" s="1297" t="s">
        <v>906</v>
      </c>
      <c r="G1839" s="1399">
        <v>81626660.859999999</v>
      </c>
      <c r="J1839" s="1399">
        <v>81626660.859999999</v>
      </c>
    </row>
    <row r="1840" spans="2:12">
      <c r="B1840" s="1297"/>
      <c r="C1840" s="1297"/>
      <c r="D1840" s="1297"/>
      <c r="E1840" s="1297" t="s">
        <v>952</v>
      </c>
      <c r="G1840" s="1399">
        <v>912209.14999999991</v>
      </c>
      <c r="J1840" s="1399">
        <v>912209.14999999991</v>
      </c>
    </row>
    <row r="1841" spans="5:10" s="1297" customFormat="1">
      <c r="E1841" s="1297" t="s">
        <v>907</v>
      </c>
      <c r="F1841" s="1399"/>
      <c r="G1841" s="1399">
        <v>20567360.07</v>
      </c>
      <c r="H1841" s="1399"/>
      <c r="I1841" s="1399"/>
      <c r="J1841" s="1399">
        <v>20567360.07</v>
      </c>
    </row>
    <row r="1842" spans="5:10" s="1297" customFormat="1">
      <c r="E1842" s="1297" t="s">
        <v>910</v>
      </c>
      <c r="F1842" s="1399"/>
      <c r="G1842" s="1399"/>
      <c r="H1842" s="1399">
        <v>174740.87</v>
      </c>
      <c r="I1842" s="1399"/>
      <c r="J1842" s="1399">
        <v>174740.87</v>
      </c>
    </row>
    <row r="1843" spans="5:10" s="1297" customFormat="1">
      <c r="E1843" s="1297" t="s">
        <v>1034</v>
      </c>
      <c r="F1843" s="1399"/>
      <c r="G1843" s="1399"/>
      <c r="H1843" s="1399">
        <v>326839.15000000002</v>
      </c>
      <c r="I1843" s="1399"/>
      <c r="J1843" s="1399">
        <v>326839.15000000002</v>
      </c>
    </row>
    <row r="1844" spans="5:10" s="1297" customFormat="1">
      <c r="E1844" s="1297" t="s">
        <v>1035</v>
      </c>
      <c r="F1844" s="1399"/>
      <c r="G1844" s="1399"/>
      <c r="H1844" s="1399">
        <v>3552342.0100000002</v>
      </c>
      <c r="I1844" s="1399"/>
      <c r="J1844" s="1399">
        <v>3552342.0100000002</v>
      </c>
    </row>
    <row r="1845" spans="5:10" s="1297" customFormat="1">
      <c r="E1845" s="1297" t="s">
        <v>1036</v>
      </c>
      <c r="F1845" s="1399"/>
      <c r="G1845" s="1399"/>
      <c r="H1845" s="1399">
        <v>877101.11</v>
      </c>
      <c r="I1845" s="1399"/>
      <c r="J1845" s="1399">
        <v>877101.11</v>
      </c>
    </row>
    <row r="1846" spans="5:10" s="1297" customFormat="1">
      <c r="E1846" s="1297" t="s">
        <v>1039</v>
      </c>
      <c r="F1846" s="1399"/>
      <c r="G1846" s="1399"/>
      <c r="H1846" s="1399">
        <v>389392.77</v>
      </c>
      <c r="I1846" s="1399"/>
      <c r="J1846" s="1399">
        <v>389392.77</v>
      </c>
    </row>
    <row r="1847" spans="5:10" s="1297" customFormat="1">
      <c r="E1847" s="1297" t="s">
        <v>1040</v>
      </c>
      <c r="F1847" s="1399"/>
      <c r="G1847" s="1399"/>
      <c r="H1847" s="1399">
        <v>1906214.38</v>
      </c>
      <c r="I1847" s="1399"/>
      <c r="J1847" s="1399">
        <v>1906214.38</v>
      </c>
    </row>
    <row r="1848" spans="5:10" s="1297" customFormat="1">
      <c r="E1848" s="1297" t="s">
        <v>1127</v>
      </c>
      <c r="F1848" s="1399"/>
      <c r="G1848" s="1399"/>
      <c r="H1848" s="1399">
        <v>492428.13</v>
      </c>
      <c r="I1848" s="1399"/>
      <c r="J1848" s="1399">
        <v>492428.13</v>
      </c>
    </row>
    <row r="1849" spans="5:10" s="1297" customFormat="1">
      <c r="E1849" s="1297" t="s">
        <v>1207</v>
      </c>
      <c r="F1849" s="1399"/>
      <c r="G1849" s="1399"/>
      <c r="H1849" s="1399">
        <v>30845.1</v>
      </c>
      <c r="I1849" s="1399"/>
      <c r="J1849" s="1399">
        <v>30845.1</v>
      </c>
    </row>
    <row r="1850" spans="5:10" s="1297" customFormat="1">
      <c r="E1850" s="1297" t="s">
        <v>1041</v>
      </c>
      <c r="F1850" s="1399"/>
      <c r="G1850" s="1399"/>
      <c r="H1850" s="1399">
        <v>333362.36</v>
      </c>
      <c r="I1850" s="1399"/>
      <c r="J1850" s="1399">
        <v>333362.36</v>
      </c>
    </row>
    <row r="1851" spans="5:10" s="1297" customFormat="1">
      <c r="E1851" s="1297" t="s">
        <v>1042</v>
      </c>
      <c r="F1851" s="1399"/>
      <c r="G1851" s="1399"/>
      <c r="H1851" s="1399">
        <v>268036.45</v>
      </c>
      <c r="I1851" s="1399"/>
      <c r="J1851" s="1399">
        <v>268036.45</v>
      </c>
    </row>
    <row r="1852" spans="5:10" s="1297" customFormat="1">
      <c r="E1852" s="1297" t="s">
        <v>1005</v>
      </c>
      <c r="F1852" s="1399"/>
      <c r="G1852" s="1399"/>
      <c r="H1852" s="1399">
        <v>107131.1</v>
      </c>
      <c r="I1852" s="1399"/>
      <c r="J1852" s="1399">
        <v>107131.1</v>
      </c>
    </row>
    <row r="1853" spans="5:10" s="1297" customFormat="1">
      <c r="E1853" s="1297" t="s">
        <v>1044</v>
      </c>
      <c r="F1853" s="1399">
        <v>183354.13</v>
      </c>
      <c r="G1853" s="1399"/>
      <c r="H1853" s="1399"/>
      <c r="I1853" s="1399"/>
      <c r="J1853" s="1399">
        <v>183354.13</v>
      </c>
    </row>
    <row r="1854" spans="5:10" s="1297" customFormat="1">
      <c r="E1854" s="1297" t="s">
        <v>1045</v>
      </c>
      <c r="F1854" s="1399"/>
      <c r="G1854" s="1399"/>
      <c r="H1854" s="1399">
        <v>1730845.37</v>
      </c>
      <c r="I1854" s="1399"/>
      <c r="J1854" s="1399">
        <v>1730845.37</v>
      </c>
    </row>
    <row r="1855" spans="5:10" s="1297" customFormat="1">
      <c r="E1855" s="1297" t="s">
        <v>1046</v>
      </c>
      <c r="F1855" s="1399"/>
      <c r="G1855" s="1399"/>
      <c r="H1855" s="1399"/>
      <c r="I1855" s="1399">
        <v>121270963</v>
      </c>
      <c r="J1855" s="1399">
        <v>121270963</v>
      </c>
    </row>
    <row r="1856" spans="5:10" s="1297" customFormat="1">
      <c r="E1856" s="1297" t="s">
        <v>1128</v>
      </c>
      <c r="F1856" s="1399"/>
      <c r="G1856" s="1399"/>
      <c r="H1856" s="1399"/>
      <c r="I1856" s="1399">
        <v>10553117</v>
      </c>
      <c r="J1856" s="1399">
        <v>10553117</v>
      </c>
    </row>
    <row r="1857" spans="5:10" s="1297" customFormat="1">
      <c r="E1857" s="1297" t="s">
        <v>1129</v>
      </c>
      <c r="F1857" s="1399"/>
      <c r="G1857" s="1399"/>
      <c r="H1857" s="1399"/>
      <c r="I1857" s="1399">
        <v>-16334460</v>
      </c>
      <c r="J1857" s="1399">
        <v>-16334460</v>
      </c>
    </row>
    <row r="1858" spans="5:10" s="1297" customFormat="1">
      <c r="E1858" s="1297" t="s">
        <v>1047</v>
      </c>
      <c r="F1858" s="1399"/>
      <c r="G1858" s="1399"/>
      <c r="H1858" s="1399"/>
      <c r="I1858" s="1399">
        <v>2007078</v>
      </c>
      <c r="J1858" s="1399">
        <v>2007078</v>
      </c>
    </row>
    <row r="1859" spans="5:10" s="1297" customFormat="1">
      <c r="E1859" s="1297" t="s">
        <v>1048</v>
      </c>
      <c r="F1859" s="1399"/>
      <c r="G1859" s="1399"/>
      <c r="H1859" s="1399"/>
      <c r="I1859" s="1399">
        <v>-21106454</v>
      </c>
      <c r="J1859" s="1399">
        <v>-21106454</v>
      </c>
    </row>
    <row r="1860" spans="5:10" s="1297" customFormat="1">
      <c r="E1860" s="1297" t="s">
        <v>932</v>
      </c>
      <c r="F1860" s="1399"/>
      <c r="G1860" s="1399"/>
      <c r="H1860" s="1399"/>
      <c r="I1860" s="1399">
        <v>7500778</v>
      </c>
      <c r="J1860" s="1399">
        <v>7500778</v>
      </c>
    </row>
    <row r="1861" spans="5:10" s="1297" customFormat="1">
      <c r="E1861" s="1297" t="s">
        <v>934</v>
      </c>
      <c r="F1861" s="1399"/>
      <c r="G1861" s="1399"/>
      <c r="H1861" s="1399"/>
      <c r="I1861" s="1399">
        <v>379910</v>
      </c>
      <c r="J1861" s="1399">
        <v>379910</v>
      </c>
    </row>
    <row r="1862" spans="5:10" s="1297" customFormat="1">
      <c r="E1862" s="1297" t="s">
        <v>1130</v>
      </c>
      <c r="F1862" s="1399"/>
      <c r="G1862" s="1399"/>
      <c r="H1862" s="1399"/>
      <c r="I1862" s="1399">
        <v>18963475.859999999</v>
      </c>
      <c r="J1862" s="1399">
        <v>18963475.859999999</v>
      </c>
    </row>
    <row r="1863" spans="5:10" s="1297" customFormat="1">
      <c r="E1863" s="1297" t="s">
        <v>935</v>
      </c>
      <c r="F1863" s="1399"/>
      <c r="G1863" s="1399"/>
      <c r="H1863" s="1399"/>
      <c r="I1863" s="1399">
        <v>2033476.5</v>
      </c>
      <c r="J1863" s="1399">
        <v>2033476.5</v>
      </c>
    </row>
    <row r="1864" spans="5:10" s="1297" customFormat="1">
      <c r="E1864" s="1297" t="s">
        <v>936</v>
      </c>
      <c r="F1864" s="1399"/>
      <c r="G1864" s="1399"/>
      <c r="H1864" s="1399"/>
      <c r="I1864" s="1399">
        <v>336844.82</v>
      </c>
      <c r="J1864" s="1399">
        <v>336844.82</v>
      </c>
    </row>
    <row r="1865" spans="5:10" s="1297" customFormat="1">
      <c r="E1865" s="1297" t="s">
        <v>937</v>
      </c>
      <c r="F1865" s="1399"/>
      <c r="G1865" s="1399"/>
      <c r="H1865" s="1399"/>
      <c r="I1865" s="1399">
        <v>49377</v>
      </c>
      <c r="J1865" s="1399">
        <v>49377</v>
      </c>
    </row>
    <row r="1866" spans="5:10" s="1297" customFormat="1">
      <c r="E1866" s="1297" t="s">
        <v>938</v>
      </c>
      <c r="F1866" s="1399"/>
      <c r="G1866" s="1399"/>
      <c r="H1866" s="1399"/>
      <c r="I1866" s="1399">
        <v>125584</v>
      </c>
      <c r="J1866" s="1399">
        <v>125584</v>
      </c>
    </row>
    <row r="1867" spans="5:10" s="1297" customFormat="1">
      <c r="E1867" s="1297" t="s">
        <v>939</v>
      </c>
      <c r="F1867" s="1399"/>
      <c r="G1867" s="1399"/>
      <c r="H1867" s="1399"/>
      <c r="I1867" s="1399">
        <v>1068382.43</v>
      </c>
      <c r="J1867" s="1399">
        <v>1068382.43</v>
      </c>
    </row>
    <row r="1868" spans="5:10" s="1297" customFormat="1">
      <c r="E1868" s="1297" t="s">
        <v>1131</v>
      </c>
      <c r="F1868" s="1399">
        <v>1186085.05</v>
      </c>
      <c r="G1868" s="1399"/>
      <c r="H1868" s="1399"/>
      <c r="I1868" s="1399"/>
      <c r="J1868" s="1399">
        <v>1186085.05</v>
      </c>
    </row>
    <row r="1869" spans="5:10" s="1297" customFormat="1">
      <c r="E1869" s="1297" t="s">
        <v>940</v>
      </c>
      <c r="F1869" s="1399">
        <v>6123386.1799999997</v>
      </c>
      <c r="G1869" s="1399"/>
      <c r="H1869" s="1399"/>
      <c r="I1869" s="1399"/>
      <c r="J1869" s="1399">
        <v>6123386.1799999997</v>
      </c>
    </row>
    <row r="1870" spans="5:10" s="1297" customFormat="1">
      <c r="E1870" s="1297" t="s">
        <v>941</v>
      </c>
      <c r="F1870" s="1399">
        <v>2401556.1800000002</v>
      </c>
      <c r="G1870" s="1399"/>
      <c r="H1870" s="1399"/>
      <c r="I1870" s="1399"/>
      <c r="J1870" s="1399">
        <v>2401556.1800000002</v>
      </c>
    </row>
    <row r="1871" spans="5:10" s="1297" customFormat="1">
      <c r="E1871" s="1297" t="s">
        <v>943</v>
      </c>
      <c r="F1871" s="1399">
        <v>139708.81</v>
      </c>
      <c r="G1871" s="1399"/>
      <c r="H1871" s="1399"/>
      <c r="I1871" s="1399"/>
      <c r="J1871" s="1399">
        <v>139708.81</v>
      </c>
    </row>
    <row r="1872" spans="5:10" s="1297" customFormat="1">
      <c r="E1872" s="1297" t="s">
        <v>944</v>
      </c>
      <c r="F1872" s="1399">
        <v>12557394.670000002</v>
      </c>
      <c r="G1872" s="1399"/>
      <c r="H1872" s="1399"/>
      <c r="I1872" s="1399"/>
      <c r="J1872" s="1399">
        <v>12557394.670000002</v>
      </c>
    </row>
    <row r="1873" spans="2:12">
      <c r="B1873" s="1297"/>
      <c r="C1873" s="1297"/>
      <c r="D1873" s="1297"/>
      <c r="E1873" s="1297" t="s">
        <v>945</v>
      </c>
      <c r="F1873" s="1399">
        <v>10004042.119999999</v>
      </c>
      <c r="J1873" s="1399">
        <v>10004042.119999999</v>
      </c>
    </row>
    <row r="1874" spans="2:12">
      <c r="B1874" s="1297"/>
      <c r="C1874" s="1297"/>
      <c r="D1874" s="1297"/>
      <c r="E1874" s="1297" t="s">
        <v>946</v>
      </c>
      <c r="F1874" s="1399">
        <v>242570.12</v>
      </c>
      <c r="J1874" s="1399">
        <v>242570.12</v>
      </c>
    </row>
    <row r="1875" spans="2:12">
      <c r="B1875" s="1297"/>
      <c r="C1875" s="1297"/>
      <c r="D1875" s="1297"/>
      <c r="E1875" s="1297" t="s">
        <v>947</v>
      </c>
      <c r="F1875" s="1399">
        <v>790162.89</v>
      </c>
      <c r="J1875" s="1399">
        <v>790162.89</v>
      </c>
    </row>
    <row r="1876" spans="2:12">
      <c r="B1876" s="1297"/>
      <c r="C1876" s="1297"/>
      <c r="D1876" s="1297"/>
      <c r="E1876" s="1297" t="s">
        <v>1115</v>
      </c>
      <c r="F1876" s="1399">
        <v>-157.08000000000001</v>
      </c>
      <c r="J1876" s="1399">
        <v>-157.08000000000001</v>
      </c>
    </row>
    <row r="1877" spans="2:12">
      <c r="B1877" s="1297"/>
      <c r="C1877" s="1297"/>
      <c r="D1877" s="1297"/>
      <c r="E1877" s="1404" t="s">
        <v>948</v>
      </c>
      <c r="F1877" s="1405"/>
      <c r="G1877" s="1405"/>
      <c r="H1877" s="1405">
        <v>33137807.039999999</v>
      </c>
      <c r="I1877" s="1405"/>
      <c r="J1877" s="1405">
        <v>33137807.039999999</v>
      </c>
    </row>
    <row r="1878" spans="2:12">
      <c r="B1878" s="1297"/>
      <c r="C1878" s="1297"/>
      <c r="D1878" s="1297"/>
      <c r="E1878" s="1297" t="s">
        <v>956</v>
      </c>
      <c r="H1878" s="1399">
        <v>46268.97</v>
      </c>
      <c r="J1878" s="1399">
        <v>46268.97</v>
      </c>
    </row>
    <row r="1879" spans="2:12">
      <c r="B1879" s="1297"/>
      <c r="C1879" s="1297"/>
      <c r="D1879" s="1297"/>
      <c r="E1879" s="1297" t="s">
        <v>1118</v>
      </c>
      <c r="H1879" s="1399">
        <v>3860.35</v>
      </c>
      <c r="J1879" s="1399">
        <v>3860.35</v>
      </c>
    </row>
    <row r="1880" spans="2:12">
      <c r="B1880" s="1297"/>
      <c r="C1880" s="1297"/>
      <c r="D1880" s="1400" t="s">
        <v>1294</v>
      </c>
      <c r="E1880" s="1400" t="s">
        <v>1641</v>
      </c>
      <c r="F1880" s="1401">
        <f>SUM(F1839:F1879)-'1$REV-CharterAuditData'!BM67</f>
        <v>33542131.07</v>
      </c>
      <c r="G1880" s="1401">
        <f>SUM(G1839:G1879)-'1$REV-CharterAuditData'!Q67</f>
        <v>102637458.08000001</v>
      </c>
      <c r="H1880" s="1401">
        <f>SUM(H1839:H1879)-H1877</f>
        <v>10239408.120000005</v>
      </c>
      <c r="I1880" s="1401">
        <f>SUM(I1839:I1879)-'1$REV-CharterAuditData'!AZ67</f>
        <v>124939852.61</v>
      </c>
      <c r="J1880" s="1401">
        <f>SUM(J1839:J1879)</f>
        <v>306959620.92000014</v>
      </c>
      <c r="K1880" s="1401">
        <f>SUM(F1880:I1880)</f>
        <v>271358849.88</v>
      </c>
      <c r="L1880" s="1408">
        <f>K1880/C1839</f>
        <v>11336.850345922459</v>
      </c>
    </row>
    <row r="1881" spans="2:12">
      <c r="B1881" s="1297" t="s">
        <v>1295</v>
      </c>
      <c r="C1881" s="1297">
        <v>2151</v>
      </c>
      <c r="D1881" s="1297" t="s">
        <v>1296</v>
      </c>
      <c r="E1881" s="1297" t="s">
        <v>906</v>
      </c>
      <c r="G1881" s="1399">
        <v>5504121.4699999997</v>
      </c>
      <c r="J1881" s="1399">
        <v>5504121.4699999997</v>
      </c>
    </row>
    <row r="1882" spans="2:12">
      <c r="B1882" s="1297"/>
      <c r="C1882" s="1297"/>
      <c r="D1882" s="1297"/>
      <c r="E1882" s="1297" t="s">
        <v>907</v>
      </c>
      <c r="G1882" s="1399">
        <v>2016609.9100000001</v>
      </c>
      <c r="J1882" s="1399">
        <v>2016609.9100000001</v>
      </c>
    </row>
    <row r="1883" spans="2:12">
      <c r="B1883" s="1297"/>
      <c r="C1883" s="1297"/>
      <c r="D1883" s="1297"/>
      <c r="E1883" s="1297" t="s">
        <v>908</v>
      </c>
      <c r="G1883" s="1399">
        <v>379040.88</v>
      </c>
      <c r="J1883" s="1399">
        <v>379040.88</v>
      </c>
    </row>
    <row r="1884" spans="2:12">
      <c r="B1884" s="1297"/>
      <c r="C1884" s="1297"/>
      <c r="D1884" s="1297"/>
      <c r="E1884" s="1297" t="s">
        <v>1122</v>
      </c>
      <c r="H1884" s="1399">
        <v>-49410</v>
      </c>
      <c r="J1884" s="1399">
        <v>-49410</v>
      </c>
    </row>
    <row r="1885" spans="2:12">
      <c r="B1885" s="1297"/>
      <c r="C1885" s="1297"/>
      <c r="D1885" s="1297"/>
      <c r="E1885" s="1297" t="s">
        <v>909</v>
      </c>
      <c r="H1885" s="1399">
        <v>62334.03</v>
      </c>
      <c r="J1885" s="1399">
        <v>62334.03</v>
      </c>
    </row>
    <row r="1886" spans="2:12">
      <c r="B1886" s="1297"/>
      <c r="C1886" s="1297"/>
      <c r="D1886" s="1297"/>
      <c r="E1886" s="1297" t="s">
        <v>1034</v>
      </c>
      <c r="H1886" s="1399">
        <v>2327</v>
      </c>
      <c r="J1886" s="1399">
        <v>2327</v>
      </c>
    </row>
    <row r="1887" spans="2:12">
      <c r="B1887" s="1297"/>
      <c r="C1887" s="1297"/>
      <c r="D1887" s="1297"/>
      <c r="E1887" s="1297" t="s">
        <v>1035</v>
      </c>
      <c r="H1887" s="1399">
        <v>383692.87999999995</v>
      </c>
      <c r="J1887" s="1399">
        <v>383692.87999999995</v>
      </c>
    </row>
    <row r="1888" spans="2:12">
      <c r="B1888" s="1297"/>
      <c r="C1888" s="1297"/>
      <c r="D1888" s="1297"/>
      <c r="E1888" s="1297" t="s">
        <v>1036</v>
      </c>
      <c r="H1888" s="1399">
        <v>105276.28</v>
      </c>
      <c r="J1888" s="1399">
        <v>105276.28</v>
      </c>
    </row>
    <row r="1889" spans="5:10" s="1297" customFormat="1">
      <c r="E1889" s="1297" t="s">
        <v>1037</v>
      </c>
      <c r="F1889" s="1399"/>
      <c r="G1889" s="1399"/>
      <c r="H1889" s="1399">
        <v>53488.29</v>
      </c>
      <c r="I1889" s="1399"/>
      <c r="J1889" s="1399">
        <v>53488.29</v>
      </c>
    </row>
    <row r="1890" spans="5:10" s="1297" customFormat="1">
      <c r="E1890" s="1297" t="s">
        <v>1039</v>
      </c>
      <c r="F1890" s="1399"/>
      <c r="G1890" s="1399"/>
      <c r="H1890" s="1399">
        <v>120294.54000000002</v>
      </c>
      <c r="I1890" s="1399"/>
      <c r="J1890" s="1399">
        <v>120294.54000000002</v>
      </c>
    </row>
    <row r="1891" spans="5:10" s="1297" customFormat="1">
      <c r="E1891" s="1297" t="s">
        <v>1040</v>
      </c>
      <c r="F1891" s="1399"/>
      <c r="G1891" s="1399"/>
      <c r="H1891" s="1399">
        <v>98637.38</v>
      </c>
      <c r="I1891" s="1399"/>
      <c r="J1891" s="1399">
        <v>98637.38</v>
      </c>
    </row>
    <row r="1892" spans="5:10" s="1297" customFormat="1">
      <c r="E1892" s="1297" t="s">
        <v>1041</v>
      </c>
      <c r="F1892" s="1399"/>
      <c r="G1892" s="1399"/>
      <c r="H1892" s="1399">
        <v>33673.56</v>
      </c>
      <c r="I1892" s="1399"/>
      <c r="J1892" s="1399">
        <v>33673.56</v>
      </c>
    </row>
    <row r="1893" spans="5:10" s="1297" customFormat="1">
      <c r="E1893" s="1297" t="s">
        <v>1042</v>
      </c>
      <c r="F1893" s="1399"/>
      <c r="G1893" s="1399"/>
      <c r="H1893" s="1399">
        <v>14230.15</v>
      </c>
      <c r="I1893" s="1399"/>
      <c r="J1893" s="1399">
        <v>14230.15</v>
      </c>
    </row>
    <row r="1894" spans="5:10" s="1297" customFormat="1">
      <c r="E1894" s="1297" t="s">
        <v>953</v>
      </c>
      <c r="F1894" s="1399"/>
      <c r="G1894" s="1399"/>
      <c r="H1894" s="1399">
        <v>19040</v>
      </c>
      <c r="I1894" s="1399"/>
      <c r="J1894" s="1399">
        <v>19040</v>
      </c>
    </row>
    <row r="1895" spans="5:10" s="1297" customFormat="1">
      <c r="E1895" s="1297" t="s">
        <v>991</v>
      </c>
      <c r="F1895" s="1399"/>
      <c r="G1895" s="1399"/>
      <c r="H1895" s="1399">
        <v>25498.489999999998</v>
      </c>
      <c r="I1895" s="1399"/>
      <c r="J1895" s="1399">
        <v>25498.489999999998</v>
      </c>
    </row>
    <row r="1896" spans="5:10" s="1297" customFormat="1">
      <c r="E1896" s="1297" t="s">
        <v>1044</v>
      </c>
      <c r="F1896" s="1399">
        <v>26359.13</v>
      </c>
      <c r="G1896" s="1399"/>
      <c r="H1896" s="1399"/>
      <c r="I1896" s="1399"/>
      <c r="J1896" s="1399">
        <v>26359.13</v>
      </c>
    </row>
    <row r="1897" spans="5:10" s="1297" customFormat="1">
      <c r="E1897" s="1297" t="s">
        <v>1045</v>
      </c>
      <c r="F1897" s="1399"/>
      <c r="G1897" s="1399"/>
      <c r="H1897" s="1399">
        <v>131893.48000000001</v>
      </c>
      <c r="I1897" s="1399"/>
      <c r="J1897" s="1399">
        <v>131893.48000000001</v>
      </c>
    </row>
    <row r="1898" spans="5:10" s="1297" customFormat="1">
      <c r="E1898" s="1297" t="s">
        <v>1046</v>
      </c>
      <c r="F1898" s="1399"/>
      <c r="G1898" s="1399"/>
      <c r="H1898" s="1399"/>
      <c r="I1898" s="1399">
        <v>11803727.5</v>
      </c>
      <c r="J1898" s="1399">
        <v>11803727.5</v>
      </c>
    </row>
    <row r="1899" spans="5:10" s="1297" customFormat="1">
      <c r="E1899" s="1297" t="s">
        <v>1047</v>
      </c>
      <c r="F1899" s="1399"/>
      <c r="G1899" s="1399"/>
      <c r="H1899" s="1399"/>
      <c r="I1899" s="1399">
        <v>391365</v>
      </c>
      <c r="J1899" s="1399">
        <v>391365</v>
      </c>
    </row>
    <row r="1900" spans="5:10" s="1297" customFormat="1">
      <c r="E1900" s="1297" t="s">
        <v>1048</v>
      </c>
      <c r="F1900" s="1399"/>
      <c r="G1900" s="1399"/>
      <c r="H1900" s="1399"/>
      <c r="I1900" s="1399">
        <v>-1786618.5</v>
      </c>
      <c r="J1900" s="1399">
        <v>-1786618.5</v>
      </c>
    </row>
    <row r="1901" spans="5:10" s="1297" customFormat="1">
      <c r="E1901" s="1297" t="s">
        <v>932</v>
      </c>
      <c r="F1901" s="1399"/>
      <c r="G1901" s="1399"/>
      <c r="H1901" s="1399"/>
      <c r="I1901" s="1399">
        <v>867793</v>
      </c>
      <c r="J1901" s="1399">
        <v>867793</v>
      </c>
    </row>
    <row r="1902" spans="5:10" s="1297" customFormat="1">
      <c r="E1902" s="1404" t="s">
        <v>955</v>
      </c>
      <c r="F1902" s="1405"/>
      <c r="G1902" s="1405"/>
      <c r="H1902" s="1405"/>
      <c r="I1902" s="1405">
        <v>569302.1</v>
      </c>
      <c r="J1902" s="1405">
        <v>569302.1</v>
      </c>
    </row>
    <row r="1903" spans="5:10" s="1297" customFormat="1">
      <c r="E1903" s="1297" t="s">
        <v>934</v>
      </c>
      <c r="F1903" s="1399"/>
      <c r="G1903" s="1399"/>
      <c r="H1903" s="1399"/>
      <c r="I1903" s="1399">
        <v>37572</v>
      </c>
      <c r="J1903" s="1399">
        <v>37572</v>
      </c>
    </row>
    <row r="1904" spans="5:10" s="1297" customFormat="1">
      <c r="E1904" s="1297" t="s">
        <v>1130</v>
      </c>
      <c r="F1904" s="1399"/>
      <c r="G1904" s="1399"/>
      <c r="H1904" s="1399"/>
      <c r="I1904" s="1399">
        <v>1348422.3</v>
      </c>
      <c r="J1904" s="1399">
        <v>1348422.3</v>
      </c>
    </row>
    <row r="1905" spans="2:12">
      <c r="B1905" s="1297"/>
      <c r="C1905" s="1297"/>
      <c r="D1905" s="1297"/>
      <c r="E1905" s="1297" t="s">
        <v>935</v>
      </c>
      <c r="I1905" s="1399">
        <v>321754.71999999997</v>
      </c>
      <c r="J1905" s="1399">
        <v>321754.71999999997</v>
      </c>
    </row>
    <row r="1906" spans="2:12">
      <c r="B1906" s="1297"/>
      <c r="C1906" s="1297"/>
      <c r="D1906" s="1297"/>
      <c r="E1906" s="1297" t="s">
        <v>936</v>
      </c>
      <c r="I1906" s="1399">
        <v>38166.410000000003</v>
      </c>
      <c r="J1906" s="1399">
        <v>38166.410000000003</v>
      </c>
    </row>
    <row r="1907" spans="2:12">
      <c r="B1907" s="1297"/>
      <c r="C1907" s="1297"/>
      <c r="D1907" s="1297"/>
      <c r="E1907" s="1297" t="s">
        <v>937</v>
      </c>
      <c r="I1907" s="1399">
        <v>11670.68</v>
      </c>
      <c r="J1907" s="1399">
        <v>11670.68</v>
      </c>
    </row>
    <row r="1908" spans="2:12">
      <c r="B1908" s="1297"/>
      <c r="C1908" s="1297"/>
      <c r="D1908" s="1297"/>
      <c r="E1908" s="1297" t="s">
        <v>938</v>
      </c>
      <c r="I1908" s="1399">
        <v>9732</v>
      </c>
      <c r="J1908" s="1399">
        <v>9732</v>
      </c>
    </row>
    <row r="1909" spans="2:12">
      <c r="B1909" s="1297"/>
      <c r="C1909" s="1297"/>
      <c r="D1909" s="1297"/>
      <c r="E1909" s="1297" t="s">
        <v>940</v>
      </c>
      <c r="F1909" s="1399">
        <v>714157.58</v>
      </c>
      <c r="J1909" s="1399">
        <v>714157.58</v>
      </c>
    </row>
    <row r="1910" spans="2:12">
      <c r="B1910" s="1297"/>
      <c r="C1910" s="1297"/>
      <c r="D1910" s="1297"/>
      <c r="E1910" s="1297" t="s">
        <v>941</v>
      </c>
      <c r="F1910" s="1399">
        <v>216266.01999999996</v>
      </c>
      <c r="J1910" s="1399">
        <v>216266.01999999996</v>
      </c>
    </row>
    <row r="1911" spans="2:12">
      <c r="B1911" s="1297"/>
      <c r="C1911" s="1297"/>
      <c r="D1911" s="1297"/>
      <c r="E1911" s="1297" t="s">
        <v>943</v>
      </c>
      <c r="F1911" s="1399">
        <v>3698.52</v>
      </c>
      <c r="J1911" s="1399">
        <v>3698.52</v>
      </c>
    </row>
    <row r="1912" spans="2:12">
      <c r="B1912" s="1297"/>
      <c r="C1912" s="1297"/>
      <c r="D1912" s="1297"/>
      <c r="E1912" s="1297" t="s">
        <v>944</v>
      </c>
      <c r="F1912" s="1399">
        <v>3416952.58</v>
      </c>
      <c r="J1912" s="1399">
        <v>3416952.58</v>
      </c>
    </row>
    <row r="1913" spans="2:12">
      <c r="B1913" s="1297"/>
      <c r="C1913" s="1297"/>
      <c r="D1913" s="1297"/>
      <c r="E1913" s="1297" t="s">
        <v>945</v>
      </c>
      <c r="F1913" s="1399">
        <v>1441803.71</v>
      </c>
      <c r="J1913" s="1399">
        <v>1441803.71</v>
      </c>
    </row>
    <row r="1914" spans="2:12">
      <c r="B1914" s="1297"/>
      <c r="C1914" s="1297"/>
      <c r="D1914" s="1297"/>
      <c r="E1914" s="1297" t="s">
        <v>946</v>
      </c>
      <c r="F1914" s="1399">
        <v>68380.83</v>
      </c>
      <c r="J1914" s="1399">
        <v>68380.83</v>
      </c>
    </row>
    <row r="1915" spans="2:12">
      <c r="B1915" s="1297"/>
      <c r="C1915" s="1297"/>
      <c r="D1915" s="1297"/>
      <c r="E1915" s="1297" t="s">
        <v>947</v>
      </c>
      <c r="F1915" s="1399">
        <v>33944.67</v>
      </c>
      <c r="J1915" s="1399">
        <v>33944.67</v>
      </c>
    </row>
    <row r="1916" spans="2:12">
      <c r="B1916" s="1297"/>
      <c r="C1916" s="1297"/>
      <c r="D1916" s="1297"/>
      <c r="E1916" s="1404" t="s">
        <v>948</v>
      </c>
      <c r="F1916" s="1405"/>
      <c r="G1916" s="1405"/>
      <c r="H1916" s="1405">
        <v>5386.34</v>
      </c>
      <c r="I1916" s="1405"/>
      <c r="J1916" s="1405">
        <v>5386.34</v>
      </c>
    </row>
    <row r="1917" spans="2:12">
      <c r="B1917" s="1297"/>
      <c r="C1917" s="1297"/>
      <c r="D1917" s="1297"/>
      <c r="E1917" s="1297" t="s">
        <v>1118</v>
      </c>
      <c r="H1917" s="1399">
        <v>35371.89</v>
      </c>
      <c r="J1917" s="1399">
        <v>35371.89</v>
      </c>
    </row>
    <row r="1918" spans="2:12">
      <c r="B1918" s="1297"/>
      <c r="C1918" s="1297"/>
      <c r="D1918" s="1400" t="s">
        <v>1297</v>
      </c>
      <c r="E1918" s="1400"/>
      <c r="F1918" s="1401">
        <f>SUM(F1881:F1917)</f>
        <v>5921563.04</v>
      </c>
      <c r="G1918" s="1401">
        <f>SUM(G1881:G1917)</f>
        <v>7899772.2599999998</v>
      </c>
      <c r="H1918" s="1401">
        <f>SUM(H1881:H1917)-H1916</f>
        <v>1036347.97</v>
      </c>
      <c r="I1918" s="1401">
        <f>SUM(I1881:I1917)-I1902</f>
        <v>13043585.110000001</v>
      </c>
      <c r="J1918" s="1401">
        <f>SUM(J1881:J1917)</f>
        <v>28475956.819999997</v>
      </c>
      <c r="K1918" s="1401">
        <f>SUM(F1918:I1918)</f>
        <v>27901268.380000003</v>
      </c>
      <c r="L1918" s="1408">
        <f>K1918/C1881</f>
        <v>12971.300966992098</v>
      </c>
    </row>
    <row r="1919" spans="2:12">
      <c r="B1919" s="1297" t="s">
        <v>1298</v>
      </c>
      <c r="C1919" s="1297">
        <v>747</v>
      </c>
      <c r="D1919" s="1297" t="s">
        <v>1299</v>
      </c>
      <c r="E1919" s="1297" t="s">
        <v>906</v>
      </c>
      <c r="G1919" s="1399">
        <v>2045996.7</v>
      </c>
      <c r="J1919" s="1399">
        <v>2045996.7</v>
      </c>
    </row>
    <row r="1920" spans="2:12">
      <c r="B1920" s="1297"/>
      <c r="C1920" s="1297"/>
      <c r="D1920" s="1297"/>
      <c r="E1920" s="1297" t="s">
        <v>952</v>
      </c>
      <c r="G1920" s="1399">
        <v>7552.46</v>
      </c>
      <c r="J1920" s="1399">
        <v>7552.46</v>
      </c>
    </row>
    <row r="1921" spans="5:10" s="1297" customFormat="1">
      <c r="E1921" s="1297" t="s">
        <v>907</v>
      </c>
      <c r="F1921" s="1399"/>
      <c r="G1921" s="1399">
        <v>164111.43</v>
      </c>
      <c r="H1921" s="1399"/>
      <c r="I1921" s="1399"/>
      <c r="J1921" s="1399">
        <v>164111.43</v>
      </c>
    </row>
    <row r="1922" spans="5:10" s="1297" customFormat="1">
      <c r="E1922" s="1297" t="s">
        <v>908</v>
      </c>
      <c r="F1922" s="1399"/>
      <c r="G1922" s="1399">
        <v>13831.9</v>
      </c>
      <c r="H1922" s="1399"/>
      <c r="I1922" s="1399"/>
      <c r="J1922" s="1399">
        <v>13831.9</v>
      </c>
    </row>
    <row r="1923" spans="5:10" s="1297" customFormat="1">
      <c r="E1923" s="1297" t="s">
        <v>1034</v>
      </c>
      <c r="F1923" s="1399"/>
      <c r="G1923" s="1399"/>
      <c r="H1923" s="1399">
        <v>250</v>
      </c>
      <c r="I1923" s="1399"/>
      <c r="J1923" s="1399">
        <v>250</v>
      </c>
    </row>
    <row r="1924" spans="5:10" s="1297" customFormat="1">
      <c r="E1924" s="1297" t="s">
        <v>1037</v>
      </c>
      <c r="F1924" s="1399"/>
      <c r="G1924" s="1399"/>
      <c r="H1924" s="1399">
        <v>7265.59</v>
      </c>
      <c r="I1924" s="1399"/>
      <c r="J1924" s="1399">
        <v>7265.59</v>
      </c>
    </row>
    <row r="1925" spans="5:10" s="1297" customFormat="1">
      <c r="E1925" s="1297" t="s">
        <v>1039</v>
      </c>
      <c r="F1925" s="1399"/>
      <c r="G1925" s="1399"/>
      <c r="H1925" s="1399">
        <v>32963.980000000003</v>
      </c>
      <c r="I1925" s="1399"/>
      <c r="J1925" s="1399">
        <v>32963.980000000003</v>
      </c>
    </row>
    <row r="1926" spans="5:10" s="1297" customFormat="1">
      <c r="E1926" s="1297" t="s">
        <v>1040</v>
      </c>
      <c r="F1926" s="1399"/>
      <c r="G1926" s="1399"/>
      <c r="H1926" s="1399">
        <v>42015.23</v>
      </c>
      <c r="I1926" s="1399"/>
      <c r="J1926" s="1399">
        <v>42015.23</v>
      </c>
    </row>
    <row r="1927" spans="5:10" s="1297" customFormat="1">
      <c r="E1927" s="1297" t="s">
        <v>1041</v>
      </c>
      <c r="F1927" s="1399"/>
      <c r="G1927" s="1399"/>
      <c r="H1927" s="1399">
        <v>1691.65</v>
      </c>
      <c r="I1927" s="1399"/>
      <c r="J1927" s="1399">
        <v>1691.65</v>
      </c>
    </row>
    <row r="1928" spans="5:10" s="1297" customFormat="1">
      <c r="E1928" s="1297" t="s">
        <v>1042</v>
      </c>
      <c r="F1928" s="1399"/>
      <c r="G1928" s="1399"/>
      <c r="H1928" s="1399">
        <v>18296.75</v>
      </c>
      <c r="I1928" s="1399"/>
      <c r="J1928" s="1399">
        <v>18296.75</v>
      </c>
    </row>
    <row r="1929" spans="5:10" s="1297" customFormat="1">
      <c r="E1929" s="1297" t="s">
        <v>1043</v>
      </c>
      <c r="F1929" s="1399"/>
      <c r="G1929" s="1399"/>
      <c r="H1929" s="1399">
        <v>2000</v>
      </c>
      <c r="I1929" s="1399"/>
      <c r="J1929" s="1399">
        <v>2000</v>
      </c>
    </row>
    <row r="1930" spans="5:10" s="1297" customFormat="1">
      <c r="E1930" s="1297" t="s">
        <v>986</v>
      </c>
      <c r="F1930" s="1399"/>
      <c r="G1930" s="1399"/>
      <c r="H1930" s="1399">
        <v>18017.07</v>
      </c>
      <c r="I1930" s="1399"/>
      <c r="J1930" s="1399">
        <v>18017.07</v>
      </c>
    </row>
    <row r="1931" spans="5:10" s="1297" customFormat="1">
      <c r="E1931" s="1297" t="s">
        <v>1045</v>
      </c>
      <c r="F1931" s="1399"/>
      <c r="G1931" s="1399"/>
      <c r="H1931" s="1399">
        <v>209238.96</v>
      </c>
      <c r="I1931" s="1399"/>
      <c r="J1931" s="1399">
        <v>209238.96</v>
      </c>
    </row>
    <row r="1932" spans="5:10" s="1297" customFormat="1">
      <c r="E1932" s="1297" t="s">
        <v>1046</v>
      </c>
      <c r="F1932" s="1399"/>
      <c r="G1932" s="1399"/>
      <c r="H1932" s="1399"/>
      <c r="I1932" s="1399">
        <v>3763021</v>
      </c>
      <c r="J1932" s="1399">
        <v>3763021</v>
      </c>
    </row>
    <row r="1933" spans="5:10" s="1297" customFormat="1">
      <c r="E1933" s="1297" t="s">
        <v>1047</v>
      </c>
      <c r="F1933" s="1399"/>
      <c r="G1933" s="1399"/>
      <c r="H1933" s="1399"/>
      <c r="I1933" s="1399">
        <v>425329</v>
      </c>
      <c r="J1933" s="1399">
        <v>425329</v>
      </c>
    </row>
    <row r="1934" spans="5:10" s="1297" customFormat="1">
      <c r="E1934" s="1297" t="s">
        <v>1048</v>
      </c>
      <c r="F1934" s="1399"/>
      <c r="G1934" s="1399"/>
      <c r="H1934" s="1399"/>
      <c r="I1934" s="1399">
        <v>-460678</v>
      </c>
      <c r="J1934" s="1399">
        <v>-460678</v>
      </c>
    </row>
    <row r="1935" spans="5:10" s="1297" customFormat="1">
      <c r="E1935" s="1297" t="s">
        <v>932</v>
      </c>
      <c r="F1935" s="1399"/>
      <c r="G1935" s="1399"/>
      <c r="H1935" s="1399"/>
      <c r="I1935" s="1399">
        <v>399674</v>
      </c>
      <c r="J1935" s="1399">
        <v>399674</v>
      </c>
    </row>
    <row r="1936" spans="5:10" s="1297" customFormat="1">
      <c r="E1936" s="1404" t="s">
        <v>955</v>
      </c>
      <c r="F1936" s="1405"/>
      <c r="G1936" s="1405"/>
      <c r="H1936" s="1405"/>
      <c r="I1936" s="1405">
        <v>252877.29</v>
      </c>
      <c r="J1936" s="1405">
        <v>252877.29</v>
      </c>
    </row>
    <row r="1937" spans="2:13">
      <c r="B1937" s="1297"/>
      <c r="C1937" s="1297"/>
      <c r="D1937" s="1297"/>
      <c r="E1937" s="1297" t="s">
        <v>934</v>
      </c>
      <c r="I1937" s="1399">
        <v>12138</v>
      </c>
      <c r="J1937" s="1399">
        <v>12138</v>
      </c>
    </row>
    <row r="1938" spans="2:13">
      <c r="B1938" s="1297"/>
      <c r="C1938" s="1297"/>
      <c r="D1938" s="1297"/>
      <c r="E1938" s="1297" t="s">
        <v>935</v>
      </c>
      <c r="I1938" s="1399">
        <v>123423.84</v>
      </c>
      <c r="J1938" s="1399">
        <v>123423.84</v>
      </c>
    </row>
    <row r="1939" spans="2:13">
      <c r="B1939" s="1297"/>
      <c r="C1939" s="1297"/>
      <c r="D1939" s="1297"/>
      <c r="E1939" s="1297" t="s">
        <v>936</v>
      </c>
      <c r="I1939" s="1399">
        <v>12605.42</v>
      </c>
      <c r="J1939" s="1399">
        <v>12605.42</v>
      </c>
    </row>
    <row r="1940" spans="2:13">
      <c r="B1940" s="1297"/>
      <c r="C1940" s="1297"/>
      <c r="D1940" s="1297"/>
      <c r="E1940" s="1297" t="s">
        <v>937</v>
      </c>
      <c r="I1940" s="1399">
        <v>11776.72</v>
      </c>
      <c r="J1940" s="1399">
        <v>11776.72</v>
      </c>
    </row>
    <row r="1941" spans="2:13">
      <c r="B1941" s="1297"/>
      <c r="C1941" s="1297"/>
      <c r="D1941" s="1297"/>
      <c r="E1941" s="1297" t="s">
        <v>938</v>
      </c>
      <c r="I1941" s="1399">
        <v>3556</v>
      </c>
      <c r="J1941" s="1399">
        <v>3556</v>
      </c>
    </row>
    <row r="1942" spans="2:13">
      <c r="B1942" s="1297"/>
      <c r="C1942" s="1297"/>
      <c r="D1942" s="1297"/>
      <c r="E1942" s="1297" t="s">
        <v>939</v>
      </c>
      <c r="I1942" s="1399">
        <v>34928.639999999999</v>
      </c>
      <c r="J1942" s="1399">
        <v>34928.639999999999</v>
      </c>
    </row>
    <row r="1943" spans="2:13">
      <c r="B1943" s="1297"/>
      <c r="C1943" s="1297"/>
      <c r="D1943" s="1297"/>
      <c r="E1943" s="1297" t="s">
        <v>940</v>
      </c>
      <c r="F1943" s="1399">
        <v>234686.8</v>
      </c>
      <c r="J1943" s="1399">
        <v>234686.8</v>
      </c>
    </row>
    <row r="1944" spans="2:13">
      <c r="B1944" s="1297"/>
      <c r="C1944" s="1297"/>
      <c r="D1944" s="1297"/>
      <c r="E1944" s="1297" t="s">
        <v>941</v>
      </c>
      <c r="F1944" s="1399">
        <v>81711.960000000006</v>
      </c>
      <c r="J1944" s="1399">
        <v>81711.960000000006</v>
      </c>
    </row>
    <row r="1945" spans="2:13">
      <c r="B1945" s="1297"/>
      <c r="C1945" s="1297"/>
      <c r="D1945" s="1297"/>
      <c r="E1945" s="1297" t="s">
        <v>944</v>
      </c>
      <c r="F1945" s="1399">
        <v>734708.55999999994</v>
      </c>
      <c r="J1945" s="1399">
        <v>734708.55999999994</v>
      </c>
    </row>
    <row r="1946" spans="2:13">
      <c r="B1946" s="1297"/>
      <c r="C1946" s="1297"/>
      <c r="D1946" s="1297"/>
      <c r="E1946" s="1297" t="s">
        <v>945</v>
      </c>
      <c r="F1946" s="1399">
        <v>288192.29000000004</v>
      </c>
      <c r="J1946" s="1399">
        <v>288192.29000000004</v>
      </c>
    </row>
    <row r="1947" spans="2:13">
      <c r="B1947" s="1297"/>
      <c r="C1947" s="1297"/>
      <c r="D1947" s="1297"/>
      <c r="E1947" s="1297" t="s">
        <v>947</v>
      </c>
      <c r="F1947" s="1399">
        <v>21873.38</v>
      </c>
      <c r="J1947" s="1399">
        <v>21873.38</v>
      </c>
    </row>
    <row r="1948" spans="2:13">
      <c r="B1948" s="1297"/>
      <c r="C1948" s="1297"/>
      <c r="D1948" s="1297"/>
      <c r="E1948" s="1404" t="s">
        <v>948</v>
      </c>
      <c r="F1948" s="1405"/>
      <c r="G1948" s="1405"/>
      <c r="H1948" s="1405">
        <v>256407.15</v>
      </c>
      <c r="I1948" s="1405"/>
      <c r="J1948" s="1405">
        <v>256407.15</v>
      </c>
    </row>
    <row r="1949" spans="2:13">
      <c r="B1949" s="1297"/>
      <c r="C1949" s="1297"/>
      <c r="D1949" s="1297"/>
      <c r="E1949" s="1297" t="s">
        <v>956</v>
      </c>
      <c r="H1949" s="1399">
        <v>3011.17</v>
      </c>
      <c r="J1949" s="1399">
        <v>3011.17</v>
      </c>
    </row>
    <row r="1950" spans="2:13">
      <c r="B1950" s="1297"/>
      <c r="C1950" s="1297"/>
      <c r="D1950" s="1297"/>
      <c r="E1950" s="1297" t="s">
        <v>1218</v>
      </c>
      <c r="H1950" s="1399">
        <v>368610.45</v>
      </c>
      <c r="J1950" s="1399">
        <v>368610.45</v>
      </c>
    </row>
    <row r="1951" spans="2:13">
      <c r="B1951" s="1297"/>
      <c r="C1951" s="1297"/>
      <c r="D1951" s="1400" t="s">
        <v>1300</v>
      </c>
      <c r="E1951" s="1400"/>
      <c r="F1951" s="1401">
        <f>SUM(F1919:F1950)</f>
        <v>1361172.9899999998</v>
      </c>
      <c r="G1951" s="1401">
        <f>SUM(G1919:G1950)</f>
        <v>2231492.4899999998</v>
      </c>
      <c r="H1951" s="1401">
        <f>SUM(H1919:H1950)-H1948</f>
        <v>703360.85</v>
      </c>
      <c r="I1951" s="1401">
        <f>SUM(I1919:I1950)-I1936</f>
        <v>4325774.6199999992</v>
      </c>
      <c r="J1951" s="1401">
        <f>SUM(J1919:J1950)</f>
        <v>9131085.3899999987</v>
      </c>
      <c r="K1951" s="1401">
        <f>SUM(F1951:I1951)</f>
        <v>8621800.9499999993</v>
      </c>
      <c r="L1951" s="1408">
        <f>K1951/C1919</f>
        <v>11541.902208835339</v>
      </c>
      <c r="M1951" s="1408">
        <f>F1951/C1919</f>
        <v>1822.1860642570277</v>
      </c>
    </row>
    <row r="1952" spans="2:13">
      <c r="B1952" s="1297" t="s">
        <v>1301</v>
      </c>
      <c r="C1952" s="1297">
        <v>10956</v>
      </c>
      <c r="D1952" s="1297" t="s">
        <v>1302</v>
      </c>
      <c r="E1952" s="1297" t="s">
        <v>906</v>
      </c>
      <c r="G1952" s="1399">
        <v>26394812.969999999</v>
      </c>
      <c r="J1952" s="1399">
        <v>26394812.969999999</v>
      </c>
    </row>
    <row r="1953" spans="5:10" s="1297" customFormat="1">
      <c r="E1953" s="1297" t="s">
        <v>907</v>
      </c>
      <c r="F1953" s="1399"/>
      <c r="G1953" s="1399">
        <v>8835412.1400000006</v>
      </c>
      <c r="H1953" s="1399"/>
      <c r="I1953" s="1399"/>
      <c r="J1953" s="1399">
        <v>8835412.1400000006</v>
      </c>
    </row>
    <row r="1954" spans="5:10" s="1297" customFormat="1">
      <c r="E1954" s="1297" t="s">
        <v>908</v>
      </c>
      <c r="F1954" s="1399"/>
      <c r="G1954" s="1399">
        <v>1578939.26</v>
      </c>
      <c r="H1954" s="1399"/>
      <c r="I1954" s="1399"/>
      <c r="J1954" s="1399">
        <v>1578939.26</v>
      </c>
    </row>
    <row r="1955" spans="5:10" s="1297" customFormat="1">
      <c r="E1955" s="1297" t="s">
        <v>909</v>
      </c>
      <c r="F1955" s="1399"/>
      <c r="G1955" s="1399"/>
      <c r="H1955" s="1399">
        <v>97578.03</v>
      </c>
      <c r="I1955" s="1399"/>
      <c r="J1955" s="1399">
        <v>97578.03</v>
      </c>
    </row>
    <row r="1956" spans="5:10" s="1297" customFormat="1">
      <c r="E1956" s="1297" t="s">
        <v>910</v>
      </c>
      <c r="F1956" s="1399"/>
      <c r="G1956" s="1399"/>
      <c r="H1956" s="1399">
        <v>270250.02</v>
      </c>
      <c r="I1956" s="1399"/>
      <c r="J1956" s="1399">
        <v>270250.02</v>
      </c>
    </row>
    <row r="1957" spans="5:10" s="1297" customFormat="1">
      <c r="E1957" s="1297" t="s">
        <v>1034</v>
      </c>
      <c r="F1957" s="1399"/>
      <c r="G1957" s="1399"/>
      <c r="H1957" s="1399">
        <v>102205.22</v>
      </c>
      <c r="I1957" s="1399"/>
      <c r="J1957" s="1399">
        <v>102205.22</v>
      </c>
    </row>
    <row r="1958" spans="5:10" s="1297" customFormat="1">
      <c r="E1958" s="1297" t="s">
        <v>1035</v>
      </c>
      <c r="F1958" s="1399"/>
      <c r="G1958" s="1399"/>
      <c r="H1958" s="1399">
        <v>1612110.8199999998</v>
      </c>
      <c r="I1958" s="1399"/>
      <c r="J1958" s="1399">
        <v>1612110.8199999998</v>
      </c>
    </row>
    <row r="1959" spans="5:10" s="1297" customFormat="1">
      <c r="E1959" s="1297" t="s">
        <v>1036</v>
      </c>
      <c r="F1959" s="1399"/>
      <c r="G1959" s="1399"/>
      <c r="H1959" s="1399">
        <v>272743.71000000002</v>
      </c>
      <c r="I1959" s="1399"/>
      <c r="J1959" s="1399">
        <v>272743.71000000002</v>
      </c>
    </row>
    <row r="1960" spans="5:10" s="1297" customFormat="1">
      <c r="E1960" s="1297" t="s">
        <v>1039</v>
      </c>
      <c r="F1960" s="1399"/>
      <c r="G1960" s="1399"/>
      <c r="H1960" s="1399">
        <v>260102.58</v>
      </c>
      <c r="I1960" s="1399"/>
      <c r="J1960" s="1399">
        <v>260102.58</v>
      </c>
    </row>
    <row r="1961" spans="5:10" s="1297" customFormat="1">
      <c r="E1961" s="1297" t="s">
        <v>1040</v>
      </c>
      <c r="F1961" s="1399"/>
      <c r="G1961" s="1399"/>
      <c r="H1961" s="1399">
        <v>1251779.3400000001</v>
      </c>
      <c r="I1961" s="1399"/>
      <c r="J1961" s="1399">
        <v>1251779.3400000001</v>
      </c>
    </row>
    <row r="1962" spans="5:10" s="1297" customFormat="1">
      <c r="E1962" s="1297" t="s">
        <v>1127</v>
      </c>
      <c r="F1962" s="1399"/>
      <c r="G1962" s="1399"/>
      <c r="H1962" s="1399">
        <v>186707.49</v>
      </c>
      <c r="I1962" s="1399"/>
      <c r="J1962" s="1399">
        <v>186707.49</v>
      </c>
    </row>
    <row r="1963" spans="5:10" s="1297" customFormat="1">
      <c r="E1963" s="1297" t="s">
        <v>1041</v>
      </c>
      <c r="F1963" s="1399"/>
      <c r="G1963" s="1399"/>
      <c r="H1963" s="1399">
        <v>238109.18</v>
      </c>
      <c r="I1963" s="1399"/>
      <c r="J1963" s="1399">
        <v>238109.18</v>
      </c>
    </row>
    <row r="1964" spans="5:10" s="1297" customFormat="1">
      <c r="E1964" s="1297" t="s">
        <v>1042</v>
      </c>
      <c r="F1964" s="1399"/>
      <c r="G1964" s="1399"/>
      <c r="H1964" s="1399">
        <v>132844.06</v>
      </c>
      <c r="I1964" s="1399"/>
      <c r="J1964" s="1399">
        <v>132844.06</v>
      </c>
    </row>
    <row r="1965" spans="5:10" s="1297" customFormat="1">
      <c r="E1965" s="1297" t="s">
        <v>953</v>
      </c>
      <c r="F1965" s="1399"/>
      <c r="G1965" s="1399"/>
      <c r="H1965" s="1399">
        <v>57671</v>
      </c>
      <c r="I1965" s="1399"/>
      <c r="J1965" s="1399">
        <v>57671</v>
      </c>
    </row>
    <row r="1966" spans="5:10" s="1297" customFormat="1">
      <c r="E1966" s="1297" t="s">
        <v>986</v>
      </c>
      <c r="F1966" s="1399"/>
      <c r="G1966" s="1399"/>
      <c r="H1966" s="1399">
        <v>6818.32</v>
      </c>
      <c r="I1966" s="1399"/>
      <c r="J1966" s="1399">
        <v>6818.32</v>
      </c>
    </row>
    <row r="1967" spans="5:10" s="1297" customFormat="1">
      <c r="E1967" s="1297" t="s">
        <v>1203</v>
      </c>
      <c r="F1967" s="1399"/>
      <c r="G1967" s="1399"/>
      <c r="H1967" s="1399">
        <v>16709</v>
      </c>
      <c r="I1967" s="1399"/>
      <c r="J1967" s="1399">
        <v>16709</v>
      </c>
    </row>
    <row r="1968" spans="5:10" s="1297" customFormat="1">
      <c r="E1968" s="1297" t="s">
        <v>996</v>
      </c>
      <c r="F1968" s="1399"/>
      <c r="G1968" s="1399"/>
      <c r="H1968" s="1399">
        <v>27400.21</v>
      </c>
      <c r="I1968" s="1399"/>
      <c r="J1968" s="1399">
        <v>27400.21</v>
      </c>
    </row>
    <row r="1969" spans="5:10" s="1297" customFormat="1">
      <c r="E1969" s="1297" t="s">
        <v>1045</v>
      </c>
      <c r="F1969" s="1399"/>
      <c r="G1969" s="1399"/>
      <c r="H1969" s="1399">
        <v>879696.38000000012</v>
      </c>
      <c r="I1969" s="1399"/>
      <c r="J1969" s="1399">
        <v>879696.38000000012</v>
      </c>
    </row>
    <row r="1970" spans="5:10" s="1297" customFormat="1">
      <c r="E1970" s="1297" t="s">
        <v>1046</v>
      </c>
      <c r="F1970" s="1399"/>
      <c r="G1970" s="1399"/>
      <c r="H1970" s="1399"/>
      <c r="I1970" s="1399">
        <v>56285902</v>
      </c>
      <c r="J1970" s="1399">
        <v>56285902</v>
      </c>
    </row>
    <row r="1971" spans="5:10" s="1297" customFormat="1">
      <c r="E1971" s="1297" t="s">
        <v>1128</v>
      </c>
      <c r="F1971" s="1399"/>
      <c r="G1971" s="1399"/>
      <c r="H1971" s="1399"/>
      <c r="I1971" s="1399">
        <v>4814613</v>
      </c>
      <c r="J1971" s="1399">
        <v>4814613</v>
      </c>
    </row>
    <row r="1972" spans="5:10" s="1297" customFormat="1">
      <c r="E1972" s="1297" t="s">
        <v>1129</v>
      </c>
      <c r="F1972" s="1399"/>
      <c r="G1972" s="1399"/>
      <c r="H1972" s="1399"/>
      <c r="I1972" s="1399">
        <v>-7883630</v>
      </c>
      <c r="J1972" s="1399">
        <v>-7883630</v>
      </c>
    </row>
    <row r="1973" spans="5:10" s="1297" customFormat="1">
      <c r="E1973" s="1297" t="s">
        <v>1047</v>
      </c>
      <c r="F1973" s="1399"/>
      <c r="G1973" s="1399"/>
      <c r="H1973" s="1399"/>
      <c r="I1973" s="1399">
        <v>1400958</v>
      </c>
      <c r="J1973" s="1399">
        <v>1400958</v>
      </c>
    </row>
    <row r="1974" spans="5:10" s="1297" customFormat="1">
      <c r="E1974" s="1297" t="s">
        <v>1048</v>
      </c>
      <c r="F1974" s="1399"/>
      <c r="G1974" s="1399"/>
      <c r="H1974" s="1399"/>
      <c r="I1974" s="1399">
        <v>-7472115</v>
      </c>
      <c r="J1974" s="1399">
        <v>-7472115</v>
      </c>
    </row>
    <row r="1975" spans="5:10" s="1297" customFormat="1">
      <c r="E1975" s="1297" t="s">
        <v>932</v>
      </c>
      <c r="F1975" s="1399"/>
      <c r="G1975" s="1399"/>
      <c r="H1975" s="1399"/>
      <c r="I1975" s="1399">
        <v>6119179</v>
      </c>
      <c r="J1975" s="1399">
        <v>6119179</v>
      </c>
    </row>
    <row r="1976" spans="5:10" s="1297" customFormat="1">
      <c r="E1976" s="1404" t="s">
        <v>955</v>
      </c>
      <c r="F1976" s="1405"/>
      <c r="G1976" s="1405"/>
      <c r="H1976" s="1405"/>
      <c r="I1976" s="1405">
        <v>2237488.9700000002</v>
      </c>
      <c r="J1976" s="1405">
        <v>2237488.9700000002</v>
      </c>
    </row>
    <row r="1977" spans="5:10" s="1297" customFormat="1">
      <c r="E1977" s="1297" t="s">
        <v>934</v>
      </c>
      <c r="F1977" s="1399"/>
      <c r="G1977" s="1399"/>
      <c r="H1977" s="1399"/>
      <c r="I1977" s="1399">
        <v>163865.74</v>
      </c>
      <c r="J1977" s="1399">
        <v>163865.74</v>
      </c>
    </row>
    <row r="1978" spans="5:10" s="1297" customFormat="1">
      <c r="E1978" s="1297" t="s">
        <v>935</v>
      </c>
      <c r="F1978" s="1399"/>
      <c r="G1978" s="1399"/>
      <c r="H1978" s="1399"/>
      <c r="I1978" s="1399">
        <v>970162.44</v>
      </c>
      <c r="J1978" s="1399">
        <v>970162.44</v>
      </c>
    </row>
    <row r="1979" spans="5:10" s="1297" customFormat="1">
      <c r="E1979" s="1297" t="s">
        <v>936</v>
      </c>
      <c r="F1979" s="1399"/>
      <c r="G1979" s="1399"/>
      <c r="H1979" s="1399"/>
      <c r="I1979" s="1399">
        <v>160368.95000000001</v>
      </c>
      <c r="J1979" s="1399">
        <v>160368.95000000001</v>
      </c>
    </row>
    <row r="1980" spans="5:10" s="1297" customFormat="1">
      <c r="E1980" s="1297" t="s">
        <v>937</v>
      </c>
      <c r="F1980" s="1399"/>
      <c r="G1980" s="1399"/>
      <c r="H1980" s="1399"/>
      <c r="I1980" s="1399">
        <v>48960.959999999999</v>
      </c>
      <c r="J1980" s="1399">
        <v>48960.959999999999</v>
      </c>
    </row>
    <row r="1981" spans="5:10" s="1297" customFormat="1">
      <c r="E1981" s="1297" t="s">
        <v>938</v>
      </c>
      <c r="F1981" s="1399"/>
      <c r="G1981" s="1399"/>
      <c r="H1981" s="1399"/>
      <c r="I1981" s="1399">
        <v>54089</v>
      </c>
      <c r="J1981" s="1399">
        <v>54089</v>
      </c>
    </row>
    <row r="1982" spans="5:10" s="1297" customFormat="1">
      <c r="E1982" s="1297" t="s">
        <v>1131</v>
      </c>
      <c r="F1982" s="1399">
        <v>20594.23</v>
      </c>
      <c r="G1982" s="1399"/>
      <c r="H1982" s="1399"/>
      <c r="I1982" s="1399"/>
      <c r="J1982" s="1399">
        <v>20594.23</v>
      </c>
    </row>
    <row r="1983" spans="5:10" s="1297" customFormat="1">
      <c r="E1983" s="1297" t="s">
        <v>940</v>
      </c>
      <c r="F1983" s="1399">
        <v>1965326.59</v>
      </c>
      <c r="G1983" s="1399"/>
      <c r="H1983" s="1399"/>
      <c r="I1983" s="1399"/>
      <c r="J1983" s="1399">
        <v>1965326.59</v>
      </c>
    </row>
    <row r="1984" spans="5:10" s="1297" customFormat="1">
      <c r="E1984" s="1297" t="s">
        <v>941</v>
      </c>
      <c r="F1984" s="1399">
        <v>609663.26</v>
      </c>
      <c r="G1984" s="1399"/>
      <c r="H1984" s="1399"/>
      <c r="I1984" s="1399"/>
      <c r="J1984" s="1399">
        <v>609663.26</v>
      </c>
    </row>
    <row r="1985" spans="2:12">
      <c r="B1985" s="1297"/>
      <c r="C1985" s="1297"/>
      <c r="D1985" s="1297"/>
      <c r="E1985" s="1297" t="s">
        <v>944</v>
      </c>
      <c r="F1985" s="1399">
        <v>4605907.6500000004</v>
      </c>
      <c r="J1985" s="1399">
        <v>4605907.6500000004</v>
      </c>
    </row>
    <row r="1986" spans="2:12">
      <c r="B1986" s="1297"/>
      <c r="C1986" s="1297"/>
      <c r="D1986" s="1297"/>
      <c r="E1986" s="1297" t="s">
        <v>945</v>
      </c>
      <c r="F1986" s="1399">
        <v>4508018.7700000005</v>
      </c>
      <c r="J1986" s="1399">
        <v>4508018.7700000005</v>
      </c>
    </row>
    <row r="1987" spans="2:12">
      <c r="B1987" s="1297"/>
      <c r="C1987" s="1297"/>
      <c r="D1987" s="1297"/>
      <c r="E1987" s="1297" t="s">
        <v>946</v>
      </c>
      <c r="F1987" s="1399">
        <v>124790.62</v>
      </c>
      <c r="J1987" s="1399">
        <v>124790.62</v>
      </c>
    </row>
    <row r="1988" spans="2:12">
      <c r="B1988" s="1297"/>
      <c r="C1988" s="1297"/>
      <c r="D1988" s="1297"/>
      <c r="E1988" s="359" t="s">
        <v>947</v>
      </c>
      <c r="F1988" s="1411">
        <v>367408.16</v>
      </c>
      <c r="G1988" s="1411"/>
      <c r="H1988" s="1411"/>
      <c r="I1988" s="1411"/>
      <c r="J1988" s="1411">
        <v>367408.16</v>
      </c>
    </row>
    <row r="1989" spans="2:12">
      <c r="B1989" s="1297"/>
      <c r="C1989" s="1297"/>
      <c r="D1989" s="1297"/>
      <c r="E1989" s="1404" t="s">
        <v>948</v>
      </c>
      <c r="F1989" s="1405"/>
      <c r="G1989" s="1405"/>
      <c r="H1989" s="1405">
        <v>5036077.63</v>
      </c>
      <c r="I1989" s="1405"/>
      <c r="J1989" s="1405">
        <v>5036077.63</v>
      </c>
    </row>
    <row r="1990" spans="2:12">
      <c r="B1990" s="1297"/>
      <c r="C1990" s="1297"/>
      <c r="D1990" s="1400" t="s">
        <v>1303</v>
      </c>
      <c r="E1990" s="1400"/>
      <c r="F1990" s="1401">
        <f>SUM(F1952:F1989)</f>
        <v>12201709.279999999</v>
      </c>
      <c r="G1990" s="1401">
        <f>SUM(G1952:G1989)</f>
        <v>36809164.369999997</v>
      </c>
      <c r="H1990" s="1401">
        <f>SUM(H1952:H1989)</f>
        <v>10448802.989999998</v>
      </c>
      <c r="I1990" s="1401">
        <f>SUM(I1952:I1989)</f>
        <v>56899843.060000002</v>
      </c>
      <c r="J1990" s="1401">
        <f>SUM(J1952:J1989)</f>
        <v>116359519.70000002</v>
      </c>
      <c r="K1990" s="1401">
        <f>SUM(F1990:I1990)</f>
        <v>116359519.7</v>
      </c>
      <c r="L1990" s="1408">
        <f>K1990/C1952</f>
        <v>10620.620637093831</v>
      </c>
    </row>
    <row r="1991" spans="2:12">
      <c r="B1991" s="1297" t="s">
        <v>1304</v>
      </c>
      <c r="C1991" s="1297">
        <v>3153</v>
      </c>
      <c r="D1991" s="1297" t="s">
        <v>1305</v>
      </c>
      <c r="E1991" s="1297" t="s">
        <v>906</v>
      </c>
      <c r="G1991" s="1399">
        <v>8814861.0800000001</v>
      </c>
      <c r="J1991" s="1399">
        <v>8814861.0800000001</v>
      </c>
    </row>
    <row r="1992" spans="2:12">
      <c r="B1992" s="1297"/>
      <c r="C1992" s="1297"/>
      <c r="D1992" s="1297"/>
      <c r="E1992" s="1297" t="s">
        <v>907</v>
      </c>
      <c r="G1992" s="1399">
        <v>2199893.39</v>
      </c>
      <c r="J1992" s="1399">
        <v>2199893.39</v>
      </c>
    </row>
    <row r="1993" spans="2:12">
      <c r="B1993" s="1297"/>
      <c r="C1993" s="1297"/>
      <c r="D1993" s="1297"/>
      <c r="E1993" s="1297" t="s">
        <v>1034</v>
      </c>
      <c r="H1993" s="1399">
        <v>2879</v>
      </c>
      <c r="J1993" s="1399">
        <v>2879</v>
      </c>
    </row>
    <row r="1994" spans="2:12">
      <c r="B1994" s="1297"/>
      <c r="C1994" s="1297"/>
      <c r="D1994" s="1297"/>
      <c r="E1994" s="1297" t="s">
        <v>1037</v>
      </c>
      <c r="H1994" s="1399">
        <v>2476.14</v>
      </c>
      <c r="J1994" s="1399">
        <v>2476.14</v>
      </c>
    </row>
    <row r="1995" spans="2:12">
      <c r="B1995" s="1297"/>
      <c r="C1995" s="1297"/>
      <c r="D1995" s="1297"/>
      <c r="E1995" s="1297" t="s">
        <v>1039</v>
      </c>
      <c r="H1995" s="1399">
        <v>9997.2199999999993</v>
      </c>
      <c r="J1995" s="1399">
        <v>9997.2199999999993</v>
      </c>
    </row>
    <row r="1996" spans="2:12">
      <c r="B1996" s="1297"/>
      <c r="C1996" s="1297"/>
      <c r="D1996" s="1297"/>
      <c r="E1996" s="1297" t="s">
        <v>1040</v>
      </c>
      <c r="H1996" s="1399">
        <v>339378.23000000004</v>
      </c>
      <c r="J1996" s="1399">
        <v>339378.23000000004</v>
      </c>
    </row>
    <row r="1997" spans="2:12">
      <c r="B1997" s="1297"/>
      <c r="C1997" s="1297"/>
      <c r="D1997" s="1297"/>
      <c r="E1997" s="1297" t="s">
        <v>1041</v>
      </c>
      <c r="H1997" s="1399">
        <v>42991.680000000008</v>
      </c>
      <c r="J1997" s="1399">
        <v>42991.680000000008</v>
      </c>
    </row>
    <row r="1998" spans="2:12">
      <c r="B1998" s="1297"/>
      <c r="C1998" s="1297"/>
      <c r="D1998" s="1297"/>
      <c r="E1998" s="1297" t="s">
        <v>1042</v>
      </c>
      <c r="H1998" s="1399">
        <v>64497.80000000001</v>
      </c>
      <c r="J1998" s="1399">
        <v>64497.80000000001</v>
      </c>
    </row>
    <row r="1999" spans="2:12">
      <c r="B1999" s="1297"/>
      <c r="C1999" s="1297"/>
      <c r="D1999" s="1297"/>
      <c r="E1999" s="1297" t="s">
        <v>953</v>
      </c>
      <c r="H1999" s="1399">
        <v>16544.349999999999</v>
      </c>
      <c r="J1999" s="1399">
        <v>16544.349999999999</v>
      </c>
    </row>
    <row r="2000" spans="2:12">
      <c r="B2000" s="1297"/>
      <c r="C2000" s="1297"/>
      <c r="D2000" s="1297"/>
      <c r="E2000" s="1297" t="s">
        <v>1005</v>
      </c>
      <c r="H2000" s="1399">
        <v>16634.64</v>
      </c>
      <c r="J2000" s="1399">
        <v>16634.64</v>
      </c>
    </row>
    <row r="2001" spans="5:10" s="1297" customFormat="1">
      <c r="E2001" s="1297" t="s">
        <v>1044</v>
      </c>
      <c r="F2001" s="1399">
        <v>162129.5</v>
      </c>
      <c r="G2001" s="1399"/>
      <c r="H2001" s="1399"/>
      <c r="I2001" s="1399"/>
      <c r="J2001" s="1399">
        <v>162129.5</v>
      </c>
    </row>
    <row r="2002" spans="5:10" s="1297" customFormat="1">
      <c r="E2002" s="1297" t="s">
        <v>1045</v>
      </c>
      <c r="F2002" s="1399"/>
      <c r="G2002" s="1399"/>
      <c r="H2002" s="1399">
        <v>170588.24</v>
      </c>
      <c r="I2002" s="1399"/>
      <c r="J2002" s="1399">
        <v>170588.24</v>
      </c>
    </row>
    <row r="2003" spans="5:10" s="1297" customFormat="1">
      <c r="E2003" s="1297" t="s">
        <v>1046</v>
      </c>
      <c r="F2003" s="1399"/>
      <c r="G2003" s="1399"/>
      <c r="H2003" s="1399"/>
      <c r="I2003" s="1399">
        <v>18866684</v>
      </c>
      <c r="J2003" s="1399">
        <v>18866684</v>
      </c>
    </row>
    <row r="2004" spans="5:10" s="1297" customFormat="1">
      <c r="E2004" s="1297" t="s">
        <v>1128</v>
      </c>
      <c r="F2004" s="1399"/>
      <c r="G2004" s="1399"/>
      <c r="H2004" s="1399"/>
      <c r="I2004" s="1399">
        <v>1401289</v>
      </c>
      <c r="J2004" s="1399">
        <v>1401289</v>
      </c>
    </row>
    <row r="2005" spans="5:10" s="1297" customFormat="1">
      <c r="E2005" s="1297" t="s">
        <v>1129</v>
      </c>
      <c r="F2005" s="1399"/>
      <c r="G2005" s="1399"/>
      <c r="H2005" s="1399"/>
      <c r="I2005" s="1399">
        <v>-2675939</v>
      </c>
      <c r="J2005" s="1399">
        <v>-2675939</v>
      </c>
    </row>
    <row r="2006" spans="5:10" s="1297" customFormat="1">
      <c r="E2006" s="1297" t="s">
        <v>1047</v>
      </c>
      <c r="F2006" s="1399"/>
      <c r="G2006" s="1399"/>
      <c r="H2006" s="1399"/>
      <c r="I2006" s="1399">
        <v>662546</v>
      </c>
      <c r="J2006" s="1399">
        <v>662546</v>
      </c>
    </row>
    <row r="2007" spans="5:10" s="1297" customFormat="1">
      <c r="E2007" s="1297" t="s">
        <v>1048</v>
      </c>
      <c r="F2007" s="1399"/>
      <c r="G2007" s="1399"/>
      <c r="H2007" s="1399"/>
      <c r="I2007" s="1399">
        <v>-2324933</v>
      </c>
      <c r="J2007" s="1399">
        <v>-2324933</v>
      </c>
    </row>
    <row r="2008" spans="5:10" s="1297" customFormat="1">
      <c r="E2008" s="1297" t="s">
        <v>932</v>
      </c>
      <c r="F2008" s="1399"/>
      <c r="G2008" s="1399"/>
      <c r="H2008" s="1399"/>
      <c r="I2008" s="1399">
        <v>1970263</v>
      </c>
      <c r="J2008" s="1399">
        <v>1970263</v>
      </c>
    </row>
    <row r="2009" spans="5:10" s="1297" customFormat="1">
      <c r="E2009" s="1404" t="s">
        <v>955</v>
      </c>
      <c r="F2009" s="1405"/>
      <c r="G2009" s="1405"/>
      <c r="H2009" s="1405"/>
      <c r="I2009" s="1405">
        <v>838868.31</v>
      </c>
      <c r="J2009" s="1405">
        <v>838868.31</v>
      </c>
    </row>
    <row r="2010" spans="5:10" s="1297" customFormat="1">
      <c r="E2010" s="1297" t="s">
        <v>934</v>
      </c>
      <c r="F2010" s="1399"/>
      <c r="G2010" s="1399"/>
      <c r="H2010" s="1399"/>
      <c r="I2010" s="1399">
        <v>61890</v>
      </c>
      <c r="J2010" s="1399">
        <v>61890</v>
      </c>
    </row>
    <row r="2011" spans="5:10" s="1297" customFormat="1">
      <c r="E2011" s="1297" t="s">
        <v>935</v>
      </c>
      <c r="F2011" s="1399"/>
      <c r="G2011" s="1399"/>
      <c r="H2011" s="1399"/>
      <c r="I2011" s="1399">
        <v>344996.28</v>
      </c>
      <c r="J2011" s="1399">
        <v>344996.28</v>
      </c>
    </row>
    <row r="2012" spans="5:10" s="1297" customFormat="1">
      <c r="E2012" s="1297" t="s">
        <v>936</v>
      </c>
      <c r="F2012" s="1399"/>
      <c r="G2012" s="1399"/>
      <c r="H2012" s="1399"/>
      <c r="I2012" s="1399">
        <v>75982.67</v>
      </c>
      <c r="J2012" s="1399">
        <v>75982.67</v>
      </c>
    </row>
    <row r="2013" spans="5:10" s="1297" customFormat="1">
      <c r="E2013" s="1297" t="s">
        <v>937</v>
      </c>
      <c r="F2013" s="1399"/>
      <c r="G2013" s="1399"/>
      <c r="H2013" s="1399"/>
      <c r="I2013" s="1399">
        <v>27602.400000000001</v>
      </c>
      <c r="J2013" s="1399">
        <v>27602.400000000001</v>
      </c>
    </row>
    <row r="2014" spans="5:10" s="1297" customFormat="1">
      <c r="E2014" s="1297" t="s">
        <v>938</v>
      </c>
      <c r="F2014" s="1399"/>
      <c r="G2014" s="1399"/>
      <c r="H2014" s="1399"/>
      <c r="I2014" s="1399">
        <v>19465</v>
      </c>
      <c r="J2014" s="1399">
        <v>19465</v>
      </c>
    </row>
    <row r="2015" spans="5:10" s="1297" customFormat="1">
      <c r="E2015" s="1297" t="s">
        <v>1131</v>
      </c>
      <c r="F2015" s="1399">
        <v>86626.53</v>
      </c>
      <c r="G2015" s="1399"/>
      <c r="H2015" s="1399"/>
      <c r="I2015" s="1399"/>
      <c r="J2015" s="1399">
        <v>86626.53</v>
      </c>
    </row>
    <row r="2016" spans="5:10" s="1297" customFormat="1">
      <c r="E2016" s="1297" t="s">
        <v>940</v>
      </c>
      <c r="F2016" s="1399">
        <v>1026704.54</v>
      </c>
      <c r="G2016" s="1399"/>
      <c r="H2016" s="1399"/>
      <c r="I2016" s="1399"/>
      <c r="J2016" s="1399">
        <v>1026704.54</v>
      </c>
    </row>
    <row r="2017" spans="2:12">
      <c r="B2017" s="1297"/>
      <c r="C2017" s="1297"/>
      <c r="D2017" s="1297"/>
      <c r="E2017" s="1297" t="s">
        <v>941</v>
      </c>
      <c r="F2017" s="1399">
        <v>415991.80000000005</v>
      </c>
      <c r="J2017" s="1399">
        <v>415991.80000000005</v>
      </c>
    </row>
    <row r="2018" spans="2:12">
      <c r="B2018" s="1297"/>
      <c r="C2018" s="1297"/>
      <c r="D2018" s="1297"/>
      <c r="E2018" s="1297" t="s">
        <v>943</v>
      </c>
      <c r="F2018" s="1399">
        <v>19749.120000000003</v>
      </c>
      <c r="J2018" s="1399">
        <v>19749.120000000003</v>
      </c>
    </row>
    <row r="2019" spans="2:12">
      <c r="B2019" s="1297"/>
      <c r="C2019" s="1297"/>
      <c r="D2019" s="1297"/>
      <c r="E2019" s="1297" t="s">
        <v>944</v>
      </c>
      <c r="F2019" s="1399">
        <v>3423236.9</v>
      </c>
      <c r="J2019" s="1399">
        <v>3423236.9</v>
      </c>
    </row>
    <row r="2020" spans="2:12">
      <c r="B2020" s="1297"/>
      <c r="C2020" s="1297"/>
      <c r="D2020" s="1297"/>
      <c r="E2020" s="1297" t="s">
        <v>945</v>
      </c>
      <c r="F2020" s="1399">
        <v>722403</v>
      </c>
      <c r="J2020" s="1399">
        <v>722403</v>
      </c>
    </row>
    <row r="2021" spans="2:12">
      <c r="B2021" s="1297"/>
      <c r="C2021" s="1297"/>
      <c r="D2021" s="1297"/>
      <c r="E2021" s="1297" t="s">
        <v>947</v>
      </c>
      <c r="F2021" s="1399">
        <v>119292.23</v>
      </c>
      <c r="J2021" s="1399">
        <v>119292.23</v>
      </c>
    </row>
    <row r="2022" spans="2:12">
      <c r="B2022" s="1297"/>
      <c r="C2022" s="1297"/>
      <c r="D2022" s="1400" t="s">
        <v>1306</v>
      </c>
      <c r="E2022" s="1400"/>
      <c r="F2022" s="1401">
        <f>SUM(F1991:F2021)</f>
        <v>5976133.620000001</v>
      </c>
      <c r="G2022" s="1401">
        <f>SUM(G1991:G2021)</f>
        <v>11014754.470000001</v>
      </c>
      <c r="H2022" s="1401">
        <f>SUM(H1991:H2021)</f>
        <v>665987.30000000005</v>
      </c>
      <c r="I2022" s="1401">
        <f>SUM(I1991:I2021)-I2009</f>
        <v>18429846.350000001</v>
      </c>
      <c r="J2022" s="1401">
        <f>SUM(J1991:J2021)</f>
        <v>36925590.050000004</v>
      </c>
      <c r="K2022" s="1401">
        <f>SUM(F2022:I2022)</f>
        <v>36086721.74000001</v>
      </c>
      <c r="L2022" s="1408">
        <f>K2022/C1991</f>
        <v>11445.201947351732</v>
      </c>
    </row>
    <row r="2023" spans="2:12">
      <c r="B2023" s="1297" t="s">
        <v>1307</v>
      </c>
      <c r="C2023" s="1297">
        <v>4100</v>
      </c>
      <c r="D2023" s="1297" t="s">
        <v>1308</v>
      </c>
      <c r="E2023" s="1297" t="s">
        <v>906</v>
      </c>
      <c r="G2023" s="1399">
        <v>5837684.5099999998</v>
      </c>
      <c r="J2023" s="1399">
        <v>5837684.5099999998</v>
      </c>
    </row>
    <row r="2024" spans="2:12">
      <c r="B2024" s="1297"/>
      <c r="C2024" s="1297"/>
      <c r="D2024" s="1297"/>
      <c r="E2024" s="1297" t="s">
        <v>952</v>
      </c>
      <c r="G2024" s="1399">
        <v>8024.22</v>
      </c>
      <c r="J2024" s="1399">
        <v>8024.22</v>
      </c>
    </row>
    <row r="2025" spans="2:12">
      <c r="B2025" s="1297"/>
      <c r="C2025" s="1297"/>
      <c r="D2025" s="1297"/>
      <c r="E2025" s="1297" t="s">
        <v>907</v>
      </c>
      <c r="G2025" s="1399">
        <v>2611381.5300000003</v>
      </c>
      <c r="J2025" s="1399">
        <v>2611381.5300000003</v>
      </c>
    </row>
    <row r="2026" spans="2:12">
      <c r="B2026" s="1297"/>
      <c r="C2026" s="1297"/>
      <c r="D2026" s="1297"/>
      <c r="E2026" s="1297" t="s">
        <v>909</v>
      </c>
      <c r="H2026" s="1399">
        <v>25479.550000000003</v>
      </c>
      <c r="J2026" s="1399">
        <v>25479.550000000003</v>
      </c>
    </row>
    <row r="2027" spans="2:12">
      <c r="B2027" s="1297"/>
      <c r="C2027" s="1297"/>
      <c r="D2027" s="1297"/>
      <c r="E2027" s="1297" t="s">
        <v>910</v>
      </c>
      <c r="H2027" s="1399">
        <v>17331.239999999998</v>
      </c>
      <c r="J2027" s="1399">
        <v>17331.239999999998</v>
      </c>
    </row>
    <row r="2028" spans="2:12">
      <c r="B2028" s="1297"/>
      <c r="C2028" s="1297"/>
      <c r="D2028" s="1297"/>
      <c r="E2028" s="1297" t="s">
        <v>1035</v>
      </c>
      <c r="H2028" s="1399">
        <v>266673.50999999995</v>
      </c>
      <c r="J2028" s="1399">
        <v>266673.50999999995</v>
      </c>
    </row>
    <row r="2029" spans="2:12">
      <c r="B2029" s="1297"/>
      <c r="C2029" s="1297"/>
      <c r="D2029" s="1297"/>
      <c r="E2029" s="1297" t="s">
        <v>1036</v>
      </c>
      <c r="H2029" s="1399">
        <v>234970.23999999999</v>
      </c>
      <c r="J2029" s="1399">
        <v>234970.23999999999</v>
      </c>
    </row>
    <row r="2030" spans="2:12">
      <c r="B2030" s="1297"/>
      <c r="C2030" s="1297"/>
      <c r="D2030" s="1297"/>
      <c r="E2030" s="1297" t="s">
        <v>1039</v>
      </c>
      <c r="H2030" s="1399">
        <v>23333.57</v>
      </c>
      <c r="J2030" s="1399">
        <v>23333.57</v>
      </c>
    </row>
    <row r="2031" spans="2:12">
      <c r="B2031" s="1297"/>
      <c r="C2031" s="1297"/>
      <c r="D2031" s="1297"/>
      <c r="E2031" s="1297" t="s">
        <v>1040</v>
      </c>
      <c r="H2031" s="1399">
        <v>220302.87</v>
      </c>
      <c r="J2031" s="1399">
        <v>220302.87</v>
      </c>
    </row>
    <row r="2032" spans="2:12">
      <c r="B2032" s="1297"/>
      <c r="C2032" s="1297"/>
      <c r="D2032" s="1297"/>
      <c r="E2032" s="1297" t="s">
        <v>1041</v>
      </c>
      <c r="H2032" s="1399">
        <v>67993.960000000006</v>
      </c>
      <c r="J2032" s="1399">
        <v>67993.960000000006</v>
      </c>
    </row>
    <row r="2033" spans="5:10" s="1297" customFormat="1">
      <c r="E2033" s="1297" t="s">
        <v>1042</v>
      </c>
      <c r="F2033" s="1399"/>
      <c r="G2033" s="1399"/>
      <c r="H2033" s="1399">
        <v>94826.25</v>
      </c>
      <c r="I2033" s="1399"/>
      <c r="J2033" s="1399">
        <v>94826.25</v>
      </c>
    </row>
    <row r="2034" spans="5:10" s="1297" customFormat="1">
      <c r="E2034" s="1297" t="s">
        <v>954</v>
      </c>
      <c r="F2034" s="1399"/>
      <c r="G2034" s="1399"/>
      <c r="H2034" s="1399">
        <v>349694.93</v>
      </c>
      <c r="I2034" s="1399"/>
      <c r="J2034" s="1399">
        <v>349694.93</v>
      </c>
    </row>
    <row r="2035" spans="5:10" s="1297" customFormat="1">
      <c r="E2035" s="1297" t="s">
        <v>1043</v>
      </c>
      <c r="F2035" s="1399"/>
      <c r="G2035" s="1399"/>
      <c r="H2035" s="1399">
        <v>200</v>
      </c>
      <c r="I2035" s="1399"/>
      <c r="J2035" s="1399">
        <v>200</v>
      </c>
    </row>
    <row r="2036" spans="5:10" s="1297" customFormat="1">
      <c r="E2036" s="1297" t="s">
        <v>986</v>
      </c>
      <c r="F2036" s="1399"/>
      <c r="G2036" s="1399"/>
      <c r="H2036" s="1399">
        <v>147757.53999999998</v>
      </c>
      <c r="I2036" s="1399"/>
      <c r="J2036" s="1399">
        <v>147757.53999999998</v>
      </c>
    </row>
    <row r="2037" spans="5:10" s="1297" customFormat="1">
      <c r="E2037" s="1297" t="s">
        <v>1044</v>
      </c>
      <c r="F2037" s="1399">
        <v>88453.01</v>
      </c>
      <c r="G2037" s="1399"/>
      <c r="H2037" s="1399"/>
      <c r="I2037" s="1399"/>
      <c r="J2037" s="1399">
        <v>88453.01</v>
      </c>
    </row>
    <row r="2038" spans="5:10" s="1297" customFormat="1">
      <c r="E2038" s="1297" t="s">
        <v>1045</v>
      </c>
      <c r="F2038" s="1399"/>
      <c r="G2038" s="1399"/>
      <c r="H2038" s="1399">
        <v>562402.6</v>
      </c>
      <c r="I2038" s="1399"/>
      <c r="J2038" s="1399">
        <v>562402.6</v>
      </c>
    </row>
    <row r="2039" spans="5:10" s="1297" customFormat="1">
      <c r="E2039" s="1297" t="s">
        <v>1046</v>
      </c>
      <c r="F2039" s="1399"/>
      <c r="G2039" s="1399"/>
      <c r="H2039" s="1399"/>
      <c r="I2039" s="1399">
        <v>21982815</v>
      </c>
      <c r="J2039" s="1399">
        <v>21982815</v>
      </c>
    </row>
    <row r="2040" spans="5:10" s="1297" customFormat="1">
      <c r="E2040" s="1297" t="s">
        <v>1128</v>
      </c>
      <c r="F2040" s="1399"/>
      <c r="G2040" s="1399"/>
      <c r="H2040" s="1399"/>
      <c r="I2040" s="1399">
        <v>2161090</v>
      </c>
      <c r="J2040" s="1399">
        <v>2161090</v>
      </c>
    </row>
    <row r="2041" spans="5:10" s="1297" customFormat="1">
      <c r="E2041" s="1297" t="s">
        <v>1129</v>
      </c>
      <c r="F2041" s="1399"/>
      <c r="G2041" s="1399"/>
      <c r="H2041" s="1399"/>
      <c r="I2041" s="1399">
        <v>-3182433</v>
      </c>
      <c r="J2041" s="1399">
        <v>-3182433</v>
      </c>
    </row>
    <row r="2042" spans="5:10" s="1297" customFormat="1">
      <c r="E2042" s="1297" t="s">
        <v>1047</v>
      </c>
      <c r="F2042" s="1399"/>
      <c r="G2042" s="1399"/>
      <c r="H2042" s="1399"/>
      <c r="I2042" s="1399">
        <v>739640</v>
      </c>
      <c r="J2042" s="1399">
        <v>739640</v>
      </c>
    </row>
    <row r="2043" spans="5:10" s="1297" customFormat="1">
      <c r="E2043" s="1297" t="s">
        <v>1048</v>
      </c>
      <c r="F2043" s="1399"/>
      <c r="G2043" s="1399"/>
      <c r="H2043" s="1399"/>
      <c r="I2043" s="1399">
        <v>-1903717</v>
      </c>
      <c r="J2043" s="1399">
        <v>-1903717</v>
      </c>
    </row>
    <row r="2044" spans="5:10" s="1297" customFormat="1">
      <c r="E2044" s="1297" t="s">
        <v>932</v>
      </c>
      <c r="F2044" s="1399"/>
      <c r="G2044" s="1399"/>
      <c r="H2044" s="1399"/>
      <c r="I2044" s="1399">
        <v>3138114</v>
      </c>
      <c r="J2044" s="1399">
        <v>3138114</v>
      </c>
    </row>
    <row r="2045" spans="5:10" s="1297" customFormat="1">
      <c r="E2045" s="1404" t="s">
        <v>955</v>
      </c>
      <c r="F2045" s="1405"/>
      <c r="G2045" s="1405"/>
      <c r="H2045" s="1405"/>
      <c r="I2045" s="1405">
        <v>1400357.93</v>
      </c>
      <c r="J2045" s="1405">
        <v>1400357.93</v>
      </c>
    </row>
    <row r="2046" spans="5:10" s="1297" customFormat="1">
      <c r="E2046" s="1297" t="s">
        <v>934</v>
      </c>
      <c r="F2046" s="1399"/>
      <c r="G2046" s="1399"/>
      <c r="H2046" s="1399"/>
      <c r="I2046" s="1399">
        <v>78526</v>
      </c>
      <c r="J2046" s="1399">
        <v>78526</v>
      </c>
    </row>
    <row r="2047" spans="5:10" s="1297" customFormat="1">
      <c r="E2047" s="1297" t="s">
        <v>935</v>
      </c>
      <c r="F2047" s="1399"/>
      <c r="G2047" s="1399"/>
      <c r="H2047" s="1399"/>
      <c r="I2047" s="1399">
        <v>916137.04</v>
      </c>
      <c r="J2047" s="1399">
        <v>916137.04</v>
      </c>
    </row>
    <row r="2048" spans="5:10" s="1297" customFormat="1">
      <c r="E2048" s="1297" t="s">
        <v>936</v>
      </c>
      <c r="F2048" s="1399"/>
      <c r="G2048" s="1399"/>
      <c r="H2048" s="1399"/>
      <c r="I2048" s="1399">
        <v>80534.62</v>
      </c>
      <c r="J2048" s="1399">
        <v>80534.62</v>
      </c>
    </row>
    <row r="2049" spans="2:12">
      <c r="B2049" s="1297"/>
      <c r="C2049" s="1297"/>
      <c r="D2049" s="1297"/>
      <c r="E2049" s="1297" t="s">
        <v>937</v>
      </c>
      <c r="I2049" s="1399">
        <v>28454.46</v>
      </c>
      <c r="J2049" s="1399">
        <v>28454.46</v>
      </c>
    </row>
    <row r="2050" spans="2:12">
      <c r="B2050" s="1297"/>
      <c r="C2050" s="1297"/>
      <c r="D2050" s="1297"/>
      <c r="E2050" s="1297" t="s">
        <v>938</v>
      </c>
      <c r="I2050" s="1399">
        <v>23956</v>
      </c>
      <c r="J2050" s="1399">
        <v>23956</v>
      </c>
    </row>
    <row r="2051" spans="2:12">
      <c r="B2051" s="1297"/>
      <c r="C2051" s="1297"/>
      <c r="D2051" s="1297"/>
      <c r="E2051" s="1297" t="s">
        <v>939</v>
      </c>
      <c r="I2051" s="1399">
        <v>199355.38</v>
      </c>
      <c r="J2051" s="1399">
        <v>199355.38</v>
      </c>
    </row>
    <row r="2052" spans="2:12">
      <c r="B2052" s="1297"/>
      <c r="C2052" s="1297"/>
      <c r="D2052" s="1297"/>
      <c r="E2052" s="1297" t="s">
        <v>940</v>
      </c>
      <c r="F2052" s="1399">
        <v>1457702.2</v>
      </c>
      <c r="J2052" s="1399">
        <v>1457702.2</v>
      </c>
    </row>
    <row r="2053" spans="2:12">
      <c r="B2053" s="1297"/>
      <c r="C2053" s="1297"/>
      <c r="D2053" s="1297"/>
      <c r="E2053" s="1297" t="s">
        <v>941</v>
      </c>
      <c r="F2053" s="1399">
        <v>513971.02</v>
      </c>
      <c r="J2053" s="1399">
        <v>513971.02</v>
      </c>
    </row>
    <row r="2054" spans="2:12">
      <c r="B2054" s="1297"/>
      <c r="C2054" s="1297"/>
      <c r="D2054" s="1297"/>
      <c r="E2054" s="1297" t="s">
        <v>943</v>
      </c>
      <c r="F2054" s="1399">
        <v>2351.7199999999998</v>
      </c>
      <c r="J2054" s="1399">
        <v>2351.7199999999998</v>
      </c>
    </row>
    <row r="2055" spans="2:12">
      <c r="B2055" s="1297"/>
      <c r="C2055" s="1297"/>
      <c r="D2055" s="1297"/>
      <c r="E2055" s="1297" t="s">
        <v>944</v>
      </c>
      <c r="F2055" s="1399">
        <v>3686233.38</v>
      </c>
      <c r="J2055" s="1399">
        <v>3686233.38</v>
      </c>
    </row>
    <row r="2056" spans="2:12">
      <c r="B2056" s="1297"/>
      <c r="C2056" s="1297"/>
      <c r="D2056" s="1297"/>
      <c r="E2056" s="1297" t="s">
        <v>945</v>
      </c>
      <c r="F2056" s="1399">
        <v>3500059.7099999995</v>
      </c>
      <c r="J2056" s="1399">
        <v>3500059.7099999995</v>
      </c>
    </row>
    <row r="2057" spans="2:12">
      <c r="B2057" s="1297"/>
      <c r="C2057" s="1297"/>
      <c r="D2057" s="1297"/>
      <c r="E2057" s="1297" t="s">
        <v>946</v>
      </c>
      <c r="F2057" s="1399">
        <v>715274.12</v>
      </c>
      <c r="J2057" s="1399">
        <v>715274.12</v>
      </c>
    </row>
    <row r="2058" spans="2:12">
      <c r="B2058" s="1297"/>
      <c r="C2058" s="1297"/>
      <c r="D2058" s="1297"/>
      <c r="E2058" s="1297" t="s">
        <v>947</v>
      </c>
      <c r="F2058" s="1399">
        <v>183093.15</v>
      </c>
      <c r="J2058" s="1399">
        <v>183093.15</v>
      </c>
    </row>
    <row r="2059" spans="2:12">
      <c r="B2059" s="1297"/>
      <c r="C2059" s="1297"/>
      <c r="D2059" s="1297"/>
      <c r="E2059" s="1297" t="s">
        <v>1115</v>
      </c>
      <c r="F2059" s="1399">
        <v>1171.8599999999999</v>
      </c>
      <c r="J2059" s="1399">
        <v>1171.8599999999999</v>
      </c>
    </row>
    <row r="2060" spans="2:12">
      <c r="B2060" s="1297"/>
      <c r="C2060" s="1297"/>
      <c r="D2060" s="1297"/>
      <c r="E2060" s="1404" t="s">
        <v>948</v>
      </c>
      <c r="F2060" s="1405"/>
      <c r="G2060" s="1405"/>
      <c r="H2060" s="1405">
        <v>145361.19999999998</v>
      </c>
      <c r="I2060" s="1405"/>
      <c r="J2060" s="1405">
        <v>145361.19999999998</v>
      </c>
    </row>
    <row r="2061" spans="2:12">
      <c r="B2061" s="1297"/>
      <c r="C2061" s="1297"/>
      <c r="D2061" s="1400" t="s">
        <v>1309</v>
      </c>
      <c r="E2061" s="1400"/>
      <c r="F2061" s="1401">
        <f>SUM(F2023:F2060)</f>
        <v>10148310.169999998</v>
      </c>
      <c r="G2061" s="1401">
        <f>SUM(G2023:G2060)</f>
        <v>8457090.2599999998</v>
      </c>
      <c r="H2061" s="1401">
        <f>SUM(H2023:H2060)</f>
        <v>2156327.46</v>
      </c>
      <c r="I2061" s="1401">
        <f>SUM(I2023:I2060)</f>
        <v>25662830.43</v>
      </c>
      <c r="J2061" s="1401">
        <f>SUM(J2023:J2060)</f>
        <v>46424558.320000008</v>
      </c>
      <c r="K2061" s="1401">
        <f>SUM(F2061:I2061)</f>
        <v>46424558.32</v>
      </c>
      <c r="L2061" s="1408">
        <f>K2061/C2023</f>
        <v>11323.063004878049</v>
      </c>
    </row>
    <row r="2062" spans="2:12">
      <c r="B2062" s="1297" t="s">
        <v>1310</v>
      </c>
      <c r="C2062" s="1297">
        <v>1661</v>
      </c>
      <c r="D2062" s="1297" t="s">
        <v>1311</v>
      </c>
      <c r="E2062" s="1297" t="s">
        <v>906</v>
      </c>
      <c r="G2062" s="1399">
        <v>2858742.11</v>
      </c>
      <c r="J2062" s="1399">
        <v>2858742.11</v>
      </c>
    </row>
    <row r="2063" spans="2:12">
      <c r="B2063" s="1297"/>
      <c r="C2063" s="1297"/>
      <c r="D2063" s="1297"/>
      <c r="E2063" s="1297" t="s">
        <v>952</v>
      </c>
      <c r="G2063" s="1399">
        <v>3453.24</v>
      </c>
      <c r="J2063" s="1399">
        <v>3453.24</v>
      </c>
    </row>
    <row r="2064" spans="2:12">
      <c r="B2064" s="1297"/>
      <c r="C2064" s="1297"/>
      <c r="D2064" s="1297"/>
      <c r="E2064" s="1297" t="s">
        <v>907</v>
      </c>
      <c r="G2064" s="1399">
        <v>1329883.48</v>
      </c>
      <c r="J2064" s="1399">
        <v>1329883.48</v>
      </c>
    </row>
    <row r="2065" spans="5:10" s="1297" customFormat="1">
      <c r="E2065" s="1297" t="s">
        <v>908</v>
      </c>
      <c r="F2065" s="1399"/>
      <c r="G2065" s="1399">
        <v>7288.74</v>
      </c>
      <c r="H2065" s="1399"/>
      <c r="I2065" s="1399"/>
      <c r="J2065" s="1399">
        <v>7288.74</v>
      </c>
    </row>
    <row r="2066" spans="5:10" s="1297" customFormat="1">
      <c r="E2066" s="1297" t="s">
        <v>909</v>
      </c>
      <c r="F2066" s="1399"/>
      <c r="G2066" s="1399"/>
      <c r="H2066" s="1399">
        <v>4608.63</v>
      </c>
      <c r="I2066" s="1399"/>
      <c r="J2066" s="1399">
        <v>4608.63</v>
      </c>
    </row>
    <row r="2067" spans="5:10" s="1297" customFormat="1">
      <c r="E2067" s="1297" t="s">
        <v>1035</v>
      </c>
      <c r="F2067" s="1399"/>
      <c r="G2067" s="1399"/>
      <c r="H2067" s="1399">
        <v>43128.31</v>
      </c>
      <c r="I2067" s="1399"/>
      <c r="J2067" s="1399">
        <v>43128.31</v>
      </c>
    </row>
    <row r="2068" spans="5:10" s="1297" customFormat="1">
      <c r="E2068" s="1297" t="s">
        <v>1036</v>
      </c>
      <c r="F2068" s="1399"/>
      <c r="G2068" s="1399"/>
      <c r="H2068" s="1399">
        <v>91547.35</v>
      </c>
      <c r="I2068" s="1399"/>
      <c r="J2068" s="1399">
        <v>91547.35</v>
      </c>
    </row>
    <row r="2069" spans="5:10" s="1297" customFormat="1">
      <c r="E2069" s="1297" t="s">
        <v>1039</v>
      </c>
      <c r="F2069" s="1399"/>
      <c r="G2069" s="1399"/>
      <c r="H2069" s="1399">
        <v>32918.32</v>
      </c>
      <c r="I2069" s="1399"/>
      <c r="J2069" s="1399">
        <v>32918.32</v>
      </c>
    </row>
    <row r="2070" spans="5:10" s="1297" customFormat="1">
      <c r="E2070" s="1297" t="s">
        <v>1040</v>
      </c>
      <c r="F2070" s="1399"/>
      <c r="G2070" s="1399"/>
      <c r="H2070" s="1399">
        <v>104804.38</v>
      </c>
      <c r="I2070" s="1399"/>
      <c r="J2070" s="1399">
        <v>104804.38</v>
      </c>
    </row>
    <row r="2071" spans="5:10" s="1297" customFormat="1">
      <c r="E2071" s="1297" t="s">
        <v>1041</v>
      </c>
      <c r="F2071" s="1399"/>
      <c r="G2071" s="1399"/>
      <c r="H2071" s="1399">
        <v>42423.82</v>
      </c>
      <c r="I2071" s="1399"/>
      <c r="J2071" s="1399">
        <v>42423.82</v>
      </c>
    </row>
    <row r="2072" spans="5:10" s="1297" customFormat="1">
      <c r="E2072" s="1297" t="s">
        <v>1042</v>
      </c>
      <c r="F2072" s="1399"/>
      <c r="G2072" s="1399"/>
      <c r="H2072" s="1399">
        <v>43511.01</v>
      </c>
      <c r="I2072" s="1399"/>
      <c r="J2072" s="1399">
        <v>43511.01</v>
      </c>
    </row>
    <row r="2073" spans="5:10" s="1297" customFormat="1">
      <c r="E2073" s="1297" t="s">
        <v>986</v>
      </c>
      <c r="F2073" s="1399"/>
      <c r="G2073" s="1399"/>
      <c r="H2073" s="1399">
        <v>171617.33</v>
      </c>
      <c r="I2073" s="1399"/>
      <c r="J2073" s="1399">
        <v>171617.33</v>
      </c>
    </row>
    <row r="2074" spans="5:10" s="1297" customFormat="1">
      <c r="E2074" s="1297" t="s">
        <v>1044</v>
      </c>
      <c r="F2074" s="1399">
        <v>101816.89</v>
      </c>
      <c r="G2074" s="1399"/>
      <c r="H2074" s="1399">
        <v>101816.89</v>
      </c>
      <c r="I2074" s="1399"/>
      <c r="J2074" s="1399">
        <v>101816.89</v>
      </c>
    </row>
    <row r="2075" spans="5:10" s="1297" customFormat="1">
      <c r="E2075" s="1297" t="s">
        <v>1045</v>
      </c>
      <c r="F2075" s="1399"/>
      <c r="G2075" s="1399"/>
      <c r="H2075" s="1399">
        <v>401149.99</v>
      </c>
      <c r="I2075" s="1399"/>
      <c r="J2075" s="1399">
        <v>401149.99</v>
      </c>
    </row>
    <row r="2076" spans="5:10" s="1297" customFormat="1">
      <c r="E2076" s="1297" t="s">
        <v>1046</v>
      </c>
      <c r="F2076" s="1399"/>
      <c r="G2076" s="1399"/>
      <c r="H2076" s="1399"/>
      <c r="I2076" s="1399">
        <v>10062172</v>
      </c>
      <c r="J2076" s="1399">
        <v>10062172</v>
      </c>
    </row>
    <row r="2077" spans="5:10" s="1297" customFormat="1">
      <c r="E2077" s="1297" t="s">
        <v>1129</v>
      </c>
      <c r="F2077" s="1399"/>
      <c r="G2077" s="1399"/>
      <c r="H2077" s="1399"/>
      <c r="I2077" s="1399">
        <v>-1274377</v>
      </c>
      <c r="J2077" s="1399">
        <v>-1274377</v>
      </c>
    </row>
    <row r="2078" spans="5:10" s="1297" customFormat="1">
      <c r="E2078" s="1297" t="s">
        <v>1047</v>
      </c>
      <c r="F2078" s="1399"/>
      <c r="G2078" s="1399"/>
      <c r="H2078" s="1399"/>
      <c r="I2078" s="1399">
        <v>303193</v>
      </c>
      <c r="J2078" s="1399">
        <v>303193</v>
      </c>
    </row>
    <row r="2079" spans="5:10" s="1297" customFormat="1">
      <c r="E2079" s="1297" t="s">
        <v>1048</v>
      </c>
      <c r="F2079" s="1399"/>
      <c r="G2079" s="1399"/>
      <c r="H2079" s="1399"/>
      <c r="I2079" s="1399">
        <v>-1003724</v>
      </c>
      <c r="J2079" s="1399">
        <v>-1003724</v>
      </c>
    </row>
    <row r="2080" spans="5:10" s="1297" customFormat="1">
      <c r="E2080" s="1297" t="s">
        <v>932</v>
      </c>
      <c r="F2080" s="1399"/>
      <c r="G2080" s="1399"/>
      <c r="H2080" s="1399"/>
      <c r="I2080" s="1399">
        <v>888317</v>
      </c>
      <c r="J2080" s="1399">
        <v>888317</v>
      </c>
    </row>
    <row r="2081" spans="2:12">
      <c r="B2081" s="1297"/>
      <c r="C2081" s="1297"/>
      <c r="D2081" s="1297"/>
      <c r="E2081" s="1297" t="s">
        <v>934</v>
      </c>
      <c r="I2081" s="1399">
        <v>34198</v>
      </c>
      <c r="J2081" s="1399">
        <v>34198</v>
      </c>
    </row>
    <row r="2082" spans="2:12">
      <c r="B2082" s="1297"/>
      <c r="C2082" s="1297"/>
      <c r="D2082" s="1297"/>
      <c r="E2082" s="1297" t="s">
        <v>935</v>
      </c>
      <c r="I2082" s="1399">
        <v>108154.66999999998</v>
      </c>
      <c r="J2082" s="1399">
        <v>108154.66999999998</v>
      </c>
    </row>
    <row r="2083" spans="2:12">
      <c r="B2083" s="1297"/>
      <c r="C2083" s="1297"/>
      <c r="D2083" s="1297"/>
      <c r="E2083" s="1297" t="s">
        <v>936</v>
      </c>
      <c r="I2083" s="1399">
        <v>28712.34</v>
      </c>
      <c r="J2083" s="1399">
        <v>28712.34</v>
      </c>
    </row>
    <row r="2084" spans="2:12">
      <c r="B2084" s="1297"/>
      <c r="C2084" s="1297"/>
      <c r="D2084" s="1297"/>
      <c r="E2084" s="1297" t="s">
        <v>937</v>
      </c>
      <c r="I2084" s="1399">
        <v>10095.58</v>
      </c>
      <c r="J2084" s="1399">
        <v>10095.58</v>
      </c>
    </row>
    <row r="2085" spans="2:12">
      <c r="B2085" s="1297"/>
      <c r="C2085" s="1297"/>
      <c r="D2085" s="1297"/>
      <c r="E2085" s="1297" t="s">
        <v>938</v>
      </c>
      <c r="I2085" s="1399">
        <v>9171</v>
      </c>
      <c r="J2085" s="1399">
        <v>9171</v>
      </c>
    </row>
    <row r="2086" spans="2:12">
      <c r="B2086" s="1297"/>
      <c r="C2086" s="1297"/>
      <c r="D2086" s="1297"/>
      <c r="E2086" s="1297" t="s">
        <v>939</v>
      </c>
      <c r="I2086" s="1399">
        <v>750668.3</v>
      </c>
      <c r="J2086" s="1399">
        <v>750668.3</v>
      </c>
    </row>
    <row r="2087" spans="2:12">
      <c r="B2087" s="1297"/>
      <c r="C2087" s="1297"/>
      <c r="D2087" s="1297"/>
      <c r="E2087" s="1297" t="s">
        <v>940</v>
      </c>
      <c r="F2087" s="1399">
        <v>701126.72</v>
      </c>
      <c r="J2087" s="1399">
        <v>701126.72</v>
      </c>
    </row>
    <row r="2088" spans="2:12">
      <c r="B2088" s="1297"/>
      <c r="C2088" s="1297"/>
      <c r="D2088" s="1297"/>
      <c r="E2088" s="1297" t="s">
        <v>941</v>
      </c>
      <c r="F2088" s="1399">
        <v>267825.14</v>
      </c>
      <c r="J2088" s="1399">
        <v>267825.14</v>
      </c>
    </row>
    <row r="2089" spans="2:12">
      <c r="B2089" s="1297"/>
      <c r="C2089" s="1297"/>
      <c r="D2089" s="1297"/>
      <c r="E2089" s="1297" t="s">
        <v>943</v>
      </c>
      <c r="F2089" s="1399">
        <v>2085.3200000000002</v>
      </c>
      <c r="J2089" s="1399">
        <v>2085.3200000000002</v>
      </c>
    </row>
    <row r="2090" spans="2:12">
      <c r="B2090" s="1297"/>
      <c r="C2090" s="1297"/>
      <c r="D2090" s="1297"/>
      <c r="E2090" s="1297" t="s">
        <v>944</v>
      </c>
      <c r="F2090" s="1399">
        <v>1802063.96</v>
      </c>
      <c r="J2090" s="1399">
        <v>1802063.96</v>
      </c>
    </row>
    <row r="2091" spans="2:12">
      <c r="B2091" s="1297"/>
      <c r="C2091" s="1297"/>
      <c r="D2091" s="1297"/>
      <c r="E2091" s="1297" t="s">
        <v>945</v>
      </c>
      <c r="F2091" s="1399">
        <v>969903.33</v>
      </c>
      <c r="J2091" s="1399">
        <v>969903.33</v>
      </c>
    </row>
    <row r="2092" spans="2:12">
      <c r="B2092" s="1297"/>
      <c r="C2092" s="1297"/>
      <c r="D2092" s="1297"/>
      <c r="E2092" s="1297" t="s">
        <v>947</v>
      </c>
      <c r="F2092" s="1399">
        <v>58428.02</v>
      </c>
      <c r="J2092" s="1399">
        <v>58428.02</v>
      </c>
    </row>
    <row r="2093" spans="2:12">
      <c r="B2093" s="1297"/>
      <c r="C2093" s="1297"/>
      <c r="D2093" s="1297"/>
      <c r="E2093" s="1404" t="s">
        <v>948</v>
      </c>
      <c r="F2093" s="1405"/>
      <c r="G2093" s="1405"/>
      <c r="H2093" s="1405">
        <v>23094.01</v>
      </c>
      <c r="I2093" s="1405"/>
      <c r="J2093" s="1405">
        <v>23094.01</v>
      </c>
    </row>
    <row r="2094" spans="2:12">
      <c r="B2094" s="1297"/>
      <c r="C2094" s="1297"/>
      <c r="D2094" s="1400" t="s">
        <v>1312</v>
      </c>
      <c r="E2094" s="1400"/>
      <c r="F2094" s="1401">
        <f>SUM(F2062:F2093)</f>
        <v>3903249.3800000004</v>
      </c>
      <c r="G2094" s="1401">
        <f>SUM(G2062:G2093)</f>
        <v>4199367.57</v>
      </c>
      <c r="H2094" s="1401">
        <f>SUM(H2062:H2093)-H2093</f>
        <v>1037526.03</v>
      </c>
      <c r="I2094" s="1401">
        <f>SUM(I2062:I2093)</f>
        <v>9916580.8900000006</v>
      </c>
      <c r="J2094" s="1401">
        <f>SUM(J2062:J2093)</f>
        <v>18978000.990000002</v>
      </c>
      <c r="K2094" s="1401">
        <f>SUM(F2094:I2094)</f>
        <v>19056723.870000001</v>
      </c>
      <c r="L2094" s="1408">
        <f>K2094/C2062</f>
        <v>11473.042667068032</v>
      </c>
    </row>
    <row r="2095" spans="2:12">
      <c r="B2095" s="1297" t="s">
        <v>1313</v>
      </c>
      <c r="C2095" s="1297">
        <v>3018</v>
      </c>
      <c r="D2095" s="1297" t="s">
        <v>1314</v>
      </c>
      <c r="E2095" s="1297" t="s">
        <v>906</v>
      </c>
      <c r="G2095" s="1399">
        <v>14413670.57</v>
      </c>
      <c r="J2095" s="1399">
        <v>14413670.57</v>
      </c>
    </row>
    <row r="2096" spans="2:12">
      <c r="B2096" s="1297"/>
      <c r="C2096" s="1297"/>
      <c r="D2096" s="1297"/>
      <c r="E2096" s="1297" t="s">
        <v>952</v>
      </c>
      <c r="G2096" s="1399">
        <v>356665.37</v>
      </c>
      <c r="J2096" s="1399">
        <v>356665.37</v>
      </c>
    </row>
    <row r="2097" spans="5:10" s="1297" customFormat="1">
      <c r="E2097" s="1297" t="s">
        <v>907</v>
      </c>
      <c r="F2097" s="1399"/>
      <c r="G2097" s="1399">
        <v>3430656.62</v>
      </c>
      <c r="H2097" s="1399"/>
      <c r="I2097" s="1399"/>
      <c r="J2097" s="1399">
        <v>3430656.62</v>
      </c>
    </row>
    <row r="2098" spans="5:10" s="1297" customFormat="1">
      <c r="E2098" s="1297" t="s">
        <v>908</v>
      </c>
      <c r="F2098" s="1399"/>
      <c r="G2098" s="1399">
        <v>1125525.05</v>
      </c>
      <c r="H2098" s="1399"/>
      <c r="I2098" s="1399"/>
      <c r="J2098" s="1399">
        <v>1125525.05</v>
      </c>
    </row>
    <row r="2099" spans="5:10" s="1297" customFormat="1">
      <c r="E2099" s="1297" t="s">
        <v>1034</v>
      </c>
      <c r="F2099" s="1399"/>
      <c r="G2099" s="1399"/>
      <c r="H2099" s="1399">
        <v>137722.04999999999</v>
      </c>
      <c r="I2099" s="1399"/>
      <c r="J2099" s="1399">
        <v>137722.04999999999</v>
      </c>
    </row>
    <row r="2100" spans="5:10" s="1297" customFormat="1">
      <c r="E2100" s="1297" t="s">
        <v>1035</v>
      </c>
      <c r="F2100" s="1399"/>
      <c r="G2100" s="1399"/>
      <c r="H2100" s="1399">
        <v>133306.45000000001</v>
      </c>
      <c r="I2100" s="1399"/>
      <c r="J2100" s="1399">
        <v>133306.45000000001</v>
      </c>
    </row>
    <row r="2101" spans="5:10" s="1297" customFormat="1">
      <c r="E2101" s="1297" t="s">
        <v>1036</v>
      </c>
      <c r="F2101" s="1399"/>
      <c r="G2101" s="1399"/>
      <c r="H2101" s="1399">
        <v>117444.25</v>
      </c>
      <c r="I2101" s="1399"/>
      <c r="J2101" s="1399">
        <v>117444.25</v>
      </c>
    </row>
    <row r="2102" spans="5:10" s="1297" customFormat="1">
      <c r="E2102" s="1297" t="s">
        <v>1039</v>
      </c>
      <c r="F2102" s="1399"/>
      <c r="G2102" s="1399"/>
      <c r="H2102" s="1399">
        <v>225263.34</v>
      </c>
      <c r="I2102" s="1399"/>
      <c r="J2102" s="1399">
        <v>225263.34</v>
      </c>
    </row>
    <row r="2103" spans="5:10" s="1297" customFormat="1">
      <c r="E2103" s="1297" t="s">
        <v>1040</v>
      </c>
      <c r="F2103" s="1399"/>
      <c r="G2103" s="1399"/>
      <c r="H2103" s="1399">
        <v>252490.13</v>
      </c>
      <c r="I2103" s="1399"/>
      <c r="J2103" s="1399">
        <v>252490.13</v>
      </c>
    </row>
    <row r="2104" spans="5:10" s="1297" customFormat="1">
      <c r="E2104" s="1297" t="s">
        <v>1041</v>
      </c>
      <c r="F2104" s="1399"/>
      <c r="G2104" s="1399"/>
      <c r="H2104" s="1399">
        <v>51662.67</v>
      </c>
      <c r="I2104" s="1399"/>
      <c r="J2104" s="1399">
        <v>51662.67</v>
      </c>
    </row>
    <row r="2105" spans="5:10" s="1297" customFormat="1">
      <c r="E2105" s="1297" t="s">
        <v>1042</v>
      </c>
      <c r="F2105" s="1399"/>
      <c r="G2105" s="1399"/>
      <c r="H2105" s="1399">
        <v>49988.99</v>
      </c>
      <c r="I2105" s="1399"/>
      <c r="J2105" s="1399">
        <v>49988.99</v>
      </c>
    </row>
    <row r="2106" spans="5:10" s="1297" customFormat="1">
      <c r="E2106" s="1297" t="s">
        <v>953</v>
      </c>
      <c r="F2106" s="1399"/>
      <c r="G2106" s="1399"/>
      <c r="H2106" s="1399">
        <v>21620.82</v>
      </c>
      <c r="I2106" s="1399"/>
      <c r="J2106" s="1399">
        <v>21620.82</v>
      </c>
    </row>
    <row r="2107" spans="5:10" s="1297" customFormat="1">
      <c r="E2107" s="1297" t="s">
        <v>954</v>
      </c>
      <c r="F2107" s="1399"/>
      <c r="G2107" s="1399"/>
      <c r="H2107" s="1399">
        <v>63628.89</v>
      </c>
      <c r="I2107" s="1399"/>
      <c r="J2107" s="1399">
        <v>63628.89</v>
      </c>
    </row>
    <row r="2108" spans="5:10" s="1297" customFormat="1">
      <c r="E2108" s="1297" t="s">
        <v>985</v>
      </c>
      <c r="F2108" s="1399"/>
      <c r="G2108" s="1399"/>
      <c r="H2108" s="1399">
        <v>11926</v>
      </c>
      <c r="I2108" s="1399"/>
      <c r="J2108" s="1399">
        <v>11926</v>
      </c>
    </row>
    <row r="2109" spans="5:10" s="1297" customFormat="1">
      <c r="E2109" s="1297" t="s">
        <v>986</v>
      </c>
      <c r="F2109" s="1399"/>
      <c r="G2109" s="1399"/>
      <c r="H2109" s="1399">
        <v>168986.65000000002</v>
      </c>
      <c r="I2109" s="1399"/>
      <c r="J2109" s="1399">
        <v>168986.65000000002</v>
      </c>
    </row>
    <row r="2110" spans="5:10" s="1297" customFormat="1">
      <c r="E2110" s="1297" t="s">
        <v>1045</v>
      </c>
      <c r="F2110" s="1399"/>
      <c r="G2110" s="1399"/>
      <c r="H2110" s="1399">
        <v>215810.65000000002</v>
      </c>
      <c r="I2110" s="1399"/>
      <c r="J2110" s="1399">
        <v>215810.65000000002</v>
      </c>
    </row>
    <row r="2111" spans="5:10" s="1297" customFormat="1">
      <c r="E2111" s="1297" t="s">
        <v>1046</v>
      </c>
      <c r="F2111" s="1399"/>
      <c r="G2111" s="1399"/>
      <c r="H2111" s="1399"/>
      <c r="I2111" s="1399">
        <v>18574588</v>
      </c>
      <c r="J2111" s="1399">
        <v>18574588</v>
      </c>
    </row>
    <row r="2112" spans="5:10" s="1297" customFormat="1">
      <c r="E2112" s="1297" t="s">
        <v>1129</v>
      </c>
      <c r="F2112" s="1399"/>
      <c r="G2112" s="1399"/>
      <c r="H2112" s="1399"/>
      <c r="I2112" s="1399">
        <v>-2070055</v>
      </c>
      <c r="J2112" s="1399">
        <v>-2070055</v>
      </c>
    </row>
    <row r="2113" spans="2:12">
      <c r="B2113" s="1297"/>
      <c r="C2113" s="1297"/>
      <c r="D2113" s="1297"/>
      <c r="E2113" s="1297" t="s">
        <v>1047</v>
      </c>
      <c r="I2113" s="1399">
        <v>561591</v>
      </c>
      <c r="J2113" s="1399">
        <v>561591</v>
      </c>
    </row>
    <row r="2114" spans="2:12">
      <c r="B2114" s="1297"/>
      <c r="C2114" s="1297"/>
      <c r="D2114" s="1297"/>
      <c r="E2114" s="1297" t="s">
        <v>1048</v>
      </c>
      <c r="I2114" s="1399">
        <v>-4789754</v>
      </c>
      <c r="J2114" s="1399">
        <v>-4789754</v>
      </c>
    </row>
    <row r="2115" spans="2:12">
      <c r="B2115" s="1297"/>
      <c r="C2115" s="1297"/>
      <c r="D2115" s="1297"/>
      <c r="E2115" s="1297" t="s">
        <v>934</v>
      </c>
      <c r="I2115" s="1399">
        <v>47258</v>
      </c>
      <c r="J2115" s="1399">
        <v>47258</v>
      </c>
    </row>
    <row r="2116" spans="2:12">
      <c r="B2116" s="1297"/>
      <c r="C2116" s="1297"/>
      <c r="D2116" s="1297"/>
      <c r="E2116" s="1297" t="s">
        <v>935</v>
      </c>
      <c r="I2116" s="1399">
        <v>400613.9</v>
      </c>
      <c r="J2116" s="1399">
        <v>400613.9</v>
      </c>
    </row>
    <row r="2117" spans="2:12">
      <c r="B2117" s="1297"/>
      <c r="C2117" s="1297"/>
      <c r="D2117" s="1297"/>
      <c r="E2117" s="1297" t="s">
        <v>936</v>
      </c>
      <c r="I2117" s="1399">
        <v>72831.31</v>
      </c>
      <c r="J2117" s="1399">
        <v>72831.31</v>
      </c>
    </row>
    <row r="2118" spans="2:12">
      <c r="B2118" s="1297"/>
      <c r="C2118" s="1297"/>
      <c r="D2118" s="1297"/>
      <c r="E2118" s="1297" t="s">
        <v>937</v>
      </c>
      <c r="I2118" s="1399">
        <v>35788.160000000003</v>
      </c>
      <c r="J2118" s="1399">
        <v>35788.160000000003</v>
      </c>
    </row>
    <row r="2119" spans="2:12">
      <c r="B2119" s="1297"/>
      <c r="C2119" s="1297"/>
      <c r="D2119" s="1297"/>
      <c r="E2119" s="1297" t="s">
        <v>938</v>
      </c>
      <c r="I2119" s="1399">
        <v>17967</v>
      </c>
      <c r="J2119" s="1399">
        <v>17967</v>
      </c>
    </row>
    <row r="2120" spans="2:12">
      <c r="B2120" s="1297"/>
      <c r="C2120" s="1297"/>
      <c r="D2120" s="1297"/>
      <c r="E2120" s="1297" t="s">
        <v>940</v>
      </c>
      <c r="F2120" s="1399">
        <v>769878.86</v>
      </c>
      <c r="J2120" s="1399">
        <v>769878.86</v>
      </c>
    </row>
    <row r="2121" spans="2:12">
      <c r="B2121" s="1297"/>
      <c r="C2121" s="1297"/>
      <c r="D2121" s="1297"/>
      <c r="E2121" s="1297" t="s">
        <v>941</v>
      </c>
      <c r="F2121" s="1399">
        <v>358299.32</v>
      </c>
      <c r="J2121" s="1399">
        <v>358299.32</v>
      </c>
    </row>
    <row r="2122" spans="2:12">
      <c r="B2122" s="1297"/>
      <c r="C2122" s="1297"/>
      <c r="D2122" s="1297"/>
      <c r="E2122" s="1297" t="s">
        <v>944</v>
      </c>
      <c r="F2122" s="1399">
        <v>2002827.7999999998</v>
      </c>
      <c r="J2122" s="1399">
        <v>2002827.7999999998</v>
      </c>
    </row>
    <row r="2123" spans="2:12">
      <c r="B2123" s="1297"/>
      <c r="C2123" s="1297"/>
      <c r="D2123" s="1297"/>
      <c r="E2123" s="1297" t="s">
        <v>945</v>
      </c>
      <c r="F2123" s="1399">
        <v>1269438.1000000001</v>
      </c>
      <c r="J2123" s="1399">
        <v>1269438.1000000001</v>
      </c>
    </row>
    <row r="2124" spans="2:12">
      <c r="B2124" s="1297"/>
      <c r="C2124" s="1297"/>
      <c r="D2124" s="1297"/>
      <c r="E2124" s="1297" t="s">
        <v>1214</v>
      </c>
      <c r="F2124" s="1399">
        <v>0</v>
      </c>
      <c r="J2124" s="1399">
        <v>0</v>
      </c>
    </row>
    <row r="2125" spans="2:12">
      <c r="B2125" s="1297"/>
      <c r="C2125" s="1297"/>
      <c r="D2125" s="1297"/>
      <c r="E2125" s="1297" t="s">
        <v>947</v>
      </c>
      <c r="F2125" s="1399">
        <v>86131.64</v>
      </c>
      <c r="J2125" s="1399">
        <v>86131.64</v>
      </c>
    </row>
    <row r="2126" spans="2:12">
      <c r="B2126" s="1297"/>
      <c r="C2126" s="1297"/>
      <c r="D2126" s="1297"/>
      <c r="E2126" s="1404" t="s">
        <v>948</v>
      </c>
      <c r="F2126" s="1405"/>
      <c r="G2126" s="1405"/>
      <c r="H2126" s="1405">
        <v>5171646.76</v>
      </c>
      <c r="I2126" s="1405"/>
      <c r="J2126" s="1405">
        <v>5171646.76</v>
      </c>
    </row>
    <row r="2127" spans="2:12">
      <c r="B2127" s="1297"/>
      <c r="C2127" s="1297"/>
      <c r="D2127" s="1400" t="s">
        <v>1315</v>
      </c>
      <c r="E2127" s="1400"/>
      <c r="F2127" s="1401">
        <f>SUM(F2095:F2126)</f>
        <v>4486575.72</v>
      </c>
      <c r="G2127" s="1401">
        <f>SUM(G2095:G2126)</f>
        <v>19326517.609999999</v>
      </c>
      <c r="H2127" s="1401">
        <f>SUM(H2095:H2126)-H2126</f>
        <v>1449850.8899999997</v>
      </c>
      <c r="I2127" s="1401">
        <f>SUM(I2095:I2126)</f>
        <v>12850828.370000001</v>
      </c>
      <c r="J2127" s="1401">
        <f>SUM(J2095:J2126)</f>
        <v>43285419.349999994</v>
      </c>
      <c r="K2127" s="1401">
        <f>SUM(F2127:I2127)</f>
        <v>38113772.590000004</v>
      </c>
      <c r="L2127" s="1408">
        <f>K2127/C2095</f>
        <v>12628.817955599736</v>
      </c>
    </row>
    <row r="2128" spans="2:12">
      <c r="B2128" s="1297" t="s">
        <v>1316</v>
      </c>
      <c r="C2128" s="1297">
        <v>20903</v>
      </c>
      <c r="D2128" s="1297" t="s">
        <v>1317</v>
      </c>
      <c r="E2128" s="1297" t="s">
        <v>906</v>
      </c>
      <c r="G2128" s="1399">
        <v>102059055.41</v>
      </c>
      <c r="J2128" s="1399">
        <v>102059055.41</v>
      </c>
    </row>
    <row r="2129" spans="5:10" s="1297" customFormat="1">
      <c r="E2129" s="1297" t="s">
        <v>907</v>
      </c>
      <c r="F2129" s="1399"/>
      <c r="G2129" s="1399">
        <v>18620275.280000001</v>
      </c>
      <c r="H2129" s="1399"/>
      <c r="I2129" s="1399"/>
      <c r="J2129" s="1399">
        <v>18620275.280000001</v>
      </c>
    </row>
    <row r="2130" spans="5:10" s="1297" customFormat="1">
      <c r="E2130" s="1297" t="s">
        <v>1039</v>
      </c>
      <c r="F2130" s="1399"/>
      <c r="G2130" s="1399"/>
      <c r="H2130" s="1399">
        <v>108536.70999999999</v>
      </c>
      <c r="I2130" s="1399"/>
      <c r="J2130" s="1399">
        <v>108536.70999999999</v>
      </c>
    </row>
    <row r="2131" spans="5:10" s="1297" customFormat="1">
      <c r="E2131" s="1297" t="s">
        <v>1040</v>
      </c>
      <c r="F2131" s="1399"/>
      <c r="G2131" s="1399"/>
      <c r="H2131" s="1399">
        <v>3070322.27</v>
      </c>
      <c r="I2131" s="1399"/>
      <c r="J2131" s="1399">
        <v>3070322.27</v>
      </c>
    </row>
    <row r="2132" spans="5:10" s="1297" customFormat="1">
      <c r="E2132" s="1297" t="s">
        <v>1127</v>
      </c>
      <c r="F2132" s="1399"/>
      <c r="G2132" s="1399"/>
      <c r="H2132" s="1399">
        <v>171.35</v>
      </c>
      <c r="I2132" s="1399"/>
      <c r="J2132" s="1399">
        <v>171.35</v>
      </c>
    </row>
    <row r="2133" spans="5:10" s="1297" customFormat="1">
      <c r="E2133" s="1297" t="s">
        <v>1041</v>
      </c>
      <c r="F2133" s="1399"/>
      <c r="G2133" s="1399"/>
      <c r="H2133" s="1399">
        <v>630105.88</v>
      </c>
      <c r="I2133" s="1399"/>
      <c r="J2133" s="1399">
        <v>630105.88</v>
      </c>
    </row>
    <row r="2134" spans="5:10" s="1297" customFormat="1">
      <c r="E2134" s="1297" t="s">
        <v>1042</v>
      </c>
      <c r="F2134" s="1399"/>
      <c r="G2134" s="1399"/>
      <c r="H2134" s="1399">
        <v>221677.51</v>
      </c>
      <c r="I2134" s="1399"/>
      <c r="J2134" s="1399">
        <v>221677.51</v>
      </c>
    </row>
    <row r="2135" spans="5:10" s="1297" customFormat="1">
      <c r="E2135" s="1297" t="s">
        <v>1045</v>
      </c>
      <c r="F2135" s="1399"/>
      <c r="G2135" s="1399"/>
      <c r="H2135" s="1399">
        <v>11214468.359999999</v>
      </c>
      <c r="I2135" s="1399"/>
      <c r="J2135" s="1399">
        <v>11214468.359999999</v>
      </c>
    </row>
    <row r="2136" spans="5:10" s="1297" customFormat="1">
      <c r="E2136" s="1297" t="s">
        <v>1046</v>
      </c>
      <c r="F2136" s="1399"/>
      <c r="G2136" s="1399"/>
      <c r="H2136" s="1399"/>
      <c r="I2136" s="1399">
        <v>120920996</v>
      </c>
      <c r="J2136" s="1399">
        <v>120920996</v>
      </c>
    </row>
    <row r="2137" spans="5:10" s="1297" customFormat="1">
      <c r="E2137" s="1297" t="s">
        <v>1129</v>
      </c>
      <c r="F2137" s="1399"/>
      <c r="G2137" s="1399"/>
      <c r="H2137" s="1399"/>
      <c r="I2137" s="1399">
        <v>-14432172</v>
      </c>
      <c r="J2137" s="1399">
        <v>-14432172</v>
      </c>
    </row>
    <row r="2138" spans="5:10" s="1297" customFormat="1">
      <c r="E2138" s="1297" t="s">
        <v>1047</v>
      </c>
      <c r="F2138" s="1399"/>
      <c r="G2138" s="1399"/>
      <c r="H2138" s="1399"/>
      <c r="I2138" s="1399">
        <v>1728212</v>
      </c>
      <c r="J2138" s="1399">
        <v>1728212</v>
      </c>
    </row>
    <row r="2139" spans="5:10" s="1297" customFormat="1">
      <c r="E2139" s="1297" t="s">
        <v>1048</v>
      </c>
      <c r="F2139" s="1399"/>
      <c r="G2139" s="1399"/>
      <c r="H2139" s="1399"/>
      <c r="I2139" s="1399">
        <v>-24913965</v>
      </c>
      <c r="J2139" s="1399">
        <v>-24913965</v>
      </c>
    </row>
    <row r="2140" spans="5:10" s="1297" customFormat="1">
      <c r="E2140" s="1297" t="s">
        <v>933</v>
      </c>
      <c r="F2140" s="1399"/>
      <c r="G2140" s="1399"/>
      <c r="H2140" s="1399"/>
      <c r="I2140" s="1399">
        <v>790036.84</v>
      </c>
      <c r="J2140" s="1399">
        <v>790036.84</v>
      </c>
    </row>
    <row r="2141" spans="5:10" s="1297" customFormat="1">
      <c r="E2141" s="1297" t="s">
        <v>934</v>
      </c>
      <c r="F2141" s="1399"/>
      <c r="G2141" s="1399"/>
      <c r="H2141" s="1399"/>
      <c r="I2141" s="1399">
        <v>206462</v>
      </c>
      <c r="J2141" s="1399">
        <v>206462</v>
      </c>
    </row>
    <row r="2142" spans="5:10" s="1297" customFormat="1">
      <c r="E2142" s="1297" t="s">
        <v>935</v>
      </c>
      <c r="F2142" s="1399"/>
      <c r="G2142" s="1399"/>
      <c r="H2142" s="1399"/>
      <c r="I2142" s="1399">
        <v>953058.46</v>
      </c>
      <c r="J2142" s="1399">
        <v>953058.46</v>
      </c>
    </row>
    <row r="2143" spans="5:10" s="1297" customFormat="1">
      <c r="E2143" s="1297" t="s">
        <v>936</v>
      </c>
      <c r="F2143" s="1399"/>
      <c r="G2143" s="1399"/>
      <c r="H2143" s="1399"/>
      <c r="I2143" s="1399">
        <v>335444.21000000002</v>
      </c>
      <c r="J2143" s="1399">
        <v>335444.21000000002</v>
      </c>
    </row>
    <row r="2144" spans="5:10" s="1297" customFormat="1">
      <c r="E2144" s="1297" t="s">
        <v>937</v>
      </c>
      <c r="F2144" s="1399"/>
      <c r="G2144" s="1399"/>
      <c r="H2144" s="1399"/>
      <c r="I2144" s="1399">
        <v>169171</v>
      </c>
      <c r="J2144" s="1399">
        <v>169171</v>
      </c>
    </row>
    <row r="2145" spans="2:12">
      <c r="B2145" s="1297"/>
      <c r="C2145" s="1297"/>
      <c r="D2145" s="1297"/>
      <c r="E2145" s="1297" t="s">
        <v>938</v>
      </c>
      <c r="I2145" s="1399">
        <v>81227</v>
      </c>
      <c r="J2145" s="1399">
        <v>81227</v>
      </c>
    </row>
    <row r="2146" spans="2:12">
      <c r="B2146" s="1297"/>
      <c r="C2146" s="1297"/>
      <c r="D2146" s="1297"/>
      <c r="E2146" s="1297" t="s">
        <v>939</v>
      </c>
      <c r="I2146" s="1399">
        <v>797869.57</v>
      </c>
      <c r="J2146" s="1399">
        <v>797869.57</v>
      </c>
    </row>
    <row r="2147" spans="2:12">
      <c r="B2147" s="1297"/>
      <c r="C2147" s="1297"/>
      <c r="D2147" s="1297"/>
      <c r="E2147" s="1297" t="s">
        <v>940</v>
      </c>
      <c r="F2147" s="1399">
        <v>1971402.88</v>
      </c>
      <c r="J2147" s="1399">
        <v>1971402.88</v>
      </c>
    </row>
    <row r="2148" spans="2:12">
      <c r="B2148" s="1297"/>
      <c r="C2148" s="1297"/>
      <c r="D2148" s="1297"/>
      <c r="E2148" s="1297" t="s">
        <v>941</v>
      </c>
      <c r="F2148" s="1399">
        <v>218184.28</v>
      </c>
      <c r="J2148" s="1399">
        <v>218184.28</v>
      </c>
    </row>
    <row r="2149" spans="2:12">
      <c r="B2149" s="1297"/>
      <c r="C2149" s="1297"/>
      <c r="D2149" s="1297"/>
      <c r="E2149" s="1297" t="s">
        <v>943</v>
      </c>
      <c r="F2149" s="1399">
        <v>28033.73</v>
      </c>
      <c r="J2149" s="1399">
        <v>28033.73</v>
      </c>
    </row>
    <row r="2150" spans="2:12">
      <c r="B2150" s="1297"/>
      <c r="C2150" s="1297"/>
      <c r="D2150" s="1297"/>
      <c r="E2150" s="1297" t="s">
        <v>944</v>
      </c>
      <c r="F2150" s="1399">
        <v>5439025.330000001</v>
      </c>
      <c r="J2150" s="1399">
        <v>5439025.330000001</v>
      </c>
    </row>
    <row r="2151" spans="2:12">
      <c r="B2151" s="1297"/>
      <c r="C2151" s="1297"/>
      <c r="D2151" s="1297"/>
      <c r="E2151" s="1297" t="s">
        <v>945</v>
      </c>
      <c r="F2151" s="1399">
        <v>6039085.1200000001</v>
      </c>
      <c r="J2151" s="1399">
        <v>6039085.1200000001</v>
      </c>
    </row>
    <row r="2152" spans="2:12">
      <c r="B2152" s="1297"/>
      <c r="C2152" s="1297"/>
      <c r="D2152" s="1297"/>
      <c r="E2152" s="1297" t="s">
        <v>946</v>
      </c>
      <c r="F2152" s="1399">
        <v>858477.74</v>
      </c>
      <c r="J2152" s="1399">
        <v>858477.74</v>
      </c>
    </row>
    <row r="2153" spans="2:12">
      <c r="B2153" s="1297"/>
      <c r="C2153" s="1297"/>
      <c r="D2153" s="1297"/>
      <c r="E2153" s="1297" t="s">
        <v>947</v>
      </c>
      <c r="F2153" s="1399">
        <v>418757.1</v>
      </c>
      <c r="J2153" s="1399">
        <v>418757.1</v>
      </c>
    </row>
    <row r="2154" spans="2:12">
      <c r="B2154" s="1297"/>
      <c r="C2154" s="1297"/>
      <c r="D2154" s="1297"/>
      <c r="E2154" s="1404" t="s">
        <v>948</v>
      </c>
      <c r="F2154" s="1405"/>
      <c r="G2154" s="1405"/>
      <c r="H2154" s="1405">
        <v>10940930.309999999</v>
      </c>
      <c r="I2154" s="1405"/>
      <c r="J2154" s="1405">
        <v>10940930.309999999</v>
      </c>
    </row>
    <row r="2155" spans="2:12">
      <c r="B2155" s="1297"/>
      <c r="C2155" s="1297"/>
      <c r="D2155" s="1400" t="s">
        <v>1318</v>
      </c>
      <c r="E2155" s="1400"/>
      <c r="F2155" s="1401">
        <f>SUM(F2128:F2154)</f>
        <v>14972966.18</v>
      </c>
      <c r="G2155" s="1401">
        <f>SUM(G2128:G2154)</f>
        <v>120679330.69</v>
      </c>
      <c r="H2155" s="1401">
        <f>SUM(H2128:H2154)-H2154</f>
        <v>15245282.079999998</v>
      </c>
      <c r="I2155" s="1401">
        <f>SUM(I2128:I2154)</f>
        <v>86636340.079999983</v>
      </c>
      <c r="J2155" s="1401">
        <f>SUM(J2128:J2154)</f>
        <v>248474849.34</v>
      </c>
      <c r="K2155" s="1401">
        <f>SUM(F2155:I2155)</f>
        <v>237533919.02999997</v>
      </c>
      <c r="L2155" s="1408">
        <f>K2155/C2128</f>
        <v>11363.628140936706</v>
      </c>
    </row>
    <row r="2156" spans="2:12">
      <c r="B2156" s="1297" t="s">
        <v>1319</v>
      </c>
      <c r="C2156" s="1297">
        <v>9981</v>
      </c>
      <c r="D2156" s="1297" t="s">
        <v>1320</v>
      </c>
      <c r="E2156" s="1297" t="s">
        <v>906</v>
      </c>
      <c r="G2156" s="1399">
        <v>31556951.27</v>
      </c>
      <c r="J2156" s="1399">
        <v>31556951.27</v>
      </c>
    </row>
    <row r="2157" spans="2:12">
      <c r="B2157" s="1297"/>
      <c r="C2157" s="1297"/>
      <c r="D2157" s="1297"/>
      <c r="E2157" s="1297" t="s">
        <v>952</v>
      </c>
      <c r="G2157" s="1399">
        <v>363285.72</v>
      </c>
      <c r="J2157" s="1399">
        <v>363285.72</v>
      </c>
    </row>
    <row r="2158" spans="2:12">
      <c r="B2158" s="1297"/>
      <c r="C2158" s="1297"/>
      <c r="D2158" s="1297"/>
      <c r="E2158" s="1297" t="s">
        <v>907</v>
      </c>
      <c r="G2158" s="1399">
        <v>9554879.9699999988</v>
      </c>
      <c r="J2158" s="1399">
        <v>9554879.9699999988</v>
      </c>
    </row>
    <row r="2159" spans="2:12">
      <c r="B2159" s="1297"/>
      <c r="C2159" s="1297"/>
      <c r="D2159" s="1297"/>
      <c r="E2159" s="1297" t="s">
        <v>908</v>
      </c>
      <c r="G2159" s="1399">
        <v>40904.29</v>
      </c>
      <c r="J2159" s="1399">
        <v>40904.29</v>
      </c>
    </row>
    <row r="2160" spans="2:12">
      <c r="B2160" s="1297"/>
      <c r="C2160" s="1297"/>
      <c r="D2160" s="1297"/>
      <c r="E2160" s="1297" t="s">
        <v>909</v>
      </c>
      <c r="H2160" s="1399">
        <v>156870.99</v>
      </c>
      <c r="J2160" s="1399">
        <v>156870.99</v>
      </c>
    </row>
    <row r="2161" spans="5:10" s="1297" customFormat="1">
      <c r="E2161" s="1297" t="s">
        <v>910</v>
      </c>
      <c r="F2161" s="1399"/>
      <c r="G2161" s="1399"/>
      <c r="H2161" s="1399">
        <v>515959.05999999988</v>
      </c>
      <c r="I2161" s="1399"/>
      <c r="J2161" s="1399">
        <v>515959.05999999988</v>
      </c>
    </row>
    <row r="2162" spans="5:10" s="1297" customFormat="1">
      <c r="E2162" s="1297" t="s">
        <v>1034</v>
      </c>
      <c r="F2162" s="1399"/>
      <c r="G2162" s="1399"/>
      <c r="H2162" s="1399">
        <v>499574.70999999996</v>
      </c>
      <c r="I2162" s="1399"/>
      <c r="J2162" s="1399">
        <v>499574.70999999996</v>
      </c>
    </row>
    <row r="2163" spans="5:10" s="1297" customFormat="1">
      <c r="E2163" s="1297" t="s">
        <v>1035</v>
      </c>
      <c r="F2163" s="1399"/>
      <c r="G2163" s="1399"/>
      <c r="H2163" s="1399">
        <v>1483520.1699999997</v>
      </c>
      <c r="I2163" s="1399"/>
      <c r="J2163" s="1399">
        <v>1483520.1699999997</v>
      </c>
    </row>
    <row r="2164" spans="5:10" s="1297" customFormat="1">
      <c r="E2164" s="1297" t="s">
        <v>1036</v>
      </c>
      <c r="F2164" s="1399"/>
      <c r="G2164" s="1399"/>
      <c r="H2164" s="1399">
        <v>372051.87</v>
      </c>
      <c r="I2164" s="1399"/>
      <c r="J2164" s="1399">
        <v>372051.87</v>
      </c>
    </row>
    <row r="2165" spans="5:10" s="1297" customFormat="1">
      <c r="E2165" s="1297" t="s">
        <v>1037</v>
      </c>
      <c r="F2165" s="1399"/>
      <c r="G2165" s="1399"/>
      <c r="H2165" s="1399">
        <v>222991.55000000002</v>
      </c>
      <c r="I2165" s="1399"/>
      <c r="J2165" s="1399">
        <v>222991.55000000002</v>
      </c>
    </row>
    <row r="2166" spans="5:10" s="1297" customFormat="1">
      <c r="E2166" s="1297" t="s">
        <v>1038</v>
      </c>
      <c r="F2166" s="1399"/>
      <c r="G2166" s="1399"/>
      <c r="H2166" s="1399">
        <v>86534.66</v>
      </c>
      <c r="I2166" s="1399"/>
      <c r="J2166" s="1399">
        <v>86534.66</v>
      </c>
    </row>
    <row r="2167" spans="5:10" s="1297" customFormat="1">
      <c r="E2167" s="1297" t="s">
        <v>1003</v>
      </c>
      <c r="F2167" s="1399"/>
      <c r="G2167" s="1399"/>
      <c r="H2167" s="1399">
        <v>33369.01</v>
      </c>
      <c r="I2167" s="1399"/>
      <c r="J2167" s="1399">
        <v>33369.01</v>
      </c>
    </row>
    <row r="2168" spans="5:10" s="1297" customFormat="1">
      <c r="E2168" s="1297" t="s">
        <v>1039</v>
      </c>
      <c r="F2168" s="1399"/>
      <c r="G2168" s="1399"/>
      <c r="H2168" s="1399">
        <v>106393.53000000003</v>
      </c>
      <c r="I2168" s="1399"/>
      <c r="J2168" s="1399">
        <v>106393.53000000003</v>
      </c>
    </row>
    <row r="2169" spans="5:10" s="1297" customFormat="1">
      <c r="E2169" s="1297" t="s">
        <v>1040</v>
      </c>
      <c r="F2169" s="1399"/>
      <c r="G2169" s="1399"/>
      <c r="H2169" s="1399">
        <v>965727.77</v>
      </c>
      <c r="I2169" s="1399"/>
      <c r="J2169" s="1399">
        <v>965727.77</v>
      </c>
    </row>
    <row r="2170" spans="5:10" s="1297" customFormat="1">
      <c r="E2170" s="1297" t="s">
        <v>1041</v>
      </c>
      <c r="F2170" s="1399"/>
      <c r="G2170" s="1399"/>
      <c r="H2170" s="1399">
        <v>443899.65</v>
      </c>
      <c r="I2170" s="1399"/>
      <c r="J2170" s="1399">
        <v>443899.65</v>
      </c>
    </row>
    <row r="2171" spans="5:10" s="1297" customFormat="1">
      <c r="E2171" s="1297" t="s">
        <v>1042</v>
      </c>
      <c r="F2171" s="1399"/>
      <c r="G2171" s="1399"/>
      <c r="H2171" s="1399">
        <v>152522.54999999996</v>
      </c>
      <c r="I2171" s="1399"/>
      <c r="J2171" s="1399">
        <v>152522.54999999996</v>
      </c>
    </row>
    <row r="2172" spans="5:10" s="1297" customFormat="1">
      <c r="E2172" s="1297" t="s">
        <v>986</v>
      </c>
      <c r="F2172" s="1399"/>
      <c r="G2172" s="1399"/>
      <c r="H2172" s="1399">
        <v>21399.37</v>
      </c>
      <c r="I2172" s="1399"/>
      <c r="J2172" s="1399">
        <v>21399.37</v>
      </c>
    </row>
    <row r="2173" spans="5:10" s="1297" customFormat="1">
      <c r="E2173" s="1297" t="s">
        <v>996</v>
      </c>
      <c r="F2173" s="1399"/>
      <c r="G2173" s="1399"/>
      <c r="H2173" s="1399">
        <v>120805.8</v>
      </c>
      <c r="I2173" s="1399"/>
      <c r="J2173" s="1399">
        <v>120805.8</v>
      </c>
    </row>
    <row r="2174" spans="5:10" s="1297" customFormat="1">
      <c r="E2174" s="1297" t="s">
        <v>1044</v>
      </c>
      <c r="F2174" s="1399">
        <v>104366.29</v>
      </c>
      <c r="G2174" s="1399"/>
      <c r="H2174" s="1399"/>
      <c r="I2174" s="1399"/>
      <c r="J2174" s="1399">
        <v>104366.29</v>
      </c>
    </row>
    <row r="2175" spans="5:10" s="1297" customFormat="1">
      <c r="E2175" s="1297" t="s">
        <v>1045</v>
      </c>
      <c r="F2175" s="1399"/>
      <c r="G2175" s="1399"/>
      <c r="H2175" s="1399">
        <v>1030689.0900000001</v>
      </c>
      <c r="I2175" s="1399"/>
      <c r="J2175" s="1399">
        <v>1030689.0900000001</v>
      </c>
    </row>
    <row r="2176" spans="5:10" s="1297" customFormat="1">
      <c r="E2176" s="1297" t="s">
        <v>1046</v>
      </c>
      <c r="F2176" s="1399"/>
      <c r="G2176" s="1399"/>
      <c r="H2176" s="1399"/>
      <c r="I2176" s="1399">
        <v>63084283</v>
      </c>
      <c r="J2176" s="1399">
        <v>63084283</v>
      </c>
    </row>
    <row r="2177" spans="5:10" s="1297" customFormat="1">
      <c r="E2177" s="1297" t="s">
        <v>1128</v>
      </c>
      <c r="F2177" s="1399"/>
      <c r="G2177" s="1399"/>
      <c r="H2177" s="1399"/>
      <c r="I2177" s="1399">
        <v>4423047</v>
      </c>
      <c r="J2177" s="1399">
        <v>4423047</v>
      </c>
    </row>
    <row r="2178" spans="5:10" s="1297" customFormat="1">
      <c r="E2178" s="1297" t="s">
        <v>1129</v>
      </c>
      <c r="F2178" s="1399"/>
      <c r="G2178" s="1399"/>
      <c r="H2178" s="1399"/>
      <c r="I2178" s="1399">
        <v>-8522354</v>
      </c>
      <c r="J2178" s="1399">
        <v>-8522354</v>
      </c>
    </row>
    <row r="2179" spans="5:10" s="1297" customFormat="1">
      <c r="E2179" s="1297" t="s">
        <v>1047</v>
      </c>
      <c r="F2179" s="1399"/>
      <c r="G2179" s="1399"/>
      <c r="H2179" s="1399"/>
      <c r="I2179" s="1399">
        <v>1445244</v>
      </c>
      <c r="J2179" s="1399">
        <v>1445244</v>
      </c>
    </row>
    <row r="2180" spans="5:10" s="1297" customFormat="1">
      <c r="E2180" s="1297" t="s">
        <v>1048</v>
      </c>
      <c r="F2180" s="1399"/>
      <c r="G2180" s="1399"/>
      <c r="H2180" s="1399"/>
      <c r="I2180" s="1399">
        <v>-7762129</v>
      </c>
      <c r="J2180" s="1399">
        <v>-7762129</v>
      </c>
    </row>
    <row r="2181" spans="5:10" s="1297" customFormat="1">
      <c r="E2181" s="1297" t="s">
        <v>932</v>
      </c>
      <c r="F2181" s="1399"/>
      <c r="G2181" s="1399"/>
      <c r="H2181" s="1399"/>
      <c r="I2181" s="1399">
        <v>6607324</v>
      </c>
      <c r="J2181" s="1399">
        <v>6607324</v>
      </c>
    </row>
    <row r="2182" spans="5:10" s="1297" customFormat="1">
      <c r="E2182" s="1404" t="s">
        <v>955</v>
      </c>
      <c r="F2182" s="1405"/>
      <c r="G2182" s="1405"/>
      <c r="H2182" s="1405"/>
      <c r="I2182" s="1405">
        <v>1802635.58</v>
      </c>
      <c r="J2182" s="1405">
        <v>1802635.58</v>
      </c>
    </row>
    <row r="2183" spans="5:10" s="1297" customFormat="1">
      <c r="E2183" s="1297" t="s">
        <v>934</v>
      </c>
      <c r="F2183" s="1399"/>
      <c r="G2183" s="1399"/>
      <c r="H2183" s="1399"/>
      <c r="I2183" s="1399">
        <v>167020</v>
      </c>
      <c r="J2183" s="1399">
        <v>167020</v>
      </c>
    </row>
    <row r="2184" spans="5:10" s="1297" customFormat="1">
      <c r="E2184" s="1297" t="s">
        <v>1130</v>
      </c>
      <c r="F2184" s="1399"/>
      <c r="G2184" s="1399"/>
      <c r="H2184" s="1399"/>
      <c r="I2184" s="1399">
        <v>805546</v>
      </c>
      <c r="J2184" s="1399">
        <v>805546</v>
      </c>
    </row>
    <row r="2185" spans="5:10" s="1297" customFormat="1">
      <c r="E2185" s="1297" t="s">
        <v>935</v>
      </c>
      <c r="F2185" s="1399"/>
      <c r="G2185" s="1399"/>
      <c r="H2185" s="1399"/>
      <c r="I2185" s="1399">
        <v>1159050.83</v>
      </c>
      <c r="J2185" s="1399">
        <v>1159050.83</v>
      </c>
    </row>
    <row r="2186" spans="5:10" s="1297" customFormat="1">
      <c r="E2186" s="1297" t="s">
        <v>936</v>
      </c>
      <c r="F2186" s="1399"/>
      <c r="G2186" s="1399"/>
      <c r="H2186" s="1399"/>
      <c r="I2186" s="1399">
        <v>181728.13</v>
      </c>
      <c r="J2186" s="1399">
        <v>181728.13</v>
      </c>
    </row>
    <row r="2187" spans="5:10" s="1297" customFormat="1">
      <c r="E2187" s="1297" t="s">
        <v>937</v>
      </c>
      <c r="F2187" s="1399"/>
      <c r="G2187" s="1399"/>
      <c r="H2187" s="1399"/>
      <c r="I2187" s="1399">
        <v>30782.52</v>
      </c>
      <c r="J2187" s="1399">
        <v>30782.52</v>
      </c>
    </row>
    <row r="2188" spans="5:10" s="1297" customFormat="1">
      <c r="E2188" s="1297" t="s">
        <v>938</v>
      </c>
      <c r="F2188" s="1399"/>
      <c r="G2188" s="1399"/>
      <c r="H2188" s="1399"/>
      <c r="I2188" s="1399">
        <v>43982</v>
      </c>
      <c r="J2188" s="1399">
        <v>43982</v>
      </c>
    </row>
    <row r="2189" spans="5:10" s="1297" customFormat="1">
      <c r="E2189" s="1297" t="s">
        <v>939</v>
      </c>
      <c r="F2189" s="1399"/>
      <c r="G2189" s="1399"/>
      <c r="H2189" s="1399"/>
      <c r="I2189" s="1399">
        <v>25658</v>
      </c>
      <c r="J2189" s="1399">
        <v>25658</v>
      </c>
    </row>
    <row r="2190" spans="5:10" s="1297" customFormat="1">
      <c r="E2190" s="1297" t="s">
        <v>940</v>
      </c>
      <c r="F2190" s="1399">
        <v>2370089.7399999998</v>
      </c>
      <c r="G2190" s="1399"/>
      <c r="H2190" s="1399"/>
      <c r="I2190" s="1399"/>
      <c r="J2190" s="1399">
        <v>2370089.7399999998</v>
      </c>
    </row>
    <row r="2191" spans="5:10" s="1297" customFormat="1">
      <c r="E2191" s="1297" t="s">
        <v>941</v>
      </c>
      <c r="F2191" s="1399">
        <v>770609.40000000014</v>
      </c>
      <c r="G2191" s="1399"/>
      <c r="H2191" s="1399"/>
      <c r="I2191" s="1399"/>
      <c r="J2191" s="1399">
        <v>770609.40000000014</v>
      </c>
    </row>
    <row r="2192" spans="5:10" s="1297" customFormat="1">
      <c r="E2192" s="1297" t="s">
        <v>943</v>
      </c>
      <c r="F2192" s="1399">
        <v>44459.94</v>
      </c>
      <c r="G2192" s="1399"/>
      <c r="H2192" s="1399"/>
      <c r="I2192" s="1399"/>
      <c r="J2192" s="1399">
        <v>44459.94</v>
      </c>
    </row>
    <row r="2193" spans="2:12">
      <c r="B2193" s="1297"/>
      <c r="C2193" s="1297"/>
      <c r="D2193" s="1297"/>
      <c r="E2193" s="1297" t="s">
        <v>944</v>
      </c>
      <c r="F2193" s="1399">
        <v>5383241.3500000006</v>
      </c>
      <c r="J2193" s="1399">
        <v>5383241.3500000006</v>
      </c>
    </row>
    <row r="2194" spans="2:12">
      <c r="B2194" s="1297"/>
      <c r="C2194" s="1297"/>
      <c r="D2194" s="1297"/>
      <c r="E2194" s="1297" t="s">
        <v>945</v>
      </c>
      <c r="F2194" s="1399">
        <v>4177780.05</v>
      </c>
      <c r="J2194" s="1399">
        <v>4177780.05</v>
      </c>
    </row>
    <row r="2195" spans="2:12">
      <c r="B2195" s="1297"/>
      <c r="C2195" s="1297"/>
      <c r="D2195" s="1297"/>
      <c r="E2195" s="1297" t="s">
        <v>946</v>
      </c>
      <c r="F2195" s="1399">
        <v>4776.6899999999996</v>
      </c>
      <c r="J2195" s="1399">
        <v>4776.6899999999996</v>
      </c>
    </row>
    <row r="2196" spans="2:12">
      <c r="B2196" s="1297"/>
      <c r="C2196" s="1297"/>
      <c r="D2196" s="1297"/>
      <c r="E2196" s="1297" t="s">
        <v>947</v>
      </c>
      <c r="F2196" s="1399">
        <v>496006.40999999992</v>
      </c>
      <c r="J2196" s="1399">
        <v>496006.40999999992</v>
      </c>
    </row>
    <row r="2197" spans="2:12">
      <c r="B2197" s="1297"/>
      <c r="C2197" s="1297"/>
      <c r="D2197" s="1297"/>
      <c r="E2197" s="1297" t="s">
        <v>1115</v>
      </c>
      <c r="F2197" s="1399">
        <v>646929.5</v>
      </c>
      <c r="J2197" s="1399">
        <v>646929.5</v>
      </c>
    </row>
    <row r="2198" spans="2:12">
      <c r="B2198" s="1297"/>
      <c r="C2198" s="1297"/>
      <c r="D2198" s="1297"/>
      <c r="E2198" s="1404" t="s">
        <v>948</v>
      </c>
      <c r="F2198" s="1405"/>
      <c r="G2198" s="1405"/>
      <c r="H2198" s="1405">
        <v>11896077.01</v>
      </c>
      <c r="I2198" s="1405"/>
      <c r="J2198" s="1405">
        <v>11896077.01</v>
      </c>
    </row>
    <row r="2199" spans="2:12">
      <c r="B2199" s="1297"/>
      <c r="C2199" s="1297"/>
      <c r="D2199" s="1297"/>
      <c r="E2199" s="1297" t="s">
        <v>956</v>
      </c>
      <c r="H2199" s="1399">
        <v>272390.81000000006</v>
      </c>
      <c r="J2199" s="1399">
        <v>272390.81000000006</v>
      </c>
    </row>
    <row r="2200" spans="2:12">
      <c r="B2200" s="1297"/>
      <c r="C2200" s="1297"/>
      <c r="D2200" s="1400" t="s">
        <v>1321</v>
      </c>
      <c r="E2200" s="1400"/>
      <c r="F2200" s="1401">
        <f>SUM(F2156:F2199)</f>
        <v>13998259.369999999</v>
      </c>
      <c r="G2200" s="1401">
        <f>SUM(G2156:G2199)</f>
        <v>41516021.249999993</v>
      </c>
      <c r="H2200" s="1401">
        <f>SUM(H2156:H2199)-H2198</f>
        <v>6484700.589999998</v>
      </c>
      <c r="I2200" s="1401">
        <f>SUM(I2156:I2199)-I2182</f>
        <v>61689182.480000004</v>
      </c>
      <c r="J2200" s="1401">
        <f>SUM(J2156:J2199)</f>
        <v>137386876.27999997</v>
      </c>
      <c r="K2200" s="1401">
        <f>SUM(F2200:I2200)</f>
        <v>123688163.69</v>
      </c>
      <c r="L2200" s="1408">
        <f>K2200/C2156</f>
        <v>12392.361856527401</v>
      </c>
    </row>
    <row r="2201" spans="2:12">
      <c r="B2201" s="1297" t="s">
        <v>1322</v>
      </c>
      <c r="C2201" s="1297">
        <v>35585</v>
      </c>
      <c r="D2201" s="1297" t="s">
        <v>1323</v>
      </c>
      <c r="E2201" s="1297" t="s">
        <v>906</v>
      </c>
      <c r="G2201" s="1399">
        <v>141862011.48000002</v>
      </c>
      <c r="J2201" s="1399">
        <v>141862011.48000002</v>
      </c>
    </row>
    <row r="2202" spans="2:12">
      <c r="B2202" s="1297"/>
      <c r="C2202" s="1297"/>
      <c r="D2202" s="1297"/>
      <c r="E2202" s="1297" t="s">
        <v>907</v>
      </c>
      <c r="G2202" s="1399">
        <v>27759501.399999999</v>
      </c>
      <c r="J2202" s="1399">
        <v>27759501.399999999</v>
      </c>
    </row>
    <row r="2203" spans="2:12">
      <c r="B2203" s="1297"/>
      <c r="C2203" s="1297"/>
      <c r="D2203" s="1297"/>
      <c r="E2203" s="1297" t="s">
        <v>908</v>
      </c>
      <c r="G2203" s="1399">
        <v>3673486.78</v>
      </c>
      <c r="J2203" s="1399">
        <v>3673486.78</v>
      </c>
    </row>
    <row r="2204" spans="2:12">
      <c r="B2204" s="1297"/>
      <c r="C2204" s="1297"/>
      <c r="D2204" s="1297"/>
      <c r="E2204" s="1297" t="s">
        <v>909</v>
      </c>
      <c r="H2204" s="1399">
        <v>65308.78</v>
      </c>
      <c r="J2204" s="1399">
        <v>65308.78</v>
      </c>
    </row>
    <row r="2205" spans="2:12">
      <c r="B2205" s="1297"/>
      <c r="C2205" s="1297"/>
      <c r="D2205" s="1297"/>
      <c r="E2205" s="1297" t="s">
        <v>1035</v>
      </c>
      <c r="H2205" s="1399">
        <v>1701136.86</v>
      </c>
      <c r="J2205" s="1399">
        <v>1701136.86</v>
      </c>
    </row>
    <row r="2206" spans="2:12">
      <c r="B2206" s="1297"/>
      <c r="C2206" s="1297"/>
      <c r="D2206" s="1297"/>
      <c r="E2206" s="1297" t="s">
        <v>1036</v>
      </c>
      <c r="H2206" s="1399">
        <v>1097744.22</v>
      </c>
      <c r="J2206" s="1399">
        <v>1097744.22</v>
      </c>
    </row>
    <row r="2207" spans="2:12">
      <c r="B2207" s="1297"/>
      <c r="C2207" s="1297"/>
      <c r="D2207" s="1297"/>
      <c r="E2207" s="1297" t="s">
        <v>1037</v>
      </c>
      <c r="H2207" s="1399">
        <v>199164.5</v>
      </c>
      <c r="J2207" s="1399">
        <v>199164.5</v>
      </c>
    </row>
    <row r="2208" spans="2:12">
      <c r="B2208" s="1297"/>
      <c r="C2208" s="1297"/>
      <c r="D2208" s="1297"/>
      <c r="E2208" s="1297" t="s">
        <v>1039</v>
      </c>
      <c r="H2208" s="1399">
        <v>230374.48</v>
      </c>
      <c r="J2208" s="1399">
        <v>230374.48</v>
      </c>
    </row>
    <row r="2209" spans="5:10" s="1297" customFormat="1">
      <c r="E2209" s="1297" t="s">
        <v>1040</v>
      </c>
      <c r="F2209" s="1399"/>
      <c r="G2209" s="1399"/>
      <c r="H2209" s="1399">
        <v>6342247.2800000003</v>
      </c>
      <c r="I2209" s="1399"/>
      <c r="J2209" s="1399">
        <v>6342247.2800000003</v>
      </c>
    </row>
    <row r="2210" spans="5:10" s="1297" customFormat="1">
      <c r="E2210" s="1297" t="s">
        <v>1041</v>
      </c>
      <c r="F2210" s="1399"/>
      <c r="G2210" s="1399"/>
      <c r="H2210" s="1399">
        <v>1832545.63</v>
      </c>
      <c r="I2210" s="1399"/>
      <c r="J2210" s="1399">
        <v>1832545.63</v>
      </c>
    </row>
    <row r="2211" spans="5:10" s="1297" customFormat="1">
      <c r="E2211" s="1297" t="s">
        <v>1042</v>
      </c>
      <c r="F2211" s="1399"/>
      <c r="G2211" s="1399"/>
      <c r="H2211" s="1399">
        <v>390877.1</v>
      </c>
      <c r="I2211" s="1399"/>
      <c r="J2211" s="1399">
        <v>390877.1</v>
      </c>
    </row>
    <row r="2212" spans="5:10" s="1297" customFormat="1">
      <c r="E2212" s="1297" t="s">
        <v>986</v>
      </c>
      <c r="F2212" s="1399"/>
      <c r="G2212" s="1399"/>
      <c r="H2212" s="1399">
        <v>170967.67</v>
      </c>
      <c r="I2212" s="1399"/>
      <c r="J2212" s="1399">
        <v>170967.67</v>
      </c>
    </row>
    <row r="2213" spans="5:10" s="1297" customFormat="1">
      <c r="E2213" s="1297" t="s">
        <v>1044</v>
      </c>
      <c r="F2213" s="1399">
        <v>50444.35</v>
      </c>
      <c r="G2213" s="1399"/>
      <c r="H2213" s="1399"/>
      <c r="I2213" s="1399"/>
      <c r="J2213" s="1399">
        <v>50444.35</v>
      </c>
    </row>
    <row r="2214" spans="5:10" s="1297" customFormat="1">
      <c r="E2214" s="1297" t="s">
        <v>1045</v>
      </c>
      <c r="F2214" s="1399"/>
      <c r="G2214" s="1399"/>
      <c r="H2214" s="1399">
        <v>9540827.2999999989</v>
      </c>
      <c r="I2214" s="1399"/>
      <c r="J2214" s="1399">
        <v>9540827.2999999989</v>
      </c>
    </row>
    <row r="2215" spans="5:10" s="1297" customFormat="1">
      <c r="E2215" s="1297" t="s">
        <v>1046</v>
      </c>
      <c r="F2215" s="1399"/>
      <c r="G2215" s="1399"/>
      <c r="H2215" s="1399"/>
      <c r="I2215" s="1399">
        <v>175029617</v>
      </c>
      <c r="J2215" s="1399">
        <v>175029617</v>
      </c>
    </row>
    <row r="2216" spans="5:10" s="1297" customFormat="1">
      <c r="E2216" s="1297" t="s">
        <v>1128</v>
      </c>
      <c r="F2216" s="1399"/>
      <c r="G2216" s="1399"/>
      <c r="H2216" s="1399"/>
      <c r="I2216" s="1399">
        <v>15265763</v>
      </c>
      <c r="J2216" s="1399">
        <v>15265763</v>
      </c>
    </row>
    <row r="2217" spans="5:10" s="1297" customFormat="1">
      <c r="E2217" s="1297" t="s">
        <v>1129</v>
      </c>
      <c r="F2217" s="1399"/>
      <c r="G2217" s="1399"/>
      <c r="H2217" s="1399"/>
      <c r="I2217" s="1399">
        <v>-20057476</v>
      </c>
      <c r="J2217" s="1399">
        <v>-20057476</v>
      </c>
    </row>
    <row r="2218" spans="5:10" s="1297" customFormat="1">
      <c r="E2218" s="1297" t="s">
        <v>1047</v>
      </c>
      <c r="F2218" s="1399"/>
      <c r="G2218" s="1399"/>
      <c r="H2218" s="1399"/>
      <c r="I2218" s="1399">
        <v>1991415</v>
      </c>
      <c r="J2218" s="1399">
        <v>1991415</v>
      </c>
    </row>
    <row r="2219" spans="5:10" s="1297" customFormat="1">
      <c r="E2219" s="1297" t="s">
        <v>1048</v>
      </c>
      <c r="F2219" s="1399"/>
      <c r="G2219" s="1399"/>
      <c r="H2219" s="1399"/>
      <c r="I2219" s="1399">
        <v>-44539944</v>
      </c>
      <c r="J2219" s="1399">
        <v>-44539944</v>
      </c>
    </row>
    <row r="2220" spans="5:10" s="1297" customFormat="1">
      <c r="E2220" s="1297" t="s">
        <v>934</v>
      </c>
      <c r="F2220" s="1399"/>
      <c r="G2220" s="1399"/>
      <c r="H2220" s="1399"/>
      <c r="I2220" s="1399">
        <v>410642</v>
      </c>
      <c r="J2220" s="1399">
        <v>410642</v>
      </c>
    </row>
    <row r="2221" spans="5:10" s="1297" customFormat="1">
      <c r="E2221" s="1297" t="s">
        <v>1130</v>
      </c>
      <c r="F2221" s="1399"/>
      <c r="G2221" s="1399"/>
      <c r="H2221" s="1399"/>
      <c r="I2221" s="1399">
        <v>430982.2</v>
      </c>
      <c r="J2221" s="1399">
        <v>430982.2</v>
      </c>
    </row>
    <row r="2222" spans="5:10" s="1297" customFormat="1">
      <c r="E2222" s="1297" t="s">
        <v>935</v>
      </c>
      <c r="F2222" s="1399"/>
      <c r="G2222" s="1399"/>
      <c r="H2222" s="1399"/>
      <c r="I2222" s="1399">
        <v>1911178.42</v>
      </c>
      <c r="J2222" s="1399">
        <v>1911178.42</v>
      </c>
    </row>
    <row r="2223" spans="5:10" s="1297" customFormat="1">
      <c r="E2223" s="1297" t="s">
        <v>940</v>
      </c>
      <c r="F2223" s="1399">
        <v>3457713.92</v>
      </c>
      <c r="G2223" s="1399"/>
      <c r="H2223" s="1399"/>
      <c r="I2223" s="1399"/>
      <c r="J2223" s="1399">
        <v>3457713.92</v>
      </c>
    </row>
    <row r="2224" spans="5:10" s="1297" customFormat="1">
      <c r="E2224" s="1297" t="s">
        <v>941</v>
      </c>
      <c r="F2224" s="1399">
        <v>988905.08</v>
      </c>
      <c r="G2224" s="1399"/>
      <c r="H2224" s="1399"/>
      <c r="I2224" s="1399"/>
      <c r="J2224" s="1399">
        <v>988905.08</v>
      </c>
    </row>
    <row r="2225" spans="2:12">
      <c r="B2225" s="1297"/>
      <c r="C2225" s="1297"/>
      <c r="D2225" s="1297"/>
      <c r="E2225" s="1297" t="s">
        <v>944</v>
      </c>
      <c r="F2225" s="1399">
        <v>6279789.5399999991</v>
      </c>
      <c r="J2225" s="1399">
        <v>6279789.5399999991</v>
      </c>
    </row>
    <row r="2226" spans="2:12">
      <c r="B2226" s="1297"/>
      <c r="C2226" s="1297"/>
      <c r="D2226" s="1297"/>
      <c r="E2226" s="1297" t="s">
        <v>945</v>
      </c>
      <c r="F2226" s="1399">
        <v>10974447.359999999</v>
      </c>
      <c r="J2226" s="1399">
        <v>10974447.359999999</v>
      </c>
    </row>
    <row r="2227" spans="2:12">
      <c r="B2227" s="1297"/>
      <c r="C2227" s="1297"/>
      <c r="D2227" s="1297"/>
      <c r="E2227" s="1297" t="s">
        <v>946</v>
      </c>
      <c r="F2227" s="1399">
        <v>66328.12</v>
      </c>
      <c r="J2227" s="1399">
        <v>66328.12</v>
      </c>
    </row>
    <row r="2228" spans="2:12">
      <c r="B2228" s="1297"/>
      <c r="C2228" s="1297"/>
      <c r="D2228" s="1297"/>
      <c r="E2228" s="1297" t="s">
        <v>1214</v>
      </c>
      <c r="F2228" s="1399">
        <v>175984.9</v>
      </c>
      <c r="J2228" s="1399">
        <v>175984.9</v>
      </c>
    </row>
    <row r="2229" spans="2:12">
      <c r="B2229" s="1297"/>
      <c r="C2229" s="1297"/>
      <c r="D2229" s="1297"/>
      <c r="E2229" s="1297" t="s">
        <v>947</v>
      </c>
      <c r="F2229" s="1399">
        <v>795724.67</v>
      </c>
      <c r="J2229" s="1399">
        <v>795724.67</v>
      </c>
    </row>
    <row r="2230" spans="2:12">
      <c r="B2230" s="1297"/>
      <c r="C2230" s="1297"/>
      <c r="D2230" s="1297"/>
      <c r="E2230" s="1404" t="s">
        <v>1116</v>
      </c>
      <c r="F2230" s="1405"/>
      <c r="G2230" s="1405"/>
      <c r="H2230" s="1405">
        <v>25865650</v>
      </c>
      <c r="I2230" s="1405"/>
      <c r="J2230" s="1405">
        <v>25865650</v>
      </c>
    </row>
    <row r="2231" spans="2:12">
      <c r="B2231" s="1297"/>
      <c r="C2231" s="1297"/>
      <c r="D2231" s="1297"/>
      <c r="E2231" s="1404" t="s">
        <v>948</v>
      </c>
      <c r="F2231" s="1405"/>
      <c r="G2231" s="1405"/>
      <c r="H2231" s="1405">
        <v>30958425</v>
      </c>
      <c r="I2231" s="1405"/>
      <c r="J2231" s="1405">
        <v>30958425</v>
      </c>
    </row>
    <row r="2232" spans="2:12">
      <c r="B2232" s="1297"/>
      <c r="C2232" s="1297"/>
      <c r="D2232" s="1297"/>
      <c r="E2232" s="1297" t="s">
        <v>956</v>
      </c>
      <c r="H2232" s="1399">
        <v>216601.5</v>
      </c>
      <c r="J2232" s="1399">
        <v>216601.5</v>
      </c>
    </row>
    <row r="2233" spans="2:12">
      <c r="B2233" s="1297"/>
      <c r="C2233" s="1297"/>
      <c r="D2233" s="1400" t="s">
        <v>1132</v>
      </c>
      <c r="E2233" s="1400"/>
      <c r="F2233" s="1401">
        <f>SUM(F2201:F2232)</f>
        <v>22789337.940000001</v>
      </c>
      <c r="G2233" s="1401">
        <f>SUM(G2201:G2232)</f>
        <v>173294999.66000003</v>
      </c>
      <c r="H2233" s="1401">
        <f>SUM(H2201:H2232)-(H2230+H2231)</f>
        <v>21787795.319999993</v>
      </c>
      <c r="I2233" s="1401">
        <f>SUM(I2201:I2232)</f>
        <v>130442177.62</v>
      </c>
      <c r="J2233" s="1401">
        <f>SUM(J2201:J2232)</f>
        <v>405138385.54000008</v>
      </c>
      <c r="K2233" s="1401">
        <f>SUM(F2233:I2233)</f>
        <v>348314310.54000002</v>
      </c>
      <c r="L2233" s="1408">
        <f>K2233/C2201</f>
        <v>9788.2341025713085</v>
      </c>
    </row>
    <row r="2234" spans="2:12">
      <c r="B2234" s="1297" t="s">
        <v>1133</v>
      </c>
      <c r="C2234" s="1297">
        <v>3623</v>
      </c>
      <c r="D2234" s="1297" t="s">
        <v>1134</v>
      </c>
      <c r="E2234" s="1297" t="s">
        <v>906</v>
      </c>
      <c r="G2234" s="1399">
        <v>9528335.75</v>
      </c>
      <c r="J2234" s="1399">
        <v>9528335.75</v>
      </c>
    </row>
    <row r="2235" spans="2:12">
      <c r="B2235" s="1297"/>
      <c r="C2235" s="1297"/>
      <c r="D2235" s="1297"/>
      <c r="E2235" s="1297" t="s">
        <v>907</v>
      </c>
      <c r="G2235" s="1399">
        <v>2921555.48</v>
      </c>
      <c r="J2235" s="1399">
        <v>2921555.48</v>
      </c>
    </row>
    <row r="2236" spans="2:12">
      <c r="B2236" s="1297"/>
      <c r="C2236" s="1297"/>
      <c r="D2236" s="1297"/>
      <c r="E2236" s="1297" t="s">
        <v>908</v>
      </c>
      <c r="G2236" s="1399">
        <v>139833.29</v>
      </c>
      <c r="J2236" s="1399">
        <v>139833.29</v>
      </c>
    </row>
    <row r="2237" spans="2:12">
      <c r="B2237" s="1297"/>
      <c r="C2237" s="1297"/>
      <c r="D2237" s="1297"/>
      <c r="E2237" s="1297" t="s">
        <v>909</v>
      </c>
      <c r="H2237" s="1399">
        <v>49838.14</v>
      </c>
      <c r="J2237" s="1399">
        <v>49838.14</v>
      </c>
    </row>
    <row r="2238" spans="2:12">
      <c r="B2238" s="1297"/>
      <c r="C2238" s="1297"/>
      <c r="D2238" s="1297"/>
      <c r="E2238" s="1297" t="s">
        <v>910</v>
      </c>
      <c r="H2238" s="1399">
        <v>122300.26</v>
      </c>
      <c r="J2238" s="1399">
        <v>122300.26</v>
      </c>
    </row>
    <row r="2239" spans="2:12">
      <c r="B2239" s="1297"/>
      <c r="C2239" s="1297"/>
      <c r="D2239" s="1297"/>
      <c r="E2239" s="1297" t="s">
        <v>1034</v>
      </c>
      <c r="H2239" s="1399">
        <v>303333.40999999997</v>
      </c>
      <c r="J2239" s="1399">
        <v>303333.40999999997</v>
      </c>
    </row>
    <row r="2240" spans="2:12">
      <c r="B2240" s="1297"/>
      <c r="C2240" s="1297"/>
      <c r="D2240" s="1297"/>
      <c r="E2240" s="1297" t="s">
        <v>1035</v>
      </c>
      <c r="H2240" s="1399">
        <v>496905.64</v>
      </c>
      <c r="J2240" s="1399">
        <v>496905.64</v>
      </c>
    </row>
    <row r="2241" spans="5:10" s="1297" customFormat="1">
      <c r="E2241" s="1297" t="s">
        <v>1036</v>
      </c>
      <c r="F2241" s="1399"/>
      <c r="G2241" s="1399"/>
      <c r="H2241" s="1399">
        <v>130953.20999999999</v>
      </c>
      <c r="I2241" s="1399"/>
      <c r="J2241" s="1399">
        <v>130953.20999999999</v>
      </c>
    </row>
    <row r="2242" spans="5:10" s="1297" customFormat="1">
      <c r="E2242" s="1297" t="s">
        <v>1037</v>
      </c>
      <c r="F2242" s="1399"/>
      <c r="G2242" s="1399"/>
      <c r="H2242" s="1399">
        <v>14800</v>
      </c>
      <c r="I2242" s="1399"/>
      <c r="J2242" s="1399">
        <v>14800</v>
      </c>
    </row>
    <row r="2243" spans="5:10" s="1297" customFormat="1">
      <c r="E2243" s="1297" t="s">
        <v>1003</v>
      </c>
      <c r="F2243" s="1399"/>
      <c r="G2243" s="1399"/>
      <c r="H2243" s="1399">
        <v>66629.649999999994</v>
      </c>
      <c r="I2243" s="1399"/>
      <c r="J2243" s="1399">
        <v>66629.649999999994</v>
      </c>
    </row>
    <row r="2244" spans="5:10" s="1297" customFormat="1">
      <c r="E2244" s="1297" t="s">
        <v>1039</v>
      </c>
      <c r="F2244" s="1399"/>
      <c r="G2244" s="1399"/>
      <c r="H2244" s="1399">
        <v>52190.85</v>
      </c>
      <c r="I2244" s="1399"/>
      <c r="J2244" s="1399">
        <v>52190.85</v>
      </c>
    </row>
    <row r="2245" spans="5:10" s="1297" customFormat="1">
      <c r="E2245" s="1297" t="s">
        <v>1040</v>
      </c>
      <c r="F2245" s="1399"/>
      <c r="G2245" s="1399"/>
      <c r="H2245" s="1399">
        <v>325342.08999999997</v>
      </c>
      <c r="I2245" s="1399"/>
      <c r="J2245" s="1399">
        <v>325342.08999999997</v>
      </c>
    </row>
    <row r="2246" spans="5:10" s="1297" customFormat="1">
      <c r="E2246" s="1297" t="s">
        <v>1041</v>
      </c>
      <c r="F2246" s="1399"/>
      <c r="G2246" s="1399"/>
      <c r="H2246" s="1399">
        <v>26682.92</v>
      </c>
      <c r="I2246" s="1399"/>
      <c r="J2246" s="1399">
        <v>26682.92</v>
      </c>
    </row>
    <row r="2247" spans="5:10" s="1297" customFormat="1">
      <c r="E2247" s="1297" t="s">
        <v>1042</v>
      </c>
      <c r="F2247" s="1399"/>
      <c r="G2247" s="1399"/>
      <c r="H2247" s="1399">
        <v>54014.18</v>
      </c>
      <c r="I2247" s="1399"/>
      <c r="J2247" s="1399">
        <v>54014.18</v>
      </c>
    </row>
    <row r="2248" spans="5:10" s="1297" customFormat="1">
      <c r="E2248" s="1297" t="s">
        <v>985</v>
      </c>
      <c r="F2248" s="1399"/>
      <c r="G2248" s="1399"/>
      <c r="H2248" s="1399">
        <v>2239.65</v>
      </c>
      <c r="I2248" s="1399"/>
      <c r="J2248" s="1399">
        <v>2239.65</v>
      </c>
    </row>
    <row r="2249" spans="5:10" s="1297" customFormat="1">
      <c r="E2249" s="1297" t="s">
        <v>1043</v>
      </c>
      <c r="F2249" s="1399"/>
      <c r="G2249" s="1399"/>
      <c r="H2249" s="1399">
        <v>53025</v>
      </c>
      <c r="I2249" s="1399"/>
      <c r="J2249" s="1399">
        <v>53025</v>
      </c>
    </row>
    <row r="2250" spans="5:10" s="1297" customFormat="1">
      <c r="E2250" s="1297" t="s">
        <v>986</v>
      </c>
      <c r="F2250" s="1399"/>
      <c r="G2250" s="1399"/>
      <c r="H2250" s="1399">
        <v>20042.12</v>
      </c>
      <c r="I2250" s="1399"/>
      <c r="J2250" s="1399">
        <v>20042.12</v>
      </c>
    </row>
    <row r="2251" spans="5:10" s="1297" customFormat="1">
      <c r="E2251" s="1297" t="s">
        <v>1045</v>
      </c>
      <c r="F2251" s="1399"/>
      <c r="G2251" s="1399"/>
      <c r="H2251" s="1399">
        <v>45742.48</v>
      </c>
      <c r="I2251" s="1399"/>
      <c r="J2251" s="1399">
        <v>45742.48</v>
      </c>
    </row>
    <row r="2252" spans="5:10" s="1297" customFormat="1">
      <c r="E2252" s="1297" t="s">
        <v>1046</v>
      </c>
      <c r="F2252" s="1399"/>
      <c r="G2252" s="1399"/>
      <c r="H2252" s="1399"/>
      <c r="I2252" s="1399">
        <v>20131702</v>
      </c>
      <c r="J2252" s="1399">
        <v>20131702</v>
      </c>
    </row>
    <row r="2253" spans="5:10" s="1297" customFormat="1">
      <c r="E2253" s="1297" t="s">
        <v>1128</v>
      </c>
      <c r="F2253" s="1399"/>
      <c r="G2253" s="1399"/>
      <c r="H2253" s="1399"/>
      <c r="I2253" s="1399">
        <v>1579408</v>
      </c>
      <c r="J2253" s="1399">
        <v>1579408</v>
      </c>
    </row>
    <row r="2254" spans="5:10" s="1297" customFormat="1">
      <c r="E2254" s="1297" t="s">
        <v>1129</v>
      </c>
      <c r="F2254" s="1399"/>
      <c r="G2254" s="1399"/>
      <c r="H2254" s="1399"/>
      <c r="I2254" s="1399">
        <v>-2740308</v>
      </c>
      <c r="J2254" s="1399">
        <v>-2740308</v>
      </c>
    </row>
    <row r="2255" spans="5:10" s="1297" customFormat="1">
      <c r="E2255" s="1297" t="s">
        <v>1047</v>
      </c>
      <c r="F2255" s="1399"/>
      <c r="G2255" s="1399"/>
      <c r="H2255" s="1399"/>
      <c r="I2255" s="1399">
        <v>666697</v>
      </c>
      <c r="J2255" s="1399">
        <v>666697</v>
      </c>
    </row>
    <row r="2256" spans="5:10" s="1297" customFormat="1">
      <c r="E2256" s="1297" t="s">
        <v>1048</v>
      </c>
      <c r="F2256" s="1399"/>
      <c r="G2256" s="1399"/>
      <c r="H2256" s="1399"/>
      <c r="I2256" s="1399">
        <v>-3039270</v>
      </c>
      <c r="J2256" s="1399">
        <v>-3039270</v>
      </c>
    </row>
    <row r="2257" spans="2:12">
      <c r="B2257" s="1297"/>
      <c r="C2257" s="1297"/>
      <c r="D2257" s="1297"/>
      <c r="E2257" s="1297" t="s">
        <v>932</v>
      </c>
      <c r="I2257" s="1399">
        <v>920599</v>
      </c>
      <c r="J2257" s="1399">
        <v>920599</v>
      </c>
    </row>
    <row r="2258" spans="2:12">
      <c r="B2258" s="1297"/>
      <c r="C2258" s="1297"/>
      <c r="D2258" s="1297"/>
      <c r="E2258" s="1297" t="s">
        <v>934</v>
      </c>
      <c r="I2258" s="1399">
        <v>56616</v>
      </c>
      <c r="J2258" s="1399">
        <v>56616</v>
      </c>
    </row>
    <row r="2259" spans="2:12">
      <c r="B2259" s="1297"/>
      <c r="C2259" s="1297"/>
      <c r="D2259" s="1297"/>
      <c r="E2259" s="1297" t="s">
        <v>935</v>
      </c>
      <c r="I2259" s="1399">
        <v>550731.48</v>
      </c>
      <c r="J2259" s="1399">
        <v>550731.48</v>
      </c>
    </row>
    <row r="2260" spans="2:12">
      <c r="B2260" s="1297"/>
      <c r="C2260" s="1297"/>
      <c r="D2260" s="1297"/>
      <c r="E2260" s="1297" t="s">
        <v>936</v>
      </c>
      <c r="I2260" s="1399">
        <v>67929.2</v>
      </c>
      <c r="J2260" s="1399">
        <v>67929.2</v>
      </c>
    </row>
    <row r="2261" spans="2:12">
      <c r="B2261" s="1297"/>
      <c r="C2261" s="1297"/>
      <c r="D2261" s="1297"/>
      <c r="E2261" s="1297" t="s">
        <v>937</v>
      </c>
      <c r="I2261" s="1399">
        <v>16970.72</v>
      </c>
      <c r="J2261" s="1399">
        <v>16970.72</v>
      </c>
    </row>
    <row r="2262" spans="2:12">
      <c r="B2262" s="1297"/>
      <c r="C2262" s="1297"/>
      <c r="D2262" s="1297"/>
      <c r="E2262" s="1297" t="s">
        <v>938</v>
      </c>
      <c r="I2262" s="1399">
        <v>25266</v>
      </c>
      <c r="J2262" s="1399">
        <v>25266</v>
      </c>
    </row>
    <row r="2263" spans="2:12">
      <c r="B2263" s="1297"/>
      <c r="C2263" s="1297"/>
      <c r="D2263" s="1297"/>
      <c r="E2263" s="1297" t="s">
        <v>939</v>
      </c>
      <c r="I2263" s="1399">
        <v>40944.15</v>
      </c>
      <c r="J2263" s="1399">
        <v>40944.15</v>
      </c>
    </row>
    <row r="2264" spans="2:12">
      <c r="B2264" s="1297"/>
      <c r="C2264" s="1297"/>
      <c r="D2264" s="1297"/>
      <c r="E2264" s="1297" t="s">
        <v>940</v>
      </c>
      <c r="F2264" s="1399">
        <v>809301.1</v>
      </c>
      <c r="J2264" s="1399">
        <v>809301.1</v>
      </c>
    </row>
    <row r="2265" spans="2:12">
      <c r="B2265" s="1297"/>
      <c r="C2265" s="1297"/>
      <c r="D2265" s="1297"/>
      <c r="E2265" s="1297" t="s">
        <v>941</v>
      </c>
      <c r="F2265" s="1399">
        <v>248308.48000000001</v>
      </c>
      <c r="J2265" s="1399">
        <v>248308.48000000001</v>
      </c>
    </row>
    <row r="2266" spans="2:12">
      <c r="B2266" s="1297"/>
      <c r="C2266" s="1297"/>
      <c r="D2266" s="1297"/>
      <c r="E2266" s="1297" t="s">
        <v>943</v>
      </c>
      <c r="F2266" s="1399">
        <v>2863.8</v>
      </c>
      <c r="J2266" s="1399">
        <v>2863.8</v>
      </c>
    </row>
    <row r="2267" spans="2:12">
      <c r="B2267" s="1297"/>
      <c r="C2267" s="1297"/>
      <c r="D2267" s="1297"/>
      <c r="E2267" s="1297" t="s">
        <v>944</v>
      </c>
      <c r="F2267" s="1399">
        <v>2673703.3100000005</v>
      </c>
      <c r="J2267" s="1399">
        <v>2673703.3100000005</v>
      </c>
    </row>
    <row r="2268" spans="2:12">
      <c r="B2268" s="1297"/>
      <c r="C2268" s="1297"/>
      <c r="D2268" s="1297"/>
      <c r="E2268" s="1297" t="s">
        <v>945</v>
      </c>
      <c r="F2268" s="1399">
        <v>1059197.5899999999</v>
      </c>
      <c r="J2268" s="1399">
        <v>1059197.5899999999</v>
      </c>
    </row>
    <row r="2269" spans="2:12">
      <c r="B2269" s="1297"/>
      <c r="C2269" s="1297"/>
      <c r="D2269" s="1297"/>
      <c r="E2269" s="1297" t="s">
        <v>947</v>
      </c>
      <c r="F2269" s="1399">
        <v>38879.089999999997</v>
      </c>
      <c r="J2269" s="1399">
        <v>38879.089999999997</v>
      </c>
    </row>
    <row r="2270" spans="2:12">
      <c r="B2270" s="1297"/>
      <c r="C2270" s="1297"/>
      <c r="D2270" s="1297"/>
      <c r="E2270" s="1404" t="s">
        <v>948</v>
      </c>
      <c r="F2270" s="1405"/>
      <c r="G2270" s="1405"/>
      <c r="H2270" s="1405">
        <v>383636.37999999995</v>
      </c>
      <c r="I2270" s="1405"/>
      <c r="J2270" s="1405">
        <v>383636.37999999995</v>
      </c>
    </row>
    <row r="2271" spans="2:12">
      <c r="B2271" s="1297"/>
      <c r="C2271" s="1297"/>
      <c r="D2271" s="1297"/>
      <c r="E2271" s="1297" t="s">
        <v>1118</v>
      </c>
      <c r="H2271" s="1399">
        <v>46329.36</v>
      </c>
      <c r="J2271" s="1399">
        <v>46329.36</v>
      </c>
    </row>
    <row r="2272" spans="2:12">
      <c r="B2272" s="1297"/>
      <c r="C2272" s="1297"/>
      <c r="D2272" s="1400" t="s">
        <v>1135</v>
      </c>
      <c r="E2272" s="1400"/>
      <c r="F2272" s="1401">
        <f>SUM(F2234:F2271)</f>
        <v>4832253.37</v>
      </c>
      <c r="G2272" s="1401">
        <f>SUM(G2234:G2271)</f>
        <v>12589724.52</v>
      </c>
      <c r="H2272" s="1401">
        <f>SUM(H2234:H2271)-H2270</f>
        <v>1810368.96</v>
      </c>
      <c r="I2272" s="1401">
        <f>SUM(I2234:I2271)</f>
        <v>18277285.549999997</v>
      </c>
      <c r="J2272" s="1401">
        <f>SUM(J2234:J2271)</f>
        <v>37893268.780000009</v>
      </c>
      <c r="K2272" s="1401">
        <f>SUM(F2272:I2272)</f>
        <v>37509632.399999999</v>
      </c>
      <c r="L2272" s="1408">
        <f>K2272/C2234</f>
        <v>10353.196908639249</v>
      </c>
    </row>
    <row r="2273" spans="2:10" s="1297" customFormat="1">
      <c r="B2273" s="1297" t="s">
        <v>1136</v>
      </c>
      <c r="C2273" s="1297">
        <f>89104-'[2]1$REV-DATA-GAcharterAuditdata'!G13</f>
        <v>85844</v>
      </c>
      <c r="D2273" s="1297" t="s">
        <v>1137</v>
      </c>
      <c r="E2273" s="1297" t="s">
        <v>906</v>
      </c>
      <c r="F2273" s="1399"/>
      <c r="G2273" s="1399">
        <v>534160031.81</v>
      </c>
      <c r="H2273" s="1399"/>
      <c r="I2273" s="1399"/>
      <c r="J2273" s="1399">
        <v>534160031.81</v>
      </c>
    </row>
    <row r="2274" spans="2:10" s="1297" customFormat="1">
      <c r="E2274" s="1297" t="s">
        <v>907</v>
      </c>
      <c r="F2274" s="1399"/>
      <c r="G2274" s="1399">
        <v>130265771.02</v>
      </c>
      <c r="H2274" s="1399"/>
      <c r="I2274" s="1399"/>
      <c r="J2274" s="1399">
        <v>130265771.02</v>
      </c>
    </row>
    <row r="2275" spans="2:10" s="1297" customFormat="1">
      <c r="E2275" s="1297" t="s">
        <v>908</v>
      </c>
      <c r="F2275" s="1399"/>
      <c r="G2275" s="1399">
        <v>1387621.51</v>
      </c>
      <c r="H2275" s="1399"/>
      <c r="I2275" s="1399"/>
      <c r="J2275" s="1399">
        <v>1387621.51</v>
      </c>
    </row>
    <row r="2276" spans="2:10" s="1297" customFormat="1">
      <c r="E2276" s="1297" t="s">
        <v>1122</v>
      </c>
      <c r="F2276" s="1399"/>
      <c r="G2276" s="1399">
        <v>-476313</v>
      </c>
      <c r="H2276" s="1399"/>
      <c r="I2276" s="1399"/>
      <c r="J2276" s="1399">
        <v>-476313</v>
      </c>
    </row>
    <row r="2277" spans="2:10" s="1297" customFormat="1">
      <c r="E2277" s="1297" t="s">
        <v>1034</v>
      </c>
      <c r="F2277" s="1399"/>
      <c r="G2277" s="1399"/>
      <c r="H2277" s="1399">
        <v>76965.06</v>
      </c>
      <c r="I2277" s="1399"/>
      <c r="J2277" s="1399">
        <v>76965.06</v>
      </c>
    </row>
    <row r="2278" spans="2:10" s="1297" customFormat="1">
      <c r="E2278" s="1297" t="s">
        <v>1035</v>
      </c>
      <c r="F2278" s="1399"/>
      <c r="G2278" s="1399"/>
      <c r="H2278" s="1399">
        <v>9311</v>
      </c>
      <c r="I2278" s="1399"/>
      <c r="J2278" s="1399">
        <v>9311</v>
      </c>
    </row>
    <row r="2279" spans="2:10" s="1297" customFormat="1">
      <c r="E2279" s="1297" t="s">
        <v>1037</v>
      </c>
      <c r="F2279" s="1399"/>
      <c r="G2279" s="1399"/>
      <c r="H2279" s="1399">
        <v>292811.46999999997</v>
      </c>
      <c r="I2279" s="1399"/>
      <c r="J2279" s="1399">
        <v>292811.46999999997</v>
      </c>
    </row>
    <row r="2280" spans="2:10" s="1297" customFormat="1">
      <c r="E2280" s="1297" t="s">
        <v>1038</v>
      </c>
      <c r="F2280" s="1399"/>
      <c r="G2280" s="1399"/>
      <c r="H2280" s="1399">
        <v>484751.59</v>
      </c>
      <c r="I2280" s="1399"/>
      <c r="J2280" s="1399">
        <v>484751.59</v>
      </c>
    </row>
    <row r="2281" spans="2:10" s="1297" customFormat="1">
      <c r="E2281" s="1297" t="s">
        <v>1039</v>
      </c>
      <c r="F2281" s="1399"/>
      <c r="G2281" s="1399"/>
      <c r="H2281" s="1399">
        <v>830474.47</v>
      </c>
      <c r="I2281" s="1399"/>
      <c r="J2281" s="1399">
        <v>830474.47</v>
      </c>
    </row>
    <row r="2282" spans="2:10" s="1297" customFormat="1">
      <c r="E2282" s="1297" t="s">
        <v>1040</v>
      </c>
      <c r="F2282" s="1399"/>
      <c r="G2282" s="1399"/>
      <c r="H2282" s="1399">
        <v>6206395.0999999987</v>
      </c>
      <c r="I2282" s="1399"/>
      <c r="J2282" s="1399">
        <v>6206395.0999999987</v>
      </c>
    </row>
    <row r="2283" spans="2:10" s="1297" customFormat="1">
      <c r="E2283" s="1297" t="s">
        <v>1041</v>
      </c>
      <c r="F2283" s="1399"/>
      <c r="G2283" s="1399"/>
      <c r="H2283" s="1399">
        <v>8382524.9400000004</v>
      </c>
      <c r="I2283" s="1399"/>
      <c r="J2283" s="1399">
        <v>8382524.9400000004</v>
      </c>
    </row>
    <row r="2284" spans="2:10" s="1297" customFormat="1">
      <c r="E2284" s="1297" t="s">
        <v>1042</v>
      </c>
      <c r="F2284" s="1399"/>
      <c r="G2284" s="1399"/>
      <c r="H2284" s="1399">
        <v>395325.37999999983</v>
      </c>
      <c r="I2284" s="1399"/>
      <c r="J2284" s="1399">
        <v>395325.37999999983</v>
      </c>
    </row>
    <row r="2285" spans="2:10" s="1297" customFormat="1">
      <c r="E2285" s="1297" t="s">
        <v>953</v>
      </c>
      <c r="F2285" s="1399"/>
      <c r="G2285" s="1399"/>
      <c r="H2285" s="1399">
        <v>365645.6999999999</v>
      </c>
      <c r="I2285" s="1399"/>
      <c r="J2285" s="1399">
        <v>365645.6999999999</v>
      </c>
    </row>
    <row r="2286" spans="2:10" s="1297" customFormat="1">
      <c r="E2286" s="1297" t="s">
        <v>954</v>
      </c>
      <c r="F2286" s="1399"/>
      <c r="G2286" s="1399"/>
      <c r="H2286" s="1399">
        <v>781787.8</v>
      </c>
      <c r="I2286" s="1399"/>
      <c r="J2286" s="1399">
        <v>781787.8</v>
      </c>
    </row>
    <row r="2287" spans="2:10" s="1297" customFormat="1">
      <c r="E2287" s="1297" t="s">
        <v>1043</v>
      </c>
      <c r="F2287" s="1399"/>
      <c r="G2287" s="1399"/>
      <c r="H2287" s="1399">
        <v>1226485.18</v>
      </c>
      <c r="I2287" s="1399"/>
      <c r="J2287" s="1399">
        <v>1226485.18</v>
      </c>
    </row>
    <row r="2288" spans="2:10" s="1297" customFormat="1">
      <c r="E2288" s="1297" t="s">
        <v>986</v>
      </c>
      <c r="F2288" s="1399"/>
      <c r="G2288" s="1399"/>
      <c r="H2288" s="1399">
        <v>412996.45</v>
      </c>
      <c r="I2288" s="1399"/>
      <c r="J2288" s="1399">
        <v>412996.45</v>
      </c>
    </row>
    <row r="2289" spans="5:10" s="1297" customFormat="1">
      <c r="E2289" s="1297" t="s">
        <v>1005</v>
      </c>
      <c r="F2289" s="1399"/>
      <c r="G2289" s="1399"/>
      <c r="H2289" s="1399">
        <v>586597.14</v>
      </c>
      <c r="I2289" s="1399"/>
      <c r="J2289" s="1399">
        <v>586597.14</v>
      </c>
    </row>
    <row r="2290" spans="5:10" s="1297" customFormat="1">
      <c r="E2290" s="1297" t="s">
        <v>1044</v>
      </c>
      <c r="F2290" s="1399">
        <v>2749759.76</v>
      </c>
      <c r="G2290" s="1399"/>
      <c r="H2290" s="1399"/>
      <c r="I2290" s="1399"/>
      <c r="J2290" s="1399">
        <v>2749759.76</v>
      </c>
    </row>
    <row r="2291" spans="5:10" s="1297" customFormat="1">
      <c r="E2291" s="1297" t="s">
        <v>1045</v>
      </c>
      <c r="F2291" s="1399"/>
      <c r="G2291" s="1399"/>
      <c r="H2291" s="1399">
        <v>42700171.349999994</v>
      </c>
      <c r="I2291" s="1399"/>
      <c r="J2291" s="1399">
        <v>42700171.349999994</v>
      </c>
    </row>
    <row r="2292" spans="5:10" s="1297" customFormat="1">
      <c r="E2292" s="1297" t="s">
        <v>1046</v>
      </c>
      <c r="F2292" s="1399"/>
      <c r="G2292" s="1399"/>
      <c r="H2292" s="1399"/>
      <c r="I2292" s="1399">
        <v>440772565</v>
      </c>
      <c r="J2292" s="1399">
        <v>440772565</v>
      </c>
    </row>
    <row r="2293" spans="5:10" s="1297" customFormat="1">
      <c r="E2293" s="1297" t="s">
        <v>1128</v>
      </c>
      <c r="F2293" s="1399"/>
      <c r="G2293" s="1399"/>
      <c r="H2293" s="1399"/>
      <c r="I2293" s="1399">
        <v>39949156</v>
      </c>
      <c r="J2293" s="1399">
        <v>39949156</v>
      </c>
    </row>
    <row r="2294" spans="5:10" s="1297" customFormat="1">
      <c r="E2294" s="1297" t="s">
        <v>1129</v>
      </c>
      <c r="F2294" s="1399"/>
      <c r="G2294" s="1399"/>
      <c r="H2294" s="1399"/>
      <c r="I2294" s="1399">
        <v>-50343585</v>
      </c>
      <c r="J2294" s="1399">
        <v>-50343585</v>
      </c>
    </row>
    <row r="2295" spans="5:10" s="1297" customFormat="1">
      <c r="E2295" s="1297" t="s">
        <v>1047</v>
      </c>
      <c r="F2295" s="1399"/>
      <c r="G2295" s="1399"/>
      <c r="H2295" s="1399"/>
      <c r="I2295" s="1399">
        <v>6240199</v>
      </c>
      <c r="J2295" s="1399">
        <v>6240199</v>
      </c>
    </row>
    <row r="2296" spans="5:10" s="1297" customFormat="1">
      <c r="E2296" s="1297" t="s">
        <v>1048</v>
      </c>
      <c r="F2296" s="1399"/>
      <c r="G2296" s="1399"/>
      <c r="H2296" s="1399"/>
      <c r="I2296" s="1399">
        <v>-151179186</v>
      </c>
      <c r="J2296" s="1399">
        <v>-151179186</v>
      </c>
    </row>
    <row r="2297" spans="5:10" s="1297" customFormat="1">
      <c r="E2297" s="1404" t="s">
        <v>955</v>
      </c>
      <c r="F2297" s="1405"/>
      <c r="G2297" s="1405"/>
      <c r="H2297" s="1405"/>
      <c r="I2297" s="1405">
        <v>5668445.4800000004</v>
      </c>
      <c r="J2297" s="1405">
        <v>5668445.4800000004</v>
      </c>
    </row>
    <row r="2298" spans="5:10" s="1297" customFormat="1">
      <c r="E2298" s="1297" t="s">
        <v>934</v>
      </c>
      <c r="F2298" s="1399"/>
      <c r="G2298" s="1399"/>
      <c r="H2298" s="1399"/>
      <c r="I2298" s="1399">
        <v>969998</v>
      </c>
      <c r="J2298" s="1399">
        <v>969998</v>
      </c>
    </row>
    <row r="2299" spans="5:10" s="1297" customFormat="1">
      <c r="E2299" s="1297" t="s">
        <v>1130</v>
      </c>
      <c r="F2299" s="1399"/>
      <c r="G2299" s="1399"/>
      <c r="H2299" s="1399"/>
      <c r="I2299" s="1399">
        <v>13179901.5</v>
      </c>
      <c r="J2299" s="1399">
        <v>13179901.5</v>
      </c>
    </row>
    <row r="2300" spans="5:10" s="1297" customFormat="1">
      <c r="E2300" s="1297" t="s">
        <v>935</v>
      </c>
      <c r="F2300" s="1399"/>
      <c r="G2300" s="1399"/>
      <c r="H2300" s="1399"/>
      <c r="I2300" s="1399">
        <v>4521147.7299999995</v>
      </c>
      <c r="J2300" s="1399">
        <v>4521147.7299999995</v>
      </c>
    </row>
    <row r="2301" spans="5:10" s="1297" customFormat="1">
      <c r="E2301" s="1297" t="s">
        <v>936</v>
      </c>
      <c r="F2301" s="1399"/>
      <c r="G2301" s="1399"/>
      <c r="H2301" s="1399"/>
      <c r="I2301" s="1399">
        <v>1184209.1100000001</v>
      </c>
      <c r="J2301" s="1399">
        <v>1184209.1100000001</v>
      </c>
    </row>
    <row r="2302" spans="5:10" s="1297" customFormat="1">
      <c r="E2302" s="1297" t="s">
        <v>937</v>
      </c>
      <c r="F2302" s="1399"/>
      <c r="G2302" s="1399"/>
      <c r="H2302" s="1399"/>
      <c r="I2302" s="1399">
        <v>67627.17</v>
      </c>
      <c r="J2302" s="1399">
        <v>67627.17</v>
      </c>
    </row>
    <row r="2303" spans="5:10" s="1297" customFormat="1">
      <c r="E2303" s="1297" t="s">
        <v>1131</v>
      </c>
      <c r="F2303" s="1399">
        <v>2540034.7399999998</v>
      </c>
      <c r="G2303" s="1399"/>
      <c r="H2303" s="1399"/>
      <c r="I2303" s="1399"/>
      <c r="J2303" s="1399">
        <v>2540034.7399999998</v>
      </c>
    </row>
    <row r="2304" spans="5:10" s="1297" customFormat="1">
      <c r="E2304" s="1297" t="s">
        <v>940</v>
      </c>
      <c r="F2304" s="1399">
        <v>15151517.840000004</v>
      </c>
      <c r="G2304" s="1399"/>
      <c r="H2304" s="1399"/>
      <c r="I2304" s="1399"/>
      <c r="J2304" s="1399">
        <v>15151517.840000004</v>
      </c>
    </row>
    <row r="2305" spans="2:14">
      <c r="B2305" s="1297"/>
      <c r="C2305" s="1297"/>
      <c r="D2305" s="1297"/>
      <c r="E2305" s="1297" t="s">
        <v>941</v>
      </c>
      <c r="F2305" s="1399">
        <v>5196159.26</v>
      </c>
      <c r="J2305" s="1399">
        <v>5196159.26</v>
      </c>
    </row>
    <row r="2306" spans="2:14">
      <c r="B2306" s="1297"/>
      <c r="C2306" s="1297"/>
      <c r="D2306" s="1297"/>
      <c r="E2306" s="1297" t="s">
        <v>943</v>
      </c>
      <c r="F2306" s="1399">
        <v>97617.989999999947</v>
      </c>
      <c r="J2306" s="1399">
        <v>97617.989999999947</v>
      </c>
    </row>
    <row r="2307" spans="2:14">
      <c r="B2307" s="1297"/>
      <c r="C2307" s="1297"/>
      <c r="D2307" s="1297"/>
      <c r="E2307" s="1297" t="s">
        <v>944</v>
      </c>
      <c r="F2307" s="1399">
        <v>39766151.75</v>
      </c>
      <c r="J2307" s="1399">
        <v>39766151.75</v>
      </c>
    </row>
    <row r="2308" spans="2:14">
      <c r="B2308" s="1297"/>
      <c r="C2308" s="1297"/>
      <c r="D2308" s="1297"/>
      <c r="E2308" s="1297" t="s">
        <v>945</v>
      </c>
      <c r="F2308" s="1399">
        <v>29856814.489999998</v>
      </c>
      <c r="J2308" s="1399">
        <v>29856814.489999998</v>
      </c>
    </row>
    <row r="2309" spans="2:14">
      <c r="B2309" s="1297"/>
      <c r="C2309" s="1297"/>
      <c r="D2309" s="1297"/>
      <c r="E2309" s="1297" t="s">
        <v>946</v>
      </c>
      <c r="F2309" s="1399">
        <v>836373.04</v>
      </c>
      <c r="J2309" s="1399">
        <v>836373.04</v>
      </c>
    </row>
    <row r="2310" spans="2:14">
      <c r="B2310" s="1297"/>
      <c r="C2310" s="1297"/>
      <c r="D2310" s="1297"/>
      <c r="E2310" s="1297" t="s">
        <v>1138</v>
      </c>
      <c r="F2310" s="1399">
        <v>36792.25</v>
      </c>
      <c r="J2310" s="1399">
        <v>36792.25</v>
      </c>
    </row>
    <row r="2311" spans="2:14">
      <c r="B2311" s="1297"/>
      <c r="C2311" s="1297"/>
      <c r="D2311" s="1297"/>
      <c r="E2311" s="1297" t="s">
        <v>947</v>
      </c>
      <c r="F2311" s="1399">
        <v>1970704.95</v>
      </c>
      <c r="J2311" s="1399">
        <v>1970704.95</v>
      </c>
    </row>
    <row r="2312" spans="2:14">
      <c r="B2312" s="1297"/>
      <c r="C2312" s="1297"/>
      <c r="D2312" s="1297"/>
      <c r="E2312" s="1404" t="s">
        <v>948</v>
      </c>
      <c r="F2312" s="1405"/>
      <c r="G2312" s="1405"/>
      <c r="H2312" s="1405">
        <v>23942778.370000001</v>
      </c>
      <c r="I2312" s="1405"/>
      <c r="J2312" s="1405">
        <v>23942778.370000001</v>
      </c>
    </row>
    <row r="2313" spans="2:14">
      <c r="B2313" s="1297"/>
      <c r="C2313" s="1297"/>
      <c r="D2313" s="1297"/>
      <c r="E2313" s="1297" t="s">
        <v>956</v>
      </c>
      <c r="H2313" s="1399">
        <v>41261.229999999996</v>
      </c>
      <c r="J2313" s="1399">
        <v>41261.229999999996</v>
      </c>
    </row>
    <row r="2314" spans="2:14">
      <c r="B2314" s="1297"/>
      <c r="C2314" s="1297"/>
      <c r="D2314" s="1400" t="s">
        <v>1139</v>
      </c>
      <c r="E2314" s="1400" t="s">
        <v>1642</v>
      </c>
      <c r="F2314" s="1401">
        <f>SUM(F2273:F2313)-'1$REV-CharterAuditData'!BM13</f>
        <v>95153963.870000005</v>
      </c>
      <c r="G2314" s="1401">
        <f>SUM(G2273:G2313)-'1$REV-CharterAuditData'!Q13</f>
        <v>654059954.54000008</v>
      </c>
      <c r="H2314" s="1401">
        <f>SUM(H2273:H2313)-H2312</f>
        <v>62793503.859999999</v>
      </c>
      <c r="I2314" s="1401">
        <f>SUM(I2273:I2313)-(I2297+'1$REV-CharterAuditData'!AZ13)</f>
        <v>291439281.51000005</v>
      </c>
      <c r="J2314" s="1401">
        <f>SUM(J2273:J2313)</f>
        <v>1161305797.6300001</v>
      </c>
      <c r="K2314" s="1401">
        <f>SUM(F2314:I2314)</f>
        <v>1103446703.7800002</v>
      </c>
      <c r="L2314" s="1408">
        <f>K2314/C2273</f>
        <v>12854.092351008809</v>
      </c>
      <c r="M2314" s="1408">
        <f>F2314/C2273</f>
        <v>1108.4521209403104</v>
      </c>
      <c r="N2314" s="1297">
        <f>F2314/K2314</f>
        <v>8.6233402613862295E-2</v>
      </c>
    </row>
    <row r="2315" spans="2:14">
      <c r="B2315" s="1297" t="s">
        <v>1140</v>
      </c>
      <c r="C2315" s="1297">
        <v>4217</v>
      </c>
      <c r="D2315" s="1297" t="s">
        <v>1141</v>
      </c>
      <c r="E2315" s="1297" t="s">
        <v>906</v>
      </c>
      <c r="G2315" s="1399">
        <v>19887613.16</v>
      </c>
      <c r="J2315" s="1399">
        <v>19887613.16</v>
      </c>
    </row>
    <row r="2316" spans="2:14">
      <c r="B2316" s="1297"/>
      <c r="C2316" s="1297"/>
      <c r="D2316" s="1297"/>
      <c r="E2316" s="1297" t="s">
        <v>952</v>
      </c>
      <c r="G2316" s="1399">
        <v>73029.850000000006</v>
      </c>
      <c r="J2316" s="1399">
        <v>73029.850000000006</v>
      </c>
    </row>
    <row r="2317" spans="2:14">
      <c r="B2317" s="1297"/>
      <c r="C2317" s="1297"/>
      <c r="D2317" s="1297"/>
      <c r="E2317" s="1297" t="s">
        <v>907</v>
      </c>
      <c r="G2317" s="1399">
        <v>3587502.36</v>
      </c>
      <c r="J2317" s="1399">
        <v>3587502.36</v>
      </c>
    </row>
    <row r="2318" spans="2:14">
      <c r="B2318" s="1297"/>
      <c r="C2318" s="1297"/>
      <c r="D2318" s="1297"/>
      <c r="E2318" s="1297" t="s">
        <v>908</v>
      </c>
      <c r="G2318" s="1399">
        <v>6413.76</v>
      </c>
      <c r="J2318" s="1399">
        <v>6413.76</v>
      </c>
    </row>
    <row r="2319" spans="2:14">
      <c r="B2319" s="1297"/>
      <c r="C2319" s="1297"/>
      <c r="D2319" s="1297"/>
      <c r="E2319" s="1297" t="s">
        <v>909</v>
      </c>
      <c r="H2319" s="1399">
        <v>1266.8</v>
      </c>
      <c r="J2319" s="1399">
        <v>1266.8</v>
      </c>
    </row>
    <row r="2320" spans="2:14">
      <c r="B2320" s="1297"/>
      <c r="C2320" s="1297"/>
      <c r="D2320" s="1297"/>
      <c r="E2320" s="1297" t="s">
        <v>1034</v>
      </c>
      <c r="H2320" s="1399">
        <v>41448.97</v>
      </c>
      <c r="J2320" s="1399">
        <v>41448.97</v>
      </c>
    </row>
    <row r="2321" spans="5:10" s="1297" customFormat="1">
      <c r="E2321" s="1297" t="s">
        <v>1035</v>
      </c>
      <c r="F2321" s="1399"/>
      <c r="G2321" s="1399"/>
      <c r="H2321" s="1399">
        <v>414414.5</v>
      </c>
      <c r="I2321" s="1399"/>
      <c r="J2321" s="1399">
        <v>414414.5</v>
      </c>
    </row>
    <row r="2322" spans="5:10" s="1297" customFormat="1">
      <c r="E2322" s="1297" t="s">
        <v>1036</v>
      </c>
      <c r="F2322" s="1399"/>
      <c r="G2322" s="1399"/>
      <c r="H2322" s="1399">
        <v>85914</v>
      </c>
      <c r="I2322" s="1399"/>
      <c r="J2322" s="1399">
        <v>85914</v>
      </c>
    </row>
    <row r="2323" spans="5:10" s="1297" customFormat="1">
      <c r="E2323" s="1297" t="s">
        <v>1039</v>
      </c>
      <c r="F2323" s="1399"/>
      <c r="G2323" s="1399"/>
      <c r="H2323" s="1399">
        <v>431868.42</v>
      </c>
      <c r="I2323" s="1399"/>
      <c r="J2323" s="1399">
        <v>431868.42</v>
      </c>
    </row>
    <row r="2324" spans="5:10" s="1297" customFormat="1">
      <c r="E2324" s="1297" t="s">
        <v>1040</v>
      </c>
      <c r="F2324" s="1399"/>
      <c r="G2324" s="1399"/>
      <c r="H2324" s="1399">
        <v>273830.83999999997</v>
      </c>
      <c r="I2324" s="1399"/>
      <c r="J2324" s="1399">
        <v>273830.83999999997</v>
      </c>
    </row>
    <row r="2325" spans="5:10" s="1297" customFormat="1">
      <c r="E2325" s="1297" t="s">
        <v>1127</v>
      </c>
      <c r="F2325" s="1399"/>
      <c r="G2325" s="1399"/>
      <c r="H2325" s="1399">
        <v>85044.140000000014</v>
      </c>
      <c r="I2325" s="1399"/>
      <c r="J2325" s="1399">
        <v>85044.140000000014</v>
      </c>
    </row>
    <row r="2326" spans="5:10" s="1297" customFormat="1">
      <c r="E2326" s="1297" t="s">
        <v>1041</v>
      </c>
      <c r="F2326" s="1399"/>
      <c r="G2326" s="1399"/>
      <c r="H2326" s="1399">
        <v>32005.890000000003</v>
      </c>
      <c r="I2326" s="1399"/>
      <c r="J2326" s="1399">
        <v>32005.890000000003</v>
      </c>
    </row>
    <row r="2327" spans="5:10" s="1297" customFormat="1">
      <c r="E2327" s="1297" t="s">
        <v>1042</v>
      </c>
      <c r="F2327" s="1399"/>
      <c r="G2327" s="1399"/>
      <c r="H2327" s="1399">
        <v>71015.650000000009</v>
      </c>
      <c r="I2327" s="1399"/>
      <c r="J2327" s="1399">
        <v>71015.650000000009</v>
      </c>
    </row>
    <row r="2328" spans="5:10" s="1297" customFormat="1">
      <c r="E2328" s="1297" t="s">
        <v>986</v>
      </c>
      <c r="F2328" s="1399"/>
      <c r="G2328" s="1399"/>
      <c r="H2328" s="1399">
        <v>185663.39</v>
      </c>
      <c r="I2328" s="1399"/>
      <c r="J2328" s="1399">
        <v>185663.39</v>
      </c>
    </row>
    <row r="2329" spans="5:10" s="1297" customFormat="1">
      <c r="E2329" s="1297" t="s">
        <v>1045</v>
      </c>
      <c r="F2329" s="1399"/>
      <c r="G2329" s="1399"/>
      <c r="H2329" s="1399">
        <v>792378.71</v>
      </c>
      <c r="I2329" s="1399"/>
      <c r="J2329" s="1399">
        <v>792378.71</v>
      </c>
    </row>
    <row r="2330" spans="5:10" s="1297" customFormat="1">
      <c r="E2330" s="1297" t="s">
        <v>1046</v>
      </c>
      <c r="F2330" s="1399"/>
      <c r="G2330" s="1399"/>
      <c r="H2330" s="1399"/>
      <c r="I2330" s="1399">
        <v>22694304</v>
      </c>
      <c r="J2330" s="1399">
        <v>22694304</v>
      </c>
    </row>
    <row r="2331" spans="5:10" s="1297" customFormat="1">
      <c r="E2331" s="1297" t="s">
        <v>1047</v>
      </c>
      <c r="F2331" s="1399"/>
      <c r="G2331" s="1399"/>
      <c r="H2331" s="1399"/>
      <c r="I2331" s="1399">
        <v>564004</v>
      </c>
      <c r="J2331" s="1399">
        <v>564004</v>
      </c>
    </row>
    <row r="2332" spans="5:10" s="1297" customFormat="1">
      <c r="E2332" s="1297" t="s">
        <v>1048</v>
      </c>
      <c r="F2332" s="1399"/>
      <c r="G2332" s="1399"/>
      <c r="H2332" s="1399"/>
      <c r="I2332" s="1399">
        <v>-7229289</v>
      </c>
      <c r="J2332" s="1399">
        <v>-7229289</v>
      </c>
    </row>
    <row r="2333" spans="5:10" s="1297" customFormat="1">
      <c r="E2333" s="1404" t="s">
        <v>955</v>
      </c>
      <c r="F2333" s="1405"/>
      <c r="G2333" s="1405"/>
      <c r="H2333" s="1405"/>
      <c r="I2333" s="1405">
        <v>746730.5</v>
      </c>
      <c r="J2333" s="1405">
        <v>746730.5</v>
      </c>
    </row>
    <row r="2334" spans="5:10" s="1297" customFormat="1">
      <c r="E2334" s="1297" t="s">
        <v>934</v>
      </c>
      <c r="F2334" s="1399"/>
      <c r="G2334" s="1399"/>
      <c r="H2334" s="1399"/>
      <c r="I2334" s="1399">
        <v>73176</v>
      </c>
      <c r="J2334" s="1399">
        <v>73176</v>
      </c>
    </row>
    <row r="2335" spans="5:10" s="1297" customFormat="1">
      <c r="E2335" s="1297" t="s">
        <v>935</v>
      </c>
      <c r="F2335" s="1399"/>
      <c r="G2335" s="1399"/>
      <c r="H2335" s="1399"/>
      <c r="I2335" s="1399">
        <v>475523.77</v>
      </c>
      <c r="J2335" s="1399">
        <v>475523.77</v>
      </c>
    </row>
    <row r="2336" spans="5:10" s="1297" customFormat="1">
      <c r="E2336" s="1297" t="s">
        <v>936</v>
      </c>
      <c r="F2336" s="1399"/>
      <c r="G2336" s="1399"/>
      <c r="H2336" s="1399"/>
      <c r="I2336" s="1399">
        <v>94540.64</v>
      </c>
      <c r="J2336" s="1399">
        <v>94540.64</v>
      </c>
    </row>
    <row r="2337" spans="2:12">
      <c r="B2337" s="1297"/>
      <c r="C2337" s="1297"/>
      <c r="D2337" s="1297"/>
      <c r="E2337" s="1297" t="s">
        <v>937</v>
      </c>
      <c r="I2337" s="1399">
        <v>27820.9</v>
      </c>
      <c r="J2337" s="1399">
        <v>27820.9</v>
      </c>
    </row>
    <row r="2338" spans="2:12">
      <c r="B2338" s="1297"/>
      <c r="C2338" s="1297"/>
      <c r="D2338" s="1297"/>
      <c r="E2338" s="1297" t="s">
        <v>938</v>
      </c>
      <c r="I2338" s="1399">
        <v>24518</v>
      </c>
      <c r="J2338" s="1399">
        <v>24518</v>
      </c>
    </row>
    <row r="2339" spans="2:12">
      <c r="B2339" s="1297"/>
      <c r="C2339" s="1297"/>
      <c r="D2339" s="1297"/>
      <c r="E2339" s="1297" t="s">
        <v>939</v>
      </c>
      <c r="I2339" s="1399">
        <v>20568.79</v>
      </c>
      <c r="J2339" s="1399">
        <v>20568.79</v>
      </c>
    </row>
    <row r="2340" spans="2:12">
      <c r="B2340" s="1297"/>
      <c r="C2340" s="1297"/>
      <c r="D2340" s="1297"/>
      <c r="E2340" s="1297" t="s">
        <v>940</v>
      </c>
      <c r="F2340" s="1399">
        <v>1247018.08</v>
      </c>
      <c r="J2340" s="1399">
        <v>1247018.08</v>
      </c>
    </row>
    <row r="2341" spans="2:12">
      <c r="B2341" s="1297"/>
      <c r="C2341" s="1297"/>
      <c r="D2341" s="1297"/>
      <c r="E2341" s="1297" t="s">
        <v>941</v>
      </c>
      <c r="F2341" s="1399">
        <v>395106.94</v>
      </c>
      <c r="J2341" s="1399">
        <v>395106.94</v>
      </c>
    </row>
    <row r="2342" spans="2:12">
      <c r="B2342" s="1297"/>
      <c r="C2342" s="1297"/>
      <c r="D2342" s="1297"/>
      <c r="E2342" s="1297" t="s">
        <v>943</v>
      </c>
      <c r="F2342" s="1399">
        <v>14572.82</v>
      </c>
      <c r="J2342" s="1399">
        <v>14572.82</v>
      </c>
    </row>
    <row r="2343" spans="2:12">
      <c r="B2343" s="1297"/>
      <c r="C2343" s="1297"/>
      <c r="D2343" s="1297"/>
      <c r="E2343" s="1297" t="s">
        <v>944</v>
      </c>
      <c r="F2343" s="1399">
        <v>2867298.9700000007</v>
      </c>
      <c r="J2343" s="1399">
        <v>2867298.9700000007</v>
      </c>
    </row>
    <row r="2344" spans="2:12">
      <c r="B2344" s="1297"/>
      <c r="C2344" s="1297"/>
      <c r="D2344" s="1297"/>
      <c r="E2344" s="1297" t="s">
        <v>945</v>
      </c>
      <c r="F2344" s="1399">
        <v>1144560.25</v>
      </c>
      <c r="J2344" s="1399">
        <v>1144560.25</v>
      </c>
    </row>
    <row r="2345" spans="2:12">
      <c r="B2345" s="1297"/>
      <c r="C2345" s="1297"/>
      <c r="D2345" s="1297"/>
      <c r="E2345" s="1297" t="s">
        <v>946</v>
      </c>
      <c r="F2345" s="1399">
        <v>368729.07</v>
      </c>
      <c r="J2345" s="1399">
        <v>368729.07</v>
      </c>
    </row>
    <row r="2346" spans="2:12">
      <c r="B2346" s="1297"/>
      <c r="C2346" s="1297"/>
      <c r="D2346" s="1297"/>
      <c r="E2346" s="1297" t="s">
        <v>947</v>
      </c>
      <c r="F2346" s="1399">
        <v>188019.66</v>
      </c>
      <c r="J2346" s="1399">
        <v>188019.66</v>
      </c>
    </row>
    <row r="2347" spans="2:12">
      <c r="B2347" s="1297"/>
      <c r="C2347" s="1297"/>
      <c r="D2347" s="1297"/>
      <c r="E2347" s="1404" t="s">
        <v>1116</v>
      </c>
      <c r="F2347" s="1405"/>
      <c r="G2347" s="1405"/>
      <c r="H2347" s="1405">
        <v>0</v>
      </c>
      <c r="I2347" s="1405"/>
      <c r="J2347" s="1405">
        <v>0</v>
      </c>
    </row>
    <row r="2348" spans="2:12">
      <c r="B2348" s="1297"/>
      <c r="C2348" s="1297"/>
      <c r="D2348" s="1297"/>
      <c r="E2348" s="1404" t="s">
        <v>948</v>
      </c>
      <c r="F2348" s="1405"/>
      <c r="G2348" s="1405"/>
      <c r="H2348" s="1405">
        <v>8004477.2400000002</v>
      </c>
      <c r="I2348" s="1405"/>
      <c r="J2348" s="1405">
        <v>8004477.2400000002</v>
      </c>
    </row>
    <row r="2349" spans="2:12">
      <c r="B2349" s="1297"/>
      <c r="C2349" s="1297"/>
      <c r="D2349" s="1297"/>
      <c r="E2349" s="1297" t="s">
        <v>956</v>
      </c>
      <c r="H2349" s="1399">
        <v>50</v>
      </c>
      <c r="J2349" s="1399">
        <v>50</v>
      </c>
    </row>
    <row r="2350" spans="2:12">
      <c r="B2350" s="1297"/>
      <c r="C2350" s="1297"/>
      <c r="D2350" s="1297"/>
      <c r="E2350" s="1297" t="s">
        <v>1118</v>
      </c>
      <c r="H2350" s="1399">
        <v>431818.01999999996</v>
      </c>
      <c r="J2350" s="1399">
        <v>431818.01999999996</v>
      </c>
    </row>
    <row r="2351" spans="2:12">
      <c r="B2351" s="1297"/>
      <c r="C2351" s="1297"/>
      <c r="D2351" s="1400" t="s">
        <v>1142</v>
      </c>
      <c r="E2351" s="1400"/>
      <c r="F2351" s="1401">
        <f>SUM(F2315:F2350)</f>
        <v>6225305.790000001</v>
      </c>
      <c r="G2351" s="1401">
        <f>SUM(G2315:G2350)</f>
        <v>23554559.130000003</v>
      </c>
      <c r="H2351" s="1401">
        <f>SUM(H2315:H2350)-H2348</f>
        <v>2846719.33</v>
      </c>
      <c r="I2351" s="1401">
        <f>SUM(I2315:I2350)-I2333</f>
        <v>16745167.099999998</v>
      </c>
      <c r="J2351" s="1401">
        <f>SUM(J2315:J2350)</f>
        <v>58122959.090000004</v>
      </c>
      <c r="K2351" s="1401">
        <f>SUM(F2351:I2351)</f>
        <v>49371751.349999994</v>
      </c>
      <c r="L2351" s="1401">
        <f>K2351/C2315</f>
        <v>11707.790218164571</v>
      </c>
    </row>
    <row r="2352" spans="2:12">
      <c r="B2352" s="1297" t="s">
        <v>1143</v>
      </c>
      <c r="C2352" s="1297">
        <v>631</v>
      </c>
      <c r="D2352" s="1297" t="s">
        <v>1144</v>
      </c>
      <c r="E2352" s="1297" t="s">
        <v>906</v>
      </c>
      <c r="G2352" s="1399">
        <v>969659.37</v>
      </c>
      <c r="J2352" s="1399">
        <v>969659.37</v>
      </c>
    </row>
    <row r="2353" spans="5:10" s="1297" customFormat="1">
      <c r="E2353" s="1297" t="s">
        <v>1126</v>
      </c>
      <c r="F2353" s="1399"/>
      <c r="G2353" s="1399">
        <v>196220.57</v>
      </c>
      <c r="H2353" s="1399"/>
      <c r="I2353" s="1399"/>
      <c r="J2353" s="1399">
        <v>196220.57</v>
      </c>
    </row>
    <row r="2354" spans="5:10" s="1297" customFormat="1">
      <c r="E2354" s="1297" t="s">
        <v>952</v>
      </c>
      <c r="F2354" s="1399"/>
      <c r="G2354" s="1399">
        <v>6887.3</v>
      </c>
      <c r="H2354" s="1399"/>
      <c r="I2354" s="1399"/>
      <c r="J2354" s="1399">
        <v>6887.3</v>
      </c>
    </row>
    <row r="2355" spans="5:10" s="1297" customFormat="1">
      <c r="E2355" s="1297" t="s">
        <v>1145</v>
      </c>
      <c r="F2355" s="1399"/>
      <c r="G2355" s="1399">
        <v>31837.15</v>
      </c>
      <c r="H2355" s="1399"/>
      <c r="I2355" s="1399"/>
      <c r="J2355" s="1399">
        <v>31837.15</v>
      </c>
    </row>
    <row r="2356" spans="5:10" s="1297" customFormat="1">
      <c r="E2356" s="1297" t="s">
        <v>908</v>
      </c>
      <c r="F2356" s="1399"/>
      <c r="G2356" s="1399">
        <v>29629.82</v>
      </c>
      <c r="H2356" s="1399"/>
      <c r="I2356" s="1399"/>
      <c r="J2356" s="1399">
        <v>29629.82</v>
      </c>
    </row>
    <row r="2357" spans="5:10" s="1297" customFormat="1">
      <c r="E2357" s="1297" t="s">
        <v>1034</v>
      </c>
      <c r="F2357" s="1399"/>
      <c r="G2357" s="1399"/>
      <c r="H2357" s="1399">
        <v>12984.15</v>
      </c>
      <c r="I2357" s="1399"/>
      <c r="J2357" s="1399">
        <v>12984.15</v>
      </c>
    </row>
    <row r="2358" spans="5:10" s="1297" customFormat="1">
      <c r="E2358" s="1297" t="s">
        <v>1035</v>
      </c>
      <c r="F2358" s="1399"/>
      <c r="G2358" s="1399"/>
      <c r="H2358" s="1399">
        <v>242901.34000000003</v>
      </c>
      <c r="I2358" s="1399"/>
      <c r="J2358" s="1399">
        <v>242901.34000000003</v>
      </c>
    </row>
    <row r="2359" spans="5:10" s="1297" customFormat="1">
      <c r="E2359" s="1297" t="s">
        <v>1036</v>
      </c>
      <c r="F2359" s="1399"/>
      <c r="G2359" s="1399"/>
      <c r="H2359" s="1399">
        <v>31968.87</v>
      </c>
      <c r="I2359" s="1399"/>
      <c r="J2359" s="1399">
        <v>31968.87</v>
      </c>
    </row>
    <row r="2360" spans="5:10" s="1297" customFormat="1">
      <c r="E2360" s="1297" t="s">
        <v>1037</v>
      </c>
      <c r="F2360" s="1399"/>
      <c r="G2360" s="1399"/>
      <c r="H2360" s="1399">
        <v>11765.76</v>
      </c>
      <c r="I2360" s="1399"/>
      <c r="J2360" s="1399">
        <v>11765.76</v>
      </c>
    </row>
    <row r="2361" spans="5:10" s="1297" customFormat="1">
      <c r="E2361" s="1297" t="s">
        <v>1039</v>
      </c>
      <c r="F2361" s="1399"/>
      <c r="G2361" s="1399"/>
      <c r="H2361" s="1399">
        <v>3703.92</v>
      </c>
      <c r="I2361" s="1399"/>
      <c r="J2361" s="1399">
        <v>3703.92</v>
      </c>
    </row>
    <row r="2362" spans="5:10" s="1297" customFormat="1">
      <c r="E2362" s="1297" t="s">
        <v>1040</v>
      </c>
      <c r="F2362" s="1399"/>
      <c r="G2362" s="1399"/>
      <c r="H2362" s="1399">
        <v>85432.99</v>
      </c>
      <c r="I2362" s="1399"/>
      <c r="J2362" s="1399">
        <v>85432.99</v>
      </c>
    </row>
    <row r="2363" spans="5:10" s="1297" customFormat="1">
      <c r="E2363" s="1297" t="s">
        <v>1041</v>
      </c>
      <c r="F2363" s="1399"/>
      <c r="G2363" s="1399"/>
      <c r="H2363" s="1399">
        <v>544.78</v>
      </c>
      <c r="I2363" s="1399"/>
      <c r="J2363" s="1399">
        <v>544.78</v>
      </c>
    </row>
    <row r="2364" spans="5:10" s="1297" customFormat="1">
      <c r="E2364" s="1297" t="s">
        <v>1042</v>
      </c>
      <c r="F2364" s="1399"/>
      <c r="G2364" s="1399"/>
      <c r="H2364" s="1399">
        <v>14983.85</v>
      </c>
      <c r="I2364" s="1399"/>
      <c r="J2364" s="1399">
        <v>14983.85</v>
      </c>
    </row>
    <row r="2365" spans="5:10" s="1297" customFormat="1">
      <c r="E2365" s="1297" t="s">
        <v>953</v>
      </c>
      <c r="F2365" s="1399"/>
      <c r="G2365" s="1399"/>
      <c r="H2365" s="1399">
        <v>12035.25</v>
      </c>
      <c r="I2365" s="1399"/>
      <c r="J2365" s="1399">
        <v>12035.25</v>
      </c>
    </row>
    <row r="2366" spans="5:10" s="1297" customFormat="1">
      <c r="E2366" s="1297" t="s">
        <v>991</v>
      </c>
      <c r="F2366" s="1399"/>
      <c r="G2366" s="1399"/>
      <c r="H2366" s="1399">
        <v>9499.33</v>
      </c>
      <c r="I2366" s="1399"/>
      <c r="J2366" s="1399">
        <v>9499.33</v>
      </c>
    </row>
    <row r="2367" spans="5:10" s="1297" customFormat="1">
      <c r="E2367" s="1297" t="s">
        <v>1045</v>
      </c>
      <c r="F2367" s="1399"/>
      <c r="G2367" s="1399"/>
      <c r="H2367" s="1399">
        <v>4979.96</v>
      </c>
      <c r="I2367" s="1399"/>
      <c r="J2367" s="1399">
        <v>4979.96</v>
      </c>
    </row>
    <row r="2368" spans="5:10" s="1297" customFormat="1">
      <c r="E2368" s="1297" t="s">
        <v>1046</v>
      </c>
      <c r="F2368" s="1399"/>
      <c r="G2368" s="1399"/>
      <c r="H2368" s="1399"/>
      <c r="I2368" s="1399">
        <v>2933680</v>
      </c>
      <c r="J2368" s="1399">
        <v>2933680</v>
      </c>
    </row>
    <row r="2369" spans="5:10" s="1297" customFormat="1">
      <c r="E2369" s="1297" t="s">
        <v>1047</v>
      </c>
      <c r="F2369" s="1399"/>
      <c r="G2369" s="1399"/>
      <c r="H2369" s="1399"/>
      <c r="I2369" s="1399">
        <v>151132</v>
      </c>
      <c r="J2369" s="1399">
        <v>151132</v>
      </c>
    </row>
    <row r="2370" spans="5:10" s="1297" customFormat="1">
      <c r="E2370" s="1297" t="s">
        <v>1048</v>
      </c>
      <c r="F2370" s="1399"/>
      <c r="G2370" s="1399"/>
      <c r="H2370" s="1399"/>
      <c r="I2370" s="1399">
        <v>-391540</v>
      </c>
      <c r="J2370" s="1399">
        <v>-391540</v>
      </c>
    </row>
    <row r="2371" spans="5:10" s="1297" customFormat="1">
      <c r="E2371" s="1297" t="s">
        <v>932</v>
      </c>
      <c r="F2371" s="1399"/>
      <c r="G2371" s="1399"/>
      <c r="H2371" s="1399"/>
      <c r="I2371" s="1399">
        <v>180894</v>
      </c>
      <c r="J2371" s="1399">
        <v>180894</v>
      </c>
    </row>
    <row r="2372" spans="5:10" s="1297" customFormat="1">
      <c r="E2372" s="1404" t="s">
        <v>955</v>
      </c>
      <c r="F2372" s="1405"/>
      <c r="G2372" s="1405"/>
      <c r="H2372" s="1405"/>
      <c r="I2372" s="1405">
        <v>165846.56</v>
      </c>
      <c r="J2372" s="1405">
        <v>165846.56</v>
      </c>
    </row>
    <row r="2373" spans="5:10" s="1297" customFormat="1">
      <c r="E2373" s="1297" t="s">
        <v>934</v>
      </c>
      <c r="F2373" s="1399"/>
      <c r="G2373" s="1399"/>
      <c r="H2373" s="1399"/>
      <c r="I2373" s="1399">
        <v>10792</v>
      </c>
      <c r="J2373" s="1399">
        <v>10792</v>
      </c>
    </row>
    <row r="2374" spans="5:10" s="1297" customFormat="1">
      <c r="E2374" s="1297" t="s">
        <v>935</v>
      </c>
      <c r="F2374" s="1399"/>
      <c r="G2374" s="1399"/>
      <c r="H2374" s="1399"/>
      <c r="I2374" s="1399">
        <v>44470</v>
      </c>
      <c r="J2374" s="1399">
        <v>44470</v>
      </c>
    </row>
    <row r="2375" spans="5:10" s="1297" customFormat="1">
      <c r="E2375" s="1297" t="s">
        <v>936</v>
      </c>
      <c r="F2375" s="1399"/>
      <c r="G2375" s="1399"/>
      <c r="H2375" s="1399"/>
      <c r="I2375" s="1399">
        <v>12605.42</v>
      </c>
      <c r="J2375" s="1399">
        <v>12605.42</v>
      </c>
    </row>
    <row r="2376" spans="5:10" s="1297" customFormat="1">
      <c r="E2376" s="1297" t="s">
        <v>938</v>
      </c>
      <c r="F2376" s="1399"/>
      <c r="G2376" s="1399"/>
      <c r="H2376" s="1399"/>
      <c r="I2376" s="1399">
        <v>4492</v>
      </c>
      <c r="J2376" s="1399">
        <v>4492</v>
      </c>
    </row>
    <row r="2377" spans="5:10" s="1297" customFormat="1">
      <c r="E2377" s="1297" t="s">
        <v>939</v>
      </c>
      <c r="F2377" s="1399"/>
      <c r="G2377" s="1399"/>
      <c r="H2377" s="1399"/>
      <c r="I2377" s="1399">
        <v>282159.15999999997</v>
      </c>
      <c r="J2377" s="1399">
        <v>282159.15999999997</v>
      </c>
    </row>
    <row r="2378" spans="5:10" s="1297" customFormat="1">
      <c r="E2378" s="1297" t="s">
        <v>1131</v>
      </c>
      <c r="F2378" s="1399">
        <v>6616.31</v>
      </c>
      <c r="G2378" s="1399"/>
      <c r="H2378" s="1399"/>
      <c r="I2378" s="1399"/>
      <c r="J2378" s="1399">
        <v>6616.31</v>
      </c>
    </row>
    <row r="2379" spans="5:10" s="1297" customFormat="1">
      <c r="E2379" s="1297" t="s">
        <v>940</v>
      </c>
      <c r="F2379" s="1399">
        <v>147149.82</v>
      </c>
      <c r="G2379" s="1399"/>
      <c r="H2379" s="1399"/>
      <c r="I2379" s="1399"/>
      <c r="J2379" s="1399">
        <v>147149.82</v>
      </c>
    </row>
    <row r="2380" spans="5:10" s="1297" customFormat="1">
      <c r="E2380" s="1297" t="s">
        <v>941</v>
      </c>
      <c r="F2380" s="1399">
        <v>36635.72</v>
      </c>
      <c r="G2380" s="1399"/>
      <c r="H2380" s="1399"/>
      <c r="I2380" s="1399"/>
      <c r="J2380" s="1399">
        <v>36635.72</v>
      </c>
    </row>
    <row r="2381" spans="5:10" s="1297" customFormat="1">
      <c r="E2381" s="1297" t="s">
        <v>942</v>
      </c>
      <c r="F2381" s="1399">
        <v>5840.89</v>
      </c>
      <c r="G2381" s="1399"/>
      <c r="H2381" s="1399"/>
      <c r="I2381" s="1399"/>
      <c r="J2381" s="1399">
        <v>5840.89</v>
      </c>
    </row>
    <row r="2382" spans="5:10" s="1297" customFormat="1">
      <c r="E2382" s="1297" t="s">
        <v>944</v>
      </c>
      <c r="F2382" s="1399">
        <v>539113.52</v>
      </c>
      <c r="G2382" s="1399"/>
      <c r="H2382" s="1399"/>
      <c r="I2382" s="1399"/>
      <c r="J2382" s="1399">
        <v>539113.52</v>
      </c>
    </row>
    <row r="2383" spans="5:10" s="1297" customFormat="1">
      <c r="E2383" s="1297" t="s">
        <v>945</v>
      </c>
      <c r="F2383" s="1399">
        <v>189679.11000000002</v>
      </c>
      <c r="G2383" s="1399"/>
      <c r="H2383" s="1399"/>
      <c r="I2383" s="1399"/>
      <c r="J2383" s="1399">
        <v>189679.11000000002</v>
      </c>
    </row>
    <row r="2384" spans="5:10" s="1297" customFormat="1">
      <c r="E2384" s="1297" t="s">
        <v>978</v>
      </c>
      <c r="F2384" s="1399">
        <v>1200</v>
      </c>
      <c r="G2384" s="1399"/>
      <c r="H2384" s="1399"/>
      <c r="I2384" s="1399"/>
      <c r="J2384" s="1399">
        <v>1200</v>
      </c>
    </row>
    <row r="2385" spans="2:12">
      <c r="B2385" s="1297"/>
      <c r="C2385" s="1297"/>
      <c r="D2385" s="1297"/>
      <c r="E2385" s="1297" t="s">
        <v>947</v>
      </c>
      <c r="F2385" s="1399">
        <v>28475.09</v>
      </c>
      <c r="J2385" s="1399">
        <v>28475.09</v>
      </c>
    </row>
    <row r="2386" spans="2:12">
      <c r="B2386" s="1297"/>
      <c r="C2386" s="1297"/>
      <c r="D2386" s="1297"/>
      <c r="E2386" s="1297" t="s">
        <v>1115</v>
      </c>
      <c r="F2386" s="1399">
        <v>42229.31</v>
      </c>
      <c r="J2386" s="1399">
        <v>42229.31</v>
      </c>
    </row>
    <row r="2387" spans="2:12">
      <c r="B2387" s="1297"/>
      <c r="C2387" s="1297"/>
      <c r="D2387" s="1297"/>
      <c r="E2387" s="1297" t="s">
        <v>1118</v>
      </c>
      <c r="H2387" s="1399">
        <v>71476.83</v>
      </c>
      <c r="J2387" s="1399">
        <v>71476.83</v>
      </c>
    </row>
    <row r="2388" spans="2:12">
      <c r="B2388" s="1297"/>
      <c r="C2388" s="1297"/>
      <c r="D2388" s="1400" t="s">
        <v>1146</v>
      </c>
      <c r="E2388" s="1400"/>
      <c r="F2388" s="1401">
        <f>SUM(F2352:F2387)</f>
        <v>996939.77</v>
      </c>
      <c r="G2388" s="1401">
        <f>SUM(G2352:G2387)</f>
        <v>1234234.21</v>
      </c>
      <c r="H2388" s="1401">
        <f>SUM(H2352:H2387)</f>
        <v>502277.03000000009</v>
      </c>
      <c r="I2388" s="1401">
        <f>SUM(I2352:I2387)-I2372</f>
        <v>3228684.58</v>
      </c>
      <c r="J2388" s="1401">
        <f>SUM(J2352:J2387)</f>
        <v>6127982.1499999985</v>
      </c>
      <c r="K2388" s="1401">
        <f>SUM(F2388:I2388)</f>
        <v>5962135.5899999999</v>
      </c>
      <c r="L2388" s="1408">
        <f>K2388/C2352</f>
        <v>9448.7093343898578</v>
      </c>
    </row>
    <row r="2389" spans="2:12">
      <c r="B2389" s="1297" t="s">
        <v>1147</v>
      </c>
      <c r="C2389" s="1297">
        <v>12324</v>
      </c>
      <c r="D2389" s="1297" t="s">
        <v>1148</v>
      </c>
      <c r="E2389" s="1297" t="s">
        <v>906</v>
      </c>
      <c r="G2389" s="1399">
        <v>71443355.859999999</v>
      </c>
      <c r="J2389" s="1399">
        <v>71443355.859999999</v>
      </c>
    </row>
    <row r="2390" spans="2:12">
      <c r="B2390" s="1297"/>
      <c r="C2390" s="1297"/>
      <c r="D2390" s="1297"/>
      <c r="E2390" s="1297" t="s">
        <v>907</v>
      </c>
      <c r="G2390" s="1399">
        <v>17585815.039999999</v>
      </c>
      <c r="J2390" s="1399">
        <v>17585815.039999999</v>
      </c>
    </row>
    <row r="2391" spans="2:12">
      <c r="B2391" s="1297"/>
      <c r="C2391" s="1297"/>
      <c r="D2391" s="1297"/>
      <c r="E2391" s="1297" t="s">
        <v>908</v>
      </c>
      <c r="G2391" s="1399">
        <v>1072556.25</v>
      </c>
      <c r="J2391" s="1399">
        <v>1072556.25</v>
      </c>
    </row>
    <row r="2392" spans="2:12">
      <c r="B2392" s="1297"/>
      <c r="C2392" s="1297"/>
      <c r="D2392" s="1297"/>
      <c r="E2392" s="1297" t="s">
        <v>1064</v>
      </c>
      <c r="H2392" s="1399">
        <v>13790.58</v>
      </c>
      <c r="J2392" s="1399">
        <v>13790.58</v>
      </c>
    </row>
    <row r="2393" spans="2:12">
      <c r="B2393" s="1297"/>
      <c r="C2393" s="1297"/>
      <c r="D2393" s="1297"/>
      <c r="E2393" s="1297" t="s">
        <v>1039</v>
      </c>
      <c r="H2393" s="1399">
        <v>407617.81000000006</v>
      </c>
      <c r="J2393" s="1399">
        <v>407617.81000000006</v>
      </c>
    </row>
    <row r="2394" spans="2:12">
      <c r="B2394" s="1297"/>
      <c r="C2394" s="1297"/>
      <c r="D2394" s="1297"/>
      <c r="E2394" s="1297" t="s">
        <v>1040</v>
      </c>
      <c r="H2394" s="1399">
        <v>792407.63</v>
      </c>
      <c r="J2394" s="1399">
        <v>792407.63</v>
      </c>
    </row>
    <row r="2395" spans="2:12">
      <c r="B2395" s="1297"/>
      <c r="C2395" s="1297"/>
      <c r="D2395" s="1297"/>
      <c r="E2395" s="1297" t="s">
        <v>1207</v>
      </c>
      <c r="H2395" s="1399">
        <v>17742.75</v>
      </c>
      <c r="J2395" s="1399">
        <v>17742.75</v>
      </c>
    </row>
    <row r="2396" spans="2:12">
      <c r="B2396" s="1297"/>
      <c r="C2396" s="1297"/>
      <c r="D2396" s="1297"/>
      <c r="E2396" s="1297" t="s">
        <v>1041</v>
      </c>
      <c r="H2396" s="1399">
        <v>313575.8</v>
      </c>
      <c r="J2396" s="1399">
        <v>313575.8</v>
      </c>
    </row>
    <row r="2397" spans="2:12">
      <c r="B2397" s="1297"/>
      <c r="C2397" s="1297"/>
      <c r="D2397" s="1297"/>
      <c r="E2397" s="1297" t="s">
        <v>1042</v>
      </c>
      <c r="H2397" s="1399">
        <v>135941</v>
      </c>
      <c r="J2397" s="1399">
        <v>135941</v>
      </c>
    </row>
    <row r="2398" spans="2:12">
      <c r="B2398" s="1297"/>
      <c r="C2398" s="1297"/>
      <c r="D2398" s="1297"/>
      <c r="E2398" s="1297" t="s">
        <v>953</v>
      </c>
      <c r="H2398" s="1399">
        <v>36358.300000000003</v>
      </c>
      <c r="J2398" s="1399">
        <v>36358.300000000003</v>
      </c>
    </row>
    <row r="2399" spans="2:12">
      <c r="B2399" s="1297"/>
      <c r="C2399" s="1297"/>
      <c r="D2399" s="1297"/>
      <c r="E2399" s="1297" t="s">
        <v>954</v>
      </c>
      <c r="H2399" s="1399">
        <v>303771.02</v>
      </c>
      <c r="J2399" s="1399">
        <v>303771.02</v>
      </c>
    </row>
    <row r="2400" spans="2:12">
      <c r="B2400" s="1297"/>
      <c r="C2400" s="1297"/>
      <c r="D2400" s="1297"/>
      <c r="E2400" s="1297" t="s">
        <v>986</v>
      </c>
      <c r="H2400" s="1399">
        <v>5398.17</v>
      </c>
      <c r="J2400" s="1399">
        <v>5398.17</v>
      </c>
    </row>
    <row r="2401" spans="5:10" s="1297" customFormat="1">
      <c r="E2401" s="1297" t="s">
        <v>1203</v>
      </c>
      <c r="F2401" s="1399"/>
      <c r="G2401" s="1399"/>
      <c r="H2401" s="1399">
        <v>15352.53</v>
      </c>
      <c r="I2401" s="1399"/>
      <c r="J2401" s="1399">
        <v>15352.53</v>
      </c>
    </row>
    <row r="2402" spans="5:10" s="1297" customFormat="1">
      <c r="E2402" s="1297" t="s">
        <v>1044</v>
      </c>
      <c r="F2402" s="1399">
        <v>181393.97</v>
      </c>
      <c r="G2402" s="1399"/>
      <c r="H2402" s="1399">
        <v>181393.97</v>
      </c>
      <c r="I2402" s="1399"/>
      <c r="J2402" s="1399">
        <v>181393.97</v>
      </c>
    </row>
    <row r="2403" spans="5:10" s="1297" customFormat="1">
      <c r="E2403" s="1297" t="s">
        <v>1045</v>
      </c>
      <c r="F2403" s="1399"/>
      <c r="G2403" s="1399"/>
      <c r="H2403" s="1399">
        <v>4167247.1599999997</v>
      </c>
      <c r="I2403" s="1399"/>
      <c r="J2403" s="1399">
        <v>4167247.1599999997</v>
      </c>
    </row>
    <row r="2404" spans="5:10" s="1297" customFormat="1">
      <c r="E2404" s="1297" t="s">
        <v>1046</v>
      </c>
      <c r="F2404" s="1399"/>
      <c r="G2404" s="1399"/>
      <c r="H2404" s="1399"/>
      <c r="I2404" s="1399">
        <v>63596669</v>
      </c>
      <c r="J2404" s="1399">
        <v>63596669</v>
      </c>
    </row>
    <row r="2405" spans="5:10" s="1297" customFormat="1">
      <c r="E2405" s="1297" t="s">
        <v>1128</v>
      </c>
      <c r="F2405" s="1399"/>
      <c r="G2405" s="1399"/>
      <c r="H2405" s="1399"/>
      <c r="I2405" s="1399">
        <v>5277803</v>
      </c>
      <c r="J2405" s="1399">
        <v>5277803</v>
      </c>
    </row>
    <row r="2406" spans="5:10" s="1297" customFormat="1">
      <c r="E2406" s="1297" t="s">
        <v>1129</v>
      </c>
      <c r="F2406" s="1399"/>
      <c r="G2406" s="1399"/>
      <c r="H2406" s="1399"/>
      <c r="I2406" s="1399">
        <v>-6402694</v>
      </c>
      <c r="J2406" s="1399">
        <v>-6402694</v>
      </c>
    </row>
    <row r="2407" spans="5:10" s="1297" customFormat="1">
      <c r="E2407" s="1297" t="s">
        <v>1047</v>
      </c>
      <c r="F2407" s="1399"/>
      <c r="G2407" s="1399"/>
      <c r="H2407" s="1399"/>
      <c r="I2407" s="1399">
        <v>1389837</v>
      </c>
      <c r="J2407" s="1399">
        <v>1389837</v>
      </c>
    </row>
    <row r="2408" spans="5:10" s="1297" customFormat="1">
      <c r="E2408" s="1297" t="s">
        <v>1048</v>
      </c>
      <c r="F2408" s="1399"/>
      <c r="G2408" s="1399"/>
      <c r="H2408" s="1399"/>
      <c r="I2408" s="1399">
        <v>-28293570</v>
      </c>
      <c r="J2408" s="1399">
        <v>-28293570</v>
      </c>
    </row>
    <row r="2409" spans="5:10" s="1297" customFormat="1">
      <c r="E2409" s="1404" t="s">
        <v>955</v>
      </c>
      <c r="F2409" s="1405"/>
      <c r="G2409" s="1405"/>
      <c r="H2409" s="1405"/>
      <c r="I2409" s="1405">
        <v>2117210.15</v>
      </c>
      <c r="J2409" s="1405">
        <v>2117210.15</v>
      </c>
    </row>
    <row r="2410" spans="5:10" s="1297" customFormat="1">
      <c r="E2410" s="1297" t="s">
        <v>934</v>
      </c>
      <c r="F2410" s="1399"/>
      <c r="G2410" s="1399"/>
      <c r="H2410" s="1399"/>
      <c r="I2410" s="1399">
        <v>185492</v>
      </c>
      <c r="J2410" s="1399">
        <v>185492</v>
      </c>
    </row>
    <row r="2411" spans="5:10" s="1297" customFormat="1">
      <c r="E2411" s="1297" t="s">
        <v>1130</v>
      </c>
      <c r="F2411" s="1399"/>
      <c r="G2411" s="1399"/>
      <c r="H2411" s="1399"/>
      <c r="I2411" s="1399">
        <v>1135530</v>
      </c>
      <c r="J2411" s="1399">
        <v>1135530</v>
      </c>
    </row>
    <row r="2412" spans="5:10" s="1297" customFormat="1">
      <c r="E2412" s="1297" t="s">
        <v>935</v>
      </c>
      <c r="F2412" s="1399"/>
      <c r="G2412" s="1399"/>
      <c r="H2412" s="1399"/>
      <c r="I2412" s="1399">
        <v>-551104.67000000004</v>
      </c>
      <c r="J2412" s="1399">
        <v>-551104.67000000004</v>
      </c>
    </row>
    <row r="2413" spans="5:10" s="1297" customFormat="1">
      <c r="E2413" s="1297" t="s">
        <v>936</v>
      </c>
      <c r="F2413" s="1399"/>
      <c r="G2413" s="1399"/>
      <c r="H2413" s="1399"/>
      <c r="I2413" s="1399">
        <v>217793.63</v>
      </c>
      <c r="J2413" s="1399">
        <v>217793.63</v>
      </c>
    </row>
    <row r="2414" spans="5:10" s="1297" customFormat="1">
      <c r="E2414" s="1297" t="s">
        <v>937</v>
      </c>
      <c r="F2414" s="1399"/>
      <c r="G2414" s="1399"/>
      <c r="H2414" s="1399"/>
      <c r="I2414" s="1399">
        <v>13531.72</v>
      </c>
      <c r="J2414" s="1399">
        <v>13531.72</v>
      </c>
    </row>
    <row r="2415" spans="5:10" s="1297" customFormat="1">
      <c r="E2415" s="1297" t="s">
        <v>938</v>
      </c>
      <c r="F2415" s="1399"/>
      <c r="G2415" s="1399"/>
      <c r="H2415" s="1399"/>
      <c r="I2415" s="1399">
        <v>69249</v>
      </c>
      <c r="J2415" s="1399">
        <v>69249</v>
      </c>
    </row>
    <row r="2416" spans="5:10" s="1297" customFormat="1">
      <c r="E2416" s="1297" t="s">
        <v>939</v>
      </c>
      <c r="F2416" s="1399"/>
      <c r="G2416" s="1399"/>
      <c r="H2416" s="1399"/>
      <c r="I2416" s="1399">
        <v>50087.6</v>
      </c>
      <c r="J2416" s="1399">
        <v>50087.6</v>
      </c>
    </row>
    <row r="2417" spans="2:12">
      <c r="B2417" s="1297"/>
      <c r="C2417" s="1297"/>
      <c r="D2417" s="1297"/>
      <c r="E2417" s="1297" t="s">
        <v>940</v>
      </c>
      <c r="F2417" s="1399">
        <v>3332567.58</v>
      </c>
      <c r="J2417" s="1399">
        <v>3332567.58</v>
      </c>
    </row>
    <row r="2418" spans="2:12">
      <c r="B2418" s="1297"/>
      <c r="C2418" s="1297"/>
      <c r="D2418" s="1297"/>
      <c r="E2418" s="1297" t="s">
        <v>941</v>
      </c>
      <c r="F2418" s="1399">
        <v>1450570.7399999998</v>
      </c>
      <c r="J2418" s="1399">
        <v>1450570.7399999998</v>
      </c>
    </row>
    <row r="2419" spans="2:12">
      <c r="B2419" s="1297"/>
      <c r="C2419" s="1297"/>
      <c r="D2419" s="1297"/>
      <c r="E2419" s="1297" t="s">
        <v>942</v>
      </c>
      <c r="F2419" s="1399">
        <v>100458.67</v>
      </c>
      <c r="J2419" s="1399">
        <v>100458.67</v>
      </c>
    </row>
    <row r="2420" spans="2:12">
      <c r="B2420" s="1297"/>
      <c r="C2420" s="1297"/>
      <c r="D2420" s="1297"/>
      <c r="E2420" s="1297" t="s">
        <v>944</v>
      </c>
      <c r="F2420" s="1399">
        <v>11294395.68</v>
      </c>
      <c r="J2420" s="1399">
        <v>11294395.68</v>
      </c>
    </row>
    <row r="2421" spans="2:12">
      <c r="B2421" s="1297"/>
      <c r="C2421" s="1297"/>
      <c r="D2421" s="1297"/>
      <c r="E2421" s="1297" t="s">
        <v>945</v>
      </c>
      <c r="F2421" s="1399">
        <v>2496689</v>
      </c>
      <c r="J2421" s="1399">
        <v>2496689</v>
      </c>
    </row>
    <row r="2422" spans="2:12">
      <c r="B2422" s="1297"/>
      <c r="C2422" s="1297"/>
      <c r="D2422" s="1297"/>
      <c r="E2422" s="1297" t="s">
        <v>946</v>
      </c>
      <c r="F2422" s="1399">
        <v>233746.3</v>
      </c>
      <c r="J2422" s="1399">
        <v>233746.3</v>
      </c>
    </row>
    <row r="2423" spans="2:12">
      <c r="B2423" s="1297"/>
      <c r="C2423" s="1297"/>
      <c r="D2423" s="1297"/>
      <c r="E2423" s="1297" t="s">
        <v>1006</v>
      </c>
      <c r="F2423" s="1399">
        <v>17731.669999999998</v>
      </c>
      <c r="J2423" s="1399">
        <v>17731.669999999998</v>
      </c>
    </row>
    <row r="2424" spans="2:12">
      <c r="B2424" s="1297"/>
      <c r="C2424" s="1297"/>
      <c r="D2424" s="1297"/>
      <c r="E2424" s="1404" t="s">
        <v>1116</v>
      </c>
      <c r="F2424" s="1405"/>
      <c r="G2424" s="1405"/>
      <c r="H2424" s="1405">
        <v>56538149.979999997</v>
      </c>
      <c r="I2424" s="1405"/>
      <c r="J2424" s="1405">
        <v>56538149.979999997</v>
      </c>
    </row>
    <row r="2425" spans="2:12">
      <c r="B2425" s="1297"/>
      <c r="C2425" s="1297"/>
      <c r="D2425" s="1297"/>
      <c r="E2425" s="1404" t="s">
        <v>948</v>
      </c>
      <c r="F2425" s="1405"/>
      <c r="G2425" s="1405"/>
      <c r="H2425" s="1405">
        <v>15624028.899999999</v>
      </c>
      <c r="I2425" s="1405"/>
      <c r="J2425" s="1405">
        <v>15624028.899999999</v>
      </c>
    </row>
    <row r="2426" spans="2:12">
      <c r="B2426" s="1297"/>
      <c r="C2426" s="1297"/>
      <c r="D2426" s="1297"/>
      <c r="E2426" s="1297" t="s">
        <v>956</v>
      </c>
      <c r="H2426" s="1399">
        <v>23200.5</v>
      </c>
      <c r="J2426" s="1399">
        <v>23200.5</v>
      </c>
    </row>
    <row r="2427" spans="2:12">
      <c r="B2427" s="1297"/>
      <c r="C2427" s="1297"/>
      <c r="D2427" s="1297"/>
      <c r="E2427" s="1297" t="s">
        <v>1118</v>
      </c>
      <c r="H2427" s="1399">
        <v>249756</v>
      </c>
      <c r="J2427" s="1399">
        <v>249756</v>
      </c>
    </row>
    <row r="2428" spans="2:12">
      <c r="B2428" s="1297"/>
      <c r="C2428" s="1297"/>
      <c r="D2428" s="1400" t="s">
        <v>1149</v>
      </c>
      <c r="E2428" s="1400"/>
      <c r="F2428" s="1401">
        <f>SUM(F2389:F2427)</f>
        <v>19107553.610000003</v>
      </c>
      <c r="G2428" s="1401">
        <f>SUM(G2389:G2427)</f>
        <v>90101727.150000006</v>
      </c>
      <c r="H2428" s="1401">
        <f>SUM(H2389:H2427)-(H2424+H2425)</f>
        <v>6663553.2199999988</v>
      </c>
      <c r="I2428" s="1401">
        <f>SUM(I2389:I2427)-I2409</f>
        <v>36688624.280000001</v>
      </c>
      <c r="J2428" s="1401">
        <f>SUM(J2389:J2427)</f>
        <v>226659453.32000002</v>
      </c>
      <c r="K2428" s="1401">
        <f>SUM(F2428:I2428)</f>
        <v>152561458.25999999</v>
      </c>
      <c r="L2428" s="1408">
        <f>K2428/C2389</f>
        <v>12379.216022395325</v>
      </c>
    </row>
    <row r="2429" spans="2:12">
      <c r="B2429" s="1297" t="s">
        <v>1150</v>
      </c>
      <c r="C2429" s="1297">
        <v>6487</v>
      </c>
      <c r="D2429" s="1297" t="s">
        <v>1151</v>
      </c>
      <c r="E2429" s="1297" t="s">
        <v>906</v>
      </c>
      <c r="G2429" s="1399">
        <v>14448871.33</v>
      </c>
      <c r="J2429" s="1399">
        <v>14448871.33</v>
      </c>
    </row>
    <row r="2430" spans="2:12">
      <c r="B2430" s="1297"/>
      <c r="C2430" s="1297"/>
      <c r="D2430" s="1297"/>
      <c r="E2430" s="1297" t="s">
        <v>952</v>
      </c>
      <c r="G2430" s="1399">
        <v>276006.40000000002</v>
      </c>
      <c r="J2430" s="1399">
        <v>276006.40000000002</v>
      </c>
    </row>
    <row r="2431" spans="2:12">
      <c r="B2431" s="1297"/>
      <c r="C2431" s="1297"/>
      <c r="D2431" s="1297"/>
      <c r="E2431" s="1297" t="s">
        <v>907</v>
      </c>
      <c r="G2431" s="1399">
        <v>5148650.37</v>
      </c>
      <c r="J2431" s="1399">
        <v>5148650.37</v>
      </c>
    </row>
    <row r="2432" spans="2:12">
      <c r="B2432" s="1297"/>
      <c r="C2432" s="1297"/>
      <c r="D2432" s="1297"/>
      <c r="E2432" s="1297" t="s">
        <v>908</v>
      </c>
      <c r="G2432" s="1399">
        <v>496916.45</v>
      </c>
      <c r="J2432" s="1399">
        <v>496916.45</v>
      </c>
    </row>
    <row r="2433" spans="5:10" s="1297" customFormat="1">
      <c r="E2433" s="1297" t="s">
        <v>909</v>
      </c>
      <c r="F2433" s="1399"/>
      <c r="G2433" s="1399"/>
      <c r="H2433" s="1399">
        <v>19580.150000000001</v>
      </c>
      <c r="I2433" s="1399"/>
      <c r="J2433" s="1399">
        <v>19580.150000000001</v>
      </c>
    </row>
    <row r="2434" spans="5:10" s="1297" customFormat="1">
      <c r="E2434" s="1297" t="s">
        <v>910</v>
      </c>
      <c r="F2434" s="1399"/>
      <c r="G2434" s="1399"/>
      <c r="H2434" s="1399">
        <v>38867.299999999996</v>
      </c>
      <c r="I2434" s="1399"/>
      <c r="J2434" s="1399">
        <v>38867.299999999996</v>
      </c>
    </row>
    <row r="2435" spans="5:10" s="1297" customFormat="1">
      <c r="E2435" s="1297" t="s">
        <v>1034</v>
      </c>
      <c r="F2435" s="1399"/>
      <c r="G2435" s="1399"/>
      <c r="H2435" s="1399">
        <v>142843.64000000001</v>
      </c>
      <c r="I2435" s="1399"/>
      <c r="J2435" s="1399">
        <v>142843.64000000001</v>
      </c>
    </row>
    <row r="2436" spans="5:10" s="1297" customFormat="1">
      <c r="E2436" s="1297" t="s">
        <v>1035</v>
      </c>
      <c r="F2436" s="1399"/>
      <c r="G2436" s="1399"/>
      <c r="H2436" s="1399">
        <v>457653.44</v>
      </c>
      <c r="I2436" s="1399"/>
      <c r="J2436" s="1399">
        <v>457653.44</v>
      </c>
    </row>
    <row r="2437" spans="5:10" s="1297" customFormat="1">
      <c r="E2437" s="1297" t="s">
        <v>1036</v>
      </c>
      <c r="F2437" s="1399"/>
      <c r="G2437" s="1399"/>
      <c r="H2437" s="1399">
        <v>178650.95</v>
      </c>
      <c r="I2437" s="1399"/>
      <c r="J2437" s="1399">
        <v>178650.95</v>
      </c>
    </row>
    <row r="2438" spans="5:10" s="1297" customFormat="1">
      <c r="E2438" s="1297" t="s">
        <v>1038</v>
      </c>
      <c r="F2438" s="1399"/>
      <c r="G2438" s="1399"/>
      <c r="H2438" s="1399">
        <v>7565</v>
      </c>
      <c r="I2438" s="1399"/>
      <c r="J2438" s="1399">
        <v>7565</v>
      </c>
    </row>
    <row r="2439" spans="5:10" s="1297" customFormat="1">
      <c r="E2439" s="1297" t="s">
        <v>1039</v>
      </c>
      <c r="F2439" s="1399"/>
      <c r="G2439" s="1399"/>
      <c r="H2439" s="1399">
        <v>28881.249999999993</v>
      </c>
      <c r="I2439" s="1399"/>
      <c r="J2439" s="1399">
        <v>28881.249999999993</v>
      </c>
    </row>
    <row r="2440" spans="5:10" s="1297" customFormat="1">
      <c r="E2440" s="1297" t="s">
        <v>1040</v>
      </c>
      <c r="F2440" s="1399"/>
      <c r="G2440" s="1399"/>
      <c r="H2440" s="1399">
        <v>702617.84</v>
      </c>
      <c r="I2440" s="1399"/>
      <c r="J2440" s="1399">
        <v>702617.84</v>
      </c>
    </row>
    <row r="2441" spans="5:10" s="1297" customFormat="1">
      <c r="E2441" s="1297" t="s">
        <v>1041</v>
      </c>
      <c r="F2441" s="1399"/>
      <c r="G2441" s="1399"/>
      <c r="H2441" s="1399">
        <v>251239.84999999998</v>
      </c>
      <c r="I2441" s="1399"/>
      <c r="J2441" s="1399">
        <v>251239.84999999998</v>
      </c>
    </row>
    <row r="2442" spans="5:10" s="1297" customFormat="1">
      <c r="E2442" s="1297" t="s">
        <v>1042</v>
      </c>
      <c r="F2442" s="1399"/>
      <c r="G2442" s="1399"/>
      <c r="H2442" s="1399">
        <v>101307.74</v>
      </c>
      <c r="I2442" s="1399"/>
      <c r="J2442" s="1399">
        <v>101307.74</v>
      </c>
    </row>
    <row r="2443" spans="5:10" s="1297" customFormat="1">
      <c r="E2443" s="1297" t="s">
        <v>954</v>
      </c>
      <c r="F2443" s="1399"/>
      <c r="G2443" s="1399"/>
      <c r="H2443" s="1399">
        <v>557478.99999999988</v>
      </c>
      <c r="I2443" s="1399"/>
      <c r="J2443" s="1399">
        <v>557478.99999999988</v>
      </c>
    </row>
    <row r="2444" spans="5:10" s="1297" customFormat="1">
      <c r="E2444" s="1297" t="s">
        <v>985</v>
      </c>
      <c r="F2444" s="1399"/>
      <c r="G2444" s="1399"/>
      <c r="H2444" s="1399">
        <v>308132.64</v>
      </c>
      <c r="I2444" s="1399"/>
      <c r="J2444" s="1399">
        <v>308132.64</v>
      </c>
    </row>
    <row r="2445" spans="5:10" s="1297" customFormat="1">
      <c r="E2445" s="1297" t="s">
        <v>1043</v>
      </c>
      <c r="F2445" s="1399"/>
      <c r="G2445" s="1399"/>
      <c r="H2445" s="1399">
        <v>10066.67</v>
      </c>
      <c r="I2445" s="1399"/>
      <c r="J2445" s="1399">
        <v>10066.67</v>
      </c>
    </row>
    <row r="2446" spans="5:10" s="1297" customFormat="1">
      <c r="E2446" s="1297" t="s">
        <v>1203</v>
      </c>
      <c r="F2446" s="1399"/>
      <c r="G2446" s="1399"/>
      <c r="H2446" s="1399">
        <v>30000</v>
      </c>
      <c r="I2446" s="1399"/>
      <c r="J2446" s="1399">
        <v>30000</v>
      </c>
    </row>
    <row r="2447" spans="5:10" s="1297" customFormat="1">
      <c r="E2447" s="1297" t="s">
        <v>991</v>
      </c>
      <c r="F2447" s="1399"/>
      <c r="G2447" s="1399"/>
      <c r="H2447" s="1399">
        <v>12563.31</v>
      </c>
      <c r="I2447" s="1399"/>
      <c r="J2447" s="1399">
        <v>12563.31</v>
      </c>
    </row>
    <row r="2448" spans="5:10" s="1297" customFormat="1">
      <c r="E2448" s="1297" t="s">
        <v>1045</v>
      </c>
      <c r="F2448" s="1399"/>
      <c r="G2448" s="1399"/>
      <c r="H2448" s="1399">
        <v>1076498.5100000002</v>
      </c>
      <c r="I2448" s="1399"/>
      <c r="J2448" s="1399">
        <v>1076498.5100000002</v>
      </c>
    </row>
    <row r="2449" spans="5:10" s="1297" customFormat="1">
      <c r="E2449" s="1297" t="s">
        <v>1046</v>
      </c>
      <c r="F2449" s="1399"/>
      <c r="G2449" s="1399"/>
      <c r="H2449" s="1399"/>
      <c r="I2449" s="1399">
        <v>34205691</v>
      </c>
      <c r="J2449" s="1399">
        <v>34205691</v>
      </c>
    </row>
    <row r="2450" spans="5:10" s="1297" customFormat="1">
      <c r="E2450" s="1297" t="s">
        <v>1128</v>
      </c>
      <c r="F2450" s="1399"/>
      <c r="G2450" s="1399"/>
      <c r="H2450" s="1399"/>
      <c r="I2450" s="1399">
        <v>2832071</v>
      </c>
      <c r="J2450" s="1399">
        <v>2832071</v>
      </c>
    </row>
    <row r="2451" spans="5:10" s="1297" customFormat="1">
      <c r="E2451" s="1297" t="s">
        <v>1129</v>
      </c>
      <c r="F2451" s="1399"/>
      <c r="G2451" s="1399"/>
      <c r="H2451" s="1399"/>
      <c r="I2451" s="1399">
        <v>-4748788</v>
      </c>
      <c r="J2451" s="1399">
        <v>-4748788</v>
      </c>
    </row>
    <row r="2452" spans="5:10" s="1297" customFormat="1">
      <c r="E2452" s="1297" t="s">
        <v>1047</v>
      </c>
      <c r="F2452" s="1399"/>
      <c r="G2452" s="1399"/>
      <c r="H2452" s="1399"/>
      <c r="I2452" s="1399">
        <v>1142819</v>
      </c>
      <c r="J2452" s="1399">
        <v>1142819</v>
      </c>
    </row>
    <row r="2453" spans="5:10" s="1297" customFormat="1">
      <c r="E2453" s="1297" t="s">
        <v>1048</v>
      </c>
      <c r="F2453" s="1399"/>
      <c r="G2453" s="1399"/>
      <c r="H2453" s="1399"/>
      <c r="I2453" s="1399">
        <v>-4428808</v>
      </c>
      <c r="J2453" s="1399">
        <v>-4428808</v>
      </c>
    </row>
    <row r="2454" spans="5:10" s="1297" customFormat="1">
      <c r="E2454" s="1297" t="s">
        <v>932</v>
      </c>
      <c r="F2454" s="1399"/>
      <c r="G2454" s="1399"/>
      <c r="H2454" s="1399"/>
      <c r="I2454" s="1399">
        <v>3818490</v>
      </c>
      <c r="J2454" s="1399">
        <v>3818490</v>
      </c>
    </row>
    <row r="2455" spans="5:10" s="1297" customFormat="1">
      <c r="E2455" s="1404" t="s">
        <v>955</v>
      </c>
      <c r="F2455" s="1405"/>
      <c r="G2455" s="1405"/>
      <c r="H2455" s="1405"/>
      <c r="I2455" s="1405">
        <v>1812187.51</v>
      </c>
      <c r="J2455" s="1405">
        <v>1812187.51</v>
      </c>
    </row>
    <row r="2456" spans="5:10" s="1297" customFormat="1">
      <c r="E2456" s="1297" t="s">
        <v>934</v>
      </c>
      <c r="F2456" s="1399"/>
      <c r="G2456" s="1399"/>
      <c r="H2456" s="1399"/>
      <c r="I2456" s="1399">
        <v>114192</v>
      </c>
      <c r="J2456" s="1399">
        <v>114192</v>
      </c>
    </row>
    <row r="2457" spans="5:10" s="1297" customFormat="1">
      <c r="E2457" s="1297" t="s">
        <v>935</v>
      </c>
      <c r="F2457" s="1399"/>
      <c r="G2457" s="1399"/>
      <c r="H2457" s="1399"/>
      <c r="I2457" s="1399">
        <v>684789.88</v>
      </c>
      <c r="J2457" s="1399">
        <v>684789.88</v>
      </c>
    </row>
    <row r="2458" spans="5:10" s="1297" customFormat="1">
      <c r="E2458" s="1297" t="s">
        <v>936</v>
      </c>
      <c r="F2458" s="1399"/>
      <c r="G2458" s="1399"/>
      <c r="H2458" s="1399"/>
      <c r="I2458" s="1399">
        <v>103294.41</v>
      </c>
      <c r="J2458" s="1399">
        <v>103294.41</v>
      </c>
    </row>
    <row r="2459" spans="5:10" s="1297" customFormat="1">
      <c r="E2459" s="1297" t="s">
        <v>937</v>
      </c>
      <c r="F2459" s="1399"/>
      <c r="G2459" s="1399"/>
      <c r="H2459" s="1399"/>
      <c r="I2459" s="1399">
        <v>31035.32</v>
      </c>
      <c r="J2459" s="1399">
        <v>31035.32</v>
      </c>
    </row>
    <row r="2460" spans="5:10" s="1297" customFormat="1">
      <c r="E2460" s="1297" t="s">
        <v>938</v>
      </c>
      <c r="F2460" s="1399"/>
      <c r="G2460" s="1399"/>
      <c r="H2460" s="1399"/>
      <c r="I2460" s="1399">
        <v>26015</v>
      </c>
      <c r="J2460" s="1399">
        <v>26015</v>
      </c>
    </row>
    <row r="2461" spans="5:10" s="1297" customFormat="1">
      <c r="E2461" s="1297" t="s">
        <v>939</v>
      </c>
      <c r="F2461" s="1399"/>
      <c r="G2461" s="1399"/>
      <c r="H2461" s="1399"/>
      <c r="I2461" s="1399">
        <v>84477.17</v>
      </c>
      <c r="J2461" s="1399">
        <v>84477.17</v>
      </c>
    </row>
    <row r="2462" spans="5:10" s="1297" customFormat="1">
      <c r="E2462" s="1297" t="s">
        <v>1131</v>
      </c>
      <c r="F2462" s="1399">
        <v>46946.26</v>
      </c>
      <c r="G2462" s="1399"/>
      <c r="H2462" s="1399"/>
      <c r="I2462" s="1399"/>
      <c r="J2462" s="1399">
        <v>46946.26</v>
      </c>
    </row>
    <row r="2463" spans="5:10" s="1297" customFormat="1">
      <c r="E2463" s="1297" t="s">
        <v>940</v>
      </c>
      <c r="F2463" s="1399">
        <v>1811573.5000000002</v>
      </c>
      <c r="G2463" s="1399"/>
      <c r="H2463" s="1399"/>
      <c r="I2463" s="1399"/>
      <c r="J2463" s="1399">
        <v>1811573.5000000002</v>
      </c>
    </row>
    <row r="2464" spans="5:10" s="1297" customFormat="1">
      <c r="E2464" s="1297" t="s">
        <v>941</v>
      </c>
      <c r="F2464" s="1399">
        <v>656905.46</v>
      </c>
      <c r="G2464" s="1399"/>
      <c r="H2464" s="1399"/>
      <c r="I2464" s="1399"/>
      <c r="J2464" s="1399">
        <v>656905.46</v>
      </c>
    </row>
    <row r="2465" spans="2:12">
      <c r="B2465" s="1297"/>
      <c r="C2465" s="1297"/>
      <c r="D2465" s="1297"/>
      <c r="E2465" s="1297" t="s">
        <v>943</v>
      </c>
      <c r="F2465" s="1399">
        <v>56596.68</v>
      </c>
      <c r="J2465" s="1399">
        <v>56596.68</v>
      </c>
    </row>
    <row r="2466" spans="2:12">
      <c r="B2466" s="1297"/>
      <c r="C2466" s="1297"/>
      <c r="D2466" s="1297"/>
      <c r="E2466" s="1297" t="s">
        <v>944</v>
      </c>
      <c r="F2466" s="1399">
        <v>3750673.66</v>
      </c>
      <c r="J2466" s="1399">
        <v>3750673.66</v>
      </c>
    </row>
    <row r="2467" spans="2:12">
      <c r="B2467" s="1297"/>
      <c r="C2467" s="1297"/>
      <c r="D2467" s="1297"/>
      <c r="E2467" s="1297" t="s">
        <v>945</v>
      </c>
      <c r="F2467" s="1399">
        <v>1777482.05</v>
      </c>
      <c r="J2467" s="1399">
        <v>1777482.05</v>
      </c>
    </row>
    <row r="2468" spans="2:12">
      <c r="B2468" s="1297"/>
      <c r="C2468" s="1297"/>
      <c r="D2468" s="1297"/>
      <c r="E2468" s="1297" t="s">
        <v>1214</v>
      </c>
      <c r="F2468" s="1399">
        <v>8439.07</v>
      </c>
      <c r="J2468" s="1399">
        <v>8439.07</v>
      </c>
    </row>
    <row r="2469" spans="2:12">
      <c r="B2469" s="1297"/>
      <c r="C2469" s="1297"/>
      <c r="D2469" s="1297"/>
      <c r="E2469" s="1297" t="s">
        <v>947</v>
      </c>
      <c r="F2469" s="1399">
        <v>131182.97</v>
      </c>
      <c r="J2469" s="1399">
        <v>131182.97</v>
      </c>
    </row>
    <row r="2470" spans="2:12">
      <c r="B2470" s="1297"/>
      <c r="C2470" s="1297"/>
      <c r="D2470" s="1297"/>
      <c r="E2470" s="1404" t="s">
        <v>948</v>
      </c>
      <c r="F2470" s="1405"/>
      <c r="G2470" s="1405"/>
      <c r="H2470" s="1405">
        <v>12160975.23</v>
      </c>
      <c r="I2470" s="1405"/>
      <c r="J2470" s="1405">
        <v>12160975.23</v>
      </c>
    </row>
    <row r="2471" spans="2:12">
      <c r="B2471" s="1297"/>
      <c r="C2471" s="1297"/>
      <c r="D2471" s="1297"/>
      <c r="E2471" s="1297" t="s">
        <v>956</v>
      </c>
      <c r="H2471" s="1399">
        <v>172867.26</v>
      </c>
      <c r="J2471" s="1399">
        <v>172867.26</v>
      </c>
    </row>
    <row r="2472" spans="2:12">
      <c r="B2472" s="1297"/>
      <c r="C2472" s="1297"/>
      <c r="D2472" s="1400" t="s">
        <v>1152</v>
      </c>
      <c r="E2472" s="1400"/>
      <c r="F2472" s="1401">
        <f>SUM(F2429:F2471)</f>
        <v>8239799.6500000004</v>
      </c>
      <c r="G2472" s="1401">
        <f>SUM(G2429:G2471)</f>
        <v>20370444.550000001</v>
      </c>
      <c r="H2472" s="1401">
        <f>SUM(H2429:H2471)-H2470</f>
        <v>4096814.5499999989</v>
      </c>
      <c r="I2472" s="1401">
        <f>SUM(I2429:I2471)-I2455</f>
        <v>33865278.780000001</v>
      </c>
      <c r="J2472" s="1401">
        <f>SUM(J2429:J2471)</f>
        <v>80545500.269999996</v>
      </c>
      <c r="K2472" s="1401">
        <f>SUM(F2472:I2472)</f>
        <v>66572337.530000001</v>
      </c>
      <c r="L2472" s="1408">
        <f>K2472/C2429</f>
        <v>10262.422927393249</v>
      </c>
    </row>
    <row r="2473" spans="2:12">
      <c r="B2473" s="1297" t="s">
        <v>1153</v>
      </c>
      <c r="C2473" s="1297">
        <v>4282</v>
      </c>
      <c r="D2473" s="1297" t="s">
        <v>1154</v>
      </c>
      <c r="E2473" s="1297" t="s">
        <v>906</v>
      </c>
      <c r="G2473" s="1399">
        <v>7531688.2699999996</v>
      </c>
      <c r="J2473" s="1399">
        <v>7531688.2699999996</v>
      </c>
    </row>
    <row r="2474" spans="2:12">
      <c r="B2474" s="1297"/>
      <c r="C2474" s="1297"/>
      <c r="D2474" s="1297"/>
      <c r="E2474" s="1297" t="s">
        <v>907</v>
      </c>
      <c r="G2474" s="1399">
        <v>2659638.12</v>
      </c>
      <c r="J2474" s="1399">
        <v>2659638.12</v>
      </c>
    </row>
    <row r="2475" spans="2:12">
      <c r="B2475" s="1297"/>
      <c r="C2475" s="1297"/>
      <c r="D2475" s="1297"/>
      <c r="E2475" s="1297" t="s">
        <v>908</v>
      </c>
      <c r="G2475" s="1399">
        <v>91895.73</v>
      </c>
      <c r="J2475" s="1399">
        <v>91895.73</v>
      </c>
    </row>
    <row r="2476" spans="2:12">
      <c r="B2476" s="1297"/>
      <c r="C2476" s="1297"/>
      <c r="D2476" s="1297"/>
      <c r="E2476" s="1297" t="s">
        <v>909</v>
      </c>
      <c r="H2476" s="1399">
        <v>68139.7</v>
      </c>
      <c r="J2476" s="1399">
        <v>68139.7</v>
      </c>
    </row>
    <row r="2477" spans="2:12">
      <c r="B2477" s="1297"/>
      <c r="C2477" s="1297"/>
      <c r="D2477" s="1297"/>
      <c r="E2477" s="1297" t="s">
        <v>910</v>
      </c>
      <c r="H2477" s="1399">
        <v>294263.69</v>
      </c>
      <c r="J2477" s="1399">
        <v>294263.69</v>
      </c>
    </row>
    <row r="2478" spans="2:12">
      <c r="B2478" s="1297"/>
      <c r="C2478" s="1297"/>
      <c r="D2478" s="1297"/>
      <c r="E2478" s="1297" t="s">
        <v>1034</v>
      </c>
      <c r="H2478" s="1399">
        <v>79582.31</v>
      </c>
      <c r="J2478" s="1399">
        <v>79582.31</v>
      </c>
    </row>
    <row r="2479" spans="2:12">
      <c r="B2479" s="1297"/>
      <c r="C2479" s="1297"/>
      <c r="D2479" s="1297"/>
      <c r="E2479" s="1297" t="s">
        <v>1035</v>
      </c>
      <c r="H2479" s="1399">
        <v>412898.2</v>
      </c>
      <c r="J2479" s="1399">
        <v>412898.2</v>
      </c>
    </row>
    <row r="2480" spans="2:12">
      <c r="B2480" s="1297"/>
      <c r="C2480" s="1297"/>
      <c r="D2480" s="1297"/>
      <c r="E2480" s="1297" t="s">
        <v>1036</v>
      </c>
      <c r="H2480" s="1399">
        <v>215880.68</v>
      </c>
      <c r="J2480" s="1399">
        <v>215880.68</v>
      </c>
    </row>
    <row r="2481" spans="5:10" s="1297" customFormat="1">
      <c r="E2481" s="1297" t="s">
        <v>1037</v>
      </c>
      <c r="F2481" s="1399"/>
      <c r="G2481" s="1399"/>
      <c r="H2481" s="1399">
        <v>9390</v>
      </c>
      <c r="I2481" s="1399"/>
      <c r="J2481" s="1399">
        <v>9390</v>
      </c>
    </row>
    <row r="2482" spans="5:10" s="1297" customFormat="1">
      <c r="E2482" s="1297" t="s">
        <v>1039</v>
      </c>
      <c r="F2482" s="1399"/>
      <c r="G2482" s="1399"/>
      <c r="H2482" s="1399">
        <v>13062.32</v>
      </c>
      <c r="I2482" s="1399"/>
      <c r="J2482" s="1399">
        <v>13062.32</v>
      </c>
    </row>
    <row r="2483" spans="5:10" s="1297" customFormat="1">
      <c r="E2483" s="1297" t="s">
        <v>1040</v>
      </c>
      <c r="F2483" s="1399"/>
      <c r="G2483" s="1399"/>
      <c r="H2483" s="1399">
        <v>174414.55</v>
      </c>
      <c r="I2483" s="1399"/>
      <c r="J2483" s="1399">
        <v>174414.55</v>
      </c>
    </row>
    <row r="2484" spans="5:10" s="1297" customFormat="1">
      <c r="E2484" s="1297" t="s">
        <v>1041</v>
      </c>
      <c r="F2484" s="1399"/>
      <c r="G2484" s="1399"/>
      <c r="H2484" s="1399">
        <v>19509.8</v>
      </c>
      <c r="I2484" s="1399"/>
      <c r="J2484" s="1399">
        <v>19509.8</v>
      </c>
    </row>
    <row r="2485" spans="5:10" s="1297" customFormat="1">
      <c r="E2485" s="1297" t="s">
        <v>1042</v>
      </c>
      <c r="F2485" s="1399"/>
      <c r="G2485" s="1399"/>
      <c r="H2485" s="1399">
        <v>50834</v>
      </c>
      <c r="I2485" s="1399"/>
      <c r="J2485" s="1399">
        <v>50834</v>
      </c>
    </row>
    <row r="2486" spans="5:10" s="1297" customFormat="1">
      <c r="E2486" s="1297" t="s">
        <v>985</v>
      </c>
      <c r="F2486" s="1399"/>
      <c r="G2486" s="1399"/>
      <c r="H2486" s="1399">
        <v>91339.75</v>
      </c>
      <c r="I2486" s="1399"/>
      <c r="J2486" s="1399">
        <v>91339.75</v>
      </c>
    </row>
    <row r="2487" spans="5:10" s="1297" customFormat="1">
      <c r="E2487" s="1297" t="s">
        <v>986</v>
      </c>
      <c r="F2487" s="1399"/>
      <c r="G2487" s="1399"/>
      <c r="H2487" s="1399">
        <v>86500</v>
      </c>
      <c r="I2487" s="1399"/>
      <c r="J2487" s="1399">
        <v>86500</v>
      </c>
    </row>
    <row r="2488" spans="5:10" s="1297" customFormat="1">
      <c r="E2488" s="1297" t="s">
        <v>1044</v>
      </c>
      <c r="F2488" s="1399">
        <v>24753</v>
      </c>
      <c r="G2488" s="1399"/>
      <c r="H2488" s="1399"/>
      <c r="I2488" s="1399"/>
      <c r="J2488" s="1399">
        <v>24753</v>
      </c>
    </row>
    <row r="2489" spans="5:10" s="1297" customFormat="1">
      <c r="E2489" s="1297" t="s">
        <v>1045</v>
      </c>
      <c r="F2489" s="1399"/>
      <c r="G2489" s="1399"/>
      <c r="H2489" s="1399">
        <v>153049.31999999998</v>
      </c>
      <c r="I2489" s="1399"/>
      <c r="J2489" s="1399">
        <v>153049.31999999998</v>
      </c>
    </row>
    <row r="2490" spans="5:10" s="1297" customFormat="1">
      <c r="E2490" s="1297" t="s">
        <v>1046</v>
      </c>
      <c r="F2490" s="1399"/>
      <c r="G2490" s="1399"/>
      <c r="H2490" s="1399"/>
      <c r="I2490" s="1399">
        <v>22824923</v>
      </c>
      <c r="J2490" s="1399">
        <v>22824923</v>
      </c>
    </row>
    <row r="2491" spans="5:10" s="1297" customFormat="1">
      <c r="E2491" s="1297" t="s">
        <v>1128</v>
      </c>
      <c r="F2491" s="1399"/>
      <c r="G2491" s="1399"/>
      <c r="H2491" s="1399"/>
      <c r="I2491" s="1399">
        <v>1833449</v>
      </c>
      <c r="J2491" s="1399">
        <v>1833449</v>
      </c>
    </row>
    <row r="2492" spans="5:10" s="1297" customFormat="1">
      <c r="E2492" s="1297" t="s">
        <v>1129</v>
      </c>
      <c r="F2492" s="1399"/>
      <c r="G2492" s="1399"/>
      <c r="H2492" s="1399"/>
      <c r="I2492" s="1399">
        <v>-3230025</v>
      </c>
      <c r="J2492" s="1399">
        <v>-3230025</v>
      </c>
    </row>
    <row r="2493" spans="5:10" s="1297" customFormat="1">
      <c r="E2493" s="1297" t="s">
        <v>1047</v>
      </c>
      <c r="F2493" s="1399"/>
      <c r="G2493" s="1399"/>
      <c r="H2493" s="1399"/>
      <c r="I2493" s="1399">
        <v>641686</v>
      </c>
      <c r="J2493" s="1399">
        <v>641686</v>
      </c>
    </row>
    <row r="2494" spans="5:10" s="1297" customFormat="1">
      <c r="E2494" s="1297" t="s">
        <v>1048</v>
      </c>
      <c r="F2494" s="1399"/>
      <c r="G2494" s="1399"/>
      <c r="H2494" s="1399"/>
      <c r="I2494" s="1399">
        <v>-2615676</v>
      </c>
      <c r="J2494" s="1399">
        <v>-2615676</v>
      </c>
    </row>
    <row r="2495" spans="5:10" s="1297" customFormat="1">
      <c r="E2495" s="1297" t="s">
        <v>932</v>
      </c>
      <c r="F2495" s="1399"/>
      <c r="G2495" s="1399"/>
      <c r="H2495" s="1399"/>
      <c r="I2495" s="1399">
        <v>2051522</v>
      </c>
      <c r="J2495" s="1399">
        <v>2051522</v>
      </c>
    </row>
    <row r="2496" spans="5:10" s="1297" customFormat="1">
      <c r="E2496" s="1404" t="s">
        <v>955</v>
      </c>
      <c r="F2496" s="1405"/>
      <c r="G2496" s="1405"/>
      <c r="H2496" s="1405"/>
      <c r="I2496" s="1405">
        <v>1044359.87</v>
      </c>
      <c r="J2496" s="1405">
        <v>1044359.87</v>
      </c>
    </row>
    <row r="2497" spans="2:12">
      <c r="B2497" s="1297"/>
      <c r="C2497" s="1297"/>
      <c r="D2497" s="1297"/>
      <c r="E2497" s="1297" t="s">
        <v>934</v>
      </c>
      <c r="I2497" s="1399">
        <v>66950</v>
      </c>
      <c r="J2497" s="1399">
        <v>66950</v>
      </c>
    </row>
    <row r="2498" spans="2:12">
      <c r="B2498" s="1297"/>
      <c r="C2498" s="1297"/>
      <c r="D2498" s="1297"/>
      <c r="E2498" s="1297" t="s">
        <v>935</v>
      </c>
      <c r="I2498" s="1399">
        <v>99349.03</v>
      </c>
      <c r="J2498" s="1399">
        <v>99349.03</v>
      </c>
    </row>
    <row r="2499" spans="2:12">
      <c r="B2499" s="1297"/>
      <c r="C2499" s="1297"/>
      <c r="D2499" s="1297"/>
      <c r="E2499" s="1297" t="s">
        <v>936</v>
      </c>
      <c r="I2499" s="1399">
        <v>74932.210000000006</v>
      </c>
      <c r="J2499" s="1399">
        <v>74932.210000000006</v>
      </c>
    </row>
    <row r="2500" spans="2:12">
      <c r="B2500" s="1297"/>
      <c r="C2500" s="1297"/>
      <c r="D2500" s="1297"/>
      <c r="E2500" s="1297" t="s">
        <v>938</v>
      </c>
      <c r="I2500" s="1399">
        <v>23395</v>
      </c>
      <c r="J2500" s="1399">
        <v>23395</v>
      </c>
    </row>
    <row r="2501" spans="2:12">
      <c r="B2501" s="1297"/>
      <c r="C2501" s="1297"/>
      <c r="D2501" s="1297"/>
      <c r="E2501" s="1297" t="s">
        <v>940</v>
      </c>
      <c r="F2501" s="1399">
        <v>1333517.8999999999</v>
      </c>
      <c r="J2501" s="1399">
        <v>1333517.8999999999</v>
      </c>
    </row>
    <row r="2502" spans="2:12">
      <c r="B2502" s="1297"/>
      <c r="C2502" s="1297"/>
      <c r="D2502" s="1297"/>
      <c r="E2502" s="1297" t="s">
        <v>941</v>
      </c>
      <c r="F2502" s="1399">
        <v>576495.1</v>
      </c>
      <c r="J2502" s="1399">
        <v>576495.1</v>
      </c>
    </row>
    <row r="2503" spans="2:12">
      <c r="B2503" s="1297"/>
      <c r="C2503" s="1297"/>
      <c r="D2503" s="1297"/>
      <c r="E2503" s="1297" t="s">
        <v>943</v>
      </c>
      <c r="F2503" s="1399">
        <v>3850.22</v>
      </c>
      <c r="J2503" s="1399">
        <v>3850.22</v>
      </c>
    </row>
    <row r="2504" spans="2:12">
      <c r="B2504" s="1297"/>
      <c r="C2504" s="1297"/>
      <c r="D2504" s="1297"/>
      <c r="E2504" s="1297" t="s">
        <v>944</v>
      </c>
      <c r="F2504" s="1399">
        <v>3518205.33</v>
      </c>
      <c r="J2504" s="1399">
        <v>3518205.33</v>
      </c>
    </row>
    <row r="2505" spans="2:12">
      <c r="B2505" s="1297"/>
      <c r="C2505" s="1297"/>
      <c r="D2505" s="1297"/>
      <c r="E2505" s="1297" t="s">
        <v>945</v>
      </c>
      <c r="F2505" s="1399">
        <v>1917365.52</v>
      </c>
      <c r="J2505" s="1399">
        <v>1917365.52</v>
      </c>
    </row>
    <row r="2506" spans="2:12">
      <c r="B2506" s="1297"/>
      <c r="C2506" s="1297"/>
      <c r="D2506" s="1297"/>
      <c r="E2506" s="1297" t="s">
        <v>946</v>
      </c>
      <c r="F2506" s="1399">
        <v>194911.71000000002</v>
      </c>
      <c r="J2506" s="1399">
        <v>194911.71000000002</v>
      </c>
    </row>
    <row r="2507" spans="2:12">
      <c r="B2507" s="1297"/>
      <c r="C2507" s="1297"/>
      <c r="D2507" s="1297"/>
      <c r="E2507" s="359" t="s">
        <v>947</v>
      </c>
      <c r="F2507" s="1411">
        <v>160321.59</v>
      </c>
      <c r="G2507" s="1411"/>
      <c r="H2507" s="1411"/>
      <c r="I2507" s="1411"/>
      <c r="J2507" s="1399">
        <v>160321.59</v>
      </c>
    </row>
    <row r="2508" spans="2:12">
      <c r="B2508" s="1297"/>
      <c r="C2508" s="1297"/>
      <c r="D2508" s="1297"/>
      <c r="E2508" s="1404" t="s">
        <v>948</v>
      </c>
      <c r="F2508" s="1405"/>
      <c r="G2508" s="1405"/>
      <c r="H2508" s="1405">
        <v>315395.37</v>
      </c>
      <c r="I2508" s="1405"/>
      <c r="J2508" s="1405">
        <v>315395.37</v>
      </c>
    </row>
    <row r="2509" spans="2:12">
      <c r="B2509" s="1297"/>
      <c r="C2509" s="1297"/>
      <c r="D2509" s="1297"/>
      <c r="E2509" s="1297" t="s">
        <v>956</v>
      </c>
      <c r="H2509" s="1399">
        <v>679.1</v>
      </c>
      <c r="J2509" s="1399">
        <v>679.1</v>
      </c>
    </row>
    <row r="2510" spans="2:12">
      <c r="B2510" s="1297"/>
      <c r="C2510" s="1297"/>
      <c r="D2510" s="1400" t="s">
        <v>1155</v>
      </c>
      <c r="E2510" s="1400"/>
      <c r="F2510" s="1401">
        <f>SUM(F2473:F2509)</f>
        <v>7729420.3700000001</v>
      </c>
      <c r="G2510" s="1401">
        <f>SUM(G2473:G2509)</f>
        <v>10283222.120000001</v>
      </c>
      <c r="H2510" s="1401">
        <f>SUM(H2473:H2509)-H2508</f>
        <v>1669543.4200000004</v>
      </c>
      <c r="I2510" s="1401">
        <f>SUM(I2473:I2509)-I2496</f>
        <v>21770505.240000002</v>
      </c>
      <c r="J2510" s="1401">
        <f>SUM(J2473:J2509)</f>
        <v>42812446.390000001</v>
      </c>
      <c r="K2510" s="1401">
        <f>SUM(F2510:I2510)</f>
        <v>41452691.150000006</v>
      </c>
      <c r="L2510" s="1408">
        <f>K2510/C2473</f>
        <v>9680.6845282578251</v>
      </c>
    </row>
    <row r="2511" spans="2:12">
      <c r="B2511" s="1297" t="s">
        <v>1156</v>
      </c>
      <c r="C2511" s="1297">
        <f>1990-'[2]1$REV-DATA-GAcharterAuditdata'!G70</f>
        <v>1803</v>
      </c>
      <c r="D2511" s="1297" t="s">
        <v>1157</v>
      </c>
      <c r="E2511" s="1297" t="s">
        <v>906</v>
      </c>
      <c r="G2511" s="1399">
        <v>17693729.260000002</v>
      </c>
      <c r="J2511" s="1399">
        <v>17693729.260000002</v>
      </c>
    </row>
    <row r="2512" spans="2:12">
      <c r="B2512" s="1297"/>
      <c r="C2512" s="1297"/>
      <c r="D2512" s="1297"/>
      <c r="E2512" s="1297" t="s">
        <v>907</v>
      </c>
      <c r="G2512" s="1399">
        <v>2978428.74</v>
      </c>
      <c r="J2512" s="1399">
        <v>2978428.74</v>
      </c>
    </row>
    <row r="2513" spans="5:10" s="1297" customFormat="1">
      <c r="E2513" s="1297" t="s">
        <v>908</v>
      </c>
      <c r="F2513" s="1399"/>
      <c r="G2513" s="1399">
        <v>121537.36</v>
      </c>
      <c r="H2513" s="1399"/>
      <c r="I2513" s="1399"/>
      <c r="J2513" s="1399">
        <v>121537.36</v>
      </c>
    </row>
    <row r="2514" spans="5:10" s="1297" customFormat="1">
      <c r="E2514" s="1297" t="s">
        <v>909</v>
      </c>
      <c r="F2514" s="1399"/>
      <c r="G2514" s="1399"/>
      <c r="H2514" s="1399">
        <v>12622.52</v>
      </c>
      <c r="I2514" s="1399"/>
      <c r="J2514" s="1399">
        <v>12622.52</v>
      </c>
    </row>
    <row r="2515" spans="5:10" s="1297" customFormat="1">
      <c r="E2515" s="1297" t="s">
        <v>910</v>
      </c>
      <c r="F2515" s="1399"/>
      <c r="G2515" s="1399"/>
      <c r="H2515" s="1399">
        <v>2067.9</v>
      </c>
      <c r="I2515" s="1399"/>
      <c r="J2515" s="1399">
        <v>2067.9</v>
      </c>
    </row>
    <row r="2516" spans="5:10" s="1297" customFormat="1">
      <c r="E2516" s="1297" t="s">
        <v>1034</v>
      </c>
      <c r="F2516" s="1399"/>
      <c r="G2516" s="1399"/>
      <c r="H2516" s="1399">
        <v>8530.57</v>
      </c>
      <c r="I2516" s="1399"/>
      <c r="J2516" s="1399">
        <v>8530.57</v>
      </c>
    </row>
    <row r="2517" spans="5:10" s="1297" customFormat="1">
      <c r="E2517" s="1297" t="s">
        <v>1035</v>
      </c>
      <c r="F2517" s="1399"/>
      <c r="G2517" s="1399"/>
      <c r="H2517" s="1399">
        <v>81961.210000000006</v>
      </c>
      <c r="I2517" s="1399"/>
      <c r="J2517" s="1399">
        <v>81961.210000000006</v>
      </c>
    </row>
    <row r="2518" spans="5:10" s="1297" customFormat="1">
      <c r="E2518" s="1297" t="s">
        <v>1036</v>
      </c>
      <c r="F2518" s="1399"/>
      <c r="G2518" s="1399"/>
      <c r="H2518" s="1399">
        <v>97772.43</v>
      </c>
      <c r="I2518" s="1399"/>
      <c r="J2518" s="1399">
        <v>97772.43</v>
      </c>
    </row>
    <row r="2519" spans="5:10" s="1297" customFormat="1">
      <c r="E2519" s="1297" t="s">
        <v>1105</v>
      </c>
      <c r="F2519" s="1399"/>
      <c r="G2519" s="1399"/>
      <c r="H2519" s="1399">
        <v>37919.520000000004</v>
      </c>
      <c r="I2519" s="1399"/>
      <c r="J2519" s="1399">
        <v>37919.520000000004</v>
      </c>
    </row>
    <row r="2520" spans="5:10" s="1297" customFormat="1">
      <c r="E2520" s="1297" t="s">
        <v>1039</v>
      </c>
      <c r="F2520" s="1399"/>
      <c r="G2520" s="1399"/>
      <c r="H2520" s="1399">
        <v>92372.85</v>
      </c>
      <c r="I2520" s="1399"/>
      <c r="J2520" s="1399">
        <v>92372.85</v>
      </c>
    </row>
    <row r="2521" spans="5:10" s="1297" customFormat="1">
      <c r="E2521" s="1297" t="s">
        <v>1041</v>
      </c>
      <c r="F2521" s="1399"/>
      <c r="G2521" s="1399"/>
      <c r="H2521" s="1399">
        <v>5224.26</v>
      </c>
      <c r="I2521" s="1399"/>
      <c r="J2521" s="1399">
        <v>5224.26</v>
      </c>
    </row>
    <row r="2522" spans="5:10" s="1297" customFormat="1">
      <c r="E2522" s="1297" t="s">
        <v>1042</v>
      </c>
      <c r="F2522" s="1399"/>
      <c r="G2522" s="1399"/>
      <c r="H2522" s="1399">
        <v>42706.39</v>
      </c>
      <c r="I2522" s="1399"/>
      <c r="J2522" s="1399">
        <v>42706.39</v>
      </c>
    </row>
    <row r="2523" spans="5:10" s="1297" customFormat="1">
      <c r="E2523" s="1297" t="s">
        <v>986</v>
      </c>
      <c r="F2523" s="1399"/>
      <c r="G2523" s="1399"/>
      <c r="H2523" s="1399">
        <v>60262.38</v>
      </c>
      <c r="I2523" s="1399"/>
      <c r="J2523" s="1399">
        <v>60262.38</v>
      </c>
    </row>
    <row r="2524" spans="5:10" s="1297" customFormat="1">
      <c r="E2524" s="1297" t="s">
        <v>991</v>
      </c>
      <c r="F2524" s="1399"/>
      <c r="G2524" s="1399"/>
      <c r="H2524" s="1399">
        <v>90</v>
      </c>
      <c r="I2524" s="1399"/>
      <c r="J2524" s="1399">
        <v>90</v>
      </c>
    </row>
    <row r="2525" spans="5:10" s="1297" customFormat="1">
      <c r="E2525" s="1297" t="s">
        <v>1044</v>
      </c>
      <c r="F2525" s="1399">
        <v>44166</v>
      </c>
      <c r="G2525" s="1399"/>
      <c r="H2525" s="1399"/>
      <c r="I2525" s="1399"/>
      <c r="J2525" s="1399">
        <v>44166</v>
      </c>
    </row>
    <row r="2526" spans="5:10" s="1297" customFormat="1">
      <c r="E2526" s="1297" t="s">
        <v>1045</v>
      </c>
      <c r="F2526" s="1399"/>
      <c r="G2526" s="1399"/>
      <c r="H2526" s="1399">
        <v>1406391.9900000002</v>
      </c>
      <c r="I2526" s="1399"/>
      <c r="J2526" s="1399">
        <v>1406391.9900000002</v>
      </c>
    </row>
    <row r="2527" spans="5:10" s="1297" customFormat="1">
      <c r="E2527" s="1297" t="s">
        <v>1046</v>
      </c>
      <c r="F2527" s="1399"/>
      <c r="G2527" s="1399"/>
      <c r="H2527" s="1399"/>
      <c r="I2527" s="1399">
        <v>11040897</v>
      </c>
      <c r="J2527" s="1399">
        <v>11040897</v>
      </c>
    </row>
    <row r="2528" spans="5:10" s="1297" customFormat="1">
      <c r="E2528" s="1297" t="s">
        <v>1047</v>
      </c>
      <c r="F2528" s="1399"/>
      <c r="G2528" s="1399"/>
      <c r="H2528" s="1399"/>
      <c r="I2528" s="1399">
        <v>408104</v>
      </c>
      <c r="J2528" s="1399">
        <v>408104</v>
      </c>
    </row>
    <row r="2529" spans="5:10" s="1297" customFormat="1">
      <c r="E2529" s="1297" t="s">
        <v>1048</v>
      </c>
      <c r="F2529" s="1399"/>
      <c r="G2529" s="1399"/>
      <c r="H2529" s="1399"/>
      <c r="I2529" s="1399">
        <v>-7664471</v>
      </c>
      <c r="J2529" s="1399">
        <v>-7664471</v>
      </c>
    </row>
    <row r="2530" spans="5:10" s="1297" customFormat="1">
      <c r="E2530" s="1297" t="s">
        <v>933</v>
      </c>
      <c r="F2530" s="1399"/>
      <c r="G2530" s="1399"/>
      <c r="H2530" s="1399"/>
      <c r="I2530" s="1399">
        <v>537965.01</v>
      </c>
      <c r="J2530" s="1399">
        <v>537965.01</v>
      </c>
    </row>
    <row r="2531" spans="5:10" s="1297" customFormat="1">
      <c r="E2531" s="1297" t="s">
        <v>934</v>
      </c>
      <c r="F2531" s="1399"/>
      <c r="G2531" s="1399"/>
      <c r="H2531" s="1399"/>
      <c r="I2531" s="1399">
        <v>36656</v>
      </c>
      <c r="J2531" s="1399">
        <v>36656</v>
      </c>
    </row>
    <row r="2532" spans="5:10" s="1297" customFormat="1">
      <c r="E2532" s="1297" t="s">
        <v>935</v>
      </c>
      <c r="F2532" s="1399"/>
      <c r="G2532" s="1399"/>
      <c r="H2532" s="1399"/>
      <c r="I2532" s="1399">
        <v>316196.74</v>
      </c>
      <c r="J2532" s="1399">
        <v>316196.74</v>
      </c>
    </row>
    <row r="2533" spans="5:10" s="1297" customFormat="1">
      <c r="E2533" s="1297" t="s">
        <v>936</v>
      </c>
      <c r="F2533" s="1399"/>
      <c r="G2533" s="1399"/>
      <c r="H2533" s="1399"/>
      <c r="I2533" s="1399">
        <v>39917.160000000003</v>
      </c>
      <c r="J2533" s="1399">
        <v>39917.160000000003</v>
      </c>
    </row>
    <row r="2534" spans="5:10" s="1297" customFormat="1">
      <c r="E2534" s="1297" t="s">
        <v>937</v>
      </c>
      <c r="F2534" s="1399"/>
      <c r="G2534" s="1399"/>
      <c r="H2534" s="1399"/>
      <c r="I2534" s="1399">
        <v>37618.04</v>
      </c>
      <c r="J2534" s="1399">
        <v>37618.04</v>
      </c>
    </row>
    <row r="2535" spans="5:10" s="1297" customFormat="1">
      <c r="E2535" s="1297" t="s">
        <v>938</v>
      </c>
      <c r="F2535" s="1399"/>
      <c r="G2535" s="1399"/>
      <c r="H2535" s="1399"/>
      <c r="I2535" s="1399">
        <v>11978</v>
      </c>
      <c r="J2535" s="1399">
        <v>11978</v>
      </c>
    </row>
    <row r="2536" spans="5:10" s="1297" customFormat="1">
      <c r="E2536" s="1297" t="s">
        <v>939</v>
      </c>
      <c r="F2536" s="1399"/>
      <c r="G2536" s="1399"/>
      <c r="H2536" s="1399"/>
      <c r="I2536" s="1399">
        <v>85092.41</v>
      </c>
      <c r="J2536" s="1399">
        <v>85092.41</v>
      </c>
    </row>
    <row r="2537" spans="5:10" s="1297" customFormat="1">
      <c r="E2537" s="1297" t="s">
        <v>1131</v>
      </c>
      <c r="F2537" s="1399">
        <v>533070.05000000005</v>
      </c>
      <c r="G2537" s="1399"/>
      <c r="H2537" s="1399"/>
      <c r="I2537" s="1399"/>
      <c r="J2537" s="1399">
        <v>533070.05000000005</v>
      </c>
    </row>
    <row r="2538" spans="5:10" s="1297" customFormat="1">
      <c r="E2538" s="1297" t="s">
        <v>940</v>
      </c>
      <c r="F2538" s="1399">
        <v>741560.94</v>
      </c>
      <c r="G2538" s="1399"/>
      <c r="H2538" s="1399"/>
      <c r="I2538" s="1399"/>
      <c r="J2538" s="1399">
        <v>741560.94</v>
      </c>
    </row>
    <row r="2539" spans="5:10" s="1297" customFormat="1">
      <c r="E2539" s="1297" t="s">
        <v>941</v>
      </c>
      <c r="F2539" s="1399">
        <v>398318.3</v>
      </c>
      <c r="G2539" s="1399"/>
      <c r="H2539" s="1399"/>
      <c r="I2539" s="1399"/>
      <c r="J2539" s="1399">
        <v>398318.3</v>
      </c>
    </row>
    <row r="2540" spans="5:10" s="1297" customFormat="1">
      <c r="E2540" s="1297" t="s">
        <v>943</v>
      </c>
      <c r="F2540" s="1399">
        <v>19050.560000000001</v>
      </c>
      <c r="G2540" s="1399"/>
      <c r="H2540" s="1399"/>
      <c r="I2540" s="1399"/>
      <c r="J2540" s="1399">
        <v>19050.560000000001</v>
      </c>
    </row>
    <row r="2541" spans="5:10" s="1297" customFormat="1">
      <c r="E2541" s="1297" t="s">
        <v>944</v>
      </c>
      <c r="F2541" s="1399">
        <v>2153924.15</v>
      </c>
      <c r="G2541" s="1399"/>
      <c r="H2541" s="1399"/>
      <c r="I2541" s="1399"/>
      <c r="J2541" s="1399">
        <v>2153924.15</v>
      </c>
    </row>
    <row r="2542" spans="5:10" s="1297" customFormat="1">
      <c r="E2542" s="1297" t="s">
        <v>945</v>
      </c>
      <c r="F2542" s="1399">
        <v>740046</v>
      </c>
      <c r="G2542" s="1399"/>
      <c r="H2542" s="1399"/>
      <c r="I2542" s="1399"/>
      <c r="J2542" s="1399">
        <v>740046</v>
      </c>
    </row>
    <row r="2543" spans="5:10" s="1297" customFormat="1">
      <c r="E2543" s="1297" t="s">
        <v>1214</v>
      </c>
      <c r="F2543" s="1399">
        <v>33954.639999999999</v>
      </c>
      <c r="G2543" s="1399"/>
      <c r="H2543" s="1399"/>
      <c r="I2543" s="1399"/>
      <c r="J2543" s="1399">
        <v>33954.639999999999</v>
      </c>
    </row>
    <row r="2544" spans="5:10" s="1297" customFormat="1">
      <c r="E2544" s="1297" t="s">
        <v>947</v>
      </c>
      <c r="F2544" s="1399">
        <v>77831.929999999993</v>
      </c>
      <c r="G2544" s="1399"/>
      <c r="H2544" s="1399"/>
      <c r="I2544" s="1399"/>
      <c r="J2544" s="1399">
        <v>77831.929999999993</v>
      </c>
    </row>
    <row r="2545" spans="2:12">
      <c r="B2545" s="1297"/>
      <c r="C2545" s="1297"/>
      <c r="D2545" s="1297"/>
      <c r="E2545" s="1404" t="s">
        <v>948</v>
      </c>
      <c r="F2545" s="1405"/>
      <c r="G2545" s="1405"/>
      <c r="H2545" s="1405">
        <v>4835314.0100000007</v>
      </c>
      <c r="I2545" s="1405"/>
      <c r="J2545" s="1405">
        <v>4835314.0100000007</v>
      </c>
    </row>
    <row r="2546" spans="2:12">
      <c r="B2546" s="1297"/>
      <c r="C2546" s="1297"/>
      <c r="D2546" s="1297"/>
      <c r="E2546" s="1297" t="s">
        <v>1118</v>
      </c>
      <c r="H2546" s="1399">
        <v>13602.28</v>
      </c>
      <c r="J2546" s="1399">
        <v>13602.28</v>
      </c>
    </row>
    <row r="2547" spans="2:12">
      <c r="B2547" s="1297"/>
      <c r="C2547" s="1297"/>
      <c r="D2547" s="1400" t="s">
        <v>1158</v>
      </c>
      <c r="E2547" s="1400" t="s">
        <v>1641</v>
      </c>
      <c r="F2547" s="1401">
        <f>SUM(F2511:F2546)-'1$REV-CharterAuditData'!BM70</f>
        <v>4619414.5699999994</v>
      </c>
      <c r="G2547" s="1401">
        <f>SUM(G2511:G2546)-'1$REV-CharterAuditData'!Q70</f>
        <v>19959787.359999999</v>
      </c>
      <c r="H2547" s="1401">
        <f>SUM(H2511:H2546)-H2545</f>
        <v>1861524.3000000007</v>
      </c>
      <c r="I2547" s="1401">
        <f>SUM(I2511:I2546)-'1$REV-CharterAuditData'!AZ70</f>
        <v>3896141.3600000003</v>
      </c>
      <c r="J2547" s="1401">
        <f>SUM(J2511:J2546)</f>
        <v>37082409.600000001</v>
      </c>
      <c r="K2547" s="1401">
        <f>SUM(F2547:I2547)</f>
        <v>30336867.59</v>
      </c>
      <c r="L2547" s="1408">
        <f>K2547/C2511</f>
        <v>16825.772373821408</v>
      </c>
    </row>
    <row r="2548" spans="2:12">
      <c r="B2548" s="1297" t="s">
        <v>1159</v>
      </c>
      <c r="C2548" s="1297">
        <f>158312-'[2]1$REV-DATA-GAcharterAuditdata'!G64</f>
        <v>157510</v>
      </c>
      <c r="D2548" s="1297" t="s">
        <v>1160</v>
      </c>
      <c r="E2548" s="1297" t="s">
        <v>906</v>
      </c>
      <c r="G2548" s="1399">
        <v>557912137.34000003</v>
      </c>
      <c r="J2548" s="1399">
        <v>557912137.34000003</v>
      </c>
    </row>
    <row r="2549" spans="2:12">
      <c r="B2549" s="1297"/>
      <c r="C2549" s="1297"/>
      <c r="D2549" s="1297"/>
      <c r="E2549" s="1297" t="s">
        <v>952</v>
      </c>
      <c r="G2549" s="1399">
        <v>7078157.5499999998</v>
      </c>
      <c r="J2549" s="1399">
        <v>7078157.5499999998</v>
      </c>
    </row>
    <row r="2550" spans="2:12">
      <c r="B2550" s="1297"/>
      <c r="C2550" s="1297"/>
      <c r="D2550" s="1297"/>
      <c r="E2550" s="1297" t="s">
        <v>907</v>
      </c>
      <c r="G2550" s="1399">
        <v>128178527.06</v>
      </c>
      <c r="J2550" s="1399">
        <v>128178527.06</v>
      </c>
    </row>
    <row r="2551" spans="2:12">
      <c r="B2551" s="1297"/>
      <c r="C2551" s="1297"/>
      <c r="D2551" s="1297"/>
      <c r="E2551" s="1297" t="s">
        <v>908</v>
      </c>
      <c r="G2551" s="1399">
        <v>59262.09</v>
      </c>
      <c r="J2551" s="1399">
        <v>59262.09</v>
      </c>
    </row>
    <row r="2552" spans="2:12">
      <c r="B2552" s="1297"/>
      <c r="C2552" s="1297"/>
      <c r="D2552" s="1297"/>
      <c r="E2552" s="1297" t="s">
        <v>1122</v>
      </c>
      <c r="H2552" s="1399">
        <v>-1102776</v>
      </c>
      <c r="J2552" s="1399">
        <v>-1102776</v>
      </c>
    </row>
    <row r="2553" spans="2:12">
      <c r="B2553" s="1297"/>
      <c r="C2553" s="1297"/>
      <c r="D2553" s="1297"/>
      <c r="E2553" s="1297" t="s">
        <v>909</v>
      </c>
      <c r="H2553" s="1399">
        <v>3339314.8599999985</v>
      </c>
      <c r="J2553" s="1399">
        <v>3339314.8599999985</v>
      </c>
    </row>
    <row r="2554" spans="2:12">
      <c r="B2554" s="1297"/>
      <c r="C2554" s="1297"/>
      <c r="D2554" s="1297"/>
      <c r="E2554" s="1297" t="s">
        <v>910</v>
      </c>
      <c r="H2554" s="1399">
        <v>13430200.320000008</v>
      </c>
      <c r="J2554" s="1399">
        <v>13430200.320000008</v>
      </c>
    </row>
    <row r="2555" spans="2:12">
      <c r="B2555" s="1297"/>
      <c r="C2555" s="1297"/>
      <c r="D2555" s="1297"/>
      <c r="E2555" s="1297" t="s">
        <v>1034</v>
      </c>
      <c r="H2555" s="1399">
        <v>2956248.060000001</v>
      </c>
      <c r="J2555" s="1399">
        <v>2956248.060000001</v>
      </c>
    </row>
    <row r="2556" spans="2:12">
      <c r="B2556" s="1297"/>
      <c r="C2556" s="1297"/>
      <c r="D2556" s="1297"/>
      <c r="E2556" s="1297" t="s">
        <v>1035</v>
      </c>
      <c r="H2556" s="1399">
        <v>5239168.0400000038</v>
      </c>
      <c r="J2556" s="1399">
        <v>5239168.0400000038</v>
      </c>
    </row>
    <row r="2557" spans="2:12">
      <c r="B2557" s="1297"/>
      <c r="C2557" s="1297"/>
      <c r="D2557" s="1297"/>
      <c r="E2557" s="1297" t="s">
        <v>1036</v>
      </c>
      <c r="H2557" s="1399">
        <v>3085313.7500000005</v>
      </c>
      <c r="J2557" s="1399">
        <v>3085313.7500000005</v>
      </c>
    </row>
    <row r="2558" spans="2:12">
      <c r="B2558" s="1297"/>
      <c r="C2558" s="1297"/>
      <c r="D2558" s="1297"/>
      <c r="E2558" s="1297" t="s">
        <v>1037</v>
      </c>
      <c r="H2558" s="1399">
        <v>289615.61</v>
      </c>
      <c r="J2558" s="1399">
        <v>289615.61</v>
      </c>
    </row>
    <row r="2559" spans="2:12">
      <c r="B2559" s="1297"/>
      <c r="C2559" s="1297"/>
      <c r="D2559" s="1297"/>
      <c r="E2559" s="1297" t="s">
        <v>1105</v>
      </c>
      <c r="H2559" s="1399">
        <v>656897.31999999995</v>
      </c>
      <c r="J2559" s="1399">
        <v>656897.31999999995</v>
      </c>
    </row>
    <row r="2560" spans="2:12">
      <c r="B2560" s="1297"/>
      <c r="C2560" s="1297"/>
      <c r="D2560" s="1297"/>
      <c r="E2560" s="1297" t="s">
        <v>1038</v>
      </c>
      <c r="H2560" s="1399">
        <v>1178624.5499999998</v>
      </c>
      <c r="J2560" s="1399">
        <v>1178624.5499999998</v>
      </c>
    </row>
    <row r="2561" spans="5:10" s="1297" customFormat="1">
      <c r="E2561" s="1297" t="s">
        <v>1039</v>
      </c>
      <c r="F2561" s="1399"/>
      <c r="G2561" s="1399"/>
      <c r="H2561" s="1399">
        <v>1198194.7899999996</v>
      </c>
      <c r="I2561" s="1399"/>
      <c r="J2561" s="1399">
        <v>1198194.7899999996</v>
      </c>
    </row>
    <row r="2562" spans="5:10" s="1297" customFormat="1">
      <c r="E2562" s="1297" t="s">
        <v>1040</v>
      </c>
      <c r="F2562" s="1399"/>
      <c r="G2562" s="1399"/>
      <c r="H2562" s="1399">
        <v>17472611.630000006</v>
      </c>
      <c r="I2562" s="1399"/>
      <c r="J2562" s="1399">
        <v>17472611.630000006</v>
      </c>
    </row>
    <row r="2563" spans="5:10" s="1297" customFormat="1">
      <c r="E2563" s="1297" t="s">
        <v>1127</v>
      </c>
      <c r="F2563" s="1399"/>
      <c r="G2563" s="1399"/>
      <c r="H2563" s="1399">
        <v>1569687.0099999988</v>
      </c>
      <c r="I2563" s="1399"/>
      <c r="J2563" s="1399">
        <v>1569687.0099999988</v>
      </c>
    </row>
    <row r="2564" spans="5:10" s="1297" customFormat="1">
      <c r="E2564" s="1297" t="s">
        <v>1041</v>
      </c>
      <c r="F2564" s="1399"/>
      <c r="G2564" s="1399"/>
      <c r="H2564" s="1399">
        <v>3300887.3200000008</v>
      </c>
      <c r="I2564" s="1399"/>
      <c r="J2564" s="1399">
        <v>3300887.3200000008</v>
      </c>
    </row>
    <row r="2565" spans="5:10" s="1297" customFormat="1">
      <c r="E2565" s="1297" t="s">
        <v>1042</v>
      </c>
      <c r="F2565" s="1399"/>
      <c r="G2565" s="1399"/>
      <c r="H2565" s="1399">
        <v>1986634.7799999984</v>
      </c>
      <c r="I2565" s="1399"/>
      <c r="J2565" s="1399">
        <v>1986634.7799999984</v>
      </c>
    </row>
    <row r="2566" spans="5:10" s="1297" customFormat="1">
      <c r="E2566" s="1297" t="s">
        <v>986</v>
      </c>
      <c r="F2566" s="1399"/>
      <c r="G2566" s="1399"/>
      <c r="H2566" s="1399">
        <v>180651.06</v>
      </c>
      <c r="I2566" s="1399"/>
      <c r="J2566" s="1399">
        <v>180651.06</v>
      </c>
    </row>
    <row r="2567" spans="5:10" s="1297" customFormat="1">
      <c r="E2567" s="1297" t="s">
        <v>1203</v>
      </c>
      <c r="F2567" s="1399"/>
      <c r="G2567" s="1399"/>
      <c r="H2567" s="1399">
        <v>-85289.19</v>
      </c>
      <c r="I2567" s="1399"/>
      <c r="J2567" s="1399">
        <v>-85289.19</v>
      </c>
    </row>
    <row r="2568" spans="5:10" s="1297" customFormat="1">
      <c r="E2568" s="1297" t="s">
        <v>996</v>
      </c>
      <c r="F2568" s="1399"/>
      <c r="G2568" s="1399"/>
      <c r="H2568" s="1399">
        <v>110017.75</v>
      </c>
      <c r="I2568" s="1399"/>
      <c r="J2568" s="1399">
        <v>110017.75</v>
      </c>
    </row>
    <row r="2569" spans="5:10" s="1297" customFormat="1">
      <c r="E2569" s="1297" t="s">
        <v>1004</v>
      </c>
      <c r="F2569" s="1399"/>
      <c r="G2569" s="1399"/>
      <c r="H2569" s="1399">
        <v>-11799810.310000001</v>
      </c>
      <c r="I2569" s="1399"/>
      <c r="J2569" s="1399">
        <v>-11799810.310000001</v>
      </c>
    </row>
    <row r="2570" spans="5:10" s="1297" customFormat="1">
      <c r="E2570" s="1297" t="s">
        <v>1005</v>
      </c>
      <c r="F2570" s="1399"/>
      <c r="G2570" s="1399"/>
      <c r="H2570" s="1399">
        <v>17987291.330000002</v>
      </c>
      <c r="I2570" s="1399"/>
      <c r="J2570" s="1399">
        <v>17987291.330000002</v>
      </c>
    </row>
    <row r="2571" spans="5:10" s="1297" customFormat="1">
      <c r="E2571" s="1297" t="s">
        <v>991</v>
      </c>
      <c r="F2571" s="1399"/>
      <c r="G2571" s="1399"/>
      <c r="H2571" s="1399">
        <v>549633.42000000004</v>
      </c>
      <c r="I2571" s="1399"/>
      <c r="J2571" s="1399">
        <v>549633.42000000004</v>
      </c>
    </row>
    <row r="2572" spans="5:10" s="1297" customFormat="1">
      <c r="E2572" s="1297" t="s">
        <v>1044</v>
      </c>
      <c r="F2572" s="1399">
        <v>5544572.6900000004</v>
      </c>
      <c r="G2572" s="1399"/>
      <c r="H2572" s="1399"/>
      <c r="I2572" s="1399"/>
      <c r="J2572" s="1399">
        <v>5544572.6900000004</v>
      </c>
    </row>
    <row r="2573" spans="5:10" s="1297" customFormat="1">
      <c r="E2573" s="1297" t="s">
        <v>1045</v>
      </c>
      <c r="F2573" s="1399"/>
      <c r="G2573" s="1399"/>
      <c r="H2573" s="1399">
        <v>29565191.669999983</v>
      </c>
      <c r="I2573" s="1399"/>
      <c r="J2573" s="1399">
        <v>29565191.669999983</v>
      </c>
    </row>
    <row r="2574" spans="5:10" s="1297" customFormat="1">
      <c r="E2574" s="1297" t="s">
        <v>1046</v>
      </c>
      <c r="F2574" s="1399"/>
      <c r="G2574" s="1399"/>
      <c r="H2574" s="1399"/>
      <c r="I2574" s="1399">
        <v>808707844</v>
      </c>
      <c r="J2574" s="1399">
        <v>808707844</v>
      </c>
    </row>
    <row r="2575" spans="5:10" s="1297" customFormat="1">
      <c r="E2575" s="1297" t="s">
        <v>1128</v>
      </c>
      <c r="F2575" s="1399"/>
      <c r="G2575" s="1399"/>
      <c r="H2575" s="1399"/>
      <c r="I2575" s="1399">
        <v>68616611.010000005</v>
      </c>
      <c r="J2575" s="1399">
        <v>68616611.010000005</v>
      </c>
    </row>
    <row r="2576" spans="5:10" s="1297" customFormat="1">
      <c r="E2576" s="1297" t="s">
        <v>1129</v>
      </c>
      <c r="F2576" s="1399"/>
      <c r="G2576" s="1399"/>
      <c r="H2576" s="1399"/>
      <c r="I2576" s="1399">
        <v>-107906576</v>
      </c>
      <c r="J2576" s="1399">
        <v>-107906576</v>
      </c>
    </row>
    <row r="2577" spans="5:10" s="1297" customFormat="1">
      <c r="E2577" s="1297" t="s">
        <v>1047</v>
      </c>
      <c r="F2577" s="1399"/>
      <c r="G2577" s="1399"/>
      <c r="H2577" s="1399"/>
      <c r="I2577" s="1399">
        <v>7687864</v>
      </c>
      <c r="J2577" s="1399">
        <v>7687864</v>
      </c>
    </row>
    <row r="2578" spans="5:10" s="1297" customFormat="1">
      <c r="E2578" s="1297" t="s">
        <v>1048</v>
      </c>
      <c r="F2578" s="1399"/>
      <c r="G2578" s="1399"/>
      <c r="H2578" s="1399"/>
      <c r="I2578" s="1399">
        <v>-147960534</v>
      </c>
      <c r="J2578" s="1399">
        <v>-147960534</v>
      </c>
    </row>
    <row r="2579" spans="5:10" s="1297" customFormat="1">
      <c r="E2579" s="1297" t="s">
        <v>932</v>
      </c>
      <c r="F2579" s="1399"/>
      <c r="G2579" s="1399"/>
      <c r="H2579" s="1399"/>
      <c r="I2579" s="1399">
        <v>37297686</v>
      </c>
      <c r="J2579" s="1399">
        <v>37297686</v>
      </c>
    </row>
    <row r="2580" spans="5:10" s="1297" customFormat="1">
      <c r="E2580" s="1297" t="s">
        <v>934</v>
      </c>
      <c r="F2580" s="1399"/>
      <c r="G2580" s="1399"/>
      <c r="H2580" s="1399"/>
      <c r="I2580" s="1399">
        <v>2361880</v>
      </c>
      <c r="J2580" s="1399">
        <v>2361880</v>
      </c>
    </row>
    <row r="2581" spans="5:10" s="1297" customFormat="1">
      <c r="E2581" s="1297" t="s">
        <v>1130</v>
      </c>
      <c r="F2581" s="1399"/>
      <c r="G2581" s="1399"/>
      <c r="H2581" s="1399"/>
      <c r="I2581" s="1399">
        <v>45542245.539999999</v>
      </c>
      <c r="J2581" s="1399">
        <v>45542245.539999999</v>
      </c>
    </row>
    <row r="2582" spans="5:10" s="1297" customFormat="1">
      <c r="E2582" s="1297" t="s">
        <v>935</v>
      </c>
      <c r="F2582" s="1399"/>
      <c r="G2582" s="1399"/>
      <c r="H2582" s="1399"/>
      <c r="I2582" s="1399">
        <v>4123174.12</v>
      </c>
      <c r="J2582" s="1399">
        <v>4123174.12</v>
      </c>
    </row>
    <row r="2583" spans="5:10" s="1297" customFormat="1">
      <c r="E2583" s="1297" t="s">
        <v>936</v>
      </c>
      <c r="F2583" s="1399"/>
      <c r="G2583" s="1399"/>
      <c r="H2583" s="1399"/>
      <c r="I2583" s="1399">
        <v>2235361.02</v>
      </c>
      <c r="J2583" s="1399">
        <v>2235361.02</v>
      </c>
    </row>
    <row r="2584" spans="5:10" s="1297" customFormat="1">
      <c r="E2584" s="1297" t="s">
        <v>937</v>
      </c>
      <c r="F2584" s="1399"/>
      <c r="G2584" s="1399"/>
      <c r="H2584" s="1399"/>
      <c r="I2584" s="1399">
        <v>419832.18</v>
      </c>
      <c r="J2584" s="1399">
        <v>419832.18</v>
      </c>
    </row>
    <row r="2585" spans="5:10" s="1297" customFormat="1">
      <c r="E2585" s="1297" t="s">
        <v>938</v>
      </c>
      <c r="F2585" s="1399"/>
      <c r="G2585" s="1399"/>
      <c r="H2585" s="1399"/>
      <c r="I2585" s="1399">
        <v>659739</v>
      </c>
      <c r="J2585" s="1399">
        <v>659739</v>
      </c>
    </row>
    <row r="2586" spans="5:10" s="1297" customFormat="1">
      <c r="E2586" s="1297" t="s">
        <v>939</v>
      </c>
      <c r="F2586" s="1399"/>
      <c r="G2586" s="1399"/>
      <c r="H2586" s="1399"/>
      <c r="I2586" s="1399">
        <v>242074.32</v>
      </c>
      <c r="J2586" s="1399">
        <v>242074.32</v>
      </c>
    </row>
    <row r="2587" spans="5:10" s="1297" customFormat="1">
      <c r="E2587" s="1297" t="s">
        <v>1131</v>
      </c>
      <c r="F2587" s="1399">
        <v>1253351.28</v>
      </c>
      <c r="G2587" s="1399"/>
      <c r="H2587" s="1399"/>
      <c r="I2587" s="1399"/>
      <c r="J2587" s="1399">
        <v>1253351.28</v>
      </c>
    </row>
    <row r="2588" spans="5:10" s="1297" customFormat="1">
      <c r="E2588" s="1297" t="s">
        <v>940</v>
      </c>
      <c r="F2588" s="1399">
        <v>38138602.260000005</v>
      </c>
      <c r="G2588" s="1399"/>
      <c r="H2588" s="1399"/>
      <c r="I2588" s="1399"/>
      <c r="J2588" s="1399">
        <v>38138602.260000005</v>
      </c>
    </row>
    <row r="2589" spans="5:10" s="1297" customFormat="1">
      <c r="E2589" s="1297" t="s">
        <v>941</v>
      </c>
      <c r="F2589" s="1399">
        <v>13812630.540000001</v>
      </c>
      <c r="G2589" s="1399"/>
      <c r="H2589" s="1399"/>
      <c r="I2589" s="1399"/>
      <c r="J2589" s="1399">
        <v>13812630.540000001</v>
      </c>
    </row>
    <row r="2590" spans="5:10" s="1297" customFormat="1">
      <c r="E2590" s="1297" t="s">
        <v>943</v>
      </c>
      <c r="F2590" s="1399">
        <v>78901.760000000009</v>
      </c>
      <c r="G2590" s="1399"/>
      <c r="H2590" s="1399"/>
      <c r="I2590" s="1399"/>
      <c r="J2590" s="1399">
        <v>78901.760000000009</v>
      </c>
    </row>
    <row r="2591" spans="5:10" s="1297" customFormat="1">
      <c r="E2591" s="1297" t="s">
        <v>944</v>
      </c>
      <c r="F2591" s="1399">
        <v>60250114.780000009</v>
      </c>
      <c r="G2591" s="1399"/>
      <c r="H2591" s="1399"/>
      <c r="I2591" s="1399"/>
      <c r="J2591" s="1399">
        <v>60250114.780000009</v>
      </c>
    </row>
    <row r="2592" spans="5:10" s="1297" customFormat="1">
      <c r="E2592" s="1297" t="s">
        <v>945</v>
      </c>
      <c r="F2592" s="1399">
        <v>51698032.850000001</v>
      </c>
      <c r="G2592" s="1399"/>
      <c r="H2592" s="1399"/>
      <c r="I2592" s="1399"/>
      <c r="J2592" s="1399">
        <v>51698032.850000001</v>
      </c>
    </row>
    <row r="2593" spans="2:14">
      <c r="B2593" s="1297"/>
      <c r="C2593" s="1297"/>
      <c r="D2593" s="1297"/>
      <c r="E2593" s="1297" t="s">
        <v>946</v>
      </c>
      <c r="F2593" s="1399">
        <v>175536.83000000002</v>
      </c>
      <c r="J2593" s="1399">
        <v>175536.83000000002</v>
      </c>
    </row>
    <row r="2594" spans="2:14">
      <c r="B2594" s="1297"/>
      <c r="C2594" s="1297"/>
      <c r="D2594" s="1297"/>
      <c r="E2594" s="1297" t="s">
        <v>947</v>
      </c>
      <c r="F2594" s="1399">
        <v>2147901.0699999998</v>
      </c>
      <c r="J2594" s="1399">
        <v>2147901.0699999998</v>
      </c>
    </row>
    <row r="2595" spans="2:14">
      <c r="B2595" s="1297"/>
      <c r="C2595" s="1297"/>
      <c r="D2595" s="1297"/>
      <c r="E2595" s="1297" t="s">
        <v>1115</v>
      </c>
      <c r="F2595" s="1399">
        <v>209084.17</v>
      </c>
      <c r="J2595" s="1399">
        <v>209084.17</v>
      </c>
    </row>
    <row r="2596" spans="2:14">
      <c r="B2596" s="1297"/>
      <c r="C2596" s="1297"/>
      <c r="D2596" s="1297"/>
      <c r="E2596" s="1404" t="s">
        <v>1116</v>
      </c>
      <c r="F2596" s="1405"/>
      <c r="G2596" s="1405"/>
      <c r="H2596" s="1405">
        <v>19640000</v>
      </c>
      <c r="I2596" s="1405"/>
      <c r="J2596" s="1405">
        <v>19640000</v>
      </c>
    </row>
    <row r="2597" spans="2:14">
      <c r="B2597" s="1297"/>
      <c r="C2597" s="1297"/>
      <c r="D2597" s="1297"/>
      <c r="E2597" s="1404" t="s">
        <v>948</v>
      </c>
      <c r="F2597" s="1405"/>
      <c r="G2597" s="1405"/>
      <c r="H2597" s="1405">
        <v>85454032.450000003</v>
      </c>
      <c r="I2597" s="1405"/>
      <c r="J2597" s="1405">
        <v>85454032.450000003</v>
      </c>
    </row>
    <row r="2598" spans="2:14">
      <c r="B2598" s="1297"/>
      <c r="C2598" s="1297"/>
      <c r="D2598" s="1297"/>
      <c r="E2598" s="1297" t="s">
        <v>956</v>
      </c>
      <c r="H2598" s="1399">
        <v>-687041.19</v>
      </c>
      <c r="J2598" s="1399">
        <v>-687041.19</v>
      </c>
    </row>
    <row r="2599" spans="2:14">
      <c r="B2599" s="1297"/>
      <c r="C2599" s="1297"/>
      <c r="D2599" s="1297"/>
      <c r="E2599" s="1297" t="s">
        <v>1118</v>
      </c>
      <c r="H2599" s="1399">
        <v>509210.46</v>
      </c>
      <c r="J2599" s="1399">
        <v>509210.46</v>
      </c>
    </row>
    <row r="2600" spans="2:14">
      <c r="B2600" s="1297"/>
      <c r="C2600" s="1297"/>
      <c r="D2600" s="1400" t="s">
        <v>1161</v>
      </c>
      <c r="E2600" s="1400" t="s">
        <v>1641</v>
      </c>
      <c r="F2600" s="1401">
        <f>SUM(F2548:F2599)-'1$REV-CharterAuditData'!BM64</f>
        <v>172398302.29999998</v>
      </c>
      <c r="G2600" s="1401">
        <f>SUM(G2548:G2599)-'1$REV-CharterAuditData'!Q64</f>
        <v>689533601.97000003</v>
      </c>
      <c r="H2600" s="1401">
        <f>SUM(H2548:H2599)-(H2596+H2597)</f>
        <v>90930477.040000036</v>
      </c>
      <c r="I2600" s="1401">
        <f>SUM(I2548:I2599)-'1$REV-CharterAuditData'!AZ64</f>
        <v>718512035.18999994</v>
      </c>
      <c r="J2600" s="1401">
        <f>SUM(J2548:J2599)</f>
        <v>1784588522.9499996</v>
      </c>
      <c r="K2600" s="1401">
        <f>SUM(F2600:I2600)</f>
        <v>1671374416.5</v>
      </c>
      <c r="L2600" s="1408">
        <f>K2600/C2548</f>
        <v>10611.227328423593</v>
      </c>
      <c r="M2600" s="1408">
        <f>F2600/C2548</f>
        <v>1094.5229020379657</v>
      </c>
      <c r="N2600" s="1297">
        <f>F2600/K2600</f>
        <v>0.10314762545008717</v>
      </c>
    </row>
    <row r="2601" spans="2:14">
      <c r="B2601" s="1297" t="s">
        <v>1162</v>
      </c>
      <c r="C2601" s="1297">
        <v>6647</v>
      </c>
      <c r="D2601" s="1297" t="s">
        <v>1163</v>
      </c>
      <c r="E2601" s="1297" t="s">
        <v>906</v>
      </c>
      <c r="G2601" s="1399">
        <v>16156368.140000001</v>
      </c>
      <c r="J2601" s="1399">
        <v>16156368.140000001</v>
      </c>
    </row>
    <row r="2602" spans="2:14">
      <c r="B2602" s="1297"/>
      <c r="C2602" s="1297"/>
      <c r="D2602" s="1297"/>
      <c r="E2602" s="1297" t="s">
        <v>1126</v>
      </c>
      <c r="G2602" s="1399">
        <v>5137251.2</v>
      </c>
      <c r="J2602" s="1399">
        <v>5137251.2</v>
      </c>
    </row>
    <row r="2603" spans="2:14">
      <c r="B2603" s="1297"/>
      <c r="C2603" s="1297"/>
      <c r="D2603" s="1297"/>
      <c r="E2603" s="1297" t="s">
        <v>952</v>
      </c>
      <c r="G2603" s="1399">
        <v>259744.17</v>
      </c>
      <c r="J2603" s="1399">
        <v>259744.17</v>
      </c>
    </row>
    <row r="2604" spans="2:14">
      <c r="B2604" s="1297"/>
      <c r="C2604" s="1297"/>
      <c r="D2604" s="1297"/>
      <c r="E2604" s="1297" t="s">
        <v>907</v>
      </c>
      <c r="G2604" s="1399">
        <v>5138076.3899999997</v>
      </c>
      <c r="J2604" s="1399">
        <v>5138076.3899999997</v>
      </c>
    </row>
    <row r="2605" spans="2:14">
      <c r="B2605" s="1297"/>
      <c r="C2605" s="1297"/>
      <c r="D2605" s="1297"/>
      <c r="E2605" s="1297" t="s">
        <v>908</v>
      </c>
      <c r="G2605" s="1399">
        <v>305428.26</v>
      </c>
      <c r="J2605" s="1399">
        <v>305428.26</v>
      </c>
    </row>
    <row r="2606" spans="2:14">
      <c r="B2606" s="1297"/>
      <c r="C2606" s="1297"/>
      <c r="D2606" s="1297"/>
      <c r="E2606" s="1297" t="s">
        <v>909</v>
      </c>
      <c r="H2606" s="1399">
        <v>37555.69</v>
      </c>
      <c r="J2606" s="1399">
        <v>37555.69</v>
      </c>
    </row>
    <row r="2607" spans="2:14">
      <c r="B2607" s="1297"/>
      <c r="C2607" s="1297"/>
      <c r="D2607" s="1297"/>
      <c r="E2607" s="1297" t="s">
        <v>910</v>
      </c>
      <c r="H2607" s="1399">
        <v>459202.32</v>
      </c>
      <c r="J2607" s="1399">
        <v>459202.32</v>
      </c>
    </row>
    <row r="2608" spans="2:14">
      <c r="B2608" s="1297"/>
      <c r="C2608" s="1297"/>
      <c r="D2608" s="1297"/>
      <c r="E2608" s="1297" t="s">
        <v>1034</v>
      </c>
      <c r="H2608" s="1399">
        <v>99293.88</v>
      </c>
      <c r="J2608" s="1399">
        <v>99293.88</v>
      </c>
    </row>
    <row r="2609" spans="5:10" s="1297" customFormat="1">
      <c r="E2609" s="1297" t="s">
        <v>1035</v>
      </c>
      <c r="F2609" s="1399"/>
      <c r="G2609" s="1399"/>
      <c r="H2609" s="1399">
        <v>104950.82</v>
      </c>
      <c r="I2609" s="1399"/>
      <c r="J2609" s="1399">
        <v>104950.82</v>
      </c>
    </row>
    <row r="2610" spans="5:10" s="1297" customFormat="1">
      <c r="E2610" s="1297" t="s">
        <v>1036</v>
      </c>
      <c r="F2610" s="1399"/>
      <c r="G2610" s="1399"/>
      <c r="H2610" s="1399">
        <v>225676.5</v>
      </c>
      <c r="I2610" s="1399"/>
      <c r="J2610" s="1399">
        <v>225676.5</v>
      </c>
    </row>
    <row r="2611" spans="5:10" s="1297" customFormat="1">
      <c r="E2611" s="1297" t="s">
        <v>1037</v>
      </c>
      <c r="F2611" s="1399"/>
      <c r="G2611" s="1399"/>
      <c r="H2611" s="1399">
        <v>2000</v>
      </c>
      <c r="I2611" s="1399"/>
      <c r="J2611" s="1399">
        <v>2000</v>
      </c>
    </row>
    <row r="2612" spans="5:10" s="1297" customFormat="1">
      <c r="E2612" s="1297" t="s">
        <v>1105</v>
      </c>
      <c r="F2612" s="1399"/>
      <c r="G2612" s="1399"/>
      <c r="H2612" s="1399">
        <v>17201.62</v>
      </c>
      <c r="I2612" s="1399"/>
      <c r="J2612" s="1399">
        <v>17201.62</v>
      </c>
    </row>
    <row r="2613" spans="5:10" s="1297" customFormat="1">
      <c r="E2613" s="1297" t="s">
        <v>1039</v>
      </c>
      <c r="F2613" s="1399"/>
      <c r="G2613" s="1399"/>
      <c r="H2613" s="1399">
        <v>98262.900000000009</v>
      </c>
      <c r="I2613" s="1399"/>
      <c r="J2613" s="1399">
        <v>98262.900000000009</v>
      </c>
    </row>
    <row r="2614" spans="5:10" s="1297" customFormat="1">
      <c r="E2614" s="1297" t="s">
        <v>1040</v>
      </c>
      <c r="F2614" s="1399"/>
      <c r="G2614" s="1399"/>
      <c r="H2614" s="1399">
        <v>536283.62000000011</v>
      </c>
      <c r="I2614" s="1399"/>
      <c r="J2614" s="1399">
        <v>536283.62000000011</v>
      </c>
    </row>
    <row r="2615" spans="5:10" s="1297" customFormat="1">
      <c r="E2615" s="1297" t="s">
        <v>1041</v>
      </c>
      <c r="F2615" s="1399"/>
      <c r="G2615" s="1399"/>
      <c r="H2615" s="1399">
        <v>134814.39999999999</v>
      </c>
      <c r="I2615" s="1399"/>
      <c r="J2615" s="1399">
        <v>134814.39999999999</v>
      </c>
    </row>
    <row r="2616" spans="5:10" s="1297" customFormat="1">
      <c r="E2616" s="1297" t="s">
        <v>1042</v>
      </c>
      <c r="F2616" s="1399"/>
      <c r="G2616" s="1399"/>
      <c r="H2616" s="1399">
        <v>96261.06</v>
      </c>
      <c r="I2616" s="1399"/>
      <c r="J2616" s="1399">
        <v>96261.06</v>
      </c>
    </row>
    <row r="2617" spans="5:10" s="1297" customFormat="1">
      <c r="E2617" s="1297" t="s">
        <v>953</v>
      </c>
      <c r="F2617" s="1399"/>
      <c r="G2617" s="1399"/>
      <c r="H2617" s="1399">
        <v>4029.79</v>
      </c>
      <c r="I2617" s="1399"/>
      <c r="J2617" s="1399">
        <v>4029.79</v>
      </c>
    </row>
    <row r="2618" spans="5:10" s="1297" customFormat="1">
      <c r="E2618" s="1297" t="s">
        <v>985</v>
      </c>
      <c r="F2618" s="1399"/>
      <c r="G2618" s="1399"/>
      <c r="H2618" s="1399">
        <v>3192.26</v>
      </c>
      <c r="I2618" s="1399"/>
      <c r="J2618" s="1399">
        <v>3192.26</v>
      </c>
    </row>
    <row r="2619" spans="5:10" s="1297" customFormat="1">
      <c r="E2619" s="1297" t="s">
        <v>1203</v>
      </c>
      <c r="F2619" s="1399"/>
      <c r="G2619" s="1399"/>
      <c r="H2619" s="1399">
        <v>-22218.65</v>
      </c>
      <c r="I2619" s="1399"/>
      <c r="J2619" s="1399">
        <v>-22218.65</v>
      </c>
    </row>
    <row r="2620" spans="5:10" s="1297" customFormat="1">
      <c r="E2620" s="1297" t="s">
        <v>996</v>
      </c>
      <c r="F2620" s="1399"/>
      <c r="G2620" s="1399"/>
      <c r="H2620" s="1399">
        <v>1715</v>
      </c>
      <c r="I2620" s="1399"/>
      <c r="J2620" s="1399">
        <v>1715</v>
      </c>
    </row>
    <row r="2621" spans="5:10" s="1297" customFormat="1">
      <c r="E2621" s="1297" t="s">
        <v>1045</v>
      </c>
      <c r="F2621" s="1399"/>
      <c r="G2621" s="1399"/>
      <c r="H2621" s="1399">
        <v>1014173.3</v>
      </c>
      <c r="I2621" s="1399"/>
      <c r="J2621" s="1399">
        <v>1014173.3</v>
      </c>
    </row>
    <row r="2622" spans="5:10" s="1297" customFormat="1">
      <c r="E2622" s="1297" t="s">
        <v>1046</v>
      </c>
      <c r="F2622" s="1399"/>
      <c r="G2622" s="1399"/>
      <c r="H2622" s="1399"/>
      <c r="I2622" s="1399">
        <v>38068021</v>
      </c>
      <c r="J2622" s="1399">
        <v>38068021</v>
      </c>
    </row>
    <row r="2623" spans="5:10" s="1297" customFormat="1">
      <c r="E2623" s="1297" t="s">
        <v>1128</v>
      </c>
      <c r="F2623" s="1399"/>
      <c r="G2623" s="1399"/>
      <c r="H2623" s="1399"/>
      <c r="I2623" s="1399">
        <v>2934247</v>
      </c>
      <c r="J2623" s="1399">
        <v>2934247</v>
      </c>
    </row>
    <row r="2624" spans="5:10" s="1297" customFormat="1">
      <c r="E2624" s="1297" t="s">
        <v>1129</v>
      </c>
      <c r="F2624" s="1399"/>
      <c r="G2624" s="1399"/>
      <c r="H2624" s="1399"/>
      <c r="I2624" s="1399">
        <v>-5209868</v>
      </c>
      <c r="J2624" s="1399">
        <v>-5209868</v>
      </c>
    </row>
    <row r="2625" spans="5:10" s="1297" customFormat="1">
      <c r="E2625" s="1297" t="s">
        <v>1047</v>
      </c>
      <c r="F2625" s="1399"/>
      <c r="G2625" s="1399"/>
      <c r="H2625" s="1399"/>
      <c r="I2625" s="1399">
        <v>901606</v>
      </c>
      <c r="J2625" s="1399">
        <v>901606</v>
      </c>
    </row>
    <row r="2626" spans="5:10" s="1297" customFormat="1">
      <c r="E2626" s="1297" t="s">
        <v>1048</v>
      </c>
      <c r="F2626" s="1399"/>
      <c r="G2626" s="1399"/>
      <c r="H2626" s="1399"/>
      <c r="I2626" s="1399">
        <v>-6166417</v>
      </c>
      <c r="J2626" s="1399">
        <v>-6166417</v>
      </c>
    </row>
    <row r="2627" spans="5:10" s="1297" customFormat="1">
      <c r="E2627" s="1297" t="s">
        <v>932</v>
      </c>
      <c r="F2627" s="1399"/>
      <c r="G2627" s="1399"/>
      <c r="H2627" s="1399"/>
      <c r="I2627" s="1399">
        <v>2063651</v>
      </c>
      <c r="J2627" s="1399">
        <v>2063651</v>
      </c>
    </row>
    <row r="2628" spans="5:10" s="1297" customFormat="1">
      <c r="E2628" s="1404" t="s">
        <v>955</v>
      </c>
      <c r="F2628" s="1405"/>
      <c r="G2628" s="1405"/>
      <c r="H2628" s="1405"/>
      <c r="I2628" s="1405">
        <v>464986.15</v>
      </c>
      <c r="J2628" s="1405">
        <v>464986.15</v>
      </c>
    </row>
    <row r="2629" spans="5:10" s="1297" customFormat="1">
      <c r="E2629" s="1297" t="s">
        <v>934</v>
      </c>
      <c r="F2629" s="1399"/>
      <c r="G2629" s="1399"/>
      <c r="H2629" s="1399"/>
      <c r="I2629" s="1399">
        <v>116812</v>
      </c>
      <c r="J2629" s="1399">
        <v>116812</v>
      </c>
    </row>
    <row r="2630" spans="5:10" s="1297" customFormat="1">
      <c r="E2630" s="1297" t="s">
        <v>935</v>
      </c>
      <c r="F2630" s="1399"/>
      <c r="G2630" s="1399"/>
      <c r="H2630" s="1399"/>
      <c r="I2630" s="1399">
        <v>562296.94000000006</v>
      </c>
      <c r="J2630" s="1399">
        <v>562296.94000000006</v>
      </c>
    </row>
    <row r="2631" spans="5:10" s="1297" customFormat="1">
      <c r="E2631" s="1297" t="s">
        <v>936</v>
      </c>
      <c r="F2631" s="1399"/>
      <c r="G2631" s="1399"/>
      <c r="H2631" s="1399"/>
      <c r="I2631" s="1399">
        <v>114149.07</v>
      </c>
      <c r="J2631" s="1399">
        <v>114149.07</v>
      </c>
    </row>
    <row r="2632" spans="5:10" s="1297" customFormat="1">
      <c r="E2632" s="1297" t="s">
        <v>937</v>
      </c>
      <c r="F2632" s="1399"/>
      <c r="G2632" s="1399"/>
      <c r="H2632" s="1399"/>
      <c r="I2632" s="1399">
        <v>21437.56</v>
      </c>
      <c r="J2632" s="1399">
        <v>21437.56</v>
      </c>
    </row>
    <row r="2633" spans="5:10" s="1297" customFormat="1">
      <c r="E2633" s="1297" t="s">
        <v>938</v>
      </c>
      <c r="F2633" s="1399"/>
      <c r="G2633" s="1399"/>
      <c r="H2633" s="1399"/>
      <c r="I2633" s="1399">
        <v>37432</v>
      </c>
      <c r="J2633" s="1399">
        <v>37432</v>
      </c>
    </row>
    <row r="2634" spans="5:10" s="1297" customFormat="1">
      <c r="E2634" s="1297" t="s">
        <v>939</v>
      </c>
      <c r="F2634" s="1399"/>
      <c r="G2634" s="1399"/>
      <c r="H2634" s="1399"/>
      <c r="I2634" s="1399">
        <v>136058.03</v>
      </c>
      <c r="J2634" s="1399">
        <v>136058.03</v>
      </c>
    </row>
    <row r="2635" spans="5:10" s="1297" customFormat="1">
      <c r="E2635" s="1297" t="s">
        <v>1131</v>
      </c>
      <c r="F2635" s="1399">
        <v>62332.45</v>
      </c>
      <c r="G2635" s="1399"/>
      <c r="H2635" s="1399"/>
      <c r="I2635" s="1399"/>
      <c r="J2635" s="1399">
        <v>62332.45</v>
      </c>
    </row>
    <row r="2636" spans="5:10" s="1297" customFormat="1">
      <c r="E2636" s="1297" t="s">
        <v>940</v>
      </c>
      <c r="F2636" s="1399">
        <v>1716302.16</v>
      </c>
      <c r="G2636" s="1399"/>
      <c r="H2636" s="1399"/>
      <c r="I2636" s="1399"/>
      <c r="J2636" s="1399">
        <v>1716302.16</v>
      </c>
    </row>
    <row r="2637" spans="5:10" s="1297" customFormat="1">
      <c r="E2637" s="1297" t="s">
        <v>941</v>
      </c>
      <c r="F2637" s="1399">
        <v>624721.93999999994</v>
      </c>
      <c r="G2637" s="1399"/>
      <c r="H2637" s="1399"/>
      <c r="I2637" s="1399"/>
      <c r="J2637" s="1399">
        <v>624721.93999999994</v>
      </c>
    </row>
    <row r="2638" spans="5:10" s="1297" customFormat="1">
      <c r="E2638" s="1297" t="s">
        <v>943</v>
      </c>
      <c r="F2638" s="1399">
        <v>21620.09</v>
      </c>
      <c r="G2638" s="1399"/>
      <c r="H2638" s="1399"/>
      <c r="I2638" s="1399"/>
      <c r="J2638" s="1399">
        <v>21620.09</v>
      </c>
    </row>
    <row r="2639" spans="5:10" s="1297" customFormat="1">
      <c r="E2639" s="1297" t="s">
        <v>944</v>
      </c>
      <c r="F2639" s="1399">
        <v>3399402.2599999993</v>
      </c>
      <c r="G2639" s="1399"/>
      <c r="H2639" s="1399"/>
      <c r="I2639" s="1399"/>
      <c r="J2639" s="1399">
        <v>3399402.2599999993</v>
      </c>
    </row>
    <row r="2640" spans="5:10" s="1297" customFormat="1">
      <c r="E2640" s="1297" t="s">
        <v>945</v>
      </c>
      <c r="F2640" s="1399">
        <v>2545112.02</v>
      </c>
      <c r="G2640" s="1399"/>
      <c r="H2640" s="1399"/>
      <c r="I2640" s="1399"/>
      <c r="J2640" s="1399">
        <v>2545112.02</v>
      </c>
    </row>
    <row r="2641" spans="2:12">
      <c r="B2641" s="1297"/>
      <c r="C2641" s="1297"/>
      <c r="D2641" s="1297"/>
      <c r="E2641" s="1297" t="s">
        <v>946</v>
      </c>
      <c r="F2641" s="1399">
        <v>126207.35</v>
      </c>
      <c r="J2641" s="1399">
        <v>126207.35</v>
      </c>
    </row>
    <row r="2642" spans="2:12">
      <c r="B2642" s="1297"/>
      <c r="C2642" s="1297"/>
      <c r="D2642" s="1297"/>
      <c r="E2642" s="1297" t="s">
        <v>1214</v>
      </c>
      <c r="F2642" s="1399">
        <v>40571.74</v>
      </c>
      <c r="J2642" s="1399">
        <v>40571.74</v>
      </c>
    </row>
    <row r="2643" spans="2:12">
      <c r="B2643" s="1297"/>
      <c r="C2643" s="1297"/>
      <c r="D2643" s="1297"/>
      <c r="E2643" s="1297" t="s">
        <v>947</v>
      </c>
      <c r="F2643" s="1399">
        <v>260116.01000000004</v>
      </c>
      <c r="J2643" s="1399">
        <v>260116.01000000004</v>
      </c>
    </row>
    <row r="2644" spans="2:12">
      <c r="B2644" s="1297"/>
      <c r="C2644" s="1297"/>
      <c r="D2644" s="1297"/>
      <c r="E2644" s="1404" t="s">
        <v>948</v>
      </c>
      <c r="F2644" s="1405"/>
      <c r="G2644" s="1405"/>
      <c r="H2644" s="1405">
        <v>46230765.350000001</v>
      </c>
      <c r="I2644" s="1405"/>
      <c r="J2644" s="1405">
        <v>46230765.350000001</v>
      </c>
    </row>
    <row r="2645" spans="2:12">
      <c r="B2645" s="1297"/>
      <c r="C2645" s="1297"/>
      <c r="D2645" s="1297"/>
      <c r="E2645" s="1297" t="s">
        <v>956</v>
      </c>
      <c r="H2645" s="1399">
        <v>17000</v>
      </c>
      <c r="J2645" s="1399">
        <v>17000</v>
      </c>
    </row>
    <row r="2646" spans="2:12">
      <c r="B2646" s="1297"/>
      <c r="C2646" s="1297"/>
      <c r="D2646" s="1400" t="s">
        <v>1164</v>
      </c>
      <c r="E2646" s="1400"/>
      <c r="F2646" s="1401">
        <f>SUM(F2601:F2645)</f>
        <v>8796386.0199999977</v>
      </c>
      <c r="G2646" s="1401">
        <f>SUM(G2601:G2645)</f>
        <v>26996868.160000004</v>
      </c>
      <c r="H2646" s="1401">
        <f>SUM(H2601:H2645)-H2644</f>
        <v>2829394.5099999979</v>
      </c>
      <c r="I2646" s="1401">
        <f>SUM(I2601:I2645)-I2628</f>
        <v>33579425.600000001</v>
      </c>
      <c r="J2646" s="1401">
        <f>SUM(J2601:J2645)</f>
        <v>118897825.78999999</v>
      </c>
      <c r="K2646" s="1401">
        <f>SUM(F2646:I2646)</f>
        <v>72202074.289999992</v>
      </c>
      <c r="L2646" s="1408">
        <f>K2646/C2601</f>
        <v>10862.355091018504</v>
      </c>
    </row>
    <row r="2647" spans="2:12">
      <c r="B2647" s="1297" t="s">
        <v>1165</v>
      </c>
      <c r="C2647" s="1297">
        <v>25612</v>
      </c>
      <c r="D2647" s="1297" t="s">
        <v>1166</v>
      </c>
      <c r="E2647" s="1297" t="s">
        <v>906</v>
      </c>
      <c r="G2647" s="1399">
        <v>76512307.480000004</v>
      </c>
      <c r="J2647" s="1399">
        <v>76512307.480000004</v>
      </c>
    </row>
    <row r="2648" spans="2:12">
      <c r="B2648" s="1297"/>
      <c r="C2648" s="1297"/>
      <c r="D2648" s="1297"/>
      <c r="E2648" s="1297" t="s">
        <v>952</v>
      </c>
      <c r="G2648" s="1399">
        <v>1243506.82</v>
      </c>
      <c r="J2648" s="1399">
        <v>1243506.82</v>
      </c>
    </row>
    <row r="2649" spans="2:12">
      <c r="B2649" s="1297"/>
      <c r="C2649" s="1297"/>
      <c r="D2649" s="1297"/>
      <c r="E2649" s="1297" t="s">
        <v>907</v>
      </c>
      <c r="G2649" s="1399">
        <v>18749473.84</v>
      </c>
      <c r="J2649" s="1399">
        <v>18749473.84</v>
      </c>
    </row>
    <row r="2650" spans="2:12">
      <c r="B2650" s="1297"/>
      <c r="C2650" s="1297"/>
      <c r="D2650" s="1297"/>
      <c r="E2650" s="1297" t="s">
        <v>908</v>
      </c>
      <c r="G2650" s="1399">
        <v>34982.449999999997</v>
      </c>
      <c r="J2650" s="1399">
        <v>34982.449999999997</v>
      </c>
    </row>
    <row r="2651" spans="2:12">
      <c r="B2651" s="1297"/>
      <c r="C2651" s="1297"/>
      <c r="D2651" s="1297"/>
      <c r="E2651" s="1297" t="s">
        <v>910</v>
      </c>
      <c r="H2651" s="1399">
        <v>913542.62000000011</v>
      </c>
      <c r="J2651" s="1399">
        <v>913542.62000000011</v>
      </c>
    </row>
    <row r="2652" spans="2:12">
      <c r="B2652" s="1297"/>
      <c r="C2652" s="1297"/>
      <c r="D2652" s="1297"/>
      <c r="E2652" s="1297" t="s">
        <v>1034</v>
      </c>
      <c r="H2652" s="1399">
        <v>582988.59</v>
      </c>
      <c r="J2652" s="1399">
        <v>582988.59</v>
      </c>
    </row>
    <row r="2653" spans="2:12">
      <c r="B2653" s="1297"/>
      <c r="C2653" s="1297"/>
      <c r="D2653" s="1297"/>
      <c r="E2653" s="1297" t="s">
        <v>1035</v>
      </c>
      <c r="H2653" s="1399">
        <v>1524464.7799999998</v>
      </c>
      <c r="J2653" s="1399">
        <v>1524464.7799999998</v>
      </c>
    </row>
    <row r="2654" spans="2:12">
      <c r="B2654" s="1297"/>
      <c r="C2654" s="1297"/>
      <c r="D2654" s="1297"/>
      <c r="E2654" s="1297" t="s">
        <v>1036</v>
      </c>
      <c r="H2654" s="1399">
        <v>595081.87000000011</v>
      </c>
      <c r="J2654" s="1399">
        <v>595081.87000000011</v>
      </c>
    </row>
    <row r="2655" spans="2:12">
      <c r="B2655" s="1297"/>
      <c r="C2655" s="1297"/>
      <c r="D2655" s="1297"/>
      <c r="E2655" s="1297" t="s">
        <v>1037</v>
      </c>
      <c r="H2655" s="1399">
        <v>9931.5</v>
      </c>
      <c r="J2655" s="1399">
        <v>9931.5</v>
      </c>
    </row>
    <row r="2656" spans="2:12">
      <c r="B2656" s="1297"/>
      <c r="C2656" s="1297"/>
      <c r="D2656" s="1297"/>
      <c r="E2656" s="1297" t="s">
        <v>1064</v>
      </c>
      <c r="H2656" s="1399">
        <v>21440</v>
      </c>
      <c r="J2656" s="1399">
        <v>21440</v>
      </c>
    </row>
    <row r="2657" spans="5:10" s="1297" customFormat="1">
      <c r="E2657" s="1297" t="s">
        <v>1038</v>
      </c>
      <c r="F2657" s="1399"/>
      <c r="G2657" s="1399"/>
      <c r="H2657" s="1399">
        <v>49675</v>
      </c>
      <c r="I2657" s="1399"/>
      <c r="J2657" s="1399">
        <v>49675</v>
      </c>
    </row>
    <row r="2658" spans="5:10" s="1297" customFormat="1">
      <c r="E2658" s="1297" t="s">
        <v>1039</v>
      </c>
      <c r="F2658" s="1399"/>
      <c r="G2658" s="1399"/>
      <c r="H2658" s="1399">
        <v>216460.07</v>
      </c>
      <c r="I2658" s="1399"/>
      <c r="J2658" s="1399">
        <v>216460.07</v>
      </c>
    </row>
    <row r="2659" spans="5:10" s="1297" customFormat="1">
      <c r="E2659" s="1297" t="s">
        <v>1040</v>
      </c>
      <c r="F2659" s="1399"/>
      <c r="G2659" s="1399"/>
      <c r="H2659" s="1399">
        <v>2243344.31</v>
      </c>
      <c r="I2659" s="1399"/>
      <c r="J2659" s="1399">
        <v>2243344.31</v>
      </c>
    </row>
    <row r="2660" spans="5:10" s="1297" customFormat="1">
      <c r="E2660" s="1297" t="s">
        <v>1041</v>
      </c>
      <c r="F2660" s="1399"/>
      <c r="G2660" s="1399"/>
      <c r="H2660" s="1399">
        <v>62643.100000000006</v>
      </c>
      <c r="I2660" s="1399"/>
      <c r="J2660" s="1399">
        <v>62643.100000000006</v>
      </c>
    </row>
    <row r="2661" spans="5:10" s="1297" customFormat="1">
      <c r="E2661" s="1297" t="s">
        <v>1042</v>
      </c>
      <c r="F2661" s="1399"/>
      <c r="G2661" s="1399"/>
      <c r="H2661" s="1399">
        <v>307591.34000000008</v>
      </c>
      <c r="I2661" s="1399"/>
      <c r="J2661" s="1399">
        <v>307591.34000000008</v>
      </c>
    </row>
    <row r="2662" spans="5:10" s="1297" customFormat="1">
      <c r="E2662" s="1297" t="s">
        <v>953</v>
      </c>
      <c r="F2662" s="1399"/>
      <c r="G2662" s="1399"/>
      <c r="H2662" s="1399">
        <v>196588.48</v>
      </c>
      <c r="I2662" s="1399"/>
      <c r="J2662" s="1399">
        <v>196588.48</v>
      </c>
    </row>
    <row r="2663" spans="5:10" s="1297" customFormat="1">
      <c r="E2663" s="1297" t="s">
        <v>1043</v>
      </c>
      <c r="F2663" s="1399"/>
      <c r="G2663" s="1399"/>
      <c r="H2663" s="1399">
        <v>37862.6</v>
      </c>
      <c r="I2663" s="1399"/>
      <c r="J2663" s="1399">
        <v>37862.6</v>
      </c>
    </row>
    <row r="2664" spans="5:10" s="1297" customFormat="1">
      <c r="E2664" s="1297" t="s">
        <v>996</v>
      </c>
      <c r="F2664" s="1399"/>
      <c r="G2664" s="1399"/>
      <c r="H2664" s="1399">
        <v>89090.22</v>
      </c>
      <c r="I2664" s="1399"/>
      <c r="J2664" s="1399">
        <v>89090.22</v>
      </c>
    </row>
    <row r="2665" spans="5:10" s="1297" customFormat="1">
      <c r="E2665" s="1297" t="s">
        <v>1004</v>
      </c>
      <c r="F2665" s="1399"/>
      <c r="G2665" s="1399"/>
      <c r="H2665" s="1399">
        <v>-809221.49</v>
      </c>
      <c r="I2665" s="1399"/>
      <c r="J2665" s="1399">
        <v>-809221.49</v>
      </c>
    </row>
    <row r="2666" spans="5:10" s="1297" customFormat="1">
      <c r="E2666" s="1297" t="s">
        <v>991</v>
      </c>
      <c r="F2666" s="1399"/>
      <c r="G2666" s="1399"/>
      <c r="H2666" s="1399">
        <v>657468.00000000023</v>
      </c>
      <c r="I2666" s="1399"/>
      <c r="J2666" s="1399">
        <v>657468.00000000023</v>
      </c>
    </row>
    <row r="2667" spans="5:10" s="1297" customFormat="1">
      <c r="E2667" s="1297" t="s">
        <v>1044</v>
      </c>
      <c r="F2667" s="1399">
        <v>492457.33</v>
      </c>
      <c r="G2667" s="1399"/>
      <c r="H2667" s="1399"/>
      <c r="I2667" s="1399"/>
      <c r="J2667" s="1399">
        <v>492457.33</v>
      </c>
    </row>
    <row r="2668" spans="5:10" s="1297" customFormat="1">
      <c r="E2668" s="1297" t="s">
        <v>1045</v>
      </c>
      <c r="F2668" s="1399"/>
      <c r="G2668" s="1399"/>
      <c r="H2668" s="1399">
        <v>927952.7000000003</v>
      </c>
      <c r="I2668" s="1399"/>
      <c r="J2668" s="1399">
        <v>927952.7000000003</v>
      </c>
    </row>
    <row r="2669" spans="5:10" s="1297" customFormat="1">
      <c r="E2669" s="1297" t="s">
        <v>1046</v>
      </c>
      <c r="F2669" s="1399"/>
      <c r="G2669" s="1399"/>
      <c r="H2669" s="1399"/>
      <c r="I2669" s="1399">
        <v>143694843</v>
      </c>
      <c r="J2669" s="1399">
        <v>143694843</v>
      </c>
    </row>
    <row r="2670" spans="5:10" s="1297" customFormat="1">
      <c r="E2670" s="1297" t="s">
        <v>1129</v>
      </c>
      <c r="F2670" s="1399"/>
      <c r="G2670" s="1399"/>
      <c r="H2670" s="1399"/>
      <c r="I2670" s="1399">
        <v>-18321064</v>
      </c>
      <c r="J2670" s="1399">
        <v>-18321064</v>
      </c>
    </row>
    <row r="2671" spans="5:10" s="1297" customFormat="1">
      <c r="E2671" s="1297" t="s">
        <v>1047</v>
      </c>
      <c r="F2671" s="1399"/>
      <c r="G2671" s="1399"/>
      <c r="H2671" s="1399"/>
      <c r="I2671" s="1399">
        <v>2258402</v>
      </c>
      <c r="J2671" s="1399">
        <v>2258402</v>
      </c>
    </row>
    <row r="2672" spans="5:10" s="1297" customFormat="1">
      <c r="E2672" s="1297" t="s">
        <v>1048</v>
      </c>
      <c r="F2672" s="1399"/>
      <c r="G2672" s="1399"/>
      <c r="H2672" s="1399"/>
      <c r="I2672" s="1399">
        <v>-24732814</v>
      </c>
      <c r="J2672" s="1399">
        <v>-24732814</v>
      </c>
    </row>
    <row r="2673" spans="5:10" s="1297" customFormat="1">
      <c r="E2673" s="1297" t="s">
        <v>932</v>
      </c>
      <c r="F2673" s="1399"/>
      <c r="G2673" s="1399"/>
      <c r="H2673" s="1399"/>
      <c r="I2673" s="1399">
        <v>4530396</v>
      </c>
      <c r="J2673" s="1399">
        <v>4530396</v>
      </c>
    </row>
    <row r="2674" spans="5:10" s="1297" customFormat="1">
      <c r="E2674" s="1404" t="s">
        <v>955</v>
      </c>
      <c r="F2674" s="1405"/>
      <c r="G2674" s="1405"/>
      <c r="H2674" s="1405"/>
      <c r="I2674" s="1405">
        <v>380577.39</v>
      </c>
      <c r="J2674" s="1405">
        <v>380577.39</v>
      </c>
    </row>
    <row r="2675" spans="5:10" s="1297" customFormat="1">
      <c r="E2675" s="1297" t="s">
        <v>934</v>
      </c>
      <c r="F2675" s="1399"/>
      <c r="G2675" s="1399"/>
      <c r="H2675" s="1399"/>
      <c r="I2675" s="1399">
        <v>393642</v>
      </c>
      <c r="J2675" s="1399">
        <v>393642</v>
      </c>
    </row>
    <row r="2676" spans="5:10" s="1297" customFormat="1">
      <c r="E2676" s="1297" t="s">
        <v>1130</v>
      </c>
      <c r="F2676" s="1399"/>
      <c r="G2676" s="1399"/>
      <c r="H2676" s="1399"/>
      <c r="I2676" s="1399">
        <v>3288530.59</v>
      </c>
      <c r="J2676" s="1399">
        <v>3288530.59</v>
      </c>
    </row>
    <row r="2677" spans="5:10" s="1297" customFormat="1">
      <c r="E2677" s="1297" t="s">
        <v>935</v>
      </c>
      <c r="F2677" s="1399"/>
      <c r="G2677" s="1399"/>
      <c r="H2677" s="1399"/>
      <c r="I2677" s="1399">
        <v>1052264.2600000002</v>
      </c>
      <c r="J2677" s="1399">
        <v>1052264.2600000002</v>
      </c>
    </row>
    <row r="2678" spans="5:10" s="1297" customFormat="1">
      <c r="E2678" s="1297" t="s">
        <v>936</v>
      </c>
      <c r="F2678" s="1399"/>
      <c r="G2678" s="1399"/>
      <c r="H2678" s="1399"/>
      <c r="I2678" s="1399">
        <v>399521.76</v>
      </c>
      <c r="J2678" s="1399">
        <v>399521.76</v>
      </c>
    </row>
    <row r="2679" spans="5:10" s="1297" customFormat="1">
      <c r="E2679" s="1297" t="s">
        <v>937</v>
      </c>
      <c r="F2679" s="1399"/>
      <c r="G2679" s="1399"/>
      <c r="H2679" s="1399"/>
      <c r="I2679" s="1399">
        <v>176210.92</v>
      </c>
      <c r="J2679" s="1399">
        <v>176210.92</v>
      </c>
    </row>
    <row r="2680" spans="5:10" s="1297" customFormat="1">
      <c r="E2680" s="1297" t="s">
        <v>938</v>
      </c>
      <c r="F2680" s="1399"/>
      <c r="G2680" s="1399"/>
      <c r="H2680" s="1399"/>
      <c r="I2680" s="1399">
        <v>133631</v>
      </c>
      <c r="J2680" s="1399">
        <v>133631</v>
      </c>
    </row>
    <row r="2681" spans="5:10" s="1297" customFormat="1">
      <c r="E2681" s="1297" t="s">
        <v>939</v>
      </c>
      <c r="F2681" s="1399"/>
      <c r="G2681" s="1399"/>
      <c r="H2681" s="1399"/>
      <c r="I2681" s="1399">
        <v>70000</v>
      </c>
      <c r="J2681" s="1399">
        <v>70000</v>
      </c>
    </row>
    <row r="2682" spans="5:10" s="1297" customFormat="1">
      <c r="E2682" s="1297" t="s">
        <v>1131</v>
      </c>
      <c r="F2682" s="1399">
        <v>116170.55</v>
      </c>
      <c r="G2682" s="1399"/>
      <c r="H2682" s="1399"/>
      <c r="I2682" s="1399"/>
      <c r="J2682" s="1399">
        <v>116170.55</v>
      </c>
    </row>
    <row r="2683" spans="5:10" s="1297" customFormat="1">
      <c r="E2683" s="1297" t="s">
        <v>940</v>
      </c>
      <c r="F2683" s="1399">
        <v>6486667.0199999986</v>
      </c>
      <c r="G2683" s="1399"/>
      <c r="H2683" s="1399"/>
      <c r="I2683" s="1399"/>
      <c r="J2683" s="1399">
        <v>6486667.0199999986</v>
      </c>
    </row>
    <row r="2684" spans="5:10" s="1297" customFormat="1">
      <c r="E2684" s="1297" t="s">
        <v>941</v>
      </c>
      <c r="F2684" s="1399">
        <v>2725259.5599999996</v>
      </c>
      <c r="G2684" s="1399"/>
      <c r="H2684" s="1399"/>
      <c r="I2684" s="1399"/>
      <c r="J2684" s="1399">
        <v>2725259.5599999996</v>
      </c>
    </row>
    <row r="2685" spans="5:10" s="1297" customFormat="1">
      <c r="E2685" s="1297" t="s">
        <v>943</v>
      </c>
      <c r="F2685" s="1399">
        <v>73021.659999999989</v>
      </c>
      <c r="G2685" s="1399"/>
      <c r="H2685" s="1399"/>
      <c r="I2685" s="1399"/>
      <c r="J2685" s="1399">
        <v>73021.659999999989</v>
      </c>
    </row>
    <row r="2686" spans="5:10" s="1297" customFormat="1">
      <c r="E2686" s="1297" t="s">
        <v>944</v>
      </c>
      <c r="F2686" s="1399">
        <v>12470438.509999998</v>
      </c>
      <c r="G2686" s="1399"/>
      <c r="H2686" s="1399"/>
      <c r="I2686" s="1399"/>
      <c r="J2686" s="1399">
        <v>12470438.509999998</v>
      </c>
    </row>
    <row r="2687" spans="5:10" s="1297" customFormat="1">
      <c r="E2687" s="1297" t="s">
        <v>945</v>
      </c>
      <c r="F2687" s="1399">
        <v>11730509.42</v>
      </c>
      <c r="G2687" s="1399"/>
      <c r="H2687" s="1399"/>
      <c r="I2687" s="1399"/>
      <c r="J2687" s="1399">
        <v>11730509.42</v>
      </c>
    </row>
    <row r="2688" spans="5:10" s="1297" customFormat="1">
      <c r="E2688" s="1297" t="s">
        <v>946</v>
      </c>
      <c r="F2688" s="1399">
        <v>232390.1</v>
      </c>
      <c r="G2688" s="1399"/>
      <c r="H2688" s="1399"/>
      <c r="I2688" s="1399"/>
      <c r="J2688" s="1399">
        <v>232390.1</v>
      </c>
    </row>
    <row r="2689" spans="2:12">
      <c r="B2689" s="1297"/>
      <c r="C2689" s="1297"/>
      <c r="D2689" s="1297"/>
      <c r="E2689" s="1297" t="s">
        <v>1214</v>
      </c>
      <c r="F2689" s="1399">
        <v>264090.53000000003</v>
      </c>
      <c r="J2689" s="1399">
        <v>264090.53000000003</v>
      </c>
    </row>
    <row r="2690" spans="2:12">
      <c r="B2690" s="1297"/>
      <c r="C2690" s="1297"/>
      <c r="D2690" s="1297"/>
      <c r="E2690" s="1297" t="s">
        <v>947</v>
      </c>
      <c r="F2690" s="1399">
        <v>613365.42999999993</v>
      </c>
      <c r="J2690" s="1399">
        <v>613365.42999999993</v>
      </c>
    </row>
    <row r="2691" spans="2:12">
      <c r="B2691" s="1297"/>
      <c r="C2691" s="1297"/>
      <c r="D2691" s="1297"/>
      <c r="E2691" s="1297" t="s">
        <v>1115</v>
      </c>
      <c r="F2691" s="1399">
        <v>22833.55</v>
      </c>
      <c r="J2691" s="1399">
        <v>22833.55</v>
      </c>
    </row>
    <row r="2692" spans="2:12">
      <c r="B2692" s="1297"/>
      <c r="C2692" s="1297"/>
      <c r="D2692" s="1297"/>
      <c r="E2692" s="1404" t="s">
        <v>1116</v>
      </c>
      <c r="F2692" s="1405"/>
      <c r="G2692" s="1405"/>
      <c r="H2692" s="1405">
        <v>9500000</v>
      </c>
      <c r="I2692" s="1405"/>
      <c r="J2692" s="1405">
        <v>9500000</v>
      </c>
    </row>
    <row r="2693" spans="2:12">
      <c r="B2693" s="1297"/>
      <c r="C2693" s="1297"/>
      <c r="D2693" s="1297"/>
      <c r="E2693" s="1404" t="s">
        <v>948</v>
      </c>
      <c r="F2693" s="1405"/>
      <c r="G2693" s="1405"/>
      <c r="H2693" s="1405">
        <v>58503730.370000005</v>
      </c>
      <c r="I2693" s="1405"/>
      <c r="J2693" s="1405">
        <v>58503730.370000005</v>
      </c>
    </row>
    <row r="2694" spans="2:12">
      <c r="B2694" s="1297"/>
      <c r="C2694" s="1297"/>
      <c r="D2694" s="1297"/>
      <c r="E2694" s="1297" t="s">
        <v>956</v>
      </c>
      <c r="H2694" s="1399">
        <v>148142.58000000002</v>
      </c>
      <c r="J2694" s="1399">
        <v>148142.58000000002</v>
      </c>
    </row>
    <row r="2695" spans="2:12">
      <c r="B2695" s="1297"/>
      <c r="C2695" s="1297"/>
      <c r="D2695" s="1297"/>
      <c r="E2695" s="1297" t="s">
        <v>1167</v>
      </c>
      <c r="H2695" s="1399">
        <v>3000000</v>
      </c>
      <c r="J2695" s="1399">
        <v>3000000</v>
      </c>
    </row>
    <row r="2696" spans="2:12">
      <c r="B2696" s="1297"/>
      <c r="C2696" s="1297"/>
      <c r="D2696" s="1400" t="s">
        <v>1168</v>
      </c>
      <c r="E2696" s="1400"/>
      <c r="F2696" s="1401">
        <f>SUM(F2647:F2695)</f>
        <v>35227203.659999996</v>
      </c>
      <c r="G2696" s="1401">
        <f>SUM(G2647:G2695)</f>
        <v>96540270.590000004</v>
      </c>
      <c r="H2696" s="1401">
        <f>SUM(H2647:H2695)-(H2692+H2693)</f>
        <v>10775046.269999996</v>
      </c>
      <c r="I2696" s="1401">
        <f>SUM(I2647:I2695)-I2674</f>
        <v>112943563.53000002</v>
      </c>
      <c r="J2696" s="1401">
        <f>SUM(J2647:J2695)</f>
        <v>323870391.81</v>
      </c>
      <c r="K2696" s="1401">
        <f>SUM(F2696:I2696)</f>
        <v>255486084.05000001</v>
      </c>
      <c r="L2696" s="1408">
        <f>K2696/C2647</f>
        <v>9975.2492601124486</v>
      </c>
    </row>
    <row r="2697" spans="2:12">
      <c r="B2697" s="1297" t="s">
        <v>1169</v>
      </c>
      <c r="C2697" s="1297">
        <v>1107</v>
      </c>
      <c r="D2697" s="1297" t="s">
        <v>1170</v>
      </c>
      <c r="E2697" s="1297" t="s">
        <v>906</v>
      </c>
      <c r="G2697" s="1399">
        <v>5291478.6900000004</v>
      </c>
      <c r="J2697" s="1399">
        <v>5291478.6900000004</v>
      </c>
    </row>
    <row r="2698" spans="2:12">
      <c r="B2698" s="1297"/>
      <c r="C2698" s="1297"/>
      <c r="D2698" s="1297"/>
      <c r="E2698" s="1297" t="s">
        <v>907</v>
      </c>
      <c r="G2698" s="1399">
        <v>449613.72</v>
      </c>
      <c r="J2698" s="1399">
        <v>449613.72</v>
      </c>
    </row>
    <row r="2699" spans="2:12">
      <c r="B2699" s="1297"/>
      <c r="C2699" s="1297"/>
      <c r="D2699" s="1297"/>
      <c r="E2699" s="1297" t="s">
        <v>1039</v>
      </c>
      <c r="H2699" s="1399">
        <v>7116.4699999999993</v>
      </c>
      <c r="J2699" s="1399">
        <v>7116.4699999999993</v>
      </c>
    </row>
    <row r="2700" spans="2:12">
      <c r="B2700" s="1297"/>
      <c r="C2700" s="1297"/>
      <c r="D2700" s="1297"/>
      <c r="E2700" s="1297" t="s">
        <v>1041</v>
      </c>
      <c r="H2700" s="1399">
        <v>62.55</v>
      </c>
      <c r="J2700" s="1399">
        <v>62.55</v>
      </c>
    </row>
    <row r="2701" spans="2:12">
      <c r="B2701" s="1297"/>
      <c r="C2701" s="1297"/>
      <c r="D2701" s="1297"/>
      <c r="E2701" s="1297" t="s">
        <v>1042</v>
      </c>
      <c r="H2701" s="1399">
        <v>33230.61</v>
      </c>
      <c r="J2701" s="1399">
        <v>33230.61</v>
      </c>
    </row>
    <row r="2702" spans="2:12">
      <c r="B2702" s="1297"/>
      <c r="C2702" s="1297"/>
      <c r="D2702" s="1297"/>
      <c r="E2702" s="1297" t="s">
        <v>954</v>
      </c>
      <c r="H2702" s="1399">
        <v>250387.54</v>
      </c>
      <c r="J2702" s="1399">
        <v>250387.54</v>
      </c>
    </row>
    <row r="2703" spans="2:12">
      <c r="B2703" s="1297"/>
      <c r="C2703" s="1297"/>
      <c r="D2703" s="1297"/>
      <c r="E2703" s="1297" t="s">
        <v>1044</v>
      </c>
      <c r="F2703" s="1399">
        <v>96698.07</v>
      </c>
      <c r="J2703" s="1399">
        <v>96698.07</v>
      </c>
    </row>
    <row r="2704" spans="2:12">
      <c r="B2704" s="1297"/>
      <c r="C2704" s="1297"/>
      <c r="D2704" s="1297"/>
      <c r="E2704" s="1297" t="s">
        <v>1045</v>
      </c>
      <c r="H2704" s="1399">
        <v>273818.96000000002</v>
      </c>
      <c r="J2704" s="1399">
        <v>273818.96000000002</v>
      </c>
    </row>
    <row r="2705" spans="5:10" s="1297" customFormat="1">
      <c r="E2705" s="1297" t="s">
        <v>1046</v>
      </c>
      <c r="F2705" s="1399"/>
      <c r="G2705" s="1399"/>
      <c r="H2705" s="1399"/>
      <c r="I2705" s="1399">
        <v>6511392</v>
      </c>
      <c r="J2705" s="1399">
        <v>6511392</v>
      </c>
    </row>
    <row r="2706" spans="5:10" s="1297" customFormat="1">
      <c r="E2706" s="1297" t="s">
        <v>1128</v>
      </c>
      <c r="F2706" s="1399"/>
      <c r="G2706" s="1399"/>
      <c r="H2706" s="1399"/>
      <c r="I2706" s="1399">
        <v>478464</v>
      </c>
      <c r="J2706" s="1399">
        <v>478464</v>
      </c>
    </row>
    <row r="2707" spans="5:10" s="1297" customFormat="1">
      <c r="E2707" s="1297" t="s">
        <v>1129</v>
      </c>
      <c r="F2707" s="1399"/>
      <c r="G2707" s="1399"/>
      <c r="H2707" s="1399"/>
      <c r="I2707" s="1399">
        <v>-778487</v>
      </c>
      <c r="J2707" s="1399">
        <v>-778487</v>
      </c>
    </row>
    <row r="2708" spans="5:10" s="1297" customFormat="1">
      <c r="E2708" s="1297" t="s">
        <v>1047</v>
      </c>
      <c r="F2708" s="1399"/>
      <c r="G2708" s="1399"/>
      <c r="H2708" s="1399"/>
      <c r="I2708" s="1399">
        <v>362305</v>
      </c>
      <c r="J2708" s="1399">
        <v>362305</v>
      </c>
    </row>
    <row r="2709" spans="5:10" s="1297" customFormat="1">
      <c r="E2709" s="1297" t="s">
        <v>1048</v>
      </c>
      <c r="F2709" s="1399"/>
      <c r="G2709" s="1399"/>
      <c r="H2709" s="1399"/>
      <c r="I2709" s="1399">
        <v>-2283612</v>
      </c>
      <c r="J2709" s="1399">
        <v>-2283612</v>
      </c>
    </row>
    <row r="2710" spans="5:10" s="1297" customFormat="1">
      <c r="E2710" s="1297" t="s">
        <v>934</v>
      </c>
      <c r="F2710" s="1399"/>
      <c r="G2710" s="1399"/>
      <c r="H2710" s="1399"/>
      <c r="I2710" s="1399">
        <v>17992.900000000001</v>
      </c>
      <c r="J2710" s="1399">
        <v>17992.900000000001</v>
      </c>
    </row>
    <row r="2711" spans="5:10" s="1297" customFormat="1">
      <c r="E2711" s="1297" t="s">
        <v>935</v>
      </c>
      <c r="F2711" s="1399"/>
      <c r="G2711" s="1399"/>
      <c r="H2711" s="1399"/>
      <c r="I2711" s="1399">
        <v>565872.5</v>
      </c>
      <c r="J2711" s="1399">
        <v>565872.5</v>
      </c>
    </row>
    <row r="2712" spans="5:10" s="1297" customFormat="1">
      <c r="E2712" s="1297" t="s">
        <v>939</v>
      </c>
      <c r="F2712" s="1399"/>
      <c r="G2712" s="1399"/>
      <c r="H2712" s="1399"/>
      <c r="I2712" s="1399">
        <v>44395.76</v>
      </c>
      <c r="J2712" s="1399">
        <v>44395.76</v>
      </c>
    </row>
    <row r="2713" spans="5:10" s="1297" customFormat="1">
      <c r="E2713" s="1297" t="s">
        <v>1131</v>
      </c>
      <c r="F2713" s="1399">
        <v>2111905.52</v>
      </c>
      <c r="G2713" s="1399"/>
      <c r="H2713" s="1399"/>
      <c r="I2713" s="1399"/>
      <c r="J2713" s="1399">
        <v>2111905.52</v>
      </c>
    </row>
    <row r="2714" spans="5:10" s="1297" customFormat="1">
      <c r="E2714" s="1297" t="s">
        <v>940</v>
      </c>
      <c r="F2714" s="1399">
        <v>513030.56</v>
      </c>
      <c r="G2714" s="1399"/>
      <c r="H2714" s="1399"/>
      <c r="I2714" s="1399"/>
      <c r="J2714" s="1399">
        <v>513030.56</v>
      </c>
    </row>
    <row r="2715" spans="5:10" s="1297" customFormat="1">
      <c r="E2715" s="1297" t="s">
        <v>941</v>
      </c>
      <c r="F2715" s="1399">
        <v>237592.69999999998</v>
      </c>
      <c r="G2715" s="1399"/>
      <c r="H2715" s="1399"/>
      <c r="I2715" s="1399"/>
      <c r="J2715" s="1399">
        <v>237592.69999999998</v>
      </c>
    </row>
    <row r="2716" spans="5:10" s="1297" customFormat="1">
      <c r="E2716" s="1297" t="s">
        <v>943</v>
      </c>
      <c r="F2716" s="1399">
        <v>36112</v>
      </c>
      <c r="G2716" s="1399"/>
      <c r="H2716" s="1399"/>
      <c r="I2716" s="1399"/>
      <c r="J2716" s="1399">
        <v>36112</v>
      </c>
    </row>
    <row r="2717" spans="5:10" s="1297" customFormat="1">
      <c r="E2717" s="1297" t="s">
        <v>944</v>
      </c>
      <c r="F2717" s="1399">
        <v>1509113.47</v>
      </c>
      <c r="G2717" s="1399"/>
      <c r="H2717" s="1399"/>
      <c r="I2717" s="1399"/>
      <c r="J2717" s="1399">
        <v>1509113.47</v>
      </c>
    </row>
    <row r="2718" spans="5:10" s="1297" customFormat="1">
      <c r="E2718" s="1297" t="s">
        <v>945</v>
      </c>
      <c r="F2718" s="1399">
        <v>346985.83999999997</v>
      </c>
      <c r="G2718" s="1399"/>
      <c r="H2718" s="1399"/>
      <c r="I2718" s="1399"/>
      <c r="J2718" s="1399">
        <v>346985.83999999997</v>
      </c>
    </row>
    <row r="2719" spans="5:10" s="1297" customFormat="1">
      <c r="E2719" s="1297" t="s">
        <v>946</v>
      </c>
      <c r="F2719" s="1399">
        <v>16873.11</v>
      </c>
      <c r="G2719" s="1399"/>
      <c r="H2719" s="1399"/>
      <c r="I2719" s="1399"/>
      <c r="J2719" s="1399">
        <v>16873.11</v>
      </c>
    </row>
    <row r="2720" spans="5:10" s="1297" customFormat="1">
      <c r="E2720" s="1297" t="s">
        <v>978</v>
      </c>
      <c r="F2720" s="1399">
        <v>26254.79</v>
      </c>
      <c r="G2720" s="1399"/>
      <c r="H2720" s="1399"/>
      <c r="I2720" s="1399"/>
      <c r="J2720" s="1399">
        <v>26254.79</v>
      </c>
    </row>
    <row r="2721" spans="2:12">
      <c r="B2721" s="1297"/>
      <c r="C2721" s="1297"/>
      <c r="D2721" s="1297"/>
      <c r="E2721" s="1297" t="s">
        <v>947</v>
      </c>
      <c r="F2721" s="1399">
        <v>15942.62</v>
      </c>
      <c r="J2721" s="1399">
        <v>15942.62</v>
      </c>
    </row>
    <row r="2722" spans="2:12">
      <c r="B2722" s="1297"/>
      <c r="C2722" s="1297"/>
      <c r="D2722" s="1297"/>
      <c r="E2722" s="1404" t="s">
        <v>948</v>
      </c>
      <c r="F2722" s="1405"/>
      <c r="G2722" s="1405"/>
      <c r="H2722" s="1405">
        <v>790824.4800000001</v>
      </c>
      <c r="I2722" s="1405"/>
      <c r="J2722" s="1405">
        <v>790824.4800000001</v>
      </c>
    </row>
    <row r="2723" spans="2:12">
      <c r="B2723" s="1297"/>
      <c r="C2723" s="1297"/>
      <c r="D2723" s="1297"/>
      <c r="E2723" s="1297" t="s">
        <v>1118</v>
      </c>
      <c r="H2723" s="1399">
        <v>1500</v>
      </c>
      <c r="J2723" s="1399">
        <v>1500</v>
      </c>
    </row>
    <row r="2724" spans="2:12">
      <c r="B2724" s="1297"/>
      <c r="C2724" s="1297"/>
      <c r="D2724" s="1400" t="s">
        <v>1171</v>
      </c>
      <c r="E2724" s="1400"/>
      <c r="F2724" s="1401">
        <f>SUM(F2697:F2723)</f>
        <v>4910508.6800000006</v>
      </c>
      <c r="G2724" s="1401">
        <f>SUM(G2697:G2723)</f>
        <v>5741092.4100000001</v>
      </c>
      <c r="H2724" s="1401">
        <f>SUM(H2697:H2723)-H2722</f>
        <v>566116.13</v>
      </c>
      <c r="I2724" s="1401">
        <f>SUM(I2697:I2723)</f>
        <v>4918323.16</v>
      </c>
      <c r="J2724" s="1401">
        <f>SUM(J2697:J2723)</f>
        <v>16926864.859999996</v>
      </c>
      <c r="K2724" s="1401">
        <f>SUM(F2724:I2724)</f>
        <v>16136040.380000001</v>
      </c>
      <c r="L2724" s="1408">
        <f>K2724/C2697</f>
        <v>14576.368906955737</v>
      </c>
    </row>
    <row r="2725" spans="2:12">
      <c r="B2725" s="1297" t="s">
        <v>1172</v>
      </c>
      <c r="C2725" s="1297">
        <v>3447</v>
      </c>
      <c r="D2725" s="1297" t="s">
        <v>1173</v>
      </c>
      <c r="E2725" s="1297" t="s">
        <v>906</v>
      </c>
      <c r="G2725" s="1399">
        <v>9902042.1099999994</v>
      </c>
      <c r="J2725" s="1399">
        <v>9902042.1099999994</v>
      </c>
    </row>
    <row r="2726" spans="2:12">
      <c r="B2726" s="1297"/>
      <c r="C2726" s="1297"/>
      <c r="D2726" s="1297"/>
      <c r="E2726" s="1297" t="s">
        <v>952</v>
      </c>
      <c r="G2726" s="1399">
        <v>23602.41</v>
      </c>
      <c r="J2726" s="1399">
        <v>23602.41</v>
      </c>
    </row>
    <row r="2727" spans="2:12">
      <c r="B2727" s="1297"/>
      <c r="C2727" s="1297"/>
      <c r="D2727" s="1297"/>
      <c r="E2727" s="1297" t="s">
        <v>907</v>
      </c>
      <c r="G2727" s="1399">
        <v>2422813.1100000003</v>
      </c>
      <c r="J2727" s="1399">
        <v>2422813.1100000003</v>
      </c>
    </row>
    <row r="2728" spans="2:12">
      <c r="B2728" s="1297"/>
      <c r="C2728" s="1297"/>
      <c r="D2728" s="1297"/>
      <c r="E2728" s="1297" t="s">
        <v>908</v>
      </c>
      <c r="G2728" s="1399">
        <v>20529.37</v>
      </c>
      <c r="J2728" s="1399">
        <v>20529.37</v>
      </c>
    </row>
    <row r="2729" spans="2:12">
      <c r="B2729" s="1297"/>
      <c r="C2729" s="1297"/>
      <c r="D2729" s="1297"/>
      <c r="E2729" s="1297" t="s">
        <v>1034</v>
      </c>
      <c r="H2729" s="1399">
        <v>5453.3</v>
      </c>
      <c r="J2729" s="1399">
        <v>5453.3</v>
      </c>
    </row>
    <row r="2730" spans="2:12">
      <c r="B2730" s="1297"/>
      <c r="C2730" s="1297"/>
      <c r="D2730" s="1297"/>
      <c r="E2730" s="1297" t="s">
        <v>1037</v>
      </c>
      <c r="H2730" s="1399">
        <v>10954.41</v>
      </c>
      <c r="J2730" s="1399">
        <v>10954.41</v>
      </c>
    </row>
    <row r="2731" spans="2:12">
      <c r="B2731" s="1297"/>
      <c r="C2731" s="1297"/>
      <c r="D2731" s="1297"/>
      <c r="E2731" s="1297" t="s">
        <v>1039</v>
      </c>
      <c r="H2731" s="1399">
        <v>97807.62000000001</v>
      </c>
      <c r="J2731" s="1399">
        <v>97807.62000000001</v>
      </c>
    </row>
    <row r="2732" spans="2:12">
      <c r="B2732" s="1297"/>
      <c r="C2732" s="1297"/>
      <c r="D2732" s="1297"/>
      <c r="E2732" s="1297" t="s">
        <v>1040</v>
      </c>
      <c r="H2732" s="1399">
        <v>307199.69</v>
      </c>
      <c r="J2732" s="1399">
        <v>307199.69</v>
      </c>
    </row>
    <row r="2733" spans="2:12">
      <c r="B2733" s="1297"/>
      <c r="C2733" s="1297"/>
      <c r="D2733" s="1297"/>
      <c r="E2733" s="1297" t="s">
        <v>1041</v>
      </c>
      <c r="H2733" s="1399">
        <v>10567.02</v>
      </c>
      <c r="J2733" s="1399">
        <v>10567.02</v>
      </c>
    </row>
    <row r="2734" spans="2:12">
      <c r="B2734" s="1297"/>
      <c r="C2734" s="1297"/>
      <c r="D2734" s="1297"/>
      <c r="E2734" s="1297" t="s">
        <v>1042</v>
      </c>
      <c r="H2734" s="1399">
        <v>12221.82</v>
      </c>
      <c r="J2734" s="1399">
        <v>12221.82</v>
      </c>
    </row>
    <row r="2735" spans="2:12">
      <c r="B2735" s="1297"/>
      <c r="C2735" s="1297"/>
      <c r="D2735" s="1297"/>
      <c r="E2735" s="1297" t="s">
        <v>954</v>
      </c>
      <c r="H2735" s="1399">
        <v>588539.76</v>
      </c>
      <c r="J2735" s="1399">
        <v>588539.76</v>
      </c>
    </row>
    <row r="2736" spans="2:12">
      <c r="B2736" s="1297"/>
      <c r="C2736" s="1297"/>
      <c r="D2736" s="1297"/>
      <c r="E2736" s="1297" t="s">
        <v>986</v>
      </c>
      <c r="H2736" s="1399">
        <v>6910.02</v>
      </c>
      <c r="J2736" s="1399">
        <v>6910.02</v>
      </c>
    </row>
    <row r="2737" spans="5:10" s="1297" customFormat="1">
      <c r="E2737" s="1297" t="s">
        <v>991</v>
      </c>
      <c r="F2737" s="1399"/>
      <c r="G2737" s="1399"/>
      <c r="H2737" s="1399">
        <v>73983.909999999989</v>
      </c>
      <c r="I2737" s="1399"/>
      <c r="J2737" s="1399">
        <v>73983.909999999989</v>
      </c>
    </row>
    <row r="2738" spans="5:10" s="1297" customFormat="1">
      <c r="E2738" s="1297" t="s">
        <v>1045</v>
      </c>
      <c r="F2738" s="1399"/>
      <c r="G2738" s="1399"/>
      <c r="H2738" s="1399">
        <v>418199.7</v>
      </c>
      <c r="I2738" s="1399"/>
      <c r="J2738" s="1399">
        <v>418199.7</v>
      </c>
    </row>
    <row r="2739" spans="5:10" s="1297" customFormat="1">
      <c r="E2739" s="1297" t="s">
        <v>1046</v>
      </c>
      <c r="F2739" s="1399"/>
      <c r="G2739" s="1399"/>
      <c r="H2739" s="1399"/>
      <c r="I2739" s="1399">
        <v>19216096</v>
      </c>
      <c r="J2739" s="1399">
        <v>19216096</v>
      </c>
    </row>
    <row r="2740" spans="5:10" s="1297" customFormat="1">
      <c r="E2740" s="1297" t="s">
        <v>1128</v>
      </c>
      <c r="F2740" s="1399"/>
      <c r="G2740" s="1399"/>
      <c r="H2740" s="1399"/>
      <c r="I2740" s="1399">
        <v>1519530</v>
      </c>
      <c r="J2740" s="1399">
        <v>1519530</v>
      </c>
    </row>
    <row r="2741" spans="5:10" s="1297" customFormat="1">
      <c r="E2741" s="1297" t="s">
        <v>1129</v>
      </c>
      <c r="F2741" s="1399"/>
      <c r="G2741" s="1399"/>
      <c r="H2741" s="1399"/>
      <c r="I2741" s="1399">
        <v>-2753779</v>
      </c>
      <c r="J2741" s="1399">
        <v>-2753779</v>
      </c>
    </row>
    <row r="2742" spans="5:10" s="1297" customFormat="1">
      <c r="E2742" s="1297" t="s">
        <v>1047</v>
      </c>
      <c r="F2742" s="1399"/>
      <c r="G2742" s="1399"/>
      <c r="H2742" s="1399"/>
      <c r="I2742" s="1399">
        <v>636041</v>
      </c>
      <c r="J2742" s="1399">
        <v>636041</v>
      </c>
    </row>
    <row r="2743" spans="5:10" s="1297" customFormat="1">
      <c r="E2743" s="1297" t="s">
        <v>1048</v>
      </c>
      <c r="F2743" s="1399"/>
      <c r="G2743" s="1399"/>
      <c r="H2743" s="1399"/>
      <c r="I2743" s="1399">
        <v>-2717482</v>
      </c>
      <c r="J2743" s="1399">
        <v>-2717482</v>
      </c>
    </row>
    <row r="2744" spans="5:10" s="1297" customFormat="1">
      <c r="E2744" s="1297" t="s">
        <v>932</v>
      </c>
      <c r="F2744" s="1399"/>
      <c r="G2744" s="1399"/>
      <c r="H2744" s="1399"/>
      <c r="I2744" s="1399">
        <v>1872825</v>
      </c>
      <c r="J2744" s="1399">
        <v>1872825</v>
      </c>
    </row>
    <row r="2745" spans="5:10" s="1297" customFormat="1">
      <c r="E2745" s="1297" t="s">
        <v>934</v>
      </c>
      <c r="F2745" s="1399"/>
      <c r="G2745" s="1399"/>
      <c r="H2745" s="1399"/>
      <c r="I2745" s="1399">
        <v>59728</v>
      </c>
      <c r="J2745" s="1399">
        <v>59728</v>
      </c>
    </row>
    <row r="2746" spans="5:10" s="1297" customFormat="1">
      <c r="E2746" s="1297" t="s">
        <v>935</v>
      </c>
      <c r="F2746" s="1399"/>
      <c r="G2746" s="1399"/>
      <c r="H2746" s="1399"/>
      <c r="I2746" s="1399">
        <v>424825.86</v>
      </c>
      <c r="J2746" s="1399">
        <v>424825.86</v>
      </c>
    </row>
    <row r="2747" spans="5:10" s="1297" customFormat="1">
      <c r="E2747" s="1297" t="s">
        <v>936</v>
      </c>
      <c r="F2747" s="1399"/>
      <c r="G2747" s="1399"/>
      <c r="H2747" s="1399"/>
      <c r="I2747" s="1399">
        <v>54973.63</v>
      </c>
      <c r="J2747" s="1399">
        <v>54973.63</v>
      </c>
    </row>
    <row r="2748" spans="5:10" s="1297" customFormat="1">
      <c r="E2748" s="1297" t="s">
        <v>937</v>
      </c>
      <c r="F2748" s="1399"/>
      <c r="G2748" s="1399"/>
      <c r="H2748" s="1399"/>
      <c r="I2748" s="1399">
        <v>9735.76</v>
      </c>
      <c r="J2748" s="1399">
        <v>9735.76</v>
      </c>
    </row>
    <row r="2749" spans="5:10" s="1297" customFormat="1">
      <c r="E2749" s="1297" t="s">
        <v>938</v>
      </c>
      <c r="F2749" s="1399"/>
      <c r="G2749" s="1399"/>
      <c r="H2749" s="1399"/>
      <c r="I2749" s="1399">
        <v>21336</v>
      </c>
      <c r="J2749" s="1399">
        <v>21336</v>
      </c>
    </row>
    <row r="2750" spans="5:10" s="1297" customFormat="1">
      <c r="E2750" s="1297" t="s">
        <v>939</v>
      </c>
      <c r="F2750" s="1399"/>
      <c r="G2750" s="1399"/>
      <c r="H2750" s="1399"/>
      <c r="I2750" s="1399">
        <v>834443.79</v>
      </c>
      <c r="J2750" s="1399">
        <v>834443.79</v>
      </c>
    </row>
    <row r="2751" spans="5:10" s="1297" customFormat="1">
      <c r="E2751" s="1297" t="s">
        <v>1131</v>
      </c>
      <c r="F2751" s="1399">
        <v>340741.14</v>
      </c>
      <c r="G2751" s="1399"/>
      <c r="H2751" s="1399"/>
      <c r="I2751" s="1399"/>
      <c r="J2751" s="1399">
        <v>340741.14</v>
      </c>
    </row>
    <row r="2752" spans="5:10" s="1297" customFormat="1">
      <c r="E2752" s="1297" t="s">
        <v>940</v>
      </c>
      <c r="F2752" s="1399">
        <v>740702.4</v>
      </c>
      <c r="G2752" s="1399"/>
      <c r="H2752" s="1399"/>
      <c r="I2752" s="1399"/>
      <c r="J2752" s="1399">
        <v>740702.4</v>
      </c>
    </row>
    <row r="2753" spans="2:12">
      <c r="B2753" s="1297"/>
      <c r="C2753" s="1297"/>
      <c r="D2753" s="1297"/>
      <c r="E2753" s="1297" t="s">
        <v>941</v>
      </c>
      <c r="F2753" s="1399">
        <v>257403.58</v>
      </c>
      <c r="J2753" s="1399">
        <v>257403.58</v>
      </c>
    </row>
    <row r="2754" spans="2:12">
      <c r="B2754" s="1297"/>
      <c r="C2754" s="1297"/>
      <c r="D2754" s="1297"/>
      <c r="E2754" s="1297" t="s">
        <v>943</v>
      </c>
      <c r="F2754" s="1399">
        <v>5614.38</v>
      </c>
      <c r="J2754" s="1399">
        <v>5614.38</v>
      </c>
    </row>
    <row r="2755" spans="2:12">
      <c r="B2755" s="1297"/>
      <c r="C2755" s="1297"/>
      <c r="D2755" s="1297"/>
      <c r="E2755" s="1297" t="s">
        <v>944</v>
      </c>
      <c r="F2755" s="1399">
        <v>3420952.1699999995</v>
      </c>
      <c r="J2755" s="1399">
        <v>3420952.1699999995</v>
      </c>
    </row>
    <row r="2756" spans="2:12">
      <c r="B2756" s="1297"/>
      <c r="C2756" s="1297"/>
      <c r="D2756" s="1297"/>
      <c r="E2756" s="1297" t="s">
        <v>945</v>
      </c>
      <c r="F2756" s="1399">
        <v>2364753.14</v>
      </c>
      <c r="J2756" s="1399">
        <v>2364753.14</v>
      </c>
    </row>
    <row r="2757" spans="2:12">
      <c r="B2757" s="1297"/>
      <c r="C2757" s="1297"/>
      <c r="D2757" s="1297"/>
      <c r="E2757" s="1297" t="s">
        <v>947</v>
      </c>
      <c r="F2757" s="1399">
        <v>53280.29</v>
      </c>
      <c r="J2757" s="1399">
        <v>53280.29</v>
      </c>
    </row>
    <row r="2758" spans="2:12">
      <c r="B2758" s="1297"/>
      <c r="C2758" s="1297"/>
      <c r="D2758" s="1297"/>
      <c r="E2758" s="1297" t="s">
        <v>1115</v>
      </c>
      <c r="F2758" s="1399">
        <v>78260.97</v>
      </c>
      <c r="J2758" s="1399">
        <v>78260.97</v>
      </c>
    </row>
    <row r="2759" spans="2:12">
      <c r="B2759" s="1297"/>
      <c r="C2759" s="1297"/>
      <c r="D2759" s="1297"/>
      <c r="E2759" s="1404" t="s">
        <v>948</v>
      </c>
      <c r="F2759" s="1405"/>
      <c r="G2759" s="1405"/>
      <c r="H2759" s="1405">
        <v>140806.32</v>
      </c>
      <c r="I2759" s="1405"/>
      <c r="J2759" s="1405">
        <v>140806.32</v>
      </c>
    </row>
    <row r="2760" spans="2:12">
      <c r="B2760" s="1297"/>
      <c r="C2760" s="1297"/>
      <c r="D2760" s="1400" t="s">
        <v>1174</v>
      </c>
      <c r="E2760" s="1400"/>
      <c r="F2760" s="1401">
        <f>SUM(F2725:F2759)</f>
        <v>7261708.0700000003</v>
      </c>
      <c r="G2760" s="1401">
        <f>SUM(G2725:G2759)</f>
        <v>12368986.999999998</v>
      </c>
      <c r="H2760" s="1401">
        <f>SUM(H2725:H2759)-H2759</f>
        <v>1531837.25</v>
      </c>
      <c r="I2760" s="1401">
        <f>SUM(I2725:I2759)</f>
        <v>19178274.039999999</v>
      </c>
      <c r="J2760" s="1401">
        <f>SUM(J2725:J2759)</f>
        <v>40481612.68</v>
      </c>
      <c r="K2760" s="1401">
        <f>SUM(F2760:I2760)</f>
        <v>40340806.359999999</v>
      </c>
      <c r="L2760" s="1408">
        <f>K2760/C2725</f>
        <v>11703.164015085582</v>
      </c>
    </row>
    <row r="2761" spans="2:12">
      <c r="B2761" s="1297" t="s">
        <v>1175</v>
      </c>
      <c r="C2761" s="1297">
        <v>4815</v>
      </c>
      <c r="D2761" s="1297" t="s">
        <v>1176</v>
      </c>
      <c r="E2761" s="1297" t="s">
        <v>906</v>
      </c>
      <c r="G2761" s="1399">
        <v>21480713.069999997</v>
      </c>
      <c r="J2761" s="1399">
        <v>21480713.069999997</v>
      </c>
    </row>
    <row r="2762" spans="2:12">
      <c r="B2762" s="1297"/>
      <c r="C2762" s="1297"/>
      <c r="D2762" s="1297"/>
      <c r="E2762" s="1297" t="s">
        <v>952</v>
      </c>
      <c r="G2762" s="1399">
        <v>519482.76</v>
      </c>
      <c r="J2762" s="1399">
        <v>519482.76</v>
      </c>
    </row>
    <row r="2763" spans="2:12">
      <c r="B2763" s="1297"/>
      <c r="C2763" s="1297"/>
      <c r="D2763" s="1297"/>
      <c r="E2763" s="1297" t="s">
        <v>907</v>
      </c>
      <c r="G2763" s="1399">
        <v>2343914.25</v>
      </c>
      <c r="J2763" s="1399">
        <v>2343914.25</v>
      </c>
    </row>
    <row r="2764" spans="2:12">
      <c r="B2764" s="1297"/>
      <c r="C2764" s="1297"/>
      <c r="D2764" s="1297"/>
      <c r="E2764" s="1297" t="s">
        <v>908</v>
      </c>
      <c r="G2764" s="1399">
        <v>15109.87</v>
      </c>
      <c r="J2764" s="1399">
        <v>15109.87</v>
      </c>
    </row>
    <row r="2765" spans="2:12">
      <c r="B2765" s="1297"/>
      <c r="C2765" s="1297"/>
      <c r="D2765" s="1297"/>
      <c r="E2765" s="1297" t="s">
        <v>909</v>
      </c>
      <c r="H2765" s="1399">
        <v>35048.61</v>
      </c>
      <c r="J2765" s="1399">
        <v>35048.61</v>
      </c>
    </row>
    <row r="2766" spans="2:12">
      <c r="B2766" s="1297"/>
      <c r="C2766" s="1297"/>
      <c r="D2766" s="1297"/>
      <c r="E2766" s="1297" t="s">
        <v>910</v>
      </c>
      <c r="H2766" s="1399">
        <v>56702.38</v>
      </c>
      <c r="J2766" s="1399">
        <v>56702.38</v>
      </c>
    </row>
    <row r="2767" spans="2:12">
      <c r="B2767" s="1297"/>
      <c r="C2767" s="1297"/>
      <c r="D2767" s="1297"/>
      <c r="E2767" s="1297" t="s">
        <v>1034</v>
      </c>
      <c r="H2767" s="1399">
        <v>94657.919999999998</v>
      </c>
      <c r="J2767" s="1399">
        <v>94657.919999999998</v>
      </c>
    </row>
    <row r="2768" spans="2:12">
      <c r="B2768" s="1297"/>
      <c r="C2768" s="1297"/>
      <c r="D2768" s="1297"/>
      <c r="E2768" s="1297" t="s">
        <v>1035</v>
      </c>
      <c r="H2768" s="1399">
        <v>472747.58</v>
      </c>
      <c r="J2768" s="1399">
        <v>472747.58</v>
      </c>
    </row>
    <row r="2769" spans="5:10" s="1297" customFormat="1">
      <c r="E2769" s="1297" t="s">
        <v>1036</v>
      </c>
      <c r="F2769" s="1399"/>
      <c r="G2769" s="1399"/>
      <c r="H2769" s="1399">
        <v>91401.41</v>
      </c>
      <c r="I2769" s="1399"/>
      <c r="J2769" s="1399">
        <v>91401.41</v>
      </c>
    </row>
    <row r="2770" spans="5:10" s="1297" customFormat="1">
      <c r="E2770" s="1297" t="s">
        <v>1037</v>
      </c>
      <c r="F2770" s="1399"/>
      <c r="G2770" s="1399"/>
      <c r="H2770" s="1399">
        <v>75600</v>
      </c>
      <c r="I2770" s="1399"/>
      <c r="J2770" s="1399">
        <v>75600</v>
      </c>
    </row>
    <row r="2771" spans="5:10" s="1297" customFormat="1">
      <c r="E2771" s="1297" t="s">
        <v>1039</v>
      </c>
      <c r="F2771" s="1399"/>
      <c r="G2771" s="1399"/>
      <c r="H2771" s="1399">
        <v>18043.679999999997</v>
      </c>
      <c r="I2771" s="1399"/>
      <c r="J2771" s="1399">
        <v>18043.679999999997</v>
      </c>
    </row>
    <row r="2772" spans="5:10" s="1297" customFormat="1">
      <c r="E2772" s="1297" t="s">
        <v>1040</v>
      </c>
      <c r="F2772" s="1399"/>
      <c r="G2772" s="1399"/>
      <c r="H2772" s="1399">
        <v>984073.45</v>
      </c>
      <c r="I2772" s="1399"/>
      <c r="J2772" s="1399">
        <v>984073.45</v>
      </c>
    </row>
    <row r="2773" spans="5:10" s="1297" customFormat="1">
      <c r="E2773" s="1297" t="s">
        <v>1041</v>
      </c>
      <c r="F2773" s="1399"/>
      <c r="G2773" s="1399"/>
      <c r="H2773" s="1399">
        <v>85540.24</v>
      </c>
      <c r="I2773" s="1399"/>
      <c r="J2773" s="1399">
        <v>85540.24</v>
      </c>
    </row>
    <row r="2774" spans="5:10" s="1297" customFormat="1">
      <c r="E2774" s="1297" t="s">
        <v>1042</v>
      </c>
      <c r="F2774" s="1399"/>
      <c r="G2774" s="1399"/>
      <c r="H2774" s="1399">
        <v>89101.48</v>
      </c>
      <c r="I2774" s="1399"/>
      <c r="J2774" s="1399">
        <v>89101.48</v>
      </c>
    </row>
    <row r="2775" spans="5:10" s="1297" customFormat="1">
      <c r="E2775" s="1297" t="s">
        <v>954</v>
      </c>
      <c r="F2775" s="1399"/>
      <c r="G2775" s="1399"/>
      <c r="H2775" s="1399">
        <v>385632.75</v>
      </c>
      <c r="I2775" s="1399"/>
      <c r="J2775" s="1399">
        <v>385632.75</v>
      </c>
    </row>
    <row r="2776" spans="5:10" s="1297" customFormat="1">
      <c r="E2776" s="1297" t="s">
        <v>985</v>
      </c>
      <c r="F2776" s="1399"/>
      <c r="G2776" s="1399"/>
      <c r="H2776" s="1399">
        <v>286467</v>
      </c>
      <c r="I2776" s="1399"/>
      <c r="J2776" s="1399">
        <v>286467</v>
      </c>
    </row>
    <row r="2777" spans="5:10" s="1297" customFormat="1">
      <c r="E2777" s="1297" t="s">
        <v>1043</v>
      </c>
      <c r="F2777" s="1399"/>
      <c r="G2777" s="1399"/>
      <c r="H2777" s="1399">
        <v>11895.27</v>
      </c>
      <c r="I2777" s="1399"/>
      <c r="J2777" s="1399">
        <v>11895.27</v>
      </c>
    </row>
    <row r="2778" spans="5:10" s="1297" customFormat="1">
      <c r="E2778" s="1297" t="s">
        <v>1044</v>
      </c>
      <c r="F2778" s="1399">
        <v>37426.15</v>
      </c>
      <c r="G2778" s="1399"/>
      <c r="H2778" s="1399"/>
      <c r="I2778" s="1399"/>
      <c r="J2778" s="1399">
        <v>37426.15</v>
      </c>
    </row>
    <row r="2779" spans="5:10" s="1297" customFormat="1">
      <c r="E2779" s="1297" t="s">
        <v>1045</v>
      </c>
      <c r="F2779" s="1399"/>
      <c r="G2779" s="1399"/>
      <c r="H2779" s="1399">
        <v>304731.33</v>
      </c>
      <c r="I2779" s="1399"/>
      <c r="J2779" s="1399">
        <v>304731.33</v>
      </c>
    </row>
    <row r="2780" spans="5:10" s="1297" customFormat="1">
      <c r="E2780" s="1297" t="s">
        <v>1046</v>
      </c>
      <c r="F2780" s="1399"/>
      <c r="G2780" s="1399"/>
      <c r="H2780" s="1399"/>
      <c r="I2780" s="1399">
        <v>26169943</v>
      </c>
      <c r="J2780" s="1399">
        <v>26169943</v>
      </c>
    </row>
    <row r="2781" spans="5:10" s="1297" customFormat="1">
      <c r="E2781" s="1297" t="s">
        <v>1129</v>
      </c>
      <c r="F2781" s="1399"/>
      <c r="G2781" s="1399"/>
      <c r="H2781" s="1399"/>
      <c r="I2781" s="1399">
        <v>-3021938</v>
      </c>
      <c r="J2781" s="1399">
        <v>-3021938</v>
      </c>
    </row>
    <row r="2782" spans="5:10" s="1297" customFormat="1">
      <c r="E2782" s="1297" t="s">
        <v>1047</v>
      </c>
      <c r="F2782" s="1399"/>
      <c r="G2782" s="1399"/>
      <c r="H2782" s="1399"/>
      <c r="I2782" s="1399">
        <v>629164</v>
      </c>
      <c r="J2782" s="1399">
        <v>629164</v>
      </c>
    </row>
    <row r="2783" spans="5:10" s="1297" customFormat="1">
      <c r="E2783" s="1297" t="s">
        <v>1048</v>
      </c>
      <c r="F2783" s="1399"/>
      <c r="G2783" s="1399"/>
      <c r="H2783" s="1399"/>
      <c r="I2783" s="1399">
        <v>-5586345</v>
      </c>
      <c r="J2783" s="1399">
        <v>-5586345</v>
      </c>
    </row>
    <row r="2784" spans="5:10" s="1297" customFormat="1">
      <c r="E2784" s="1404" t="s">
        <v>955</v>
      </c>
      <c r="F2784" s="1405"/>
      <c r="G2784" s="1405"/>
      <c r="H2784" s="1405"/>
      <c r="I2784" s="1405">
        <v>1000687.71</v>
      </c>
      <c r="J2784" s="1405">
        <v>1000687.71</v>
      </c>
    </row>
    <row r="2785" spans="2:12">
      <c r="B2785" s="1297"/>
      <c r="C2785" s="1297"/>
      <c r="D2785" s="1297"/>
      <c r="E2785" s="1297" t="s">
        <v>934</v>
      </c>
      <c r="I2785" s="1399">
        <v>74318</v>
      </c>
      <c r="J2785" s="1399">
        <v>74318</v>
      </c>
    </row>
    <row r="2786" spans="2:12">
      <c r="B2786" s="1297"/>
      <c r="C2786" s="1297"/>
      <c r="D2786" s="1297"/>
      <c r="E2786" s="1297" t="s">
        <v>935</v>
      </c>
      <c r="I2786" s="1399">
        <v>122983.34</v>
      </c>
      <c r="J2786" s="1399">
        <v>122983.34</v>
      </c>
    </row>
    <row r="2787" spans="2:12">
      <c r="B2787" s="1297"/>
      <c r="C2787" s="1297"/>
      <c r="D2787" s="1297"/>
      <c r="E2787" s="1297" t="s">
        <v>936</v>
      </c>
      <c r="I2787" s="1399">
        <v>84386.28</v>
      </c>
      <c r="J2787" s="1399">
        <v>84386.28</v>
      </c>
    </row>
    <row r="2788" spans="2:12">
      <c r="B2788" s="1297"/>
      <c r="C2788" s="1297"/>
      <c r="D2788" s="1297"/>
      <c r="E2788" s="1297" t="s">
        <v>937</v>
      </c>
      <c r="I2788" s="1399">
        <v>11615.2</v>
      </c>
      <c r="J2788" s="1399">
        <v>11615.2</v>
      </c>
    </row>
    <row r="2789" spans="2:12">
      <c r="B2789" s="1297"/>
      <c r="C2789" s="1297"/>
      <c r="D2789" s="1297"/>
      <c r="E2789" s="1297" t="s">
        <v>938</v>
      </c>
      <c r="I2789" s="1399">
        <v>26202</v>
      </c>
      <c r="J2789" s="1399">
        <v>26202</v>
      </c>
    </row>
    <row r="2790" spans="2:12">
      <c r="B2790" s="1297"/>
      <c r="C2790" s="1297"/>
      <c r="D2790" s="1297"/>
      <c r="E2790" s="1297" t="s">
        <v>939</v>
      </c>
      <c r="I2790" s="1399">
        <v>49424.94</v>
      </c>
      <c r="J2790" s="1399">
        <v>49424.94</v>
      </c>
    </row>
    <row r="2791" spans="2:12">
      <c r="B2791" s="1297"/>
      <c r="C2791" s="1297"/>
      <c r="D2791" s="1297"/>
      <c r="E2791" s="1297" t="s">
        <v>940</v>
      </c>
      <c r="F2791" s="1399">
        <v>749283.2</v>
      </c>
      <c r="J2791" s="1399">
        <v>749283.2</v>
      </c>
    </row>
    <row r="2792" spans="2:12">
      <c r="B2792" s="1297"/>
      <c r="C2792" s="1297"/>
      <c r="D2792" s="1297"/>
      <c r="E2792" s="1297" t="s">
        <v>941</v>
      </c>
      <c r="F2792" s="1399">
        <v>220627.92</v>
      </c>
      <c r="J2792" s="1399">
        <v>220627.92</v>
      </c>
    </row>
    <row r="2793" spans="2:12">
      <c r="B2793" s="1297"/>
      <c r="C2793" s="1297"/>
      <c r="D2793" s="1297"/>
      <c r="E2793" s="1297" t="s">
        <v>943</v>
      </c>
      <c r="F2793" s="1399">
        <v>16074.21</v>
      </c>
      <c r="J2793" s="1399">
        <v>16074.21</v>
      </c>
    </row>
    <row r="2794" spans="2:12">
      <c r="B2794" s="1297"/>
      <c r="C2794" s="1297"/>
      <c r="D2794" s="1297"/>
      <c r="E2794" s="1297" t="s">
        <v>944</v>
      </c>
      <c r="F2794" s="1399">
        <v>1720318.22</v>
      </c>
      <c r="J2794" s="1399">
        <v>1720318.22</v>
      </c>
    </row>
    <row r="2795" spans="2:12">
      <c r="B2795" s="1297"/>
      <c r="C2795" s="1297"/>
      <c r="D2795" s="1297"/>
      <c r="E2795" s="1297" t="s">
        <v>945</v>
      </c>
      <c r="F2795" s="1399">
        <v>1638996.71</v>
      </c>
      <c r="J2795" s="1399">
        <v>1638996.71</v>
      </c>
    </row>
    <row r="2796" spans="2:12">
      <c r="B2796" s="1297"/>
      <c r="C2796" s="1297"/>
      <c r="D2796" s="1297"/>
      <c r="E2796" s="1297" t="s">
        <v>947</v>
      </c>
      <c r="F2796" s="1399">
        <v>69506.37999999999</v>
      </c>
      <c r="J2796" s="1399">
        <v>69506.37999999999</v>
      </c>
    </row>
    <row r="2797" spans="2:12">
      <c r="B2797" s="1297"/>
      <c r="C2797" s="1297"/>
      <c r="D2797" s="1297"/>
      <c r="E2797" s="1297" t="s">
        <v>1115</v>
      </c>
      <c r="F2797" s="1399">
        <v>47363.55000000001</v>
      </c>
      <c r="J2797" s="1399">
        <v>47363.55000000001</v>
      </c>
    </row>
    <row r="2798" spans="2:12">
      <c r="B2798" s="1297"/>
      <c r="C2798" s="1297"/>
      <c r="D2798" s="1297"/>
      <c r="E2798" s="1404" t="s">
        <v>948</v>
      </c>
      <c r="F2798" s="1405"/>
      <c r="G2798" s="1405"/>
      <c r="H2798" s="1405">
        <v>2124066.4</v>
      </c>
      <c r="I2798" s="1405"/>
      <c r="J2798" s="1405">
        <v>2124066.4</v>
      </c>
    </row>
    <row r="2799" spans="2:12">
      <c r="B2799" s="1297"/>
      <c r="C2799" s="1297"/>
      <c r="D2799" s="1400" t="s">
        <v>1177</v>
      </c>
      <c r="E2799" s="1400"/>
      <c r="F2799" s="1401">
        <f>SUM(F2761:F2798)</f>
        <v>4499596.34</v>
      </c>
      <c r="G2799" s="1401">
        <f>SUM(G2761:G2798)</f>
        <v>24359219.949999999</v>
      </c>
      <c r="H2799" s="1401">
        <f>SUM(H2761:H2798)-H2798</f>
        <v>2991643.1</v>
      </c>
      <c r="I2799" s="1401">
        <f>SUM(I2761:I2798)-I2784</f>
        <v>18559753.760000002</v>
      </c>
      <c r="J2799" s="1401">
        <f>SUM(J2761:J2798)</f>
        <v>53534967.259999998</v>
      </c>
      <c r="K2799" s="1401">
        <f>SUM(F2799:I2799)</f>
        <v>50410213.150000006</v>
      </c>
      <c r="L2799" s="1408">
        <f>K2799/C2761</f>
        <v>10469.410830737281</v>
      </c>
    </row>
    <row r="2800" spans="2:12">
      <c r="B2800" s="1297" t="s">
        <v>1178</v>
      </c>
      <c r="C2800" s="1297">
        <v>3343</v>
      </c>
      <c r="D2800" s="1297" t="s">
        <v>1179</v>
      </c>
      <c r="E2800" s="1297" t="s">
        <v>906</v>
      </c>
      <c r="G2800" s="1399">
        <v>12323259</v>
      </c>
      <c r="J2800" s="1399">
        <v>12323259</v>
      </c>
    </row>
    <row r="2801" spans="5:10" s="1297" customFormat="1">
      <c r="E2801" s="1297" t="s">
        <v>952</v>
      </c>
      <c r="F2801" s="1399"/>
      <c r="G2801" s="1399">
        <v>191312.07</v>
      </c>
      <c r="H2801" s="1399"/>
      <c r="I2801" s="1399"/>
      <c r="J2801" s="1399">
        <v>191312.07</v>
      </c>
    </row>
    <row r="2802" spans="5:10" s="1297" customFormat="1">
      <c r="E2802" s="1297" t="s">
        <v>907</v>
      </c>
      <c r="F2802" s="1399"/>
      <c r="G2802" s="1399">
        <v>3015784.26</v>
      </c>
      <c r="H2802" s="1399"/>
      <c r="I2802" s="1399"/>
      <c r="J2802" s="1399">
        <v>3015784.26</v>
      </c>
    </row>
    <row r="2803" spans="5:10" s="1297" customFormat="1">
      <c r="E2803" s="1297" t="s">
        <v>908</v>
      </c>
      <c r="F2803" s="1399"/>
      <c r="G2803" s="1399">
        <v>5466.78</v>
      </c>
      <c r="H2803" s="1399"/>
      <c r="I2803" s="1399"/>
      <c r="J2803" s="1399">
        <v>5466.78</v>
      </c>
    </row>
    <row r="2804" spans="5:10" s="1297" customFormat="1">
      <c r="E2804" s="1297" t="s">
        <v>909</v>
      </c>
      <c r="F2804" s="1399"/>
      <c r="G2804" s="1399"/>
      <c r="H2804" s="1399">
        <v>67044.039999999994</v>
      </c>
      <c r="I2804" s="1399"/>
      <c r="J2804" s="1399">
        <v>67044.039999999994</v>
      </c>
    </row>
    <row r="2805" spans="5:10" s="1297" customFormat="1">
      <c r="E2805" s="1297" t="s">
        <v>910</v>
      </c>
      <c r="F2805" s="1399"/>
      <c r="G2805" s="1399"/>
      <c r="H2805" s="1399">
        <v>102731.04</v>
      </c>
      <c r="I2805" s="1399"/>
      <c r="J2805" s="1399">
        <v>102731.04</v>
      </c>
    </row>
    <row r="2806" spans="5:10" s="1297" customFormat="1">
      <c r="E2806" s="1297" t="s">
        <v>1034</v>
      </c>
      <c r="F2806" s="1399"/>
      <c r="G2806" s="1399"/>
      <c r="H2806" s="1399">
        <v>53909.85</v>
      </c>
      <c r="I2806" s="1399"/>
      <c r="J2806" s="1399">
        <v>53909.85</v>
      </c>
    </row>
    <row r="2807" spans="5:10" s="1297" customFormat="1">
      <c r="E2807" s="1297" t="s">
        <v>1035</v>
      </c>
      <c r="F2807" s="1399"/>
      <c r="G2807" s="1399"/>
      <c r="H2807" s="1399">
        <v>402586.42</v>
      </c>
      <c r="I2807" s="1399"/>
      <c r="J2807" s="1399">
        <v>402586.42</v>
      </c>
    </row>
    <row r="2808" spans="5:10" s="1297" customFormat="1">
      <c r="E2808" s="1297" t="s">
        <v>1036</v>
      </c>
      <c r="F2808" s="1399"/>
      <c r="G2808" s="1399"/>
      <c r="H2808" s="1399">
        <v>199960.03</v>
      </c>
      <c r="I2808" s="1399"/>
      <c r="J2808" s="1399">
        <v>199960.03</v>
      </c>
    </row>
    <row r="2809" spans="5:10" s="1297" customFormat="1">
      <c r="E2809" s="1297" t="s">
        <v>1037</v>
      </c>
      <c r="F2809" s="1399"/>
      <c r="G2809" s="1399"/>
      <c r="H2809" s="1399">
        <v>4800</v>
      </c>
      <c r="I2809" s="1399"/>
      <c r="J2809" s="1399">
        <v>4800</v>
      </c>
    </row>
    <row r="2810" spans="5:10" s="1297" customFormat="1">
      <c r="E2810" s="1297" t="s">
        <v>1039</v>
      </c>
      <c r="F2810" s="1399"/>
      <c r="G2810" s="1399"/>
      <c r="H2810" s="1399">
        <v>15644.34</v>
      </c>
      <c r="I2810" s="1399"/>
      <c r="J2810" s="1399">
        <v>15644.34</v>
      </c>
    </row>
    <row r="2811" spans="5:10" s="1297" customFormat="1">
      <c r="E2811" s="1297" t="s">
        <v>1040</v>
      </c>
      <c r="F2811" s="1399"/>
      <c r="G2811" s="1399"/>
      <c r="H2811" s="1399">
        <v>315675.3</v>
      </c>
      <c r="I2811" s="1399"/>
      <c r="J2811" s="1399">
        <v>315675.3</v>
      </c>
    </row>
    <row r="2812" spans="5:10" s="1297" customFormat="1">
      <c r="E2812" s="1297" t="s">
        <v>1041</v>
      </c>
      <c r="F2812" s="1399"/>
      <c r="G2812" s="1399"/>
      <c r="H2812" s="1399">
        <v>60033.120000000003</v>
      </c>
      <c r="I2812" s="1399"/>
      <c r="J2812" s="1399">
        <v>60033.120000000003</v>
      </c>
    </row>
    <row r="2813" spans="5:10" s="1297" customFormat="1">
      <c r="E2813" s="1297" t="s">
        <v>1042</v>
      </c>
      <c r="F2813" s="1399"/>
      <c r="G2813" s="1399"/>
      <c r="H2813" s="1399">
        <v>40772.85</v>
      </c>
      <c r="I2813" s="1399"/>
      <c r="J2813" s="1399">
        <v>40772.85</v>
      </c>
    </row>
    <row r="2814" spans="5:10" s="1297" customFormat="1">
      <c r="E2814" s="1297" t="s">
        <v>1043</v>
      </c>
      <c r="F2814" s="1399"/>
      <c r="G2814" s="1399"/>
      <c r="H2814" s="1399">
        <v>6700</v>
      </c>
      <c r="I2814" s="1399"/>
      <c r="J2814" s="1399">
        <v>6700</v>
      </c>
    </row>
    <row r="2815" spans="5:10" s="1297" customFormat="1">
      <c r="E2815" s="1297" t="s">
        <v>986</v>
      </c>
      <c r="F2815" s="1399"/>
      <c r="G2815" s="1399"/>
      <c r="H2815" s="1399">
        <v>57632.18</v>
      </c>
      <c r="I2815" s="1399"/>
      <c r="J2815" s="1399">
        <v>57632.18</v>
      </c>
    </row>
    <row r="2816" spans="5:10" s="1297" customFormat="1">
      <c r="E2816" s="1297" t="s">
        <v>1004</v>
      </c>
      <c r="F2816" s="1399"/>
      <c r="G2816" s="1399"/>
      <c r="H2816" s="1399">
        <v>-105961.78</v>
      </c>
      <c r="I2816" s="1399"/>
      <c r="J2816" s="1399">
        <v>-105961.78</v>
      </c>
    </row>
    <row r="2817" spans="5:10" s="1297" customFormat="1">
      <c r="E2817" s="1297" t="s">
        <v>1005</v>
      </c>
      <c r="F2817" s="1399"/>
      <c r="G2817" s="1399"/>
      <c r="H2817" s="1399">
        <v>9571.2000000000007</v>
      </c>
      <c r="I2817" s="1399"/>
      <c r="J2817" s="1399">
        <v>9571.2000000000007</v>
      </c>
    </row>
    <row r="2818" spans="5:10" s="1297" customFormat="1">
      <c r="E2818" s="1297" t="s">
        <v>1045</v>
      </c>
      <c r="F2818" s="1399"/>
      <c r="G2818" s="1399"/>
      <c r="H2818" s="1399">
        <v>177939.12000000002</v>
      </c>
      <c r="I2818" s="1399"/>
      <c r="J2818" s="1399">
        <v>177939.12000000002</v>
      </c>
    </row>
    <row r="2819" spans="5:10" s="1297" customFormat="1">
      <c r="E2819" s="1297" t="s">
        <v>1046</v>
      </c>
      <c r="F2819" s="1399"/>
      <c r="G2819" s="1399"/>
      <c r="H2819" s="1399"/>
      <c r="I2819" s="1399">
        <v>17838699</v>
      </c>
      <c r="J2819" s="1399">
        <v>17838699</v>
      </c>
    </row>
    <row r="2820" spans="5:10" s="1297" customFormat="1">
      <c r="E2820" s="1297" t="s">
        <v>1047</v>
      </c>
      <c r="F2820" s="1399"/>
      <c r="G2820" s="1399"/>
      <c r="H2820" s="1399"/>
      <c r="I2820" s="1399">
        <v>550922</v>
      </c>
      <c r="J2820" s="1399">
        <v>550922</v>
      </c>
    </row>
    <row r="2821" spans="5:10" s="1297" customFormat="1">
      <c r="E2821" s="1297" t="s">
        <v>1048</v>
      </c>
      <c r="F2821" s="1399"/>
      <c r="G2821" s="1399"/>
      <c r="H2821" s="1399"/>
      <c r="I2821" s="1399">
        <v>-5513663</v>
      </c>
      <c r="J2821" s="1399">
        <v>-5513663</v>
      </c>
    </row>
    <row r="2822" spans="5:10" s="1297" customFormat="1">
      <c r="E2822" s="1297" t="s">
        <v>934</v>
      </c>
      <c r="F2822" s="1399"/>
      <c r="G2822" s="1399"/>
      <c r="H2822" s="1399"/>
      <c r="I2822" s="1399">
        <v>56992</v>
      </c>
      <c r="J2822" s="1399">
        <v>56992</v>
      </c>
    </row>
    <row r="2823" spans="5:10" s="1297" customFormat="1">
      <c r="E2823" s="1297" t="s">
        <v>935</v>
      </c>
      <c r="F2823" s="1399"/>
      <c r="G2823" s="1399"/>
      <c r="H2823" s="1399"/>
      <c r="I2823" s="1399">
        <v>762591.39999999991</v>
      </c>
      <c r="J2823" s="1399">
        <v>762591.39999999991</v>
      </c>
    </row>
    <row r="2824" spans="5:10" s="1297" customFormat="1">
      <c r="E2824" s="1297" t="s">
        <v>936</v>
      </c>
      <c r="F2824" s="1399"/>
      <c r="G2824" s="1399"/>
      <c r="H2824" s="1399"/>
      <c r="I2824" s="1399">
        <v>60225.89</v>
      </c>
      <c r="J2824" s="1399">
        <v>60225.89</v>
      </c>
    </row>
    <row r="2825" spans="5:10" s="1297" customFormat="1">
      <c r="E2825" s="1297" t="s">
        <v>937</v>
      </c>
      <c r="F2825" s="1399"/>
      <c r="G2825" s="1399"/>
      <c r="H2825" s="1399"/>
      <c r="I2825" s="1399">
        <v>22358.49</v>
      </c>
      <c r="J2825" s="1399">
        <v>22358.49</v>
      </c>
    </row>
    <row r="2826" spans="5:10" s="1297" customFormat="1">
      <c r="E2826" s="1297" t="s">
        <v>938</v>
      </c>
      <c r="F2826" s="1399"/>
      <c r="G2826" s="1399"/>
      <c r="H2826" s="1399"/>
      <c r="I2826" s="1399">
        <v>23769</v>
      </c>
      <c r="J2826" s="1399">
        <v>23769</v>
      </c>
    </row>
    <row r="2827" spans="5:10" s="1297" customFormat="1">
      <c r="E2827" s="1297" t="s">
        <v>939</v>
      </c>
      <c r="F2827" s="1399"/>
      <c r="G2827" s="1399"/>
      <c r="H2827" s="1399"/>
      <c r="I2827" s="1399">
        <v>42237.58</v>
      </c>
      <c r="J2827" s="1399">
        <v>42237.58</v>
      </c>
    </row>
    <row r="2828" spans="5:10" s="1297" customFormat="1">
      <c r="E2828" s="1297" t="s">
        <v>940</v>
      </c>
      <c r="F2828" s="1399">
        <v>850365.02</v>
      </c>
      <c r="G2828" s="1399"/>
      <c r="H2828" s="1399"/>
      <c r="I2828" s="1399"/>
      <c r="J2828" s="1399">
        <v>850365.02</v>
      </c>
    </row>
    <row r="2829" spans="5:10" s="1297" customFormat="1">
      <c r="E2829" s="1297" t="s">
        <v>941</v>
      </c>
      <c r="F2829" s="1399">
        <v>371949.56</v>
      </c>
      <c r="G2829" s="1399"/>
      <c r="H2829" s="1399"/>
      <c r="I2829" s="1399"/>
      <c r="J2829" s="1399">
        <v>371949.56</v>
      </c>
    </row>
    <row r="2830" spans="5:10" s="1297" customFormat="1">
      <c r="E2830" s="1297" t="s">
        <v>944</v>
      </c>
      <c r="F2830" s="1399">
        <v>2230758.6899999995</v>
      </c>
      <c r="G2830" s="1399"/>
      <c r="H2830" s="1399"/>
      <c r="I2830" s="1399"/>
      <c r="J2830" s="1399">
        <v>2230758.6899999995</v>
      </c>
    </row>
    <row r="2831" spans="5:10" s="1297" customFormat="1">
      <c r="E2831" s="1297" t="s">
        <v>945</v>
      </c>
      <c r="F2831" s="1399">
        <v>980848.14</v>
      </c>
      <c r="G2831" s="1399"/>
      <c r="H2831" s="1399"/>
      <c r="I2831" s="1399"/>
      <c r="J2831" s="1399">
        <v>980848.14</v>
      </c>
    </row>
    <row r="2832" spans="5:10" s="1297" customFormat="1">
      <c r="E2832" s="1297" t="s">
        <v>947</v>
      </c>
      <c r="F2832" s="1399">
        <v>81996.58</v>
      </c>
      <c r="G2832" s="1399"/>
      <c r="H2832" s="1399"/>
      <c r="I2832" s="1399"/>
      <c r="J2832" s="1399">
        <v>81996.58</v>
      </c>
    </row>
    <row r="2833" spans="2:12">
      <c r="B2833" s="1297"/>
      <c r="C2833" s="1297"/>
      <c r="D2833" s="1297"/>
      <c r="E2833" s="1404" t="s">
        <v>948</v>
      </c>
      <c r="F2833" s="1405"/>
      <c r="G2833" s="1405"/>
      <c r="H2833" s="1405">
        <v>801.23</v>
      </c>
      <c r="I2833" s="1405"/>
      <c r="J2833" s="1405">
        <v>801.23</v>
      </c>
    </row>
    <row r="2834" spans="2:12">
      <c r="B2834" s="1297"/>
      <c r="C2834" s="1297"/>
      <c r="D2834" s="1297"/>
      <c r="E2834" s="1297" t="s">
        <v>1118</v>
      </c>
      <c r="H2834" s="1399">
        <v>0</v>
      </c>
      <c r="J2834" s="1399">
        <v>0</v>
      </c>
    </row>
    <row r="2835" spans="2:12">
      <c r="B2835" s="1297"/>
      <c r="C2835" s="1297"/>
      <c r="D2835" s="1400" t="s">
        <v>1180</v>
      </c>
      <c r="E2835" s="1400"/>
      <c r="F2835" s="1401">
        <f>SUM(F2800:F2834)</f>
        <v>4515917.9899999993</v>
      </c>
      <c r="G2835" s="1401">
        <f>SUM(G2800:G2834)</f>
        <v>15535822.109999999</v>
      </c>
      <c r="H2835" s="1401">
        <f>SUM(H2800:H2834)-H2833</f>
        <v>1409037.7100000002</v>
      </c>
      <c r="I2835" s="1401">
        <f>SUM(I2800:I2834)</f>
        <v>13844132.360000001</v>
      </c>
      <c r="J2835" s="1401">
        <f>SUM(J2800:J2834)</f>
        <v>35305711.399999984</v>
      </c>
      <c r="K2835" s="1401">
        <f>SUM(F2835:I2835)</f>
        <v>35304910.170000002</v>
      </c>
      <c r="L2835" s="1408">
        <f>K2835/C2800</f>
        <v>10560.846595871972</v>
      </c>
    </row>
    <row r="2836" spans="2:12">
      <c r="B2836" s="1297" t="s">
        <v>1181</v>
      </c>
      <c r="C2836" s="1297">
        <v>1963</v>
      </c>
      <c r="D2836" s="1297" t="s">
        <v>1182</v>
      </c>
      <c r="E2836" s="1297" t="s">
        <v>906</v>
      </c>
      <c r="G2836" s="1399">
        <v>6539302.6799999997</v>
      </c>
      <c r="J2836" s="1399">
        <v>6539302.6799999997</v>
      </c>
    </row>
    <row r="2837" spans="2:12">
      <c r="B2837" s="1297"/>
      <c r="C2837" s="1297"/>
      <c r="D2837" s="1297"/>
      <c r="E2837" s="1297" t="s">
        <v>952</v>
      </c>
      <c r="G2837" s="1399">
        <v>66423.25</v>
      </c>
      <c r="J2837" s="1399">
        <v>66423.25</v>
      </c>
    </row>
    <row r="2838" spans="2:12">
      <c r="B2838" s="1297"/>
      <c r="C2838" s="1297"/>
      <c r="D2838" s="1297"/>
      <c r="E2838" s="1297" t="s">
        <v>907</v>
      </c>
      <c r="G2838" s="1399">
        <v>5617705.1399999997</v>
      </c>
      <c r="J2838" s="1399">
        <v>5617705.1399999997</v>
      </c>
    </row>
    <row r="2839" spans="2:12">
      <c r="B2839" s="1297"/>
      <c r="C2839" s="1297"/>
      <c r="D2839" s="1297"/>
      <c r="E2839" s="1297" t="s">
        <v>1145</v>
      </c>
      <c r="G2839" s="1399">
        <v>0</v>
      </c>
      <c r="J2839" s="1399">
        <v>0</v>
      </c>
    </row>
    <row r="2840" spans="2:12">
      <c r="B2840" s="1297"/>
      <c r="C2840" s="1297"/>
      <c r="D2840" s="1297"/>
      <c r="E2840" s="1297" t="s">
        <v>1036</v>
      </c>
      <c r="H2840" s="1399">
        <v>76490.78</v>
      </c>
      <c r="J2840" s="1399">
        <v>76490.78</v>
      </c>
    </row>
    <row r="2841" spans="2:12">
      <c r="B2841" s="1297"/>
      <c r="C2841" s="1297"/>
      <c r="D2841" s="1297"/>
      <c r="E2841" s="1297" t="s">
        <v>1039</v>
      </c>
      <c r="H2841" s="1399">
        <v>93887.989999999991</v>
      </c>
      <c r="J2841" s="1399">
        <v>93887.989999999991</v>
      </c>
    </row>
    <row r="2842" spans="2:12">
      <c r="B2842" s="1297"/>
      <c r="C2842" s="1297"/>
      <c r="D2842" s="1297"/>
      <c r="E2842" s="1297" t="s">
        <v>1040</v>
      </c>
      <c r="H2842" s="1399">
        <v>181313.03</v>
      </c>
      <c r="J2842" s="1399">
        <v>181313.03</v>
      </c>
    </row>
    <row r="2843" spans="2:12">
      <c r="B2843" s="1297"/>
      <c r="C2843" s="1297"/>
      <c r="D2843" s="1297"/>
      <c r="E2843" s="1297" t="s">
        <v>1041</v>
      </c>
      <c r="H2843" s="1399">
        <v>32853.300000000003</v>
      </c>
      <c r="J2843" s="1399">
        <v>32853.300000000003</v>
      </c>
    </row>
    <row r="2844" spans="2:12">
      <c r="B2844" s="1297"/>
      <c r="C2844" s="1297"/>
      <c r="D2844" s="1297"/>
      <c r="E2844" s="1297" t="s">
        <v>1042</v>
      </c>
      <c r="H2844" s="1399">
        <v>36900.300000000003</v>
      </c>
      <c r="J2844" s="1399">
        <v>36900.300000000003</v>
      </c>
    </row>
    <row r="2845" spans="2:12">
      <c r="B2845" s="1297"/>
      <c r="C2845" s="1297"/>
      <c r="D2845" s="1297"/>
      <c r="E2845" s="1297" t="s">
        <v>953</v>
      </c>
      <c r="H2845" s="1399">
        <v>2489.9899999999998</v>
      </c>
      <c r="J2845" s="1399">
        <v>2489.9899999999998</v>
      </c>
    </row>
    <row r="2846" spans="2:12">
      <c r="B2846" s="1297"/>
      <c r="C2846" s="1297"/>
      <c r="D2846" s="1297"/>
      <c r="E2846" s="1297" t="s">
        <v>1045</v>
      </c>
      <c r="H2846" s="1399">
        <v>734629.69000000006</v>
      </c>
      <c r="J2846" s="1399">
        <v>734629.69000000006</v>
      </c>
    </row>
    <row r="2847" spans="2:12">
      <c r="B2847" s="1297"/>
      <c r="C2847" s="1297"/>
      <c r="D2847" s="1297"/>
      <c r="E2847" s="1297" t="s">
        <v>1046</v>
      </c>
      <c r="I2847" s="1399">
        <v>10331093</v>
      </c>
      <c r="J2847" s="1399">
        <v>10331093</v>
      </c>
    </row>
    <row r="2848" spans="2:12">
      <c r="B2848" s="1297"/>
      <c r="C2848" s="1297"/>
      <c r="D2848" s="1297"/>
      <c r="E2848" s="1297" t="s">
        <v>1047</v>
      </c>
      <c r="I2848" s="1399">
        <v>344110</v>
      </c>
      <c r="J2848" s="1399">
        <v>344110</v>
      </c>
    </row>
    <row r="2849" spans="5:10" s="1297" customFormat="1">
      <c r="E2849" s="1297" t="s">
        <v>1048</v>
      </c>
      <c r="F2849" s="1399"/>
      <c r="G2849" s="1399"/>
      <c r="H2849" s="1399"/>
      <c r="I2849" s="1399">
        <v>-1800344</v>
      </c>
      <c r="J2849" s="1399">
        <v>-1800344</v>
      </c>
    </row>
    <row r="2850" spans="5:10" s="1297" customFormat="1">
      <c r="E2850" s="1297" t="s">
        <v>932</v>
      </c>
      <c r="F2850" s="1399"/>
      <c r="G2850" s="1399"/>
      <c r="H2850" s="1399"/>
      <c r="I2850" s="1399">
        <v>438084</v>
      </c>
      <c r="J2850" s="1399">
        <v>438084</v>
      </c>
    </row>
    <row r="2851" spans="5:10" s="1297" customFormat="1">
      <c r="E2851" s="1404" t="s">
        <v>955</v>
      </c>
      <c r="F2851" s="1405"/>
      <c r="G2851" s="1405"/>
      <c r="H2851" s="1405"/>
      <c r="I2851" s="1405">
        <v>552703.9</v>
      </c>
      <c r="J2851" s="1405">
        <v>552703.9</v>
      </c>
    </row>
    <row r="2852" spans="5:10" s="1297" customFormat="1">
      <c r="E2852" s="1297" t="s">
        <v>934</v>
      </c>
      <c r="F2852" s="1399"/>
      <c r="G2852" s="1399"/>
      <c r="H2852" s="1399"/>
      <c r="I2852" s="1399">
        <v>38127</v>
      </c>
      <c r="J2852" s="1399">
        <v>38127</v>
      </c>
    </row>
    <row r="2853" spans="5:10" s="1297" customFormat="1">
      <c r="E2853" s="1297" t="s">
        <v>935</v>
      </c>
      <c r="F2853" s="1399"/>
      <c r="G2853" s="1399"/>
      <c r="H2853" s="1399"/>
      <c r="I2853" s="1399">
        <v>273465.34000000003</v>
      </c>
      <c r="J2853" s="1399">
        <v>273465.34000000003</v>
      </c>
    </row>
    <row r="2854" spans="5:10" s="1297" customFormat="1">
      <c r="E2854" s="1297" t="s">
        <v>936</v>
      </c>
      <c r="F2854" s="1399"/>
      <c r="G2854" s="1399"/>
      <c r="H2854" s="1399"/>
      <c r="I2854" s="1399">
        <v>32914.15</v>
      </c>
      <c r="J2854" s="1399">
        <v>32914.15</v>
      </c>
    </row>
    <row r="2855" spans="5:10" s="1297" customFormat="1">
      <c r="E2855" s="1297" t="s">
        <v>938</v>
      </c>
      <c r="F2855" s="1399"/>
      <c r="G2855" s="1399"/>
      <c r="H2855" s="1399"/>
      <c r="I2855" s="1399">
        <v>9545</v>
      </c>
      <c r="J2855" s="1399">
        <v>9545</v>
      </c>
    </row>
    <row r="2856" spans="5:10" s="1297" customFormat="1">
      <c r="E2856" s="1297" t="s">
        <v>940</v>
      </c>
      <c r="F2856" s="1399">
        <v>551509.56000000006</v>
      </c>
      <c r="G2856" s="1399"/>
      <c r="H2856" s="1399"/>
      <c r="I2856" s="1399"/>
      <c r="J2856" s="1399">
        <v>551509.56000000006</v>
      </c>
    </row>
    <row r="2857" spans="5:10" s="1297" customFormat="1">
      <c r="E2857" s="1297" t="s">
        <v>941</v>
      </c>
      <c r="F2857" s="1399">
        <v>174927.46</v>
      </c>
      <c r="G2857" s="1399"/>
      <c r="H2857" s="1399"/>
      <c r="I2857" s="1399"/>
      <c r="J2857" s="1399">
        <v>174927.46</v>
      </c>
    </row>
    <row r="2858" spans="5:10" s="1297" customFormat="1">
      <c r="E2858" s="1297" t="s">
        <v>942</v>
      </c>
      <c r="F2858" s="1399">
        <v>8648.5499999999993</v>
      </c>
      <c r="G2858" s="1399"/>
      <c r="H2858" s="1399"/>
      <c r="I2858" s="1399"/>
      <c r="J2858" s="1399">
        <v>8648.5499999999993</v>
      </c>
    </row>
    <row r="2859" spans="5:10" s="1297" customFormat="1">
      <c r="E2859" s="1297" t="s">
        <v>943</v>
      </c>
      <c r="F2859" s="1399">
        <v>15572.56</v>
      </c>
      <c r="G2859" s="1399"/>
      <c r="H2859" s="1399"/>
      <c r="I2859" s="1399"/>
      <c r="J2859" s="1399">
        <v>15572.56</v>
      </c>
    </row>
    <row r="2860" spans="5:10" s="1297" customFormat="1">
      <c r="E2860" s="1297" t="s">
        <v>944</v>
      </c>
      <c r="F2860" s="1399">
        <v>1220439.6399999999</v>
      </c>
      <c r="G2860" s="1399"/>
      <c r="H2860" s="1399"/>
      <c r="I2860" s="1399"/>
      <c r="J2860" s="1399">
        <v>1220439.6399999999</v>
      </c>
    </row>
    <row r="2861" spans="5:10" s="1297" customFormat="1">
      <c r="E2861" s="1297" t="s">
        <v>945</v>
      </c>
      <c r="F2861" s="1399">
        <v>780062.05</v>
      </c>
      <c r="G2861" s="1399"/>
      <c r="H2861" s="1399"/>
      <c r="I2861" s="1399"/>
      <c r="J2861" s="1399">
        <v>780062.05</v>
      </c>
    </row>
    <row r="2862" spans="5:10" s="1297" customFormat="1">
      <c r="E2862" s="1297" t="s">
        <v>946</v>
      </c>
      <c r="F2862" s="1399">
        <v>50</v>
      </c>
      <c r="G2862" s="1399"/>
      <c r="H2862" s="1399"/>
      <c r="I2862" s="1399"/>
      <c r="J2862" s="1399">
        <v>50</v>
      </c>
    </row>
    <row r="2863" spans="5:10" s="1297" customFormat="1">
      <c r="E2863" s="1297" t="s">
        <v>947</v>
      </c>
      <c r="F2863" s="1399">
        <v>95313.87</v>
      </c>
      <c r="G2863" s="1399"/>
      <c r="H2863" s="1399"/>
      <c r="I2863" s="1399"/>
      <c r="J2863" s="1399">
        <v>95313.87</v>
      </c>
    </row>
    <row r="2864" spans="5:10" s="1297" customFormat="1">
      <c r="E2864" s="1404" t="s">
        <v>1116</v>
      </c>
      <c r="F2864" s="1405"/>
      <c r="G2864" s="1405"/>
      <c r="H2864" s="1405">
        <v>11465000</v>
      </c>
      <c r="I2864" s="1405"/>
      <c r="J2864" s="1405">
        <v>11465000</v>
      </c>
    </row>
    <row r="2865" spans="2:12">
      <c r="B2865" s="1297"/>
      <c r="C2865" s="1297"/>
      <c r="D2865" s="1297"/>
      <c r="E2865" s="1297" t="s">
        <v>1117</v>
      </c>
      <c r="H2865" s="1399">
        <v>704585.35000000009</v>
      </c>
      <c r="J2865" s="1399">
        <v>704585.35000000009</v>
      </c>
    </row>
    <row r="2866" spans="2:12">
      <c r="B2866" s="1297"/>
      <c r="C2866" s="1297"/>
      <c r="D2866" s="1297"/>
      <c r="E2866" s="1404" t="s">
        <v>948</v>
      </c>
      <c r="F2866" s="1405"/>
      <c r="G2866" s="1405"/>
      <c r="H2866" s="1405">
        <v>16795175.579999998</v>
      </c>
      <c r="I2866" s="1405"/>
      <c r="J2866" s="1405">
        <v>16795175.579999998</v>
      </c>
    </row>
    <row r="2867" spans="2:12">
      <c r="B2867" s="1297"/>
      <c r="C2867" s="1297"/>
      <c r="D2867" s="1297"/>
      <c r="E2867" s="1297" t="s">
        <v>956</v>
      </c>
      <c r="H2867" s="1399">
        <v>63000</v>
      </c>
      <c r="J2867" s="1399">
        <v>63000</v>
      </c>
    </row>
    <row r="2868" spans="2:12">
      <c r="B2868" s="1297"/>
      <c r="C2868" s="1297"/>
      <c r="D2868" s="1400" t="s">
        <v>1183</v>
      </c>
      <c r="E2868" s="1400"/>
      <c r="F2868" s="1401">
        <f>SUM(F2836:F2867)</f>
        <v>2846523.6900000004</v>
      </c>
      <c r="G2868" s="1401">
        <f>SUM(G2836:G2867)</f>
        <v>12223431.07</v>
      </c>
      <c r="H2868" s="1401">
        <f>SUM(H2836:H2867)-(H2864+H2866)</f>
        <v>1926150.4299999997</v>
      </c>
      <c r="I2868" s="1401">
        <f>SUM(I2836:I2867)-I2851</f>
        <v>9666994.4900000002</v>
      </c>
      <c r="J2868" s="1401">
        <f>SUM(J2836:J2867)</f>
        <v>55475979.159999996</v>
      </c>
      <c r="K2868" s="1401">
        <f>SUM(F2868:I2868)</f>
        <v>26663099.68</v>
      </c>
      <c r="L2868" s="1408">
        <f>K2868/C2836</f>
        <v>13582.832236372898</v>
      </c>
    </row>
    <row r="2869" spans="2:12">
      <c r="B2869" s="1297" t="s">
        <v>1184</v>
      </c>
      <c r="C2869" s="1297">
        <v>40365</v>
      </c>
      <c r="D2869" s="1297" t="s">
        <v>1185</v>
      </c>
      <c r="E2869" s="1297" t="s">
        <v>906</v>
      </c>
      <c r="G2869" s="1399">
        <v>137382774.94</v>
      </c>
      <c r="J2869" s="1399">
        <v>137382774.94</v>
      </c>
    </row>
    <row r="2870" spans="2:12">
      <c r="B2870" s="1297"/>
      <c r="C2870" s="1297"/>
      <c r="D2870" s="1297"/>
      <c r="E2870" s="1297" t="s">
        <v>907</v>
      </c>
      <c r="G2870" s="1399">
        <v>28079306.390000001</v>
      </c>
      <c r="J2870" s="1399">
        <v>28079306.390000001</v>
      </c>
    </row>
    <row r="2871" spans="2:12">
      <c r="B2871" s="1297"/>
      <c r="C2871" s="1297"/>
      <c r="D2871" s="1297"/>
      <c r="E2871" s="1297" t="s">
        <v>908</v>
      </c>
      <c r="G2871" s="1399">
        <v>1887756.07</v>
      </c>
      <c r="J2871" s="1399">
        <v>1887756.07</v>
      </c>
    </row>
    <row r="2872" spans="2:12">
      <c r="B2872" s="1297"/>
      <c r="C2872" s="1297"/>
      <c r="D2872" s="1297"/>
      <c r="E2872" s="1297" t="s">
        <v>909</v>
      </c>
      <c r="H2872" s="1399">
        <v>257443.05000000002</v>
      </c>
      <c r="J2872" s="1399">
        <v>257443.05000000002</v>
      </c>
    </row>
    <row r="2873" spans="2:12">
      <c r="B2873" s="1297"/>
      <c r="C2873" s="1297"/>
      <c r="D2873" s="1297"/>
      <c r="E2873" s="1297" t="s">
        <v>910</v>
      </c>
      <c r="H2873" s="1399">
        <v>1004716.6800000002</v>
      </c>
      <c r="J2873" s="1399">
        <v>1004716.6800000002</v>
      </c>
    </row>
    <row r="2874" spans="2:12">
      <c r="B2874" s="1297"/>
      <c r="C2874" s="1297"/>
      <c r="D2874" s="1297"/>
      <c r="E2874" s="1297" t="s">
        <v>1034</v>
      </c>
      <c r="H2874" s="1399">
        <v>429934.87999999995</v>
      </c>
      <c r="J2874" s="1399">
        <v>429934.87999999995</v>
      </c>
    </row>
    <row r="2875" spans="2:12">
      <c r="B2875" s="1297"/>
      <c r="C2875" s="1297"/>
      <c r="D2875" s="1297"/>
      <c r="E2875" s="1297" t="s">
        <v>1035</v>
      </c>
      <c r="H2875" s="1399">
        <v>3419170.1000000006</v>
      </c>
      <c r="J2875" s="1399">
        <v>3419170.1000000006</v>
      </c>
    </row>
    <row r="2876" spans="2:12">
      <c r="B2876" s="1297"/>
      <c r="C2876" s="1297"/>
      <c r="D2876" s="1297"/>
      <c r="E2876" s="1297" t="s">
        <v>1036</v>
      </c>
      <c r="H2876" s="1399">
        <v>744044.08000000007</v>
      </c>
      <c r="J2876" s="1399">
        <v>744044.08000000007</v>
      </c>
    </row>
    <row r="2877" spans="2:12">
      <c r="B2877" s="1297"/>
      <c r="C2877" s="1297"/>
      <c r="D2877" s="1297"/>
      <c r="E2877" s="1297" t="s">
        <v>1037</v>
      </c>
      <c r="H2877" s="1399">
        <v>2989316.11</v>
      </c>
      <c r="J2877" s="1399">
        <v>2989316.11</v>
      </c>
    </row>
    <row r="2878" spans="2:12">
      <c r="B2878" s="1297"/>
      <c r="C2878" s="1297"/>
      <c r="D2878" s="1297"/>
      <c r="E2878" s="1297" t="s">
        <v>1105</v>
      </c>
      <c r="H2878" s="1399">
        <v>69150</v>
      </c>
      <c r="J2878" s="1399">
        <v>69150</v>
      </c>
    </row>
    <row r="2879" spans="2:12">
      <c r="B2879" s="1297"/>
      <c r="C2879" s="1297"/>
      <c r="D2879" s="1297"/>
      <c r="E2879" s="1297" t="s">
        <v>1038</v>
      </c>
      <c r="H2879" s="1399">
        <v>25780</v>
      </c>
      <c r="J2879" s="1399">
        <v>25780</v>
      </c>
    </row>
    <row r="2880" spans="2:12">
      <c r="B2880" s="1297"/>
      <c r="C2880" s="1297"/>
      <c r="D2880" s="1297"/>
      <c r="E2880" s="1297" t="s">
        <v>1039</v>
      </c>
      <c r="H2880" s="1399">
        <v>159036.9</v>
      </c>
      <c r="J2880" s="1399">
        <v>159036.9</v>
      </c>
    </row>
    <row r="2881" spans="5:10" s="1297" customFormat="1">
      <c r="E2881" s="1297" t="s">
        <v>1040</v>
      </c>
      <c r="F2881" s="1399"/>
      <c r="G2881" s="1399"/>
      <c r="H2881" s="1399">
        <v>3465649.0400000005</v>
      </c>
      <c r="I2881" s="1399"/>
      <c r="J2881" s="1399">
        <v>3465649.0400000005</v>
      </c>
    </row>
    <row r="2882" spans="5:10" s="1297" customFormat="1">
      <c r="E2882" s="1297" t="s">
        <v>1127</v>
      </c>
      <c r="F2882" s="1399"/>
      <c r="G2882" s="1399"/>
      <c r="H2882" s="1399">
        <v>399450.94000000006</v>
      </c>
      <c r="I2882" s="1399"/>
      <c r="J2882" s="1399">
        <v>399450.94000000006</v>
      </c>
    </row>
    <row r="2883" spans="5:10" s="1297" customFormat="1">
      <c r="E2883" s="1297" t="s">
        <v>1041</v>
      </c>
      <c r="F2883" s="1399"/>
      <c r="G2883" s="1399"/>
      <c r="H2883" s="1399">
        <v>321371.15999999997</v>
      </c>
      <c r="I2883" s="1399"/>
      <c r="J2883" s="1399">
        <v>321371.15999999997</v>
      </c>
    </row>
    <row r="2884" spans="5:10" s="1297" customFormat="1">
      <c r="E2884" s="1297" t="s">
        <v>1042</v>
      </c>
      <c r="F2884" s="1399"/>
      <c r="G2884" s="1399"/>
      <c r="H2884" s="1399">
        <v>294880.73000000004</v>
      </c>
      <c r="I2884" s="1399"/>
      <c r="J2884" s="1399">
        <v>294880.73000000004</v>
      </c>
    </row>
    <row r="2885" spans="5:10" s="1297" customFormat="1">
      <c r="E2885" s="1297" t="s">
        <v>1044</v>
      </c>
      <c r="F2885" s="1399">
        <v>486696</v>
      </c>
      <c r="G2885" s="1399"/>
      <c r="H2885" s="1399"/>
      <c r="I2885" s="1399"/>
      <c r="J2885" s="1399">
        <v>486696</v>
      </c>
    </row>
    <row r="2886" spans="5:10" s="1297" customFormat="1">
      <c r="E2886" s="1297" t="s">
        <v>1045</v>
      </c>
      <c r="F2886" s="1399"/>
      <c r="G2886" s="1399"/>
      <c r="H2886" s="1399">
        <v>6907019.9499999993</v>
      </c>
      <c r="I2886" s="1399"/>
      <c r="J2886" s="1399">
        <v>6907019.9499999993</v>
      </c>
    </row>
    <row r="2887" spans="5:10" s="1297" customFormat="1">
      <c r="E2887" s="1297" t="s">
        <v>1046</v>
      </c>
      <c r="F2887" s="1399"/>
      <c r="G2887" s="1399"/>
      <c r="H2887" s="1399"/>
      <c r="I2887" s="1399">
        <v>209770791</v>
      </c>
      <c r="J2887" s="1399">
        <v>209770791</v>
      </c>
    </row>
    <row r="2888" spans="5:10" s="1297" customFormat="1">
      <c r="E2888" s="1297" t="s">
        <v>1128</v>
      </c>
      <c r="F2888" s="1399"/>
      <c r="G2888" s="1399"/>
      <c r="H2888" s="1399"/>
      <c r="I2888" s="1399">
        <v>17690924</v>
      </c>
      <c r="J2888" s="1399">
        <v>17690924</v>
      </c>
    </row>
    <row r="2889" spans="5:10" s="1297" customFormat="1">
      <c r="E2889" s="1297" t="s">
        <v>1129</v>
      </c>
      <c r="F2889" s="1399"/>
      <c r="G2889" s="1399"/>
      <c r="H2889" s="1399"/>
      <c r="I2889" s="1399">
        <v>-27568410</v>
      </c>
      <c r="J2889" s="1399">
        <v>-27568410</v>
      </c>
    </row>
    <row r="2890" spans="5:10" s="1297" customFormat="1">
      <c r="E2890" s="1297" t="s">
        <v>1047</v>
      </c>
      <c r="F2890" s="1399"/>
      <c r="G2890" s="1399"/>
      <c r="H2890" s="1399"/>
      <c r="I2890" s="1399">
        <v>2096441</v>
      </c>
      <c r="J2890" s="1399">
        <v>2096441</v>
      </c>
    </row>
    <row r="2891" spans="5:10" s="1297" customFormat="1">
      <c r="E2891" s="1297" t="s">
        <v>1048</v>
      </c>
      <c r="F2891" s="1399"/>
      <c r="G2891" s="1399"/>
      <c r="H2891" s="1399"/>
      <c r="I2891" s="1399">
        <v>-34993975</v>
      </c>
      <c r="J2891" s="1399">
        <v>-34993975</v>
      </c>
    </row>
    <row r="2892" spans="5:10" s="1297" customFormat="1">
      <c r="E2892" s="1297" t="s">
        <v>932</v>
      </c>
      <c r="F2892" s="1399"/>
      <c r="G2892" s="1399"/>
      <c r="H2892" s="1399"/>
      <c r="I2892" s="1399">
        <v>12092484</v>
      </c>
      <c r="J2892" s="1399">
        <v>12092484</v>
      </c>
    </row>
    <row r="2893" spans="5:10" s="1297" customFormat="1">
      <c r="E2893" s="1297" t="s">
        <v>934</v>
      </c>
      <c r="F2893" s="1399"/>
      <c r="G2893" s="1399"/>
      <c r="H2893" s="1399"/>
      <c r="I2893" s="1399">
        <v>1027228.62</v>
      </c>
      <c r="J2893" s="1399">
        <v>1027228.62</v>
      </c>
    </row>
    <row r="2894" spans="5:10" s="1297" customFormat="1">
      <c r="E2894" s="1297" t="s">
        <v>935</v>
      </c>
      <c r="F2894" s="1399"/>
      <c r="G2894" s="1399"/>
      <c r="H2894" s="1399"/>
      <c r="I2894" s="1399">
        <v>1798875.23</v>
      </c>
      <c r="J2894" s="1399">
        <v>1798875.23</v>
      </c>
    </row>
    <row r="2895" spans="5:10" s="1297" customFormat="1">
      <c r="E2895" s="1297" t="s">
        <v>936</v>
      </c>
      <c r="F2895" s="1399"/>
      <c r="G2895" s="1399"/>
      <c r="H2895" s="1399"/>
      <c r="I2895" s="1399">
        <v>448192.69</v>
      </c>
      <c r="J2895" s="1399">
        <v>448192.69</v>
      </c>
    </row>
    <row r="2896" spans="5:10" s="1297" customFormat="1">
      <c r="E2896" s="1297" t="s">
        <v>937</v>
      </c>
      <c r="F2896" s="1399"/>
      <c r="G2896" s="1399"/>
      <c r="H2896" s="1399"/>
      <c r="I2896" s="1399">
        <v>236643.48</v>
      </c>
      <c r="J2896" s="1399">
        <v>236643.48</v>
      </c>
    </row>
    <row r="2897" spans="2:12">
      <c r="B2897" s="1297"/>
      <c r="C2897" s="1297"/>
      <c r="D2897" s="1297"/>
      <c r="E2897" s="1297" t="s">
        <v>938</v>
      </c>
      <c r="I2897" s="1399">
        <v>172935</v>
      </c>
      <c r="J2897" s="1399">
        <v>172935</v>
      </c>
    </row>
    <row r="2898" spans="2:12">
      <c r="B2898" s="1297"/>
      <c r="C2898" s="1297"/>
      <c r="D2898" s="1297"/>
      <c r="E2898" s="1297" t="s">
        <v>1131</v>
      </c>
      <c r="F2898" s="1399">
        <v>585212.14</v>
      </c>
      <c r="J2898" s="1399">
        <v>585212.14</v>
      </c>
    </row>
    <row r="2899" spans="2:12">
      <c r="B2899" s="1297"/>
      <c r="C2899" s="1297"/>
      <c r="D2899" s="1297"/>
      <c r="E2899" s="1297" t="s">
        <v>940</v>
      </c>
      <c r="F2899" s="1399">
        <v>7771200.8200000003</v>
      </c>
      <c r="J2899" s="1399">
        <v>7771200.8200000003</v>
      </c>
    </row>
    <row r="2900" spans="2:12">
      <c r="B2900" s="1297"/>
      <c r="C2900" s="1297"/>
      <c r="D2900" s="1297"/>
      <c r="E2900" s="1297" t="s">
        <v>941</v>
      </c>
      <c r="F2900" s="1399">
        <v>2303645.08</v>
      </c>
      <c r="J2900" s="1399">
        <v>2303645.08</v>
      </c>
    </row>
    <row r="2901" spans="2:12">
      <c r="B2901" s="1297"/>
      <c r="C2901" s="1297"/>
      <c r="D2901" s="1297"/>
      <c r="E2901" s="1297" t="s">
        <v>944</v>
      </c>
      <c r="F2901" s="1399">
        <v>13082750.499999998</v>
      </c>
      <c r="J2901" s="1399">
        <v>13082750.499999998</v>
      </c>
    </row>
    <row r="2902" spans="2:12">
      <c r="B2902" s="1297"/>
      <c r="C2902" s="1297"/>
      <c r="D2902" s="1297"/>
      <c r="E2902" s="1297" t="s">
        <v>945</v>
      </c>
      <c r="F2902" s="1399">
        <v>17319045.609999999</v>
      </c>
      <c r="J2902" s="1399">
        <v>17319045.609999999</v>
      </c>
    </row>
    <row r="2903" spans="2:12">
      <c r="B2903" s="1297"/>
      <c r="C2903" s="1297"/>
      <c r="D2903" s="1297"/>
      <c r="E2903" s="1297" t="s">
        <v>946</v>
      </c>
      <c r="F2903" s="1399">
        <v>958060.36</v>
      </c>
      <c r="J2903" s="1399">
        <v>958060.36</v>
      </c>
    </row>
    <row r="2904" spans="2:12">
      <c r="B2904" s="1297"/>
      <c r="C2904" s="1297"/>
      <c r="D2904" s="1297"/>
      <c r="E2904" s="1297" t="s">
        <v>947</v>
      </c>
      <c r="F2904" s="1399">
        <v>931989.45</v>
      </c>
      <c r="J2904" s="1399">
        <v>931989.45</v>
      </c>
    </row>
    <row r="2905" spans="2:12">
      <c r="B2905" s="1297"/>
      <c r="C2905" s="1297"/>
      <c r="D2905" s="1297"/>
      <c r="E2905" s="1297" t="s">
        <v>1115</v>
      </c>
      <c r="F2905" s="1399">
        <v>745413.2</v>
      </c>
      <c r="J2905" s="1399">
        <v>745413.2</v>
      </c>
    </row>
    <row r="2906" spans="2:12">
      <c r="B2906" s="1297"/>
      <c r="C2906" s="1297"/>
      <c r="D2906" s="1297"/>
      <c r="E2906" s="1404" t="s">
        <v>948</v>
      </c>
      <c r="F2906" s="1405"/>
      <c r="G2906" s="1405"/>
      <c r="H2906" s="1405">
        <v>14639195.199999997</v>
      </c>
      <c r="I2906" s="1405"/>
      <c r="J2906" s="1405">
        <v>14639195.199999997</v>
      </c>
    </row>
    <row r="2907" spans="2:12">
      <c r="B2907" s="1297"/>
      <c r="C2907" s="1297"/>
      <c r="D2907" s="1400" t="s">
        <v>1186</v>
      </c>
      <c r="E2907" s="1400"/>
      <c r="F2907" s="1401">
        <f>SUM(F2869:F2906)</f>
        <v>44184013.160000004</v>
      </c>
      <c r="G2907" s="1401">
        <f>SUM(G2869:G2906)</f>
        <v>167349837.39999998</v>
      </c>
      <c r="H2907" s="1401">
        <f>SUM(H2869:H2906)-H2906</f>
        <v>20486963.620000005</v>
      </c>
      <c r="I2907" s="1401">
        <f>SUM(I2869:I2906)</f>
        <v>182772130.01999998</v>
      </c>
      <c r="J2907" s="1401">
        <f>SUM(J2869:J2906)</f>
        <v>429432139.39999998</v>
      </c>
      <c r="K2907" s="1401">
        <f>SUM(F2907:I2907)</f>
        <v>414792944.19999993</v>
      </c>
      <c r="L2907" s="1408">
        <f>K2907/C2869</f>
        <v>10276.054606713735</v>
      </c>
    </row>
    <row r="2908" spans="2:12">
      <c r="B2908" s="1297" t="s">
        <v>1187</v>
      </c>
      <c r="C2908" s="1297">
        <v>25981</v>
      </c>
      <c r="D2908" s="1297" t="s">
        <v>1188</v>
      </c>
      <c r="E2908" s="1297" t="s">
        <v>906</v>
      </c>
      <c r="G2908" s="1399">
        <v>48993245.75</v>
      </c>
      <c r="J2908" s="1399">
        <v>48993245.75</v>
      </c>
    </row>
    <row r="2909" spans="2:12">
      <c r="B2909" s="1297"/>
      <c r="C2909" s="1297"/>
      <c r="D2909" s="1297"/>
      <c r="E2909" s="1297" t="s">
        <v>1126</v>
      </c>
      <c r="G2909" s="1399">
        <v>21202664.010000002</v>
      </c>
      <c r="J2909" s="1399">
        <v>21202664.010000002</v>
      </c>
    </row>
    <row r="2910" spans="2:12">
      <c r="B2910" s="1297"/>
      <c r="C2910" s="1297"/>
      <c r="D2910" s="1297"/>
      <c r="E2910" s="1297" t="s">
        <v>952</v>
      </c>
      <c r="G2910" s="1399">
        <v>872056.21</v>
      </c>
      <c r="J2910" s="1399">
        <v>872056.21</v>
      </c>
    </row>
    <row r="2911" spans="2:12">
      <c r="B2911" s="1297"/>
      <c r="C2911" s="1297"/>
      <c r="D2911" s="1297"/>
      <c r="E2911" s="1297" t="s">
        <v>907</v>
      </c>
      <c r="G2911" s="1399">
        <v>20301080.850000001</v>
      </c>
      <c r="J2911" s="1399">
        <v>20301080.850000001</v>
      </c>
    </row>
    <row r="2912" spans="2:12">
      <c r="B2912" s="1297"/>
      <c r="C2912" s="1297"/>
      <c r="D2912" s="1297"/>
      <c r="E2912" s="1297" t="s">
        <v>908</v>
      </c>
      <c r="G2912" s="1399">
        <v>20738.79</v>
      </c>
      <c r="J2912" s="1399">
        <v>20738.79</v>
      </c>
    </row>
    <row r="2913" spans="5:10" s="1297" customFormat="1">
      <c r="E2913" s="1297" t="s">
        <v>909</v>
      </c>
      <c r="F2913" s="1399"/>
      <c r="G2913" s="1399"/>
      <c r="H2913" s="1399">
        <v>344609.47</v>
      </c>
      <c r="I2913" s="1399"/>
      <c r="J2913" s="1399">
        <v>344609.47</v>
      </c>
    </row>
    <row r="2914" spans="5:10" s="1297" customFormat="1">
      <c r="E2914" s="1297" t="s">
        <v>910</v>
      </c>
      <c r="F2914" s="1399"/>
      <c r="G2914" s="1399"/>
      <c r="H2914" s="1399">
        <v>23085</v>
      </c>
      <c r="I2914" s="1399"/>
      <c r="J2914" s="1399">
        <v>23085</v>
      </c>
    </row>
    <row r="2915" spans="5:10" s="1297" customFormat="1">
      <c r="E2915" s="1297" t="s">
        <v>1034</v>
      </c>
      <c r="F2915" s="1399"/>
      <c r="G2915" s="1399"/>
      <c r="H2915" s="1399">
        <v>649558.88</v>
      </c>
      <c r="I2915" s="1399"/>
      <c r="J2915" s="1399">
        <v>649558.88</v>
      </c>
    </row>
    <row r="2916" spans="5:10" s="1297" customFormat="1">
      <c r="E2916" s="1297" t="s">
        <v>1035</v>
      </c>
      <c r="F2916" s="1399"/>
      <c r="G2916" s="1399"/>
      <c r="H2916" s="1399">
        <v>2186188.9500000002</v>
      </c>
      <c r="I2916" s="1399"/>
      <c r="J2916" s="1399">
        <v>2186188.9500000002</v>
      </c>
    </row>
    <row r="2917" spans="5:10" s="1297" customFormat="1">
      <c r="E2917" s="1297" t="s">
        <v>1036</v>
      </c>
      <c r="F2917" s="1399"/>
      <c r="G2917" s="1399"/>
      <c r="H2917" s="1399">
        <v>752533.58</v>
      </c>
      <c r="I2917" s="1399"/>
      <c r="J2917" s="1399">
        <v>752533.58</v>
      </c>
    </row>
    <row r="2918" spans="5:10" s="1297" customFormat="1">
      <c r="E2918" s="1297" t="s">
        <v>1037</v>
      </c>
      <c r="F2918" s="1399"/>
      <c r="G2918" s="1399"/>
      <c r="H2918" s="1399">
        <v>174421.86</v>
      </c>
      <c r="I2918" s="1399"/>
      <c r="J2918" s="1399">
        <v>174421.86</v>
      </c>
    </row>
    <row r="2919" spans="5:10" s="1297" customFormat="1">
      <c r="E2919" s="1297" t="s">
        <v>1038</v>
      </c>
      <c r="F2919" s="1399"/>
      <c r="G2919" s="1399"/>
      <c r="H2919" s="1399">
        <v>104953.54000000001</v>
      </c>
      <c r="I2919" s="1399"/>
      <c r="J2919" s="1399">
        <v>104953.54000000001</v>
      </c>
    </row>
    <row r="2920" spans="5:10" s="1297" customFormat="1">
      <c r="E2920" s="1297" t="s">
        <v>1003</v>
      </c>
      <c r="F2920" s="1399"/>
      <c r="G2920" s="1399"/>
      <c r="H2920" s="1399">
        <v>105076.93</v>
      </c>
      <c r="I2920" s="1399"/>
      <c r="J2920" s="1399">
        <v>105076.93</v>
      </c>
    </row>
    <row r="2921" spans="5:10" s="1297" customFormat="1">
      <c r="E2921" s="1297" t="s">
        <v>1039</v>
      </c>
      <c r="F2921" s="1399"/>
      <c r="G2921" s="1399"/>
      <c r="H2921" s="1399">
        <v>177776.79</v>
      </c>
      <c r="I2921" s="1399"/>
      <c r="J2921" s="1399">
        <v>177776.79</v>
      </c>
    </row>
    <row r="2922" spans="5:10" s="1297" customFormat="1">
      <c r="E2922" s="1297" t="s">
        <v>1040</v>
      </c>
      <c r="F2922" s="1399"/>
      <c r="G2922" s="1399"/>
      <c r="H2922" s="1399">
        <v>3997981.0500000003</v>
      </c>
      <c r="I2922" s="1399"/>
      <c r="J2922" s="1399">
        <v>3997981.0500000003</v>
      </c>
    </row>
    <row r="2923" spans="5:10" s="1297" customFormat="1">
      <c r="E2923" s="1297" t="s">
        <v>1127</v>
      </c>
      <c r="F2923" s="1399"/>
      <c r="G2923" s="1399"/>
      <c r="H2923" s="1399">
        <v>14135.169999999998</v>
      </c>
      <c r="I2923" s="1399"/>
      <c r="J2923" s="1399">
        <v>14135.169999999998</v>
      </c>
    </row>
    <row r="2924" spans="5:10" s="1297" customFormat="1">
      <c r="E2924" s="1297" t="s">
        <v>1041</v>
      </c>
      <c r="F2924" s="1399"/>
      <c r="G2924" s="1399"/>
      <c r="H2924" s="1399">
        <v>348625.8000000001</v>
      </c>
      <c r="I2924" s="1399"/>
      <c r="J2924" s="1399">
        <v>348625.8000000001</v>
      </c>
    </row>
    <row r="2925" spans="5:10" s="1297" customFormat="1">
      <c r="E2925" s="1297" t="s">
        <v>1042</v>
      </c>
      <c r="F2925" s="1399"/>
      <c r="G2925" s="1399"/>
      <c r="H2925" s="1399">
        <v>347618.63</v>
      </c>
      <c r="I2925" s="1399"/>
      <c r="J2925" s="1399">
        <v>347618.63</v>
      </c>
    </row>
    <row r="2926" spans="5:10" s="1297" customFormat="1">
      <c r="E2926" s="1297" t="s">
        <v>985</v>
      </c>
      <c r="F2926" s="1399"/>
      <c r="G2926" s="1399"/>
      <c r="H2926" s="1399">
        <v>1025020.42</v>
      </c>
      <c r="I2926" s="1399"/>
      <c r="J2926" s="1399">
        <v>1025020.42</v>
      </c>
    </row>
    <row r="2927" spans="5:10" s="1297" customFormat="1">
      <c r="E2927" s="1297" t="s">
        <v>1043</v>
      </c>
      <c r="F2927" s="1399"/>
      <c r="G2927" s="1399"/>
      <c r="H2927" s="1399">
        <v>8502.6200000000008</v>
      </c>
      <c r="I2927" s="1399"/>
      <c r="J2927" s="1399">
        <v>8502.6200000000008</v>
      </c>
    </row>
    <row r="2928" spans="5:10" s="1297" customFormat="1">
      <c r="E2928" s="1297" t="s">
        <v>986</v>
      </c>
      <c r="F2928" s="1399"/>
      <c r="G2928" s="1399"/>
      <c r="H2928" s="1399">
        <v>34852.68</v>
      </c>
      <c r="I2928" s="1399"/>
      <c r="J2928" s="1399">
        <v>34852.68</v>
      </c>
    </row>
    <row r="2929" spans="5:10" s="1297" customFormat="1">
      <c r="E2929" s="1297" t="s">
        <v>1005</v>
      </c>
      <c r="F2929" s="1399"/>
      <c r="G2929" s="1399"/>
      <c r="H2929" s="1399">
        <v>185431.69999999998</v>
      </c>
      <c r="I2929" s="1399"/>
      <c r="J2929" s="1399">
        <v>185431.69999999998</v>
      </c>
    </row>
    <row r="2930" spans="5:10" s="1297" customFormat="1">
      <c r="E2930" s="1297" t="s">
        <v>991</v>
      </c>
      <c r="F2930" s="1399"/>
      <c r="G2930" s="1399"/>
      <c r="H2930" s="1399">
        <v>40305.65</v>
      </c>
      <c r="I2930" s="1399"/>
      <c r="J2930" s="1399">
        <v>40305.65</v>
      </c>
    </row>
    <row r="2931" spans="5:10" s="1297" customFormat="1">
      <c r="E2931" s="1297" t="s">
        <v>1044</v>
      </c>
      <c r="F2931" s="1399">
        <v>230093.7</v>
      </c>
      <c r="G2931" s="1399"/>
      <c r="H2931" s="1399"/>
      <c r="I2931" s="1399"/>
      <c r="J2931" s="1399">
        <v>230093.7</v>
      </c>
    </row>
    <row r="2932" spans="5:10" s="1297" customFormat="1">
      <c r="E2932" s="1297" t="s">
        <v>1045</v>
      </c>
      <c r="F2932" s="1399"/>
      <c r="G2932" s="1399"/>
      <c r="H2932" s="1399">
        <v>4164285.4600000023</v>
      </c>
      <c r="I2932" s="1399"/>
      <c r="J2932" s="1399">
        <v>4164285.4600000023</v>
      </c>
    </row>
    <row r="2933" spans="5:10" s="1297" customFormat="1">
      <c r="E2933" s="1297" t="s">
        <v>1046</v>
      </c>
      <c r="F2933" s="1399"/>
      <c r="G2933" s="1399"/>
      <c r="H2933" s="1399"/>
      <c r="I2933" s="1399">
        <v>146610344</v>
      </c>
      <c r="J2933" s="1399">
        <v>146610344</v>
      </c>
    </row>
    <row r="2934" spans="5:10" s="1297" customFormat="1">
      <c r="E2934" s="1297" t="s">
        <v>1129</v>
      </c>
      <c r="F2934" s="1399"/>
      <c r="G2934" s="1399"/>
      <c r="H2934" s="1399"/>
      <c r="I2934" s="1399">
        <v>-19023492</v>
      </c>
      <c r="J2934" s="1399">
        <v>-19023492</v>
      </c>
    </row>
    <row r="2935" spans="5:10" s="1297" customFormat="1">
      <c r="E2935" s="1297" t="s">
        <v>1047</v>
      </c>
      <c r="F2935" s="1399"/>
      <c r="G2935" s="1399"/>
      <c r="H2935" s="1399"/>
      <c r="I2935" s="1399">
        <v>1943594</v>
      </c>
      <c r="J2935" s="1399">
        <v>1943594</v>
      </c>
    </row>
    <row r="2936" spans="5:10" s="1297" customFormat="1">
      <c r="E2936" s="1297" t="s">
        <v>1048</v>
      </c>
      <c r="F2936" s="1399"/>
      <c r="G2936" s="1399"/>
      <c r="H2936" s="1399"/>
      <c r="I2936" s="1399">
        <v>-16483844</v>
      </c>
      <c r="J2936" s="1399">
        <v>-16483844</v>
      </c>
    </row>
    <row r="2937" spans="5:10" s="1297" customFormat="1">
      <c r="E2937" s="1297" t="s">
        <v>932</v>
      </c>
      <c r="F2937" s="1399"/>
      <c r="G2937" s="1399"/>
      <c r="H2937" s="1399"/>
      <c r="I2937" s="1399">
        <v>21475487</v>
      </c>
      <c r="J2937" s="1399">
        <v>21475487</v>
      </c>
    </row>
    <row r="2938" spans="5:10" s="1297" customFormat="1">
      <c r="E2938" s="1404" t="s">
        <v>955</v>
      </c>
      <c r="F2938" s="1405"/>
      <c r="G2938" s="1405"/>
      <c r="H2938" s="1405"/>
      <c r="I2938" s="1405">
        <v>4015246.33</v>
      </c>
      <c r="J2938" s="1405">
        <v>4015246.33</v>
      </c>
    </row>
    <row r="2939" spans="5:10" s="1297" customFormat="1">
      <c r="E2939" s="1297" t="s">
        <v>934</v>
      </c>
      <c r="F2939" s="1399"/>
      <c r="G2939" s="1399"/>
      <c r="H2939" s="1399"/>
      <c r="I2939" s="1399">
        <v>414616</v>
      </c>
      <c r="J2939" s="1399">
        <v>414616</v>
      </c>
    </row>
    <row r="2940" spans="5:10" s="1297" customFormat="1">
      <c r="E2940" s="1297" t="s">
        <v>1130</v>
      </c>
      <c r="F2940" s="1399"/>
      <c r="G2940" s="1399"/>
      <c r="H2940" s="1399"/>
      <c r="I2940" s="1399">
        <v>953882.31</v>
      </c>
      <c r="J2940" s="1399">
        <v>953882.31</v>
      </c>
    </row>
    <row r="2941" spans="5:10" s="1297" customFormat="1">
      <c r="E2941" s="1297" t="s">
        <v>935</v>
      </c>
      <c r="F2941" s="1399"/>
      <c r="G2941" s="1399"/>
      <c r="H2941" s="1399"/>
      <c r="I2941" s="1399">
        <v>2006673.24</v>
      </c>
      <c r="J2941" s="1399">
        <v>2006673.24</v>
      </c>
    </row>
    <row r="2942" spans="5:10" s="1297" customFormat="1">
      <c r="E2942" s="1297" t="s">
        <v>936</v>
      </c>
      <c r="F2942" s="1399"/>
      <c r="G2942" s="1399"/>
      <c r="H2942" s="1399"/>
      <c r="I2942" s="1399">
        <v>337895.27</v>
      </c>
      <c r="J2942" s="1399">
        <v>337895.27</v>
      </c>
    </row>
    <row r="2943" spans="5:10" s="1297" customFormat="1">
      <c r="E2943" s="1297" t="s">
        <v>937</v>
      </c>
      <c r="F2943" s="1399"/>
      <c r="G2943" s="1399"/>
      <c r="H2943" s="1399"/>
      <c r="I2943" s="1399">
        <v>80250.59</v>
      </c>
      <c r="J2943" s="1399">
        <v>80250.59</v>
      </c>
    </row>
    <row r="2944" spans="5:10" s="1297" customFormat="1">
      <c r="E2944" s="1297" t="s">
        <v>938</v>
      </c>
      <c r="F2944" s="1399"/>
      <c r="G2944" s="1399"/>
      <c r="H2944" s="1399"/>
      <c r="I2944" s="1399">
        <v>139246</v>
      </c>
      <c r="J2944" s="1399">
        <v>139246</v>
      </c>
    </row>
    <row r="2945" spans="2:12">
      <c r="B2945" s="1297"/>
      <c r="C2945" s="1297"/>
      <c r="D2945" s="1297"/>
      <c r="E2945" s="1297" t="s">
        <v>939</v>
      </c>
      <c r="I2945" s="1399">
        <v>42250</v>
      </c>
      <c r="J2945" s="1399">
        <v>42250</v>
      </c>
    </row>
    <row r="2946" spans="2:12">
      <c r="B2946" s="1297"/>
      <c r="C2946" s="1297"/>
      <c r="D2946" s="1297"/>
      <c r="E2946" s="1297" t="s">
        <v>1131</v>
      </c>
      <c r="F2946" s="1399">
        <v>808826</v>
      </c>
      <c r="J2946" s="1399">
        <v>808826</v>
      </c>
    </row>
    <row r="2947" spans="2:12">
      <c r="B2947" s="1297"/>
      <c r="C2947" s="1297"/>
      <c r="D2947" s="1297"/>
      <c r="E2947" s="1297" t="s">
        <v>940</v>
      </c>
      <c r="F2947" s="1399">
        <v>6714274.5000000019</v>
      </c>
      <c r="J2947" s="1399">
        <v>6714274.5000000019</v>
      </c>
    </row>
    <row r="2948" spans="2:12">
      <c r="B2948" s="1297"/>
      <c r="C2948" s="1297"/>
      <c r="D2948" s="1297"/>
      <c r="E2948" s="1297" t="s">
        <v>941</v>
      </c>
      <c r="F2948" s="1399">
        <v>2390341.6999999997</v>
      </c>
      <c r="J2948" s="1399">
        <v>2390341.6999999997</v>
      </c>
    </row>
    <row r="2949" spans="2:12">
      <c r="B2949" s="1297"/>
      <c r="C2949" s="1297"/>
      <c r="D2949" s="1297"/>
      <c r="E2949" s="1297" t="s">
        <v>943</v>
      </c>
      <c r="F2949" s="1399">
        <v>43457.98</v>
      </c>
      <c r="J2949" s="1399">
        <v>43457.98</v>
      </c>
    </row>
    <row r="2950" spans="2:12">
      <c r="B2950" s="1297"/>
      <c r="C2950" s="1297"/>
      <c r="D2950" s="1297"/>
      <c r="E2950" s="1297" t="s">
        <v>944</v>
      </c>
      <c r="F2950" s="1399">
        <v>11963478.009999998</v>
      </c>
      <c r="J2950" s="1399">
        <v>11963478.009999998</v>
      </c>
    </row>
    <row r="2951" spans="2:12">
      <c r="B2951" s="1297"/>
      <c r="C2951" s="1297"/>
      <c r="D2951" s="1297"/>
      <c r="E2951" s="1297" t="s">
        <v>945</v>
      </c>
      <c r="F2951" s="1399">
        <v>10004270.289999999</v>
      </c>
      <c r="J2951" s="1399">
        <v>10004270.289999999</v>
      </c>
    </row>
    <row r="2952" spans="2:12">
      <c r="B2952" s="1297"/>
      <c r="C2952" s="1297"/>
      <c r="D2952" s="1297"/>
      <c r="E2952" s="1297" t="s">
        <v>946</v>
      </c>
      <c r="F2952" s="1399">
        <v>61563.97</v>
      </c>
      <c r="J2952" s="1399">
        <v>61563.97</v>
      </c>
    </row>
    <row r="2953" spans="2:12">
      <c r="B2953" s="1297"/>
      <c r="C2953" s="1297"/>
      <c r="D2953" s="1297"/>
      <c r="E2953" s="1297" t="s">
        <v>978</v>
      </c>
      <c r="F2953" s="1399">
        <v>107331.36</v>
      </c>
      <c r="J2953" s="1399">
        <v>107331.36</v>
      </c>
    </row>
    <row r="2954" spans="2:12">
      <c r="B2954" s="1297"/>
      <c r="C2954" s="1297"/>
      <c r="D2954" s="1297"/>
      <c r="E2954" s="1297" t="s">
        <v>1006</v>
      </c>
      <c r="F2954" s="1399">
        <v>1925331.49</v>
      </c>
      <c r="J2954" s="1399">
        <v>1925331.49</v>
      </c>
    </row>
    <row r="2955" spans="2:12">
      <c r="B2955" s="1297"/>
      <c r="C2955" s="1297"/>
      <c r="D2955" s="1297"/>
      <c r="E2955" s="1297" t="s">
        <v>947</v>
      </c>
      <c r="F2955" s="1399">
        <v>1091636.95</v>
      </c>
      <c r="J2955" s="1399">
        <v>1091636.95</v>
      </c>
    </row>
    <row r="2956" spans="2:12">
      <c r="B2956" s="1297"/>
      <c r="C2956" s="1297"/>
      <c r="D2956" s="1297"/>
      <c r="E2956" s="1404" t="s">
        <v>948</v>
      </c>
      <c r="F2956" s="1405"/>
      <c r="G2956" s="1405"/>
      <c r="H2956" s="1405">
        <v>5145008.0600000005</v>
      </c>
      <c r="I2956" s="1405"/>
      <c r="J2956" s="1405">
        <v>5145008.0600000005</v>
      </c>
    </row>
    <row r="2957" spans="2:12">
      <c r="B2957" s="1297"/>
      <c r="C2957" s="1297"/>
      <c r="D2957" s="1400" t="s">
        <v>1189</v>
      </c>
      <c r="E2957" s="1400"/>
      <c r="F2957" s="1401">
        <f>SUM(F2908:F2956)</f>
        <v>35340605.950000003</v>
      </c>
      <c r="G2957" s="1401">
        <f>SUM(G2908:G2956)</f>
        <v>91389785.609999999</v>
      </c>
      <c r="H2957" s="1401">
        <f>SUM(H2908:H2956)-H2956</f>
        <v>14684964.180000002</v>
      </c>
      <c r="I2957" s="1401">
        <f>SUM(I2908:I2956)-I2938</f>
        <v>138496902.41000003</v>
      </c>
      <c r="J2957" s="1401">
        <f>SUM(J2908:J2956)</f>
        <v>289072512.54000014</v>
      </c>
      <c r="K2957" s="1401">
        <f>SUM(F2957:I2957)</f>
        <v>279912258.15000004</v>
      </c>
      <c r="L2957" s="1408">
        <f>K2957/C2908</f>
        <v>10773.729192486819</v>
      </c>
    </row>
    <row r="2958" spans="2:12">
      <c r="B2958" s="1297" t="s">
        <v>1190</v>
      </c>
      <c r="C2958" s="1297">
        <v>1555</v>
      </c>
      <c r="D2958" s="1297" t="s">
        <v>1191</v>
      </c>
      <c r="E2958" s="1297" t="s">
        <v>906</v>
      </c>
      <c r="G2958" s="1399">
        <v>3405146.9</v>
      </c>
      <c r="J2958" s="1399">
        <v>3405146.9</v>
      </c>
    </row>
    <row r="2959" spans="2:12">
      <c r="B2959" s="1297"/>
      <c r="C2959" s="1297"/>
      <c r="D2959" s="1297"/>
      <c r="E2959" s="1297" t="s">
        <v>952</v>
      </c>
      <c r="G2959" s="1399">
        <v>23313.26</v>
      </c>
      <c r="J2959" s="1399">
        <v>23313.26</v>
      </c>
    </row>
    <row r="2960" spans="2:12">
      <c r="B2960" s="1297"/>
      <c r="C2960" s="1297"/>
      <c r="D2960" s="1297"/>
      <c r="E2960" s="1297" t="s">
        <v>907</v>
      </c>
      <c r="G2960" s="1399">
        <v>674217.37</v>
      </c>
      <c r="J2960" s="1399">
        <v>674217.37</v>
      </c>
    </row>
    <row r="2961" spans="5:10" s="1297" customFormat="1">
      <c r="E2961" s="1297" t="s">
        <v>908</v>
      </c>
      <c r="F2961" s="1399"/>
      <c r="G2961" s="1399">
        <v>7660.56</v>
      </c>
      <c r="H2961" s="1399"/>
      <c r="I2961" s="1399"/>
      <c r="J2961" s="1399">
        <v>7660.56</v>
      </c>
    </row>
    <row r="2962" spans="5:10" s="1297" customFormat="1">
      <c r="E2962" s="1297" t="s">
        <v>909</v>
      </c>
      <c r="F2962" s="1399"/>
      <c r="G2962" s="1399"/>
      <c r="H2962" s="1399">
        <v>55709.24</v>
      </c>
      <c r="I2962" s="1399"/>
      <c r="J2962" s="1399">
        <v>55709.24</v>
      </c>
    </row>
    <row r="2963" spans="5:10" s="1297" customFormat="1">
      <c r="E2963" s="1297" t="s">
        <v>910</v>
      </c>
      <c r="F2963" s="1399"/>
      <c r="G2963" s="1399"/>
      <c r="H2963" s="1399">
        <v>111630.48</v>
      </c>
      <c r="I2963" s="1399"/>
      <c r="J2963" s="1399">
        <v>111630.48</v>
      </c>
    </row>
    <row r="2964" spans="5:10" s="1297" customFormat="1">
      <c r="E2964" s="1297" t="s">
        <v>1034</v>
      </c>
      <c r="F2964" s="1399"/>
      <c r="G2964" s="1399"/>
      <c r="H2964" s="1399">
        <v>28544.959999999999</v>
      </c>
      <c r="I2964" s="1399"/>
      <c r="J2964" s="1399">
        <v>28544.959999999999</v>
      </c>
    </row>
    <row r="2965" spans="5:10" s="1297" customFormat="1">
      <c r="E2965" s="1297" t="s">
        <v>1035</v>
      </c>
      <c r="F2965" s="1399"/>
      <c r="G2965" s="1399"/>
      <c r="H2965" s="1399">
        <v>177734.25</v>
      </c>
      <c r="I2965" s="1399"/>
      <c r="J2965" s="1399">
        <v>177734.25</v>
      </c>
    </row>
    <row r="2966" spans="5:10" s="1297" customFormat="1">
      <c r="E2966" s="1297" t="s">
        <v>1036</v>
      </c>
      <c r="F2966" s="1399"/>
      <c r="G2966" s="1399"/>
      <c r="H2966" s="1399">
        <v>64098.25</v>
      </c>
      <c r="I2966" s="1399"/>
      <c r="J2966" s="1399">
        <v>64098.25</v>
      </c>
    </row>
    <row r="2967" spans="5:10" s="1297" customFormat="1">
      <c r="E2967" s="1297" t="s">
        <v>1039</v>
      </c>
      <c r="F2967" s="1399"/>
      <c r="G2967" s="1399"/>
      <c r="H2967" s="1399">
        <v>23371.939999999995</v>
      </c>
      <c r="I2967" s="1399"/>
      <c r="J2967" s="1399">
        <v>23371.939999999995</v>
      </c>
    </row>
    <row r="2968" spans="5:10" s="1297" customFormat="1">
      <c r="E2968" s="1297" t="s">
        <v>1040</v>
      </c>
      <c r="F2968" s="1399"/>
      <c r="G2968" s="1399"/>
      <c r="H2968" s="1399">
        <v>92403.6</v>
      </c>
      <c r="I2968" s="1399"/>
      <c r="J2968" s="1399">
        <v>92403.6</v>
      </c>
    </row>
    <row r="2969" spans="5:10" s="1297" customFormat="1">
      <c r="E2969" s="1297" t="s">
        <v>1127</v>
      </c>
      <c r="F2969" s="1399"/>
      <c r="G2969" s="1399"/>
      <c r="H2969" s="1399">
        <v>7143.95</v>
      </c>
      <c r="I2969" s="1399"/>
      <c r="J2969" s="1399">
        <v>7143.95</v>
      </c>
    </row>
    <row r="2970" spans="5:10" s="1297" customFormat="1">
      <c r="E2970" s="1297" t="s">
        <v>1041</v>
      </c>
      <c r="F2970" s="1399"/>
      <c r="G2970" s="1399"/>
      <c r="H2970" s="1399">
        <v>49265.91</v>
      </c>
      <c r="I2970" s="1399"/>
      <c r="J2970" s="1399">
        <v>49265.91</v>
      </c>
    </row>
    <row r="2971" spans="5:10" s="1297" customFormat="1">
      <c r="E2971" s="1297" t="s">
        <v>1042</v>
      </c>
      <c r="F2971" s="1399"/>
      <c r="G2971" s="1399"/>
      <c r="H2971" s="1399">
        <v>32811.730000000003</v>
      </c>
      <c r="I2971" s="1399"/>
      <c r="J2971" s="1399">
        <v>32811.730000000003</v>
      </c>
    </row>
    <row r="2972" spans="5:10" s="1297" customFormat="1">
      <c r="E2972" s="1297" t="s">
        <v>954</v>
      </c>
      <c r="F2972" s="1399"/>
      <c r="G2972" s="1399"/>
      <c r="H2972" s="1399">
        <v>0</v>
      </c>
      <c r="I2972" s="1399"/>
      <c r="J2972" s="1399">
        <v>0</v>
      </c>
    </row>
    <row r="2973" spans="5:10" s="1297" customFormat="1">
      <c r="E2973" s="1297" t="s">
        <v>1043</v>
      </c>
      <c r="F2973" s="1399"/>
      <c r="G2973" s="1399"/>
      <c r="H2973" s="1399">
        <v>10050</v>
      </c>
      <c r="I2973" s="1399"/>
      <c r="J2973" s="1399">
        <v>10050</v>
      </c>
    </row>
    <row r="2974" spans="5:10" s="1297" customFormat="1">
      <c r="E2974" s="1297" t="s">
        <v>986</v>
      </c>
      <c r="F2974" s="1399"/>
      <c r="G2974" s="1399"/>
      <c r="H2974" s="1399">
        <v>12775.3</v>
      </c>
      <c r="I2974" s="1399"/>
      <c r="J2974" s="1399">
        <v>12775.3</v>
      </c>
    </row>
    <row r="2975" spans="5:10" s="1297" customFormat="1">
      <c r="E2975" s="1297" t="s">
        <v>990</v>
      </c>
      <c r="F2975" s="1399"/>
      <c r="G2975" s="1399"/>
      <c r="H2975" s="1399">
        <v>400</v>
      </c>
      <c r="I2975" s="1399"/>
      <c r="J2975" s="1399">
        <v>400</v>
      </c>
    </row>
    <row r="2976" spans="5:10" s="1297" customFormat="1">
      <c r="E2976" s="1297" t="s">
        <v>996</v>
      </c>
      <c r="F2976" s="1399"/>
      <c r="G2976" s="1399"/>
      <c r="H2976" s="1399">
        <v>2500</v>
      </c>
      <c r="I2976" s="1399"/>
      <c r="J2976" s="1399">
        <v>2500</v>
      </c>
    </row>
    <row r="2977" spans="5:10" s="1297" customFormat="1">
      <c r="E2977" s="1297" t="s">
        <v>1045</v>
      </c>
      <c r="F2977" s="1399"/>
      <c r="G2977" s="1399"/>
      <c r="H2977" s="1399">
        <v>311683.65000000002</v>
      </c>
      <c r="I2977" s="1399"/>
      <c r="J2977" s="1399">
        <v>311683.65000000002</v>
      </c>
    </row>
    <row r="2978" spans="5:10" s="1297" customFormat="1">
      <c r="E2978" s="1297" t="s">
        <v>1046</v>
      </c>
      <c r="F2978" s="1399"/>
      <c r="G2978" s="1399"/>
      <c r="H2978" s="1399"/>
      <c r="I2978" s="1399">
        <v>7771092</v>
      </c>
      <c r="J2978" s="1399">
        <v>7771092</v>
      </c>
    </row>
    <row r="2979" spans="5:10" s="1297" customFormat="1">
      <c r="E2979" s="1297" t="s">
        <v>1128</v>
      </c>
      <c r="F2979" s="1399"/>
      <c r="G2979" s="1399"/>
      <c r="H2979" s="1399"/>
      <c r="I2979" s="1399">
        <v>885292</v>
      </c>
      <c r="J2979" s="1399">
        <v>885292</v>
      </c>
    </row>
    <row r="2980" spans="5:10" s="1297" customFormat="1">
      <c r="E2980" s="1297" t="s">
        <v>1047</v>
      </c>
      <c r="F2980" s="1399"/>
      <c r="G2980" s="1399"/>
      <c r="H2980" s="1399"/>
      <c r="I2980" s="1399">
        <v>286217</v>
      </c>
      <c r="J2980" s="1399">
        <v>286217</v>
      </c>
    </row>
    <row r="2981" spans="5:10" s="1297" customFormat="1">
      <c r="E2981" s="1297" t="s">
        <v>1048</v>
      </c>
      <c r="F2981" s="1399"/>
      <c r="G2981" s="1399"/>
      <c r="H2981" s="1399"/>
      <c r="I2981" s="1399">
        <v>-960179</v>
      </c>
      <c r="J2981" s="1399">
        <v>-960179</v>
      </c>
    </row>
    <row r="2982" spans="5:10" s="1297" customFormat="1">
      <c r="E2982" s="1297" t="s">
        <v>932</v>
      </c>
      <c r="F2982" s="1399"/>
      <c r="G2982" s="1399"/>
      <c r="H2982" s="1399"/>
      <c r="I2982" s="1399">
        <v>1156744</v>
      </c>
      <c r="J2982" s="1399">
        <v>1156744</v>
      </c>
    </row>
    <row r="2983" spans="5:10" s="1297" customFormat="1">
      <c r="E2983" s="1404" t="s">
        <v>955</v>
      </c>
      <c r="F2983" s="1405"/>
      <c r="G2983" s="1405"/>
      <c r="H2983" s="1405"/>
      <c r="I2983" s="1405">
        <v>539004.36</v>
      </c>
      <c r="J2983" s="1405">
        <v>539004.36</v>
      </c>
    </row>
    <row r="2984" spans="5:10" s="1297" customFormat="1">
      <c r="E2984" s="1297" t="s">
        <v>934</v>
      </c>
      <c r="F2984" s="1399"/>
      <c r="G2984" s="1399"/>
      <c r="H2984" s="1399"/>
      <c r="I2984" s="1399">
        <v>26588</v>
      </c>
      <c r="J2984" s="1399">
        <v>26588</v>
      </c>
    </row>
    <row r="2985" spans="5:10" s="1297" customFormat="1">
      <c r="E2985" s="1297" t="s">
        <v>935</v>
      </c>
      <c r="F2985" s="1399"/>
      <c r="G2985" s="1399"/>
      <c r="H2985" s="1399"/>
      <c r="I2985" s="1399">
        <v>342318.56</v>
      </c>
      <c r="J2985" s="1399">
        <v>342318.56</v>
      </c>
    </row>
    <row r="2986" spans="5:10" s="1297" customFormat="1">
      <c r="E2986" s="1297" t="s">
        <v>936</v>
      </c>
      <c r="F2986" s="1399"/>
      <c r="G2986" s="1399"/>
      <c r="H2986" s="1399"/>
      <c r="I2986" s="1399">
        <v>23460.09</v>
      </c>
      <c r="J2986" s="1399">
        <v>23460.09</v>
      </c>
    </row>
    <row r="2987" spans="5:10" s="1297" customFormat="1">
      <c r="E2987" s="1297" t="s">
        <v>938</v>
      </c>
      <c r="F2987" s="1399"/>
      <c r="G2987" s="1399"/>
      <c r="H2987" s="1399"/>
      <c r="I2987" s="1399">
        <v>7486</v>
      </c>
      <c r="J2987" s="1399">
        <v>7486</v>
      </c>
    </row>
    <row r="2988" spans="5:10" s="1297" customFormat="1">
      <c r="E2988" s="1297" t="s">
        <v>939</v>
      </c>
      <c r="F2988" s="1399"/>
      <c r="G2988" s="1399"/>
      <c r="H2988" s="1399"/>
      <c r="I2988" s="1399">
        <v>42250</v>
      </c>
      <c r="J2988" s="1399">
        <v>42250</v>
      </c>
    </row>
    <row r="2989" spans="5:10" s="1297" customFormat="1">
      <c r="E2989" s="1297" t="s">
        <v>1131</v>
      </c>
      <c r="F2989" s="1399">
        <v>100000</v>
      </c>
      <c r="G2989" s="1399"/>
      <c r="H2989" s="1399"/>
      <c r="I2989" s="1399"/>
      <c r="J2989" s="1399">
        <v>100000</v>
      </c>
    </row>
    <row r="2990" spans="5:10" s="1297" customFormat="1">
      <c r="E2990" s="1297" t="s">
        <v>940</v>
      </c>
      <c r="F2990" s="1399">
        <v>473616.8</v>
      </c>
      <c r="G2990" s="1399"/>
      <c r="H2990" s="1399"/>
      <c r="I2990" s="1399"/>
      <c r="J2990" s="1399">
        <v>473616.8</v>
      </c>
    </row>
    <row r="2991" spans="5:10" s="1297" customFormat="1">
      <c r="E2991" s="1297" t="s">
        <v>941</v>
      </c>
      <c r="F2991" s="1399">
        <v>158056.66</v>
      </c>
      <c r="G2991" s="1399"/>
      <c r="H2991" s="1399"/>
      <c r="I2991" s="1399"/>
      <c r="J2991" s="1399">
        <v>158056.66</v>
      </c>
    </row>
    <row r="2992" spans="5:10" s="1297" customFormat="1">
      <c r="E2992" s="1297" t="s">
        <v>943</v>
      </c>
      <c r="F2992" s="1399">
        <v>12139.7</v>
      </c>
      <c r="G2992" s="1399"/>
      <c r="H2992" s="1399"/>
      <c r="I2992" s="1399"/>
      <c r="J2992" s="1399">
        <v>12139.7</v>
      </c>
    </row>
    <row r="2993" spans="2:12">
      <c r="B2993" s="1297"/>
      <c r="C2993" s="1297"/>
      <c r="D2993" s="1297"/>
      <c r="E2993" s="1297" t="s">
        <v>944</v>
      </c>
      <c r="F2993" s="1399">
        <v>1080064.6899999997</v>
      </c>
      <c r="J2993" s="1399">
        <v>1080064.6899999997</v>
      </c>
    </row>
    <row r="2994" spans="2:12">
      <c r="B2994" s="1297"/>
      <c r="C2994" s="1297"/>
      <c r="D2994" s="1297"/>
      <c r="E2994" s="1297" t="s">
        <v>945</v>
      </c>
      <c r="F2994" s="1399">
        <v>875514.89999999991</v>
      </c>
      <c r="J2994" s="1399">
        <v>875514.89999999991</v>
      </c>
    </row>
    <row r="2995" spans="2:12">
      <c r="B2995" s="1297"/>
      <c r="C2995" s="1297"/>
      <c r="D2995" s="1297"/>
      <c r="E2995" s="1297" t="s">
        <v>946</v>
      </c>
      <c r="F2995" s="1399">
        <v>92197.36</v>
      </c>
      <c r="J2995" s="1399">
        <v>92197.36</v>
      </c>
    </row>
    <row r="2996" spans="2:12">
      <c r="B2996" s="1297"/>
      <c r="C2996" s="1297"/>
      <c r="D2996" s="1297"/>
      <c r="E2996" s="1297" t="s">
        <v>947</v>
      </c>
      <c r="F2996" s="1399">
        <v>52944.17</v>
      </c>
      <c r="J2996" s="1399">
        <v>52944.17</v>
      </c>
    </row>
    <row r="2997" spans="2:12">
      <c r="B2997" s="1297"/>
      <c r="C2997" s="1297"/>
      <c r="D2997" s="1297"/>
      <c r="E2997" s="1404" t="s">
        <v>948</v>
      </c>
      <c r="F2997" s="1405"/>
      <c r="G2997" s="1405"/>
      <c r="H2997" s="1405">
        <v>878082.61</v>
      </c>
      <c r="I2997" s="1405"/>
      <c r="J2997" s="1405">
        <v>878082.61</v>
      </c>
    </row>
    <row r="2998" spans="2:12">
      <c r="B2998" s="1297"/>
      <c r="C2998" s="1297"/>
      <c r="D2998" s="1297"/>
      <c r="E2998" s="1297" t="s">
        <v>956</v>
      </c>
      <c r="H2998" s="1399">
        <v>55.8</v>
      </c>
      <c r="J2998" s="1399">
        <v>55.8</v>
      </c>
    </row>
    <row r="2999" spans="2:12">
      <c r="B2999" s="1297"/>
      <c r="C2999" s="1297"/>
      <c r="D2999" s="1400" t="s">
        <v>1192</v>
      </c>
      <c r="E2999" s="1400"/>
      <c r="F2999" s="1401">
        <f>SUM(F2958:F2998)</f>
        <v>2844534.2799999993</v>
      </c>
      <c r="G2999" s="1401">
        <f>SUM(G2958:G2998)</f>
        <v>4110338.09</v>
      </c>
      <c r="H2999" s="1401">
        <f>SUM(H2958:H2998)-H2997</f>
        <v>980179.06000000017</v>
      </c>
      <c r="I2999" s="1401">
        <f>SUM(I2958:I2998)-I2983</f>
        <v>9581268.6500000004</v>
      </c>
      <c r="J2999" s="1401">
        <f>SUM(J2958:J2998)</f>
        <v>18933407.050000001</v>
      </c>
      <c r="K2999" s="1401">
        <f>SUM(F2999:I2999)</f>
        <v>17516320.079999998</v>
      </c>
      <c r="L2999" s="1408">
        <f>K2999/C2958</f>
        <v>11264.51452090032</v>
      </c>
    </row>
    <row r="3000" spans="2:12">
      <c r="B3000" s="1297" t="s">
        <v>1193</v>
      </c>
      <c r="C3000" s="1297">
        <v>7044</v>
      </c>
      <c r="D3000" s="1297" t="s">
        <v>1194</v>
      </c>
      <c r="E3000" s="1297" t="s">
        <v>906</v>
      </c>
      <c r="G3000" s="1399">
        <v>36308367.079999998</v>
      </c>
      <c r="J3000" s="1399">
        <v>36308367.079999998</v>
      </c>
    </row>
    <row r="3001" spans="2:12">
      <c r="B3001" s="1297"/>
      <c r="C3001" s="1297"/>
      <c r="D3001" s="1297"/>
      <c r="E3001" s="1297" t="s">
        <v>952</v>
      </c>
      <c r="G3001" s="1399">
        <v>522583.94</v>
      </c>
      <c r="J3001" s="1399">
        <v>522583.94</v>
      </c>
    </row>
    <row r="3002" spans="2:12">
      <c r="B3002" s="1297"/>
      <c r="C3002" s="1297"/>
      <c r="D3002" s="1297"/>
      <c r="E3002" s="1297" t="s">
        <v>907</v>
      </c>
      <c r="G3002" s="1399">
        <v>5244991.4800000004</v>
      </c>
      <c r="J3002" s="1399">
        <v>5244991.4800000004</v>
      </c>
    </row>
    <row r="3003" spans="2:12">
      <c r="B3003" s="1297"/>
      <c r="C3003" s="1297"/>
      <c r="D3003" s="1297"/>
      <c r="E3003" s="1297" t="s">
        <v>908</v>
      </c>
      <c r="G3003" s="1399">
        <v>33963.410000000003</v>
      </c>
      <c r="J3003" s="1399">
        <v>33963.410000000003</v>
      </c>
    </row>
    <row r="3004" spans="2:12">
      <c r="B3004" s="1297"/>
      <c r="C3004" s="1297"/>
      <c r="D3004" s="1297"/>
      <c r="E3004" s="1297" t="s">
        <v>909</v>
      </c>
      <c r="H3004" s="1399">
        <v>52290.84</v>
      </c>
      <c r="J3004" s="1399">
        <v>52290.84</v>
      </c>
    </row>
    <row r="3005" spans="2:12">
      <c r="B3005" s="1297"/>
      <c r="C3005" s="1297"/>
      <c r="D3005" s="1297"/>
      <c r="E3005" s="1297" t="s">
        <v>910</v>
      </c>
      <c r="H3005" s="1399">
        <v>253860.25</v>
      </c>
      <c r="J3005" s="1399">
        <v>253860.25</v>
      </c>
    </row>
    <row r="3006" spans="2:12">
      <c r="B3006" s="1297"/>
      <c r="C3006" s="1297"/>
      <c r="D3006" s="1297"/>
      <c r="E3006" s="1297" t="s">
        <v>1034</v>
      </c>
      <c r="H3006" s="1399">
        <v>150677.9</v>
      </c>
      <c r="J3006" s="1399">
        <v>150677.9</v>
      </c>
    </row>
    <row r="3007" spans="2:12">
      <c r="B3007" s="1297"/>
      <c r="C3007" s="1297"/>
      <c r="D3007" s="1297"/>
      <c r="E3007" s="1297" t="s">
        <v>1035</v>
      </c>
      <c r="H3007" s="1399">
        <v>695170.95</v>
      </c>
      <c r="J3007" s="1399">
        <v>695170.95</v>
      </c>
    </row>
    <row r="3008" spans="2:12">
      <c r="B3008" s="1297"/>
      <c r="C3008" s="1297"/>
      <c r="D3008" s="1297"/>
      <c r="E3008" s="1297" t="s">
        <v>1036</v>
      </c>
      <c r="H3008" s="1399">
        <v>198655.40000000002</v>
      </c>
      <c r="J3008" s="1399">
        <v>198655.40000000002</v>
      </c>
    </row>
    <row r="3009" spans="5:10" s="1297" customFormat="1">
      <c r="E3009" s="1297" t="s">
        <v>1039</v>
      </c>
      <c r="F3009" s="1399"/>
      <c r="G3009" s="1399"/>
      <c r="H3009" s="1399">
        <v>45814.479999999989</v>
      </c>
      <c r="I3009" s="1399"/>
      <c r="J3009" s="1399">
        <v>45814.479999999989</v>
      </c>
    </row>
    <row r="3010" spans="5:10" s="1297" customFormat="1">
      <c r="E3010" s="1297" t="s">
        <v>1040</v>
      </c>
      <c r="F3010" s="1399"/>
      <c r="G3010" s="1399"/>
      <c r="H3010" s="1399">
        <v>1030633.03</v>
      </c>
      <c r="I3010" s="1399"/>
      <c r="J3010" s="1399">
        <v>1030633.03</v>
      </c>
    </row>
    <row r="3011" spans="5:10" s="1297" customFormat="1">
      <c r="E3011" s="1297" t="s">
        <v>1041</v>
      </c>
      <c r="F3011" s="1399"/>
      <c r="G3011" s="1399"/>
      <c r="H3011" s="1399">
        <v>134886.01</v>
      </c>
      <c r="I3011" s="1399"/>
      <c r="J3011" s="1399">
        <v>134886.01</v>
      </c>
    </row>
    <row r="3012" spans="5:10" s="1297" customFormat="1">
      <c r="E3012" s="1297" t="s">
        <v>1042</v>
      </c>
      <c r="F3012" s="1399"/>
      <c r="G3012" s="1399"/>
      <c r="H3012" s="1399">
        <v>98599.930000000008</v>
      </c>
      <c r="I3012" s="1399"/>
      <c r="J3012" s="1399">
        <v>98599.930000000008</v>
      </c>
    </row>
    <row r="3013" spans="5:10" s="1297" customFormat="1">
      <c r="E3013" s="1297" t="s">
        <v>985</v>
      </c>
      <c r="F3013" s="1399"/>
      <c r="G3013" s="1399"/>
      <c r="H3013" s="1399">
        <v>353192.15</v>
      </c>
      <c r="I3013" s="1399"/>
      <c r="J3013" s="1399">
        <v>353192.15</v>
      </c>
    </row>
    <row r="3014" spans="5:10" s="1297" customFormat="1">
      <c r="E3014" s="1297" t="s">
        <v>1043</v>
      </c>
      <c r="F3014" s="1399"/>
      <c r="G3014" s="1399"/>
      <c r="H3014" s="1399">
        <v>15405</v>
      </c>
      <c r="I3014" s="1399"/>
      <c r="J3014" s="1399">
        <v>15405</v>
      </c>
    </row>
    <row r="3015" spans="5:10" s="1297" customFormat="1">
      <c r="E3015" s="1297" t="s">
        <v>986</v>
      </c>
      <c r="F3015" s="1399"/>
      <c r="G3015" s="1399"/>
      <c r="H3015" s="1399">
        <v>1000</v>
      </c>
      <c r="I3015" s="1399"/>
      <c r="J3015" s="1399">
        <v>1000</v>
      </c>
    </row>
    <row r="3016" spans="5:10" s="1297" customFormat="1">
      <c r="E3016" s="1297" t="s">
        <v>990</v>
      </c>
      <c r="F3016" s="1399"/>
      <c r="G3016" s="1399"/>
      <c r="H3016" s="1399">
        <v>628.5</v>
      </c>
      <c r="I3016" s="1399"/>
      <c r="J3016" s="1399">
        <v>628.5</v>
      </c>
    </row>
    <row r="3017" spans="5:10" s="1297" customFormat="1">
      <c r="E3017" s="1297" t="s">
        <v>996</v>
      </c>
      <c r="F3017" s="1399"/>
      <c r="G3017" s="1399"/>
      <c r="H3017" s="1399">
        <v>38699.050000000003</v>
      </c>
      <c r="I3017" s="1399"/>
      <c r="J3017" s="1399">
        <v>38699.050000000003</v>
      </c>
    </row>
    <row r="3018" spans="5:10" s="1297" customFormat="1">
      <c r="E3018" s="1297" t="s">
        <v>1044</v>
      </c>
      <c r="F3018" s="1399">
        <v>2802.91</v>
      </c>
      <c r="G3018" s="1399"/>
      <c r="H3018" s="1399"/>
      <c r="I3018" s="1399"/>
      <c r="J3018" s="1399">
        <v>2802.91</v>
      </c>
    </row>
    <row r="3019" spans="5:10" s="1297" customFormat="1">
      <c r="E3019" s="1297" t="s">
        <v>1045</v>
      </c>
      <c r="F3019" s="1399"/>
      <c r="G3019" s="1399"/>
      <c r="H3019" s="1399">
        <v>755094.6</v>
      </c>
      <c r="I3019" s="1399"/>
      <c r="J3019" s="1399">
        <v>755094.6</v>
      </c>
    </row>
    <row r="3020" spans="5:10" s="1297" customFormat="1">
      <c r="E3020" s="1297" t="s">
        <v>1046</v>
      </c>
      <c r="F3020" s="1399"/>
      <c r="G3020" s="1399"/>
      <c r="H3020" s="1399"/>
      <c r="I3020" s="1399">
        <v>38346364</v>
      </c>
      <c r="J3020" s="1399">
        <v>38346364</v>
      </c>
    </row>
    <row r="3021" spans="5:10" s="1297" customFormat="1">
      <c r="E3021" s="1297" t="s">
        <v>1128</v>
      </c>
      <c r="F3021" s="1399"/>
      <c r="G3021" s="1399"/>
      <c r="H3021" s="1399"/>
      <c r="I3021" s="1399">
        <v>3131452</v>
      </c>
      <c r="J3021" s="1399">
        <v>3131452</v>
      </c>
    </row>
    <row r="3022" spans="5:10" s="1297" customFormat="1">
      <c r="E3022" s="1297" t="s">
        <v>1129</v>
      </c>
      <c r="F3022" s="1399"/>
      <c r="G3022" s="1399"/>
      <c r="H3022" s="1399"/>
      <c r="I3022" s="1399">
        <v>-4535764</v>
      </c>
      <c r="J3022" s="1399">
        <v>-4535764</v>
      </c>
    </row>
    <row r="3023" spans="5:10" s="1297" customFormat="1">
      <c r="E3023" s="1297" t="s">
        <v>1047</v>
      </c>
      <c r="F3023" s="1399"/>
      <c r="G3023" s="1399"/>
      <c r="H3023" s="1399"/>
      <c r="I3023" s="1399">
        <v>1011995</v>
      </c>
      <c r="J3023" s="1399">
        <v>1011995</v>
      </c>
    </row>
    <row r="3024" spans="5:10" s="1297" customFormat="1">
      <c r="E3024" s="1297" t="s">
        <v>1048</v>
      </c>
      <c r="F3024" s="1399"/>
      <c r="G3024" s="1399"/>
      <c r="H3024" s="1399"/>
      <c r="I3024" s="1399">
        <v>-8594999</v>
      </c>
      <c r="J3024" s="1399">
        <v>-8594999</v>
      </c>
    </row>
    <row r="3025" spans="5:10" s="1297" customFormat="1">
      <c r="E3025" s="1404" t="s">
        <v>955</v>
      </c>
      <c r="F3025" s="1405"/>
      <c r="G3025" s="1405"/>
      <c r="H3025" s="1405"/>
      <c r="I3025" s="1405">
        <v>977332.21</v>
      </c>
      <c r="J3025" s="1405">
        <v>977332.21</v>
      </c>
    </row>
    <row r="3026" spans="5:10" s="1297" customFormat="1">
      <c r="E3026" s="1297" t="s">
        <v>934</v>
      </c>
      <c r="F3026" s="1399"/>
      <c r="G3026" s="1399"/>
      <c r="H3026" s="1399"/>
      <c r="I3026" s="1399">
        <v>112428</v>
      </c>
      <c r="J3026" s="1399">
        <v>112428</v>
      </c>
    </row>
    <row r="3027" spans="5:10" s="1297" customFormat="1">
      <c r="E3027" s="1297" t="s">
        <v>935</v>
      </c>
      <c r="F3027" s="1399"/>
      <c r="G3027" s="1399"/>
      <c r="H3027" s="1399"/>
      <c r="I3027" s="1399">
        <v>705716.32</v>
      </c>
      <c r="J3027" s="1399">
        <v>705716.32</v>
      </c>
    </row>
    <row r="3028" spans="5:10" s="1297" customFormat="1">
      <c r="E3028" s="1297" t="s">
        <v>936</v>
      </c>
      <c r="F3028" s="1399"/>
      <c r="G3028" s="1399"/>
      <c r="H3028" s="1399"/>
      <c r="I3028" s="1399">
        <v>122202.54</v>
      </c>
      <c r="J3028" s="1399">
        <v>122202.54</v>
      </c>
    </row>
    <row r="3029" spans="5:10" s="1297" customFormat="1">
      <c r="E3029" s="1297" t="s">
        <v>937</v>
      </c>
      <c r="F3029" s="1399"/>
      <c r="G3029" s="1399"/>
      <c r="H3029" s="1399"/>
      <c r="I3029" s="1399">
        <v>26524.83</v>
      </c>
      <c r="J3029" s="1399">
        <v>26524.83</v>
      </c>
    </row>
    <row r="3030" spans="5:10" s="1297" customFormat="1">
      <c r="E3030" s="1297" t="s">
        <v>938</v>
      </c>
      <c r="F3030" s="1399"/>
      <c r="G3030" s="1399"/>
      <c r="H3030" s="1399"/>
      <c r="I3030" s="1399">
        <v>40801</v>
      </c>
      <c r="J3030" s="1399">
        <v>40801</v>
      </c>
    </row>
    <row r="3031" spans="5:10" s="1297" customFormat="1">
      <c r="E3031" s="1297" t="s">
        <v>939</v>
      </c>
      <c r="F3031" s="1399"/>
      <c r="G3031" s="1399"/>
      <c r="H3031" s="1399"/>
      <c r="I3031" s="1399">
        <v>55616.23</v>
      </c>
      <c r="J3031" s="1399">
        <v>55616.23</v>
      </c>
    </row>
    <row r="3032" spans="5:10" s="1297" customFormat="1">
      <c r="E3032" s="1297" t="s">
        <v>1131</v>
      </c>
      <c r="F3032" s="1399">
        <v>116556.82</v>
      </c>
      <c r="G3032" s="1399"/>
      <c r="H3032" s="1399"/>
      <c r="I3032" s="1399"/>
      <c r="J3032" s="1399">
        <v>116556.82</v>
      </c>
    </row>
    <row r="3033" spans="5:10" s="1297" customFormat="1">
      <c r="E3033" s="1297" t="s">
        <v>940</v>
      </c>
      <c r="F3033" s="1399">
        <v>1632700.1400000001</v>
      </c>
      <c r="G3033" s="1399"/>
      <c r="H3033" s="1399"/>
      <c r="I3033" s="1399"/>
      <c r="J3033" s="1399">
        <v>1632700.1400000001</v>
      </c>
    </row>
    <row r="3034" spans="5:10" s="1297" customFormat="1">
      <c r="E3034" s="1297" t="s">
        <v>941</v>
      </c>
      <c r="F3034" s="1399">
        <v>661419.00000000012</v>
      </c>
      <c r="G3034" s="1399"/>
      <c r="H3034" s="1399"/>
      <c r="I3034" s="1399"/>
      <c r="J3034" s="1399">
        <v>661419.00000000012</v>
      </c>
    </row>
    <row r="3035" spans="5:10" s="1297" customFormat="1">
      <c r="E3035" s="1297" t="s">
        <v>943</v>
      </c>
      <c r="F3035" s="1399">
        <v>21288.32</v>
      </c>
      <c r="G3035" s="1399"/>
      <c r="H3035" s="1399"/>
      <c r="I3035" s="1399"/>
      <c r="J3035" s="1399">
        <v>21288.32</v>
      </c>
    </row>
    <row r="3036" spans="5:10" s="1297" customFormat="1">
      <c r="E3036" s="1297" t="s">
        <v>944</v>
      </c>
      <c r="F3036" s="1399">
        <v>3499638.6800000006</v>
      </c>
      <c r="G3036" s="1399"/>
      <c r="H3036" s="1399"/>
      <c r="I3036" s="1399"/>
      <c r="J3036" s="1399">
        <v>3499638.6800000006</v>
      </c>
    </row>
    <row r="3037" spans="5:10" s="1297" customFormat="1">
      <c r="E3037" s="1297" t="s">
        <v>945</v>
      </c>
      <c r="F3037" s="1399">
        <v>2383383.4499999997</v>
      </c>
      <c r="G3037" s="1399"/>
      <c r="H3037" s="1399"/>
      <c r="I3037" s="1399"/>
      <c r="J3037" s="1399">
        <v>2383383.4499999997</v>
      </c>
    </row>
    <row r="3038" spans="5:10" s="1297" customFormat="1">
      <c r="E3038" s="1297" t="s">
        <v>946</v>
      </c>
      <c r="F3038" s="1399">
        <v>120704.35</v>
      </c>
      <c r="G3038" s="1399"/>
      <c r="H3038" s="1399"/>
      <c r="I3038" s="1399"/>
      <c r="J3038" s="1399">
        <v>120704.35</v>
      </c>
    </row>
    <row r="3039" spans="5:10" s="1297" customFormat="1">
      <c r="E3039" s="1297" t="s">
        <v>947</v>
      </c>
      <c r="F3039" s="1399">
        <v>109205.97</v>
      </c>
      <c r="G3039" s="1399"/>
      <c r="H3039" s="1399"/>
      <c r="I3039" s="1399"/>
      <c r="J3039" s="1399">
        <v>109205.97</v>
      </c>
    </row>
    <row r="3040" spans="5:10" s="1297" customFormat="1">
      <c r="E3040" s="1404" t="s">
        <v>948</v>
      </c>
      <c r="F3040" s="1405"/>
      <c r="G3040" s="1405"/>
      <c r="H3040" s="1405">
        <v>37922179.720000006</v>
      </c>
      <c r="I3040" s="1405"/>
      <c r="J3040" s="1405">
        <v>37922179.720000006</v>
      </c>
    </row>
    <row r="3041" spans="2:12">
      <c r="B3041" s="1297"/>
      <c r="C3041" s="1297"/>
      <c r="D3041" s="1297"/>
      <c r="E3041" s="1297" t="s">
        <v>1118</v>
      </c>
      <c r="H3041" s="1399">
        <v>3000.1600000000003</v>
      </c>
      <c r="J3041" s="1399">
        <v>3000.1600000000003</v>
      </c>
    </row>
    <row r="3042" spans="2:12">
      <c r="B3042" s="1297"/>
      <c r="C3042" s="1297"/>
      <c r="D3042" s="1400" t="s">
        <v>1195</v>
      </c>
      <c r="E3042" s="1400"/>
      <c r="F3042" s="1401">
        <f>SUM(F3000:F3041)</f>
        <v>8547699.6400000006</v>
      </c>
      <c r="G3042" s="1401">
        <f>SUM(G3000:G3041)</f>
        <v>42109905.909999996</v>
      </c>
      <c r="H3042" s="1401">
        <f>SUM(H3000:H3041)-H3040</f>
        <v>3827608.2499999925</v>
      </c>
      <c r="I3042" s="1401">
        <f>SUM(I3000:I3041)-I3025</f>
        <v>30422336.919999998</v>
      </c>
      <c r="J3042" s="1401">
        <f>SUM(J3000:J3041)</f>
        <v>123807062.64999998</v>
      </c>
      <c r="K3042" s="1401">
        <f>SUM(F3042:I3042)</f>
        <v>84907550.719999984</v>
      </c>
      <c r="L3042" s="1408">
        <f>K3042/C3000</f>
        <v>12053.882839295853</v>
      </c>
    </row>
    <row r="3043" spans="2:12">
      <c r="B3043" s="1297" t="s">
        <v>1196</v>
      </c>
      <c r="C3043" s="1297">
        <v>2044</v>
      </c>
      <c r="D3043" s="1297" t="s">
        <v>1197</v>
      </c>
      <c r="E3043" s="1297" t="s">
        <v>906</v>
      </c>
      <c r="G3043" s="1399">
        <v>6485543.7199999997</v>
      </c>
      <c r="J3043" s="1399">
        <v>6485543.7199999997</v>
      </c>
    </row>
    <row r="3044" spans="2:12">
      <c r="B3044" s="1297"/>
      <c r="C3044" s="1297"/>
      <c r="D3044" s="1297"/>
      <c r="E3044" s="1297" t="s">
        <v>952</v>
      </c>
      <c r="G3044" s="1399">
        <v>11485.01</v>
      </c>
      <c r="J3044" s="1399">
        <v>11485.01</v>
      </c>
    </row>
    <row r="3045" spans="2:12">
      <c r="B3045" s="1297"/>
      <c r="C3045" s="1297"/>
      <c r="D3045" s="1297"/>
      <c r="E3045" s="1297" t="s">
        <v>907</v>
      </c>
      <c r="G3045" s="1399">
        <v>879329.21</v>
      </c>
      <c r="J3045" s="1399">
        <v>879329.21</v>
      </c>
    </row>
    <row r="3046" spans="2:12">
      <c r="B3046" s="1297"/>
      <c r="C3046" s="1297"/>
      <c r="D3046" s="1297"/>
      <c r="E3046" s="1297" t="s">
        <v>908</v>
      </c>
      <c r="G3046" s="1399">
        <v>215259.87</v>
      </c>
      <c r="J3046" s="1399">
        <v>215259.87</v>
      </c>
    </row>
    <row r="3047" spans="2:12">
      <c r="B3047" s="1297"/>
      <c r="C3047" s="1297"/>
      <c r="D3047" s="1297"/>
      <c r="E3047" s="1297" t="s">
        <v>910</v>
      </c>
      <c r="H3047" s="1399">
        <v>36189.820000000007</v>
      </c>
      <c r="J3047" s="1399">
        <v>36189.820000000007</v>
      </c>
    </row>
    <row r="3048" spans="2:12">
      <c r="B3048" s="1297"/>
      <c r="C3048" s="1297"/>
      <c r="D3048" s="1297"/>
      <c r="E3048" s="1297" t="s">
        <v>1034</v>
      </c>
      <c r="H3048" s="1399">
        <v>29763.98</v>
      </c>
      <c r="J3048" s="1399">
        <v>29763.98</v>
      </c>
    </row>
    <row r="3049" spans="2:12">
      <c r="B3049" s="1297"/>
      <c r="C3049" s="1297"/>
      <c r="D3049" s="1297"/>
      <c r="E3049" s="1297" t="s">
        <v>1035</v>
      </c>
      <c r="H3049" s="1399">
        <v>147870.28000000003</v>
      </c>
      <c r="J3049" s="1399">
        <v>147870.28000000003</v>
      </c>
    </row>
    <row r="3050" spans="2:12">
      <c r="B3050" s="1297"/>
      <c r="C3050" s="1297"/>
      <c r="D3050" s="1297"/>
      <c r="E3050" s="1297" t="s">
        <v>1036</v>
      </c>
      <c r="H3050" s="1399">
        <v>60711.689999999995</v>
      </c>
      <c r="J3050" s="1399">
        <v>60711.689999999995</v>
      </c>
    </row>
    <row r="3051" spans="2:12">
      <c r="B3051" s="1297"/>
      <c r="C3051" s="1297"/>
      <c r="D3051" s="1297"/>
      <c r="E3051" s="1297" t="s">
        <v>1039</v>
      </c>
      <c r="H3051" s="1399">
        <v>125815.20000000001</v>
      </c>
      <c r="J3051" s="1399">
        <v>125815.20000000001</v>
      </c>
    </row>
    <row r="3052" spans="2:12">
      <c r="B3052" s="1297"/>
      <c r="C3052" s="1297"/>
      <c r="D3052" s="1297"/>
      <c r="E3052" s="1297" t="s">
        <v>1040</v>
      </c>
      <c r="H3052" s="1399">
        <v>148437.84</v>
      </c>
      <c r="J3052" s="1399">
        <v>148437.84</v>
      </c>
    </row>
    <row r="3053" spans="2:12">
      <c r="B3053" s="1297"/>
      <c r="C3053" s="1297"/>
      <c r="D3053" s="1297"/>
      <c r="E3053" s="1297" t="s">
        <v>1207</v>
      </c>
      <c r="H3053" s="1399">
        <v>7872.75</v>
      </c>
      <c r="J3053" s="1399">
        <v>7872.75</v>
      </c>
    </row>
    <row r="3054" spans="2:12">
      <c r="B3054" s="1297"/>
      <c r="C3054" s="1297"/>
      <c r="D3054" s="1297"/>
      <c r="E3054" s="1297" t="s">
        <v>1041</v>
      </c>
      <c r="H3054" s="1399">
        <v>38538.089999999997</v>
      </c>
      <c r="J3054" s="1399">
        <v>38538.089999999997</v>
      </c>
    </row>
    <row r="3055" spans="2:12">
      <c r="B3055" s="1297"/>
      <c r="C3055" s="1297"/>
      <c r="D3055" s="1297"/>
      <c r="E3055" s="1297" t="s">
        <v>1042</v>
      </c>
      <c r="H3055" s="1399">
        <v>48930.99</v>
      </c>
      <c r="J3055" s="1399">
        <v>48930.99</v>
      </c>
    </row>
    <row r="3056" spans="2:12">
      <c r="B3056" s="1297"/>
      <c r="C3056" s="1297"/>
      <c r="D3056" s="1297"/>
      <c r="E3056" s="1297" t="s">
        <v>1203</v>
      </c>
      <c r="H3056" s="1399">
        <v>11553</v>
      </c>
      <c r="J3056" s="1399">
        <v>11553</v>
      </c>
    </row>
    <row r="3057" spans="5:10" s="1297" customFormat="1">
      <c r="E3057" s="1297" t="s">
        <v>1004</v>
      </c>
      <c r="F3057" s="1399"/>
      <c r="G3057" s="1399"/>
      <c r="H3057" s="1399">
        <v>-101030.70000000001</v>
      </c>
      <c r="I3057" s="1399"/>
      <c r="J3057" s="1399">
        <v>-101030.70000000001</v>
      </c>
    </row>
    <row r="3058" spans="5:10" s="1297" customFormat="1">
      <c r="E3058" s="1297" t="s">
        <v>1045</v>
      </c>
      <c r="F3058" s="1399"/>
      <c r="G3058" s="1399"/>
      <c r="H3058" s="1399">
        <v>136834.29999999999</v>
      </c>
      <c r="I3058" s="1399"/>
      <c r="J3058" s="1399">
        <v>136834.29999999999</v>
      </c>
    </row>
    <row r="3059" spans="5:10" s="1297" customFormat="1">
      <c r="E3059" s="1297" t="s">
        <v>1046</v>
      </c>
      <c r="F3059" s="1399"/>
      <c r="G3059" s="1399"/>
      <c r="H3059" s="1399"/>
      <c r="I3059" s="1399">
        <v>10362530</v>
      </c>
      <c r="J3059" s="1399">
        <v>10362530</v>
      </c>
    </row>
    <row r="3060" spans="5:10" s="1297" customFormat="1">
      <c r="E3060" s="1297" t="s">
        <v>1128</v>
      </c>
      <c r="F3060" s="1399"/>
      <c r="G3060" s="1399"/>
      <c r="H3060" s="1399"/>
      <c r="I3060" s="1399">
        <v>898463</v>
      </c>
      <c r="J3060" s="1399">
        <v>898463</v>
      </c>
    </row>
    <row r="3061" spans="5:10" s="1297" customFormat="1">
      <c r="E3061" s="1297" t="s">
        <v>1129</v>
      </c>
      <c r="F3061" s="1399"/>
      <c r="G3061" s="1399"/>
      <c r="H3061" s="1399"/>
      <c r="I3061" s="1399">
        <v>-1364802</v>
      </c>
      <c r="J3061" s="1399">
        <v>-1364802</v>
      </c>
    </row>
    <row r="3062" spans="5:10" s="1297" customFormat="1">
      <c r="E3062" s="1297" t="s">
        <v>1047</v>
      </c>
      <c r="F3062" s="1399"/>
      <c r="G3062" s="1399"/>
      <c r="H3062" s="1399"/>
      <c r="I3062" s="1399">
        <v>373324</v>
      </c>
      <c r="J3062" s="1399">
        <v>373324</v>
      </c>
    </row>
    <row r="3063" spans="5:10" s="1297" customFormat="1">
      <c r="E3063" s="1297" t="s">
        <v>1048</v>
      </c>
      <c r="F3063" s="1399"/>
      <c r="G3063" s="1399"/>
      <c r="H3063" s="1399"/>
      <c r="I3063" s="1399">
        <v>-1961432</v>
      </c>
      <c r="J3063" s="1399">
        <v>-1961432</v>
      </c>
    </row>
    <row r="3064" spans="5:10" s="1297" customFormat="1">
      <c r="E3064" s="1297" t="s">
        <v>932</v>
      </c>
      <c r="F3064" s="1399"/>
      <c r="G3064" s="1399"/>
      <c r="H3064" s="1399"/>
      <c r="I3064" s="1399">
        <v>258173</v>
      </c>
      <c r="J3064" s="1399">
        <v>258173</v>
      </c>
    </row>
    <row r="3065" spans="5:10" s="1297" customFormat="1">
      <c r="E3065" s="1404" t="s">
        <v>955</v>
      </c>
      <c r="F3065" s="1405"/>
      <c r="G3065" s="1405"/>
      <c r="H3065" s="1405"/>
      <c r="I3065" s="1405">
        <v>270666.46000000002</v>
      </c>
      <c r="J3065" s="1405">
        <v>270666.46000000002</v>
      </c>
    </row>
    <row r="3066" spans="5:10" s="1297" customFormat="1">
      <c r="E3066" s="1297" t="s">
        <v>934</v>
      </c>
      <c r="F3066" s="1399"/>
      <c r="G3066" s="1399"/>
      <c r="H3066" s="1399"/>
      <c r="I3066" s="1399">
        <v>37202</v>
      </c>
      <c r="J3066" s="1399">
        <v>37202</v>
      </c>
    </row>
    <row r="3067" spans="5:10" s="1297" customFormat="1">
      <c r="E3067" s="1297" t="s">
        <v>935</v>
      </c>
      <c r="F3067" s="1399"/>
      <c r="G3067" s="1399"/>
      <c r="H3067" s="1399"/>
      <c r="I3067" s="1399">
        <v>238218.44</v>
      </c>
      <c r="J3067" s="1399">
        <v>238218.44</v>
      </c>
    </row>
    <row r="3068" spans="5:10" s="1297" customFormat="1">
      <c r="E3068" s="1297" t="s">
        <v>936</v>
      </c>
      <c r="F3068" s="1399"/>
      <c r="G3068" s="1399"/>
      <c r="H3068" s="1399"/>
      <c r="I3068" s="1399">
        <v>39917.160000000003</v>
      </c>
      <c r="J3068" s="1399">
        <v>39917.160000000003</v>
      </c>
    </row>
    <row r="3069" spans="5:10" s="1297" customFormat="1">
      <c r="E3069" s="1297" t="s">
        <v>937</v>
      </c>
      <c r="F3069" s="1399"/>
      <c r="G3069" s="1399"/>
      <c r="H3069" s="1399"/>
      <c r="I3069" s="1399">
        <v>19629.23</v>
      </c>
      <c r="J3069" s="1399">
        <v>19629.23</v>
      </c>
    </row>
    <row r="3070" spans="5:10" s="1297" customFormat="1">
      <c r="E3070" s="1297" t="s">
        <v>938</v>
      </c>
      <c r="F3070" s="1399"/>
      <c r="G3070" s="1399"/>
      <c r="H3070" s="1399"/>
      <c r="I3070" s="1399">
        <v>13288</v>
      </c>
      <c r="J3070" s="1399">
        <v>13288</v>
      </c>
    </row>
    <row r="3071" spans="5:10" s="1297" customFormat="1">
      <c r="E3071" s="1297" t="s">
        <v>1131</v>
      </c>
      <c r="F3071" s="1399">
        <v>604806</v>
      </c>
      <c r="G3071" s="1399"/>
      <c r="H3071" s="1399"/>
      <c r="I3071" s="1399"/>
      <c r="J3071" s="1399">
        <v>604806</v>
      </c>
    </row>
    <row r="3072" spans="5:10" s="1297" customFormat="1">
      <c r="E3072" s="1297" t="s">
        <v>940</v>
      </c>
      <c r="F3072" s="1399">
        <v>654642.1</v>
      </c>
      <c r="G3072" s="1399"/>
      <c r="H3072" s="1399"/>
      <c r="I3072" s="1399"/>
      <c r="J3072" s="1399">
        <v>654642.1</v>
      </c>
    </row>
    <row r="3073" spans="2:12">
      <c r="B3073" s="1297"/>
      <c r="C3073" s="1297"/>
      <c r="D3073" s="1297"/>
      <c r="E3073" s="1297" t="s">
        <v>941</v>
      </c>
      <c r="F3073" s="1399">
        <v>297802.71999999997</v>
      </c>
      <c r="J3073" s="1399">
        <v>297802.71999999997</v>
      </c>
    </row>
    <row r="3074" spans="2:12">
      <c r="B3074" s="1297"/>
      <c r="C3074" s="1297"/>
      <c r="D3074" s="1297"/>
      <c r="E3074" s="1297" t="s">
        <v>943</v>
      </c>
      <c r="F3074" s="1399">
        <v>0</v>
      </c>
      <c r="J3074" s="1399">
        <v>0</v>
      </c>
    </row>
    <row r="3075" spans="2:12">
      <c r="B3075" s="1297"/>
      <c r="C3075" s="1297"/>
      <c r="D3075" s="1297"/>
      <c r="E3075" s="1297" t="s">
        <v>944</v>
      </c>
      <c r="F3075" s="1399">
        <v>2316498.1099999994</v>
      </c>
      <c r="J3075" s="1399">
        <v>2316498.1099999994</v>
      </c>
    </row>
    <row r="3076" spans="2:12">
      <c r="B3076" s="1297"/>
      <c r="C3076" s="1297"/>
      <c r="D3076" s="1297"/>
      <c r="E3076" s="1297" t="s">
        <v>945</v>
      </c>
      <c r="F3076" s="1399">
        <v>734609.12</v>
      </c>
      <c r="J3076" s="1399">
        <v>734609.12</v>
      </c>
    </row>
    <row r="3077" spans="2:12">
      <c r="B3077" s="1297"/>
      <c r="C3077" s="1297"/>
      <c r="D3077" s="1297"/>
      <c r="E3077" s="1297" t="s">
        <v>1214</v>
      </c>
      <c r="F3077" s="1399">
        <v>85666.21</v>
      </c>
      <c r="J3077" s="1399">
        <v>85666.21</v>
      </c>
    </row>
    <row r="3078" spans="2:12">
      <c r="B3078" s="1297"/>
      <c r="C3078" s="1297"/>
      <c r="D3078" s="1297"/>
      <c r="E3078" s="1297" t="s">
        <v>947</v>
      </c>
      <c r="F3078" s="1399">
        <v>91691.74</v>
      </c>
      <c r="J3078" s="1399">
        <v>91691.74</v>
      </c>
    </row>
    <row r="3079" spans="2:12">
      <c r="B3079" s="1297"/>
      <c r="C3079" s="1297"/>
      <c r="D3079" s="1297"/>
      <c r="E3079" s="1404" t="s">
        <v>948</v>
      </c>
      <c r="F3079" s="1405"/>
      <c r="G3079" s="1405"/>
      <c r="H3079" s="1405">
        <v>10997306.59</v>
      </c>
      <c r="I3079" s="1405"/>
      <c r="J3079" s="1405">
        <v>10997306.59</v>
      </c>
    </row>
    <row r="3080" spans="2:12">
      <c r="B3080" s="1297"/>
      <c r="C3080" s="1297"/>
      <c r="D3080" s="1297"/>
      <c r="E3080" s="1297" t="s">
        <v>1118</v>
      </c>
      <c r="H3080" s="1399">
        <v>278</v>
      </c>
      <c r="J3080" s="1399">
        <v>278</v>
      </c>
    </row>
    <row r="3081" spans="2:12">
      <c r="B3081" s="1297"/>
      <c r="C3081" s="1297"/>
      <c r="D3081" s="1400" t="s">
        <v>1198</v>
      </c>
      <c r="E3081" s="1400"/>
      <c r="F3081" s="1401">
        <f>SUM(F3043:F3080)</f>
        <v>4785716</v>
      </c>
      <c r="G3081" s="1401">
        <f>SUM(G3043:G3080)</f>
        <v>7591617.8099999996</v>
      </c>
      <c r="H3081" s="1401">
        <f>SUM(H3043:H3080)-H3079</f>
        <v>691765.24000000022</v>
      </c>
      <c r="I3081" s="1401">
        <f>SUM(I3043:I3080)-I3065</f>
        <v>8914510.8300000001</v>
      </c>
      <c r="J3081" s="1401">
        <f>SUM(J3043:J3080)</f>
        <v>33251582.930000003</v>
      </c>
      <c r="K3081" s="1401">
        <f>SUM(F3081:I3081)</f>
        <v>21983609.879999999</v>
      </c>
      <c r="L3081" s="1408">
        <f>K3081/C3043</f>
        <v>10755.190743639921</v>
      </c>
    </row>
    <row r="3082" spans="2:12">
      <c r="B3082" s="1297" t="s">
        <v>1393</v>
      </c>
      <c r="C3082" s="1297">
        <v>2798</v>
      </c>
      <c r="D3082" s="1297" t="s">
        <v>1394</v>
      </c>
      <c r="E3082" s="1297" t="s">
        <v>906</v>
      </c>
      <c r="G3082" s="1399">
        <v>3249738.47</v>
      </c>
      <c r="J3082" s="1399">
        <v>3249738.47</v>
      </c>
    </row>
    <row r="3083" spans="2:12">
      <c r="B3083" s="1297"/>
      <c r="C3083" s="1297"/>
      <c r="D3083" s="1297"/>
      <c r="E3083" s="1297" t="s">
        <v>952</v>
      </c>
      <c r="G3083" s="1399">
        <v>33616.629999999997</v>
      </c>
      <c r="J3083" s="1399">
        <v>33616.629999999997</v>
      </c>
    </row>
    <row r="3084" spans="2:12">
      <c r="B3084" s="1297"/>
      <c r="C3084" s="1297"/>
      <c r="D3084" s="1297"/>
      <c r="E3084" s="1297" t="s">
        <v>907</v>
      </c>
      <c r="G3084" s="1399">
        <v>2002576.11</v>
      </c>
      <c r="J3084" s="1399">
        <v>2002576.11</v>
      </c>
    </row>
    <row r="3085" spans="2:12">
      <c r="B3085" s="1297"/>
      <c r="C3085" s="1297"/>
      <c r="D3085" s="1297"/>
      <c r="E3085" s="1297" t="s">
        <v>908</v>
      </c>
      <c r="G3085" s="1399">
        <v>9992.16</v>
      </c>
      <c r="J3085" s="1399">
        <v>9992.16</v>
      </c>
    </row>
    <row r="3086" spans="2:12">
      <c r="B3086" s="1297"/>
      <c r="C3086" s="1297"/>
      <c r="D3086" s="1297"/>
      <c r="E3086" s="1297" t="s">
        <v>909</v>
      </c>
      <c r="H3086" s="1399">
        <v>209091.53</v>
      </c>
      <c r="J3086" s="1399">
        <v>209091.53</v>
      </c>
    </row>
    <row r="3087" spans="2:12">
      <c r="B3087" s="1297"/>
      <c r="C3087" s="1297"/>
      <c r="D3087" s="1297"/>
      <c r="E3087" s="1297" t="s">
        <v>910</v>
      </c>
      <c r="H3087" s="1399">
        <v>9773.0499999999993</v>
      </c>
      <c r="J3087" s="1399">
        <v>9773.0499999999993</v>
      </c>
    </row>
    <row r="3088" spans="2:12">
      <c r="B3088" s="1297"/>
      <c r="C3088" s="1297"/>
      <c r="D3088" s="1297"/>
      <c r="E3088" s="1297" t="s">
        <v>1034</v>
      </c>
      <c r="H3088" s="1399">
        <v>108529.38999999998</v>
      </c>
      <c r="J3088" s="1399">
        <v>108529.38999999998</v>
      </c>
    </row>
    <row r="3089" spans="5:10" s="1297" customFormat="1">
      <c r="E3089" s="1297" t="s">
        <v>1035</v>
      </c>
      <c r="F3089" s="1399"/>
      <c r="G3089" s="1399"/>
      <c r="H3089" s="1399">
        <v>134381.51999999999</v>
      </c>
      <c r="I3089" s="1399"/>
      <c r="J3089" s="1399">
        <v>134381.51999999999</v>
      </c>
    </row>
    <row r="3090" spans="5:10" s="1297" customFormat="1">
      <c r="E3090" s="1297" t="s">
        <v>1036</v>
      </c>
      <c r="F3090" s="1399"/>
      <c r="G3090" s="1399"/>
      <c r="H3090" s="1399">
        <v>33187.42</v>
      </c>
      <c r="I3090" s="1399"/>
      <c r="J3090" s="1399">
        <v>33187.42</v>
      </c>
    </row>
    <row r="3091" spans="5:10" s="1297" customFormat="1">
      <c r="E3091" s="1297" t="s">
        <v>1037</v>
      </c>
      <c r="F3091" s="1399"/>
      <c r="G3091" s="1399"/>
      <c r="H3091" s="1399">
        <v>40116.33</v>
      </c>
      <c r="I3091" s="1399"/>
      <c r="J3091" s="1399">
        <v>40116.33</v>
      </c>
    </row>
    <row r="3092" spans="5:10" s="1297" customFormat="1">
      <c r="E3092" s="1297" t="s">
        <v>1039</v>
      </c>
      <c r="F3092" s="1399"/>
      <c r="G3092" s="1399"/>
      <c r="H3092" s="1399">
        <v>38946.26</v>
      </c>
      <c r="I3092" s="1399"/>
      <c r="J3092" s="1399">
        <v>38946.26</v>
      </c>
    </row>
    <row r="3093" spans="5:10" s="1297" customFormat="1">
      <c r="E3093" s="1297" t="s">
        <v>1040</v>
      </c>
      <c r="F3093" s="1399"/>
      <c r="G3093" s="1399"/>
      <c r="H3093" s="1399">
        <v>156251.72</v>
      </c>
      <c r="I3093" s="1399"/>
      <c r="J3093" s="1399">
        <v>156251.72</v>
      </c>
    </row>
    <row r="3094" spans="5:10" s="1297" customFormat="1">
      <c r="E3094" s="1297" t="s">
        <v>1041</v>
      </c>
      <c r="F3094" s="1399"/>
      <c r="G3094" s="1399"/>
      <c r="H3094" s="1399">
        <v>13074.85</v>
      </c>
      <c r="I3094" s="1399"/>
      <c r="J3094" s="1399">
        <v>13074.85</v>
      </c>
    </row>
    <row r="3095" spans="5:10" s="1297" customFormat="1">
      <c r="E3095" s="1297" t="s">
        <v>1042</v>
      </c>
      <c r="F3095" s="1399"/>
      <c r="G3095" s="1399"/>
      <c r="H3095" s="1399">
        <v>50704.51</v>
      </c>
      <c r="I3095" s="1399"/>
      <c r="J3095" s="1399">
        <v>50704.51</v>
      </c>
    </row>
    <row r="3096" spans="5:10" s="1297" customFormat="1">
      <c r="E3096" s="1297" t="s">
        <v>953</v>
      </c>
      <c r="F3096" s="1399"/>
      <c r="G3096" s="1399"/>
      <c r="H3096" s="1399">
        <v>24686</v>
      </c>
      <c r="I3096" s="1399"/>
      <c r="J3096" s="1399">
        <v>24686</v>
      </c>
    </row>
    <row r="3097" spans="5:10" s="1297" customFormat="1">
      <c r="E3097" s="1297" t="s">
        <v>985</v>
      </c>
      <c r="F3097" s="1399"/>
      <c r="G3097" s="1399"/>
      <c r="H3097" s="1399">
        <v>9992.31</v>
      </c>
      <c r="I3097" s="1399"/>
      <c r="J3097" s="1399">
        <v>9992.31</v>
      </c>
    </row>
    <row r="3098" spans="5:10" s="1297" customFormat="1">
      <c r="E3098" s="1297" t="s">
        <v>1045</v>
      </c>
      <c r="F3098" s="1399"/>
      <c r="G3098" s="1399"/>
      <c r="H3098" s="1399">
        <v>193607.71</v>
      </c>
      <c r="I3098" s="1399"/>
      <c r="J3098" s="1399">
        <v>193607.71</v>
      </c>
    </row>
    <row r="3099" spans="5:10" s="1297" customFormat="1">
      <c r="E3099" s="1297" t="s">
        <v>1046</v>
      </c>
      <c r="F3099" s="1399"/>
      <c r="G3099" s="1399"/>
      <c r="H3099" s="1399"/>
      <c r="I3099" s="1399">
        <v>14292313</v>
      </c>
      <c r="J3099" s="1399">
        <v>14292313</v>
      </c>
    </row>
    <row r="3100" spans="5:10" s="1297" customFormat="1">
      <c r="E3100" s="1297" t="s">
        <v>1047</v>
      </c>
      <c r="F3100" s="1399"/>
      <c r="G3100" s="1399"/>
      <c r="H3100" s="1399"/>
      <c r="I3100" s="1399">
        <v>466779</v>
      </c>
      <c r="J3100" s="1399">
        <v>466779</v>
      </c>
    </row>
    <row r="3101" spans="5:10" s="1297" customFormat="1">
      <c r="E3101" s="1297" t="s">
        <v>1048</v>
      </c>
      <c r="F3101" s="1399"/>
      <c r="G3101" s="1399"/>
      <c r="H3101" s="1399"/>
      <c r="I3101" s="1399">
        <v>-1492121</v>
      </c>
      <c r="J3101" s="1399">
        <v>-1492121</v>
      </c>
    </row>
    <row r="3102" spans="5:10" s="1297" customFormat="1">
      <c r="E3102" s="1297" t="s">
        <v>932</v>
      </c>
      <c r="F3102" s="1399"/>
      <c r="G3102" s="1399"/>
      <c r="H3102" s="1399"/>
      <c r="I3102" s="1399">
        <v>1277849</v>
      </c>
      <c r="J3102" s="1399">
        <v>1277849</v>
      </c>
    </row>
    <row r="3103" spans="5:10" s="1297" customFormat="1">
      <c r="E3103" s="1404" t="s">
        <v>955</v>
      </c>
      <c r="F3103" s="1405"/>
      <c r="G3103" s="1405"/>
      <c r="H3103" s="1405"/>
      <c r="I3103" s="1405">
        <v>950323.81</v>
      </c>
      <c r="J3103" s="1405">
        <v>950323.81</v>
      </c>
    </row>
    <row r="3104" spans="5:10" s="1297" customFormat="1">
      <c r="E3104" s="1297" t="s">
        <v>934</v>
      </c>
      <c r="F3104" s="1399"/>
      <c r="G3104" s="1399"/>
      <c r="H3104" s="1399"/>
      <c r="I3104" s="1399">
        <v>51616</v>
      </c>
      <c r="J3104" s="1399">
        <v>51616</v>
      </c>
    </row>
    <row r="3105" spans="2:12">
      <c r="B3105" s="1297"/>
      <c r="C3105" s="1297"/>
      <c r="D3105" s="1297"/>
      <c r="E3105" s="1297" t="s">
        <v>1130</v>
      </c>
      <c r="I3105" s="1399">
        <v>1090303</v>
      </c>
      <c r="J3105" s="1399">
        <v>1090303</v>
      </c>
    </row>
    <row r="3106" spans="2:12">
      <c r="B3106" s="1297"/>
      <c r="C3106" s="1297"/>
      <c r="D3106" s="1297"/>
      <c r="E3106" s="1297" t="s">
        <v>935</v>
      </c>
      <c r="I3106" s="1399">
        <v>358695.98000000004</v>
      </c>
      <c r="J3106" s="1399">
        <v>358695.98000000004</v>
      </c>
    </row>
    <row r="3107" spans="2:12">
      <c r="B3107" s="1297"/>
      <c r="C3107" s="1297"/>
      <c r="D3107" s="1297"/>
      <c r="E3107" s="1297" t="s">
        <v>936</v>
      </c>
      <c r="I3107" s="1399">
        <v>46920.17</v>
      </c>
      <c r="J3107" s="1399">
        <v>46920.17</v>
      </c>
    </row>
    <row r="3108" spans="2:12">
      <c r="B3108" s="1297"/>
      <c r="C3108" s="1297"/>
      <c r="D3108" s="1297"/>
      <c r="E3108" s="1297" t="s">
        <v>937</v>
      </c>
      <c r="I3108" s="1399">
        <v>13215.35</v>
      </c>
      <c r="J3108" s="1399">
        <v>13215.35</v>
      </c>
    </row>
    <row r="3109" spans="2:12">
      <c r="B3109" s="1297"/>
      <c r="C3109" s="1297"/>
      <c r="D3109" s="1297"/>
      <c r="E3109" s="1297" t="s">
        <v>938</v>
      </c>
      <c r="I3109" s="1399">
        <v>15909</v>
      </c>
      <c r="J3109" s="1399">
        <v>15909</v>
      </c>
    </row>
    <row r="3110" spans="2:12">
      <c r="B3110" s="1297"/>
      <c r="C3110" s="1297"/>
      <c r="D3110" s="1297"/>
      <c r="E3110" s="1297" t="s">
        <v>939</v>
      </c>
      <c r="I3110" s="1399">
        <v>146823.13</v>
      </c>
      <c r="J3110" s="1399">
        <v>146823.13</v>
      </c>
    </row>
    <row r="3111" spans="2:12">
      <c r="B3111" s="1297"/>
      <c r="C3111" s="1297"/>
      <c r="D3111" s="1297"/>
      <c r="E3111" s="1297" t="s">
        <v>940</v>
      </c>
      <c r="F3111" s="1399">
        <v>929665.76</v>
      </c>
      <c r="J3111" s="1399">
        <v>929665.76</v>
      </c>
    </row>
    <row r="3112" spans="2:12">
      <c r="B3112" s="1297"/>
      <c r="C3112" s="1297"/>
      <c r="D3112" s="1297"/>
      <c r="E3112" s="1297" t="s">
        <v>941</v>
      </c>
      <c r="F3112" s="1399">
        <v>298859.62</v>
      </c>
      <c r="J3112" s="1399">
        <v>298859.62</v>
      </c>
    </row>
    <row r="3113" spans="2:12">
      <c r="B3113" s="1297"/>
      <c r="C3113" s="1297"/>
      <c r="D3113" s="1297"/>
      <c r="E3113" s="1297" t="s">
        <v>943</v>
      </c>
      <c r="F3113" s="1399">
        <v>15202.56</v>
      </c>
      <c r="J3113" s="1399">
        <v>15202.56</v>
      </c>
    </row>
    <row r="3114" spans="2:12">
      <c r="B3114" s="1297"/>
      <c r="C3114" s="1297"/>
      <c r="D3114" s="1297"/>
      <c r="E3114" s="1297" t="s">
        <v>944</v>
      </c>
      <c r="F3114" s="1399">
        <v>1857877.8699999996</v>
      </c>
      <c r="J3114" s="1399">
        <v>1857877.8699999996</v>
      </c>
    </row>
    <row r="3115" spans="2:12">
      <c r="B3115" s="1297"/>
      <c r="C3115" s="1297"/>
      <c r="D3115" s="1297"/>
      <c r="E3115" s="1297" t="s">
        <v>945</v>
      </c>
      <c r="F3115" s="1399">
        <v>1108010.6599999999</v>
      </c>
      <c r="J3115" s="1399">
        <v>1108010.6599999999</v>
      </c>
    </row>
    <row r="3116" spans="2:12">
      <c r="B3116" s="1297"/>
      <c r="C3116" s="1297"/>
      <c r="D3116" s="1297"/>
      <c r="E3116" s="1297" t="s">
        <v>947</v>
      </c>
      <c r="F3116" s="1399">
        <v>78592.740000000005</v>
      </c>
      <c r="J3116" s="1399">
        <v>78592.740000000005</v>
      </c>
    </row>
    <row r="3117" spans="2:12">
      <c r="B3117" s="1297"/>
      <c r="C3117" s="1297"/>
      <c r="D3117" s="1297"/>
      <c r="E3117" s="1404" t="s">
        <v>948</v>
      </c>
      <c r="F3117" s="1405"/>
      <c r="G3117" s="1405"/>
      <c r="H3117" s="1405">
        <v>1991949.73</v>
      </c>
      <c r="I3117" s="1405"/>
      <c r="J3117" s="1405">
        <v>1991949.73</v>
      </c>
    </row>
    <row r="3118" spans="2:12">
      <c r="B3118" s="1297"/>
      <c r="C3118" s="1297"/>
      <c r="D3118" s="1297"/>
      <c r="E3118" s="1297" t="s">
        <v>1118</v>
      </c>
      <c r="H3118" s="1399">
        <v>17273.55</v>
      </c>
      <c r="J3118" s="1399">
        <v>17273.55</v>
      </c>
    </row>
    <row r="3119" spans="2:12">
      <c r="B3119" s="1297"/>
      <c r="C3119" s="1297"/>
      <c r="D3119" s="1400" t="s">
        <v>1395</v>
      </c>
      <c r="E3119" s="1400"/>
      <c r="F3119" s="1401">
        <f>SUM(F3082:F3118)</f>
        <v>4288209.21</v>
      </c>
      <c r="G3119" s="1401">
        <f>SUM(G3082:G3118)</f>
        <v>5295923.37</v>
      </c>
      <c r="H3119" s="1401">
        <f>SUM(H3082:H3118)-H3117</f>
        <v>1039616.1499999999</v>
      </c>
      <c r="I3119" s="1401">
        <f>SUM(I3082:I3118)-I3103</f>
        <v>16268302.630000001</v>
      </c>
      <c r="J3119" s="1401">
        <f>SUM(J3082:J3118)</f>
        <v>29834324.900000002</v>
      </c>
      <c r="K3119" s="1401">
        <f>SUM(F3119:I3119)</f>
        <v>26892051.359999999</v>
      </c>
      <c r="L3119" s="1408">
        <f>K3119/C3082</f>
        <v>9611.1691779842749</v>
      </c>
    </row>
    <row r="3120" spans="2:12">
      <c r="B3120" s="1297" t="s">
        <v>1396</v>
      </c>
      <c r="C3120" s="1297">
        <v>2796</v>
      </c>
      <c r="D3120" s="1297" t="s">
        <v>1397</v>
      </c>
      <c r="E3120" s="1297" t="s">
        <v>906</v>
      </c>
      <c r="G3120" s="1399">
        <v>5738790.25</v>
      </c>
      <c r="J3120" s="1399">
        <v>5738790.25</v>
      </c>
    </row>
    <row r="3121" spans="5:10" s="1297" customFormat="1">
      <c r="E3121" s="1297" t="s">
        <v>952</v>
      </c>
      <c r="F3121" s="1399"/>
      <c r="G3121" s="1399">
        <v>8257.27</v>
      </c>
      <c r="H3121" s="1399"/>
      <c r="I3121" s="1399"/>
      <c r="J3121" s="1399">
        <v>8257.27</v>
      </c>
    </row>
    <row r="3122" spans="5:10" s="1297" customFormat="1">
      <c r="E3122" s="1297" t="s">
        <v>907</v>
      </c>
      <c r="F3122" s="1399"/>
      <c r="G3122" s="1399">
        <v>1950911.97</v>
      </c>
      <c r="H3122" s="1399"/>
      <c r="I3122" s="1399"/>
      <c r="J3122" s="1399">
        <v>1950911.97</v>
      </c>
    </row>
    <row r="3123" spans="5:10" s="1297" customFormat="1">
      <c r="E3123" s="1297" t="s">
        <v>908</v>
      </c>
      <c r="F3123" s="1399"/>
      <c r="G3123" s="1399">
        <v>25653.32</v>
      </c>
      <c r="H3123" s="1399"/>
      <c r="I3123" s="1399"/>
      <c r="J3123" s="1399">
        <v>25653.32</v>
      </c>
    </row>
    <row r="3124" spans="5:10" s="1297" customFormat="1">
      <c r="E3124" s="1297" t="s">
        <v>1003</v>
      </c>
      <c r="F3124" s="1399"/>
      <c r="G3124" s="1399"/>
      <c r="H3124" s="1399">
        <v>52800</v>
      </c>
      <c r="I3124" s="1399"/>
      <c r="J3124" s="1399">
        <v>52800</v>
      </c>
    </row>
    <row r="3125" spans="5:10" s="1297" customFormat="1">
      <c r="E3125" s="1297" t="s">
        <v>1039</v>
      </c>
      <c r="F3125" s="1399"/>
      <c r="G3125" s="1399"/>
      <c r="H3125" s="1399">
        <v>26806.37</v>
      </c>
      <c r="I3125" s="1399"/>
      <c r="J3125" s="1399">
        <v>26806.37</v>
      </c>
    </row>
    <row r="3126" spans="5:10" s="1297" customFormat="1">
      <c r="E3126" s="1297" t="s">
        <v>1040</v>
      </c>
      <c r="F3126" s="1399"/>
      <c r="G3126" s="1399"/>
      <c r="H3126" s="1399">
        <v>85133.86</v>
      </c>
      <c r="I3126" s="1399"/>
      <c r="J3126" s="1399">
        <v>85133.86</v>
      </c>
    </row>
    <row r="3127" spans="5:10" s="1297" customFormat="1">
      <c r="E3127" s="1297" t="s">
        <v>1127</v>
      </c>
      <c r="F3127" s="1399"/>
      <c r="G3127" s="1399"/>
      <c r="H3127" s="1399">
        <v>10745.1</v>
      </c>
      <c r="I3127" s="1399"/>
      <c r="J3127" s="1399">
        <v>10745.1</v>
      </c>
    </row>
    <row r="3128" spans="5:10" s="1297" customFormat="1">
      <c r="E3128" s="1297" t="s">
        <v>1041</v>
      </c>
      <c r="F3128" s="1399"/>
      <c r="G3128" s="1399"/>
      <c r="H3128" s="1399">
        <v>2121.0700000000002</v>
      </c>
      <c r="I3128" s="1399"/>
      <c r="J3128" s="1399">
        <v>2121.0700000000002</v>
      </c>
    </row>
    <row r="3129" spans="5:10" s="1297" customFormat="1">
      <c r="E3129" s="1297" t="s">
        <v>1042</v>
      </c>
      <c r="F3129" s="1399"/>
      <c r="G3129" s="1399"/>
      <c r="H3129" s="1399">
        <v>48737.5</v>
      </c>
      <c r="I3129" s="1399"/>
      <c r="J3129" s="1399">
        <v>48737.5</v>
      </c>
    </row>
    <row r="3130" spans="5:10" s="1297" customFormat="1">
      <c r="E3130" s="1297" t="s">
        <v>1043</v>
      </c>
      <c r="F3130" s="1399"/>
      <c r="G3130" s="1399"/>
      <c r="H3130" s="1399">
        <v>18000</v>
      </c>
      <c r="I3130" s="1399"/>
      <c r="J3130" s="1399">
        <v>18000</v>
      </c>
    </row>
    <row r="3131" spans="5:10" s="1297" customFormat="1">
      <c r="E3131" s="1297" t="s">
        <v>986</v>
      </c>
      <c r="F3131" s="1399"/>
      <c r="G3131" s="1399"/>
      <c r="H3131" s="1399">
        <v>165284.18</v>
      </c>
      <c r="I3131" s="1399"/>
      <c r="J3131" s="1399">
        <v>165284.18</v>
      </c>
    </row>
    <row r="3132" spans="5:10" s="1297" customFormat="1">
      <c r="E3132" s="1297" t="s">
        <v>1005</v>
      </c>
      <c r="F3132" s="1399"/>
      <c r="G3132" s="1399"/>
      <c r="H3132" s="1399">
        <v>248675.46999999997</v>
      </c>
      <c r="I3132" s="1399"/>
      <c r="J3132" s="1399">
        <v>248675.46999999997</v>
      </c>
    </row>
    <row r="3133" spans="5:10" s="1297" customFormat="1">
      <c r="E3133" s="1297" t="s">
        <v>1045</v>
      </c>
      <c r="F3133" s="1399"/>
      <c r="G3133" s="1399"/>
      <c r="H3133" s="1399">
        <v>237529.34999999998</v>
      </c>
      <c r="I3133" s="1399"/>
      <c r="J3133" s="1399">
        <v>237529.34999999998</v>
      </c>
    </row>
    <row r="3134" spans="5:10" s="1297" customFormat="1">
      <c r="E3134" s="1297" t="s">
        <v>1046</v>
      </c>
      <c r="F3134" s="1399"/>
      <c r="G3134" s="1399"/>
      <c r="H3134" s="1399"/>
      <c r="I3134" s="1399">
        <v>14710896</v>
      </c>
      <c r="J3134" s="1399">
        <v>14710896</v>
      </c>
    </row>
    <row r="3135" spans="5:10" s="1297" customFormat="1">
      <c r="E3135" s="1297" t="s">
        <v>1047</v>
      </c>
      <c r="F3135" s="1399"/>
      <c r="G3135" s="1399"/>
      <c r="H3135" s="1399"/>
      <c r="I3135" s="1399">
        <v>593694</v>
      </c>
      <c r="J3135" s="1399">
        <v>593694</v>
      </c>
    </row>
    <row r="3136" spans="5:10" s="1297" customFormat="1">
      <c r="E3136" s="1297" t="s">
        <v>1048</v>
      </c>
      <c r="F3136" s="1399"/>
      <c r="G3136" s="1399"/>
      <c r="H3136" s="1399"/>
      <c r="I3136" s="1399">
        <v>-1976549</v>
      </c>
      <c r="J3136" s="1399">
        <v>-1976549</v>
      </c>
    </row>
    <row r="3137" spans="2:12">
      <c r="B3137" s="1297"/>
      <c r="C3137" s="1297"/>
      <c r="D3137" s="1297"/>
      <c r="E3137" s="1297" t="s">
        <v>932</v>
      </c>
      <c r="I3137" s="1399">
        <v>1308675</v>
      </c>
      <c r="J3137" s="1399">
        <v>1308675</v>
      </c>
    </row>
    <row r="3138" spans="2:12">
      <c r="B3138" s="1297"/>
      <c r="C3138" s="1297"/>
      <c r="D3138" s="1297"/>
      <c r="E3138" s="1297" t="s">
        <v>934</v>
      </c>
      <c r="I3138" s="1399">
        <v>54110</v>
      </c>
      <c r="J3138" s="1399">
        <v>54110</v>
      </c>
    </row>
    <row r="3139" spans="2:12">
      <c r="B3139" s="1297"/>
      <c r="C3139" s="1297"/>
      <c r="D3139" s="1297"/>
      <c r="E3139" s="1297" t="s">
        <v>935</v>
      </c>
      <c r="I3139" s="1399">
        <v>377364</v>
      </c>
      <c r="J3139" s="1399">
        <v>377364</v>
      </c>
    </row>
    <row r="3140" spans="2:12">
      <c r="B3140" s="1297"/>
      <c r="C3140" s="1297"/>
      <c r="D3140" s="1297"/>
      <c r="E3140" s="1297" t="s">
        <v>936</v>
      </c>
      <c r="I3140" s="1399">
        <v>52522.58</v>
      </c>
      <c r="J3140" s="1399">
        <v>52522.58</v>
      </c>
    </row>
    <row r="3141" spans="2:12">
      <c r="B3141" s="1297"/>
      <c r="C3141" s="1297"/>
      <c r="D3141" s="1297"/>
      <c r="E3141" s="1297" t="s">
        <v>937</v>
      </c>
      <c r="I3141" s="1399">
        <v>980.13</v>
      </c>
      <c r="J3141" s="1399">
        <v>980.13</v>
      </c>
    </row>
    <row r="3142" spans="2:12">
      <c r="B3142" s="1297"/>
      <c r="C3142" s="1297"/>
      <c r="D3142" s="1297"/>
      <c r="E3142" s="1297" t="s">
        <v>938</v>
      </c>
      <c r="I3142" s="1399">
        <v>19465</v>
      </c>
      <c r="J3142" s="1399">
        <v>19465</v>
      </c>
    </row>
    <row r="3143" spans="2:12">
      <c r="B3143" s="1297"/>
      <c r="C3143" s="1297"/>
      <c r="D3143" s="1297"/>
      <c r="E3143" s="1297" t="s">
        <v>939</v>
      </c>
      <c r="I3143" s="1399">
        <v>853361.31</v>
      </c>
      <c r="J3143" s="1399">
        <v>853361.31</v>
      </c>
    </row>
    <row r="3144" spans="2:12">
      <c r="B3144" s="1297"/>
      <c r="C3144" s="1297"/>
      <c r="D3144" s="1297"/>
      <c r="E3144" s="1297" t="s">
        <v>1131</v>
      </c>
      <c r="F3144" s="1399">
        <v>115943.84</v>
      </c>
      <c r="J3144" s="1399">
        <v>115943.84</v>
      </c>
    </row>
    <row r="3145" spans="2:12">
      <c r="B3145" s="1297"/>
      <c r="C3145" s="1297"/>
      <c r="D3145" s="1297"/>
      <c r="E3145" s="1297" t="s">
        <v>940</v>
      </c>
      <c r="F3145" s="1399">
        <v>1091498.06</v>
      </c>
      <c r="J3145" s="1399">
        <v>1091498.06</v>
      </c>
    </row>
    <row r="3146" spans="2:12">
      <c r="B3146" s="1297"/>
      <c r="C3146" s="1297"/>
      <c r="D3146" s="1297"/>
      <c r="E3146" s="1297" t="s">
        <v>941</v>
      </c>
      <c r="F3146" s="1399">
        <v>390970.82</v>
      </c>
      <c r="J3146" s="1399">
        <v>390970.82</v>
      </c>
    </row>
    <row r="3147" spans="2:12">
      <c r="B3147" s="1297"/>
      <c r="C3147" s="1297"/>
      <c r="D3147" s="1297"/>
      <c r="E3147" s="1297" t="s">
        <v>944</v>
      </c>
      <c r="F3147" s="1399">
        <v>2121960.71</v>
      </c>
      <c r="J3147" s="1399">
        <v>2121960.71</v>
      </c>
    </row>
    <row r="3148" spans="2:12">
      <c r="B3148" s="1297"/>
      <c r="C3148" s="1297"/>
      <c r="D3148" s="1297"/>
      <c r="E3148" s="1297" t="s">
        <v>945</v>
      </c>
      <c r="F3148" s="1399">
        <v>1599701.8499999999</v>
      </c>
      <c r="J3148" s="1399">
        <v>1599701.8499999999</v>
      </c>
    </row>
    <row r="3149" spans="2:12">
      <c r="B3149" s="1297"/>
      <c r="C3149" s="1297"/>
      <c r="D3149" s="1297"/>
      <c r="E3149" s="1297" t="s">
        <v>946</v>
      </c>
      <c r="F3149" s="1399">
        <v>0</v>
      </c>
      <c r="J3149" s="1399">
        <v>0</v>
      </c>
    </row>
    <row r="3150" spans="2:12">
      <c r="B3150" s="1297"/>
      <c r="C3150" s="1297"/>
      <c r="D3150" s="1297"/>
      <c r="E3150" s="1297" t="s">
        <v>947</v>
      </c>
      <c r="F3150" s="1399">
        <v>97870.2</v>
      </c>
      <c r="J3150" s="1399">
        <v>97870.2</v>
      </c>
    </row>
    <row r="3151" spans="2:12">
      <c r="B3151" s="1297"/>
      <c r="C3151" s="1297"/>
      <c r="D3151" s="1297"/>
      <c r="E3151" s="1404" t="s">
        <v>948</v>
      </c>
      <c r="F3151" s="1405"/>
      <c r="G3151" s="1405"/>
      <c r="H3151" s="1405">
        <v>2713153.1199999996</v>
      </c>
      <c r="I3151" s="1405"/>
      <c r="J3151" s="1405">
        <v>2713153.1199999996</v>
      </c>
    </row>
    <row r="3152" spans="2:12">
      <c r="B3152" s="1297"/>
      <c r="C3152" s="1297"/>
      <c r="D3152" s="1400" t="s">
        <v>1398</v>
      </c>
      <c r="E3152" s="1400"/>
      <c r="F3152" s="1401">
        <f>SUM(F3120:F3151)</f>
        <v>5417945.4800000004</v>
      </c>
      <c r="G3152" s="1401">
        <f>SUM(G3120:G3151)</f>
        <v>7723612.8099999996</v>
      </c>
      <c r="H3152" s="1401">
        <f>SUM(H3120:H3151)-H3151</f>
        <v>895832.89999999991</v>
      </c>
      <c r="I3152" s="1401">
        <f>SUM(I3120:I3151)</f>
        <v>15994519.020000001</v>
      </c>
      <c r="J3152" s="1401">
        <f>SUM(J3120:J3151)</f>
        <v>32745063.329999998</v>
      </c>
      <c r="K3152" s="1401">
        <f>SUM(F3152:I3152)</f>
        <v>30031910.210000001</v>
      </c>
      <c r="L3152" s="1408">
        <f>K3152/C3120</f>
        <v>10741.026541487839</v>
      </c>
    </row>
    <row r="3153" spans="2:10" s="1297" customFormat="1">
      <c r="B3153" s="1297" t="s">
        <v>1399</v>
      </c>
      <c r="C3153" s="1297">
        <v>1397</v>
      </c>
      <c r="D3153" s="1297" t="s">
        <v>1400</v>
      </c>
      <c r="E3153" s="1297" t="s">
        <v>906</v>
      </c>
      <c r="F3153" s="1399"/>
      <c r="G3153" s="1399">
        <v>2577197.7000000002</v>
      </c>
      <c r="H3153" s="1399"/>
      <c r="I3153" s="1399"/>
      <c r="J3153" s="1399">
        <v>2577197.7000000002</v>
      </c>
    </row>
    <row r="3154" spans="2:10" s="1297" customFormat="1">
      <c r="E3154" s="1297" t="s">
        <v>952</v>
      </c>
      <c r="F3154" s="1399"/>
      <c r="G3154" s="1399">
        <v>16773.09</v>
      </c>
      <c r="H3154" s="1399"/>
      <c r="I3154" s="1399"/>
      <c r="J3154" s="1399">
        <v>16773.09</v>
      </c>
    </row>
    <row r="3155" spans="2:10" s="1297" customFormat="1">
      <c r="E3155" s="1297" t="s">
        <v>907</v>
      </c>
      <c r="F3155" s="1399"/>
      <c r="G3155" s="1399">
        <v>837857.8</v>
      </c>
      <c r="H3155" s="1399"/>
      <c r="I3155" s="1399"/>
      <c r="J3155" s="1399">
        <v>837857.8</v>
      </c>
    </row>
    <row r="3156" spans="2:10" s="1297" customFormat="1">
      <c r="E3156" s="1297" t="s">
        <v>908</v>
      </c>
      <c r="F3156" s="1399"/>
      <c r="G3156" s="1399">
        <v>16005.11</v>
      </c>
      <c r="H3156" s="1399"/>
      <c r="I3156" s="1399"/>
      <c r="J3156" s="1399">
        <v>16005.11</v>
      </c>
    </row>
    <row r="3157" spans="2:10" s="1297" customFormat="1">
      <c r="E3157" s="1297" t="s">
        <v>910</v>
      </c>
      <c r="F3157" s="1399"/>
      <c r="G3157" s="1399"/>
      <c r="H3157" s="1399">
        <v>71404.63</v>
      </c>
      <c r="I3157" s="1399"/>
      <c r="J3157" s="1399">
        <v>71404.63</v>
      </c>
    </row>
    <row r="3158" spans="2:10" s="1297" customFormat="1">
      <c r="E3158" s="1297" t="s">
        <v>1034</v>
      </c>
      <c r="F3158" s="1399"/>
      <c r="G3158" s="1399"/>
      <c r="H3158" s="1399">
        <v>60854.400000000001</v>
      </c>
      <c r="I3158" s="1399"/>
      <c r="J3158" s="1399">
        <v>60854.400000000001</v>
      </c>
    </row>
    <row r="3159" spans="2:10" s="1297" customFormat="1">
      <c r="E3159" s="1297" t="s">
        <v>1035</v>
      </c>
      <c r="F3159" s="1399"/>
      <c r="G3159" s="1399"/>
      <c r="H3159" s="1399">
        <v>130317.67</v>
      </c>
      <c r="I3159" s="1399"/>
      <c r="J3159" s="1399">
        <v>130317.67</v>
      </c>
    </row>
    <row r="3160" spans="2:10" s="1297" customFormat="1">
      <c r="E3160" s="1297" t="s">
        <v>1036</v>
      </c>
      <c r="F3160" s="1399"/>
      <c r="G3160" s="1399"/>
      <c r="H3160" s="1399">
        <v>56020.85</v>
      </c>
      <c r="I3160" s="1399"/>
      <c r="J3160" s="1399">
        <v>56020.85</v>
      </c>
    </row>
    <row r="3161" spans="2:10" s="1297" customFormat="1">
      <c r="E3161" s="1297" t="s">
        <v>1038</v>
      </c>
      <c r="F3161" s="1399"/>
      <c r="G3161" s="1399"/>
      <c r="H3161" s="1399">
        <v>2400</v>
      </c>
      <c r="I3161" s="1399"/>
      <c r="J3161" s="1399">
        <v>2400</v>
      </c>
    </row>
    <row r="3162" spans="2:10" s="1297" customFormat="1">
      <c r="E3162" s="1297" t="s">
        <v>1003</v>
      </c>
      <c r="F3162" s="1399"/>
      <c r="G3162" s="1399"/>
      <c r="H3162" s="1399">
        <v>19046.86</v>
      </c>
      <c r="I3162" s="1399"/>
      <c r="J3162" s="1399">
        <v>19046.86</v>
      </c>
    </row>
    <row r="3163" spans="2:10" s="1297" customFormat="1">
      <c r="E3163" s="1297" t="s">
        <v>1039</v>
      </c>
      <c r="F3163" s="1399"/>
      <c r="G3163" s="1399"/>
      <c r="H3163" s="1399">
        <v>17720.830000000002</v>
      </c>
      <c r="I3163" s="1399"/>
      <c r="J3163" s="1399">
        <v>17720.830000000002</v>
      </c>
    </row>
    <row r="3164" spans="2:10" s="1297" customFormat="1">
      <c r="E3164" s="1297" t="s">
        <v>1041</v>
      </c>
      <c r="F3164" s="1399"/>
      <c r="G3164" s="1399"/>
      <c r="H3164" s="1399">
        <v>12104.900000000001</v>
      </c>
      <c r="I3164" s="1399"/>
      <c r="J3164" s="1399">
        <v>12104.900000000001</v>
      </c>
    </row>
    <row r="3165" spans="2:10" s="1297" customFormat="1">
      <c r="E3165" s="1297" t="s">
        <v>1042</v>
      </c>
      <c r="F3165" s="1399"/>
      <c r="G3165" s="1399"/>
      <c r="H3165" s="1399">
        <v>15871.1</v>
      </c>
      <c r="I3165" s="1399"/>
      <c r="J3165" s="1399">
        <v>15871.1</v>
      </c>
    </row>
    <row r="3166" spans="2:10" s="1297" customFormat="1">
      <c r="E3166" s="1297" t="s">
        <v>1043</v>
      </c>
      <c r="F3166" s="1399"/>
      <c r="G3166" s="1399"/>
      <c r="H3166" s="1399">
        <v>4595</v>
      </c>
      <c r="I3166" s="1399"/>
      <c r="J3166" s="1399">
        <v>4595</v>
      </c>
    </row>
    <row r="3167" spans="2:10" s="1297" customFormat="1">
      <c r="E3167" s="1297" t="s">
        <v>990</v>
      </c>
      <c r="F3167" s="1399"/>
      <c r="G3167" s="1399"/>
      <c r="H3167" s="1399">
        <v>500</v>
      </c>
      <c r="I3167" s="1399"/>
      <c r="J3167" s="1399">
        <v>500</v>
      </c>
    </row>
    <row r="3168" spans="2:10" s="1297" customFormat="1">
      <c r="E3168" s="1297" t="s">
        <v>1044</v>
      </c>
      <c r="F3168" s="1399">
        <v>63731</v>
      </c>
      <c r="G3168" s="1399"/>
      <c r="H3168" s="1399"/>
      <c r="I3168" s="1399"/>
      <c r="J3168" s="1399">
        <v>63731</v>
      </c>
    </row>
    <row r="3169" spans="5:10" s="1297" customFormat="1">
      <c r="E3169" s="1297" t="s">
        <v>1045</v>
      </c>
      <c r="F3169" s="1399"/>
      <c r="G3169" s="1399"/>
      <c r="H3169" s="1399">
        <v>14542.67</v>
      </c>
      <c r="I3169" s="1399"/>
      <c r="J3169" s="1399">
        <v>14542.67</v>
      </c>
    </row>
    <row r="3170" spans="5:10" s="1297" customFormat="1">
      <c r="E3170" s="1297" t="s">
        <v>1046</v>
      </c>
      <c r="F3170" s="1399"/>
      <c r="G3170" s="1399"/>
      <c r="H3170" s="1399"/>
      <c r="I3170" s="1399">
        <v>7530946</v>
      </c>
      <c r="J3170" s="1399">
        <v>7530946</v>
      </c>
    </row>
    <row r="3171" spans="5:10" s="1297" customFormat="1">
      <c r="E3171" s="1297" t="s">
        <v>1047</v>
      </c>
      <c r="F3171" s="1399"/>
      <c r="G3171" s="1399"/>
      <c r="H3171" s="1399"/>
      <c r="I3171" s="1399">
        <v>303797</v>
      </c>
      <c r="J3171" s="1399">
        <v>303797</v>
      </c>
    </row>
    <row r="3172" spans="5:10" s="1297" customFormat="1">
      <c r="E3172" s="1297" t="s">
        <v>1048</v>
      </c>
      <c r="F3172" s="1399"/>
      <c r="G3172" s="1399"/>
      <c r="H3172" s="1399"/>
      <c r="I3172" s="1399">
        <v>-1031650</v>
      </c>
      <c r="J3172" s="1399">
        <v>-1031650</v>
      </c>
    </row>
    <row r="3173" spans="5:10" s="1297" customFormat="1">
      <c r="E3173" s="1297" t="s">
        <v>932</v>
      </c>
      <c r="F3173" s="1399"/>
      <c r="G3173" s="1399"/>
      <c r="H3173" s="1399"/>
      <c r="I3173" s="1399">
        <v>470712</v>
      </c>
      <c r="J3173" s="1399">
        <v>470712</v>
      </c>
    </row>
    <row r="3174" spans="5:10" s="1297" customFormat="1">
      <c r="E3174" s="1404" t="s">
        <v>955</v>
      </c>
      <c r="F3174" s="1405"/>
      <c r="G3174" s="1405"/>
      <c r="H3174" s="1405"/>
      <c r="I3174" s="1405">
        <v>542671.35</v>
      </c>
      <c r="J3174" s="1405">
        <v>542671.35</v>
      </c>
    </row>
    <row r="3175" spans="5:10" s="1297" customFormat="1">
      <c r="E3175" s="1297" t="s">
        <v>934</v>
      </c>
      <c r="F3175" s="1399"/>
      <c r="G3175" s="1399"/>
      <c r="H3175" s="1399"/>
      <c r="I3175" s="1399">
        <v>29326</v>
      </c>
      <c r="J3175" s="1399">
        <v>29326</v>
      </c>
    </row>
    <row r="3176" spans="5:10" s="1297" customFormat="1">
      <c r="E3176" s="1297" t="s">
        <v>935</v>
      </c>
      <c r="F3176" s="1399"/>
      <c r="G3176" s="1399"/>
      <c r="H3176" s="1399"/>
      <c r="I3176" s="1399">
        <v>220769.79</v>
      </c>
      <c r="J3176" s="1399">
        <v>220769.79</v>
      </c>
    </row>
    <row r="3177" spans="5:10" s="1297" customFormat="1">
      <c r="E3177" s="1297" t="s">
        <v>936</v>
      </c>
      <c r="F3177" s="1399"/>
      <c r="G3177" s="1399"/>
      <c r="H3177" s="1399"/>
      <c r="I3177" s="1399">
        <v>26961.59</v>
      </c>
      <c r="J3177" s="1399">
        <v>26961.59</v>
      </c>
    </row>
    <row r="3178" spans="5:10" s="1297" customFormat="1">
      <c r="E3178" s="1297" t="s">
        <v>937</v>
      </c>
      <c r="F3178" s="1399"/>
      <c r="G3178" s="1399"/>
      <c r="H3178" s="1399"/>
      <c r="I3178" s="1399">
        <v>6995.75</v>
      </c>
      <c r="J3178" s="1399">
        <v>6995.75</v>
      </c>
    </row>
    <row r="3179" spans="5:10" s="1297" customFormat="1">
      <c r="E3179" s="1297" t="s">
        <v>938</v>
      </c>
      <c r="F3179" s="1399"/>
      <c r="G3179" s="1399"/>
      <c r="H3179" s="1399"/>
      <c r="I3179" s="1399">
        <v>8984</v>
      </c>
      <c r="J3179" s="1399">
        <v>8984</v>
      </c>
    </row>
    <row r="3180" spans="5:10" s="1297" customFormat="1">
      <c r="E3180" s="1297" t="s">
        <v>939</v>
      </c>
      <c r="F3180" s="1399"/>
      <c r="G3180" s="1399"/>
      <c r="H3180" s="1399"/>
      <c r="I3180" s="1399">
        <v>276835.15000000002</v>
      </c>
      <c r="J3180" s="1399">
        <v>276835.15000000002</v>
      </c>
    </row>
    <row r="3181" spans="5:10" s="1297" customFormat="1">
      <c r="E3181" s="1297" t="s">
        <v>1131</v>
      </c>
      <c r="F3181" s="1399">
        <v>56317.07</v>
      </c>
      <c r="G3181" s="1399"/>
      <c r="H3181" s="1399"/>
      <c r="I3181" s="1399"/>
      <c r="J3181" s="1399">
        <v>56317.07</v>
      </c>
    </row>
    <row r="3182" spans="5:10" s="1297" customFormat="1">
      <c r="E3182" s="1297" t="s">
        <v>940</v>
      </c>
      <c r="F3182" s="1399">
        <v>513823.3</v>
      </c>
      <c r="G3182" s="1399"/>
      <c r="H3182" s="1399"/>
      <c r="I3182" s="1399"/>
      <c r="J3182" s="1399">
        <v>513823.3</v>
      </c>
    </row>
    <row r="3183" spans="5:10" s="1297" customFormat="1">
      <c r="E3183" s="1297" t="s">
        <v>941</v>
      </c>
      <c r="F3183" s="1399">
        <v>233020.08000000002</v>
      </c>
      <c r="G3183" s="1399"/>
      <c r="H3183" s="1399"/>
      <c r="I3183" s="1399"/>
      <c r="J3183" s="1399">
        <v>233020.08000000002</v>
      </c>
    </row>
    <row r="3184" spans="5:10" s="1297" customFormat="1">
      <c r="E3184" s="1297" t="s">
        <v>942</v>
      </c>
      <c r="F3184" s="1399">
        <v>7964.32</v>
      </c>
      <c r="G3184" s="1399"/>
      <c r="H3184" s="1399"/>
      <c r="I3184" s="1399"/>
      <c r="J3184" s="1399">
        <v>7964.32</v>
      </c>
    </row>
    <row r="3185" spans="2:12">
      <c r="B3185" s="1297"/>
      <c r="C3185" s="1297"/>
      <c r="D3185" s="1297"/>
      <c r="E3185" s="1297" t="s">
        <v>943</v>
      </c>
      <c r="F3185" s="1399">
        <v>3560.14</v>
      </c>
      <c r="J3185" s="1399">
        <v>3560.14</v>
      </c>
    </row>
    <row r="3186" spans="2:12">
      <c r="B3186" s="1297"/>
      <c r="C3186" s="1297"/>
      <c r="D3186" s="1297"/>
      <c r="E3186" s="1297" t="s">
        <v>944</v>
      </c>
      <c r="F3186" s="1399">
        <v>1437993.22</v>
      </c>
      <c r="J3186" s="1399">
        <v>1437993.22</v>
      </c>
    </row>
    <row r="3187" spans="2:12">
      <c r="B3187" s="1297"/>
      <c r="C3187" s="1297"/>
      <c r="D3187" s="1297"/>
      <c r="E3187" s="1297" t="s">
        <v>945</v>
      </c>
      <c r="F3187" s="1399">
        <v>1243626.5899999999</v>
      </c>
      <c r="J3187" s="1399">
        <v>1243626.5899999999</v>
      </c>
    </row>
    <row r="3188" spans="2:12">
      <c r="B3188" s="1297"/>
      <c r="C3188" s="1297"/>
      <c r="D3188" s="1297"/>
      <c r="E3188" s="1297" t="s">
        <v>946</v>
      </c>
      <c r="F3188" s="1399">
        <v>19822.5</v>
      </c>
      <c r="J3188" s="1399">
        <v>19822.5</v>
      </c>
    </row>
    <row r="3189" spans="2:12">
      <c r="B3189" s="1297"/>
      <c r="C3189" s="1297"/>
      <c r="D3189" s="1297"/>
      <c r="E3189" s="1297" t="s">
        <v>947</v>
      </c>
      <c r="F3189" s="1399">
        <v>62752.649999999994</v>
      </c>
      <c r="J3189" s="1399">
        <v>62752.649999999994</v>
      </c>
    </row>
    <row r="3190" spans="2:12">
      <c r="B3190" s="1297"/>
      <c r="C3190" s="1297"/>
      <c r="D3190" s="1297"/>
      <c r="E3190" s="1404" t="s">
        <v>948</v>
      </c>
      <c r="F3190" s="1405"/>
      <c r="G3190" s="1405"/>
      <c r="H3190" s="1405">
        <v>89174.12000000001</v>
      </c>
      <c r="I3190" s="1405"/>
      <c r="J3190" s="1405">
        <v>89174.12000000001</v>
      </c>
    </row>
    <row r="3191" spans="2:12">
      <c r="B3191" s="1297"/>
      <c r="C3191" s="1297"/>
      <c r="D3191" s="1297"/>
      <c r="E3191" s="1297" t="s">
        <v>956</v>
      </c>
      <c r="H3191" s="1399">
        <v>600</v>
      </c>
      <c r="J3191" s="1399">
        <v>600</v>
      </c>
    </row>
    <row r="3192" spans="2:12">
      <c r="B3192" s="1297"/>
      <c r="C3192" s="1297"/>
      <c r="D3192" s="1297"/>
      <c r="E3192" s="1297" t="s">
        <v>1118</v>
      </c>
      <c r="H3192" s="1399">
        <v>48257.32</v>
      </c>
      <c r="J3192" s="1399">
        <v>48257.32</v>
      </c>
    </row>
    <row r="3193" spans="2:12">
      <c r="B3193" s="1297"/>
      <c r="C3193" s="1297"/>
      <c r="D3193" s="1400" t="s">
        <v>1401</v>
      </c>
      <c r="E3193" s="1400"/>
      <c r="F3193" s="1401">
        <f>SUM(F3153:F3192)</f>
        <v>3642610.8699999996</v>
      </c>
      <c r="G3193" s="1401">
        <f>SUM(G3153:G3192)</f>
        <v>3447833.6999999997</v>
      </c>
      <c r="H3193" s="1401">
        <f>SUM(H3153:H3192)-H3190</f>
        <v>454236.23</v>
      </c>
      <c r="I3193" s="1401">
        <f>SUM(I3153:I3192)-I3174</f>
        <v>7843677.2800000003</v>
      </c>
      <c r="J3193" s="1401">
        <f>SUM(J3153:J3192)</f>
        <v>16020203.550000001</v>
      </c>
      <c r="K3193" s="1401">
        <f>SUM(F3193:I3193)</f>
        <v>15388358.079999998</v>
      </c>
      <c r="L3193" s="1408">
        <f>K3193/C3153</f>
        <v>11015.288532569792</v>
      </c>
    </row>
    <row r="3194" spans="2:12">
      <c r="B3194" s="1297" t="s">
        <v>1402</v>
      </c>
      <c r="C3194" s="1297">
        <v>1123</v>
      </c>
      <c r="D3194" s="1297" t="s">
        <v>1403</v>
      </c>
      <c r="E3194" s="1297" t="s">
        <v>906</v>
      </c>
      <c r="G3194" s="1399">
        <v>2140303.6</v>
      </c>
      <c r="J3194" s="1399">
        <v>2140303.6</v>
      </c>
    </row>
    <row r="3195" spans="2:12">
      <c r="B3195" s="1297"/>
      <c r="C3195" s="1297"/>
      <c r="D3195" s="1297"/>
      <c r="E3195" s="1297" t="s">
        <v>952</v>
      </c>
      <c r="G3195" s="1399">
        <v>17584.55</v>
      </c>
      <c r="J3195" s="1399">
        <v>17584.55</v>
      </c>
    </row>
    <row r="3196" spans="2:12">
      <c r="B3196" s="1297"/>
      <c r="C3196" s="1297"/>
      <c r="D3196" s="1297"/>
      <c r="E3196" s="1297" t="s">
        <v>907</v>
      </c>
      <c r="G3196" s="1399">
        <v>623712.53</v>
      </c>
      <c r="J3196" s="1399">
        <v>623712.53</v>
      </c>
    </row>
    <row r="3197" spans="2:12">
      <c r="B3197" s="1297"/>
      <c r="C3197" s="1297"/>
      <c r="D3197" s="1297"/>
      <c r="E3197" s="1297" t="s">
        <v>1035</v>
      </c>
      <c r="H3197" s="1399">
        <v>134366.18</v>
      </c>
      <c r="J3197" s="1399">
        <v>134366.18</v>
      </c>
    </row>
    <row r="3198" spans="2:12">
      <c r="B3198" s="1297"/>
      <c r="C3198" s="1297"/>
      <c r="D3198" s="1297"/>
      <c r="E3198" s="1297" t="s">
        <v>1039</v>
      </c>
      <c r="H3198" s="1399">
        <v>6541.79</v>
      </c>
      <c r="J3198" s="1399">
        <v>6541.79</v>
      </c>
    </row>
    <row r="3199" spans="2:12">
      <c r="B3199" s="1297"/>
      <c r="C3199" s="1297"/>
      <c r="D3199" s="1297"/>
      <c r="E3199" s="1297" t="s">
        <v>1041</v>
      </c>
      <c r="H3199" s="1399">
        <v>58372.569999999992</v>
      </c>
      <c r="J3199" s="1399">
        <v>58372.569999999992</v>
      </c>
    </row>
    <row r="3200" spans="2:12">
      <c r="B3200" s="1297"/>
      <c r="C3200" s="1297"/>
      <c r="D3200" s="1297"/>
      <c r="E3200" s="1297" t="s">
        <v>1042</v>
      </c>
      <c r="H3200" s="1399">
        <v>22419.75</v>
      </c>
      <c r="J3200" s="1399">
        <v>22419.75</v>
      </c>
    </row>
    <row r="3201" spans="5:10" s="1297" customFormat="1">
      <c r="E3201" s="1297" t="s">
        <v>986</v>
      </c>
      <c r="F3201" s="1399"/>
      <c r="G3201" s="1399"/>
      <c r="H3201" s="1399">
        <v>225100.71</v>
      </c>
      <c r="I3201" s="1399"/>
      <c r="J3201" s="1399">
        <v>225100.71</v>
      </c>
    </row>
    <row r="3202" spans="5:10" s="1297" customFormat="1">
      <c r="E3202" s="1297" t="s">
        <v>1045</v>
      </c>
      <c r="F3202" s="1399"/>
      <c r="G3202" s="1399"/>
      <c r="H3202" s="1399">
        <v>383680.69</v>
      </c>
      <c r="I3202" s="1399"/>
      <c r="J3202" s="1399">
        <v>383680.69</v>
      </c>
    </row>
    <row r="3203" spans="5:10" s="1297" customFormat="1">
      <c r="E3203" s="1297" t="s">
        <v>1046</v>
      </c>
      <c r="F3203" s="1399"/>
      <c r="G3203" s="1399"/>
      <c r="H3203" s="1399"/>
      <c r="I3203" s="1399">
        <v>6149451</v>
      </c>
      <c r="J3203" s="1399">
        <v>6149451</v>
      </c>
    </row>
    <row r="3204" spans="5:10" s="1297" customFormat="1">
      <c r="E3204" s="1297" t="s">
        <v>1129</v>
      </c>
      <c r="F3204" s="1399"/>
      <c r="G3204" s="1399"/>
      <c r="H3204" s="1399"/>
      <c r="I3204" s="1399">
        <v>-813844</v>
      </c>
      <c r="J3204" s="1399">
        <v>-813844</v>
      </c>
    </row>
    <row r="3205" spans="5:10" s="1297" customFormat="1">
      <c r="E3205" s="1297" t="s">
        <v>1047</v>
      </c>
      <c r="F3205" s="1399"/>
      <c r="G3205" s="1399"/>
      <c r="H3205" s="1399"/>
      <c r="I3205" s="1399">
        <v>511716</v>
      </c>
      <c r="J3205" s="1399">
        <v>511716</v>
      </c>
    </row>
    <row r="3206" spans="5:10" s="1297" customFormat="1">
      <c r="E3206" s="1297" t="s">
        <v>1048</v>
      </c>
      <c r="F3206" s="1399"/>
      <c r="G3206" s="1399"/>
      <c r="H3206" s="1399"/>
      <c r="I3206" s="1399">
        <v>-665903</v>
      </c>
      <c r="J3206" s="1399">
        <v>-665903</v>
      </c>
    </row>
    <row r="3207" spans="5:10" s="1297" customFormat="1">
      <c r="E3207" s="1297" t="s">
        <v>932</v>
      </c>
      <c r="F3207" s="1399"/>
      <c r="G3207" s="1399"/>
      <c r="H3207" s="1399"/>
      <c r="I3207" s="1399">
        <v>450308</v>
      </c>
      <c r="J3207" s="1399">
        <v>450308</v>
      </c>
    </row>
    <row r="3208" spans="5:10" s="1297" customFormat="1">
      <c r="E3208" s="1404" t="s">
        <v>955</v>
      </c>
      <c r="F3208" s="1405"/>
      <c r="G3208" s="1405"/>
      <c r="H3208" s="1405"/>
      <c r="I3208" s="1405">
        <v>394794.73</v>
      </c>
      <c r="J3208" s="1405">
        <v>394794.73</v>
      </c>
    </row>
    <row r="3209" spans="5:10" s="1297" customFormat="1">
      <c r="E3209" s="1297" t="s">
        <v>934</v>
      </c>
      <c r="F3209" s="1399"/>
      <c r="G3209" s="1399"/>
      <c r="H3209" s="1399"/>
      <c r="I3209" s="1399">
        <v>24266</v>
      </c>
      <c r="J3209" s="1399">
        <v>24266</v>
      </c>
    </row>
    <row r="3210" spans="5:10" s="1297" customFormat="1">
      <c r="E3210" s="1297" t="s">
        <v>935</v>
      </c>
      <c r="F3210" s="1399"/>
      <c r="G3210" s="1399"/>
      <c r="H3210" s="1399"/>
      <c r="I3210" s="1399">
        <v>316970.84999999998</v>
      </c>
      <c r="J3210" s="1399">
        <v>316970.84999999998</v>
      </c>
    </row>
    <row r="3211" spans="5:10" s="1297" customFormat="1">
      <c r="E3211" s="1297" t="s">
        <v>936</v>
      </c>
      <c r="F3211" s="1399"/>
      <c r="G3211" s="1399"/>
      <c r="H3211" s="1399"/>
      <c r="I3211" s="1399">
        <v>24860.69</v>
      </c>
      <c r="J3211" s="1399">
        <v>24860.69</v>
      </c>
    </row>
    <row r="3212" spans="5:10" s="1297" customFormat="1">
      <c r="E3212" s="1297" t="s">
        <v>937</v>
      </c>
      <c r="F3212" s="1399"/>
      <c r="G3212" s="1399"/>
      <c r="H3212" s="1399"/>
      <c r="I3212" s="1399">
        <v>13523.48</v>
      </c>
      <c r="J3212" s="1399">
        <v>13523.48</v>
      </c>
    </row>
    <row r="3213" spans="5:10" s="1297" customFormat="1">
      <c r="E3213" s="1297" t="s">
        <v>938</v>
      </c>
      <c r="F3213" s="1399"/>
      <c r="G3213" s="1399"/>
      <c r="H3213" s="1399"/>
      <c r="I3213" s="1399">
        <v>7112</v>
      </c>
      <c r="J3213" s="1399">
        <v>7112</v>
      </c>
    </row>
    <row r="3214" spans="5:10" s="1297" customFormat="1">
      <c r="E3214" s="1297" t="s">
        <v>939</v>
      </c>
      <c r="F3214" s="1399"/>
      <c r="G3214" s="1399"/>
      <c r="H3214" s="1399"/>
      <c r="I3214" s="1399">
        <v>106983.5</v>
      </c>
      <c r="J3214" s="1399">
        <v>106983.5</v>
      </c>
    </row>
    <row r="3215" spans="5:10" s="1297" customFormat="1">
      <c r="E3215" s="1297" t="s">
        <v>940</v>
      </c>
      <c r="F3215" s="1399">
        <v>458187</v>
      </c>
      <c r="G3215" s="1399"/>
      <c r="H3215" s="1399"/>
      <c r="I3215" s="1399"/>
      <c r="J3215" s="1399">
        <v>458187</v>
      </c>
    </row>
    <row r="3216" spans="5:10" s="1297" customFormat="1">
      <c r="E3216" s="1297" t="s">
        <v>941</v>
      </c>
      <c r="F3216" s="1399">
        <v>237880.84</v>
      </c>
      <c r="G3216" s="1399"/>
      <c r="H3216" s="1399"/>
      <c r="I3216" s="1399"/>
      <c r="J3216" s="1399">
        <v>237880.84</v>
      </c>
    </row>
    <row r="3217" spans="2:12">
      <c r="B3217" s="1297"/>
      <c r="C3217" s="1297"/>
      <c r="D3217" s="1297"/>
      <c r="E3217" s="1297" t="s">
        <v>943</v>
      </c>
      <c r="F3217" s="1399">
        <v>8466.34</v>
      </c>
      <c r="J3217" s="1399">
        <v>8466.34</v>
      </c>
    </row>
    <row r="3218" spans="2:12">
      <c r="B3218" s="1297"/>
      <c r="C3218" s="1297"/>
      <c r="D3218" s="1297"/>
      <c r="E3218" s="1297" t="s">
        <v>944</v>
      </c>
      <c r="F3218" s="1399">
        <v>1439818.83</v>
      </c>
      <c r="J3218" s="1399">
        <v>1439818.83</v>
      </c>
    </row>
    <row r="3219" spans="2:12">
      <c r="B3219" s="1297"/>
      <c r="C3219" s="1297"/>
      <c r="D3219" s="1297"/>
      <c r="E3219" s="1297" t="s">
        <v>945</v>
      </c>
      <c r="F3219" s="1399">
        <v>667562.22</v>
      </c>
      <c r="J3219" s="1399">
        <v>667562.22</v>
      </c>
    </row>
    <row r="3220" spans="2:12">
      <c r="B3220" s="1297"/>
      <c r="C3220" s="1297"/>
      <c r="D3220" s="1297"/>
      <c r="E3220" s="1297" t="s">
        <v>947</v>
      </c>
      <c r="F3220" s="1399">
        <v>36962.769999999997</v>
      </c>
      <c r="J3220" s="1399">
        <v>36962.769999999997</v>
      </c>
    </row>
    <row r="3221" spans="2:12">
      <c r="B3221" s="1297"/>
      <c r="C3221" s="1297"/>
      <c r="D3221" s="1297"/>
      <c r="E3221" s="1404" t="s">
        <v>948</v>
      </c>
      <c r="F3221" s="1405"/>
      <c r="G3221" s="1405"/>
      <c r="H3221" s="1405">
        <v>0</v>
      </c>
      <c r="I3221" s="1405"/>
      <c r="J3221" s="1405">
        <v>0</v>
      </c>
    </row>
    <row r="3222" spans="2:12">
      <c r="B3222" s="1297"/>
      <c r="C3222" s="1297"/>
      <c r="D3222" s="1400" t="s">
        <v>1404</v>
      </c>
      <c r="E3222" s="1400"/>
      <c r="F3222" s="1401">
        <f>SUM(F3194:F3221)</f>
        <v>2848877.9999999995</v>
      </c>
      <c r="G3222" s="1401">
        <f>SUM(G3194:G3221)</f>
        <v>2781600.6799999997</v>
      </c>
      <c r="H3222" s="1401">
        <f>SUM(H3194:H3221)</f>
        <v>830481.69</v>
      </c>
      <c r="I3222" s="1401">
        <f>SUM(I3194:I3221)-I3208</f>
        <v>6125444.5200000014</v>
      </c>
      <c r="J3222" s="1401">
        <f>SUM(J3194:J3221)</f>
        <v>12981199.619999999</v>
      </c>
      <c r="K3222" s="1401">
        <f>SUM(F3222:I3222)</f>
        <v>12586404.890000001</v>
      </c>
      <c r="L3222" s="1408">
        <f>K3222/C3194</f>
        <v>11207.840507569012</v>
      </c>
    </row>
    <row r="3223" spans="2:12">
      <c r="B3223" s="1297" t="s">
        <v>1405</v>
      </c>
      <c r="C3223" s="1297">
        <v>5386</v>
      </c>
      <c r="D3223" s="1297" t="s">
        <v>1406</v>
      </c>
      <c r="E3223" s="1297" t="s">
        <v>906</v>
      </c>
      <c r="G3223" s="1399">
        <v>12702990.75</v>
      </c>
      <c r="J3223" s="1399">
        <v>12702990.75</v>
      </c>
    </row>
    <row r="3224" spans="2:12">
      <c r="B3224" s="1297"/>
      <c r="C3224" s="1297"/>
      <c r="D3224" s="1297"/>
      <c r="E3224" s="1297" t="s">
        <v>952</v>
      </c>
      <c r="G3224" s="1399">
        <v>93323.55</v>
      </c>
      <c r="J3224" s="1399">
        <v>93323.55</v>
      </c>
    </row>
    <row r="3225" spans="2:12">
      <c r="B3225" s="1297"/>
      <c r="C3225" s="1297"/>
      <c r="D3225" s="1297"/>
      <c r="E3225" s="1297" t="s">
        <v>907</v>
      </c>
      <c r="G3225" s="1399">
        <v>2500614.2200000002</v>
      </c>
      <c r="J3225" s="1399">
        <v>2500614.2200000002</v>
      </c>
    </row>
    <row r="3226" spans="2:12">
      <c r="B3226" s="1297"/>
      <c r="C3226" s="1297"/>
      <c r="D3226" s="1297"/>
      <c r="E3226" s="1297" t="s">
        <v>908</v>
      </c>
      <c r="G3226" s="1399">
        <v>27294.12</v>
      </c>
      <c r="J3226" s="1399">
        <v>27294.12</v>
      </c>
    </row>
    <row r="3227" spans="2:12">
      <c r="B3227" s="1297"/>
      <c r="C3227" s="1297"/>
      <c r="D3227" s="1297"/>
      <c r="E3227" s="1297" t="s">
        <v>909</v>
      </c>
      <c r="H3227" s="1399">
        <v>215902.04</v>
      </c>
      <c r="J3227" s="1399">
        <v>215902.04</v>
      </c>
    </row>
    <row r="3228" spans="2:12">
      <c r="B3228" s="1297"/>
      <c r="C3228" s="1297"/>
      <c r="D3228" s="1297"/>
      <c r="E3228" s="1297" t="s">
        <v>910</v>
      </c>
      <c r="H3228" s="1399">
        <v>182470.65</v>
      </c>
      <c r="J3228" s="1399">
        <v>182470.65</v>
      </c>
    </row>
    <row r="3229" spans="2:12">
      <c r="B3229" s="1297"/>
      <c r="C3229" s="1297"/>
      <c r="D3229" s="1297"/>
      <c r="E3229" s="1297" t="s">
        <v>1034</v>
      </c>
      <c r="H3229" s="1399">
        <v>146221.60000000003</v>
      </c>
      <c r="J3229" s="1399">
        <v>146221.60000000003</v>
      </c>
    </row>
    <row r="3230" spans="2:12">
      <c r="B3230" s="1297"/>
      <c r="C3230" s="1297"/>
      <c r="D3230" s="1297"/>
      <c r="E3230" s="1297" t="s">
        <v>1035</v>
      </c>
      <c r="H3230" s="1399">
        <v>575542.12</v>
      </c>
      <c r="J3230" s="1399">
        <v>575542.12</v>
      </c>
    </row>
    <row r="3231" spans="2:12">
      <c r="B3231" s="1297"/>
      <c r="C3231" s="1297"/>
      <c r="D3231" s="1297"/>
      <c r="E3231" s="1297" t="s">
        <v>1036</v>
      </c>
      <c r="H3231" s="1399">
        <v>108925.66</v>
      </c>
      <c r="J3231" s="1399">
        <v>108925.66</v>
      </c>
    </row>
    <row r="3232" spans="2:12">
      <c r="B3232" s="1297"/>
      <c r="C3232" s="1297"/>
      <c r="D3232" s="1297"/>
      <c r="E3232" s="1297" t="s">
        <v>1039</v>
      </c>
      <c r="H3232" s="1399">
        <v>96445.459999999992</v>
      </c>
      <c r="J3232" s="1399">
        <v>96445.459999999992</v>
      </c>
    </row>
    <row r="3233" spans="5:10" s="1297" customFormat="1">
      <c r="E3233" s="1297" t="s">
        <v>1040</v>
      </c>
      <c r="F3233" s="1399"/>
      <c r="G3233" s="1399"/>
      <c r="H3233" s="1399">
        <v>283020.95</v>
      </c>
      <c r="I3233" s="1399"/>
      <c r="J3233" s="1399">
        <v>283020.95</v>
      </c>
    </row>
    <row r="3234" spans="5:10" s="1297" customFormat="1">
      <c r="E3234" s="1297" t="s">
        <v>1127</v>
      </c>
      <c r="F3234" s="1399"/>
      <c r="G3234" s="1399"/>
      <c r="H3234" s="1399">
        <v>189256.38</v>
      </c>
      <c r="I3234" s="1399"/>
      <c r="J3234" s="1399">
        <v>189256.38</v>
      </c>
    </row>
    <row r="3235" spans="5:10" s="1297" customFormat="1">
      <c r="E3235" s="1297" t="s">
        <v>1041</v>
      </c>
      <c r="F3235" s="1399"/>
      <c r="G3235" s="1399"/>
      <c r="H3235" s="1399">
        <v>72934.960000000006</v>
      </c>
      <c r="I3235" s="1399"/>
      <c r="J3235" s="1399">
        <v>72934.960000000006</v>
      </c>
    </row>
    <row r="3236" spans="5:10" s="1297" customFormat="1">
      <c r="E3236" s="1297" t="s">
        <v>1042</v>
      </c>
      <c r="F3236" s="1399"/>
      <c r="G3236" s="1399"/>
      <c r="H3236" s="1399">
        <v>61883.03</v>
      </c>
      <c r="I3236" s="1399"/>
      <c r="J3236" s="1399">
        <v>61883.03</v>
      </c>
    </row>
    <row r="3237" spans="5:10" s="1297" customFormat="1">
      <c r="E3237" s="1297" t="s">
        <v>954</v>
      </c>
      <c r="F3237" s="1399"/>
      <c r="G3237" s="1399"/>
      <c r="H3237" s="1399">
        <v>4757.6900000000005</v>
      </c>
      <c r="I3237" s="1399"/>
      <c r="J3237" s="1399">
        <v>4757.6900000000005</v>
      </c>
    </row>
    <row r="3238" spans="5:10" s="1297" customFormat="1">
      <c r="E3238" s="1297" t="s">
        <v>985</v>
      </c>
      <c r="F3238" s="1399"/>
      <c r="G3238" s="1399"/>
      <c r="H3238" s="1399">
        <v>641.91</v>
      </c>
      <c r="I3238" s="1399"/>
      <c r="J3238" s="1399">
        <v>641.91</v>
      </c>
    </row>
    <row r="3239" spans="5:10" s="1297" customFormat="1">
      <c r="E3239" s="1297" t="s">
        <v>991</v>
      </c>
      <c r="F3239" s="1399"/>
      <c r="G3239" s="1399"/>
      <c r="H3239" s="1399">
        <v>521608.95</v>
      </c>
      <c r="I3239" s="1399"/>
      <c r="J3239" s="1399">
        <v>521608.95</v>
      </c>
    </row>
    <row r="3240" spans="5:10" s="1297" customFormat="1">
      <c r="E3240" s="1297" t="s">
        <v>1044</v>
      </c>
      <c r="F3240" s="1399">
        <v>3957</v>
      </c>
      <c r="G3240" s="1399"/>
      <c r="H3240" s="1399"/>
      <c r="I3240" s="1399"/>
      <c r="J3240" s="1399">
        <v>3957</v>
      </c>
    </row>
    <row r="3241" spans="5:10" s="1297" customFormat="1">
      <c r="E3241" s="1297" t="s">
        <v>1045</v>
      </c>
      <c r="F3241" s="1399"/>
      <c r="G3241" s="1399"/>
      <c r="H3241" s="1399">
        <v>955331.10000000021</v>
      </c>
      <c r="I3241" s="1399"/>
      <c r="J3241" s="1399">
        <v>955331.10000000021</v>
      </c>
    </row>
    <row r="3242" spans="5:10" s="1297" customFormat="1">
      <c r="E3242" s="1297" t="s">
        <v>1046</v>
      </c>
      <c r="F3242" s="1399"/>
      <c r="G3242" s="1399"/>
      <c r="H3242" s="1399"/>
      <c r="I3242" s="1399">
        <v>28860806.999999996</v>
      </c>
      <c r="J3242" s="1399">
        <v>28860806.999999996</v>
      </c>
    </row>
    <row r="3243" spans="5:10" s="1297" customFormat="1">
      <c r="E3243" s="1297" t="s">
        <v>1128</v>
      </c>
      <c r="F3243" s="1399"/>
      <c r="G3243" s="1399"/>
      <c r="H3243" s="1399"/>
      <c r="I3243" s="1399">
        <v>2316712</v>
      </c>
      <c r="J3243" s="1399">
        <v>2316712</v>
      </c>
    </row>
    <row r="3244" spans="5:10" s="1297" customFormat="1">
      <c r="E3244" s="1297" t="s">
        <v>1129</v>
      </c>
      <c r="F3244" s="1399"/>
      <c r="G3244" s="1399"/>
      <c r="H3244" s="1399"/>
      <c r="I3244" s="1399">
        <v>-3950380</v>
      </c>
      <c r="J3244" s="1399">
        <v>-3950380</v>
      </c>
    </row>
    <row r="3245" spans="5:10" s="1297" customFormat="1">
      <c r="E3245" s="1297" t="s">
        <v>1047</v>
      </c>
      <c r="F3245" s="1399"/>
      <c r="G3245" s="1399"/>
      <c r="H3245" s="1399"/>
      <c r="I3245" s="1399">
        <v>816264</v>
      </c>
      <c r="J3245" s="1399">
        <v>816264</v>
      </c>
    </row>
    <row r="3246" spans="5:10" s="1297" customFormat="1">
      <c r="E3246" s="1297" t="s">
        <v>1048</v>
      </c>
      <c r="F3246" s="1399"/>
      <c r="G3246" s="1399"/>
      <c r="H3246" s="1399"/>
      <c r="I3246" s="1399">
        <v>-3336420</v>
      </c>
      <c r="J3246" s="1399">
        <v>-3336420</v>
      </c>
    </row>
    <row r="3247" spans="5:10" s="1297" customFormat="1">
      <c r="E3247" s="1297" t="s">
        <v>932</v>
      </c>
      <c r="F3247" s="1399"/>
      <c r="G3247" s="1399"/>
      <c r="H3247" s="1399"/>
      <c r="I3247" s="1399">
        <v>3657313</v>
      </c>
      <c r="J3247" s="1399">
        <v>3657313</v>
      </c>
    </row>
    <row r="3248" spans="5:10" s="1297" customFormat="1">
      <c r="E3248" s="1404" t="s">
        <v>955</v>
      </c>
      <c r="F3248" s="1405"/>
      <c r="G3248" s="1405"/>
      <c r="H3248" s="1405"/>
      <c r="I3248" s="1405">
        <v>1074144.1200000001</v>
      </c>
      <c r="J3248" s="1405">
        <v>1074144.1200000001</v>
      </c>
    </row>
    <row r="3249" spans="5:10" s="1297" customFormat="1">
      <c r="E3249" s="1297" t="s">
        <v>934</v>
      </c>
      <c r="F3249" s="1399"/>
      <c r="G3249" s="1399"/>
      <c r="H3249" s="1399"/>
      <c r="I3249" s="1399">
        <v>77586</v>
      </c>
      <c r="J3249" s="1399">
        <v>77586</v>
      </c>
    </row>
    <row r="3250" spans="5:10" s="1297" customFormat="1">
      <c r="E3250" s="1297" t="s">
        <v>1130</v>
      </c>
      <c r="F3250" s="1399"/>
      <c r="G3250" s="1399"/>
      <c r="H3250" s="1399"/>
      <c r="I3250" s="1399">
        <v>1261621</v>
      </c>
      <c r="J3250" s="1399">
        <v>1261621</v>
      </c>
    </row>
    <row r="3251" spans="5:10" s="1297" customFormat="1">
      <c r="E3251" s="1297" t="s">
        <v>935</v>
      </c>
      <c r="F3251" s="1399"/>
      <c r="G3251" s="1399"/>
      <c r="H3251" s="1399"/>
      <c r="I3251" s="1399">
        <v>170534.23</v>
      </c>
      <c r="J3251" s="1399">
        <v>170534.23</v>
      </c>
    </row>
    <row r="3252" spans="5:10" s="1297" customFormat="1">
      <c r="E3252" s="1297" t="s">
        <v>936</v>
      </c>
      <c r="F3252" s="1399"/>
      <c r="G3252" s="1399"/>
      <c r="H3252" s="1399"/>
      <c r="I3252" s="1399">
        <v>80534.62</v>
      </c>
      <c r="J3252" s="1399">
        <v>80534.62</v>
      </c>
    </row>
    <row r="3253" spans="5:10" s="1297" customFormat="1">
      <c r="E3253" s="1297" t="s">
        <v>937</v>
      </c>
      <c r="F3253" s="1399"/>
      <c r="G3253" s="1399"/>
      <c r="H3253" s="1399"/>
      <c r="I3253" s="1399">
        <v>40010.29</v>
      </c>
      <c r="J3253" s="1399">
        <v>40010.29</v>
      </c>
    </row>
    <row r="3254" spans="5:10" s="1297" customFormat="1">
      <c r="E3254" s="1297" t="s">
        <v>938</v>
      </c>
      <c r="F3254" s="1399"/>
      <c r="G3254" s="1399"/>
      <c r="H3254" s="1399"/>
      <c r="I3254" s="1399">
        <v>26951</v>
      </c>
      <c r="J3254" s="1399">
        <v>26951</v>
      </c>
    </row>
    <row r="3255" spans="5:10" s="1297" customFormat="1">
      <c r="E3255" s="1297" t="s">
        <v>939</v>
      </c>
      <c r="F3255" s="1399"/>
      <c r="G3255" s="1399"/>
      <c r="H3255" s="1399"/>
      <c r="I3255" s="1399">
        <v>173939.46</v>
      </c>
      <c r="J3255" s="1399">
        <v>173939.46</v>
      </c>
    </row>
    <row r="3256" spans="5:10" s="1297" customFormat="1">
      <c r="E3256" s="1297" t="s">
        <v>1131</v>
      </c>
      <c r="F3256" s="1399">
        <v>1021135.24</v>
      </c>
      <c r="G3256" s="1399"/>
      <c r="H3256" s="1399"/>
      <c r="I3256" s="1399"/>
      <c r="J3256" s="1399">
        <v>1021135.24</v>
      </c>
    </row>
    <row r="3257" spans="5:10" s="1297" customFormat="1">
      <c r="E3257" s="1297" t="s">
        <v>940</v>
      </c>
      <c r="F3257" s="1399">
        <v>1005940.02</v>
      </c>
      <c r="G3257" s="1399"/>
      <c r="H3257" s="1399"/>
      <c r="I3257" s="1399"/>
      <c r="J3257" s="1399">
        <v>1005940.02</v>
      </c>
    </row>
    <row r="3258" spans="5:10" s="1297" customFormat="1">
      <c r="E3258" s="1297" t="s">
        <v>941</v>
      </c>
      <c r="F3258" s="1399">
        <v>385525.72</v>
      </c>
      <c r="G3258" s="1399"/>
      <c r="H3258" s="1399"/>
      <c r="I3258" s="1399"/>
      <c r="J3258" s="1399">
        <v>385525.72</v>
      </c>
    </row>
    <row r="3259" spans="5:10" s="1297" customFormat="1">
      <c r="E3259" s="1297" t="s">
        <v>944</v>
      </c>
      <c r="F3259" s="1399">
        <v>1747650.1199999999</v>
      </c>
      <c r="G3259" s="1399"/>
      <c r="H3259" s="1399"/>
      <c r="I3259" s="1399"/>
      <c r="J3259" s="1399">
        <v>1747650.1199999999</v>
      </c>
    </row>
    <row r="3260" spans="5:10" s="1297" customFormat="1">
      <c r="E3260" s="1297" t="s">
        <v>945</v>
      </c>
      <c r="F3260" s="1399">
        <v>1993261.59</v>
      </c>
      <c r="G3260" s="1399"/>
      <c r="H3260" s="1399"/>
      <c r="I3260" s="1399"/>
      <c r="J3260" s="1399">
        <v>1993261.59</v>
      </c>
    </row>
    <row r="3261" spans="5:10" s="1297" customFormat="1">
      <c r="E3261" s="1297" t="s">
        <v>1214</v>
      </c>
      <c r="F3261" s="1399">
        <v>113661.26</v>
      </c>
      <c r="G3261" s="1399"/>
      <c r="H3261" s="1399"/>
      <c r="I3261" s="1399"/>
      <c r="J3261" s="1399">
        <v>113661.26</v>
      </c>
    </row>
    <row r="3262" spans="5:10" s="1297" customFormat="1">
      <c r="E3262" s="1297" t="s">
        <v>947</v>
      </c>
      <c r="F3262" s="1399">
        <v>206887.25</v>
      </c>
      <c r="G3262" s="1399"/>
      <c r="H3262" s="1399"/>
      <c r="I3262" s="1399"/>
      <c r="J3262" s="1399">
        <v>206887.25</v>
      </c>
    </row>
    <row r="3263" spans="5:10" s="1297" customFormat="1">
      <c r="E3263" s="1297" t="s">
        <v>1115</v>
      </c>
      <c r="F3263" s="1399">
        <v>106.26</v>
      </c>
      <c r="G3263" s="1399"/>
      <c r="H3263" s="1399"/>
      <c r="I3263" s="1399"/>
      <c r="J3263" s="1399">
        <v>106.26</v>
      </c>
    </row>
    <row r="3264" spans="5:10" s="1297" customFormat="1">
      <c r="E3264" s="1404" t="s">
        <v>948</v>
      </c>
      <c r="F3264" s="1405"/>
      <c r="G3264" s="1405"/>
      <c r="H3264" s="1405">
        <v>9774948.8099999968</v>
      </c>
      <c r="I3264" s="1405"/>
      <c r="J3264" s="1405">
        <v>9774948.8099999968</v>
      </c>
    </row>
    <row r="3265" spans="2:12">
      <c r="B3265" s="1297"/>
      <c r="C3265" s="1297"/>
      <c r="D3265" s="1297"/>
      <c r="E3265" s="1297" t="s">
        <v>956</v>
      </c>
      <c r="H3265" s="1399">
        <v>21569.25</v>
      </c>
      <c r="J3265" s="1399">
        <v>21569.25</v>
      </c>
    </row>
    <row r="3266" spans="2:12">
      <c r="B3266" s="1297"/>
      <c r="C3266" s="1297"/>
      <c r="D3266" s="1400" t="s">
        <v>1407</v>
      </c>
      <c r="E3266" s="1400"/>
      <c r="F3266" s="1401">
        <f>SUM(F3223:F3265)</f>
        <v>6478124.459999999</v>
      </c>
      <c r="G3266" s="1401">
        <f>SUM(G3223:G3265)</f>
        <v>15324222.640000001</v>
      </c>
      <c r="H3266" s="1401">
        <f>SUM(H3223:H3265)-H3264</f>
        <v>3436511.75</v>
      </c>
      <c r="I3266" s="1401">
        <f>SUM(I3223:I3265)-I3248</f>
        <v>30195472.599999998</v>
      </c>
      <c r="J3266" s="1401">
        <f>SUM(J3223:J3265)</f>
        <v>66283424.379999988</v>
      </c>
      <c r="K3266" s="1401">
        <f>SUM(F3266:I3266)</f>
        <v>55434331.450000003</v>
      </c>
      <c r="L3266" s="1408">
        <f>K3266/C3223</f>
        <v>10292.300677682882</v>
      </c>
    </row>
    <row r="3267" spans="2:12">
      <c r="B3267" s="1297" t="s">
        <v>1408</v>
      </c>
      <c r="C3267" s="1297">
        <v>2417</v>
      </c>
      <c r="D3267" s="1297" t="s">
        <v>1409</v>
      </c>
      <c r="E3267" s="1297" t="s">
        <v>906</v>
      </c>
      <c r="G3267" s="1399">
        <v>7607037.3399999999</v>
      </c>
      <c r="J3267" s="1399">
        <v>7607037.3399999999</v>
      </c>
    </row>
    <row r="3268" spans="2:12">
      <c r="B3268" s="1297"/>
      <c r="C3268" s="1297"/>
      <c r="D3268" s="1297"/>
      <c r="E3268" s="1297" t="s">
        <v>952</v>
      </c>
      <c r="G3268" s="1399">
        <v>67839.11</v>
      </c>
      <c r="J3268" s="1399">
        <v>67839.11</v>
      </c>
    </row>
    <row r="3269" spans="2:12">
      <c r="B3269" s="1297"/>
      <c r="C3269" s="1297"/>
      <c r="D3269" s="1297"/>
      <c r="E3269" s="1297" t="s">
        <v>907</v>
      </c>
      <c r="G3269" s="1399">
        <v>1574136.04</v>
      </c>
      <c r="J3269" s="1399">
        <v>1574136.04</v>
      </c>
    </row>
    <row r="3270" spans="2:12">
      <c r="B3270" s="1297"/>
      <c r="C3270" s="1297"/>
      <c r="D3270" s="1297"/>
      <c r="E3270" s="1297" t="s">
        <v>908</v>
      </c>
      <c r="G3270" s="1399">
        <v>18337.04</v>
      </c>
      <c r="J3270" s="1399">
        <v>18337.04</v>
      </c>
    </row>
    <row r="3271" spans="2:12">
      <c r="B3271" s="1297"/>
      <c r="C3271" s="1297"/>
      <c r="D3271" s="1297"/>
      <c r="E3271" s="1297" t="s">
        <v>909</v>
      </c>
      <c r="H3271" s="1399">
        <v>45475.59</v>
      </c>
      <c r="J3271" s="1399">
        <v>45475.59</v>
      </c>
    </row>
    <row r="3272" spans="2:12">
      <c r="B3272" s="1297"/>
      <c r="C3272" s="1297"/>
      <c r="D3272" s="1297"/>
      <c r="E3272" s="1297" t="s">
        <v>1034</v>
      </c>
      <c r="H3272" s="1399">
        <v>2941</v>
      </c>
      <c r="J3272" s="1399">
        <v>2941</v>
      </c>
    </row>
    <row r="3273" spans="2:12">
      <c r="B3273" s="1297"/>
      <c r="C3273" s="1297"/>
      <c r="D3273" s="1297"/>
      <c r="E3273" s="1297" t="s">
        <v>1035</v>
      </c>
      <c r="H3273" s="1399">
        <v>137380.60999999999</v>
      </c>
      <c r="J3273" s="1399">
        <v>137380.60999999999</v>
      </c>
    </row>
    <row r="3274" spans="2:12">
      <c r="B3274" s="1297"/>
      <c r="C3274" s="1297"/>
      <c r="D3274" s="1297"/>
      <c r="E3274" s="1297" t="s">
        <v>1036</v>
      </c>
      <c r="H3274" s="1399">
        <v>97583.51</v>
      </c>
      <c r="J3274" s="1399">
        <v>97583.51</v>
      </c>
    </row>
    <row r="3275" spans="2:12">
      <c r="B3275" s="1297"/>
      <c r="C3275" s="1297"/>
      <c r="D3275" s="1297"/>
      <c r="E3275" s="1297" t="s">
        <v>1037</v>
      </c>
      <c r="H3275" s="1399">
        <v>4450.1099999999997</v>
      </c>
      <c r="J3275" s="1399">
        <v>4450.1099999999997</v>
      </c>
    </row>
    <row r="3276" spans="2:12">
      <c r="B3276" s="1297"/>
      <c r="C3276" s="1297"/>
      <c r="D3276" s="1297"/>
      <c r="E3276" s="1297" t="s">
        <v>1003</v>
      </c>
      <c r="H3276" s="1399">
        <v>15057.8</v>
      </c>
      <c r="J3276" s="1399">
        <v>15057.8</v>
      </c>
    </row>
    <row r="3277" spans="2:12">
      <c r="B3277" s="1297"/>
      <c r="C3277" s="1297"/>
      <c r="D3277" s="1297"/>
      <c r="E3277" s="1297" t="s">
        <v>1039</v>
      </c>
      <c r="H3277" s="1399">
        <v>36981.78</v>
      </c>
      <c r="J3277" s="1399">
        <v>36981.78</v>
      </c>
    </row>
    <row r="3278" spans="2:12">
      <c r="B3278" s="1297"/>
      <c r="C3278" s="1297"/>
      <c r="D3278" s="1297"/>
      <c r="E3278" s="1297" t="s">
        <v>1040</v>
      </c>
      <c r="H3278" s="1399">
        <v>189688.97</v>
      </c>
      <c r="J3278" s="1399">
        <v>189688.97</v>
      </c>
    </row>
    <row r="3279" spans="2:12">
      <c r="B3279" s="1297"/>
      <c r="C3279" s="1297"/>
      <c r="D3279" s="1297"/>
      <c r="E3279" s="1297" t="s">
        <v>1041</v>
      </c>
      <c r="H3279" s="1399">
        <v>18349.75</v>
      </c>
      <c r="J3279" s="1399">
        <v>18349.75</v>
      </c>
    </row>
    <row r="3280" spans="2:12">
      <c r="B3280" s="1297"/>
      <c r="C3280" s="1297"/>
      <c r="D3280" s="1297"/>
      <c r="E3280" s="1297" t="s">
        <v>1042</v>
      </c>
      <c r="H3280" s="1399">
        <v>43388.32</v>
      </c>
      <c r="J3280" s="1399">
        <v>43388.32</v>
      </c>
    </row>
    <row r="3281" spans="5:10" s="1297" customFormat="1">
      <c r="E3281" s="1297" t="s">
        <v>953</v>
      </c>
      <c r="F3281" s="1399"/>
      <c r="G3281" s="1399"/>
      <c r="H3281" s="1399">
        <v>31507.3</v>
      </c>
      <c r="I3281" s="1399"/>
      <c r="J3281" s="1399">
        <v>31507.3</v>
      </c>
    </row>
    <row r="3282" spans="5:10" s="1297" customFormat="1">
      <c r="E3282" s="1297" t="s">
        <v>954</v>
      </c>
      <c r="F3282" s="1399"/>
      <c r="G3282" s="1399"/>
      <c r="H3282" s="1399">
        <v>72579.06</v>
      </c>
      <c r="I3282" s="1399"/>
      <c r="J3282" s="1399">
        <v>72579.06</v>
      </c>
    </row>
    <row r="3283" spans="5:10" s="1297" customFormat="1">
      <c r="E3283" s="1297" t="s">
        <v>985</v>
      </c>
      <c r="F3283" s="1399"/>
      <c r="G3283" s="1399"/>
      <c r="H3283" s="1399">
        <v>38200.6</v>
      </c>
      <c r="I3283" s="1399"/>
      <c r="J3283" s="1399">
        <v>38200.6</v>
      </c>
    </row>
    <row r="3284" spans="5:10" s="1297" customFormat="1">
      <c r="E3284" s="1297" t="s">
        <v>1043</v>
      </c>
      <c r="F3284" s="1399"/>
      <c r="G3284" s="1399"/>
      <c r="H3284" s="1399">
        <v>4262</v>
      </c>
      <c r="I3284" s="1399"/>
      <c r="J3284" s="1399">
        <v>4262</v>
      </c>
    </row>
    <row r="3285" spans="5:10" s="1297" customFormat="1">
      <c r="E3285" s="1297" t="s">
        <v>986</v>
      </c>
      <c r="F3285" s="1399"/>
      <c r="G3285" s="1399"/>
      <c r="H3285" s="1399">
        <v>109290.55</v>
      </c>
      <c r="I3285" s="1399"/>
      <c r="J3285" s="1399">
        <v>109290.55</v>
      </c>
    </row>
    <row r="3286" spans="5:10" s="1297" customFormat="1">
      <c r="E3286" s="1297" t="s">
        <v>996</v>
      </c>
      <c r="F3286" s="1399"/>
      <c r="G3286" s="1399"/>
      <c r="H3286" s="1399">
        <v>25326</v>
      </c>
      <c r="I3286" s="1399"/>
      <c r="J3286" s="1399">
        <v>25326</v>
      </c>
    </row>
    <row r="3287" spans="5:10" s="1297" customFormat="1">
      <c r="E3287" s="1297" t="s">
        <v>1045</v>
      </c>
      <c r="F3287" s="1399"/>
      <c r="G3287" s="1399"/>
      <c r="H3287" s="1399">
        <v>451982.59999999992</v>
      </c>
      <c r="I3287" s="1399"/>
      <c r="J3287" s="1399">
        <v>451982.59999999992</v>
      </c>
    </row>
    <row r="3288" spans="5:10" s="1297" customFormat="1">
      <c r="E3288" s="1297" t="s">
        <v>1046</v>
      </c>
      <c r="F3288" s="1399"/>
      <c r="G3288" s="1399"/>
      <c r="H3288" s="1399"/>
      <c r="I3288" s="1399">
        <v>11950612</v>
      </c>
      <c r="J3288" s="1399">
        <v>11950612</v>
      </c>
    </row>
    <row r="3289" spans="5:10" s="1297" customFormat="1">
      <c r="E3289" s="1297" t="s">
        <v>1047</v>
      </c>
      <c r="F3289" s="1399"/>
      <c r="G3289" s="1399"/>
      <c r="H3289" s="1399"/>
      <c r="I3289" s="1399">
        <v>502498</v>
      </c>
      <c r="J3289" s="1399">
        <v>502498</v>
      </c>
    </row>
    <row r="3290" spans="5:10" s="1297" customFormat="1">
      <c r="E3290" s="1297" t="s">
        <v>1048</v>
      </c>
      <c r="F3290" s="1399"/>
      <c r="G3290" s="1399"/>
      <c r="H3290" s="1399"/>
      <c r="I3290" s="1399">
        <v>-2191267</v>
      </c>
      <c r="J3290" s="1399">
        <v>-2191267</v>
      </c>
    </row>
    <row r="3291" spans="5:10" s="1297" customFormat="1">
      <c r="E3291" s="1297" t="s">
        <v>932</v>
      </c>
      <c r="F3291" s="1399"/>
      <c r="G3291" s="1399"/>
      <c r="H3291" s="1399"/>
      <c r="I3291" s="1399">
        <v>428395</v>
      </c>
      <c r="J3291" s="1399">
        <v>428395</v>
      </c>
    </row>
    <row r="3292" spans="5:10" s="1297" customFormat="1">
      <c r="E3292" s="1404" t="s">
        <v>955</v>
      </c>
      <c r="F3292" s="1405"/>
      <c r="G3292" s="1405"/>
      <c r="H3292" s="1405"/>
      <c r="I3292" s="1405">
        <v>491736.86</v>
      </c>
      <c r="J3292" s="1405">
        <v>491736.86</v>
      </c>
    </row>
    <row r="3293" spans="5:10" s="1297" customFormat="1">
      <c r="E3293" s="1297" t="s">
        <v>934</v>
      </c>
      <c r="F3293" s="1399"/>
      <c r="G3293" s="1399"/>
      <c r="H3293" s="1399"/>
      <c r="I3293" s="1399">
        <v>41818</v>
      </c>
      <c r="J3293" s="1399">
        <v>41818</v>
      </c>
    </row>
    <row r="3294" spans="5:10" s="1297" customFormat="1">
      <c r="E3294" s="1297" t="s">
        <v>935</v>
      </c>
      <c r="F3294" s="1399"/>
      <c r="G3294" s="1399"/>
      <c r="H3294" s="1399"/>
      <c r="I3294" s="1399">
        <v>316802.13999999996</v>
      </c>
      <c r="J3294" s="1399">
        <v>316802.13999999996</v>
      </c>
    </row>
    <row r="3295" spans="5:10" s="1297" customFormat="1">
      <c r="E3295" s="1297" t="s">
        <v>936</v>
      </c>
      <c r="F3295" s="1399"/>
      <c r="G3295" s="1399"/>
      <c r="H3295" s="1399"/>
      <c r="I3295" s="1399">
        <v>47270.32</v>
      </c>
      <c r="J3295" s="1399">
        <v>47270.32</v>
      </c>
    </row>
    <row r="3296" spans="5:10" s="1297" customFormat="1">
      <c r="E3296" s="1297" t="s">
        <v>937</v>
      </c>
      <c r="F3296" s="1399"/>
      <c r="G3296" s="1399"/>
      <c r="H3296" s="1399"/>
      <c r="I3296" s="1399">
        <v>18513.52</v>
      </c>
      <c r="J3296" s="1399">
        <v>18513.52</v>
      </c>
    </row>
    <row r="3297" spans="2:12">
      <c r="B3297" s="1297"/>
      <c r="C3297" s="1297"/>
      <c r="D3297" s="1297"/>
      <c r="E3297" s="1297" t="s">
        <v>938</v>
      </c>
      <c r="I3297" s="1399">
        <v>16470</v>
      </c>
      <c r="J3297" s="1399">
        <v>16470</v>
      </c>
    </row>
    <row r="3298" spans="2:12">
      <c r="B3298" s="1297"/>
      <c r="C3298" s="1297"/>
      <c r="D3298" s="1297"/>
      <c r="E3298" s="1297" t="s">
        <v>939</v>
      </c>
      <c r="I3298" s="1399">
        <v>66050.740000000005</v>
      </c>
      <c r="J3298" s="1399">
        <v>66050.740000000005</v>
      </c>
    </row>
    <row r="3299" spans="2:12">
      <c r="B3299" s="1297"/>
      <c r="C3299" s="1297"/>
      <c r="D3299" s="1297"/>
      <c r="E3299" s="1297" t="s">
        <v>940</v>
      </c>
      <c r="F3299" s="1399">
        <v>764931.2</v>
      </c>
      <c r="J3299" s="1399">
        <v>764931.2</v>
      </c>
    </row>
    <row r="3300" spans="2:12">
      <c r="B3300" s="1297"/>
      <c r="C3300" s="1297"/>
      <c r="D3300" s="1297"/>
      <c r="E3300" s="1297" t="s">
        <v>941</v>
      </c>
      <c r="F3300" s="1399">
        <v>253500.1</v>
      </c>
      <c r="J3300" s="1399">
        <v>253500.1</v>
      </c>
    </row>
    <row r="3301" spans="2:12">
      <c r="B3301" s="1297"/>
      <c r="C3301" s="1297"/>
      <c r="D3301" s="1297"/>
      <c r="E3301" s="1297" t="s">
        <v>942</v>
      </c>
      <c r="F3301" s="1399">
        <v>0</v>
      </c>
      <c r="J3301" s="1399">
        <v>0</v>
      </c>
    </row>
    <row r="3302" spans="2:12">
      <c r="B3302" s="1297"/>
      <c r="C3302" s="1297"/>
      <c r="D3302" s="1297"/>
      <c r="E3302" s="1297" t="s">
        <v>943</v>
      </c>
      <c r="F3302" s="1399">
        <v>7623.48</v>
      </c>
      <c r="J3302" s="1399">
        <v>7623.48</v>
      </c>
    </row>
    <row r="3303" spans="2:12">
      <c r="B3303" s="1297"/>
      <c r="C3303" s="1297"/>
      <c r="D3303" s="1297"/>
      <c r="E3303" s="1297" t="s">
        <v>944</v>
      </c>
      <c r="F3303" s="1399">
        <v>1556441.8299999996</v>
      </c>
      <c r="J3303" s="1399">
        <v>1556441.8299999996</v>
      </c>
    </row>
    <row r="3304" spans="2:12">
      <c r="B3304" s="1297"/>
      <c r="C3304" s="1297"/>
      <c r="D3304" s="1297"/>
      <c r="E3304" s="1297" t="s">
        <v>945</v>
      </c>
      <c r="F3304" s="1399">
        <v>942202.70000000007</v>
      </c>
      <c r="J3304" s="1399">
        <v>942202.70000000007</v>
      </c>
    </row>
    <row r="3305" spans="2:12">
      <c r="B3305" s="1297"/>
      <c r="C3305" s="1297"/>
      <c r="D3305" s="1297"/>
      <c r="E3305" s="1297" t="s">
        <v>946</v>
      </c>
      <c r="F3305" s="1399">
        <v>57569.07</v>
      </c>
      <c r="J3305" s="1399">
        <v>57569.07</v>
      </c>
    </row>
    <row r="3306" spans="2:12">
      <c r="B3306" s="1297"/>
      <c r="C3306" s="1297"/>
      <c r="D3306" s="1297"/>
      <c r="E3306" s="1297" t="s">
        <v>947</v>
      </c>
      <c r="F3306" s="1399">
        <v>90862.15</v>
      </c>
      <c r="J3306" s="1399">
        <v>90862.15</v>
      </c>
    </row>
    <row r="3307" spans="2:12">
      <c r="B3307" s="1297"/>
      <c r="C3307" s="1297"/>
      <c r="D3307" s="1297"/>
      <c r="E3307" s="1404" t="s">
        <v>948</v>
      </c>
      <c r="F3307" s="1405"/>
      <c r="G3307" s="1405"/>
      <c r="H3307" s="1405">
        <v>146051.4</v>
      </c>
      <c r="I3307" s="1405"/>
      <c r="J3307" s="1405">
        <v>146051.4</v>
      </c>
    </row>
    <row r="3308" spans="2:12">
      <c r="B3308" s="1297"/>
      <c r="C3308" s="1297"/>
      <c r="D3308" s="1297"/>
      <c r="E3308" s="1297" t="s">
        <v>956</v>
      </c>
      <c r="H3308" s="1399">
        <v>5818.98</v>
      </c>
      <c r="J3308" s="1399">
        <v>5818.98</v>
      </c>
    </row>
    <row r="3309" spans="2:12">
      <c r="B3309" s="1297"/>
      <c r="C3309" s="1297"/>
      <c r="D3309" s="1297"/>
      <c r="E3309" s="1297" t="s">
        <v>1118</v>
      </c>
      <c r="H3309" s="1399">
        <v>41067</v>
      </c>
      <c r="J3309" s="1399">
        <v>41067</v>
      </c>
    </row>
    <row r="3310" spans="2:12">
      <c r="B3310" s="1297"/>
      <c r="C3310" s="1297"/>
      <c r="D3310" s="1400" t="s">
        <v>1410</v>
      </c>
      <c r="E3310" s="1400"/>
      <c r="F3310" s="1401">
        <f>SUM(F3267:F3309)</f>
        <v>3673130.5299999993</v>
      </c>
      <c r="G3310" s="1401">
        <f>SUM(G3267:G3309)</f>
        <v>9267349.5299999993</v>
      </c>
      <c r="H3310" s="1401">
        <f>SUM(H3267:H3309)-H3307</f>
        <v>1371331.5299999998</v>
      </c>
      <c r="I3310" s="1401">
        <f>SUM(I3267:I3309)-I3292</f>
        <v>11197162.720000001</v>
      </c>
      <c r="J3310" s="1401">
        <f>SUM(J3267:J3309)</f>
        <v>26146762.569999993</v>
      </c>
      <c r="K3310" s="1401">
        <f>SUM(F3310:I3310)</f>
        <v>25508974.309999999</v>
      </c>
      <c r="L3310" s="1408">
        <f>K3310/C3267</f>
        <v>10553.981923872569</v>
      </c>
    </row>
    <row r="3311" spans="2:12">
      <c r="B3311" s="1297" t="s">
        <v>1411</v>
      </c>
      <c r="C3311" s="1297">
        <v>1591</v>
      </c>
      <c r="D3311" s="1297" t="s">
        <v>1412</v>
      </c>
      <c r="E3311" s="1297" t="s">
        <v>906</v>
      </c>
      <c r="G3311" s="1399">
        <v>2973000.77</v>
      </c>
      <c r="J3311" s="1399">
        <v>2973000.77</v>
      </c>
    </row>
    <row r="3312" spans="2:12">
      <c r="B3312" s="1297"/>
      <c r="C3312" s="1297"/>
      <c r="D3312" s="1297"/>
      <c r="E3312" s="1297" t="s">
        <v>952</v>
      </c>
      <c r="G3312" s="1399">
        <v>50792.65</v>
      </c>
      <c r="J3312" s="1399">
        <v>50792.65</v>
      </c>
    </row>
    <row r="3313" spans="5:10" s="1297" customFormat="1">
      <c r="E3313" s="1297" t="s">
        <v>907</v>
      </c>
      <c r="F3313" s="1399"/>
      <c r="G3313" s="1399">
        <v>561019.31000000006</v>
      </c>
      <c r="H3313" s="1399"/>
      <c r="I3313" s="1399"/>
      <c r="J3313" s="1399">
        <v>561019.31000000006</v>
      </c>
    </row>
    <row r="3314" spans="5:10" s="1297" customFormat="1">
      <c r="E3314" s="1297" t="s">
        <v>908</v>
      </c>
      <c r="F3314" s="1399"/>
      <c r="G3314" s="1399">
        <v>4866.62</v>
      </c>
      <c r="H3314" s="1399"/>
      <c r="I3314" s="1399"/>
      <c r="J3314" s="1399">
        <v>4866.62</v>
      </c>
    </row>
    <row r="3315" spans="5:10" s="1297" customFormat="1">
      <c r="E3315" s="1297" t="s">
        <v>909</v>
      </c>
      <c r="F3315" s="1399"/>
      <c r="G3315" s="1399"/>
      <c r="H3315" s="1399">
        <v>18193.810000000001</v>
      </c>
      <c r="I3315" s="1399"/>
      <c r="J3315" s="1399">
        <v>18193.810000000001</v>
      </c>
    </row>
    <row r="3316" spans="5:10" s="1297" customFormat="1">
      <c r="E3316" s="1297" t="s">
        <v>910</v>
      </c>
      <c r="F3316" s="1399"/>
      <c r="G3316" s="1399"/>
      <c r="H3316" s="1399">
        <v>18674.66</v>
      </c>
      <c r="I3316" s="1399"/>
      <c r="J3316" s="1399">
        <v>18674.66</v>
      </c>
    </row>
    <row r="3317" spans="5:10" s="1297" customFormat="1">
      <c r="E3317" s="1297" t="s">
        <v>1034</v>
      </c>
      <c r="F3317" s="1399"/>
      <c r="G3317" s="1399"/>
      <c r="H3317" s="1399">
        <v>16417.36</v>
      </c>
      <c r="I3317" s="1399"/>
      <c r="J3317" s="1399">
        <v>16417.36</v>
      </c>
    </row>
    <row r="3318" spans="5:10" s="1297" customFormat="1">
      <c r="E3318" s="1297" t="s">
        <v>1035</v>
      </c>
      <c r="F3318" s="1399"/>
      <c r="G3318" s="1399"/>
      <c r="H3318" s="1399">
        <v>229232.53999999998</v>
      </c>
      <c r="I3318" s="1399"/>
      <c r="J3318" s="1399">
        <v>229232.53999999998</v>
      </c>
    </row>
    <row r="3319" spans="5:10" s="1297" customFormat="1">
      <c r="E3319" s="1297" t="s">
        <v>1036</v>
      </c>
      <c r="F3319" s="1399"/>
      <c r="G3319" s="1399"/>
      <c r="H3319" s="1399">
        <v>53951.94</v>
      </c>
      <c r="I3319" s="1399"/>
      <c r="J3319" s="1399">
        <v>53951.94</v>
      </c>
    </row>
    <row r="3320" spans="5:10" s="1297" customFormat="1">
      <c r="E3320" s="1297" t="s">
        <v>1039</v>
      </c>
      <c r="F3320" s="1399"/>
      <c r="G3320" s="1399"/>
      <c r="H3320" s="1399">
        <v>63682.200000000004</v>
      </c>
      <c r="I3320" s="1399"/>
      <c r="J3320" s="1399">
        <v>63682.200000000004</v>
      </c>
    </row>
    <row r="3321" spans="5:10" s="1297" customFormat="1">
      <c r="E3321" s="1297" t="s">
        <v>1040</v>
      </c>
      <c r="F3321" s="1399"/>
      <c r="G3321" s="1399"/>
      <c r="H3321" s="1399">
        <v>114614.56</v>
      </c>
      <c r="I3321" s="1399"/>
      <c r="J3321" s="1399">
        <v>114614.56</v>
      </c>
    </row>
    <row r="3322" spans="5:10" s="1297" customFormat="1">
      <c r="E3322" s="1297" t="s">
        <v>1041</v>
      </c>
      <c r="F3322" s="1399"/>
      <c r="G3322" s="1399"/>
      <c r="H3322" s="1399">
        <v>27435.74</v>
      </c>
      <c r="I3322" s="1399"/>
      <c r="J3322" s="1399">
        <v>27435.74</v>
      </c>
    </row>
    <row r="3323" spans="5:10" s="1297" customFormat="1">
      <c r="E3323" s="1297" t="s">
        <v>1042</v>
      </c>
      <c r="F3323" s="1399"/>
      <c r="G3323" s="1399"/>
      <c r="H3323" s="1399">
        <v>24253.200000000001</v>
      </c>
      <c r="I3323" s="1399"/>
      <c r="J3323" s="1399">
        <v>24253.200000000001</v>
      </c>
    </row>
    <row r="3324" spans="5:10" s="1297" customFormat="1">
      <c r="E3324" s="1297" t="s">
        <v>986</v>
      </c>
      <c r="F3324" s="1399"/>
      <c r="G3324" s="1399"/>
      <c r="H3324" s="1399">
        <v>0</v>
      </c>
      <c r="I3324" s="1399"/>
      <c r="J3324" s="1399">
        <v>0</v>
      </c>
    </row>
    <row r="3325" spans="5:10" s="1297" customFormat="1">
      <c r="E3325" s="1297" t="s">
        <v>1044</v>
      </c>
      <c r="F3325" s="1399">
        <v>72460.490000000005</v>
      </c>
      <c r="G3325" s="1399"/>
      <c r="H3325" s="1399"/>
      <c r="I3325" s="1399"/>
      <c r="J3325" s="1399">
        <v>72460.490000000005</v>
      </c>
    </row>
    <row r="3326" spans="5:10" s="1297" customFormat="1">
      <c r="E3326" s="1297" t="s">
        <v>1045</v>
      </c>
      <c r="F3326" s="1399"/>
      <c r="G3326" s="1399"/>
      <c r="H3326" s="1399">
        <v>85272.63</v>
      </c>
      <c r="I3326" s="1399"/>
      <c r="J3326" s="1399">
        <v>85272.63</v>
      </c>
    </row>
    <row r="3327" spans="5:10" s="1297" customFormat="1">
      <c r="E3327" s="1297" t="s">
        <v>1046</v>
      </c>
      <c r="F3327" s="1399"/>
      <c r="G3327" s="1399"/>
      <c r="H3327" s="1399"/>
      <c r="I3327" s="1399">
        <v>7700326</v>
      </c>
      <c r="J3327" s="1399">
        <v>7700326</v>
      </c>
    </row>
    <row r="3328" spans="5:10" s="1297" customFormat="1">
      <c r="E3328" s="1297" t="s">
        <v>1047</v>
      </c>
      <c r="F3328" s="1399"/>
      <c r="G3328" s="1399"/>
      <c r="H3328" s="1399"/>
      <c r="I3328" s="1399">
        <v>642687</v>
      </c>
      <c r="J3328" s="1399">
        <v>642687</v>
      </c>
    </row>
    <row r="3329" spans="5:10" s="1297" customFormat="1">
      <c r="E3329" s="1297" t="s">
        <v>1048</v>
      </c>
      <c r="F3329" s="1399"/>
      <c r="G3329" s="1399"/>
      <c r="H3329" s="1399"/>
      <c r="I3329" s="1399">
        <v>-697424</v>
      </c>
      <c r="J3329" s="1399">
        <v>-697424</v>
      </c>
    </row>
    <row r="3330" spans="5:10" s="1297" customFormat="1">
      <c r="E3330" s="1297" t="s">
        <v>932</v>
      </c>
      <c r="F3330" s="1399"/>
      <c r="G3330" s="1399"/>
      <c r="H3330" s="1399"/>
      <c r="I3330" s="1399">
        <v>1893801</v>
      </c>
      <c r="J3330" s="1399">
        <v>1893801</v>
      </c>
    </row>
    <row r="3331" spans="5:10" s="1297" customFormat="1">
      <c r="E3331" s="1404" t="s">
        <v>955</v>
      </c>
      <c r="F3331" s="1405"/>
      <c r="G3331" s="1405"/>
      <c r="H3331" s="1405"/>
      <c r="I3331" s="1405">
        <v>679196.58</v>
      </c>
      <c r="J3331" s="1405">
        <v>679196.58</v>
      </c>
    </row>
    <row r="3332" spans="5:10" s="1297" customFormat="1">
      <c r="E3332" s="1297" t="s">
        <v>934</v>
      </c>
      <c r="F3332" s="1399"/>
      <c r="G3332" s="1399"/>
      <c r="H3332" s="1399"/>
      <c r="I3332" s="1399">
        <v>28160</v>
      </c>
      <c r="J3332" s="1399">
        <v>28160</v>
      </c>
    </row>
    <row r="3333" spans="5:10" s="1297" customFormat="1">
      <c r="E3333" s="1297" t="s">
        <v>1130</v>
      </c>
      <c r="F3333" s="1399"/>
      <c r="G3333" s="1399"/>
      <c r="H3333" s="1399"/>
      <c r="I3333" s="1399">
        <v>192</v>
      </c>
      <c r="J3333" s="1399">
        <v>192</v>
      </c>
    </row>
    <row r="3334" spans="5:10" s="1297" customFormat="1">
      <c r="E3334" s="1297" t="s">
        <v>935</v>
      </c>
      <c r="F3334" s="1399"/>
      <c r="G3334" s="1399"/>
      <c r="H3334" s="1399"/>
      <c r="I3334" s="1399">
        <v>220583.85</v>
      </c>
      <c r="J3334" s="1399">
        <v>220583.85</v>
      </c>
    </row>
    <row r="3335" spans="5:10" s="1297" customFormat="1">
      <c r="E3335" s="1297" t="s">
        <v>936</v>
      </c>
      <c r="F3335" s="1399"/>
      <c r="G3335" s="1399"/>
      <c r="H3335" s="1399"/>
      <c r="I3335" s="1399">
        <v>22409.63</v>
      </c>
      <c r="J3335" s="1399">
        <v>22409.63</v>
      </c>
    </row>
    <row r="3336" spans="5:10" s="1297" customFormat="1">
      <c r="E3336" s="1297" t="s">
        <v>937</v>
      </c>
      <c r="F3336" s="1399"/>
      <c r="G3336" s="1399"/>
      <c r="H3336" s="1399"/>
      <c r="I3336" s="1399">
        <v>6889.66</v>
      </c>
      <c r="J3336" s="1399">
        <v>6889.66</v>
      </c>
    </row>
    <row r="3337" spans="5:10" s="1297" customFormat="1">
      <c r="E3337" s="1297" t="s">
        <v>938</v>
      </c>
      <c r="F3337" s="1399"/>
      <c r="G3337" s="1399"/>
      <c r="H3337" s="1399"/>
      <c r="I3337" s="1399">
        <v>5989</v>
      </c>
      <c r="J3337" s="1399">
        <v>5989</v>
      </c>
    </row>
    <row r="3338" spans="5:10" s="1297" customFormat="1">
      <c r="E3338" s="1297" t="s">
        <v>939</v>
      </c>
      <c r="F3338" s="1399"/>
      <c r="G3338" s="1399"/>
      <c r="H3338" s="1399"/>
      <c r="I3338" s="1399">
        <v>42250</v>
      </c>
      <c r="J3338" s="1399">
        <v>42250</v>
      </c>
    </row>
    <row r="3339" spans="5:10" s="1297" customFormat="1">
      <c r="E3339" s="1297" t="s">
        <v>940</v>
      </c>
      <c r="F3339" s="1399">
        <v>507566.68</v>
      </c>
      <c r="G3339" s="1399"/>
      <c r="H3339" s="1399"/>
      <c r="I3339" s="1399"/>
      <c r="J3339" s="1399">
        <v>507566.68</v>
      </c>
    </row>
    <row r="3340" spans="5:10" s="1297" customFormat="1">
      <c r="E3340" s="1297" t="s">
        <v>941</v>
      </c>
      <c r="F3340" s="1399">
        <v>220260.08</v>
      </c>
      <c r="G3340" s="1399"/>
      <c r="H3340" s="1399"/>
      <c r="I3340" s="1399"/>
      <c r="J3340" s="1399">
        <v>220260.08</v>
      </c>
    </row>
    <row r="3341" spans="5:10" s="1297" customFormat="1">
      <c r="E3341" s="1297" t="s">
        <v>943</v>
      </c>
      <c r="F3341" s="1399">
        <v>2387.2399999999998</v>
      </c>
      <c r="G3341" s="1399"/>
      <c r="H3341" s="1399"/>
      <c r="I3341" s="1399"/>
      <c r="J3341" s="1399">
        <v>2387.2399999999998</v>
      </c>
    </row>
    <row r="3342" spans="5:10" s="1297" customFormat="1">
      <c r="E3342" s="1297" t="s">
        <v>944</v>
      </c>
      <c r="F3342" s="1399">
        <v>1119710.1599999999</v>
      </c>
      <c r="G3342" s="1399"/>
      <c r="H3342" s="1399"/>
      <c r="I3342" s="1399"/>
      <c r="J3342" s="1399">
        <v>1119710.1599999999</v>
      </c>
    </row>
    <row r="3343" spans="5:10" s="1297" customFormat="1">
      <c r="E3343" s="1297" t="s">
        <v>945</v>
      </c>
      <c r="F3343" s="1399">
        <v>874975.94</v>
      </c>
      <c r="G3343" s="1399"/>
      <c r="H3343" s="1399"/>
      <c r="I3343" s="1399"/>
      <c r="J3343" s="1399">
        <v>874975.94</v>
      </c>
    </row>
    <row r="3344" spans="5:10" s="1297" customFormat="1">
      <c r="E3344" s="1297" t="s">
        <v>947</v>
      </c>
      <c r="F3344" s="1399">
        <v>47445.440000000002</v>
      </c>
      <c r="G3344" s="1399"/>
      <c r="H3344" s="1399"/>
      <c r="I3344" s="1399"/>
      <c r="J3344" s="1399">
        <v>47445.440000000002</v>
      </c>
    </row>
    <row r="3345" spans="2:12">
      <c r="B3345" s="1297"/>
      <c r="C3345" s="1297"/>
      <c r="D3345" s="1297"/>
      <c r="E3345" s="1404" t="s">
        <v>948</v>
      </c>
      <c r="F3345" s="1405"/>
      <c r="G3345" s="1405"/>
      <c r="H3345" s="1405">
        <v>1055587.5</v>
      </c>
      <c r="I3345" s="1405"/>
      <c r="J3345" s="1405">
        <v>1055587.5</v>
      </c>
    </row>
    <row r="3346" spans="2:12">
      <c r="B3346" s="1297"/>
      <c r="C3346" s="1297"/>
      <c r="D3346" s="1400" t="s">
        <v>1413</v>
      </c>
      <c r="E3346" s="1400"/>
      <c r="F3346" s="1401">
        <f>SUM(F3311:F3345)</f>
        <v>2844806.03</v>
      </c>
      <c r="G3346" s="1401">
        <f>SUM(G3311:G3345)</f>
        <v>3589679.35</v>
      </c>
      <c r="H3346" s="1401">
        <f>SUM(H3311:H3345)-H3345</f>
        <v>651728.64000000013</v>
      </c>
      <c r="I3346" s="1401">
        <f>SUM(I3311:I3345)-I3331</f>
        <v>9865864.1400000006</v>
      </c>
      <c r="J3346" s="1401">
        <f>SUM(J3311:J3345)</f>
        <v>18686862.240000002</v>
      </c>
      <c r="K3346" s="1401">
        <f>SUM(F3346:I3346)</f>
        <v>16952078.16</v>
      </c>
      <c r="L3346" s="1408">
        <f>K3346/C3311</f>
        <v>10654.983130106852</v>
      </c>
    </row>
    <row r="3347" spans="2:12">
      <c r="B3347" s="1297" t="s">
        <v>1414</v>
      </c>
      <c r="C3347" s="1297">
        <v>6217</v>
      </c>
      <c r="D3347" s="1297" t="s">
        <v>1415</v>
      </c>
      <c r="E3347" s="1297" t="s">
        <v>906</v>
      </c>
      <c r="G3347" s="1399">
        <v>10187522.34</v>
      </c>
      <c r="J3347" s="1399">
        <v>10187522.34</v>
      </c>
    </row>
    <row r="3348" spans="2:12">
      <c r="B3348" s="1297"/>
      <c r="C3348" s="1297"/>
      <c r="D3348" s="1297"/>
      <c r="E3348" s="1297" t="s">
        <v>952</v>
      </c>
      <c r="G3348" s="1399">
        <v>149257.09</v>
      </c>
      <c r="J3348" s="1399">
        <v>149257.09</v>
      </c>
    </row>
    <row r="3349" spans="2:12">
      <c r="B3349" s="1297"/>
      <c r="C3349" s="1297"/>
      <c r="D3349" s="1297"/>
      <c r="E3349" s="1297" t="s">
        <v>907</v>
      </c>
      <c r="G3349" s="1399">
        <v>5491905.0299999993</v>
      </c>
      <c r="J3349" s="1399">
        <v>5491905.0299999993</v>
      </c>
    </row>
    <row r="3350" spans="2:12">
      <c r="B3350" s="1297"/>
      <c r="C3350" s="1297"/>
      <c r="D3350" s="1297"/>
      <c r="E3350" s="1297" t="s">
        <v>908</v>
      </c>
      <c r="G3350" s="1399">
        <v>27504.06</v>
      </c>
      <c r="J3350" s="1399">
        <v>27504.06</v>
      </c>
    </row>
    <row r="3351" spans="2:12">
      <c r="B3351" s="1297"/>
      <c r="C3351" s="1297"/>
      <c r="D3351" s="1297"/>
      <c r="E3351" s="1297" t="s">
        <v>1037</v>
      </c>
      <c r="H3351" s="1399">
        <v>127629.06000000001</v>
      </c>
      <c r="J3351" s="1399">
        <v>127629.06000000001</v>
      </c>
    </row>
    <row r="3352" spans="2:12">
      <c r="B3352" s="1297"/>
      <c r="C3352" s="1297"/>
      <c r="D3352" s="1297"/>
      <c r="E3352" s="1297" t="s">
        <v>1039</v>
      </c>
      <c r="H3352" s="1399">
        <v>31384.859999999997</v>
      </c>
      <c r="J3352" s="1399">
        <v>31384.859999999997</v>
      </c>
    </row>
    <row r="3353" spans="2:12">
      <c r="B3353" s="1297"/>
      <c r="C3353" s="1297"/>
      <c r="D3353" s="1297"/>
      <c r="E3353" s="1297" t="s">
        <v>1040</v>
      </c>
      <c r="H3353" s="1399">
        <v>291401.42000000004</v>
      </c>
      <c r="J3353" s="1399">
        <v>291401.42000000004</v>
      </c>
    </row>
    <row r="3354" spans="2:12">
      <c r="B3354" s="1297"/>
      <c r="C3354" s="1297"/>
      <c r="D3354" s="1297"/>
      <c r="E3354" s="1297" t="s">
        <v>1041</v>
      </c>
      <c r="H3354" s="1399">
        <v>80015.679999999993</v>
      </c>
      <c r="J3354" s="1399">
        <v>80015.679999999993</v>
      </c>
    </row>
    <row r="3355" spans="2:12">
      <c r="B3355" s="1297"/>
      <c r="C3355" s="1297"/>
      <c r="D3355" s="1297"/>
      <c r="E3355" s="1297" t="s">
        <v>1042</v>
      </c>
      <c r="H3355" s="1399">
        <v>91320.99</v>
      </c>
      <c r="J3355" s="1399">
        <v>91320.99</v>
      </c>
    </row>
    <row r="3356" spans="2:12">
      <c r="B3356" s="1297"/>
      <c r="C3356" s="1297"/>
      <c r="D3356" s="1297"/>
      <c r="E3356" s="1297" t="s">
        <v>954</v>
      </c>
      <c r="H3356" s="1399">
        <v>894269.97000000009</v>
      </c>
      <c r="J3356" s="1399">
        <v>894269.97000000009</v>
      </c>
    </row>
    <row r="3357" spans="2:12">
      <c r="B3357" s="1297"/>
      <c r="C3357" s="1297"/>
      <c r="D3357" s="1297"/>
      <c r="E3357" s="1297" t="s">
        <v>985</v>
      </c>
      <c r="H3357" s="1399">
        <v>250</v>
      </c>
      <c r="J3357" s="1399">
        <v>250</v>
      </c>
    </row>
    <row r="3358" spans="2:12">
      <c r="B3358" s="1297"/>
      <c r="C3358" s="1297"/>
      <c r="D3358" s="1297"/>
      <c r="E3358" s="1297" t="s">
        <v>986</v>
      </c>
      <c r="H3358" s="1399">
        <v>83872.97</v>
      </c>
      <c r="J3358" s="1399">
        <v>83872.97</v>
      </c>
    </row>
    <row r="3359" spans="2:12">
      <c r="B3359" s="1297"/>
      <c r="C3359" s="1297"/>
      <c r="D3359" s="1297"/>
      <c r="E3359" s="1297" t="s">
        <v>1044</v>
      </c>
      <c r="F3359" s="1399">
        <v>37495.25</v>
      </c>
      <c r="J3359" s="1399">
        <v>37495.25</v>
      </c>
    </row>
    <row r="3360" spans="2:12">
      <c r="B3360" s="1297"/>
      <c r="C3360" s="1297"/>
      <c r="D3360" s="1297"/>
      <c r="E3360" s="1297" t="s">
        <v>1045</v>
      </c>
      <c r="H3360" s="1399">
        <v>873613.15</v>
      </c>
      <c r="J3360" s="1399">
        <v>873613.15</v>
      </c>
    </row>
    <row r="3361" spans="5:10" s="1297" customFormat="1">
      <c r="E3361" s="1297" t="s">
        <v>1046</v>
      </c>
      <c r="F3361" s="1399"/>
      <c r="G3361" s="1399"/>
      <c r="H3361" s="1399"/>
      <c r="I3361" s="1399">
        <v>32791254</v>
      </c>
      <c r="J3361" s="1399">
        <v>32791254</v>
      </c>
    </row>
    <row r="3362" spans="5:10" s="1297" customFormat="1">
      <c r="E3362" s="1297" t="s">
        <v>1128</v>
      </c>
      <c r="F3362" s="1399"/>
      <c r="G3362" s="1399"/>
      <c r="H3362" s="1399"/>
      <c r="I3362" s="1399">
        <v>2562306</v>
      </c>
      <c r="J3362" s="1399">
        <v>2562306</v>
      </c>
    </row>
    <row r="3363" spans="5:10" s="1297" customFormat="1">
      <c r="E3363" s="1297" t="s">
        <v>1129</v>
      </c>
      <c r="F3363" s="1399"/>
      <c r="G3363" s="1399"/>
      <c r="H3363" s="1399"/>
      <c r="I3363" s="1399">
        <v>-4738203</v>
      </c>
      <c r="J3363" s="1399">
        <v>-4738203</v>
      </c>
    </row>
    <row r="3364" spans="5:10" s="1297" customFormat="1">
      <c r="E3364" s="1297" t="s">
        <v>1047</v>
      </c>
      <c r="F3364" s="1399"/>
      <c r="G3364" s="1399"/>
      <c r="H3364" s="1399"/>
      <c r="I3364" s="1399">
        <v>1276821</v>
      </c>
      <c r="J3364" s="1399">
        <v>1276821</v>
      </c>
    </row>
    <row r="3365" spans="5:10" s="1297" customFormat="1">
      <c r="E3365" s="1297" t="s">
        <v>1048</v>
      </c>
      <c r="F3365" s="1399"/>
      <c r="G3365" s="1399"/>
      <c r="H3365" s="1399"/>
      <c r="I3365" s="1399">
        <v>-3784731</v>
      </c>
      <c r="J3365" s="1399">
        <v>-3784731</v>
      </c>
    </row>
    <row r="3366" spans="5:10" s="1297" customFormat="1">
      <c r="E3366" s="1297" t="s">
        <v>932</v>
      </c>
      <c r="F3366" s="1399"/>
      <c r="G3366" s="1399"/>
      <c r="H3366" s="1399"/>
      <c r="I3366" s="1399">
        <v>2793308</v>
      </c>
      <c r="J3366" s="1399">
        <v>2793308</v>
      </c>
    </row>
    <row r="3367" spans="5:10" s="1297" customFormat="1">
      <c r="E3367" s="1404" t="s">
        <v>955</v>
      </c>
      <c r="F3367" s="1405"/>
      <c r="G3367" s="1405"/>
      <c r="H3367" s="1405"/>
      <c r="I3367" s="1405">
        <v>1598099.43</v>
      </c>
      <c r="J3367" s="1405">
        <v>1598099.43</v>
      </c>
    </row>
    <row r="3368" spans="5:10" s="1297" customFormat="1">
      <c r="E3368" s="1297" t="s">
        <v>934</v>
      </c>
      <c r="F3368" s="1399"/>
      <c r="G3368" s="1399"/>
      <c r="H3368" s="1399"/>
      <c r="I3368" s="1399">
        <v>109716</v>
      </c>
      <c r="J3368" s="1399">
        <v>109716</v>
      </c>
    </row>
    <row r="3369" spans="5:10" s="1297" customFormat="1">
      <c r="E3369" s="1297" t="s">
        <v>935</v>
      </c>
      <c r="F3369" s="1399"/>
      <c r="G3369" s="1399"/>
      <c r="H3369" s="1399"/>
      <c r="I3369" s="1399">
        <v>811398.5</v>
      </c>
      <c r="J3369" s="1399">
        <v>811398.5</v>
      </c>
    </row>
    <row r="3370" spans="5:10" s="1297" customFormat="1">
      <c r="E3370" s="1297" t="s">
        <v>936</v>
      </c>
      <c r="F3370" s="1399"/>
      <c r="G3370" s="1399"/>
      <c r="H3370" s="1399"/>
      <c r="I3370" s="1399">
        <v>85086.58</v>
      </c>
      <c r="J3370" s="1399">
        <v>85086.58</v>
      </c>
    </row>
    <row r="3371" spans="5:10" s="1297" customFormat="1">
      <c r="E3371" s="1297" t="s">
        <v>937</v>
      </c>
      <c r="F3371" s="1399"/>
      <c r="G3371" s="1399"/>
      <c r="H3371" s="1399"/>
      <c r="I3371" s="1399">
        <v>29328.49</v>
      </c>
      <c r="J3371" s="1399">
        <v>29328.49</v>
      </c>
    </row>
    <row r="3372" spans="5:10" s="1297" customFormat="1">
      <c r="E3372" s="1297" t="s">
        <v>938</v>
      </c>
      <c r="F3372" s="1399"/>
      <c r="G3372" s="1399"/>
      <c r="H3372" s="1399"/>
      <c r="I3372" s="1399">
        <v>32378</v>
      </c>
      <c r="J3372" s="1399">
        <v>32378</v>
      </c>
    </row>
    <row r="3373" spans="5:10" s="1297" customFormat="1">
      <c r="E3373" s="1297" t="s">
        <v>940</v>
      </c>
      <c r="F3373" s="1399">
        <v>1792048.06</v>
      </c>
      <c r="G3373" s="1399"/>
      <c r="H3373" s="1399"/>
      <c r="I3373" s="1399"/>
      <c r="J3373" s="1399">
        <v>1792048.06</v>
      </c>
    </row>
    <row r="3374" spans="5:10" s="1297" customFormat="1">
      <c r="E3374" s="1297" t="s">
        <v>941</v>
      </c>
      <c r="F3374" s="1399">
        <v>655228.12</v>
      </c>
      <c r="G3374" s="1399"/>
      <c r="H3374" s="1399"/>
      <c r="I3374" s="1399"/>
      <c r="J3374" s="1399">
        <v>655228.12</v>
      </c>
    </row>
    <row r="3375" spans="5:10" s="1297" customFormat="1">
      <c r="E3375" s="1297" t="s">
        <v>943</v>
      </c>
      <c r="F3375" s="1399">
        <v>30621.200000000001</v>
      </c>
      <c r="G3375" s="1399"/>
      <c r="H3375" s="1399"/>
      <c r="I3375" s="1399"/>
      <c r="J3375" s="1399">
        <v>30621.200000000001</v>
      </c>
    </row>
    <row r="3376" spans="5:10" s="1297" customFormat="1">
      <c r="E3376" s="1297" t="s">
        <v>944</v>
      </c>
      <c r="F3376" s="1399">
        <v>2956652</v>
      </c>
      <c r="G3376" s="1399"/>
      <c r="H3376" s="1399"/>
      <c r="I3376" s="1399"/>
      <c r="J3376" s="1399">
        <v>2956652</v>
      </c>
    </row>
    <row r="3377" spans="2:12">
      <c r="B3377" s="1297"/>
      <c r="C3377" s="1297"/>
      <c r="D3377" s="1297"/>
      <c r="E3377" s="1297" t="s">
        <v>945</v>
      </c>
      <c r="F3377" s="1399">
        <v>3041451.65</v>
      </c>
      <c r="J3377" s="1399">
        <v>3041451.65</v>
      </c>
    </row>
    <row r="3378" spans="2:12">
      <c r="B3378" s="1297"/>
      <c r="C3378" s="1297"/>
      <c r="D3378" s="1297"/>
      <c r="E3378" s="1297" t="s">
        <v>946</v>
      </c>
      <c r="F3378" s="1399">
        <v>1440.66</v>
      </c>
      <c r="J3378" s="1399">
        <v>1440.66</v>
      </c>
    </row>
    <row r="3379" spans="2:12">
      <c r="B3379" s="1297"/>
      <c r="C3379" s="1297"/>
      <c r="D3379" s="1297"/>
      <c r="E3379" s="1297" t="s">
        <v>978</v>
      </c>
      <c r="F3379" s="1399">
        <v>1200</v>
      </c>
      <c r="J3379" s="1399">
        <v>1200</v>
      </c>
    </row>
    <row r="3380" spans="2:12">
      <c r="B3380" s="1297"/>
      <c r="C3380" s="1297"/>
      <c r="D3380" s="1297"/>
      <c r="E3380" s="1297" t="s">
        <v>947</v>
      </c>
      <c r="F3380" s="1399">
        <v>221223.33000000002</v>
      </c>
      <c r="J3380" s="1399">
        <v>221223.33000000002</v>
      </c>
    </row>
    <row r="3381" spans="2:12">
      <c r="B3381" s="1297"/>
      <c r="C3381" s="1297"/>
      <c r="D3381" s="1297"/>
      <c r="E3381" s="1404" t="s">
        <v>948</v>
      </c>
      <c r="F3381" s="1405"/>
      <c r="G3381" s="1405"/>
      <c r="H3381" s="1405">
        <v>1092455.8500000001</v>
      </c>
      <c r="I3381" s="1405"/>
      <c r="J3381" s="1405">
        <v>1092455.8500000001</v>
      </c>
    </row>
    <row r="3382" spans="2:12">
      <c r="B3382" s="1297"/>
      <c r="C3382" s="1297"/>
      <c r="D3382" s="1400" t="s">
        <v>1416</v>
      </c>
      <c r="E3382" s="1400"/>
      <c r="F3382" s="1401">
        <f>SUM(F3347:F3381)</f>
        <v>8737360.2700000014</v>
      </c>
      <c r="G3382" s="1401">
        <f>SUM(G3347:G3381)</f>
        <v>15856188.52</v>
      </c>
      <c r="H3382" s="1401">
        <f>SUM(H3347:H3381)-H3381</f>
        <v>2473758.1</v>
      </c>
      <c r="I3382" s="1401">
        <f>SUM(I3347:I3381)-I3367</f>
        <v>31968662.57</v>
      </c>
      <c r="J3382" s="1401">
        <f>SUM(J3347:J3381)</f>
        <v>61726524.739999995</v>
      </c>
      <c r="K3382" s="1401">
        <f>SUM(F3382:I3382)</f>
        <v>59035969.460000001</v>
      </c>
      <c r="L3382" s="1408">
        <f>K3382/C3347</f>
        <v>9495.8934309152319</v>
      </c>
    </row>
    <row r="3383" spans="2:12">
      <c r="B3383" s="1297" t="s">
        <v>1417</v>
      </c>
      <c r="C3383" s="1297">
        <v>6078</v>
      </c>
      <c r="D3383" s="1297" t="s">
        <v>1418</v>
      </c>
      <c r="E3383" s="1297" t="s">
        <v>906</v>
      </c>
      <c r="G3383" s="1399">
        <v>13252497.729999999</v>
      </c>
      <c r="J3383" s="1399">
        <v>13252497.729999999</v>
      </c>
    </row>
    <row r="3384" spans="2:12">
      <c r="B3384" s="1297"/>
      <c r="C3384" s="1297"/>
      <c r="D3384" s="1297"/>
      <c r="E3384" s="1297" t="s">
        <v>952</v>
      </c>
      <c r="G3384" s="1399">
        <v>246736.59</v>
      </c>
      <c r="J3384" s="1399">
        <v>246736.59</v>
      </c>
    </row>
    <row r="3385" spans="2:12">
      <c r="B3385" s="1297"/>
      <c r="C3385" s="1297"/>
      <c r="D3385" s="1297"/>
      <c r="E3385" s="1297" t="s">
        <v>907</v>
      </c>
      <c r="G3385" s="1399">
        <v>3507965.79</v>
      </c>
      <c r="J3385" s="1399">
        <v>3507965.79</v>
      </c>
    </row>
    <row r="3386" spans="2:12">
      <c r="B3386" s="1297"/>
      <c r="C3386" s="1297"/>
      <c r="D3386" s="1297"/>
      <c r="E3386" s="1297" t="s">
        <v>908</v>
      </c>
      <c r="G3386" s="1399">
        <v>16044.8</v>
      </c>
      <c r="J3386" s="1399">
        <v>16044.8</v>
      </c>
    </row>
    <row r="3387" spans="2:12">
      <c r="B3387" s="1297"/>
      <c r="C3387" s="1297"/>
      <c r="D3387" s="1297"/>
      <c r="E3387" s="1297" t="s">
        <v>1035</v>
      </c>
      <c r="H3387" s="1399">
        <v>360524.9</v>
      </c>
      <c r="J3387" s="1399">
        <v>360524.9</v>
      </c>
    </row>
    <row r="3388" spans="2:12">
      <c r="B3388" s="1297"/>
      <c r="C3388" s="1297"/>
      <c r="D3388" s="1297"/>
      <c r="E3388" s="1297" t="s">
        <v>1037</v>
      </c>
      <c r="H3388" s="1399">
        <v>84697.37</v>
      </c>
      <c r="J3388" s="1399">
        <v>84697.37</v>
      </c>
    </row>
    <row r="3389" spans="2:12">
      <c r="B3389" s="1297"/>
      <c r="C3389" s="1297"/>
      <c r="D3389" s="1297"/>
      <c r="E3389" s="1297" t="s">
        <v>1039</v>
      </c>
      <c r="H3389" s="1399">
        <v>116415.01999999999</v>
      </c>
      <c r="J3389" s="1399">
        <v>116415.01999999999</v>
      </c>
    </row>
    <row r="3390" spans="2:12">
      <c r="B3390" s="1297"/>
      <c r="C3390" s="1297"/>
      <c r="D3390" s="1297"/>
      <c r="E3390" s="1297" t="s">
        <v>1040</v>
      </c>
      <c r="H3390" s="1399">
        <v>710145.94</v>
      </c>
      <c r="J3390" s="1399">
        <v>710145.94</v>
      </c>
    </row>
    <row r="3391" spans="2:12">
      <c r="B3391" s="1297"/>
      <c r="C3391" s="1297"/>
      <c r="D3391" s="1297"/>
      <c r="E3391" s="1297" t="s">
        <v>1041</v>
      </c>
      <c r="H3391" s="1399">
        <v>92520.02</v>
      </c>
      <c r="J3391" s="1399">
        <v>92520.02</v>
      </c>
    </row>
    <row r="3392" spans="2:12">
      <c r="B3392" s="1297"/>
      <c r="C3392" s="1297"/>
      <c r="D3392" s="1297"/>
      <c r="E3392" s="1297" t="s">
        <v>1042</v>
      </c>
      <c r="H3392" s="1399">
        <v>69297.100000000006</v>
      </c>
      <c r="J3392" s="1399">
        <v>69297.100000000006</v>
      </c>
    </row>
    <row r="3393" spans="5:10" s="1297" customFormat="1">
      <c r="E3393" s="1297" t="s">
        <v>985</v>
      </c>
      <c r="F3393" s="1399"/>
      <c r="G3393" s="1399"/>
      <c r="H3393" s="1399">
        <v>247039.5</v>
      </c>
      <c r="I3393" s="1399"/>
      <c r="J3393" s="1399">
        <v>247039.5</v>
      </c>
    </row>
    <row r="3394" spans="5:10" s="1297" customFormat="1">
      <c r="E3394" s="1297" t="s">
        <v>1043</v>
      </c>
      <c r="F3394" s="1399"/>
      <c r="G3394" s="1399"/>
      <c r="H3394" s="1399">
        <v>26241</v>
      </c>
      <c r="I3394" s="1399"/>
      <c r="J3394" s="1399">
        <v>26241</v>
      </c>
    </row>
    <row r="3395" spans="5:10" s="1297" customFormat="1">
      <c r="E3395" s="1297" t="s">
        <v>986</v>
      </c>
      <c r="F3395" s="1399"/>
      <c r="G3395" s="1399"/>
      <c r="H3395" s="1399">
        <v>741472.08</v>
      </c>
      <c r="I3395" s="1399"/>
      <c r="J3395" s="1399">
        <v>741472.08</v>
      </c>
    </row>
    <row r="3396" spans="5:10" s="1297" customFormat="1">
      <c r="E3396" s="1297" t="s">
        <v>1045</v>
      </c>
      <c r="F3396" s="1399"/>
      <c r="G3396" s="1399"/>
      <c r="H3396" s="1399">
        <v>579498.17999999993</v>
      </c>
      <c r="I3396" s="1399"/>
      <c r="J3396" s="1399">
        <v>579498.17999999993</v>
      </c>
    </row>
    <row r="3397" spans="5:10" s="1297" customFormat="1">
      <c r="E3397" s="1297" t="s">
        <v>1046</v>
      </c>
      <c r="F3397" s="1399"/>
      <c r="G3397" s="1399"/>
      <c r="H3397" s="1399"/>
      <c r="I3397" s="1399">
        <v>27323140</v>
      </c>
      <c r="J3397" s="1399">
        <v>27323140</v>
      </c>
    </row>
    <row r="3398" spans="5:10" s="1297" customFormat="1">
      <c r="E3398" s="1297" t="s">
        <v>1047</v>
      </c>
      <c r="F3398" s="1399"/>
      <c r="G3398" s="1399"/>
      <c r="H3398" s="1399"/>
      <c r="I3398" s="1399">
        <v>875907</v>
      </c>
      <c r="J3398" s="1399">
        <v>875907</v>
      </c>
    </row>
    <row r="3399" spans="5:10" s="1297" customFormat="1">
      <c r="E3399" s="1297" t="s">
        <v>1048</v>
      </c>
      <c r="F3399" s="1399"/>
      <c r="G3399" s="1399"/>
      <c r="H3399" s="1399"/>
      <c r="I3399" s="1399">
        <v>-3914837</v>
      </c>
      <c r="J3399" s="1399">
        <v>-3914837</v>
      </c>
    </row>
    <row r="3400" spans="5:10" s="1297" customFormat="1">
      <c r="E3400" s="359" t="s">
        <v>932</v>
      </c>
      <c r="F3400" s="1411"/>
      <c r="G3400" s="1411"/>
      <c r="H3400" s="1411"/>
      <c r="I3400" s="1411">
        <v>2807865</v>
      </c>
      <c r="J3400" s="1411">
        <v>2807865</v>
      </c>
    </row>
    <row r="3401" spans="5:10" s="1297" customFormat="1">
      <c r="E3401" s="1404" t="s">
        <v>955</v>
      </c>
      <c r="F3401" s="1405"/>
      <c r="G3401" s="1405"/>
      <c r="H3401" s="1405"/>
      <c r="I3401" s="1405">
        <v>1168636.97</v>
      </c>
      <c r="J3401" s="1405">
        <v>1168636.97</v>
      </c>
    </row>
    <row r="3402" spans="5:10" s="1297" customFormat="1">
      <c r="E3402" s="1297" t="s">
        <v>934</v>
      </c>
      <c r="F3402" s="1399"/>
      <c r="G3402" s="1399"/>
      <c r="H3402" s="1399"/>
      <c r="I3402" s="1399">
        <v>93000</v>
      </c>
      <c r="J3402" s="1399">
        <v>93000</v>
      </c>
    </row>
    <row r="3403" spans="5:10" s="1297" customFormat="1">
      <c r="E3403" s="1297" t="s">
        <v>935</v>
      </c>
      <c r="F3403" s="1399"/>
      <c r="G3403" s="1399"/>
      <c r="H3403" s="1399"/>
      <c r="I3403" s="1399">
        <v>532172.13</v>
      </c>
      <c r="J3403" s="1399">
        <v>532172.13</v>
      </c>
    </row>
    <row r="3404" spans="5:10" s="1297" customFormat="1">
      <c r="E3404" s="1297" t="s">
        <v>936</v>
      </c>
      <c r="F3404" s="1399"/>
      <c r="G3404" s="1399"/>
      <c r="H3404" s="1399"/>
      <c r="I3404" s="1399">
        <v>77733.42</v>
      </c>
      <c r="J3404" s="1399">
        <v>77733.42</v>
      </c>
    </row>
    <row r="3405" spans="5:10" s="1297" customFormat="1">
      <c r="E3405" s="1297" t="s">
        <v>937</v>
      </c>
      <c r="F3405" s="1399"/>
      <c r="G3405" s="1399"/>
      <c r="H3405" s="1399"/>
      <c r="I3405" s="1399">
        <v>12797.28</v>
      </c>
      <c r="J3405" s="1399">
        <v>12797.28</v>
      </c>
    </row>
    <row r="3406" spans="5:10" s="1297" customFormat="1">
      <c r="E3406" s="1297" t="s">
        <v>938</v>
      </c>
      <c r="F3406" s="1399"/>
      <c r="G3406" s="1399"/>
      <c r="H3406" s="1399"/>
      <c r="I3406" s="1399">
        <v>31817</v>
      </c>
      <c r="J3406" s="1399">
        <v>31817</v>
      </c>
    </row>
    <row r="3407" spans="5:10" s="1297" customFormat="1">
      <c r="E3407" s="1297" t="s">
        <v>1131</v>
      </c>
      <c r="F3407" s="1399">
        <v>72858</v>
      </c>
      <c r="G3407" s="1399"/>
      <c r="H3407" s="1399"/>
      <c r="I3407" s="1399"/>
      <c r="J3407" s="1399">
        <v>72858</v>
      </c>
    </row>
    <row r="3408" spans="5:10" s="1297" customFormat="1">
      <c r="E3408" s="1297" t="s">
        <v>940</v>
      </c>
      <c r="F3408" s="1399">
        <v>1146711.76</v>
      </c>
      <c r="G3408" s="1399"/>
      <c r="H3408" s="1399"/>
      <c r="I3408" s="1399"/>
      <c r="J3408" s="1399">
        <v>1146711.76</v>
      </c>
    </row>
    <row r="3409" spans="2:12">
      <c r="B3409" s="1297"/>
      <c r="C3409" s="1297"/>
      <c r="D3409" s="1297"/>
      <c r="E3409" s="1297" t="s">
        <v>941</v>
      </c>
      <c r="F3409" s="1399">
        <v>320630.64</v>
      </c>
      <c r="J3409" s="1399">
        <v>320630.64</v>
      </c>
    </row>
    <row r="3410" spans="2:12">
      <c r="B3410" s="1297"/>
      <c r="C3410" s="1297"/>
      <c r="D3410" s="1297"/>
      <c r="E3410" s="1297" t="s">
        <v>944</v>
      </c>
      <c r="F3410" s="1399">
        <v>2229802.9300000002</v>
      </c>
      <c r="J3410" s="1399">
        <v>2229802.9300000002</v>
      </c>
    </row>
    <row r="3411" spans="2:12">
      <c r="B3411" s="1297"/>
      <c r="C3411" s="1297"/>
      <c r="D3411" s="1297"/>
      <c r="E3411" s="1297" t="s">
        <v>945</v>
      </c>
      <c r="F3411" s="1399">
        <v>1890278.33</v>
      </c>
      <c r="J3411" s="1399">
        <v>1890278.33</v>
      </c>
    </row>
    <row r="3412" spans="2:12">
      <c r="B3412" s="1297"/>
      <c r="C3412" s="1297"/>
      <c r="D3412" s="1297"/>
      <c r="E3412" s="1297" t="s">
        <v>946</v>
      </c>
      <c r="F3412" s="1399">
        <v>89.31</v>
      </c>
      <c r="J3412" s="1399">
        <v>89.31</v>
      </c>
    </row>
    <row r="3413" spans="2:12">
      <c r="B3413" s="1297"/>
      <c r="C3413" s="1297"/>
      <c r="D3413" s="1297"/>
      <c r="E3413" s="1297" t="s">
        <v>978</v>
      </c>
      <c r="F3413" s="1399">
        <v>3600</v>
      </c>
      <c r="J3413" s="1399">
        <v>3600</v>
      </c>
    </row>
    <row r="3414" spans="2:12">
      <c r="B3414" s="1297"/>
      <c r="C3414" s="1297"/>
      <c r="D3414" s="1297"/>
      <c r="E3414" s="1297" t="s">
        <v>947</v>
      </c>
      <c r="F3414" s="1399">
        <v>121266.97</v>
      </c>
      <c r="J3414" s="1399">
        <v>121266.97</v>
      </c>
    </row>
    <row r="3415" spans="2:12">
      <c r="B3415" s="1297"/>
      <c r="C3415" s="1297"/>
      <c r="D3415" s="1297"/>
      <c r="E3415" s="1404" t="s">
        <v>948</v>
      </c>
      <c r="F3415" s="1405"/>
      <c r="G3415" s="1405"/>
      <c r="H3415" s="1405">
        <v>585317.44999999995</v>
      </c>
      <c r="I3415" s="1405"/>
      <c r="J3415" s="1405">
        <v>585317.44999999995</v>
      </c>
    </row>
    <row r="3416" spans="2:12">
      <c r="B3416" s="1297"/>
      <c r="C3416" s="1297"/>
      <c r="D3416" s="1297"/>
      <c r="E3416" s="1297" t="s">
        <v>956</v>
      </c>
      <c r="H3416" s="1399">
        <v>29019.41</v>
      </c>
      <c r="J3416" s="1399">
        <v>29019.41</v>
      </c>
    </row>
    <row r="3417" spans="2:12">
      <c r="B3417" s="1297"/>
      <c r="C3417" s="1297"/>
      <c r="D3417" s="1297"/>
      <c r="E3417" s="1297" t="s">
        <v>1118</v>
      </c>
      <c r="H3417" s="1399">
        <v>231</v>
      </c>
      <c r="J3417" s="1399">
        <v>231</v>
      </c>
    </row>
    <row r="3418" spans="2:12">
      <c r="B3418" s="1297"/>
      <c r="C3418" s="1297"/>
      <c r="D3418" s="1400" t="s">
        <v>1419</v>
      </c>
      <c r="E3418" s="1400"/>
      <c r="F3418" s="1401">
        <f>SUM(F3383:F3417)</f>
        <v>5785237.9399999995</v>
      </c>
      <c r="G3418" s="1401">
        <f>SUM(G3383:G3417)</f>
        <v>17023244.91</v>
      </c>
      <c r="H3418" s="1401">
        <f>SUM(H3383:H3417)-H3415</f>
        <v>3057101.5200000005</v>
      </c>
      <c r="I3418" s="1401">
        <f>SUM(I3383:I3417)-I3401</f>
        <v>27839594.830000002</v>
      </c>
      <c r="J3418" s="1401">
        <f>SUM(J3383:J3417)</f>
        <v>55459133.619999997</v>
      </c>
      <c r="K3418" s="1401">
        <f>SUM(F3418:I3418)</f>
        <v>53705179.200000003</v>
      </c>
      <c r="L3418" s="1408">
        <f>K3418/C3383</f>
        <v>8835.9952615992115</v>
      </c>
    </row>
    <row r="3419" spans="2:12">
      <c r="B3419" s="1297" t="s">
        <v>1420</v>
      </c>
      <c r="C3419" s="1297">
        <v>10073</v>
      </c>
      <c r="D3419" s="1297" t="s">
        <v>1421</v>
      </c>
      <c r="E3419" s="1297" t="s">
        <v>906</v>
      </c>
      <c r="G3419" s="1399">
        <v>17397972.890000001</v>
      </c>
      <c r="J3419" s="1399">
        <v>17397972.890000001</v>
      </c>
    </row>
    <row r="3420" spans="2:12">
      <c r="B3420" s="1297"/>
      <c r="C3420" s="1297"/>
      <c r="D3420" s="1297"/>
      <c r="E3420" s="1297" t="s">
        <v>907</v>
      </c>
      <c r="G3420" s="1399">
        <v>7921039.7800000003</v>
      </c>
      <c r="J3420" s="1399">
        <v>7921039.7800000003</v>
      </c>
    </row>
    <row r="3421" spans="2:12">
      <c r="B3421" s="1297"/>
      <c r="C3421" s="1297"/>
      <c r="D3421" s="1297"/>
      <c r="E3421" s="1297" t="s">
        <v>995</v>
      </c>
      <c r="G3421" s="1399">
        <v>51308.23</v>
      </c>
      <c r="J3421" s="1399">
        <v>51308.23</v>
      </c>
    </row>
    <row r="3422" spans="2:12">
      <c r="B3422" s="1297"/>
      <c r="C3422" s="1297"/>
      <c r="D3422" s="1297"/>
      <c r="E3422" s="1297" t="s">
        <v>908</v>
      </c>
      <c r="G3422" s="1399">
        <v>32634.639999999999</v>
      </c>
      <c r="J3422" s="1399">
        <v>32634.639999999999</v>
      </c>
    </row>
    <row r="3423" spans="2:12">
      <c r="B3423" s="1297"/>
      <c r="C3423" s="1297"/>
      <c r="D3423" s="1297"/>
      <c r="E3423" s="1297" t="s">
        <v>909</v>
      </c>
      <c r="H3423" s="1399">
        <v>34547.26</v>
      </c>
      <c r="J3423" s="1399">
        <v>34547.26</v>
      </c>
    </row>
    <row r="3424" spans="2:12">
      <c r="B3424" s="1297"/>
      <c r="C3424" s="1297"/>
      <c r="D3424" s="1297"/>
      <c r="E3424" s="1297" t="s">
        <v>910</v>
      </c>
      <c r="H3424" s="1399">
        <v>99818.15</v>
      </c>
      <c r="J3424" s="1399">
        <v>99818.15</v>
      </c>
    </row>
    <row r="3425" spans="5:10" s="1297" customFormat="1">
      <c r="E3425" s="1297" t="s">
        <v>1034</v>
      </c>
      <c r="F3425" s="1399"/>
      <c r="G3425" s="1399"/>
      <c r="H3425" s="1399">
        <v>49421.01</v>
      </c>
      <c r="I3425" s="1399"/>
      <c r="J3425" s="1399">
        <v>49421.01</v>
      </c>
    </row>
    <row r="3426" spans="5:10" s="1297" customFormat="1">
      <c r="E3426" s="1297" t="s">
        <v>1035</v>
      </c>
      <c r="F3426" s="1399"/>
      <c r="G3426" s="1399"/>
      <c r="H3426" s="1399">
        <v>1229070.4099999999</v>
      </c>
      <c r="I3426" s="1399"/>
      <c r="J3426" s="1399">
        <v>1229070.4099999999</v>
      </c>
    </row>
    <row r="3427" spans="5:10" s="1297" customFormat="1">
      <c r="E3427" s="1297" t="s">
        <v>1036</v>
      </c>
      <c r="F3427" s="1399"/>
      <c r="G3427" s="1399"/>
      <c r="H3427" s="1399">
        <v>139131.82</v>
      </c>
      <c r="I3427" s="1399"/>
      <c r="J3427" s="1399">
        <v>139131.82</v>
      </c>
    </row>
    <row r="3428" spans="5:10" s="1297" customFormat="1">
      <c r="E3428" s="1297" t="s">
        <v>1039</v>
      </c>
      <c r="F3428" s="1399"/>
      <c r="G3428" s="1399"/>
      <c r="H3428" s="1399">
        <v>154712.9</v>
      </c>
      <c r="I3428" s="1399"/>
      <c r="J3428" s="1399">
        <v>154712.9</v>
      </c>
    </row>
    <row r="3429" spans="5:10" s="1297" customFormat="1">
      <c r="E3429" s="1297" t="s">
        <v>1040</v>
      </c>
      <c r="F3429" s="1399"/>
      <c r="G3429" s="1399"/>
      <c r="H3429" s="1399">
        <v>1082349.32</v>
      </c>
      <c r="I3429" s="1399"/>
      <c r="J3429" s="1399">
        <v>1082349.32</v>
      </c>
    </row>
    <row r="3430" spans="5:10" s="1297" customFormat="1">
      <c r="E3430" s="1297" t="s">
        <v>1041</v>
      </c>
      <c r="F3430" s="1399"/>
      <c r="G3430" s="1399"/>
      <c r="H3430" s="1399">
        <v>18206.89</v>
      </c>
      <c r="I3430" s="1399"/>
      <c r="J3430" s="1399">
        <v>18206.89</v>
      </c>
    </row>
    <row r="3431" spans="5:10" s="1297" customFormat="1">
      <c r="E3431" s="1297" t="s">
        <v>1042</v>
      </c>
      <c r="F3431" s="1399"/>
      <c r="G3431" s="1399"/>
      <c r="H3431" s="1399">
        <v>154135.28</v>
      </c>
      <c r="I3431" s="1399"/>
      <c r="J3431" s="1399">
        <v>154135.28</v>
      </c>
    </row>
    <row r="3432" spans="5:10" s="1297" customFormat="1">
      <c r="E3432" s="1297" t="s">
        <v>1043</v>
      </c>
      <c r="F3432" s="1399"/>
      <c r="G3432" s="1399"/>
      <c r="H3432" s="1399">
        <v>33130</v>
      </c>
      <c r="I3432" s="1399"/>
      <c r="J3432" s="1399">
        <v>33130</v>
      </c>
    </row>
    <row r="3433" spans="5:10" s="1297" customFormat="1">
      <c r="E3433" s="1297" t="s">
        <v>996</v>
      </c>
      <c r="F3433" s="1399"/>
      <c r="G3433" s="1399"/>
      <c r="H3433" s="1399">
        <v>5305.8</v>
      </c>
      <c r="I3433" s="1399"/>
      <c r="J3433" s="1399">
        <v>5305.8</v>
      </c>
    </row>
    <row r="3434" spans="5:10" s="1297" customFormat="1">
      <c r="E3434" s="1297" t="s">
        <v>1044</v>
      </c>
      <c r="F3434" s="1399">
        <v>76453.98</v>
      </c>
      <c r="G3434" s="1399"/>
      <c r="H3434" s="1399"/>
      <c r="I3434" s="1399"/>
      <c r="J3434" s="1399">
        <v>76453.98</v>
      </c>
    </row>
    <row r="3435" spans="5:10" s="1297" customFormat="1">
      <c r="E3435" s="1297" t="s">
        <v>1045</v>
      </c>
      <c r="F3435" s="1399"/>
      <c r="G3435" s="1399"/>
      <c r="H3435" s="1399">
        <v>247972.01</v>
      </c>
      <c r="I3435" s="1399"/>
      <c r="J3435" s="1399">
        <v>247972.01</v>
      </c>
    </row>
    <row r="3436" spans="5:10" s="1297" customFormat="1">
      <c r="E3436" s="1297" t="s">
        <v>1046</v>
      </c>
      <c r="F3436" s="1399"/>
      <c r="G3436" s="1399"/>
      <c r="H3436" s="1399"/>
      <c r="I3436" s="1399">
        <v>50540266</v>
      </c>
      <c r="J3436" s="1399">
        <v>50540266</v>
      </c>
    </row>
    <row r="3437" spans="5:10" s="1297" customFormat="1">
      <c r="E3437" s="1297" t="s">
        <v>1128</v>
      </c>
      <c r="F3437" s="1399"/>
      <c r="G3437" s="1399"/>
      <c r="H3437" s="1399"/>
      <c r="I3437" s="1399">
        <v>4430790</v>
      </c>
      <c r="J3437" s="1399">
        <v>4430790</v>
      </c>
    </row>
    <row r="3438" spans="5:10" s="1297" customFormat="1">
      <c r="E3438" s="1297" t="s">
        <v>1129</v>
      </c>
      <c r="F3438" s="1399"/>
      <c r="G3438" s="1399"/>
      <c r="H3438" s="1399"/>
      <c r="I3438" s="1399">
        <v>-8562440</v>
      </c>
      <c r="J3438" s="1399">
        <v>-8562440</v>
      </c>
    </row>
    <row r="3439" spans="5:10" s="1297" customFormat="1">
      <c r="E3439" s="1297" t="s">
        <v>1047</v>
      </c>
      <c r="F3439" s="1399"/>
      <c r="G3439" s="1399"/>
      <c r="H3439" s="1399"/>
      <c r="I3439" s="1399">
        <v>1182872</v>
      </c>
      <c r="J3439" s="1399">
        <v>1182872</v>
      </c>
    </row>
    <row r="3440" spans="5:10" s="1297" customFormat="1">
      <c r="E3440" s="1297" t="s">
        <v>1048</v>
      </c>
      <c r="F3440" s="1399"/>
      <c r="G3440" s="1399"/>
      <c r="H3440" s="1399"/>
      <c r="I3440" s="1399">
        <v>-5824647</v>
      </c>
      <c r="J3440" s="1399">
        <v>-5824647</v>
      </c>
    </row>
    <row r="3441" spans="5:10" s="1297" customFormat="1">
      <c r="E3441" s="1297" t="s">
        <v>932</v>
      </c>
      <c r="F3441" s="1399"/>
      <c r="G3441" s="1399"/>
      <c r="H3441" s="1399"/>
      <c r="I3441" s="1399">
        <v>10905796</v>
      </c>
      <c r="J3441" s="1399">
        <v>10905796</v>
      </c>
    </row>
    <row r="3442" spans="5:10" s="1297" customFormat="1">
      <c r="E3442" s="1404" t="s">
        <v>955</v>
      </c>
      <c r="F3442" s="1405"/>
      <c r="G3442" s="1405"/>
      <c r="H3442" s="1405"/>
      <c r="I3442" s="1405">
        <v>1694803.31</v>
      </c>
      <c r="J3442" s="1405">
        <v>1694803.31</v>
      </c>
    </row>
    <row r="3443" spans="5:10" s="1297" customFormat="1">
      <c r="E3443" s="1297" t="s">
        <v>934</v>
      </c>
      <c r="F3443" s="1399"/>
      <c r="G3443" s="1399"/>
      <c r="H3443" s="1399"/>
      <c r="I3443" s="1399">
        <v>173656</v>
      </c>
      <c r="J3443" s="1399">
        <v>173656</v>
      </c>
    </row>
    <row r="3444" spans="5:10" s="1297" customFormat="1">
      <c r="E3444" s="1297" t="s">
        <v>935</v>
      </c>
      <c r="F3444" s="1399"/>
      <c r="G3444" s="1399"/>
      <c r="H3444" s="1399"/>
      <c r="I3444" s="1399">
        <v>296429.98</v>
      </c>
      <c r="J3444" s="1399">
        <v>296429.98</v>
      </c>
    </row>
    <row r="3445" spans="5:10" s="1297" customFormat="1">
      <c r="E3445" s="1297" t="s">
        <v>936</v>
      </c>
      <c r="F3445" s="1399"/>
      <c r="G3445" s="1399"/>
      <c r="H3445" s="1399"/>
      <c r="I3445" s="1399">
        <v>125704.04</v>
      </c>
      <c r="J3445" s="1399">
        <v>125704.04</v>
      </c>
    </row>
    <row r="3446" spans="5:10" s="1297" customFormat="1">
      <c r="E3446" s="1297" t="s">
        <v>937</v>
      </c>
      <c r="F3446" s="1399"/>
      <c r="G3446" s="1399"/>
      <c r="H3446" s="1399"/>
      <c r="I3446" s="1399">
        <v>20300.689999999999</v>
      </c>
      <c r="J3446" s="1399">
        <v>20300.689999999999</v>
      </c>
    </row>
    <row r="3447" spans="5:10" s="1297" customFormat="1">
      <c r="E3447" s="1297" t="s">
        <v>938</v>
      </c>
      <c r="F3447" s="1399"/>
      <c r="G3447" s="1399"/>
      <c r="H3447" s="1399"/>
      <c r="I3447" s="1399">
        <v>61950</v>
      </c>
      <c r="J3447" s="1399">
        <v>61950</v>
      </c>
    </row>
    <row r="3448" spans="5:10" s="1297" customFormat="1">
      <c r="E3448" s="1297" t="s">
        <v>939</v>
      </c>
      <c r="F3448" s="1399"/>
      <c r="G3448" s="1399"/>
      <c r="H3448" s="1399"/>
      <c r="I3448" s="1399">
        <v>21573.360000000001</v>
      </c>
      <c r="J3448" s="1399">
        <v>21573.360000000001</v>
      </c>
    </row>
    <row r="3449" spans="5:10" s="1297" customFormat="1">
      <c r="E3449" s="1297" t="s">
        <v>1131</v>
      </c>
      <c r="F3449" s="1399">
        <v>173526.85</v>
      </c>
      <c r="G3449" s="1399"/>
      <c r="H3449" s="1399"/>
      <c r="I3449" s="1399"/>
      <c r="J3449" s="1399">
        <v>173526.85</v>
      </c>
    </row>
    <row r="3450" spans="5:10" s="1297" customFormat="1">
      <c r="E3450" s="1297" t="s">
        <v>940</v>
      </c>
      <c r="F3450" s="1399">
        <v>2811134.48</v>
      </c>
      <c r="G3450" s="1399"/>
      <c r="H3450" s="1399"/>
      <c r="I3450" s="1399"/>
      <c r="J3450" s="1399">
        <v>2811134.48</v>
      </c>
    </row>
    <row r="3451" spans="5:10" s="1297" customFormat="1">
      <c r="E3451" s="1297" t="s">
        <v>941</v>
      </c>
      <c r="F3451" s="1399">
        <v>1087048.26</v>
      </c>
      <c r="G3451" s="1399"/>
      <c r="H3451" s="1399"/>
      <c r="I3451" s="1399"/>
      <c r="J3451" s="1399">
        <v>1087048.26</v>
      </c>
    </row>
    <row r="3452" spans="5:10" s="1297" customFormat="1">
      <c r="E3452" s="1297" t="s">
        <v>943</v>
      </c>
      <c r="F3452" s="1399">
        <v>11928.8</v>
      </c>
      <c r="G3452" s="1399"/>
      <c r="H3452" s="1399"/>
      <c r="I3452" s="1399"/>
      <c r="J3452" s="1399">
        <v>11928.8</v>
      </c>
    </row>
    <row r="3453" spans="5:10" s="1297" customFormat="1">
      <c r="E3453" s="1297" t="s">
        <v>944</v>
      </c>
      <c r="F3453" s="1399">
        <v>5471228.2999999998</v>
      </c>
      <c r="G3453" s="1399"/>
      <c r="H3453" s="1399"/>
      <c r="I3453" s="1399"/>
      <c r="J3453" s="1399">
        <v>5471228.2999999998</v>
      </c>
    </row>
    <row r="3454" spans="5:10" s="1297" customFormat="1">
      <c r="E3454" s="1297" t="s">
        <v>945</v>
      </c>
      <c r="F3454" s="1399">
        <v>3563202.44</v>
      </c>
      <c r="G3454" s="1399"/>
      <c r="H3454" s="1399"/>
      <c r="I3454" s="1399"/>
      <c r="J3454" s="1399">
        <v>3563202.44</v>
      </c>
    </row>
    <row r="3455" spans="5:10" s="1297" customFormat="1">
      <c r="E3455" s="1297" t="s">
        <v>1006</v>
      </c>
      <c r="F3455" s="1399">
        <v>11001514.109999999</v>
      </c>
      <c r="G3455" s="1399"/>
      <c r="H3455" s="1399"/>
      <c r="I3455" s="1399"/>
      <c r="J3455" s="1399">
        <v>11001514.109999999</v>
      </c>
    </row>
    <row r="3456" spans="5:10" s="1297" customFormat="1">
      <c r="E3456" s="1297" t="s">
        <v>947</v>
      </c>
      <c r="F3456" s="1399">
        <v>273574.81</v>
      </c>
      <c r="G3456" s="1399"/>
      <c r="H3456" s="1399"/>
      <c r="I3456" s="1399"/>
      <c r="J3456" s="1399">
        <v>273574.81</v>
      </c>
    </row>
    <row r="3457" spans="2:12">
      <c r="B3457" s="1297"/>
      <c r="C3457" s="1297"/>
      <c r="D3457" s="1297"/>
      <c r="E3457" s="1297" t="s">
        <v>1115</v>
      </c>
      <c r="F3457" s="1399">
        <v>841595</v>
      </c>
      <c r="J3457" s="1399">
        <v>841595</v>
      </c>
    </row>
    <row r="3458" spans="2:12">
      <c r="B3458" s="1297"/>
      <c r="C3458" s="1297"/>
      <c r="D3458" s="1297"/>
      <c r="E3458" s="1404" t="s">
        <v>948</v>
      </c>
      <c r="F3458" s="1405"/>
      <c r="G3458" s="1405"/>
      <c r="H3458" s="1405">
        <v>5013512.84</v>
      </c>
      <c r="I3458" s="1405"/>
      <c r="J3458" s="1405">
        <v>5013512.84</v>
      </c>
    </row>
    <row r="3459" spans="2:12">
      <c r="B3459" s="1297"/>
      <c r="C3459" s="1297"/>
      <c r="D3459" s="1400" t="s">
        <v>1422</v>
      </c>
      <c r="E3459" s="1400"/>
      <c r="F3459" s="1401">
        <f>SUM(F3419:F3458)</f>
        <v>25311207.029999997</v>
      </c>
      <c r="G3459" s="1401">
        <f>SUM(G3419:G3458)</f>
        <v>25402955.540000003</v>
      </c>
      <c r="H3459" s="1401">
        <f>SUM(H3419:H3458)-H3458</f>
        <v>3247800.8499999996</v>
      </c>
      <c r="I3459" s="1401">
        <f>SUM(I3419:I3458)-I3442</f>
        <v>53372251.069999993</v>
      </c>
      <c r="J3459" s="1401">
        <f>SUM(J3419:J3458)</f>
        <v>114042530.64000002</v>
      </c>
      <c r="K3459" s="1401">
        <f>SUM(F3459:I3459)</f>
        <v>107334214.48999999</v>
      </c>
      <c r="L3459" s="1408">
        <f>K3459/C3419</f>
        <v>10655.635311228034</v>
      </c>
    </row>
    <row r="3460" spans="2:12">
      <c r="B3460" s="1297" t="s">
        <v>1423</v>
      </c>
      <c r="C3460" s="1297">
        <v>1146</v>
      </c>
      <c r="D3460" s="1297" t="s">
        <v>1424</v>
      </c>
      <c r="E3460" s="1297" t="s">
        <v>906</v>
      </c>
      <c r="G3460" s="1399">
        <v>4616863.96</v>
      </c>
      <c r="J3460" s="1399">
        <v>4616863.96</v>
      </c>
    </row>
    <row r="3461" spans="2:12">
      <c r="B3461" s="1297"/>
      <c r="C3461" s="1297"/>
      <c r="D3461" s="1297"/>
      <c r="E3461" s="1297" t="s">
        <v>952</v>
      </c>
      <c r="G3461" s="1399">
        <v>36903.760000000002</v>
      </c>
      <c r="J3461" s="1399">
        <v>36903.760000000002</v>
      </c>
    </row>
    <row r="3462" spans="2:12">
      <c r="B3462" s="1297"/>
      <c r="C3462" s="1297"/>
      <c r="D3462" s="1297"/>
      <c r="E3462" s="1297" t="s">
        <v>907</v>
      </c>
      <c r="G3462" s="1399">
        <v>730348.61</v>
      </c>
      <c r="J3462" s="1399">
        <v>730348.61</v>
      </c>
    </row>
    <row r="3463" spans="2:12">
      <c r="B3463" s="1297"/>
      <c r="C3463" s="1297"/>
      <c r="D3463" s="1297"/>
      <c r="E3463" s="1297" t="s">
        <v>909</v>
      </c>
      <c r="H3463" s="1399">
        <v>27259.02</v>
      </c>
      <c r="J3463" s="1399">
        <v>27259.02</v>
      </c>
    </row>
    <row r="3464" spans="2:12">
      <c r="B3464" s="1297"/>
      <c r="C3464" s="1297"/>
      <c r="D3464" s="1297"/>
      <c r="E3464" s="1297" t="s">
        <v>1034</v>
      </c>
      <c r="H3464" s="1399">
        <v>15498</v>
      </c>
      <c r="J3464" s="1399">
        <v>15498</v>
      </c>
    </row>
    <row r="3465" spans="2:12">
      <c r="B3465" s="1297"/>
      <c r="C3465" s="1297"/>
      <c r="D3465" s="1297"/>
      <c r="E3465" s="1297" t="s">
        <v>1035</v>
      </c>
      <c r="H3465" s="1399">
        <v>292650.57</v>
      </c>
      <c r="J3465" s="1399">
        <v>292650.57</v>
      </c>
    </row>
    <row r="3466" spans="2:12">
      <c r="B3466" s="1297"/>
      <c r="C3466" s="1297"/>
      <c r="D3466" s="1297"/>
      <c r="E3466" s="1297" t="s">
        <v>1036</v>
      </c>
      <c r="H3466" s="1399">
        <v>122368.1</v>
      </c>
      <c r="J3466" s="1399">
        <v>122368.1</v>
      </c>
    </row>
    <row r="3467" spans="2:12">
      <c r="B3467" s="1297"/>
      <c r="C3467" s="1297"/>
      <c r="D3467" s="1297"/>
      <c r="E3467" s="1297" t="s">
        <v>1039</v>
      </c>
      <c r="H3467" s="1399">
        <v>58969.539999999994</v>
      </c>
      <c r="J3467" s="1399">
        <v>58969.539999999994</v>
      </c>
    </row>
    <row r="3468" spans="2:12">
      <c r="B3468" s="1297"/>
      <c r="C3468" s="1297"/>
      <c r="D3468" s="1297"/>
      <c r="E3468" s="1297" t="s">
        <v>1040</v>
      </c>
      <c r="H3468" s="1399">
        <v>72401.59</v>
      </c>
      <c r="J3468" s="1399">
        <v>72401.59</v>
      </c>
    </row>
    <row r="3469" spans="2:12">
      <c r="B3469" s="1297"/>
      <c r="C3469" s="1297"/>
      <c r="D3469" s="1297"/>
      <c r="E3469" s="1297" t="s">
        <v>1127</v>
      </c>
      <c r="H3469" s="1399">
        <v>11549.4</v>
      </c>
      <c r="J3469" s="1399">
        <v>11549.4</v>
      </c>
    </row>
    <row r="3470" spans="2:12">
      <c r="B3470" s="1297"/>
      <c r="C3470" s="1297"/>
      <c r="D3470" s="1297"/>
      <c r="E3470" s="1297" t="s">
        <v>1041</v>
      </c>
      <c r="H3470" s="1399">
        <v>10473.52</v>
      </c>
      <c r="J3470" s="1399">
        <v>10473.52</v>
      </c>
    </row>
    <row r="3471" spans="2:12">
      <c r="B3471" s="1297"/>
      <c r="C3471" s="1297"/>
      <c r="D3471" s="1297"/>
      <c r="E3471" s="1297" t="s">
        <v>1042</v>
      </c>
      <c r="H3471" s="1399">
        <v>24091.8</v>
      </c>
      <c r="J3471" s="1399">
        <v>24091.8</v>
      </c>
    </row>
    <row r="3472" spans="2:12">
      <c r="B3472" s="1297"/>
      <c r="C3472" s="1297"/>
      <c r="D3472" s="1297"/>
      <c r="E3472" s="1297" t="s">
        <v>1043</v>
      </c>
      <c r="H3472" s="1399">
        <v>10540</v>
      </c>
      <c r="J3472" s="1399">
        <v>10540</v>
      </c>
    </row>
    <row r="3473" spans="5:10" s="1297" customFormat="1">
      <c r="E3473" s="1297" t="s">
        <v>996</v>
      </c>
      <c r="F3473" s="1399"/>
      <c r="G3473" s="1399"/>
      <c r="H3473" s="1399">
        <v>28893</v>
      </c>
      <c r="I3473" s="1399"/>
      <c r="J3473" s="1399">
        <v>28893</v>
      </c>
    </row>
    <row r="3474" spans="5:10" s="1297" customFormat="1">
      <c r="E3474" s="1297" t="s">
        <v>1045</v>
      </c>
      <c r="F3474" s="1399"/>
      <c r="G3474" s="1399"/>
      <c r="H3474" s="1399">
        <v>12209.46</v>
      </c>
      <c r="I3474" s="1399"/>
      <c r="J3474" s="1399">
        <v>12209.46</v>
      </c>
    </row>
    <row r="3475" spans="5:10" s="1297" customFormat="1">
      <c r="E3475" s="1297" t="s">
        <v>1046</v>
      </c>
      <c r="F3475" s="1399"/>
      <c r="G3475" s="1399"/>
      <c r="H3475" s="1399"/>
      <c r="I3475" s="1399">
        <v>6970010</v>
      </c>
      <c r="J3475" s="1399">
        <v>6970010</v>
      </c>
    </row>
    <row r="3476" spans="5:10" s="1297" customFormat="1">
      <c r="E3476" s="1297" t="s">
        <v>1047</v>
      </c>
      <c r="F3476" s="1399"/>
      <c r="G3476" s="1399"/>
      <c r="H3476" s="1399"/>
      <c r="I3476" s="1399">
        <v>367375</v>
      </c>
      <c r="J3476" s="1399">
        <v>367375</v>
      </c>
    </row>
    <row r="3477" spans="5:10" s="1297" customFormat="1">
      <c r="E3477" s="1297" t="s">
        <v>1048</v>
      </c>
      <c r="F3477" s="1399"/>
      <c r="G3477" s="1399"/>
      <c r="H3477" s="1399"/>
      <c r="I3477" s="1399">
        <v>-1259158</v>
      </c>
      <c r="J3477" s="1399">
        <v>-1259158</v>
      </c>
    </row>
    <row r="3478" spans="5:10" s="1297" customFormat="1">
      <c r="E3478" s="1297" t="s">
        <v>932</v>
      </c>
      <c r="F3478" s="1399"/>
      <c r="G3478" s="1399"/>
      <c r="H3478" s="1399"/>
      <c r="I3478" s="1399">
        <v>121940</v>
      </c>
      <c r="J3478" s="1399">
        <v>121940</v>
      </c>
    </row>
    <row r="3479" spans="5:10" s="1297" customFormat="1">
      <c r="E3479" s="1404" t="s">
        <v>955</v>
      </c>
      <c r="F3479" s="1405"/>
      <c r="G3479" s="1405"/>
      <c r="H3479" s="1405"/>
      <c r="I3479" s="1405">
        <v>394894.22</v>
      </c>
      <c r="J3479" s="1405">
        <v>394894.22</v>
      </c>
    </row>
    <row r="3480" spans="5:10" s="1297" customFormat="1">
      <c r="E3480" s="1297" t="s">
        <v>934</v>
      </c>
      <c r="F3480" s="1399"/>
      <c r="G3480" s="1399"/>
      <c r="H3480" s="1399"/>
      <c r="I3480" s="1399">
        <v>22332</v>
      </c>
      <c r="J3480" s="1399">
        <v>22332</v>
      </c>
    </row>
    <row r="3481" spans="5:10" s="1297" customFormat="1">
      <c r="E3481" s="1297" t="s">
        <v>935</v>
      </c>
      <c r="F3481" s="1399"/>
      <c r="G3481" s="1399"/>
      <c r="H3481" s="1399"/>
      <c r="I3481" s="1399">
        <v>487432.13999999996</v>
      </c>
      <c r="J3481" s="1399">
        <v>487432.13999999996</v>
      </c>
    </row>
    <row r="3482" spans="5:10" s="1297" customFormat="1">
      <c r="E3482" s="1297" t="s">
        <v>936</v>
      </c>
      <c r="F3482" s="1399"/>
      <c r="G3482" s="1399"/>
      <c r="H3482" s="1399"/>
      <c r="I3482" s="1399">
        <v>30463.1</v>
      </c>
      <c r="J3482" s="1399">
        <v>30463.1</v>
      </c>
    </row>
    <row r="3483" spans="5:10" s="1297" customFormat="1">
      <c r="E3483" s="1297" t="s">
        <v>937</v>
      </c>
      <c r="F3483" s="1399"/>
      <c r="G3483" s="1399"/>
      <c r="H3483" s="1399"/>
      <c r="I3483" s="1399">
        <v>5985.08</v>
      </c>
      <c r="J3483" s="1399">
        <v>5985.08</v>
      </c>
    </row>
    <row r="3484" spans="5:10" s="1297" customFormat="1">
      <c r="E3484" s="1297" t="s">
        <v>938</v>
      </c>
      <c r="F3484" s="1399"/>
      <c r="G3484" s="1399"/>
      <c r="H3484" s="1399"/>
      <c r="I3484" s="1399">
        <v>10107</v>
      </c>
      <c r="J3484" s="1399">
        <v>10107</v>
      </c>
    </row>
    <row r="3485" spans="5:10" s="1297" customFormat="1">
      <c r="E3485" s="1297" t="s">
        <v>939</v>
      </c>
      <c r="F3485" s="1399"/>
      <c r="G3485" s="1399"/>
      <c r="H3485" s="1399"/>
      <c r="I3485" s="1399">
        <v>82870.51999999999</v>
      </c>
      <c r="J3485" s="1399">
        <v>82870.51999999999</v>
      </c>
    </row>
    <row r="3486" spans="5:10" s="1297" customFormat="1">
      <c r="E3486" s="1297" t="s">
        <v>940</v>
      </c>
      <c r="F3486" s="1399">
        <v>317314.86</v>
      </c>
      <c r="G3486" s="1399"/>
      <c r="H3486" s="1399"/>
      <c r="I3486" s="1399"/>
      <c r="J3486" s="1399">
        <v>317314.86</v>
      </c>
    </row>
    <row r="3487" spans="5:10" s="1297" customFormat="1">
      <c r="E3487" s="1297" t="s">
        <v>941</v>
      </c>
      <c r="F3487" s="1399">
        <v>116700</v>
      </c>
      <c r="G3487" s="1399"/>
      <c r="H3487" s="1399"/>
      <c r="I3487" s="1399"/>
      <c r="J3487" s="1399">
        <v>116700</v>
      </c>
    </row>
    <row r="3488" spans="5:10" s="1297" customFormat="1">
      <c r="E3488" s="1297" t="s">
        <v>942</v>
      </c>
      <c r="F3488" s="1399">
        <v>5234.18</v>
      </c>
      <c r="G3488" s="1399"/>
      <c r="H3488" s="1399"/>
      <c r="I3488" s="1399"/>
      <c r="J3488" s="1399">
        <v>5234.18</v>
      </c>
    </row>
    <row r="3489" spans="2:12">
      <c r="B3489" s="1297"/>
      <c r="C3489" s="1297"/>
      <c r="D3489" s="1297"/>
      <c r="E3489" s="1297" t="s">
        <v>943</v>
      </c>
      <c r="F3489" s="1399">
        <v>6270.02</v>
      </c>
      <c r="J3489" s="1399">
        <v>6270.02</v>
      </c>
    </row>
    <row r="3490" spans="2:12">
      <c r="B3490" s="1297"/>
      <c r="C3490" s="1297"/>
      <c r="D3490" s="1297"/>
      <c r="E3490" s="1297" t="s">
        <v>944</v>
      </c>
      <c r="F3490" s="1399">
        <v>887092.31</v>
      </c>
      <c r="J3490" s="1399">
        <v>887092.31</v>
      </c>
    </row>
    <row r="3491" spans="2:12">
      <c r="B3491" s="1297"/>
      <c r="C3491" s="1297"/>
      <c r="D3491" s="1297"/>
      <c r="E3491" s="1297" t="s">
        <v>945</v>
      </c>
      <c r="F3491" s="1399">
        <v>481556.91</v>
      </c>
      <c r="J3491" s="1399">
        <v>481556.91</v>
      </c>
    </row>
    <row r="3492" spans="2:12">
      <c r="B3492" s="1297"/>
      <c r="C3492" s="1297"/>
      <c r="D3492" s="1297"/>
      <c r="E3492" s="1297" t="s">
        <v>1006</v>
      </c>
      <c r="F3492" s="1399">
        <v>192546</v>
      </c>
      <c r="J3492" s="1399">
        <v>192546</v>
      </c>
    </row>
    <row r="3493" spans="2:12">
      <c r="B3493" s="1297"/>
      <c r="C3493" s="1297"/>
      <c r="D3493" s="1297"/>
      <c r="E3493" s="1297" t="s">
        <v>1214</v>
      </c>
      <c r="F3493" s="1399">
        <v>8175.06</v>
      </c>
      <c r="J3493" s="1399">
        <v>8175.06</v>
      </c>
    </row>
    <row r="3494" spans="2:12">
      <c r="B3494" s="1297"/>
      <c r="C3494" s="1297"/>
      <c r="D3494" s="1297"/>
      <c r="E3494" s="1297" t="s">
        <v>947</v>
      </c>
      <c r="F3494" s="1399">
        <v>35493.61</v>
      </c>
      <c r="J3494" s="1399">
        <v>35493.61</v>
      </c>
    </row>
    <row r="3495" spans="2:12">
      <c r="B3495" s="1297"/>
      <c r="C3495" s="1297"/>
      <c r="D3495" s="1297"/>
      <c r="E3495" s="1297" t="s">
        <v>1115</v>
      </c>
      <c r="F3495" s="1399">
        <v>68392.100000000006</v>
      </c>
      <c r="J3495" s="1399">
        <v>68392.100000000006</v>
      </c>
    </row>
    <row r="3496" spans="2:12">
      <c r="B3496" s="1297"/>
      <c r="C3496" s="1297"/>
      <c r="D3496" s="1297"/>
      <c r="E3496" s="1404" t="s">
        <v>948</v>
      </c>
      <c r="F3496" s="1405"/>
      <c r="G3496" s="1405"/>
      <c r="H3496" s="1405">
        <v>1281702.74</v>
      </c>
      <c r="I3496" s="1405"/>
      <c r="J3496" s="1405">
        <v>1281702.74</v>
      </c>
    </row>
    <row r="3497" spans="2:12">
      <c r="B3497" s="1297"/>
      <c r="C3497" s="1297"/>
      <c r="D3497" s="1297"/>
      <c r="E3497" s="1297" t="s">
        <v>956</v>
      </c>
      <c r="H3497" s="1399">
        <v>15551.51</v>
      </c>
      <c r="J3497" s="1399">
        <v>15551.51</v>
      </c>
    </row>
    <row r="3498" spans="2:12">
      <c r="B3498" s="1297"/>
      <c r="C3498" s="1297"/>
      <c r="D3498" s="1400" t="s">
        <v>1425</v>
      </c>
      <c r="E3498" s="1400"/>
      <c r="F3498" s="1401">
        <f>SUM(F3460:F3497)</f>
        <v>2118775.0500000003</v>
      </c>
      <c r="G3498" s="1401">
        <f>SUM(G3460:G3497)</f>
        <v>5384116.3300000001</v>
      </c>
      <c r="H3498" s="1401">
        <f>SUM(H3460:H3497)-H3496</f>
        <v>702455.51000000024</v>
      </c>
      <c r="I3498" s="1401">
        <f>SUM(I3460:I3497)-I3479</f>
        <v>6839356.8399999989</v>
      </c>
      <c r="J3498" s="1401">
        <f>SUM(J3460:J3497)</f>
        <v>16721300.689999998</v>
      </c>
      <c r="K3498" s="1401">
        <f>SUM(F3498:I3498)</f>
        <v>15044703.73</v>
      </c>
      <c r="L3498" s="1408">
        <f>K3498/C3460</f>
        <v>13128.013726003492</v>
      </c>
    </row>
    <row r="3499" spans="2:12">
      <c r="B3499" s="1297" t="s">
        <v>1223</v>
      </c>
      <c r="C3499" s="1297">
        <v>2500</v>
      </c>
      <c r="D3499" s="1297" t="s">
        <v>1224</v>
      </c>
      <c r="E3499" s="1297" t="s">
        <v>906</v>
      </c>
      <c r="G3499" s="1399">
        <v>3407790.12</v>
      </c>
      <c r="J3499" s="1399">
        <v>3407790.12</v>
      </c>
    </row>
    <row r="3500" spans="2:12">
      <c r="B3500" s="1297"/>
      <c r="C3500" s="1297"/>
      <c r="D3500" s="1297"/>
      <c r="E3500" s="1297" t="s">
        <v>952</v>
      </c>
      <c r="G3500" s="1399">
        <v>86946.22</v>
      </c>
      <c r="J3500" s="1399">
        <v>86946.22</v>
      </c>
    </row>
    <row r="3501" spans="2:12">
      <c r="B3501" s="1297"/>
      <c r="C3501" s="1297"/>
      <c r="D3501" s="1297"/>
      <c r="E3501" s="1297" t="s">
        <v>907</v>
      </c>
      <c r="G3501" s="1399">
        <v>527465.53</v>
      </c>
      <c r="J3501" s="1399">
        <v>527465.53</v>
      </c>
    </row>
    <row r="3502" spans="2:12">
      <c r="B3502" s="1297"/>
      <c r="C3502" s="1297"/>
      <c r="D3502" s="1297"/>
      <c r="E3502" s="1297" t="s">
        <v>908</v>
      </c>
      <c r="G3502" s="1399">
        <v>16366.15</v>
      </c>
      <c r="J3502" s="1399">
        <v>16366.15</v>
      </c>
    </row>
    <row r="3503" spans="2:12">
      <c r="B3503" s="1297"/>
      <c r="C3503" s="1297"/>
      <c r="D3503" s="1297"/>
      <c r="E3503" s="1297" t="s">
        <v>909</v>
      </c>
      <c r="H3503" s="1399">
        <v>5457.89</v>
      </c>
      <c r="J3503" s="1399">
        <v>5457.89</v>
      </c>
    </row>
    <row r="3504" spans="2:12">
      <c r="B3504" s="1297"/>
      <c r="C3504" s="1297"/>
      <c r="D3504" s="1297"/>
      <c r="E3504" s="1297" t="s">
        <v>910</v>
      </c>
      <c r="H3504" s="1399">
        <v>7400.04</v>
      </c>
      <c r="J3504" s="1399">
        <v>7400.04</v>
      </c>
    </row>
    <row r="3505" spans="5:10" s="1297" customFormat="1">
      <c r="E3505" s="1297" t="s">
        <v>1034</v>
      </c>
      <c r="F3505" s="1399"/>
      <c r="G3505" s="1399"/>
      <c r="H3505" s="1399">
        <v>10317.77</v>
      </c>
      <c r="I3505" s="1399"/>
      <c r="J3505" s="1399">
        <v>10317.77</v>
      </c>
    </row>
    <row r="3506" spans="5:10" s="1297" customFormat="1">
      <c r="E3506" s="1297" t="s">
        <v>1035</v>
      </c>
      <c r="F3506" s="1399"/>
      <c r="G3506" s="1399"/>
      <c r="H3506" s="1399">
        <v>356755.22</v>
      </c>
      <c r="I3506" s="1399"/>
      <c r="J3506" s="1399">
        <v>356755.22</v>
      </c>
    </row>
    <row r="3507" spans="5:10" s="1297" customFormat="1">
      <c r="E3507" s="1297" t="s">
        <v>1036</v>
      </c>
      <c r="F3507" s="1399"/>
      <c r="G3507" s="1399"/>
      <c r="H3507" s="1399">
        <v>67386.06</v>
      </c>
      <c r="I3507" s="1399"/>
      <c r="J3507" s="1399">
        <v>67386.06</v>
      </c>
    </row>
    <row r="3508" spans="5:10" s="1297" customFormat="1">
      <c r="E3508" s="1297" t="s">
        <v>1039</v>
      </c>
      <c r="F3508" s="1399"/>
      <c r="G3508" s="1399"/>
      <c r="H3508" s="1399">
        <v>112745.55</v>
      </c>
      <c r="I3508" s="1399"/>
      <c r="J3508" s="1399">
        <v>112745.55</v>
      </c>
    </row>
    <row r="3509" spans="5:10" s="1297" customFormat="1">
      <c r="E3509" s="1297" t="s">
        <v>1040</v>
      </c>
      <c r="F3509" s="1399"/>
      <c r="G3509" s="1399"/>
      <c r="H3509" s="1399">
        <v>144157.71</v>
      </c>
      <c r="I3509" s="1399"/>
      <c r="J3509" s="1399">
        <v>144157.71</v>
      </c>
    </row>
    <row r="3510" spans="5:10" s="1297" customFormat="1">
      <c r="E3510" s="1297" t="s">
        <v>1041</v>
      </c>
      <c r="F3510" s="1399"/>
      <c r="G3510" s="1399"/>
      <c r="H3510" s="1399">
        <v>13868.81</v>
      </c>
      <c r="I3510" s="1399"/>
      <c r="J3510" s="1399">
        <v>13868.81</v>
      </c>
    </row>
    <row r="3511" spans="5:10" s="1297" customFormat="1">
      <c r="E3511" s="1297" t="s">
        <v>1042</v>
      </c>
      <c r="F3511" s="1399"/>
      <c r="G3511" s="1399"/>
      <c r="H3511" s="1399">
        <v>38968.089999999997</v>
      </c>
      <c r="I3511" s="1399"/>
      <c r="J3511" s="1399">
        <v>38968.089999999997</v>
      </c>
    </row>
    <row r="3512" spans="5:10" s="1297" customFormat="1">
      <c r="E3512" s="1297" t="s">
        <v>985</v>
      </c>
      <c r="F3512" s="1399"/>
      <c r="G3512" s="1399"/>
      <c r="H3512" s="1399">
        <v>84761.25</v>
      </c>
      <c r="I3512" s="1399"/>
      <c r="J3512" s="1399">
        <v>84761.25</v>
      </c>
    </row>
    <row r="3513" spans="5:10" s="1297" customFormat="1">
      <c r="E3513" s="1297" t="s">
        <v>1044</v>
      </c>
      <c r="F3513" s="1399">
        <v>29713</v>
      </c>
      <c r="G3513" s="1399"/>
      <c r="H3513" s="1399"/>
      <c r="I3513" s="1399"/>
      <c r="J3513" s="1399">
        <v>29713</v>
      </c>
    </row>
    <row r="3514" spans="5:10" s="1297" customFormat="1">
      <c r="E3514" s="1297" t="s">
        <v>1045</v>
      </c>
      <c r="F3514" s="1399"/>
      <c r="G3514" s="1399"/>
      <c r="H3514" s="1399">
        <v>48841.96</v>
      </c>
      <c r="I3514" s="1399"/>
      <c r="J3514" s="1399">
        <v>48841.96</v>
      </c>
    </row>
    <row r="3515" spans="5:10" s="1297" customFormat="1">
      <c r="E3515" s="1297" t="s">
        <v>1046</v>
      </c>
      <c r="F3515" s="1399"/>
      <c r="G3515" s="1399"/>
      <c r="H3515" s="1399"/>
      <c r="I3515" s="1399">
        <v>11072037</v>
      </c>
      <c r="J3515" s="1399">
        <v>11072037</v>
      </c>
    </row>
    <row r="3516" spans="5:10" s="1297" customFormat="1">
      <c r="E3516" s="1297" t="s">
        <v>1047</v>
      </c>
      <c r="F3516" s="1399"/>
      <c r="G3516" s="1399"/>
      <c r="H3516" s="1399"/>
      <c r="I3516" s="1399">
        <v>343901</v>
      </c>
      <c r="J3516" s="1399">
        <v>343901</v>
      </c>
    </row>
    <row r="3517" spans="5:10" s="1297" customFormat="1">
      <c r="E3517" s="1297" t="s">
        <v>1048</v>
      </c>
      <c r="F3517" s="1399"/>
      <c r="G3517" s="1399"/>
      <c r="H3517" s="1399"/>
      <c r="I3517" s="1399">
        <v>-968488</v>
      </c>
      <c r="J3517" s="1399">
        <v>-968488</v>
      </c>
    </row>
    <row r="3518" spans="5:10" s="1297" customFormat="1">
      <c r="E3518" s="1297" t="s">
        <v>932</v>
      </c>
      <c r="F3518" s="1399"/>
      <c r="G3518" s="1399"/>
      <c r="H3518" s="1399"/>
      <c r="I3518" s="1399">
        <v>1382285</v>
      </c>
      <c r="J3518" s="1399">
        <v>1382285</v>
      </c>
    </row>
    <row r="3519" spans="5:10" s="1297" customFormat="1">
      <c r="E3519" s="1404" t="s">
        <v>955</v>
      </c>
      <c r="F3519" s="1405"/>
      <c r="G3519" s="1405"/>
      <c r="H3519" s="1405"/>
      <c r="I3519" s="1405">
        <v>523907.61</v>
      </c>
      <c r="J3519" s="1405">
        <v>523907.61</v>
      </c>
    </row>
    <row r="3520" spans="5:10" s="1297" customFormat="1">
      <c r="E3520" s="1297" t="s">
        <v>934</v>
      </c>
      <c r="F3520" s="1399"/>
      <c r="G3520" s="1399"/>
      <c r="H3520" s="1399"/>
      <c r="I3520" s="1399">
        <v>37236</v>
      </c>
      <c r="J3520" s="1399">
        <v>37236</v>
      </c>
    </row>
    <row r="3521" spans="5:10" s="1297" customFormat="1">
      <c r="E3521" s="1297" t="s">
        <v>935</v>
      </c>
      <c r="F3521" s="1399"/>
      <c r="G3521" s="1399"/>
      <c r="H3521" s="1399"/>
      <c r="I3521" s="1399">
        <v>235206.21000000002</v>
      </c>
      <c r="J3521" s="1399">
        <v>235206.21000000002</v>
      </c>
    </row>
    <row r="3522" spans="5:10" s="1297" customFormat="1">
      <c r="E3522" s="1297" t="s">
        <v>936</v>
      </c>
      <c r="F3522" s="1399"/>
      <c r="G3522" s="1399"/>
      <c r="H3522" s="1399"/>
      <c r="I3522" s="1399">
        <v>32564</v>
      </c>
      <c r="J3522" s="1399">
        <v>32564</v>
      </c>
    </row>
    <row r="3523" spans="5:10" s="1297" customFormat="1">
      <c r="E3523" s="1297" t="s">
        <v>937</v>
      </c>
      <c r="F3523" s="1399"/>
      <c r="G3523" s="1399"/>
      <c r="H3523" s="1399"/>
      <c r="I3523" s="1399">
        <v>11699.76</v>
      </c>
      <c r="J3523" s="1399">
        <v>11699.76</v>
      </c>
    </row>
    <row r="3524" spans="5:10" s="1297" customFormat="1">
      <c r="E3524" s="1297" t="s">
        <v>938</v>
      </c>
      <c r="F3524" s="1399"/>
      <c r="G3524" s="1399"/>
      <c r="H3524" s="1399"/>
      <c r="I3524" s="1399">
        <v>13663</v>
      </c>
      <c r="J3524" s="1399">
        <v>13663</v>
      </c>
    </row>
    <row r="3525" spans="5:10" s="1297" customFormat="1">
      <c r="E3525" s="1297" t="s">
        <v>939</v>
      </c>
      <c r="F3525" s="1399"/>
      <c r="G3525" s="1399"/>
      <c r="H3525" s="1399"/>
      <c r="I3525" s="1399">
        <v>985.41</v>
      </c>
      <c r="J3525" s="1399">
        <v>985.41</v>
      </c>
    </row>
    <row r="3526" spans="5:10" s="1297" customFormat="1">
      <c r="E3526" s="1297" t="s">
        <v>940</v>
      </c>
      <c r="F3526" s="1399">
        <v>723065.14</v>
      </c>
      <c r="G3526" s="1399"/>
      <c r="H3526" s="1399"/>
      <c r="I3526" s="1399"/>
      <c r="J3526" s="1399">
        <v>723065.14</v>
      </c>
    </row>
    <row r="3527" spans="5:10" s="1297" customFormat="1">
      <c r="E3527" s="1297" t="s">
        <v>941</v>
      </c>
      <c r="F3527" s="1399">
        <v>371422.96</v>
      </c>
      <c r="G3527" s="1399"/>
      <c r="H3527" s="1399"/>
      <c r="I3527" s="1399"/>
      <c r="J3527" s="1399">
        <v>371422.96</v>
      </c>
    </row>
    <row r="3528" spans="5:10" s="1297" customFormat="1">
      <c r="E3528" s="1297" t="s">
        <v>943</v>
      </c>
      <c r="F3528" s="1399">
        <v>0</v>
      </c>
      <c r="G3528" s="1399"/>
      <c r="H3528" s="1399"/>
      <c r="I3528" s="1399"/>
      <c r="J3528" s="1399">
        <v>0</v>
      </c>
    </row>
    <row r="3529" spans="5:10" s="1297" customFormat="1">
      <c r="E3529" s="1297" t="s">
        <v>944</v>
      </c>
      <c r="F3529" s="1399">
        <v>1776087.08</v>
      </c>
      <c r="G3529" s="1399"/>
      <c r="H3529" s="1399"/>
      <c r="I3529" s="1399"/>
      <c r="J3529" s="1399">
        <v>1776087.08</v>
      </c>
    </row>
    <row r="3530" spans="5:10" s="1297" customFormat="1">
      <c r="E3530" s="1297" t="s">
        <v>945</v>
      </c>
      <c r="F3530" s="1399">
        <v>972171.6</v>
      </c>
      <c r="G3530" s="1399"/>
      <c r="H3530" s="1399"/>
      <c r="I3530" s="1399"/>
      <c r="J3530" s="1399">
        <v>972171.6</v>
      </c>
    </row>
    <row r="3531" spans="5:10" s="1297" customFormat="1">
      <c r="E3531" s="1297" t="s">
        <v>1006</v>
      </c>
      <c r="F3531" s="1399">
        <v>237362.17</v>
      </c>
      <c r="G3531" s="1399"/>
      <c r="H3531" s="1399"/>
      <c r="I3531" s="1399"/>
      <c r="J3531" s="1399">
        <v>237362.17</v>
      </c>
    </row>
    <row r="3532" spans="5:10" s="1297" customFormat="1">
      <c r="E3532" s="1297" t="s">
        <v>947</v>
      </c>
      <c r="F3532" s="1399">
        <v>29145.43</v>
      </c>
      <c r="G3532" s="1399"/>
      <c r="H3532" s="1399"/>
      <c r="I3532" s="1399"/>
      <c r="J3532" s="1399">
        <v>29145.43</v>
      </c>
    </row>
    <row r="3533" spans="5:10" s="1297" customFormat="1">
      <c r="E3533" s="1297" t="s">
        <v>1115</v>
      </c>
      <c r="F3533" s="1399">
        <v>0</v>
      </c>
      <c r="G3533" s="1399"/>
      <c r="H3533" s="1399"/>
      <c r="I3533" s="1399"/>
      <c r="J3533" s="1399">
        <v>0</v>
      </c>
    </row>
    <row r="3534" spans="5:10" s="1297" customFormat="1">
      <c r="E3534" s="1404" t="s">
        <v>1116</v>
      </c>
      <c r="F3534" s="1405"/>
      <c r="G3534" s="1405"/>
      <c r="H3534" s="1405">
        <v>5772991.7999999998</v>
      </c>
      <c r="I3534" s="1405"/>
      <c r="J3534" s="1405">
        <v>5772991.7999999998</v>
      </c>
    </row>
    <row r="3535" spans="5:10" s="1297" customFormat="1">
      <c r="E3535" s="1404" t="s">
        <v>948</v>
      </c>
      <c r="F3535" s="1405"/>
      <c r="G3535" s="1405"/>
      <c r="H3535" s="1405">
        <v>527228.54999999993</v>
      </c>
      <c r="I3535" s="1405"/>
      <c r="J3535" s="1405">
        <v>527228.54999999993</v>
      </c>
    </row>
    <row r="3536" spans="5:10" s="1297" customFormat="1">
      <c r="E3536" s="1297" t="s">
        <v>956</v>
      </c>
      <c r="F3536" s="1399"/>
      <c r="G3536" s="1399"/>
      <c r="H3536" s="1399">
        <v>1200</v>
      </c>
      <c r="I3536" s="1399"/>
      <c r="J3536" s="1399">
        <v>1200</v>
      </c>
    </row>
    <row r="3537" spans="2:12">
      <c r="B3537" s="1297"/>
      <c r="C3537" s="1297"/>
      <c r="D3537" s="1400" t="s">
        <v>1225</v>
      </c>
      <c r="E3537" s="1400"/>
      <c r="F3537" s="1401">
        <f>SUM(F3499:F3536)</f>
        <v>4138967.3800000004</v>
      </c>
      <c r="G3537" s="1401">
        <f>SUM(G3499:G3536)</f>
        <v>4038568.02</v>
      </c>
      <c r="H3537" s="1401">
        <f>SUM(H3499:H3536)-(H3534+H3535)</f>
        <v>891860.34999999963</v>
      </c>
      <c r="I3537" s="1401">
        <f>SUM(I3499:I3536)-I3519</f>
        <v>12161089.380000001</v>
      </c>
      <c r="J3537" s="1401">
        <f>SUM(J3499:J3536)</f>
        <v>28054613.090000004</v>
      </c>
      <c r="K3537" s="1401">
        <f>SUM(F3537:I3537)</f>
        <v>21230485.130000003</v>
      </c>
      <c r="L3537" s="1408">
        <f>K3537/C3499</f>
        <v>8492.1940520000007</v>
      </c>
    </row>
    <row r="3538" spans="2:12">
      <c r="B3538" s="1297" t="s">
        <v>1226</v>
      </c>
      <c r="C3538" s="1297">
        <v>9915</v>
      </c>
      <c r="D3538" s="1297" t="s">
        <v>1227</v>
      </c>
      <c r="E3538" s="1297" t="s">
        <v>906</v>
      </c>
      <c r="G3538" s="1399">
        <v>20334815.66</v>
      </c>
      <c r="J3538" s="1399">
        <v>20334815.66</v>
      </c>
    </row>
    <row r="3539" spans="2:12">
      <c r="B3539" s="1297"/>
      <c r="C3539" s="1297"/>
      <c r="D3539" s="1297"/>
      <c r="E3539" s="1297" t="s">
        <v>952</v>
      </c>
      <c r="G3539" s="1399">
        <v>388086.68</v>
      </c>
      <c r="J3539" s="1399">
        <v>388086.68</v>
      </c>
    </row>
    <row r="3540" spans="2:12">
      <c r="B3540" s="1297"/>
      <c r="C3540" s="1297"/>
      <c r="D3540" s="1297"/>
      <c r="E3540" s="1297" t="s">
        <v>907</v>
      </c>
      <c r="G3540" s="1399">
        <v>12215003.869999999</v>
      </c>
      <c r="J3540" s="1399">
        <v>12215003.869999999</v>
      </c>
    </row>
    <row r="3541" spans="2:12">
      <c r="B3541" s="1297"/>
      <c r="C3541" s="1297"/>
      <c r="D3541" s="1297"/>
      <c r="E3541" s="1297" t="s">
        <v>908</v>
      </c>
      <c r="G3541" s="1399">
        <v>53077.85</v>
      </c>
      <c r="J3541" s="1399">
        <v>53077.85</v>
      </c>
    </row>
    <row r="3542" spans="2:12">
      <c r="B3542" s="1297"/>
      <c r="C3542" s="1297"/>
      <c r="D3542" s="1297"/>
      <c r="E3542" s="1297" t="s">
        <v>910</v>
      </c>
      <c r="H3542" s="1399">
        <v>101402.71</v>
      </c>
      <c r="J3542" s="1399">
        <v>101402.71</v>
      </c>
    </row>
    <row r="3543" spans="2:12">
      <c r="B3543" s="1297"/>
      <c r="C3543" s="1297"/>
      <c r="D3543" s="1297"/>
      <c r="E3543" s="1297" t="s">
        <v>1034</v>
      </c>
      <c r="H3543" s="1399">
        <v>93621.82</v>
      </c>
      <c r="J3543" s="1399">
        <v>93621.82</v>
      </c>
    </row>
    <row r="3544" spans="2:12">
      <c r="B3544" s="1297"/>
      <c r="C3544" s="1297"/>
      <c r="D3544" s="1297"/>
      <c r="E3544" s="1297" t="s">
        <v>1035</v>
      </c>
      <c r="H3544" s="1399">
        <v>2246897.17</v>
      </c>
      <c r="J3544" s="1399">
        <v>2246897.17</v>
      </c>
    </row>
    <row r="3545" spans="2:12">
      <c r="B3545" s="1297"/>
      <c r="C3545" s="1297"/>
      <c r="D3545" s="1297"/>
      <c r="E3545" s="1297" t="s">
        <v>1036</v>
      </c>
      <c r="H3545" s="1399">
        <v>437567.04</v>
      </c>
      <c r="J3545" s="1399">
        <v>437567.04</v>
      </c>
    </row>
    <row r="3546" spans="2:12">
      <c r="B3546" s="1297"/>
      <c r="C3546" s="1297"/>
      <c r="D3546" s="1297"/>
      <c r="E3546" s="1297" t="s">
        <v>1037</v>
      </c>
      <c r="H3546" s="1399">
        <v>222688.75</v>
      </c>
      <c r="J3546" s="1399">
        <v>222688.75</v>
      </c>
    </row>
    <row r="3547" spans="2:12">
      <c r="B3547" s="1297"/>
      <c r="C3547" s="1297"/>
      <c r="D3547" s="1297"/>
      <c r="E3547" s="1297" t="s">
        <v>1039</v>
      </c>
      <c r="H3547" s="1399">
        <v>194656.55</v>
      </c>
      <c r="J3547" s="1399">
        <v>194656.55</v>
      </c>
    </row>
    <row r="3548" spans="2:12">
      <c r="B3548" s="1297"/>
      <c r="C3548" s="1297"/>
      <c r="D3548" s="1297"/>
      <c r="E3548" s="1297" t="s">
        <v>1040</v>
      </c>
      <c r="H3548" s="1399">
        <v>1135666.1399999999</v>
      </c>
      <c r="J3548" s="1399">
        <v>1135666.1399999999</v>
      </c>
    </row>
    <row r="3549" spans="2:12">
      <c r="B3549" s="1297"/>
      <c r="C3549" s="1297"/>
      <c r="D3549" s="1297"/>
      <c r="E3549" s="1297" t="s">
        <v>1041</v>
      </c>
      <c r="H3549" s="1399">
        <v>239044.79</v>
      </c>
      <c r="J3549" s="1399">
        <v>239044.79</v>
      </c>
    </row>
    <row r="3550" spans="2:12">
      <c r="B3550" s="1297"/>
      <c r="C3550" s="1297"/>
      <c r="D3550" s="1297"/>
      <c r="E3550" s="1297" t="s">
        <v>1042</v>
      </c>
      <c r="H3550" s="1399">
        <v>130246.82</v>
      </c>
      <c r="J3550" s="1399">
        <v>130246.82</v>
      </c>
    </row>
    <row r="3551" spans="2:12">
      <c r="B3551" s="1297"/>
      <c r="C3551" s="1297"/>
      <c r="D3551" s="1297"/>
      <c r="E3551" s="1297" t="s">
        <v>996</v>
      </c>
      <c r="H3551" s="1399">
        <v>8521.630000000001</v>
      </c>
      <c r="J3551" s="1399">
        <v>8521.630000000001</v>
      </c>
    </row>
    <row r="3552" spans="2:12">
      <c r="B3552" s="1297"/>
      <c r="C3552" s="1297"/>
      <c r="D3552" s="1297"/>
      <c r="E3552" s="1297" t="s">
        <v>1044</v>
      </c>
      <c r="F3552" s="1399">
        <v>306607.09000000003</v>
      </c>
      <c r="J3552" s="1399">
        <v>306607.09000000003</v>
      </c>
    </row>
    <row r="3553" spans="5:10" s="1297" customFormat="1">
      <c r="E3553" s="1297" t="s">
        <v>1045</v>
      </c>
      <c r="F3553" s="1399"/>
      <c r="G3553" s="1399"/>
      <c r="H3553" s="1399">
        <v>271086.01</v>
      </c>
      <c r="I3553" s="1399"/>
      <c r="J3553" s="1399">
        <v>271086.01</v>
      </c>
    </row>
    <row r="3554" spans="5:10" s="1297" customFormat="1">
      <c r="E3554" s="1297" t="s">
        <v>1046</v>
      </c>
      <c r="F3554" s="1399"/>
      <c r="G3554" s="1399"/>
      <c r="H3554" s="1399"/>
      <c r="I3554" s="1399">
        <v>50350207</v>
      </c>
      <c r="J3554" s="1399">
        <v>50350207</v>
      </c>
    </row>
    <row r="3555" spans="5:10" s="1297" customFormat="1">
      <c r="E3555" s="1297" t="s">
        <v>1128</v>
      </c>
      <c r="F3555" s="1399"/>
      <c r="G3555" s="1399"/>
      <c r="H3555" s="1399"/>
      <c r="I3555" s="1399">
        <v>4552741</v>
      </c>
      <c r="J3555" s="1399">
        <v>4552741</v>
      </c>
    </row>
    <row r="3556" spans="5:10" s="1297" customFormat="1">
      <c r="E3556" s="1297" t="s">
        <v>1129</v>
      </c>
      <c r="F3556" s="1399"/>
      <c r="G3556" s="1399"/>
      <c r="H3556" s="1399"/>
      <c r="I3556" s="1399">
        <v>-7168760</v>
      </c>
      <c r="J3556" s="1399">
        <v>-7168760</v>
      </c>
    </row>
    <row r="3557" spans="5:10" s="1297" customFormat="1">
      <c r="E3557" s="1297" t="s">
        <v>1047</v>
      </c>
      <c r="F3557" s="1399"/>
      <c r="G3557" s="1399"/>
      <c r="H3557" s="1399"/>
      <c r="I3557" s="1399">
        <v>1179831</v>
      </c>
      <c r="J3557" s="1399">
        <v>1179831</v>
      </c>
    </row>
    <row r="3558" spans="5:10" s="1297" customFormat="1">
      <c r="E3558" s="1297" t="s">
        <v>1048</v>
      </c>
      <c r="F3558" s="1399"/>
      <c r="G3558" s="1399"/>
      <c r="H3558" s="1399"/>
      <c r="I3558" s="1399">
        <v>-6669209</v>
      </c>
      <c r="J3558" s="1399">
        <v>-6669209</v>
      </c>
    </row>
    <row r="3559" spans="5:10" s="1297" customFormat="1">
      <c r="E3559" s="1297" t="s">
        <v>932</v>
      </c>
      <c r="F3559" s="1399"/>
      <c r="G3559" s="1399"/>
      <c r="H3559" s="1399"/>
      <c r="I3559" s="1399">
        <v>4232648</v>
      </c>
      <c r="J3559" s="1399">
        <v>4232648</v>
      </c>
    </row>
    <row r="3560" spans="5:10" s="1297" customFormat="1">
      <c r="E3560" s="1404" t="s">
        <v>955</v>
      </c>
      <c r="F3560" s="1405"/>
      <c r="G3560" s="1405"/>
      <c r="H3560" s="1405"/>
      <c r="I3560" s="1405">
        <v>1711351.96</v>
      </c>
      <c r="J3560" s="1405">
        <v>1711351.96</v>
      </c>
    </row>
    <row r="3561" spans="5:10" s="1297" customFormat="1">
      <c r="E3561" s="1297" t="s">
        <v>934</v>
      </c>
      <c r="F3561" s="1399"/>
      <c r="G3561" s="1399"/>
      <c r="H3561" s="1399"/>
      <c r="I3561" s="1399">
        <v>143046</v>
      </c>
      <c r="J3561" s="1399">
        <v>143046</v>
      </c>
    </row>
    <row r="3562" spans="5:10" s="1297" customFormat="1">
      <c r="E3562" s="1297" t="s">
        <v>935</v>
      </c>
      <c r="F3562" s="1399"/>
      <c r="G3562" s="1399"/>
      <c r="H3562" s="1399"/>
      <c r="I3562" s="1399">
        <v>2500920.54</v>
      </c>
      <c r="J3562" s="1399">
        <v>2500920.54</v>
      </c>
    </row>
    <row r="3563" spans="5:10" s="1297" customFormat="1">
      <c r="E3563" s="1297" t="s">
        <v>936</v>
      </c>
      <c r="F3563" s="1399"/>
      <c r="G3563" s="1399"/>
      <c r="H3563" s="1399"/>
      <c r="I3563" s="1399">
        <v>148463.82999999999</v>
      </c>
      <c r="J3563" s="1399">
        <v>148463.82999999999</v>
      </c>
    </row>
    <row r="3564" spans="5:10" s="1297" customFormat="1">
      <c r="E3564" s="1297" t="s">
        <v>937</v>
      </c>
      <c r="F3564" s="1399"/>
      <c r="G3564" s="1399"/>
      <c r="H3564" s="1399"/>
      <c r="I3564" s="1399">
        <v>33215.78</v>
      </c>
      <c r="J3564" s="1399">
        <v>33215.78</v>
      </c>
    </row>
    <row r="3565" spans="5:10" s="1297" customFormat="1">
      <c r="E3565" s="1297" t="s">
        <v>938</v>
      </c>
      <c r="F3565" s="1399"/>
      <c r="G3565" s="1399"/>
      <c r="H3565" s="1399"/>
      <c r="I3565" s="1399">
        <v>53902</v>
      </c>
      <c r="J3565" s="1399">
        <v>53902</v>
      </c>
    </row>
    <row r="3566" spans="5:10" s="1297" customFormat="1">
      <c r="E3566" s="1297" t="s">
        <v>1131</v>
      </c>
      <c r="F3566" s="1399">
        <v>58897.120000000003</v>
      </c>
      <c r="G3566" s="1399"/>
      <c r="H3566" s="1399"/>
      <c r="I3566" s="1399"/>
      <c r="J3566" s="1399">
        <v>58897.120000000003</v>
      </c>
    </row>
    <row r="3567" spans="5:10" s="1297" customFormat="1">
      <c r="E3567" s="1297" t="s">
        <v>940</v>
      </c>
      <c r="F3567" s="1399">
        <v>2152007.2599999998</v>
      </c>
      <c r="G3567" s="1399"/>
      <c r="H3567" s="1399"/>
      <c r="I3567" s="1399"/>
      <c r="J3567" s="1399">
        <v>2152007.2599999998</v>
      </c>
    </row>
    <row r="3568" spans="5:10" s="1297" customFormat="1">
      <c r="E3568" s="1297" t="s">
        <v>941</v>
      </c>
      <c r="F3568" s="1399">
        <v>692093</v>
      </c>
      <c r="G3568" s="1399"/>
      <c r="H3568" s="1399"/>
      <c r="I3568" s="1399"/>
      <c r="J3568" s="1399">
        <v>692093</v>
      </c>
    </row>
    <row r="3569" spans="2:12">
      <c r="B3569" s="1297"/>
      <c r="C3569" s="1297"/>
      <c r="D3569" s="1297"/>
      <c r="E3569" s="1297" t="s">
        <v>943</v>
      </c>
      <c r="F3569" s="1399">
        <v>13629.32</v>
      </c>
      <c r="J3569" s="1399">
        <v>13629.32</v>
      </c>
    </row>
    <row r="3570" spans="2:12">
      <c r="B3570" s="1297"/>
      <c r="C3570" s="1297"/>
      <c r="D3570" s="1297"/>
      <c r="E3570" s="1297" t="s">
        <v>944</v>
      </c>
      <c r="F3570" s="1399">
        <v>5826369.4699999988</v>
      </c>
      <c r="J3570" s="1399">
        <v>5826369.4699999988</v>
      </c>
    </row>
    <row r="3571" spans="2:12">
      <c r="B3571" s="1297"/>
      <c r="C3571" s="1297"/>
      <c r="D3571" s="1297"/>
      <c r="E3571" s="1297" t="s">
        <v>945</v>
      </c>
      <c r="F3571" s="1399">
        <v>3172793.5199999996</v>
      </c>
      <c r="J3571" s="1399">
        <v>3172793.5199999996</v>
      </c>
    </row>
    <row r="3572" spans="2:12">
      <c r="B3572" s="1297"/>
      <c r="C3572" s="1297"/>
      <c r="D3572" s="1297"/>
      <c r="E3572" s="1297" t="s">
        <v>946</v>
      </c>
      <c r="F3572" s="1399">
        <v>769078.12</v>
      </c>
      <c r="J3572" s="1399">
        <v>769078.12</v>
      </c>
    </row>
    <row r="3573" spans="2:12">
      <c r="B3573" s="1297"/>
      <c r="C3573" s="1297"/>
      <c r="D3573" s="1297"/>
      <c r="E3573" s="1297" t="s">
        <v>1006</v>
      </c>
      <c r="F3573" s="1399">
        <v>285378.17</v>
      </c>
      <c r="J3573" s="1399">
        <v>285378.17</v>
      </c>
    </row>
    <row r="3574" spans="2:12">
      <c r="B3574" s="1297"/>
      <c r="C3574" s="1297"/>
      <c r="D3574" s="1297"/>
      <c r="E3574" s="1297" t="s">
        <v>947</v>
      </c>
      <c r="F3574" s="1399">
        <v>240172.24</v>
      </c>
      <c r="J3574" s="1399">
        <v>240172.24</v>
      </c>
    </row>
    <row r="3575" spans="2:12">
      <c r="B3575" s="1297"/>
      <c r="C3575" s="1297"/>
      <c r="D3575" s="1297"/>
      <c r="E3575" s="1404" t="s">
        <v>948</v>
      </c>
      <c r="F3575" s="1405"/>
      <c r="G3575" s="1405"/>
      <c r="H3575" s="1405">
        <v>22096.61</v>
      </c>
      <c r="I3575" s="1405"/>
      <c r="J3575" s="1405">
        <v>22096.61</v>
      </c>
    </row>
    <row r="3576" spans="2:12">
      <c r="B3576" s="1297"/>
      <c r="C3576" s="1297"/>
      <c r="D3576" s="1297"/>
      <c r="E3576" s="1297" t="s">
        <v>956</v>
      </c>
      <c r="H3576" s="1399">
        <v>7350.46</v>
      </c>
      <c r="J3576" s="1399">
        <v>7350.46</v>
      </c>
    </row>
    <row r="3577" spans="2:12">
      <c r="B3577" s="1297"/>
      <c r="C3577" s="1297"/>
      <c r="D3577" s="1400" t="s">
        <v>1228</v>
      </c>
      <c r="E3577" s="1400"/>
      <c r="F3577" s="1401">
        <f>SUM(F3538:F3576)</f>
        <v>13517025.309999997</v>
      </c>
      <c r="G3577" s="1401">
        <f>SUM(G3538:G3576)</f>
        <v>32990984.060000002</v>
      </c>
      <c r="H3577" s="1401">
        <f>SUM(H3538:H3576)-H3575</f>
        <v>5088749.8899999997</v>
      </c>
      <c r="I3577" s="1401">
        <f>SUM(I3538:I3576)-I3560</f>
        <v>49357006.149999999</v>
      </c>
      <c r="J3577" s="1401">
        <f>SUM(J3538:J3576)</f>
        <v>102687213.98</v>
      </c>
      <c r="K3577" s="1401">
        <f>SUM(F3577:I3577)</f>
        <v>100953765.41</v>
      </c>
      <c r="L3577" s="1408">
        <f>K3577/C3538</f>
        <v>10181.922885526979</v>
      </c>
    </row>
    <row r="3578" spans="2:12">
      <c r="B3578" s="1297" t="s">
        <v>1229</v>
      </c>
      <c r="C3578" s="1297">
        <v>3779</v>
      </c>
      <c r="D3578" s="1297" t="s">
        <v>1230</v>
      </c>
      <c r="E3578" s="1297" t="s">
        <v>906</v>
      </c>
      <c r="G3578" s="1399">
        <v>14167136.76</v>
      </c>
      <c r="J3578" s="1399">
        <v>14167136.76</v>
      </c>
    </row>
    <row r="3579" spans="2:12">
      <c r="B3579" s="1297"/>
      <c r="C3579" s="1297"/>
      <c r="D3579" s="1297"/>
      <c r="E3579" s="1297" t="s">
        <v>952</v>
      </c>
      <c r="G3579" s="1399">
        <v>172020.21</v>
      </c>
      <c r="J3579" s="1399">
        <v>172020.21</v>
      </c>
    </row>
    <row r="3580" spans="2:12">
      <c r="B3580" s="1297"/>
      <c r="C3580" s="1297"/>
      <c r="D3580" s="1297"/>
      <c r="E3580" s="1297" t="s">
        <v>907</v>
      </c>
      <c r="G3580" s="1399">
        <v>3042194.35</v>
      </c>
      <c r="J3580" s="1399">
        <v>3042194.35</v>
      </c>
    </row>
    <row r="3581" spans="2:12">
      <c r="B3581" s="1297"/>
      <c r="C3581" s="1297"/>
      <c r="D3581" s="1297"/>
      <c r="E3581" s="1297" t="s">
        <v>995</v>
      </c>
      <c r="G3581" s="1399">
        <v>20364.37</v>
      </c>
      <c r="J3581" s="1399">
        <v>20364.37</v>
      </c>
    </row>
    <row r="3582" spans="2:12">
      <c r="B3582" s="1297"/>
      <c r="C3582" s="1297"/>
      <c r="D3582" s="1297"/>
      <c r="E3582" s="1297" t="s">
        <v>909</v>
      </c>
      <c r="H3582" s="1399">
        <v>9010.99</v>
      </c>
      <c r="J3582" s="1399">
        <v>9010.99</v>
      </c>
    </row>
    <row r="3583" spans="2:12">
      <c r="B3583" s="1297"/>
      <c r="C3583" s="1297"/>
      <c r="D3583" s="1297"/>
      <c r="E3583" s="1297" t="s">
        <v>910</v>
      </c>
      <c r="H3583" s="1399">
        <v>31189.29</v>
      </c>
      <c r="J3583" s="1399">
        <v>31189.29</v>
      </c>
    </row>
    <row r="3584" spans="2:12">
      <c r="B3584" s="1297"/>
      <c r="C3584" s="1297"/>
      <c r="D3584" s="1297"/>
      <c r="E3584" s="1297" t="s">
        <v>1034</v>
      </c>
      <c r="H3584" s="1399">
        <v>50965.62</v>
      </c>
      <c r="J3584" s="1399">
        <v>50965.62</v>
      </c>
    </row>
    <row r="3585" spans="5:10" s="1297" customFormat="1">
      <c r="E3585" s="1297" t="s">
        <v>1035</v>
      </c>
      <c r="F3585" s="1399"/>
      <c r="G3585" s="1399"/>
      <c r="H3585" s="1399">
        <v>332230.52999999997</v>
      </c>
      <c r="I3585" s="1399"/>
      <c r="J3585" s="1399">
        <v>332230.52999999997</v>
      </c>
    </row>
    <row r="3586" spans="5:10" s="1297" customFormat="1">
      <c r="E3586" s="1297" t="s">
        <v>1036</v>
      </c>
      <c r="F3586" s="1399"/>
      <c r="G3586" s="1399"/>
      <c r="H3586" s="1399">
        <v>106611.82</v>
      </c>
      <c r="I3586" s="1399"/>
      <c r="J3586" s="1399">
        <v>106611.82</v>
      </c>
    </row>
    <row r="3587" spans="5:10" s="1297" customFormat="1">
      <c r="E3587" s="1297" t="s">
        <v>1037</v>
      </c>
      <c r="F3587" s="1399"/>
      <c r="G3587" s="1399"/>
      <c r="H3587" s="1399">
        <v>1725</v>
      </c>
      <c r="I3587" s="1399"/>
      <c r="J3587" s="1399">
        <v>1725</v>
      </c>
    </row>
    <row r="3588" spans="5:10" s="1297" customFormat="1">
      <c r="E3588" s="1297" t="s">
        <v>1039</v>
      </c>
      <c r="F3588" s="1399"/>
      <c r="G3588" s="1399"/>
      <c r="H3588" s="1399">
        <v>96364.92</v>
      </c>
      <c r="I3588" s="1399"/>
      <c r="J3588" s="1399">
        <v>96364.92</v>
      </c>
    </row>
    <row r="3589" spans="5:10" s="1297" customFormat="1">
      <c r="E3589" s="1297" t="s">
        <v>1040</v>
      </c>
      <c r="F3589" s="1399"/>
      <c r="G3589" s="1399"/>
      <c r="H3589" s="1399">
        <v>399178.8</v>
      </c>
      <c r="I3589" s="1399"/>
      <c r="J3589" s="1399">
        <v>399178.8</v>
      </c>
    </row>
    <row r="3590" spans="5:10" s="1297" customFormat="1">
      <c r="E3590" s="1297" t="s">
        <v>1041</v>
      </c>
      <c r="F3590" s="1399"/>
      <c r="G3590" s="1399"/>
      <c r="H3590" s="1399">
        <v>4088.68</v>
      </c>
      <c r="I3590" s="1399"/>
      <c r="J3590" s="1399">
        <v>4088.68</v>
      </c>
    </row>
    <row r="3591" spans="5:10" s="1297" customFormat="1">
      <c r="E3591" s="1297" t="s">
        <v>1042</v>
      </c>
      <c r="F3591" s="1399"/>
      <c r="G3591" s="1399"/>
      <c r="H3591" s="1399">
        <v>38933.870000000003</v>
      </c>
      <c r="I3591" s="1399"/>
      <c r="J3591" s="1399">
        <v>38933.870000000003</v>
      </c>
    </row>
    <row r="3592" spans="5:10" s="1297" customFormat="1">
      <c r="E3592" s="1297" t="s">
        <v>1043</v>
      </c>
      <c r="F3592" s="1399"/>
      <c r="G3592" s="1399"/>
      <c r="H3592" s="1399">
        <v>39611.199999999997</v>
      </c>
      <c r="I3592" s="1399"/>
      <c r="J3592" s="1399">
        <v>39611.199999999997</v>
      </c>
    </row>
    <row r="3593" spans="5:10" s="1297" customFormat="1">
      <c r="E3593" s="1297" t="s">
        <v>986</v>
      </c>
      <c r="F3593" s="1399"/>
      <c r="G3593" s="1399"/>
      <c r="H3593" s="1399">
        <v>255969.76</v>
      </c>
      <c r="I3593" s="1399"/>
      <c r="J3593" s="1399">
        <v>255969.76</v>
      </c>
    </row>
    <row r="3594" spans="5:10" s="1297" customFormat="1">
      <c r="E3594" s="1297" t="s">
        <v>990</v>
      </c>
      <c r="F3594" s="1399"/>
      <c r="G3594" s="1399"/>
      <c r="H3594" s="1399">
        <v>117.63</v>
      </c>
      <c r="I3594" s="1399"/>
      <c r="J3594" s="1399">
        <v>117.63</v>
      </c>
    </row>
    <row r="3595" spans="5:10" s="1297" customFormat="1">
      <c r="E3595" s="1297" t="s">
        <v>1044</v>
      </c>
      <c r="F3595" s="1399">
        <v>10698</v>
      </c>
      <c r="G3595" s="1399"/>
      <c r="H3595" s="1399"/>
      <c r="I3595" s="1399"/>
      <c r="J3595" s="1399">
        <v>10698</v>
      </c>
    </row>
    <row r="3596" spans="5:10" s="1297" customFormat="1">
      <c r="E3596" s="1297" t="s">
        <v>1045</v>
      </c>
      <c r="F3596" s="1399"/>
      <c r="G3596" s="1399"/>
      <c r="H3596" s="1399">
        <v>403961.68</v>
      </c>
      <c r="I3596" s="1399"/>
      <c r="J3596" s="1399">
        <v>403961.68</v>
      </c>
    </row>
    <row r="3597" spans="5:10" s="1297" customFormat="1">
      <c r="E3597" s="1297" t="s">
        <v>1046</v>
      </c>
      <c r="F3597" s="1399"/>
      <c r="G3597" s="1399"/>
      <c r="H3597" s="1399"/>
      <c r="I3597" s="1399">
        <v>21428647</v>
      </c>
      <c r="J3597" s="1399">
        <v>21428647</v>
      </c>
    </row>
    <row r="3598" spans="5:10" s="1297" customFormat="1">
      <c r="E3598" s="1297" t="s">
        <v>1129</v>
      </c>
      <c r="F3598" s="1399"/>
      <c r="G3598" s="1399"/>
      <c r="H3598" s="1399"/>
      <c r="I3598" s="1399">
        <v>-2297956</v>
      </c>
      <c r="J3598" s="1399">
        <v>-2297956</v>
      </c>
    </row>
    <row r="3599" spans="5:10" s="1297" customFormat="1">
      <c r="E3599" s="1297" t="s">
        <v>1047</v>
      </c>
      <c r="F3599" s="1399"/>
      <c r="G3599" s="1399"/>
      <c r="H3599" s="1399"/>
      <c r="I3599" s="1399">
        <v>496537</v>
      </c>
      <c r="J3599" s="1399">
        <v>496537</v>
      </c>
    </row>
    <row r="3600" spans="5:10" s="1297" customFormat="1">
      <c r="E3600" s="1297" t="s">
        <v>1048</v>
      </c>
      <c r="F3600" s="1399"/>
      <c r="G3600" s="1399"/>
      <c r="H3600" s="1399"/>
      <c r="I3600" s="1399">
        <v>-5368566</v>
      </c>
      <c r="J3600" s="1399">
        <v>-5368566</v>
      </c>
    </row>
    <row r="3601" spans="5:10" s="1297" customFormat="1">
      <c r="E3601" s="1297" t="s">
        <v>934</v>
      </c>
      <c r="F3601" s="1399"/>
      <c r="G3601" s="1399"/>
      <c r="H3601" s="1399"/>
      <c r="I3601" s="1399">
        <v>56880</v>
      </c>
      <c r="J3601" s="1399">
        <v>56880</v>
      </c>
    </row>
    <row r="3602" spans="5:10" s="1297" customFormat="1">
      <c r="E3602" s="1297" t="s">
        <v>935</v>
      </c>
      <c r="F3602" s="1399"/>
      <c r="G3602" s="1399"/>
      <c r="H3602" s="1399"/>
      <c r="I3602" s="1399">
        <v>380322.9</v>
      </c>
      <c r="J3602" s="1399">
        <v>380322.9</v>
      </c>
    </row>
    <row r="3603" spans="5:10" s="1297" customFormat="1">
      <c r="E3603" s="1297" t="s">
        <v>936</v>
      </c>
      <c r="F3603" s="1399"/>
      <c r="G3603" s="1399"/>
      <c r="H3603" s="1399"/>
      <c r="I3603" s="1399">
        <v>79134.02</v>
      </c>
      <c r="J3603" s="1399">
        <v>79134.02</v>
      </c>
    </row>
    <row r="3604" spans="5:10" s="1297" customFormat="1">
      <c r="E3604" s="1297" t="s">
        <v>937</v>
      </c>
      <c r="F3604" s="1399"/>
      <c r="G3604" s="1399"/>
      <c r="H3604" s="1399"/>
      <c r="I3604" s="1399">
        <v>3585.84</v>
      </c>
      <c r="J3604" s="1399">
        <v>3585.84</v>
      </c>
    </row>
    <row r="3605" spans="5:10" s="1297" customFormat="1">
      <c r="E3605" s="1297" t="s">
        <v>938</v>
      </c>
      <c r="F3605" s="1399"/>
      <c r="G3605" s="1399"/>
      <c r="H3605" s="1399"/>
      <c r="I3605" s="1399">
        <v>23395</v>
      </c>
      <c r="J3605" s="1399">
        <v>23395</v>
      </c>
    </row>
    <row r="3606" spans="5:10" s="1297" customFormat="1">
      <c r="E3606" s="1297" t="s">
        <v>939</v>
      </c>
      <c r="F3606" s="1399"/>
      <c r="G3606" s="1399"/>
      <c r="H3606" s="1399"/>
      <c r="I3606" s="1399">
        <v>128458.25</v>
      </c>
      <c r="J3606" s="1399">
        <v>128458.25</v>
      </c>
    </row>
    <row r="3607" spans="5:10" s="1297" customFormat="1">
      <c r="E3607" s="1297" t="s">
        <v>1131</v>
      </c>
      <c r="F3607" s="1399">
        <v>45749.25</v>
      </c>
      <c r="G3607" s="1399"/>
      <c r="H3607" s="1399"/>
      <c r="I3607" s="1399"/>
      <c r="J3607" s="1399">
        <v>45749.25</v>
      </c>
    </row>
    <row r="3608" spans="5:10" s="1297" customFormat="1">
      <c r="E3608" s="1297" t="s">
        <v>940</v>
      </c>
      <c r="F3608" s="1399">
        <v>860459.48</v>
      </c>
      <c r="G3608" s="1399"/>
      <c r="H3608" s="1399"/>
      <c r="I3608" s="1399"/>
      <c r="J3608" s="1399">
        <v>860459.48</v>
      </c>
    </row>
    <row r="3609" spans="5:10" s="1297" customFormat="1">
      <c r="E3609" s="1297" t="s">
        <v>941</v>
      </c>
      <c r="F3609" s="1399">
        <v>314382.2</v>
      </c>
      <c r="G3609" s="1399"/>
      <c r="H3609" s="1399"/>
      <c r="I3609" s="1399"/>
      <c r="J3609" s="1399">
        <v>314382.2</v>
      </c>
    </row>
    <row r="3610" spans="5:10" s="1297" customFormat="1">
      <c r="E3610" s="1297" t="s">
        <v>943</v>
      </c>
      <c r="F3610" s="1399">
        <v>6661.48</v>
      </c>
      <c r="G3610" s="1399"/>
      <c r="H3610" s="1399"/>
      <c r="I3610" s="1399"/>
      <c r="J3610" s="1399">
        <v>6661.48</v>
      </c>
    </row>
    <row r="3611" spans="5:10" s="1297" customFormat="1">
      <c r="E3611" s="1297" t="s">
        <v>944</v>
      </c>
      <c r="F3611" s="1399">
        <v>2210964.5799999996</v>
      </c>
      <c r="G3611" s="1399"/>
      <c r="H3611" s="1399"/>
      <c r="I3611" s="1399"/>
      <c r="J3611" s="1399">
        <v>2210964.5799999996</v>
      </c>
    </row>
    <row r="3612" spans="5:10" s="1297" customFormat="1">
      <c r="E3612" s="1297" t="s">
        <v>945</v>
      </c>
      <c r="F3612" s="1399">
        <v>1392153.93</v>
      </c>
      <c r="G3612" s="1399"/>
      <c r="H3612" s="1399"/>
      <c r="I3612" s="1399"/>
      <c r="J3612" s="1399">
        <v>1392153.93</v>
      </c>
    </row>
    <row r="3613" spans="5:10" s="1297" customFormat="1">
      <c r="E3613" s="1297" t="s">
        <v>947</v>
      </c>
      <c r="F3613" s="1399">
        <v>110132.08</v>
      </c>
      <c r="G3613" s="1399"/>
      <c r="H3613" s="1399"/>
      <c r="I3613" s="1399"/>
      <c r="J3613" s="1399">
        <v>110132.08</v>
      </c>
    </row>
    <row r="3614" spans="5:10" s="1297" customFormat="1">
      <c r="E3614" s="1297" t="s">
        <v>1115</v>
      </c>
      <c r="F3614" s="1399">
        <v>41101.81</v>
      </c>
      <c r="G3614" s="1399"/>
      <c r="H3614" s="1399"/>
      <c r="I3614" s="1399"/>
      <c r="J3614" s="1399">
        <v>41101.81</v>
      </c>
    </row>
    <row r="3615" spans="5:10" s="1297" customFormat="1">
      <c r="E3615" s="1404" t="s">
        <v>948</v>
      </c>
      <c r="F3615" s="1405"/>
      <c r="G3615" s="1405"/>
      <c r="H3615" s="1405">
        <v>3485838.63</v>
      </c>
      <c r="I3615" s="1405"/>
      <c r="J3615" s="1405">
        <v>3485838.63</v>
      </c>
    </row>
    <row r="3616" spans="5:10" s="1297" customFormat="1">
      <c r="E3616" s="1297" t="s">
        <v>1118</v>
      </c>
      <c r="F3616" s="1399"/>
      <c r="G3616" s="1399"/>
      <c r="H3616" s="1399">
        <v>651.38</v>
      </c>
      <c r="I3616" s="1399"/>
      <c r="J3616" s="1399">
        <v>651.38</v>
      </c>
    </row>
    <row r="3617" spans="2:12">
      <c r="B3617" s="1297"/>
      <c r="C3617" s="1297"/>
      <c r="D3617" s="1297"/>
      <c r="E3617" s="1297" t="s">
        <v>1051</v>
      </c>
      <c r="H3617" s="1399">
        <v>755118.27</v>
      </c>
      <c r="J3617" s="1399">
        <v>755118.27</v>
      </c>
    </row>
    <row r="3618" spans="2:12">
      <c r="B3618" s="1297"/>
      <c r="C3618" s="1297"/>
      <c r="D3618" s="1400" t="s">
        <v>1231</v>
      </c>
      <c r="E3618" s="1400"/>
      <c r="F3618" s="1401">
        <f>SUM(F3578:F3617)</f>
        <v>4992302.8099999987</v>
      </c>
      <c r="G3618" s="1401">
        <f>SUM(G3578:G3617)</f>
        <v>17401715.690000001</v>
      </c>
      <c r="H3618" s="1401">
        <f>SUM(H3578:H3617)-H3615</f>
        <v>2525729.4400000004</v>
      </c>
      <c r="I3618" s="1401">
        <f>SUM(I3578:I3617)</f>
        <v>14930438.01</v>
      </c>
      <c r="J3618" s="1401">
        <f>SUM(J3578:J3617)</f>
        <v>43336024.580000013</v>
      </c>
      <c r="K3618" s="1401">
        <f>SUM(F3618:I3618)</f>
        <v>39850185.950000003</v>
      </c>
      <c r="L3618" s="1408">
        <f>K3618/C3578</f>
        <v>10545.166962159303</v>
      </c>
    </row>
    <row r="3619" spans="2:12">
      <c r="B3619" s="1297" t="s">
        <v>1232</v>
      </c>
      <c r="C3619" s="1297">
        <v>1727</v>
      </c>
      <c r="D3619" s="1297" t="s">
        <v>1233</v>
      </c>
      <c r="E3619" s="1297" t="s">
        <v>906</v>
      </c>
      <c r="G3619" s="1399">
        <v>5745760.7200000007</v>
      </c>
      <c r="J3619" s="1399">
        <v>5745760.7200000007</v>
      </c>
    </row>
    <row r="3620" spans="2:12">
      <c r="B3620" s="1297"/>
      <c r="C3620" s="1297"/>
      <c r="D3620" s="1297"/>
      <c r="E3620" s="1297" t="s">
        <v>952</v>
      </c>
      <c r="G3620" s="1399">
        <v>47387.72</v>
      </c>
      <c r="J3620" s="1399">
        <v>47387.72</v>
      </c>
    </row>
    <row r="3621" spans="2:12">
      <c r="B3621" s="1297"/>
      <c r="C3621" s="1297"/>
      <c r="D3621" s="1297"/>
      <c r="E3621" s="1297" t="s">
        <v>907</v>
      </c>
      <c r="G3621" s="1399">
        <v>1307347.3600000001</v>
      </c>
      <c r="J3621" s="1399">
        <v>1307347.3600000001</v>
      </c>
    </row>
    <row r="3622" spans="2:12">
      <c r="B3622" s="1297"/>
      <c r="C3622" s="1297"/>
      <c r="D3622" s="1297"/>
      <c r="E3622" s="1297" t="s">
        <v>908</v>
      </c>
      <c r="G3622" s="1399">
        <v>32917.199999999997</v>
      </c>
      <c r="J3622" s="1399">
        <v>32917.199999999997</v>
      </c>
    </row>
    <row r="3623" spans="2:12">
      <c r="B3623" s="1297"/>
      <c r="C3623" s="1297"/>
      <c r="D3623" s="1297"/>
      <c r="E3623" s="1297" t="s">
        <v>909</v>
      </c>
      <c r="H3623" s="1399">
        <v>9300.49</v>
      </c>
      <c r="J3623" s="1399">
        <v>9300.49</v>
      </c>
    </row>
    <row r="3624" spans="2:12">
      <c r="B3624" s="1297"/>
      <c r="C3624" s="1297"/>
      <c r="D3624" s="1297"/>
      <c r="E3624" s="1297" t="s">
        <v>910</v>
      </c>
      <c r="H3624" s="1399">
        <v>8774.2900000000009</v>
      </c>
      <c r="J3624" s="1399">
        <v>8774.2900000000009</v>
      </c>
    </row>
    <row r="3625" spans="2:12">
      <c r="B3625" s="1297"/>
      <c r="C3625" s="1297"/>
      <c r="D3625" s="1297"/>
      <c r="E3625" s="1297" t="s">
        <v>1034</v>
      </c>
      <c r="H3625" s="1399">
        <v>46311.990000000005</v>
      </c>
      <c r="J3625" s="1399">
        <v>46311.990000000005</v>
      </c>
    </row>
    <row r="3626" spans="2:12">
      <c r="B3626" s="1297"/>
      <c r="C3626" s="1297"/>
      <c r="D3626" s="1297"/>
      <c r="E3626" s="1297" t="s">
        <v>1035</v>
      </c>
      <c r="H3626" s="1399">
        <v>182015.17</v>
      </c>
      <c r="J3626" s="1399">
        <v>182015.17</v>
      </c>
    </row>
    <row r="3627" spans="2:12">
      <c r="B3627" s="1297"/>
      <c r="C3627" s="1297"/>
      <c r="D3627" s="1297"/>
      <c r="E3627" s="1297" t="s">
        <v>1036</v>
      </c>
      <c r="H3627" s="1399">
        <v>44736.11</v>
      </c>
      <c r="J3627" s="1399">
        <v>44736.11</v>
      </c>
    </row>
    <row r="3628" spans="2:12">
      <c r="B3628" s="1297"/>
      <c r="C3628" s="1297"/>
      <c r="D3628" s="1297"/>
      <c r="E3628" s="1297" t="s">
        <v>1039</v>
      </c>
      <c r="H3628" s="1399">
        <v>10248.74</v>
      </c>
      <c r="J3628" s="1399">
        <v>10248.74</v>
      </c>
    </row>
    <row r="3629" spans="2:12">
      <c r="B3629" s="1297"/>
      <c r="C3629" s="1297"/>
      <c r="D3629" s="1297"/>
      <c r="E3629" s="1297" t="s">
        <v>1041</v>
      </c>
      <c r="H3629" s="1399">
        <v>567.5</v>
      </c>
      <c r="J3629" s="1399">
        <v>567.5</v>
      </c>
    </row>
    <row r="3630" spans="2:12">
      <c r="B3630" s="1297"/>
      <c r="C3630" s="1297"/>
      <c r="D3630" s="1297"/>
      <c r="E3630" s="1297" t="s">
        <v>1042</v>
      </c>
      <c r="H3630" s="1399">
        <v>20756</v>
      </c>
      <c r="J3630" s="1399">
        <v>20756</v>
      </c>
    </row>
    <row r="3631" spans="2:12">
      <c r="B3631" s="1297"/>
      <c r="C3631" s="1297"/>
      <c r="D3631" s="1297"/>
      <c r="E3631" s="1297" t="s">
        <v>1044</v>
      </c>
      <c r="F3631" s="1399">
        <v>32111.29</v>
      </c>
      <c r="J3631" s="1399">
        <v>32111.29</v>
      </c>
    </row>
    <row r="3632" spans="2:12">
      <c r="B3632" s="1297"/>
      <c r="C3632" s="1297"/>
      <c r="D3632" s="1297"/>
      <c r="E3632" s="1297" t="s">
        <v>1045</v>
      </c>
      <c r="H3632" s="1399">
        <v>50287.49</v>
      </c>
      <c r="J3632" s="1399">
        <v>50287.49</v>
      </c>
    </row>
    <row r="3633" spans="5:10" s="1297" customFormat="1">
      <c r="E3633" s="1297" t="s">
        <v>1046</v>
      </c>
      <c r="F3633" s="1399"/>
      <c r="G3633" s="1399"/>
      <c r="H3633" s="1399"/>
      <c r="I3633" s="1399">
        <v>8347975</v>
      </c>
      <c r="J3633" s="1399">
        <v>8347975</v>
      </c>
    </row>
    <row r="3634" spans="5:10" s="1297" customFormat="1">
      <c r="E3634" s="1297" t="s">
        <v>1047</v>
      </c>
      <c r="F3634" s="1399"/>
      <c r="G3634" s="1399"/>
      <c r="H3634" s="1399"/>
      <c r="I3634" s="1399">
        <v>445330</v>
      </c>
      <c r="J3634" s="1399">
        <v>445330</v>
      </c>
    </row>
    <row r="3635" spans="5:10" s="1297" customFormat="1">
      <c r="E3635" s="1297" t="s">
        <v>1048</v>
      </c>
      <c r="F3635" s="1399"/>
      <c r="G3635" s="1399"/>
      <c r="H3635" s="1399"/>
      <c r="I3635" s="1399">
        <v>-1418574</v>
      </c>
      <c r="J3635" s="1399">
        <v>-1418574</v>
      </c>
    </row>
    <row r="3636" spans="5:10" s="1297" customFormat="1">
      <c r="E3636" s="1297" t="s">
        <v>932</v>
      </c>
      <c r="F3636" s="1399"/>
      <c r="G3636" s="1399"/>
      <c r="H3636" s="1399"/>
      <c r="I3636" s="1399">
        <v>763665</v>
      </c>
      <c r="J3636" s="1399">
        <v>763665</v>
      </c>
    </row>
    <row r="3637" spans="5:10" s="1297" customFormat="1">
      <c r="E3637" s="1404" t="s">
        <v>955</v>
      </c>
      <c r="F3637" s="1405"/>
      <c r="G3637" s="1405"/>
      <c r="H3637" s="1405"/>
      <c r="I3637" s="1405">
        <v>356527.9</v>
      </c>
      <c r="J3637" s="1405">
        <v>356527.9</v>
      </c>
    </row>
    <row r="3638" spans="5:10" s="1297" customFormat="1">
      <c r="E3638" s="1297" t="s">
        <v>934</v>
      </c>
      <c r="F3638" s="1399"/>
      <c r="G3638" s="1399"/>
      <c r="H3638" s="1399"/>
      <c r="I3638" s="1399">
        <v>34202</v>
      </c>
      <c r="J3638" s="1399">
        <v>34202</v>
      </c>
    </row>
    <row r="3639" spans="5:10" s="1297" customFormat="1">
      <c r="E3639" s="1297" t="s">
        <v>935</v>
      </c>
      <c r="F3639" s="1399"/>
      <c r="G3639" s="1399"/>
      <c r="H3639" s="1399"/>
      <c r="I3639" s="1399">
        <v>296724.32999999996</v>
      </c>
      <c r="J3639" s="1399">
        <v>296724.32999999996</v>
      </c>
    </row>
    <row r="3640" spans="5:10" s="1297" customFormat="1">
      <c r="E3640" s="1297" t="s">
        <v>936</v>
      </c>
      <c r="F3640" s="1399"/>
      <c r="G3640" s="1399"/>
      <c r="H3640" s="1399"/>
      <c r="I3640" s="1399">
        <v>40967.61</v>
      </c>
      <c r="J3640" s="1399">
        <v>40967.61</v>
      </c>
    </row>
    <row r="3641" spans="5:10" s="1297" customFormat="1">
      <c r="E3641" s="1297" t="s">
        <v>937</v>
      </c>
      <c r="F3641" s="1399"/>
      <c r="G3641" s="1399"/>
      <c r="H3641" s="1399"/>
      <c r="I3641" s="1399">
        <v>19310.98</v>
      </c>
      <c r="J3641" s="1399">
        <v>19310.98</v>
      </c>
    </row>
    <row r="3642" spans="5:10" s="1297" customFormat="1">
      <c r="E3642" s="1297" t="s">
        <v>938</v>
      </c>
      <c r="F3642" s="1399"/>
      <c r="G3642" s="1399"/>
      <c r="H3642" s="1399"/>
      <c r="I3642" s="1399">
        <v>13475</v>
      </c>
      <c r="J3642" s="1399">
        <v>13475</v>
      </c>
    </row>
    <row r="3643" spans="5:10" s="1297" customFormat="1">
      <c r="E3643" s="1297" t="s">
        <v>1131</v>
      </c>
      <c r="F3643" s="1399">
        <v>56485.08</v>
      </c>
      <c r="G3643" s="1399"/>
      <c r="H3643" s="1399"/>
      <c r="I3643" s="1399"/>
      <c r="J3643" s="1399">
        <v>56485.08</v>
      </c>
    </row>
    <row r="3644" spans="5:10" s="1297" customFormat="1">
      <c r="E3644" s="1297" t="s">
        <v>940</v>
      </c>
      <c r="F3644" s="1399">
        <v>657568.74</v>
      </c>
      <c r="G3644" s="1399"/>
      <c r="H3644" s="1399"/>
      <c r="I3644" s="1399"/>
      <c r="J3644" s="1399">
        <v>657568.74</v>
      </c>
    </row>
    <row r="3645" spans="5:10" s="1297" customFormat="1">
      <c r="E3645" s="1297" t="s">
        <v>941</v>
      </c>
      <c r="F3645" s="1399">
        <v>297872.2</v>
      </c>
      <c r="G3645" s="1399"/>
      <c r="H3645" s="1399"/>
      <c r="I3645" s="1399"/>
      <c r="J3645" s="1399">
        <v>297872.2</v>
      </c>
    </row>
    <row r="3646" spans="5:10" s="1297" customFormat="1">
      <c r="E3646" s="1297" t="s">
        <v>943</v>
      </c>
      <c r="F3646" s="1399">
        <v>9474.9599999999991</v>
      </c>
      <c r="G3646" s="1399"/>
      <c r="H3646" s="1399"/>
      <c r="I3646" s="1399"/>
      <c r="J3646" s="1399">
        <v>9474.9599999999991</v>
      </c>
    </row>
    <row r="3647" spans="5:10" s="1297" customFormat="1">
      <c r="E3647" s="1297" t="s">
        <v>944</v>
      </c>
      <c r="F3647" s="1399">
        <v>2663893.9699999997</v>
      </c>
      <c r="G3647" s="1399"/>
      <c r="H3647" s="1399"/>
      <c r="I3647" s="1399"/>
      <c r="J3647" s="1399">
        <v>2663893.9699999997</v>
      </c>
    </row>
    <row r="3648" spans="5:10" s="1297" customFormat="1">
      <c r="E3648" s="1297" t="s">
        <v>945</v>
      </c>
      <c r="F3648" s="1399">
        <v>960973.76</v>
      </c>
      <c r="G3648" s="1399"/>
      <c r="H3648" s="1399"/>
      <c r="I3648" s="1399"/>
      <c r="J3648" s="1399">
        <v>960973.76</v>
      </c>
    </row>
    <row r="3649" spans="2:12">
      <c r="B3649" s="1297"/>
      <c r="C3649" s="1297"/>
      <c r="D3649" s="1297"/>
      <c r="E3649" s="1297" t="s">
        <v>946</v>
      </c>
      <c r="F3649" s="1399">
        <v>1746.97</v>
      </c>
      <c r="J3649" s="1399">
        <v>1746.97</v>
      </c>
    </row>
    <row r="3650" spans="2:12">
      <c r="B3650" s="1297"/>
      <c r="C3650" s="1297"/>
      <c r="D3650" s="1297"/>
      <c r="E3650" s="1297" t="s">
        <v>1006</v>
      </c>
      <c r="F3650" s="1399">
        <v>9395.2199999999993</v>
      </c>
      <c r="J3650" s="1399">
        <v>9395.2199999999993</v>
      </c>
    </row>
    <row r="3651" spans="2:12">
      <c r="B3651" s="1297"/>
      <c r="C3651" s="1297"/>
      <c r="D3651" s="1297"/>
      <c r="E3651" s="1297" t="s">
        <v>947</v>
      </c>
      <c r="F3651" s="1399">
        <v>61473.03</v>
      </c>
      <c r="J3651" s="1399">
        <v>61473.03</v>
      </c>
    </row>
    <row r="3652" spans="2:12">
      <c r="B3652" s="1297"/>
      <c r="C3652" s="1297"/>
      <c r="D3652" s="1297"/>
      <c r="E3652" s="1404" t="s">
        <v>948</v>
      </c>
      <c r="F3652" s="1405"/>
      <c r="G3652" s="1405"/>
      <c r="H3652" s="1405">
        <v>186910.27000000002</v>
      </c>
      <c r="I3652" s="1405"/>
      <c r="J3652" s="1405">
        <v>186910.27000000002</v>
      </c>
    </row>
    <row r="3653" spans="2:12">
      <c r="B3653" s="1297"/>
      <c r="C3653" s="1297"/>
      <c r="D3653" s="1297"/>
      <c r="E3653" s="1297" t="s">
        <v>956</v>
      </c>
      <c r="H3653" s="1399">
        <v>5959</v>
      </c>
      <c r="J3653" s="1399">
        <v>5959</v>
      </c>
    </row>
    <row r="3654" spans="2:12">
      <c r="B3654" s="1297"/>
      <c r="C3654" s="1297"/>
      <c r="D3654" s="1400" t="s">
        <v>1234</v>
      </c>
      <c r="E3654" s="1400"/>
      <c r="F3654" s="1401">
        <f>SUM(F3619:F3653)</f>
        <v>4750995.22</v>
      </c>
      <c r="G3654" s="1401">
        <f>SUM(G3619:G3653)</f>
        <v>7133413.0000000009</v>
      </c>
      <c r="H3654" s="1401">
        <f>SUM(H3619:H3653)-H3652</f>
        <v>378956.78</v>
      </c>
      <c r="I3654" s="1401">
        <f>SUM(I3619:I3653)-I3637</f>
        <v>8543075.9199999999</v>
      </c>
      <c r="J3654" s="1401">
        <f>SUM(J3619:J3653)</f>
        <v>21349879.09</v>
      </c>
      <c r="K3654" s="1401">
        <f>SUM(F3654:I3654)</f>
        <v>20806440.920000002</v>
      </c>
      <c r="L3654" s="1408">
        <f>K3654/C3619</f>
        <v>12047.7364910249</v>
      </c>
    </row>
    <row r="3655" spans="2:12">
      <c r="B3655" s="1297" t="s">
        <v>1235</v>
      </c>
      <c r="C3655" s="1297">
        <v>4657</v>
      </c>
      <c r="D3655" s="1297" t="s">
        <v>1236</v>
      </c>
      <c r="E3655" s="1297" t="s">
        <v>906</v>
      </c>
      <c r="G3655" s="1399">
        <v>12053582.26</v>
      </c>
      <c r="J3655" s="1399">
        <v>12053582.26</v>
      </c>
    </row>
    <row r="3656" spans="2:12">
      <c r="B3656" s="1297"/>
      <c r="C3656" s="1297"/>
      <c r="D3656" s="1297"/>
      <c r="E3656" s="1297" t="s">
        <v>952</v>
      </c>
      <c r="G3656" s="1399">
        <v>121551.67999999999</v>
      </c>
      <c r="J3656" s="1399">
        <v>121551.67999999999</v>
      </c>
    </row>
    <row r="3657" spans="2:12">
      <c r="B3657" s="1297"/>
      <c r="C3657" s="1297"/>
      <c r="D3657" s="1297"/>
      <c r="E3657" s="1297" t="s">
        <v>907</v>
      </c>
      <c r="G3657" s="1399">
        <v>1959242.78</v>
      </c>
      <c r="J3657" s="1399">
        <v>1959242.78</v>
      </c>
    </row>
    <row r="3658" spans="2:12">
      <c r="B3658" s="1297"/>
      <c r="C3658" s="1297"/>
      <c r="D3658" s="1297"/>
      <c r="E3658" s="1297" t="s">
        <v>908</v>
      </c>
      <c r="G3658" s="1399">
        <v>16083.55</v>
      </c>
      <c r="J3658" s="1399">
        <v>16083.55</v>
      </c>
    </row>
    <row r="3659" spans="2:12">
      <c r="B3659" s="1297"/>
      <c r="C3659" s="1297"/>
      <c r="D3659" s="1297"/>
      <c r="E3659" s="1297" t="s">
        <v>909</v>
      </c>
      <c r="H3659" s="1399">
        <v>8227.2000000000007</v>
      </c>
      <c r="J3659" s="1399">
        <v>8227.2000000000007</v>
      </c>
    </row>
    <row r="3660" spans="2:12">
      <c r="B3660" s="1297"/>
      <c r="C3660" s="1297"/>
      <c r="D3660" s="1297"/>
      <c r="E3660" s="1297" t="s">
        <v>910</v>
      </c>
      <c r="H3660" s="1399">
        <v>35206.65</v>
      </c>
      <c r="J3660" s="1399">
        <v>35206.65</v>
      </c>
    </row>
    <row r="3661" spans="2:12">
      <c r="B3661" s="1297"/>
      <c r="C3661" s="1297"/>
      <c r="D3661" s="1297"/>
      <c r="E3661" s="1297" t="s">
        <v>1034</v>
      </c>
      <c r="H3661" s="1399">
        <v>89340.940000000017</v>
      </c>
      <c r="J3661" s="1399">
        <v>89340.940000000017</v>
      </c>
    </row>
    <row r="3662" spans="2:12">
      <c r="B3662" s="1297"/>
      <c r="C3662" s="1297"/>
      <c r="D3662" s="1297"/>
      <c r="E3662" s="1297" t="s">
        <v>1035</v>
      </c>
      <c r="H3662" s="1399">
        <v>352220.65</v>
      </c>
      <c r="J3662" s="1399">
        <v>352220.65</v>
      </c>
    </row>
    <row r="3663" spans="2:12">
      <c r="B3663" s="1297"/>
      <c r="C3663" s="1297"/>
      <c r="D3663" s="1297"/>
      <c r="E3663" s="1297" t="s">
        <v>1036</v>
      </c>
      <c r="H3663" s="1399">
        <v>99581.25</v>
      </c>
      <c r="J3663" s="1399">
        <v>99581.25</v>
      </c>
    </row>
    <row r="3664" spans="2:12">
      <c r="B3664" s="1297"/>
      <c r="C3664" s="1297"/>
      <c r="D3664" s="1297"/>
      <c r="E3664" s="1297" t="s">
        <v>1039</v>
      </c>
      <c r="H3664" s="1399">
        <v>108481.87</v>
      </c>
      <c r="J3664" s="1399">
        <v>108481.87</v>
      </c>
    </row>
    <row r="3665" spans="5:10" s="1297" customFormat="1">
      <c r="E3665" s="1297" t="s">
        <v>1040</v>
      </c>
      <c r="F3665" s="1399"/>
      <c r="G3665" s="1399"/>
      <c r="H3665" s="1399">
        <v>471988.30000000005</v>
      </c>
      <c r="I3665" s="1399"/>
      <c r="J3665" s="1399">
        <v>471988.30000000005</v>
      </c>
    </row>
    <row r="3666" spans="5:10" s="1297" customFormat="1">
      <c r="E3666" s="1297" t="s">
        <v>1041</v>
      </c>
      <c r="F3666" s="1399"/>
      <c r="G3666" s="1399"/>
      <c r="H3666" s="1399">
        <v>80054.45</v>
      </c>
      <c r="I3666" s="1399"/>
      <c r="J3666" s="1399">
        <v>80054.45</v>
      </c>
    </row>
    <row r="3667" spans="5:10" s="1297" customFormat="1">
      <c r="E3667" s="1297" t="s">
        <v>1042</v>
      </c>
      <c r="F3667" s="1399"/>
      <c r="G3667" s="1399"/>
      <c r="H3667" s="1399">
        <v>77299.23</v>
      </c>
      <c r="I3667" s="1399"/>
      <c r="J3667" s="1399">
        <v>77299.23</v>
      </c>
    </row>
    <row r="3668" spans="5:10" s="1297" customFormat="1">
      <c r="E3668" s="1297" t="s">
        <v>954</v>
      </c>
      <c r="F3668" s="1399"/>
      <c r="G3668" s="1399"/>
      <c r="H3668" s="1399">
        <v>527431.59</v>
      </c>
      <c r="I3668" s="1399"/>
      <c r="J3668" s="1399">
        <v>527431.59</v>
      </c>
    </row>
    <row r="3669" spans="5:10" s="1297" customFormat="1">
      <c r="E3669" s="1297" t="s">
        <v>985</v>
      </c>
      <c r="F3669" s="1399"/>
      <c r="G3669" s="1399"/>
      <c r="H3669" s="1399">
        <v>211337.36999999997</v>
      </c>
      <c r="I3669" s="1399"/>
      <c r="J3669" s="1399">
        <v>211337.36999999997</v>
      </c>
    </row>
    <row r="3670" spans="5:10" s="1297" customFormat="1">
      <c r="E3670" s="1297" t="s">
        <v>986</v>
      </c>
      <c r="F3670" s="1399"/>
      <c r="G3670" s="1399"/>
      <c r="H3670" s="1399">
        <v>450114.13</v>
      </c>
      <c r="I3670" s="1399"/>
      <c r="J3670" s="1399">
        <v>450114.13</v>
      </c>
    </row>
    <row r="3671" spans="5:10" s="1297" customFormat="1">
      <c r="E3671" s="1297" t="s">
        <v>1044</v>
      </c>
      <c r="F3671" s="1399">
        <v>54076.62</v>
      </c>
      <c r="G3671" s="1399"/>
      <c r="H3671" s="1399"/>
      <c r="I3671" s="1399"/>
      <c r="J3671" s="1399">
        <v>54076.62</v>
      </c>
    </row>
    <row r="3672" spans="5:10" s="1297" customFormat="1">
      <c r="E3672" s="1297" t="s">
        <v>1045</v>
      </c>
      <c r="F3672" s="1399"/>
      <c r="G3672" s="1399"/>
      <c r="H3672" s="1399">
        <v>511689.35</v>
      </c>
      <c r="I3672" s="1399"/>
      <c r="J3672" s="1399">
        <v>511689.35</v>
      </c>
    </row>
    <row r="3673" spans="5:10" s="1297" customFormat="1">
      <c r="E3673" s="1297" t="s">
        <v>1046</v>
      </c>
      <c r="F3673" s="1399"/>
      <c r="G3673" s="1399"/>
      <c r="H3673" s="1399"/>
      <c r="I3673" s="1399">
        <v>26671809</v>
      </c>
      <c r="J3673" s="1399">
        <v>26671809</v>
      </c>
    </row>
    <row r="3674" spans="5:10" s="1297" customFormat="1">
      <c r="E3674" s="1297" t="s">
        <v>1128</v>
      </c>
      <c r="F3674" s="1399"/>
      <c r="G3674" s="1399"/>
      <c r="H3674" s="1399"/>
      <c r="I3674" s="1399">
        <v>2068554</v>
      </c>
      <c r="J3674" s="1399">
        <v>2068554</v>
      </c>
    </row>
    <row r="3675" spans="5:10" s="1297" customFormat="1">
      <c r="E3675" s="1297" t="s">
        <v>1129</v>
      </c>
      <c r="F3675" s="1399"/>
      <c r="G3675" s="1399"/>
      <c r="H3675" s="1399"/>
      <c r="I3675" s="1399">
        <v>-3738303</v>
      </c>
      <c r="J3675" s="1399">
        <v>-3738303</v>
      </c>
    </row>
    <row r="3676" spans="5:10" s="1297" customFormat="1">
      <c r="E3676" s="1297" t="s">
        <v>1047</v>
      </c>
      <c r="F3676" s="1399"/>
      <c r="G3676" s="1399"/>
      <c r="H3676" s="1399"/>
      <c r="I3676" s="1399">
        <v>826050</v>
      </c>
      <c r="J3676" s="1399">
        <v>826050</v>
      </c>
    </row>
    <row r="3677" spans="5:10" s="1297" customFormat="1">
      <c r="E3677" s="1297" t="s">
        <v>1048</v>
      </c>
      <c r="F3677" s="1399"/>
      <c r="G3677" s="1399"/>
      <c r="H3677" s="1399"/>
      <c r="I3677" s="1399">
        <v>-2912527</v>
      </c>
      <c r="J3677" s="1399">
        <v>-2912527</v>
      </c>
    </row>
    <row r="3678" spans="5:10" s="1297" customFormat="1">
      <c r="E3678" s="1297" t="s">
        <v>932</v>
      </c>
      <c r="F3678" s="1399"/>
      <c r="G3678" s="1399"/>
      <c r="H3678" s="1399"/>
      <c r="I3678" s="1399">
        <v>3753099</v>
      </c>
      <c r="J3678" s="1399">
        <v>3753099</v>
      </c>
    </row>
    <row r="3679" spans="5:10" s="1297" customFormat="1">
      <c r="E3679" s="1297" t="s">
        <v>934</v>
      </c>
      <c r="F3679" s="1399"/>
      <c r="G3679" s="1399"/>
      <c r="H3679" s="1399"/>
      <c r="I3679" s="1399">
        <v>74406</v>
      </c>
      <c r="J3679" s="1399">
        <v>74406</v>
      </c>
    </row>
    <row r="3680" spans="5:10" s="1297" customFormat="1">
      <c r="E3680" s="1297" t="s">
        <v>935</v>
      </c>
      <c r="F3680" s="1399"/>
      <c r="G3680" s="1399"/>
      <c r="H3680" s="1399"/>
      <c r="I3680" s="1399">
        <v>726932.22</v>
      </c>
      <c r="J3680" s="1399">
        <v>726932.22</v>
      </c>
    </row>
    <row r="3681" spans="2:12">
      <c r="B3681" s="1297"/>
      <c r="C3681" s="1297"/>
      <c r="D3681" s="1297"/>
      <c r="E3681" s="1297" t="s">
        <v>936</v>
      </c>
      <c r="I3681" s="1399">
        <v>91739.44</v>
      </c>
      <c r="J3681" s="1399">
        <v>91739.44</v>
      </c>
    </row>
    <row r="3682" spans="2:12">
      <c r="B3682" s="1297"/>
      <c r="C3682" s="1297"/>
      <c r="D3682" s="1297"/>
      <c r="E3682" s="1297" t="s">
        <v>937</v>
      </c>
      <c r="I3682" s="1399">
        <v>29095.06</v>
      </c>
      <c r="J3682" s="1399">
        <v>29095.06</v>
      </c>
    </row>
    <row r="3683" spans="2:12">
      <c r="B3683" s="1297"/>
      <c r="C3683" s="1297"/>
      <c r="D3683" s="1297"/>
      <c r="E3683" s="1297" t="s">
        <v>938</v>
      </c>
      <c r="I3683" s="1399">
        <v>29010</v>
      </c>
      <c r="J3683" s="1399">
        <v>29010</v>
      </c>
    </row>
    <row r="3684" spans="2:12">
      <c r="B3684" s="1297"/>
      <c r="C3684" s="1297"/>
      <c r="D3684" s="1297"/>
      <c r="E3684" s="1297" t="s">
        <v>939</v>
      </c>
      <c r="I3684" s="1399">
        <v>296047.09999999998</v>
      </c>
      <c r="J3684" s="1399">
        <v>296047.09999999998</v>
      </c>
    </row>
    <row r="3685" spans="2:12">
      <c r="B3685" s="1297"/>
      <c r="C3685" s="1297"/>
      <c r="D3685" s="1297"/>
      <c r="E3685" s="1297" t="s">
        <v>940</v>
      </c>
      <c r="F3685" s="1399">
        <v>1172095.76</v>
      </c>
      <c r="J3685" s="1399">
        <v>1172095.76</v>
      </c>
    </row>
    <row r="3686" spans="2:12">
      <c r="B3686" s="1297"/>
      <c r="C3686" s="1297"/>
      <c r="D3686" s="1297"/>
      <c r="E3686" s="1297" t="s">
        <v>941</v>
      </c>
      <c r="F3686" s="1399">
        <v>411702.4</v>
      </c>
      <c r="J3686" s="1399">
        <v>411702.4</v>
      </c>
    </row>
    <row r="3687" spans="2:12">
      <c r="B3687" s="1297"/>
      <c r="C3687" s="1297"/>
      <c r="D3687" s="1297"/>
      <c r="E3687" s="1297" t="s">
        <v>943</v>
      </c>
      <c r="F3687" s="1399">
        <v>31232.44</v>
      </c>
      <c r="J3687" s="1399">
        <v>31232.44</v>
      </c>
    </row>
    <row r="3688" spans="2:12">
      <c r="B3688" s="1297"/>
      <c r="C3688" s="1297"/>
      <c r="D3688" s="1297"/>
      <c r="E3688" s="1297" t="s">
        <v>944</v>
      </c>
      <c r="F3688" s="1399">
        <v>2552701.5399999996</v>
      </c>
      <c r="J3688" s="1399">
        <v>2552701.5399999996</v>
      </c>
    </row>
    <row r="3689" spans="2:12">
      <c r="B3689" s="1297"/>
      <c r="C3689" s="1297"/>
      <c r="D3689" s="1297"/>
      <c r="E3689" s="1297" t="s">
        <v>945</v>
      </c>
      <c r="F3689" s="1399">
        <v>2043431.58</v>
      </c>
      <c r="J3689" s="1399">
        <v>2043431.58</v>
      </c>
    </row>
    <row r="3690" spans="2:12">
      <c r="B3690" s="1297"/>
      <c r="C3690" s="1297"/>
      <c r="D3690" s="1297"/>
      <c r="E3690" s="1297" t="s">
        <v>947</v>
      </c>
      <c r="F3690" s="1399">
        <v>63099.819999999992</v>
      </c>
      <c r="J3690" s="1399">
        <v>63099.819999999992</v>
      </c>
    </row>
    <row r="3691" spans="2:12">
      <c r="B3691" s="1297"/>
      <c r="C3691" s="1297"/>
      <c r="D3691" s="1297"/>
      <c r="E3691" s="1404" t="s">
        <v>948</v>
      </c>
      <c r="F3691" s="1405"/>
      <c r="G3691" s="1405"/>
      <c r="H3691" s="1405">
        <v>827505.55</v>
      </c>
      <c r="I3691" s="1405"/>
      <c r="J3691" s="1405">
        <v>827505.55</v>
      </c>
    </row>
    <row r="3692" spans="2:12">
      <c r="B3692" s="1297"/>
      <c r="C3692" s="1297"/>
      <c r="D3692" s="1400" t="s">
        <v>1237</v>
      </c>
      <c r="E3692" s="1400"/>
      <c r="F3692" s="1401">
        <f>SUM(F3655:F3691)</f>
        <v>6328340.1600000001</v>
      </c>
      <c r="G3692" s="1401">
        <f>SUM(G3655:G3691)</f>
        <v>14150460.27</v>
      </c>
      <c r="H3692" s="1401">
        <f>SUM(H3655:H3691)-H3691</f>
        <v>3022972.9800000004</v>
      </c>
      <c r="I3692" s="1401">
        <f>SUM(I3655:I3691)</f>
        <v>27915911.82</v>
      </c>
      <c r="J3692" s="1401">
        <f>SUM(J3655:J3691)</f>
        <v>52245190.779999986</v>
      </c>
      <c r="K3692" s="1401">
        <f>SUM(F3692:I3692)</f>
        <v>51417685.230000004</v>
      </c>
      <c r="L3692" s="1408">
        <f>K3692/C3655</f>
        <v>11040.945937298691</v>
      </c>
    </row>
    <row r="3693" spans="2:12">
      <c r="B3693" s="1297" t="s">
        <v>1238</v>
      </c>
      <c r="C3693" s="1297">
        <v>1273</v>
      </c>
      <c r="D3693" s="1297" t="s">
        <v>1239</v>
      </c>
      <c r="E3693" s="1297" t="s">
        <v>906</v>
      </c>
      <c r="G3693" s="1399">
        <v>3418730.67</v>
      </c>
      <c r="J3693" s="1399">
        <v>3418730.67</v>
      </c>
    </row>
    <row r="3694" spans="2:12">
      <c r="B3694" s="1297"/>
      <c r="C3694" s="1297"/>
      <c r="D3694" s="1297"/>
      <c r="E3694" s="1297" t="s">
        <v>952</v>
      </c>
      <c r="G3694" s="1399">
        <v>26719.8</v>
      </c>
      <c r="J3694" s="1399">
        <v>26719.8</v>
      </c>
    </row>
    <row r="3695" spans="2:12">
      <c r="B3695" s="1297"/>
      <c r="C3695" s="1297"/>
      <c r="D3695" s="1297"/>
      <c r="E3695" s="1297" t="s">
        <v>907</v>
      </c>
      <c r="G3695" s="1399">
        <v>474323</v>
      </c>
      <c r="J3695" s="1399">
        <v>474323</v>
      </c>
    </row>
    <row r="3696" spans="2:12">
      <c r="B3696" s="1297"/>
      <c r="C3696" s="1297"/>
      <c r="D3696" s="1297"/>
      <c r="E3696" s="1297" t="s">
        <v>908</v>
      </c>
      <c r="G3696" s="1399">
        <v>11533.93</v>
      </c>
      <c r="J3696" s="1399">
        <v>11533.93</v>
      </c>
    </row>
    <row r="3697" spans="5:10" s="1297" customFormat="1">
      <c r="E3697" s="1297" t="s">
        <v>909</v>
      </c>
      <c r="F3697" s="1399"/>
      <c r="G3697" s="1399"/>
      <c r="H3697" s="1399">
        <v>24332.06</v>
      </c>
      <c r="I3697" s="1399"/>
      <c r="J3697" s="1399">
        <v>24332.06</v>
      </c>
    </row>
    <row r="3698" spans="5:10" s="1297" customFormat="1">
      <c r="E3698" s="1297" t="s">
        <v>1034</v>
      </c>
      <c r="F3698" s="1399"/>
      <c r="G3698" s="1399"/>
      <c r="H3698" s="1399">
        <v>4173.8900000000003</v>
      </c>
      <c r="I3698" s="1399"/>
      <c r="J3698" s="1399">
        <v>4173.8900000000003</v>
      </c>
    </row>
    <row r="3699" spans="5:10" s="1297" customFormat="1">
      <c r="E3699" s="1297" t="s">
        <v>1035</v>
      </c>
      <c r="F3699" s="1399"/>
      <c r="G3699" s="1399"/>
      <c r="H3699" s="1399">
        <v>362283.68</v>
      </c>
      <c r="I3699" s="1399"/>
      <c r="J3699" s="1399">
        <v>362283.68</v>
      </c>
    </row>
    <row r="3700" spans="5:10" s="1297" customFormat="1">
      <c r="E3700" s="1297" t="s">
        <v>1037</v>
      </c>
      <c r="F3700" s="1399"/>
      <c r="G3700" s="1399"/>
      <c r="H3700" s="1399">
        <v>22921.23</v>
      </c>
      <c r="I3700" s="1399"/>
      <c r="J3700" s="1399">
        <v>22921.23</v>
      </c>
    </row>
    <row r="3701" spans="5:10" s="1297" customFormat="1">
      <c r="E3701" s="1297" t="s">
        <v>1039</v>
      </c>
      <c r="F3701" s="1399"/>
      <c r="G3701" s="1399"/>
      <c r="H3701" s="1399">
        <v>4908.5899999999992</v>
      </c>
      <c r="I3701" s="1399"/>
      <c r="J3701" s="1399">
        <v>4908.5899999999992</v>
      </c>
    </row>
    <row r="3702" spans="5:10" s="1297" customFormat="1">
      <c r="E3702" s="1297" t="s">
        <v>1040</v>
      </c>
      <c r="F3702" s="1399"/>
      <c r="G3702" s="1399"/>
      <c r="H3702" s="1399">
        <v>81384.399999999994</v>
      </c>
      <c r="I3702" s="1399"/>
      <c r="J3702" s="1399">
        <v>81384.399999999994</v>
      </c>
    </row>
    <row r="3703" spans="5:10" s="1297" customFormat="1">
      <c r="E3703" s="1297" t="s">
        <v>1041</v>
      </c>
      <c r="F3703" s="1399"/>
      <c r="G3703" s="1399"/>
      <c r="H3703" s="1399">
        <v>8240.74</v>
      </c>
      <c r="I3703" s="1399"/>
      <c r="J3703" s="1399">
        <v>8240.74</v>
      </c>
    </row>
    <row r="3704" spans="5:10" s="1297" customFormat="1">
      <c r="E3704" s="1297" t="s">
        <v>1042</v>
      </c>
      <c r="F3704" s="1399"/>
      <c r="G3704" s="1399"/>
      <c r="H3704" s="1399">
        <v>26511.37</v>
      </c>
      <c r="I3704" s="1399"/>
      <c r="J3704" s="1399">
        <v>26511.37</v>
      </c>
    </row>
    <row r="3705" spans="5:10" s="1297" customFormat="1">
      <c r="E3705" s="1297" t="s">
        <v>1043</v>
      </c>
      <c r="F3705" s="1399"/>
      <c r="G3705" s="1399"/>
      <c r="H3705" s="1399">
        <v>28929.17</v>
      </c>
      <c r="I3705" s="1399"/>
      <c r="J3705" s="1399">
        <v>28929.17</v>
      </c>
    </row>
    <row r="3706" spans="5:10" s="1297" customFormat="1">
      <c r="E3706" s="1297" t="s">
        <v>1044</v>
      </c>
      <c r="F3706" s="1399">
        <v>24063.77</v>
      </c>
      <c r="G3706" s="1399"/>
      <c r="H3706" s="1399"/>
      <c r="I3706" s="1399"/>
      <c r="J3706" s="1399">
        <v>24063.77</v>
      </c>
    </row>
    <row r="3707" spans="5:10" s="1297" customFormat="1">
      <c r="E3707" s="1297" t="s">
        <v>1045</v>
      </c>
      <c r="F3707" s="1399"/>
      <c r="G3707" s="1399"/>
      <c r="H3707" s="1399">
        <v>61987.65</v>
      </c>
      <c r="I3707" s="1399"/>
      <c r="J3707" s="1399">
        <v>61987.65</v>
      </c>
    </row>
    <row r="3708" spans="5:10" s="1297" customFormat="1">
      <c r="E3708" s="1297" t="s">
        <v>1046</v>
      </c>
      <c r="F3708" s="1399"/>
      <c r="G3708" s="1399"/>
      <c r="H3708" s="1399"/>
      <c r="I3708" s="1399">
        <v>5964683</v>
      </c>
      <c r="J3708" s="1399">
        <v>5964683</v>
      </c>
    </row>
    <row r="3709" spans="5:10" s="1297" customFormat="1">
      <c r="E3709" s="1297" t="s">
        <v>1128</v>
      </c>
      <c r="F3709" s="1399"/>
      <c r="G3709" s="1399"/>
      <c r="H3709" s="1399"/>
      <c r="I3709" s="1399">
        <v>557950</v>
      </c>
      <c r="J3709" s="1399">
        <v>557950</v>
      </c>
    </row>
    <row r="3710" spans="5:10" s="1297" customFormat="1">
      <c r="E3710" s="1297" t="s">
        <v>1047</v>
      </c>
      <c r="F3710" s="1399"/>
      <c r="G3710" s="1399"/>
      <c r="H3710" s="1399"/>
      <c r="I3710" s="1399">
        <v>395822</v>
      </c>
      <c r="J3710" s="1399">
        <v>395822</v>
      </c>
    </row>
    <row r="3711" spans="5:10" s="1297" customFormat="1">
      <c r="E3711" s="1297" t="s">
        <v>1048</v>
      </c>
      <c r="F3711" s="1399"/>
      <c r="G3711" s="1399"/>
      <c r="H3711" s="1399"/>
      <c r="I3711" s="1399">
        <v>-1024280</v>
      </c>
      <c r="J3711" s="1399">
        <v>-1024280</v>
      </c>
    </row>
    <row r="3712" spans="5:10" s="1297" customFormat="1">
      <c r="E3712" s="1297" t="s">
        <v>932</v>
      </c>
      <c r="F3712" s="1399"/>
      <c r="G3712" s="1399"/>
      <c r="H3712" s="1399"/>
      <c r="I3712" s="1399">
        <v>492656</v>
      </c>
      <c r="J3712" s="1399">
        <v>492656</v>
      </c>
    </row>
    <row r="3713" spans="5:10" s="1297" customFormat="1">
      <c r="E3713" s="1404" t="s">
        <v>955</v>
      </c>
      <c r="F3713" s="1405"/>
      <c r="G3713" s="1405"/>
      <c r="H3713" s="1405"/>
      <c r="I3713" s="1405">
        <v>257661.04</v>
      </c>
      <c r="J3713" s="1405">
        <v>257661.04</v>
      </c>
    </row>
    <row r="3714" spans="5:10" s="1297" customFormat="1">
      <c r="E3714" s="1297" t="s">
        <v>934</v>
      </c>
      <c r="F3714" s="1399"/>
      <c r="G3714" s="1399"/>
      <c r="H3714" s="1399"/>
      <c r="I3714" s="1399">
        <v>24388</v>
      </c>
      <c r="J3714" s="1399">
        <v>24388</v>
      </c>
    </row>
    <row r="3715" spans="5:10" s="1297" customFormat="1">
      <c r="E3715" s="1297" t="s">
        <v>1130</v>
      </c>
      <c r="F3715" s="1399"/>
      <c r="G3715" s="1399"/>
      <c r="H3715" s="1399"/>
      <c r="I3715" s="1399">
        <v>4139655.9</v>
      </c>
      <c r="J3715" s="1399">
        <v>4139655.9</v>
      </c>
    </row>
    <row r="3716" spans="5:10" s="1297" customFormat="1">
      <c r="E3716" s="1297" t="s">
        <v>935</v>
      </c>
      <c r="F3716" s="1399"/>
      <c r="G3716" s="1399"/>
      <c r="H3716" s="1399"/>
      <c r="I3716" s="1399">
        <v>238804.72</v>
      </c>
      <c r="J3716" s="1399">
        <v>238804.72</v>
      </c>
    </row>
    <row r="3717" spans="5:10" s="1297" customFormat="1">
      <c r="E3717" s="1297" t="s">
        <v>936</v>
      </c>
      <c r="F3717" s="1399"/>
      <c r="G3717" s="1399"/>
      <c r="H3717" s="1399"/>
      <c r="I3717" s="1399">
        <v>28012.04</v>
      </c>
      <c r="J3717" s="1399">
        <v>28012.04</v>
      </c>
    </row>
    <row r="3718" spans="5:10" s="1297" customFormat="1">
      <c r="E3718" s="1297" t="s">
        <v>938</v>
      </c>
      <c r="F3718" s="1399"/>
      <c r="G3718" s="1399"/>
      <c r="H3718" s="1399"/>
      <c r="I3718" s="1399">
        <v>7299</v>
      </c>
      <c r="J3718" s="1399">
        <v>7299</v>
      </c>
    </row>
    <row r="3719" spans="5:10" s="1297" customFormat="1">
      <c r="E3719" s="1297" t="s">
        <v>940</v>
      </c>
      <c r="F3719" s="1399">
        <v>408041.88</v>
      </c>
      <c r="G3719" s="1399"/>
      <c r="H3719" s="1399"/>
      <c r="I3719" s="1399"/>
      <c r="J3719" s="1399">
        <v>408041.88</v>
      </c>
    </row>
    <row r="3720" spans="5:10" s="1297" customFormat="1">
      <c r="E3720" s="1297" t="s">
        <v>941</v>
      </c>
      <c r="F3720" s="1399">
        <v>189058.72</v>
      </c>
      <c r="G3720" s="1399"/>
      <c r="H3720" s="1399"/>
      <c r="I3720" s="1399"/>
      <c r="J3720" s="1399">
        <v>189058.72</v>
      </c>
    </row>
    <row r="3721" spans="5:10" s="1297" customFormat="1">
      <c r="E3721" s="1297" t="s">
        <v>943</v>
      </c>
      <c r="F3721" s="1399">
        <v>2629.22</v>
      </c>
      <c r="G3721" s="1399"/>
      <c r="H3721" s="1399"/>
      <c r="I3721" s="1399"/>
      <c r="J3721" s="1399">
        <v>2629.22</v>
      </c>
    </row>
    <row r="3722" spans="5:10" s="1297" customFormat="1">
      <c r="E3722" s="1297" t="s">
        <v>944</v>
      </c>
      <c r="F3722" s="1399">
        <v>1083076.5</v>
      </c>
      <c r="G3722" s="1399"/>
      <c r="H3722" s="1399"/>
      <c r="I3722" s="1399"/>
      <c r="J3722" s="1399">
        <v>1083076.5</v>
      </c>
    </row>
    <row r="3723" spans="5:10" s="1297" customFormat="1">
      <c r="E3723" s="1297" t="s">
        <v>945</v>
      </c>
      <c r="F3723" s="1399">
        <v>433161.97</v>
      </c>
      <c r="G3723" s="1399"/>
      <c r="H3723" s="1399"/>
      <c r="I3723" s="1399"/>
      <c r="J3723" s="1399">
        <v>433161.97</v>
      </c>
    </row>
    <row r="3724" spans="5:10" s="1297" customFormat="1">
      <c r="E3724" s="1297" t="s">
        <v>947</v>
      </c>
      <c r="F3724" s="1399">
        <v>35889.99</v>
      </c>
      <c r="G3724" s="1399"/>
      <c r="H3724" s="1399"/>
      <c r="I3724" s="1399"/>
      <c r="J3724" s="1399">
        <v>35889.99</v>
      </c>
    </row>
    <row r="3725" spans="5:10" s="1297" customFormat="1">
      <c r="E3725" s="1297" t="s">
        <v>1115</v>
      </c>
      <c r="F3725" s="1399">
        <v>213347.59</v>
      </c>
      <c r="G3725" s="1399"/>
      <c r="H3725" s="1399"/>
      <c r="I3725" s="1399"/>
      <c r="J3725" s="1399">
        <v>213347.59</v>
      </c>
    </row>
    <row r="3726" spans="5:10" s="1297" customFormat="1">
      <c r="E3726" s="1404" t="s">
        <v>1116</v>
      </c>
      <c r="F3726" s="1405"/>
      <c r="G3726" s="1405"/>
      <c r="H3726" s="1405">
        <v>16245000</v>
      </c>
      <c r="I3726" s="1405"/>
      <c r="J3726" s="1405">
        <v>16245000</v>
      </c>
    </row>
    <row r="3727" spans="5:10" s="1297" customFormat="1">
      <c r="E3727" s="1404" t="s">
        <v>948</v>
      </c>
      <c r="F3727" s="1405"/>
      <c r="G3727" s="1405"/>
      <c r="H3727" s="1405">
        <v>1486594.08</v>
      </c>
      <c r="I3727" s="1405"/>
      <c r="J3727" s="1405">
        <v>1486594.08</v>
      </c>
    </row>
    <row r="3728" spans="5:10" s="1297" customFormat="1">
      <c r="E3728" s="1297" t="s">
        <v>956</v>
      </c>
      <c r="F3728" s="1399"/>
      <c r="G3728" s="1399"/>
      <c r="H3728" s="1399">
        <v>2337.9</v>
      </c>
      <c r="I3728" s="1399"/>
      <c r="J3728" s="1399">
        <v>2337.9</v>
      </c>
    </row>
    <row r="3729" spans="2:12">
      <c r="B3729" s="1297"/>
      <c r="C3729" s="1297"/>
      <c r="D3729" s="1400" t="s">
        <v>1240</v>
      </c>
      <c r="E3729" s="1400"/>
      <c r="F3729" s="1401">
        <f>SUM(F3693:F3728)</f>
        <v>2389269.6399999997</v>
      </c>
      <c r="G3729" s="1401">
        <f>SUM(G3693:G3728)</f>
        <v>3931307.4</v>
      </c>
      <c r="H3729" s="1401">
        <f>SUM(H3693:H3728)-(H3726+H3727)</f>
        <v>628010.6799999997</v>
      </c>
      <c r="I3729" s="1401">
        <f>SUM(I3693:I3728)-I3713</f>
        <v>10824990.66</v>
      </c>
      <c r="J3729" s="1401">
        <f>SUM(J3693:J3728)</f>
        <v>35762833.499999993</v>
      </c>
      <c r="K3729" s="1401">
        <f>SUM(F3729:I3729)</f>
        <v>17773578.379999999</v>
      </c>
      <c r="L3729" s="1408">
        <f>K3729/C3693</f>
        <v>13961.962592301648</v>
      </c>
    </row>
    <row r="3730" spans="2:12">
      <c r="B3730" s="1297" t="s">
        <v>1241</v>
      </c>
      <c r="C3730" s="1297">
        <v>4027</v>
      </c>
      <c r="D3730" s="1297" t="s">
        <v>1242</v>
      </c>
      <c r="E3730" s="1297" t="s">
        <v>906</v>
      </c>
      <c r="G3730" s="1399">
        <v>9860884.1899999995</v>
      </c>
      <c r="J3730" s="1399">
        <v>9860884.1899999995</v>
      </c>
    </row>
    <row r="3731" spans="2:12">
      <c r="B3731" s="1297"/>
      <c r="C3731" s="1297"/>
      <c r="D3731" s="1297"/>
      <c r="E3731" s="1297" t="s">
        <v>952</v>
      </c>
      <c r="G3731" s="1399">
        <v>96086.86</v>
      </c>
      <c r="J3731" s="1399">
        <v>96086.86</v>
      </c>
    </row>
    <row r="3732" spans="2:12">
      <c r="B3732" s="1297"/>
      <c r="C3732" s="1297"/>
      <c r="D3732" s="1297"/>
      <c r="E3732" s="1297" t="s">
        <v>907</v>
      </c>
      <c r="G3732" s="1399">
        <v>3509977.69</v>
      </c>
      <c r="J3732" s="1399">
        <v>3509977.69</v>
      </c>
    </row>
    <row r="3733" spans="2:12">
      <c r="B3733" s="1297"/>
      <c r="C3733" s="1297"/>
      <c r="D3733" s="1297"/>
      <c r="E3733" s="1297" t="s">
        <v>909</v>
      </c>
      <c r="H3733" s="1399">
        <v>91552.459999999992</v>
      </c>
      <c r="J3733" s="1399">
        <v>91552.459999999992</v>
      </c>
    </row>
    <row r="3734" spans="2:12">
      <c r="B3734" s="1297"/>
      <c r="C3734" s="1297"/>
      <c r="D3734" s="1297"/>
      <c r="E3734" s="1297" t="s">
        <v>910</v>
      </c>
      <c r="H3734" s="1399">
        <v>16001.160000000002</v>
      </c>
      <c r="J3734" s="1399">
        <v>16001.160000000002</v>
      </c>
    </row>
    <row r="3735" spans="2:12">
      <c r="B3735" s="1297"/>
      <c r="C3735" s="1297"/>
      <c r="D3735" s="1297"/>
      <c r="E3735" s="1297" t="s">
        <v>1034</v>
      </c>
      <c r="H3735" s="1399">
        <v>79713.37000000001</v>
      </c>
      <c r="J3735" s="1399">
        <v>79713.37000000001</v>
      </c>
    </row>
    <row r="3736" spans="2:12">
      <c r="B3736" s="1297"/>
      <c r="C3736" s="1297"/>
      <c r="D3736" s="1297"/>
      <c r="E3736" s="1297" t="s">
        <v>1035</v>
      </c>
      <c r="H3736" s="1399">
        <v>282412.12</v>
      </c>
      <c r="J3736" s="1399">
        <v>282412.12</v>
      </c>
    </row>
    <row r="3737" spans="2:12">
      <c r="B3737" s="1297"/>
      <c r="C3737" s="1297"/>
      <c r="D3737" s="1297"/>
      <c r="E3737" s="1297" t="s">
        <v>1036</v>
      </c>
      <c r="H3737" s="1399">
        <v>100277.02</v>
      </c>
      <c r="J3737" s="1399">
        <v>100277.02</v>
      </c>
    </row>
    <row r="3738" spans="2:12">
      <c r="B3738" s="1297"/>
      <c r="C3738" s="1297"/>
      <c r="D3738" s="1297"/>
      <c r="E3738" s="1297" t="s">
        <v>1037</v>
      </c>
      <c r="H3738" s="1399">
        <v>8886.7999999999993</v>
      </c>
      <c r="J3738" s="1399">
        <v>8886.7999999999993</v>
      </c>
    </row>
    <row r="3739" spans="2:12">
      <c r="B3739" s="1297"/>
      <c r="C3739" s="1297"/>
      <c r="D3739" s="1297"/>
      <c r="E3739" s="1297" t="s">
        <v>1039</v>
      </c>
      <c r="H3739" s="1399">
        <v>66935.989999999991</v>
      </c>
      <c r="J3739" s="1399">
        <v>66935.989999999991</v>
      </c>
    </row>
    <row r="3740" spans="2:12">
      <c r="B3740" s="1297"/>
      <c r="C3740" s="1297"/>
      <c r="D3740" s="1297"/>
      <c r="E3740" s="1297" t="s">
        <v>1040</v>
      </c>
      <c r="H3740" s="1399">
        <v>210006.69</v>
      </c>
      <c r="J3740" s="1399">
        <v>210006.69</v>
      </c>
    </row>
    <row r="3741" spans="2:12">
      <c r="B3741" s="1297"/>
      <c r="C3741" s="1297"/>
      <c r="D3741" s="1297"/>
      <c r="E3741" s="1297" t="s">
        <v>1041</v>
      </c>
      <c r="H3741" s="1399">
        <v>25456.33</v>
      </c>
      <c r="J3741" s="1399">
        <v>25456.33</v>
      </c>
    </row>
    <row r="3742" spans="2:12">
      <c r="B3742" s="1297"/>
      <c r="C3742" s="1297"/>
      <c r="D3742" s="1297"/>
      <c r="E3742" s="1297" t="s">
        <v>1042</v>
      </c>
      <c r="H3742" s="1399">
        <v>40693.300000000003</v>
      </c>
      <c r="J3742" s="1399">
        <v>40693.300000000003</v>
      </c>
    </row>
    <row r="3743" spans="2:12">
      <c r="B3743" s="1297"/>
      <c r="C3743" s="1297"/>
      <c r="D3743" s="1297"/>
      <c r="E3743" s="1297" t="s">
        <v>954</v>
      </c>
      <c r="H3743" s="1399">
        <v>59854.679999999993</v>
      </c>
      <c r="J3743" s="1399">
        <v>59854.679999999993</v>
      </c>
    </row>
    <row r="3744" spans="2:12">
      <c r="B3744" s="1297"/>
      <c r="C3744" s="1297"/>
      <c r="D3744" s="1297"/>
      <c r="E3744" s="1297" t="s">
        <v>1043</v>
      </c>
      <c r="H3744" s="1399">
        <v>3604.62</v>
      </c>
      <c r="J3744" s="1399">
        <v>3604.62</v>
      </c>
    </row>
    <row r="3745" spans="5:10" s="1297" customFormat="1">
      <c r="E3745" s="1297" t="s">
        <v>996</v>
      </c>
      <c r="F3745" s="1399"/>
      <c r="G3745" s="1399"/>
      <c r="H3745" s="1399">
        <v>48711.29</v>
      </c>
      <c r="I3745" s="1399"/>
      <c r="J3745" s="1399">
        <v>48711.29</v>
      </c>
    </row>
    <row r="3746" spans="5:10" s="1297" customFormat="1">
      <c r="E3746" s="1297" t="s">
        <v>991</v>
      </c>
      <c r="F3746" s="1399"/>
      <c r="G3746" s="1399"/>
      <c r="H3746" s="1399">
        <v>1185</v>
      </c>
      <c r="I3746" s="1399"/>
      <c r="J3746" s="1399">
        <v>1185</v>
      </c>
    </row>
    <row r="3747" spans="5:10" s="1297" customFormat="1">
      <c r="E3747" s="1297" t="s">
        <v>1045</v>
      </c>
      <c r="F3747" s="1399"/>
      <c r="G3747" s="1399"/>
      <c r="H3747" s="1399">
        <v>393405.28</v>
      </c>
      <c r="I3747" s="1399"/>
      <c r="J3747" s="1399">
        <v>393405.28</v>
      </c>
    </row>
    <row r="3748" spans="5:10" s="1297" customFormat="1">
      <c r="E3748" s="1297" t="s">
        <v>1046</v>
      </c>
      <c r="F3748" s="1399"/>
      <c r="G3748" s="1399"/>
      <c r="H3748" s="1399"/>
      <c r="I3748" s="1399">
        <v>21462448</v>
      </c>
      <c r="J3748" s="1399">
        <v>21462448</v>
      </c>
    </row>
    <row r="3749" spans="5:10" s="1297" customFormat="1">
      <c r="E3749" s="1297" t="s">
        <v>1128</v>
      </c>
      <c r="F3749" s="1399"/>
      <c r="G3749" s="1399"/>
      <c r="H3749" s="1399"/>
      <c r="I3749" s="1399">
        <v>1743523</v>
      </c>
      <c r="J3749" s="1399">
        <v>1743523</v>
      </c>
    </row>
    <row r="3750" spans="5:10" s="1297" customFormat="1">
      <c r="E3750" s="1297" t="s">
        <v>1129</v>
      </c>
      <c r="F3750" s="1399"/>
      <c r="G3750" s="1399"/>
      <c r="H3750" s="1399"/>
      <c r="I3750" s="1399">
        <v>-3046268</v>
      </c>
      <c r="J3750" s="1399">
        <v>-3046268</v>
      </c>
    </row>
    <row r="3751" spans="5:10" s="1297" customFormat="1">
      <c r="E3751" s="1297" t="s">
        <v>1047</v>
      </c>
      <c r="F3751" s="1399"/>
      <c r="G3751" s="1399"/>
      <c r="H3751" s="1399"/>
      <c r="I3751" s="1399">
        <v>653070</v>
      </c>
      <c r="J3751" s="1399">
        <v>653070</v>
      </c>
    </row>
    <row r="3752" spans="5:10" s="1297" customFormat="1">
      <c r="E3752" s="1297" t="s">
        <v>1048</v>
      </c>
      <c r="F3752" s="1399"/>
      <c r="G3752" s="1399"/>
      <c r="H3752" s="1399"/>
      <c r="I3752" s="1399">
        <v>-2587908</v>
      </c>
      <c r="J3752" s="1399">
        <v>-2587908</v>
      </c>
    </row>
    <row r="3753" spans="5:10" s="1297" customFormat="1">
      <c r="E3753" s="1297" t="s">
        <v>932</v>
      </c>
      <c r="F3753" s="1399"/>
      <c r="G3753" s="1399"/>
      <c r="H3753" s="1399"/>
      <c r="I3753" s="1399">
        <v>2437314</v>
      </c>
      <c r="J3753" s="1399">
        <v>2437314</v>
      </c>
    </row>
    <row r="3754" spans="5:10" s="1297" customFormat="1">
      <c r="E3754" s="1404" t="s">
        <v>955</v>
      </c>
      <c r="F3754" s="1405"/>
      <c r="G3754" s="1405"/>
      <c r="H3754" s="1405"/>
      <c r="I3754" s="1405">
        <v>673674.35</v>
      </c>
      <c r="J3754" s="1405">
        <v>673674.35</v>
      </c>
    </row>
    <row r="3755" spans="5:10" s="1297" customFormat="1">
      <c r="E3755" s="1297" t="s">
        <v>934</v>
      </c>
      <c r="F3755" s="1399"/>
      <c r="G3755" s="1399"/>
      <c r="H3755" s="1399"/>
      <c r="I3755" s="1399">
        <v>62862</v>
      </c>
      <c r="J3755" s="1399">
        <v>62862</v>
      </c>
    </row>
    <row r="3756" spans="5:10" s="1297" customFormat="1">
      <c r="E3756" s="1297" t="s">
        <v>935</v>
      </c>
      <c r="F3756" s="1399"/>
      <c r="G3756" s="1399"/>
      <c r="H3756" s="1399"/>
      <c r="I3756" s="1399">
        <v>413774.50000000006</v>
      </c>
      <c r="J3756" s="1399">
        <v>413774.50000000006</v>
      </c>
    </row>
    <row r="3757" spans="5:10" s="1297" customFormat="1">
      <c r="E3757" s="1297" t="s">
        <v>936</v>
      </c>
      <c r="F3757" s="1399"/>
      <c r="G3757" s="1399"/>
      <c r="H3757" s="1399"/>
      <c r="I3757" s="1399">
        <v>78783.87</v>
      </c>
      <c r="J3757" s="1399">
        <v>78783.87</v>
      </c>
    </row>
    <row r="3758" spans="5:10" s="1297" customFormat="1">
      <c r="E3758" s="1297" t="s">
        <v>937</v>
      </c>
      <c r="F3758" s="1399"/>
      <c r="G3758" s="1399"/>
      <c r="H3758" s="1399"/>
      <c r="I3758" s="1399">
        <v>21035.82</v>
      </c>
      <c r="J3758" s="1399">
        <v>21035.82</v>
      </c>
    </row>
    <row r="3759" spans="5:10" s="1297" customFormat="1">
      <c r="E3759" s="1297" t="s">
        <v>938</v>
      </c>
      <c r="F3759" s="1399"/>
      <c r="G3759" s="1399"/>
      <c r="H3759" s="1399"/>
      <c r="I3759" s="1399">
        <v>22085</v>
      </c>
      <c r="J3759" s="1399">
        <v>22085</v>
      </c>
    </row>
    <row r="3760" spans="5:10" s="1297" customFormat="1">
      <c r="E3760" s="1297" t="s">
        <v>1131</v>
      </c>
      <c r="F3760" s="1399">
        <v>55109.95</v>
      </c>
      <c r="G3760" s="1399"/>
      <c r="H3760" s="1399"/>
      <c r="I3760" s="1399"/>
      <c r="J3760" s="1399">
        <v>55109.95</v>
      </c>
    </row>
    <row r="3761" spans="2:12">
      <c r="B3761" s="1297"/>
      <c r="C3761" s="1297"/>
      <c r="D3761" s="1297"/>
      <c r="E3761" s="1297" t="s">
        <v>940</v>
      </c>
      <c r="F3761" s="1399">
        <v>1206012.32</v>
      </c>
      <c r="J3761" s="1399">
        <v>1206012.32</v>
      </c>
    </row>
    <row r="3762" spans="2:12">
      <c r="B3762" s="1297"/>
      <c r="C3762" s="1297"/>
      <c r="D3762" s="1297"/>
      <c r="E3762" s="1297" t="s">
        <v>941</v>
      </c>
      <c r="F3762" s="1399">
        <v>488362.86</v>
      </c>
      <c r="J3762" s="1399">
        <v>488362.86</v>
      </c>
    </row>
    <row r="3763" spans="2:12">
      <c r="B3763" s="1297"/>
      <c r="C3763" s="1297"/>
      <c r="D3763" s="1297"/>
      <c r="E3763" s="1297" t="s">
        <v>943</v>
      </c>
      <c r="F3763" s="1399">
        <v>43248.56</v>
      </c>
      <c r="J3763" s="1399">
        <v>43248.56</v>
      </c>
    </row>
    <row r="3764" spans="2:12">
      <c r="B3764" s="1297"/>
      <c r="C3764" s="1297"/>
      <c r="D3764" s="1297"/>
      <c r="E3764" s="1297" t="s">
        <v>944</v>
      </c>
      <c r="F3764" s="1399">
        <v>3013440.1700000009</v>
      </c>
      <c r="J3764" s="1399">
        <v>3013440.1700000009</v>
      </c>
    </row>
    <row r="3765" spans="2:12">
      <c r="B3765" s="1297"/>
      <c r="C3765" s="1297"/>
      <c r="D3765" s="1297"/>
      <c r="E3765" s="1297" t="s">
        <v>945</v>
      </c>
      <c r="F3765" s="1399">
        <v>1148635.42</v>
      </c>
      <c r="J3765" s="1399">
        <v>1148635.42</v>
      </c>
    </row>
    <row r="3766" spans="2:12">
      <c r="B3766" s="1297"/>
      <c r="C3766" s="1297"/>
      <c r="D3766" s="1297"/>
      <c r="E3766" s="1297" t="s">
        <v>947</v>
      </c>
      <c r="F3766" s="1399">
        <v>131364.54999999999</v>
      </c>
      <c r="J3766" s="1399">
        <v>131364.54999999999</v>
      </c>
    </row>
    <row r="3767" spans="2:12">
      <c r="B3767" s="1297"/>
      <c r="C3767" s="1297"/>
      <c r="D3767" s="1297"/>
      <c r="E3767" s="1404" t="s">
        <v>948</v>
      </c>
      <c r="F3767" s="1405"/>
      <c r="G3767" s="1405"/>
      <c r="H3767" s="1405">
        <v>2496725.06</v>
      </c>
      <c r="I3767" s="1405"/>
      <c r="J3767" s="1405">
        <v>2496725.06</v>
      </c>
    </row>
    <row r="3768" spans="2:12">
      <c r="B3768" s="1297"/>
      <c r="C3768" s="1297"/>
      <c r="D3768" s="1297"/>
      <c r="E3768" s="1297" t="s">
        <v>1118</v>
      </c>
      <c r="H3768" s="1399">
        <v>2585.33</v>
      </c>
      <c r="J3768" s="1399">
        <v>2585.33</v>
      </c>
    </row>
    <row r="3769" spans="2:12">
      <c r="B3769" s="1297"/>
      <c r="C3769" s="1297"/>
      <c r="D3769" s="1400" t="s">
        <v>1243</v>
      </c>
      <c r="E3769" s="1400"/>
      <c r="F3769" s="1401">
        <f>SUM(F3730:F3768)</f>
        <v>6086173.830000001</v>
      </c>
      <c r="G3769" s="1401">
        <f>SUM(G3730:G3768)</f>
        <v>13466948.739999998</v>
      </c>
      <c r="H3769" s="1401">
        <f>SUM(H3730:H3768)-H3767</f>
        <v>1431281.4400000004</v>
      </c>
      <c r="I3769" s="1401">
        <f>SUM(I3730:I3768)-I3754</f>
        <v>21260720.190000001</v>
      </c>
      <c r="J3769" s="1401">
        <f>SUM(J3730:J3768)</f>
        <v>45415523.609999999</v>
      </c>
      <c r="K3769" s="1401">
        <f>SUM(F3769:I3769)</f>
        <v>42245124.200000003</v>
      </c>
      <c r="L3769" s="1408">
        <f>K3769/C3730</f>
        <v>10490.47037496896</v>
      </c>
    </row>
    <row r="3770" spans="2:12">
      <c r="B3770" s="1297" t="s">
        <v>1244</v>
      </c>
      <c r="C3770" s="1297">
        <v>1672</v>
      </c>
      <c r="D3770" s="1297" t="s">
        <v>1245</v>
      </c>
      <c r="E3770" s="1297" t="s">
        <v>906</v>
      </c>
      <c r="G3770" s="1399">
        <v>7331137.3600000003</v>
      </c>
      <c r="J3770" s="1399">
        <v>7331137.3600000003</v>
      </c>
    </row>
    <row r="3771" spans="2:12">
      <c r="B3771" s="1297"/>
      <c r="C3771" s="1297"/>
      <c r="D3771" s="1297"/>
      <c r="E3771" s="1297" t="s">
        <v>952</v>
      </c>
      <c r="G3771" s="1399">
        <v>68037.45</v>
      </c>
      <c r="J3771" s="1399">
        <v>68037.45</v>
      </c>
    </row>
    <row r="3772" spans="2:12">
      <c r="B3772" s="1297"/>
      <c r="C3772" s="1297"/>
      <c r="D3772" s="1297"/>
      <c r="E3772" s="1297" t="s">
        <v>907</v>
      </c>
      <c r="G3772" s="1399">
        <v>1236856.97</v>
      </c>
      <c r="J3772" s="1399">
        <v>1236856.97</v>
      </c>
    </row>
    <row r="3773" spans="2:12">
      <c r="B3773" s="1297"/>
      <c r="C3773" s="1297"/>
      <c r="D3773" s="1297"/>
      <c r="E3773" s="1297" t="s">
        <v>909</v>
      </c>
      <c r="H3773" s="1399">
        <v>6166</v>
      </c>
      <c r="J3773" s="1399">
        <v>6166</v>
      </c>
    </row>
    <row r="3774" spans="2:12">
      <c r="B3774" s="1297"/>
      <c r="C3774" s="1297"/>
      <c r="D3774" s="1297"/>
      <c r="E3774" s="1297" t="s">
        <v>910</v>
      </c>
      <c r="H3774" s="1399">
        <v>10835.5</v>
      </c>
      <c r="J3774" s="1399">
        <v>10835.5</v>
      </c>
    </row>
    <row r="3775" spans="2:12">
      <c r="B3775" s="1297"/>
      <c r="C3775" s="1297"/>
      <c r="D3775" s="1297"/>
      <c r="E3775" s="1297" t="s">
        <v>1034</v>
      </c>
      <c r="H3775" s="1399">
        <v>15102.62</v>
      </c>
      <c r="J3775" s="1399">
        <v>15102.62</v>
      </c>
    </row>
    <row r="3776" spans="2:12">
      <c r="B3776" s="1297"/>
      <c r="C3776" s="1297"/>
      <c r="D3776" s="1297"/>
      <c r="E3776" s="1297" t="s">
        <v>1035</v>
      </c>
      <c r="H3776" s="1399">
        <v>55937.71</v>
      </c>
      <c r="J3776" s="1399">
        <v>55937.71</v>
      </c>
    </row>
    <row r="3777" spans="5:10" s="1297" customFormat="1">
      <c r="E3777" s="1297" t="s">
        <v>1036</v>
      </c>
      <c r="F3777" s="1399"/>
      <c r="G3777" s="1399"/>
      <c r="H3777" s="1399">
        <v>67367.59</v>
      </c>
      <c r="I3777" s="1399"/>
      <c r="J3777" s="1399">
        <v>67367.59</v>
      </c>
    </row>
    <row r="3778" spans="5:10" s="1297" customFormat="1">
      <c r="E3778" s="1297" t="s">
        <v>1039</v>
      </c>
      <c r="F3778" s="1399"/>
      <c r="G3778" s="1399"/>
      <c r="H3778" s="1399">
        <v>7174.55</v>
      </c>
      <c r="I3778" s="1399"/>
      <c r="J3778" s="1399">
        <v>7174.55</v>
      </c>
    </row>
    <row r="3779" spans="5:10" s="1297" customFormat="1">
      <c r="E3779" s="1297" t="s">
        <v>1040</v>
      </c>
      <c r="F3779" s="1399"/>
      <c r="G3779" s="1399"/>
      <c r="H3779" s="1399">
        <v>53374.13</v>
      </c>
      <c r="I3779" s="1399"/>
      <c r="J3779" s="1399">
        <v>53374.13</v>
      </c>
    </row>
    <row r="3780" spans="5:10" s="1297" customFormat="1">
      <c r="E3780" s="1297" t="s">
        <v>1041</v>
      </c>
      <c r="F3780" s="1399"/>
      <c r="G3780" s="1399"/>
      <c r="H3780" s="1399">
        <v>4878.21</v>
      </c>
      <c r="I3780" s="1399"/>
      <c r="J3780" s="1399">
        <v>4878.21</v>
      </c>
    </row>
    <row r="3781" spans="5:10" s="1297" customFormat="1">
      <c r="E3781" s="1297" t="s">
        <v>1042</v>
      </c>
      <c r="F3781" s="1399"/>
      <c r="G3781" s="1399"/>
      <c r="H3781" s="1399">
        <v>30248.65</v>
      </c>
      <c r="I3781" s="1399"/>
      <c r="J3781" s="1399">
        <v>30248.65</v>
      </c>
    </row>
    <row r="3782" spans="5:10" s="1297" customFormat="1">
      <c r="E3782" s="1297" t="s">
        <v>1045</v>
      </c>
      <c r="F3782" s="1399"/>
      <c r="G3782" s="1399"/>
      <c r="H3782" s="1399">
        <v>471552.01999999996</v>
      </c>
      <c r="I3782" s="1399"/>
      <c r="J3782" s="1399">
        <v>471552.01999999996</v>
      </c>
    </row>
    <row r="3783" spans="5:10" s="1297" customFormat="1">
      <c r="E3783" s="1297" t="s">
        <v>1046</v>
      </c>
      <c r="F3783" s="1399"/>
      <c r="G3783" s="1399"/>
      <c r="H3783" s="1399"/>
      <c r="I3783" s="1399">
        <v>8045525</v>
      </c>
      <c r="J3783" s="1399">
        <v>8045525</v>
      </c>
    </row>
    <row r="3784" spans="5:10" s="1297" customFormat="1">
      <c r="E3784" s="1297" t="s">
        <v>1047</v>
      </c>
      <c r="F3784" s="1399"/>
      <c r="G3784" s="1399"/>
      <c r="H3784" s="1399"/>
      <c r="I3784" s="1399">
        <v>321816</v>
      </c>
      <c r="J3784" s="1399">
        <v>321816</v>
      </c>
    </row>
    <row r="3785" spans="5:10" s="1297" customFormat="1">
      <c r="E3785" s="1297" t="s">
        <v>1048</v>
      </c>
      <c r="F3785" s="1399"/>
      <c r="G3785" s="1399"/>
      <c r="H3785" s="1399"/>
      <c r="I3785" s="1399">
        <v>-2972431</v>
      </c>
      <c r="J3785" s="1399">
        <v>-2972431</v>
      </c>
    </row>
    <row r="3786" spans="5:10" s="1297" customFormat="1">
      <c r="E3786" s="1404" t="s">
        <v>955</v>
      </c>
      <c r="F3786" s="1405"/>
      <c r="G3786" s="1405"/>
      <c r="H3786" s="1405"/>
      <c r="I3786" s="1405">
        <v>364363.02</v>
      </c>
      <c r="J3786" s="1405">
        <v>364363.02</v>
      </c>
    </row>
    <row r="3787" spans="5:10" s="1297" customFormat="1">
      <c r="E3787" s="1297" t="s">
        <v>934</v>
      </c>
      <c r="F3787" s="1399"/>
      <c r="G3787" s="1399"/>
      <c r="H3787" s="1399"/>
      <c r="I3787" s="1399">
        <v>29996</v>
      </c>
      <c r="J3787" s="1399">
        <v>29996</v>
      </c>
    </row>
    <row r="3788" spans="5:10" s="1297" customFormat="1">
      <c r="E3788" s="1297" t="s">
        <v>935</v>
      </c>
      <c r="F3788" s="1399"/>
      <c r="G3788" s="1399"/>
      <c r="H3788" s="1399"/>
      <c r="I3788" s="1399">
        <v>115607.83</v>
      </c>
      <c r="J3788" s="1399">
        <v>115607.83</v>
      </c>
    </row>
    <row r="3789" spans="5:10" s="1297" customFormat="1">
      <c r="E3789" s="1297" t="s">
        <v>936</v>
      </c>
      <c r="F3789" s="1399"/>
      <c r="G3789" s="1399"/>
      <c r="H3789" s="1399"/>
      <c r="I3789" s="1399">
        <v>31863.7</v>
      </c>
      <c r="J3789" s="1399">
        <v>31863.7</v>
      </c>
    </row>
    <row r="3790" spans="5:10" s="1297" customFormat="1">
      <c r="E3790" s="1297" t="s">
        <v>938</v>
      </c>
      <c r="F3790" s="1399"/>
      <c r="G3790" s="1399"/>
      <c r="H3790" s="1399"/>
      <c r="I3790" s="1399">
        <v>10855</v>
      </c>
      <c r="J3790" s="1399">
        <v>10855</v>
      </c>
    </row>
    <row r="3791" spans="5:10" s="1297" customFormat="1">
      <c r="E3791" s="1297" t="s">
        <v>939</v>
      </c>
      <c r="F3791" s="1399"/>
      <c r="G3791" s="1399"/>
      <c r="H3791" s="1399"/>
      <c r="I3791" s="1399">
        <v>42250</v>
      </c>
      <c r="J3791" s="1399">
        <v>42250</v>
      </c>
    </row>
    <row r="3792" spans="5:10" s="1297" customFormat="1">
      <c r="E3792" s="1297" t="s">
        <v>940</v>
      </c>
      <c r="F3792" s="1399">
        <v>494993.62</v>
      </c>
      <c r="G3792" s="1399"/>
      <c r="H3792" s="1399"/>
      <c r="I3792" s="1399"/>
      <c r="J3792" s="1399">
        <v>494993.62</v>
      </c>
    </row>
    <row r="3793" spans="2:12">
      <c r="B3793" s="1297"/>
      <c r="C3793" s="1297"/>
      <c r="D3793" s="1297"/>
      <c r="E3793" s="1297" t="s">
        <v>941</v>
      </c>
      <c r="F3793" s="1399">
        <v>213828.5</v>
      </c>
      <c r="J3793" s="1399">
        <v>213828.5</v>
      </c>
    </row>
    <row r="3794" spans="2:12">
      <c r="B3794" s="1297"/>
      <c r="C3794" s="1297"/>
      <c r="D3794" s="1297"/>
      <c r="E3794" s="1297" t="s">
        <v>944</v>
      </c>
      <c r="F3794" s="1399">
        <v>1362981.32</v>
      </c>
      <c r="J3794" s="1399">
        <v>1362981.32</v>
      </c>
    </row>
    <row r="3795" spans="2:12">
      <c r="B3795" s="1297"/>
      <c r="C3795" s="1297"/>
      <c r="D3795" s="1297"/>
      <c r="E3795" s="1297" t="s">
        <v>945</v>
      </c>
      <c r="F3795" s="1399">
        <v>812919.76</v>
      </c>
      <c r="J3795" s="1399">
        <v>812919.76</v>
      </c>
    </row>
    <row r="3796" spans="2:12">
      <c r="B3796" s="1297"/>
      <c r="C3796" s="1297"/>
      <c r="D3796" s="1297"/>
      <c r="E3796" s="1297" t="s">
        <v>947</v>
      </c>
      <c r="F3796" s="1399">
        <v>46995.11</v>
      </c>
      <c r="J3796" s="1399">
        <v>46995.11</v>
      </c>
    </row>
    <row r="3797" spans="2:12">
      <c r="B3797" s="1297"/>
      <c r="C3797" s="1297"/>
      <c r="D3797" s="1297"/>
      <c r="E3797" s="1404" t="s">
        <v>948</v>
      </c>
      <c r="F3797" s="1405"/>
      <c r="G3797" s="1405"/>
      <c r="H3797" s="1405">
        <v>147531.26999999999</v>
      </c>
      <c r="I3797" s="1405"/>
      <c r="J3797" s="1405">
        <v>147531.26999999999</v>
      </c>
    </row>
    <row r="3798" spans="2:12">
      <c r="B3798" s="1297"/>
      <c r="C3798" s="1297"/>
      <c r="D3798" s="1400" t="s">
        <v>1246</v>
      </c>
      <c r="E3798" s="1400"/>
      <c r="F3798" s="1401">
        <f>SUM(F3770:F3797)</f>
        <v>2931718.31</v>
      </c>
      <c r="G3798" s="1401">
        <f>SUM(G3770:G3797)</f>
        <v>8636031.7800000012</v>
      </c>
      <c r="H3798" s="1401">
        <f>SUM(H3770:H3797)-H3797</f>
        <v>722636.98</v>
      </c>
      <c r="I3798" s="1401">
        <f>SUM(I3770:I3797)-I3786</f>
        <v>5625482.5299999993</v>
      </c>
      <c r="J3798" s="1401">
        <f>SUM(J3770:J3797)</f>
        <v>18427763.890000004</v>
      </c>
      <c r="K3798" s="1401">
        <f>SUM(F3798:I3798)</f>
        <v>17915869.600000001</v>
      </c>
      <c r="L3798" s="1408">
        <f>K3798/C3770</f>
        <v>10715.233014354068</v>
      </c>
    </row>
    <row r="3799" spans="2:12">
      <c r="B3799" s="1297" t="s">
        <v>1247</v>
      </c>
      <c r="C3799" s="1297">
        <v>3021</v>
      </c>
      <c r="D3799" s="1297" t="s">
        <v>1248</v>
      </c>
      <c r="E3799" s="1297" t="s">
        <v>906</v>
      </c>
      <c r="G3799" s="1399">
        <v>8966030.4399999995</v>
      </c>
      <c r="J3799" s="1399">
        <v>8966030.4399999995</v>
      </c>
    </row>
    <row r="3800" spans="2:12">
      <c r="B3800" s="1297"/>
      <c r="C3800" s="1297"/>
      <c r="D3800" s="1297"/>
      <c r="E3800" s="1297" t="s">
        <v>952</v>
      </c>
      <c r="G3800" s="1399">
        <v>93943.19</v>
      </c>
      <c r="J3800" s="1399">
        <v>93943.19</v>
      </c>
    </row>
    <row r="3801" spans="2:12">
      <c r="B3801" s="1297"/>
      <c r="C3801" s="1297"/>
      <c r="D3801" s="1297"/>
      <c r="E3801" s="1297" t="s">
        <v>907</v>
      </c>
      <c r="G3801" s="1399">
        <v>1418421.58</v>
      </c>
      <c r="J3801" s="1399">
        <v>1418421.58</v>
      </c>
    </row>
    <row r="3802" spans="2:12">
      <c r="B3802" s="1297"/>
      <c r="C3802" s="1297"/>
      <c r="D3802" s="1297"/>
      <c r="E3802" s="1297" t="s">
        <v>908</v>
      </c>
      <c r="G3802" s="1399">
        <v>60111.64</v>
      </c>
      <c r="J3802" s="1399">
        <v>60111.64</v>
      </c>
    </row>
    <row r="3803" spans="2:12">
      <c r="B3803" s="1297"/>
      <c r="C3803" s="1297"/>
      <c r="D3803" s="1297"/>
      <c r="E3803" s="1297" t="s">
        <v>909</v>
      </c>
      <c r="H3803" s="1399">
        <v>18680.27</v>
      </c>
      <c r="J3803" s="1399">
        <v>18680.27</v>
      </c>
    </row>
    <row r="3804" spans="2:12">
      <c r="B3804" s="1297"/>
      <c r="C3804" s="1297"/>
      <c r="D3804" s="1297"/>
      <c r="E3804" s="1297" t="s">
        <v>910</v>
      </c>
      <c r="H3804" s="1399">
        <v>55003.32</v>
      </c>
      <c r="J3804" s="1399">
        <v>55003.32</v>
      </c>
    </row>
    <row r="3805" spans="2:12">
      <c r="B3805" s="1297"/>
      <c r="C3805" s="1297"/>
      <c r="D3805" s="1297"/>
      <c r="E3805" s="1297" t="s">
        <v>1034</v>
      </c>
      <c r="H3805" s="1399">
        <v>11947.09</v>
      </c>
      <c r="J3805" s="1399">
        <v>11947.09</v>
      </c>
    </row>
    <row r="3806" spans="2:12">
      <c r="B3806" s="1297"/>
      <c r="C3806" s="1297"/>
      <c r="D3806" s="1297"/>
      <c r="E3806" s="1297" t="s">
        <v>1035</v>
      </c>
      <c r="H3806" s="1399">
        <v>199095.62</v>
      </c>
      <c r="J3806" s="1399">
        <v>199095.62</v>
      </c>
    </row>
    <row r="3807" spans="2:12">
      <c r="B3807" s="1297"/>
      <c r="C3807" s="1297"/>
      <c r="D3807" s="1297"/>
      <c r="E3807" s="1297" t="s">
        <v>1036</v>
      </c>
      <c r="H3807" s="1399">
        <v>117111.63</v>
      </c>
      <c r="J3807" s="1399">
        <v>117111.63</v>
      </c>
    </row>
    <row r="3808" spans="2:12">
      <c r="B3808" s="1297"/>
      <c r="C3808" s="1297"/>
      <c r="D3808" s="1297"/>
      <c r="E3808" s="1297" t="s">
        <v>1037</v>
      </c>
      <c r="H3808" s="1399">
        <v>5115</v>
      </c>
      <c r="J3808" s="1399">
        <v>5115</v>
      </c>
    </row>
    <row r="3809" spans="5:10" s="1297" customFormat="1">
      <c r="E3809" s="1297" t="s">
        <v>1039</v>
      </c>
      <c r="F3809" s="1399"/>
      <c r="G3809" s="1399"/>
      <c r="H3809" s="1399">
        <v>8522.51</v>
      </c>
      <c r="I3809" s="1399"/>
      <c r="J3809" s="1399">
        <v>8522.51</v>
      </c>
    </row>
    <row r="3810" spans="5:10" s="1297" customFormat="1">
      <c r="E3810" s="1297" t="s">
        <v>1041</v>
      </c>
      <c r="F3810" s="1399"/>
      <c r="G3810" s="1399"/>
      <c r="H3810" s="1399">
        <v>24556.12</v>
      </c>
      <c r="I3810" s="1399"/>
      <c r="J3810" s="1399">
        <v>24556.12</v>
      </c>
    </row>
    <row r="3811" spans="5:10" s="1297" customFormat="1">
      <c r="E3811" s="1297" t="s">
        <v>1042</v>
      </c>
      <c r="F3811" s="1399"/>
      <c r="G3811" s="1399"/>
      <c r="H3811" s="1399">
        <v>34183.65</v>
      </c>
      <c r="I3811" s="1399"/>
      <c r="J3811" s="1399">
        <v>34183.65</v>
      </c>
    </row>
    <row r="3812" spans="5:10" s="1297" customFormat="1">
      <c r="E3812" s="1297" t="s">
        <v>996</v>
      </c>
      <c r="F3812" s="1399"/>
      <c r="G3812" s="1399"/>
      <c r="H3812" s="1399">
        <v>-1760.03</v>
      </c>
      <c r="I3812" s="1399"/>
      <c r="J3812" s="1399">
        <v>-1760.03</v>
      </c>
    </row>
    <row r="3813" spans="5:10" s="1297" customFormat="1">
      <c r="E3813" s="1297" t="s">
        <v>1044</v>
      </c>
      <c r="F3813" s="1399">
        <v>39506.9</v>
      </c>
      <c r="G3813" s="1399"/>
      <c r="H3813" s="1399"/>
      <c r="I3813" s="1399"/>
      <c r="J3813" s="1399">
        <v>39506.9</v>
      </c>
    </row>
    <row r="3814" spans="5:10" s="1297" customFormat="1">
      <c r="E3814" s="1297" t="s">
        <v>1045</v>
      </c>
      <c r="F3814" s="1399"/>
      <c r="G3814" s="1399"/>
      <c r="H3814" s="1399">
        <v>2017878.58</v>
      </c>
      <c r="I3814" s="1399"/>
      <c r="J3814" s="1399">
        <v>2017878.58</v>
      </c>
    </row>
    <row r="3815" spans="5:10" s="1297" customFormat="1">
      <c r="E3815" s="1297" t="s">
        <v>1046</v>
      </c>
      <c r="F3815" s="1399"/>
      <c r="G3815" s="1399"/>
      <c r="H3815" s="1399"/>
      <c r="I3815" s="1399">
        <v>16096624</v>
      </c>
      <c r="J3815" s="1399">
        <v>16096624</v>
      </c>
    </row>
    <row r="3816" spans="5:10" s="1297" customFormat="1">
      <c r="E3816" s="1297" t="s">
        <v>1128</v>
      </c>
      <c r="F3816" s="1399"/>
      <c r="G3816" s="1399"/>
      <c r="H3816" s="1399"/>
      <c r="I3816" s="1399">
        <v>1329253</v>
      </c>
      <c r="J3816" s="1399">
        <v>1329253</v>
      </c>
    </row>
    <row r="3817" spans="5:10" s="1297" customFormat="1">
      <c r="E3817" s="1297" t="s">
        <v>1047</v>
      </c>
      <c r="F3817" s="1399"/>
      <c r="G3817" s="1399"/>
      <c r="H3817" s="1399"/>
      <c r="I3817" s="1399">
        <v>913559</v>
      </c>
      <c r="J3817" s="1399">
        <v>913559</v>
      </c>
    </row>
    <row r="3818" spans="5:10" s="1297" customFormat="1">
      <c r="E3818" s="1297" t="s">
        <v>1048</v>
      </c>
      <c r="F3818" s="1399"/>
      <c r="G3818" s="1399"/>
      <c r="H3818" s="1399"/>
      <c r="I3818" s="1399">
        <v>-4804033</v>
      </c>
      <c r="J3818" s="1399">
        <v>-4804033</v>
      </c>
    </row>
    <row r="3819" spans="5:10" s="1297" customFormat="1">
      <c r="E3819" s="1297" t="s">
        <v>932</v>
      </c>
      <c r="F3819" s="1399"/>
      <c r="G3819" s="1399"/>
      <c r="H3819" s="1399"/>
      <c r="I3819" s="1399">
        <v>1119103</v>
      </c>
      <c r="J3819" s="1399">
        <v>1119103</v>
      </c>
    </row>
    <row r="3820" spans="5:10" s="1297" customFormat="1">
      <c r="E3820" s="1404" t="s">
        <v>955</v>
      </c>
      <c r="F3820" s="1405"/>
      <c r="G3820" s="1405"/>
      <c r="H3820" s="1405"/>
      <c r="I3820" s="1405">
        <v>878545.11</v>
      </c>
      <c r="J3820" s="1405">
        <v>878545.11</v>
      </c>
    </row>
    <row r="3821" spans="5:10" s="1297" customFormat="1">
      <c r="E3821" s="1297" t="s">
        <v>934</v>
      </c>
      <c r="F3821" s="1399"/>
      <c r="G3821" s="1399"/>
      <c r="H3821" s="1399"/>
      <c r="I3821" s="1399">
        <v>61190.8</v>
      </c>
      <c r="J3821" s="1399">
        <v>61190.8</v>
      </c>
    </row>
    <row r="3822" spans="5:10" s="1297" customFormat="1">
      <c r="E3822" s="1297" t="s">
        <v>1130</v>
      </c>
      <c r="F3822" s="1399"/>
      <c r="G3822" s="1399"/>
      <c r="H3822" s="1399"/>
      <c r="I3822" s="1399">
        <v>614727.13</v>
      </c>
      <c r="J3822" s="1399">
        <v>614727.13</v>
      </c>
    </row>
    <row r="3823" spans="5:10" s="1297" customFormat="1">
      <c r="E3823" s="1297" t="s">
        <v>935</v>
      </c>
      <c r="F3823" s="1399"/>
      <c r="G3823" s="1399"/>
      <c r="H3823" s="1399"/>
      <c r="I3823" s="1399">
        <v>623161.62</v>
      </c>
      <c r="J3823" s="1399">
        <v>623161.62</v>
      </c>
    </row>
    <row r="3824" spans="5:10" s="1297" customFormat="1">
      <c r="E3824" s="1297" t="s">
        <v>936</v>
      </c>
      <c r="F3824" s="1399"/>
      <c r="G3824" s="1399"/>
      <c r="H3824" s="1399"/>
      <c r="I3824" s="1399">
        <v>77383.27</v>
      </c>
      <c r="J3824" s="1399">
        <v>77383.27</v>
      </c>
    </row>
    <row r="3825" spans="2:12">
      <c r="B3825" s="1297"/>
      <c r="C3825" s="1297"/>
      <c r="D3825" s="1297"/>
      <c r="E3825" s="1297" t="s">
        <v>938</v>
      </c>
      <c r="I3825" s="1399">
        <v>23769</v>
      </c>
      <c r="J3825" s="1399">
        <v>23769</v>
      </c>
    </row>
    <row r="3826" spans="2:12">
      <c r="B3826" s="1297"/>
      <c r="C3826" s="1297"/>
      <c r="D3826" s="1297"/>
      <c r="E3826" s="1297" t="s">
        <v>939</v>
      </c>
      <c r="I3826" s="1399">
        <v>42250</v>
      </c>
      <c r="J3826" s="1399">
        <v>42250</v>
      </c>
    </row>
    <row r="3827" spans="2:12">
      <c r="B3827" s="1297"/>
      <c r="C3827" s="1297"/>
      <c r="D3827" s="1297"/>
      <c r="E3827" s="1297" t="s">
        <v>940</v>
      </c>
      <c r="F3827" s="1399">
        <v>869712.96</v>
      </c>
      <c r="J3827" s="1399">
        <v>869712.96</v>
      </c>
    </row>
    <row r="3828" spans="2:12">
      <c r="B3828" s="1297"/>
      <c r="C3828" s="1297"/>
      <c r="D3828" s="1297"/>
      <c r="E3828" s="1297" t="s">
        <v>941</v>
      </c>
      <c r="F3828" s="1399">
        <v>369092.9</v>
      </c>
      <c r="J3828" s="1399">
        <v>369092.9</v>
      </c>
    </row>
    <row r="3829" spans="2:12">
      <c r="B3829" s="1297"/>
      <c r="C3829" s="1297"/>
      <c r="D3829" s="1297"/>
      <c r="E3829" s="1297" t="s">
        <v>943</v>
      </c>
      <c r="F3829" s="1399">
        <v>15973.64</v>
      </c>
      <c r="J3829" s="1399">
        <v>15973.64</v>
      </c>
    </row>
    <row r="3830" spans="2:12">
      <c r="B3830" s="1297"/>
      <c r="C3830" s="1297"/>
      <c r="D3830" s="1297"/>
      <c r="E3830" s="1297" t="s">
        <v>944</v>
      </c>
      <c r="F3830" s="1399">
        <v>4122550.65</v>
      </c>
      <c r="J3830" s="1399">
        <v>4122550.65</v>
      </c>
    </row>
    <row r="3831" spans="2:12">
      <c r="B3831" s="1297"/>
      <c r="C3831" s="1297"/>
      <c r="D3831" s="1297"/>
      <c r="E3831" s="1297" t="s">
        <v>945</v>
      </c>
      <c r="F3831" s="1399">
        <v>1502396.8199999998</v>
      </c>
      <c r="J3831" s="1399">
        <v>1502396.8199999998</v>
      </c>
    </row>
    <row r="3832" spans="2:12">
      <c r="B3832" s="1297"/>
      <c r="C3832" s="1297"/>
      <c r="D3832" s="1297"/>
      <c r="E3832" s="1297" t="s">
        <v>947</v>
      </c>
      <c r="F3832" s="1399">
        <v>77617.89</v>
      </c>
      <c r="J3832" s="1399">
        <v>77617.89</v>
      </c>
    </row>
    <row r="3833" spans="2:12">
      <c r="B3833" s="1297"/>
      <c r="C3833" s="1297"/>
      <c r="D3833" s="1297"/>
      <c r="E3833" s="1297" t="s">
        <v>1051</v>
      </c>
      <c r="H3833" s="1399">
        <v>4326126.28</v>
      </c>
      <c r="J3833" s="1399">
        <v>4326126.28</v>
      </c>
    </row>
    <row r="3834" spans="2:12">
      <c r="B3834" s="1297"/>
      <c r="C3834" s="1297"/>
      <c r="D3834" s="1400" t="s">
        <v>1249</v>
      </c>
      <c r="E3834" s="1400"/>
      <c r="F3834" s="1401">
        <f>SUM(F3799:F3833)</f>
        <v>6996851.7599999988</v>
      </c>
      <c r="G3834" s="1401">
        <f>SUM(G3799:G3833)</f>
        <v>10538506.85</v>
      </c>
      <c r="H3834" s="1401">
        <f>SUM(H3799:H3833)</f>
        <v>6816460.040000001</v>
      </c>
      <c r="I3834" s="1401">
        <f>SUM(I3799:I3833)-I3820</f>
        <v>16096987.82</v>
      </c>
      <c r="J3834" s="1401">
        <f>SUM(J3799:J3833)</f>
        <v>41327351.579999998</v>
      </c>
      <c r="K3834" s="1401">
        <f>SUM(F3834:I3834)</f>
        <v>40448806.469999999</v>
      </c>
      <c r="L3834" s="1408">
        <f>K3834/C3799</f>
        <v>13389.211012909633</v>
      </c>
    </row>
    <row r="3835" spans="2:12">
      <c r="B3835" s="1297" t="s">
        <v>1250</v>
      </c>
      <c r="C3835" s="1297">
        <v>1011</v>
      </c>
      <c r="D3835" s="1297" t="s">
        <v>1251</v>
      </c>
      <c r="E3835" s="1297" t="s">
        <v>906</v>
      </c>
      <c r="G3835" s="1399">
        <v>2433490.87</v>
      </c>
      <c r="J3835" s="1399">
        <v>2433490.87</v>
      </c>
    </row>
    <row r="3836" spans="2:12">
      <c r="B3836" s="1297"/>
      <c r="C3836" s="1297"/>
      <c r="D3836" s="1297"/>
      <c r="E3836" s="1297" t="s">
        <v>907</v>
      </c>
      <c r="G3836" s="1399">
        <v>631863.02</v>
      </c>
      <c r="J3836" s="1399">
        <v>631863.02</v>
      </c>
    </row>
    <row r="3837" spans="2:12">
      <c r="B3837" s="1297"/>
      <c r="C3837" s="1297"/>
      <c r="D3837" s="1297"/>
      <c r="E3837" s="1297" t="s">
        <v>995</v>
      </c>
      <c r="G3837" s="1399">
        <v>17214.64</v>
      </c>
      <c r="J3837" s="1399">
        <v>17214.64</v>
      </c>
    </row>
    <row r="3838" spans="2:12">
      <c r="B3838" s="1297"/>
      <c r="C3838" s="1297"/>
      <c r="D3838" s="1297"/>
      <c r="E3838" s="1297" t="s">
        <v>908</v>
      </c>
      <c r="G3838" s="1399">
        <v>8499</v>
      </c>
      <c r="J3838" s="1399">
        <v>8499</v>
      </c>
    </row>
    <row r="3839" spans="2:12">
      <c r="B3839" s="1297"/>
      <c r="C3839" s="1297"/>
      <c r="D3839" s="1297"/>
      <c r="E3839" s="1297" t="s">
        <v>1035</v>
      </c>
      <c r="H3839" s="1399">
        <v>2014.66</v>
      </c>
      <c r="J3839" s="1399">
        <v>2014.66</v>
      </c>
    </row>
    <row r="3840" spans="2:12">
      <c r="B3840" s="1297"/>
      <c r="C3840" s="1297"/>
      <c r="D3840" s="1297"/>
      <c r="E3840" s="1297" t="s">
        <v>1039</v>
      </c>
      <c r="H3840" s="1399">
        <v>8597.43</v>
      </c>
      <c r="J3840" s="1399">
        <v>8597.43</v>
      </c>
    </row>
    <row r="3841" spans="5:10" s="1297" customFormat="1">
      <c r="E3841" s="1297" t="s">
        <v>1040</v>
      </c>
      <c r="F3841" s="1399"/>
      <c r="G3841" s="1399"/>
      <c r="H3841" s="1399">
        <v>74256.55</v>
      </c>
      <c r="I3841" s="1399"/>
      <c r="J3841" s="1399">
        <v>74256.55</v>
      </c>
    </row>
    <row r="3842" spans="5:10" s="1297" customFormat="1">
      <c r="E3842" s="1297" t="s">
        <v>1041</v>
      </c>
      <c r="F3842" s="1399"/>
      <c r="G3842" s="1399"/>
      <c r="H3842" s="1399">
        <v>15221.9</v>
      </c>
      <c r="I3842" s="1399"/>
      <c r="J3842" s="1399">
        <v>15221.9</v>
      </c>
    </row>
    <row r="3843" spans="5:10" s="1297" customFormat="1">
      <c r="E3843" s="1297" t="s">
        <v>1042</v>
      </c>
      <c r="F3843" s="1399"/>
      <c r="G3843" s="1399"/>
      <c r="H3843" s="1399">
        <v>21464.33</v>
      </c>
      <c r="I3843" s="1399"/>
      <c r="J3843" s="1399">
        <v>21464.33</v>
      </c>
    </row>
    <row r="3844" spans="5:10" s="1297" customFormat="1">
      <c r="E3844" s="1297" t="s">
        <v>954</v>
      </c>
      <c r="F3844" s="1399"/>
      <c r="G3844" s="1399"/>
      <c r="H3844" s="1399">
        <v>888.79</v>
      </c>
      <c r="I3844" s="1399"/>
      <c r="J3844" s="1399">
        <v>888.79</v>
      </c>
    </row>
    <row r="3845" spans="5:10" s="1297" customFormat="1">
      <c r="E3845" s="1297" t="s">
        <v>986</v>
      </c>
      <c r="F3845" s="1399"/>
      <c r="G3845" s="1399"/>
      <c r="H3845" s="1399">
        <v>280208.69999999995</v>
      </c>
      <c r="I3845" s="1399"/>
      <c r="J3845" s="1399">
        <v>280208.69999999995</v>
      </c>
    </row>
    <row r="3846" spans="5:10" s="1297" customFormat="1">
      <c r="E3846" s="1297" t="s">
        <v>1045</v>
      </c>
      <c r="F3846" s="1399"/>
      <c r="G3846" s="1399"/>
      <c r="H3846" s="1399">
        <v>154747.42000000001</v>
      </c>
      <c r="I3846" s="1399"/>
      <c r="J3846" s="1399">
        <v>154747.42000000001</v>
      </c>
    </row>
    <row r="3847" spans="5:10" s="1297" customFormat="1">
      <c r="E3847" s="1297" t="s">
        <v>1046</v>
      </c>
      <c r="F3847" s="1399"/>
      <c r="G3847" s="1399"/>
      <c r="H3847" s="1399"/>
      <c r="I3847" s="1399">
        <v>4840126</v>
      </c>
      <c r="J3847" s="1399">
        <v>4840126</v>
      </c>
    </row>
    <row r="3848" spans="5:10" s="1297" customFormat="1">
      <c r="E3848" s="1297" t="s">
        <v>1047</v>
      </c>
      <c r="F3848" s="1399"/>
      <c r="G3848" s="1399"/>
      <c r="H3848" s="1399"/>
      <c r="I3848" s="1399">
        <v>363346</v>
      </c>
      <c r="J3848" s="1399">
        <v>363346</v>
      </c>
    </row>
    <row r="3849" spans="5:10" s="1297" customFormat="1">
      <c r="E3849" s="1297" t="s">
        <v>1048</v>
      </c>
      <c r="F3849" s="1399"/>
      <c r="G3849" s="1399"/>
      <c r="H3849" s="1399"/>
      <c r="I3849" s="1399">
        <v>-676164</v>
      </c>
      <c r="J3849" s="1399">
        <v>-676164</v>
      </c>
    </row>
    <row r="3850" spans="5:10" s="1297" customFormat="1">
      <c r="E3850" s="359" t="s">
        <v>932</v>
      </c>
      <c r="F3850" s="1411"/>
      <c r="G3850" s="1411"/>
      <c r="H3850" s="1411"/>
      <c r="I3850" s="1411">
        <v>583886</v>
      </c>
      <c r="J3850" s="1411">
        <v>583886</v>
      </c>
    </row>
    <row r="3851" spans="5:10" s="1297" customFormat="1">
      <c r="E3851" s="1404" t="s">
        <v>955</v>
      </c>
      <c r="F3851" s="1405"/>
      <c r="G3851" s="1405"/>
      <c r="H3851" s="1405"/>
      <c r="I3851" s="1405">
        <v>198335.65</v>
      </c>
      <c r="J3851" s="1405">
        <v>198335.65</v>
      </c>
    </row>
    <row r="3852" spans="5:10" s="1297" customFormat="1">
      <c r="E3852" s="1297" t="s">
        <v>934</v>
      </c>
      <c r="F3852" s="1399"/>
      <c r="G3852" s="1399"/>
      <c r="H3852" s="1399"/>
      <c r="I3852" s="1399">
        <v>18658</v>
      </c>
      <c r="J3852" s="1399">
        <v>18658</v>
      </c>
    </row>
    <row r="3853" spans="5:10" s="1297" customFormat="1">
      <c r="E3853" s="1297" t="s">
        <v>935</v>
      </c>
      <c r="F3853" s="1399"/>
      <c r="G3853" s="1399"/>
      <c r="H3853" s="1399"/>
      <c r="I3853" s="1399">
        <v>353693.63999999996</v>
      </c>
      <c r="J3853" s="1399">
        <v>353693.63999999996</v>
      </c>
    </row>
    <row r="3854" spans="5:10" s="1297" customFormat="1">
      <c r="E3854" s="1297" t="s">
        <v>936</v>
      </c>
      <c r="F3854" s="1399"/>
      <c r="G3854" s="1399"/>
      <c r="H3854" s="1399"/>
      <c r="I3854" s="1399">
        <v>19258.28</v>
      </c>
      <c r="J3854" s="1399">
        <v>19258.28</v>
      </c>
    </row>
    <row r="3855" spans="5:10" s="1297" customFormat="1">
      <c r="E3855" s="1297" t="s">
        <v>938</v>
      </c>
      <c r="F3855" s="1399"/>
      <c r="G3855" s="1399"/>
      <c r="H3855" s="1399"/>
      <c r="I3855" s="1399">
        <v>6925</v>
      </c>
      <c r="J3855" s="1399">
        <v>6925</v>
      </c>
    </row>
    <row r="3856" spans="5:10" s="1297" customFormat="1">
      <c r="E3856" s="1297" t="s">
        <v>940</v>
      </c>
      <c r="F3856" s="1399">
        <v>316939.42</v>
      </c>
      <c r="G3856" s="1399"/>
      <c r="H3856" s="1399"/>
      <c r="I3856" s="1399"/>
      <c r="J3856" s="1399">
        <v>316939.42</v>
      </c>
    </row>
    <row r="3857" spans="2:12">
      <c r="B3857" s="1297"/>
      <c r="C3857" s="1297"/>
      <c r="D3857" s="1297"/>
      <c r="E3857" s="1297" t="s">
        <v>941</v>
      </c>
      <c r="F3857" s="1399">
        <v>107420.62</v>
      </c>
      <c r="J3857" s="1399">
        <v>107420.62</v>
      </c>
    </row>
    <row r="3858" spans="2:12">
      <c r="B3858" s="1297"/>
      <c r="C3858" s="1297"/>
      <c r="D3858" s="1297"/>
      <c r="E3858" s="1297" t="s">
        <v>943</v>
      </c>
      <c r="F3858" s="1399">
        <v>2868.98</v>
      </c>
      <c r="J3858" s="1399">
        <v>2868.98</v>
      </c>
    </row>
    <row r="3859" spans="2:12">
      <c r="B3859" s="1297"/>
      <c r="C3859" s="1297"/>
      <c r="D3859" s="1297"/>
      <c r="E3859" s="1297" t="s">
        <v>944</v>
      </c>
      <c r="F3859" s="1399">
        <v>1083347.1099999999</v>
      </c>
      <c r="J3859" s="1399">
        <v>1083347.1099999999</v>
      </c>
    </row>
    <row r="3860" spans="2:12">
      <c r="B3860" s="1297"/>
      <c r="C3860" s="1297"/>
      <c r="D3860" s="1297"/>
      <c r="E3860" s="1297" t="s">
        <v>945</v>
      </c>
      <c r="F3860" s="1399">
        <v>545561.62</v>
      </c>
      <c r="J3860" s="1399">
        <v>545561.62</v>
      </c>
    </row>
    <row r="3861" spans="2:12">
      <c r="B3861" s="1297"/>
      <c r="C3861" s="1297"/>
      <c r="D3861" s="1297"/>
      <c r="E3861" s="1297" t="s">
        <v>947</v>
      </c>
      <c r="F3861" s="1399">
        <v>33056.82</v>
      </c>
      <c r="J3861" s="1399">
        <v>33056.82</v>
      </c>
    </row>
    <row r="3862" spans="2:12">
      <c r="B3862" s="1297"/>
      <c r="C3862" s="1297"/>
      <c r="D3862" s="1297"/>
      <c r="E3862" s="1404" t="s">
        <v>948</v>
      </c>
      <c r="F3862" s="1405"/>
      <c r="G3862" s="1405"/>
      <c r="H3862" s="1405">
        <v>19725.29</v>
      </c>
      <c r="I3862" s="1405"/>
      <c r="J3862" s="1405">
        <v>19725.29</v>
      </c>
    </row>
    <row r="3863" spans="2:12">
      <c r="B3863" s="1297"/>
      <c r="C3863" s="1297"/>
      <c r="D3863" s="1400" t="s">
        <v>1252</v>
      </c>
      <c r="E3863" s="1400"/>
      <c r="F3863" s="1401">
        <f>SUM(F3835:F3862)</f>
        <v>2089194.57</v>
      </c>
      <c r="G3863" s="1401">
        <f>SUM(G3835:G3862)</f>
        <v>3091067.5300000003</v>
      </c>
      <c r="H3863" s="1401">
        <f>SUM(H3835:H3862)-H3862</f>
        <v>557399.77999999991</v>
      </c>
      <c r="I3863" s="1401">
        <f>SUM(I3835:I3862)-I3851</f>
        <v>5509728.9199999999</v>
      </c>
      <c r="J3863" s="1401">
        <f>SUM(J3835:J3862)</f>
        <v>11465451.739999998</v>
      </c>
      <c r="K3863" s="1401">
        <f>SUM(F3863:I3863)</f>
        <v>11247390.800000001</v>
      </c>
      <c r="L3863" s="1408">
        <f>K3863/C3835</f>
        <v>11125.015628091</v>
      </c>
    </row>
    <row r="3864" spans="2:12">
      <c r="B3864" s="1297" t="s">
        <v>1253</v>
      </c>
      <c r="C3864" s="1297">
        <f>2373-'[2]1$REV-DATA-GAcharterAuditdata'!G69</f>
        <v>1630</v>
      </c>
      <c r="D3864" s="1297" t="s">
        <v>1254</v>
      </c>
      <c r="E3864" s="1297" t="s">
        <v>906</v>
      </c>
      <c r="G3864" s="1399">
        <v>6699747.9299999997</v>
      </c>
      <c r="J3864" s="1399">
        <v>6699747.9299999997</v>
      </c>
    </row>
    <row r="3865" spans="2:12">
      <c r="B3865" s="1297"/>
      <c r="C3865" s="1297"/>
      <c r="D3865" s="1297"/>
      <c r="E3865" s="1297" t="s">
        <v>1126</v>
      </c>
      <c r="G3865" s="1399">
        <v>2171075.9900000002</v>
      </c>
      <c r="J3865" s="1399">
        <v>2171075.9900000002</v>
      </c>
    </row>
    <row r="3866" spans="2:12">
      <c r="B3866" s="1297"/>
      <c r="C3866" s="1297"/>
      <c r="D3866" s="1297"/>
      <c r="E3866" s="1297" t="s">
        <v>952</v>
      </c>
      <c r="G3866" s="1399">
        <v>49068.68</v>
      </c>
      <c r="J3866" s="1399">
        <v>49068.68</v>
      </c>
    </row>
    <row r="3867" spans="2:12">
      <c r="B3867" s="1297"/>
      <c r="C3867" s="1297"/>
      <c r="D3867" s="1297"/>
      <c r="E3867" s="1297" t="s">
        <v>907</v>
      </c>
      <c r="G3867" s="1399">
        <v>1707020.6</v>
      </c>
      <c r="J3867" s="1399">
        <v>1707020.6</v>
      </c>
    </row>
    <row r="3868" spans="2:12">
      <c r="B3868" s="1297"/>
      <c r="C3868" s="1297"/>
      <c r="D3868" s="1297"/>
      <c r="E3868" s="1297" t="s">
        <v>908</v>
      </c>
      <c r="G3868" s="1399">
        <v>11732.03</v>
      </c>
      <c r="J3868" s="1399">
        <v>11732.03</v>
      </c>
    </row>
    <row r="3869" spans="2:12">
      <c r="B3869" s="1297"/>
      <c r="C3869" s="1297"/>
      <c r="D3869" s="1297"/>
      <c r="E3869" s="1297" t="s">
        <v>909</v>
      </c>
      <c r="H3869" s="1399">
        <v>29425.18</v>
      </c>
      <c r="J3869" s="1399">
        <v>29425.18</v>
      </c>
    </row>
    <row r="3870" spans="2:12">
      <c r="B3870" s="1297"/>
      <c r="C3870" s="1297"/>
      <c r="D3870" s="1297"/>
      <c r="E3870" s="1297" t="s">
        <v>910</v>
      </c>
      <c r="H3870" s="1399">
        <v>14389.33</v>
      </c>
      <c r="J3870" s="1399">
        <v>14389.33</v>
      </c>
    </row>
    <row r="3871" spans="2:12">
      <c r="B3871" s="1297"/>
      <c r="C3871" s="1297"/>
      <c r="D3871" s="1297"/>
      <c r="E3871" s="1297" t="s">
        <v>1034</v>
      </c>
      <c r="H3871" s="1399">
        <v>12985.96</v>
      </c>
      <c r="J3871" s="1399">
        <v>12985.96</v>
      </c>
    </row>
    <row r="3872" spans="2:12">
      <c r="B3872" s="1297"/>
      <c r="C3872" s="1297"/>
      <c r="D3872" s="1297"/>
      <c r="E3872" s="1297" t="s">
        <v>1035</v>
      </c>
      <c r="H3872" s="1399">
        <v>103246.96</v>
      </c>
      <c r="J3872" s="1399">
        <v>103246.96</v>
      </c>
    </row>
    <row r="3873" spans="5:10" s="1297" customFormat="1">
      <c r="E3873" s="1297" t="s">
        <v>1036</v>
      </c>
      <c r="F3873" s="1399"/>
      <c r="G3873" s="1399"/>
      <c r="H3873" s="1399">
        <v>89169.4</v>
      </c>
      <c r="I3873" s="1399"/>
      <c r="J3873" s="1399">
        <v>89169.4</v>
      </c>
    </row>
    <row r="3874" spans="5:10" s="1297" customFormat="1">
      <c r="E3874" s="1297" t="s">
        <v>1039</v>
      </c>
      <c r="F3874" s="1399"/>
      <c r="G3874" s="1399"/>
      <c r="H3874" s="1399">
        <v>99961.52</v>
      </c>
      <c r="I3874" s="1399"/>
      <c r="J3874" s="1399">
        <v>99961.52</v>
      </c>
    </row>
    <row r="3875" spans="5:10" s="1297" customFormat="1">
      <c r="E3875" s="1297" t="s">
        <v>1040</v>
      </c>
      <c r="F3875" s="1399"/>
      <c r="G3875" s="1399"/>
      <c r="H3875" s="1399">
        <v>60850.13</v>
      </c>
      <c r="I3875" s="1399"/>
      <c r="J3875" s="1399">
        <v>60850.13</v>
      </c>
    </row>
    <row r="3876" spans="5:10" s="1297" customFormat="1">
      <c r="E3876" s="1297" t="s">
        <v>1041</v>
      </c>
      <c r="F3876" s="1399"/>
      <c r="G3876" s="1399"/>
      <c r="H3876" s="1399">
        <v>11262.04</v>
      </c>
      <c r="I3876" s="1399"/>
      <c r="J3876" s="1399">
        <v>11262.04</v>
      </c>
    </row>
    <row r="3877" spans="5:10" s="1297" customFormat="1">
      <c r="E3877" s="1297" t="s">
        <v>1042</v>
      </c>
      <c r="F3877" s="1399"/>
      <c r="G3877" s="1399"/>
      <c r="H3877" s="1399">
        <v>51112.53</v>
      </c>
      <c r="I3877" s="1399"/>
      <c r="J3877" s="1399">
        <v>51112.53</v>
      </c>
    </row>
    <row r="3878" spans="5:10" s="1297" customFormat="1">
      <c r="E3878" s="1297" t="s">
        <v>954</v>
      </c>
      <c r="F3878" s="1399"/>
      <c r="G3878" s="1399"/>
      <c r="H3878" s="1399">
        <v>120901.83</v>
      </c>
      <c r="I3878" s="1399"/>
      <c r="J3878" s="1399">
        <v>120901.83</v>
      </c>
    </row>
    <row r="3879" spans="5:10" s="1297" customFormat="1">
      <c r="E3879" s="1297" t="s">
        <v>1043</v>
      </c>
      <c r="F3879" s="1399"/>
      <c r="G3879" s="1399"/>
      <c r="H3879" s="1399">
        <v>15000</v>
      </c>
      <c r="I3879" s="1399"/>
      <c r="J3879" s="1399">
        <v>15000</v>
      </c>
    </row>
    <row r="3880" spans="5:10" s="1297" customFormat="1">
      <c r="E3880" s="1297" t="s">
        <v>986</v>
      </c>
      <c r="F3880" s="1399"/>
      <c r="G3880" s="1399"/>
      <c r="H3880" s="1399">
        <v>1500</v>
      </c>
      <c r="I3880" s="1399"/>
      <c r="J3880" s="1399">
        <v>1500</v>
      </c>
    </row>
    <row r="3881" spans="5:10" s="1297" customFormat="1">
      <c r="E3881" s="1297" t="s">
        <v>1045</v>
      </c>
      <c r="F3881" s="1399"/>
      <c r="G3881" s="1399"/>
      <c r="H3881" s="1399">
        <v>183380.59</v>
      </c>
      <c r="I3881" s="1399"/>
      <c r="J3881" s="1399">
        <v>183380.59</v>
      </c>
    </row>
    <row r="3882" spans="5:10" s="1297" customFormat="1">
      <c r="E3882" s="1297" t="s">
        <v>1046</v>
      </c>
      <c r="F3882" s="1399"/>
      <c r="G3882" s="1399"/>
      <c r="H3882" s="1399"/>
      <c r="I3882" s="1399">
        <v>13275612</v>
      </c>
      <c r="J3882" s="1399">
        <v>13275612</v>
      </c>
    </row>
    <row r="3883" spans="5:10" s="1297" customFormat="1">
      <c r="E3883" s="1297" t="s">
        <v>1129</v>
      </c>
      <c r="F3883" s="1399"/>
      <c r="G3883" s="1399"/>
      <c r="H3883" s="1399"/>
      <c r="I3883" s="1399">
        <v>-1631416</v>
      </c>
      <c r="J3883" s="1399">
        <v>-1631416</v>
      </c>
    </row>
    <row r="3884" spans="5:10" s="1297" customFormat="1">
      <c r="E3884" s="1297" t="s">
        <v>1047</v>
      </c>
      <c r="F3884" s="1399"/>
      <c r="G3884" s="1399"/>
      <c r="H3884" s="1399"/>
      <c r="I3884" s="1399">
        <v>506412</v>
      </c>
      <c r="J3884" s="1399">
        <v>506412</v>
      </c>
    </row>
    <row r="3885" spans="5:10" s="1297" customFormat="1">
      <c r="E3885" s="1297" t="s">
        <v>1048</v>
      </c>
      <c r="F3885" s="1399"/>
      <c r="G3885" s="1399"/>
      <c r="H3885" s="1399"/>
      <c r="I3885" s="1399">
        <v>-2181141</v>
      </c>
      <c r="J3885" s="1399">
        <v>-2181141</v>
      </c>
    </row>
    <row r="3886" spans="5:10" s="1297" customFormat="1">
      <c r="E3886" s="1297" t="s">
        <v>932</v>
      </c>
      <c r="F3886" s="1399"/>
      <c r="G3886" s="1399"/>
      <c r="H3886" s="1399"/>
      <c r="I3886" s="1399">
        <v>470151</v>
      </c>
      <c r="J3886" s="1399">
        <v>470151</v>
      </c>
    </row>
    <row r="3887" spans="5:10" s="1297" customFormat="1">
      <c r="E3887" s="1404" t="s">
        <v>955</v>
      </c>
      <c r="F3887" s="1405"/>
      <c r="G3887" s="1405"/>
      <c r="H3887" s="1405"/>
      <c r="I3887" s="1405">
        <v>337956.87</v>
      </c>
      <c r="J3887" s="1405">
        <v>337956.87</v>
      </c>
    </row>
    <row r="3888" spans="5:10" s="1297" customFormat="1">
      <c r="E3888" s="1297" t="s">
        <v>934</v>
      </c>
      <c r="F3888" s="1399"/>
      <c r="G3888" s="1399"/>
      <c r="H3888" s="1399"/>
      <c r="I3888" s="1399">
        <v>38898</v>
      </c>
      <c r="J3888" s="1399">
        <v>38898</v>
      </c>
    </row>
    <row r="3889" spans="2:12">
      <c r="B3889" s="1297"/>
      <c r="C3889" s="1297"/>
      <c r="D3889" s="1297"/>
      <c r="E3889" s="1297" t="s">
        <v>935</v>
      </c>
      <c r="I3889" s="1399">
        <v>863541.74</v>
      </c>
      <c r="J3889" s="1399">
        <v>863541.74</v>
      </c>
    </row>
    <row r="3890" spans="2:12">
      <c r="B3890" s="1297"/>
      <c r="C3890" s="1297"/>
      <c r="D3890" s="1297"/>
      <c r="E3890" s="1297" t="s">
        <v>936</v>
      </c>
      <c r="I3890" s="1399">
        <v>42718.37</v>
      </c>
      <c r="J3890" s="1399">
        <v>42718.37</v>
      </c>
    </row>
    <row r="3891" spans="2:12">
      <c r="B3891" s="1297"/>
      <c r="C3891" s="1297"/>
      <c r="D3891" s="1297"/>
      <c r="E3891" s="1297" t="s">
        <v>937</v>
      </c>
      <c r="I3891" s="1399">
        <v>35251.980000000003</v>
      </c>
      <c r="J3891" s="1399">
        <v>35251.980000000003</v>
      </c>
    </row>
    <row r="3892" spans="2:12">
      <c r="B3892" s="1297"/>
      <c r="C3892" s="1297"/>
      <c r="D3892" s="1297"/>
      <c r="E3892" s="1297" t="s">
        <v>938</v>
      </c>
      <c r="I3892" s="1399">
        <v>11978</v>
      </c>
      <c r="J3892" s="1399">
        <v>11978</v>
      </c>
    </row>
    <row r="3893" spans="2:12">
      <c r="B3893" s="1297"/>
      <c r="C3893" s="1297"/>
      <c r="D3893" s="1297"/>
      <c r="E3893" s="1297" t="s">
        <v>940</v>
      </c>
      <c r="F3893" s="1399">
        <v>836227.6</v>
      </c>
      <c r="J3893" s="1399">
        <v>836227.6</v>
      </c>
    </row>
    <row r="3894" spans="2:12">
      <c r="B3894" s="1297"/>
      <c r="C3894" s="1297"/>
      <c r="D3894" s="1297"/>
      <c r="E3894" s="1297" t="s">
        <v>941</v>
      </c>
      <c r="F3894" s="1399">
        <v>334040.42</v>
      </c>
      <c r="J3894" s="1399">
        <v>334040.42</v>
      </c>
    </row>
    <row r="3895" spans="2:12">
      <c r="B3895" s="1297"/>
      <c r="C3895" s="1297"/>
      <c r="D3895" s="1297"/>
      <c r="E3895" s="1297" t="s">
        <v>944</v>
      </c>
      <c r="F3895" s="1399">
        <v>2756679.58</v>
      </c>
      <c r="J3895" s="1399">
        <v>2756679.58</v>
      </c>
    </row>
    <row r="3896" spans="2:12">
      <c r="B3896" s="1297"/>
      <c r="C3896" s="1297"/>
      <c r="D3896" s="1297"/>
      <c r="E3896" s="1297" t="s">
        <v>945</v>
      </c>
      <c r="F3896" s="1399">
        <v>1209256.1200000001</v>
      </c>
      <c r="J3896" s="1399">
        <v>1209256.1200000001</v>
      </c>
    </row>
    <row r="3897" spans="2:12">
      <c r="B3897" s="1297"/>
      <c r="C3897" s="1297"/>
      <c r="D3897" s="1297"/>
      <c r="E3897" s="1297" t="s">
        <v>946</v>
      </c>
      <c r="F3897" s="1399">
        <v>90242.85</v>
      </c>
      <c r="J3897" s="1399">
        <v>90242.85</v>
      </c>
    </row>
    <row r="3898" spans="2:12">
      <c r="B3898" s="1297"/>
      <c r="C3898" s="1297"/>
      <c r="D3898" s="1297"/>
      <c r="E3898" s="1297" t="s">
        <v>978</v>
      </c>
      <c r="F3898" s="1399">
        <v>38054.519999999997</v>
      </c>
      <c r="J3898" s="1399">
        <v>38054.519999999997</v>
      </c>
    </row>
    <row r="3899" spans="2:12">
      <c r="B3899" s="1297"/>
      <c r="C3899" s="1297"/>
      <c r="D3899" s="1297"/>
      <c r="E3899" s="1297" t="s">
        <v>947</v>
      </c>
      <c r="F3899" s="1399">
        <v>65516.58</v>
      </c>
      <c r="J3899" s="1399">
        <v>65516.58</v>
      </c>
    </row>
    <row r="3900" spans="2:12">
      <c r="B3900" s="1297"/>
      <c r="C3900" s="1297"/>
      <c r="D3900" s="1297"/>
      <c r="E3900" s="1404" t="s">
        <v>948</v>
      </c>
      <c r="F3900" s="1405"/>
      <c r="G3900" s="1405"/>
      <c r="H3900" s="1405">
        <v>1508219.03</v>
      </c>
      <c r="I3900" s="1405"/>
      <c r="J3900" s="1405">
        <v>1508219.03</v>
      </c>
    </row>
    <row r="3901" spans="2:12">
      <c r="B3901" s="1297"/>
      <c r="C3901" s="1297"/>
      <c r="D3901" s="1297"/>
      <c r="E3901" s="1297" t="s">
        <v>1118</v>
      </c>
      <c r="H3901" s="1399">
        <v>7517.86</v>
      </c>
      <c r="J3901" s="1399">
        <v>7517.86</v>
      </c>
    </row>
    <row r="3902" spans="2:12">
      <c r="B3902" s="1297"/>
      <c r="C3902" s="1297"/>
      <c r="D3902" s="1400" t="s">
        <v>1255</v>
      </c>
      <c r="E3902" s="1400"/>
      <c r="F3902" s="1401">
        <f>SUM(F3864:F3901)-'1$REV-CharterAuditData'!BM69</f>
        <v>5122761.67</v>
      </c>
      <c r="G3902" s="1401">
        <f>SUM(G3864:G3901)-'1$REV-CharterAuditData'!Q69</f>
        <v>8814641.2299999986</v>
      </c>
      <c r="H3902" s="1401">
        <f>SUM(H3864:H3901)-H3900</f>
        <v>800703.32999999984</v>
      </c>
      <c r="I3902" s="1401">
        <f>SUM(I3864:I3901)-(I3887+'1$REV-CharterAuditData'!AZ69)</f>
        <v>8861932.0899999999</v>
      </c>
      <c r="J3902" s="1401">
        <f>SUM(J3864:J3901)</f>
        <v>30047548.220000006</v>
      </c>
      <c r="K3902" s="1401">
        <f>SUM(F3902:I3902)</f>
        <v>23600038.32</v>
      </c>
      <c r="L3902" s="1408">
        <f>K3902/C3864</f>
        <v>14478.551116564417</v>
      </c>
    </row>
    <row r="3903" spans="2:12">
      <c r="B3903" s="1297" t="s">
        <v>1256</v>
      </c>
      <c r="C3903" s="1297">
        <v>3739</v>
      </c>
      <c r="D3903" s="1297" t="s">
        <v>1257</v>
      </c>
      <c r="E3903" s="1297" t="s">
        <v>906</v>
      </c>
      <c r="G3903" s="1399">
        <v>18872928.760000002</v>
      </c>
      <c r="J3903" s="1399">
        <v>18872928.760000002</v>
      </c>
    </row>
    <row r="3904" spans="2:12">
      <c r="B3904" s="1297"/>
      <c r="C3904" s="1297"/>
      <c r="D3904" s="1297"/>
      <c r="E3904" s="1297" t="s">
        <v>952</v>
      </c>
      <c r="G3904" s="1399">
        <v>436557.1</v>
      </c>
      <c r="J3904" s="1399">
        <v>436557.1</v>
      </c>
    </row>
    <row r="3905" spans="5:10" s="1297" customFormat="1">
      <c r="E3905" s="1297" t="s">
        <v>907</v>
      </c>
      <c r="F3905" s="1399"/>
      <c r="G3905" s="1399">
        <v>5125142.2</v>
      </c>
      <c r="H3905" s="1399"/>
      <c r="I3905" s="1399"/>
      <c r="J3905" s="1399">
        <v>5125142.2</v>
      </c>
    </row>
    <row r="3906" spans="5:10" s="1297" customFormat="1">
      <c r="E3906" s="1297" t="s">
        <v>908</v>
      </c>
      <c r="F3906" s="1399"/>
      <c r="G3906" s="1399">
        <v>26519.1</v>
      </c>
      <c r="H3906" s="1399"/>
      <c r="I3906" s="1399"/>
      <c r="J3906" s="1399">
        <v>26519.1</v>
      </c>
    </row>
    <row r="3907" spans="5:10" s="1297" customFormat="1">
      <c r="E3907" s="1297" t="s">
        <v>909</v>
      </c>
      <c r="F3907" s="1399"/>
      <c r="G3907" s="1399"/>
      <c r="H3907" s="1399">
        <v>104698.35</v>
      </c>
      <c r="I3907" s="1399"/>
      <c r="J3907" s="1399">
        <v>104698.35</v>
      </c>
    </row>
    <row r="3908" spans="5:10" s="1297" customFormat="1">
      <c r="E3908" s="1297" t="s">
        <v>910</v>
      </c>
      <c r="F3908" s="1399"/>
      <c r="G3908" s="1399"/>
      <c r="H3908" s="1399">
        <v>272211.27</v>
      </c>
      <c r="I3908" s="1399"/>
      <c r="J3908" s="1399">
        <v>272211.27</v>
      </c>
    </row>
    <row r="3909" spans="5:10" s="1297" customFormat="1">
      <c r="E3909" s="1297" t="s">
        <v>1034</v>
      </c>
      <c r="F3909" s="1399"/>
      <c r="G3909" s="1399"/>
      <c r="H3909" s="1399">
        <v>34626.86</v>
      </c>
      <c r="I3909" s="1399"/>
      <c r="J3909" s="1399">
        <v>34626.86</v>
      </c>
    </row>
    <row r="3910" spans="5:10" s="1297" customFormat="1">
      <c r="E3910" s="1297" t="s">
        <v>1035</v>
      </c>
      <c r="F3910" s="1399"/>
      <c r="G3910" s="1399"/>
      <c r="H3910" s="1399">
        <v>199838.94</v>
      </c>
      <c r="I3910" s="1399"/>
      <c r="J3910" s="1399">
        <v>199838.94</v>
      </c>
    </row>
    <row r="3911" spans="5:10" s="1297" customFormat="1">
      <c r="E3911" s="1297" t="s">
        <v>1036</v>
      </c>
      <c r="F3911" s="1399"/>
      <c r="G3911" s="1399"/>
      <c r="H3911" s="1399">
        <v>175744.03</v>
      </c>
      <c r="I3911" s="1399"/>
      <c r="J3911" s="1399">
        <v>175744.03</v>
      </c>
    </row>
    <row r="3912" spans="5:10" s="1297" customFormat="1">
      <c r="E3912" s="1297" t="s">
        <v>1037</v>
      </c>
      <c r="F3912" s="1399"/>
      <c r="G3912" s="1399"/>
      <c r="H3912" s="1399">
        <v>65157</v>
      </c>
      <c r="I3912" s="1399"/>
      <c r="J3912" s="1399">
        <v>65157</v>
      </c>
    </row>
    <row r="3913" spans="5:10" s="1297" customFormat="1">
      <c r="E3913" s="1297" t="s">
        <v>1039</v>
      </c>
      <c r="F3913" s="1399"/>
      <c r="G3913" s="1399"/>
      <c r="H3913" s="1399">
        <v>15809.909999999998</v>
      </c>
      <c r="I3913" s="1399"/>
      <c r="J3913" s="1399">
        <v>15809.909999999998</v>
      </c>
    </row>
    <row r="3914" spans="5:10" s="1297" customFormat="1">
      <c r="E3914" s="1297" t="s">
        <v>1040</v>
      </c>
      <c r="F3914" s="1399"/>
      <c r="G3914" s="1399"/>
      <c r="H3914" s="1399">
        <v>427223.52</v>
      </c>
      <c r="I3914" s="1399"/>
      <c r="J3914" s="1399">
        <v>427223.52</v>
      </c>
    </row>
    <row r="3915" spans="5:10" s="1297" customFormat="1">
      <c r="E3915" s="1297" t="s">
        <v>1041</v>
      </c>
      <c r="F3915" s="1399"/>
      <c r="G3915" s="1399"/>
      <c r="H3915" s="1399">
        <v>83335.350000000006</v>
      </c>
      <c r="I3915" s="1399"/>
      <c r="J3915" s="1399">
        <v>83335.350000000006</v>
      </c>
    </row>
    <row r="3916" spans="5:10" s="1297" customFormat="1">
      <c r="E3916" s="1297" t="s">
        <v>1042</v>
      </c>
      <c r="F3916" s="1399"/>
      <c r="G3916" s="1399"/>
      <c r="H3916" s="1399">
        <v>53095.92</v>
      </c>
      <c r="I3916" s="1399"/>
      <c r="J3916" s="1399">
        <v>53095.92</v>
      </c>
    </row>
    <row r="3917" spans="5:10" s="1297" customFormat="1">
      <c r="E3917" s="1297" t="s">
        <v>953</v>
      </c>
      <c r="F3917" s="1399"/>
      <c r="G3917" s="1399"/>
      <c r="H3917" s="1399">
        <v>35187.64</v>
      </c>
      <c r="I3917" s="1399"/>
      <c r="J3917" s="1399">
        <v>35187.64</v>
      </c>
    </row>
    <row r="3918" spans="5:10" s="1297" customFormat="1">
      <c r="E3918" s="1297" t="s">
        <v>1043</v>
      </c>
      <c r="F3918" s="1399"/>
      <c r="G3918" s="1399"/>
      <c r="H3918" s="1399">
        <v>29268</v>
      </c>
      <c r="I3918" s="1399"/>
      <c r="J3918" s="1399">
        <v>29268</v>
      </c>
    </row>
    <row r="3919" spans="5:10" s="1297" customFormat="1">
      <c r="E3919" s="1297" t="s">
        <v>1045</v>
      </c>
      <c r="F3919" s="1399"/>
      <c r="G3919" s="1399"/>
      <c r="H3919" s="1399">
        <v>409656.71</v>
      </c>
      <c r="I3919" s="1399"/>
      <c r="J3919" s="1399">
        <v>409656.71</v>
      </c>
    </row>
    <row r="3920" spans="5:10" s="1297" customFormat="1">
      <c r="E3920" s="1297" t="s">
        <v>1046</v>
      </c>
      <c r="F3920" s="1399"/>
      <c r="G3920" s="1399"/>
      <c r="H3920" s="1399"/>
      <c r="I3920" s="1399">
        <v>20412139</v>
      </c>
      <c r="J3920" s="1399">
        <v>20412139</v>
      </c>
    </row>
    <row r="3921" spans="5:10" s="1297" customFormat="1">
      <c r="E3921" s="1297" t="s">
        <v>1128</v>
      </c>
      <c r="F3921" s="1399"/>
      <c r="G3921" s="1399"/>
      <c r="H3921" s="1399"/>
      <c r="I3921" s="1399">
        <v>1630352</v>
      </c>
      <c r="J3921" s="1399">
        <v>1630352</v>
      </c>
    </row>
    <row r="3922" spans="5:10" s="1297" customFormat="1">
      <c r="E3922" s="1297" t="s">
        <v>1129</v>
      </c>
      <c r="F3922" s="1399"/>
      <c r="G3922" s="1399"/>
      <c r="H3922" s="1399"/>
      <c r="I3922" s="1399">
        <v>-2352354</v>
      </c>
      <c r="J3922" s="1399">
        <v>-2352354</v>
      </c>
    </row>
    <row r="3923" spans="5:10" s="1297" customFormat="1">
      <c r="E3923" s="1297" t="s">
        <v>1047</v>
      </c>
      <c r="F3923" s="1399"/>
      <c r="G3923" s="1399"/>
      <c r="H3923" s="1399"/>
      <c r="I3923" s="1399">
        <v>730580</v>
      </c>
      <c r="J3923" s="1399">
        <v>730580</v>
      </c>
    </row>
    <row r="3924" spans="5:10" s="1297" customFormat="1">
      <c r="E3924" s="1297" t="s">
        <v>1048</v>
      </c>
      <c r="F3924" s="1399"/>
      <c r="G3924" s="1399"/>
      <c r="H3924" s="1399"/>
      <c r="I3924" s="1399">
        <v>-6378998</v>
      </c>
      <c r="J3924" s="1399">
        <v>-6378998</v>
      </c>
    </row>
    <row r="3925" spans="5:10" s="1297" customFormat="1">
      <c r="E3925" s="1297" t="s">
        <v>933</v>
      </c>
      <c r="F3925" s="1399"/>
      <c r="G3925" s="1399"/>
      <c r="H3925" s="1399"/>
      <c r="I3925" s="1399">
        <v>866187.01</v>
      </c>
      <c r="J3925" s="1399">
        <v>866187.01</v>
      </c>
    </row>
    <row r="3926" spans="5:10" s="1297" customFormat="1">
      <c r="E3926" s="1297" t="s">
        <v>934</v>
      </c>
      <c r="F3926" s="1399"/>
      <c r="G3926" s="1399"/>
      <c r="H3926" s="1399"/>
      <c r="I3926" s="1399">
        <v>65282</v>
      </c>
      <c r="J3926" s="1399">
        <v>65282</v>
      </c>
    </row>
    <row r="3927" spans="5:10" s="1297" customFormat="1">
      <c r="E3927" s="1297" t="s">
        <v>935</v>
      </c>
      <c r="F3927" s="1399"/>
      <c r="G3927" s="1399"/>
      <c r="H3927" s="1399"/>
      <c r="I3927" s="1399">
        <v>372522.21</v>
      </c>
      <c r="J3927" s="1399">
        <v>372522.21</v>
      </c>
    </row>
    <row r="3928" spans="5:10" s="1297" customFormat="1">
      <c r="E3928" s="1297" t="s">
        <v>936</v>
      </c>
      <c r="F3928" s="1399"/>
      <c r="G3928" s="1399"/>
      <c r="H3928" s="1399"/>
      <c r="I3928" s="1399">
        <v>76332.820000000007</v>
      </c>
      <c r="J3928" s="1399">
        <v>76332.820000000007</v>
      </c>
    </row>
    <row r="3929" spans="5:10" s="1297" customFormat="1">
      <c r="E3929" s="1297" t="s">
        <v>937</v>
      </c>
      <c r="F3929" s="1399"/>
      <c r="G3929" s="1399"/>
      <c r="H3929" s="1399"/>
      <c r="I3929" s="1399">
        <v>22435.56</v>
      </c>
      <c r="J3929" s="1399">
        <v>22435.56</v>
      </c>
    </row>
    <row r="3930" spans="5:10" s="1297" customFormat="1">
      <c r="E3930" s="1297" t="s">
        <v>938</v>
      </c>
      <c r="F3930" s="1399"/>
      <c r="G3930" s="1399"/>
      <c r="H3930" s="1399"/>
      <c r="I3930" s="1399">
        <v>24518</v>
      </c>
      <c r="J3930" s="1399">
        <v>24518</v>
      </c>
    </row>
    <row r="3931" spans="5:10" s="1297" customFormat="1">
      <c r="E3931" s="1297" t="s">
        <v>940</v>
      </c>
      <c r="F3931" s="1399">
        <v>918053.64</v>
      </c>
      <c r="G3931" s="1399"/>
      <c r="H3931" s="1399"/>
      <c r="I3931" s="1399"/>
      <c r="J3931" s="1399">
        <v>918053.64</v>
      </c>
    </row>
    <row r="3932" spans="5:10" s="1297" customFormat="1">
      <c r="E3932" s="1297" t="s">
        <v>941</v>
      </c>
      <c r="F3932" s="1399">
        <v>308487.90000000002</v>
      </c>
      <c r="G3932" s="1399"/>
      <c r="H3932" s="1399"/>
      <c r="I3932" s="1399"/>
      <c r="J3932" s="1399">
        <v>308487.90000000002</v>
      </c>
    </row>
    <row r="3933" spans="5:10" s="1297" customFormat="1">
      <c r="E3933" s="1297" t="s">
        <v>943</v>
      </c>
      <c r="F3933" s="1399">
        <v>8973.98</v>
      </c>
      <c r="G3933" s="1399"/>
      <c r="H3933" s="1399"/>
      <c r="I3933" s="1399"/>
      <c r="J3933" s="1399">
        <v>8973.98</v>
      </c>
    </row>
    <row r="3934" spans="5:10" s="1297" customFormat="1">
      <c r="E3934" s="1297" t="s">
        <v>944</v>
      </c>
      <c r="F3934" s="1399">
        <v>2183928.7700000005</v>
      </c>
      <c r="G3934" s="1399"/>
      <c r="H3934" s="1399"/>
      <c r="I3934" s="1399"/>
      <c r="J3934" s="1399">
        <v>2183928.7700000005</v>
      </c>
    </row>
    <row r="3935" spans="5:10" s="1297" customFormat="1">
      <c r="E3935" s="1297" t="s">
        <v>945</v>
      </c>
      <c r="F3935" s="1399">
        <v>1405015.22</v>
      </c>
      <c r="G3935" s="1399"/>
      <c r="H3935" s="1399"/>
      <c r="I3935" s="1399"/>
      <c r="J3935" s="1399">
        <v>1405015.22</v>
      </c>
    </row>
    <row r="3936" spans="5:10" s="1297" customFormat="1">
      <c r="E3936" s="1297" t="s">
        <v>947</v>
      </c>
      <c r="F3936" s="1399">
        <v>124368.45</v>
      </c>
      <c r="G3936" s="1399"/>
      <c r="H3936" s="1399"/>
      <c r="I3936" s="1399"/>
      <c r="J3936" s="1399">
        <v>124368.45</v>
      </c>
    </row>
    <row r="3937" spans="2:12">
      <c r="B3937" s="1297"/>
      <c r="C3937" s="1297"/>
      <c r="D3937" s="1297"/>
      <c r="E3937" s="1404" t="s">
        <v>948</v>
      </c>
      <c r="F3937" s="1405"/>
      <c r="G3937" s="1405"/>
      <c r="H3937" s="1405">
        <v>128473.8</v>
      </c>
      <c r="I3937" s="1405"/>
      <c r="J3937" s="1405">
        <v>128473.8</v>
      </c>
    </row>
    <row r="3938" spans="2:12">
      <c r="B3938" s="1297"/>
      <c r="C3938" s="1297"/>
      <c r="D3938" s="1400" t="s">
        <v>1258</v>
      </c>
      <c r="E3938" s="1400"/>
      <c r="F3938" s="1401">
        <f>SUM(F3903:F3937)</f>
        <v>4948827.9600000009</v>
      </c>
      <c r="G3938" s="1401">
        <f>SUM(G3903:G3937)</f>
        <v>24461147.160000004</v>
      </c>
      <c r="H3938" s="1401">
        <f>SUM(H3903:H3937)-H3937</f>
        <v>1905853.4999999998</v>
      </c>
      <c r="I3938" s="1401">
        <f>SUM(I3903:I3937)</f>
        <v>15468996.600000001</v>
      </c>
      <c r="J3938" s="1401">
        <f>SUM(J3903:J3937)</f>
        <v>46913299.020000011</v>
      </c>
      <c r="K3938" s="1401">
        <f>SUM(F3938:I3938)</f>
        <v>46784825.220000006</v>
      </c>
      <c r="L3938" s="1408">
        <f>K3938/C3903</f>
        <v>12512.657186413482</v>
      </c>
    </row>
    <row r="3939" spans="2:12">
      <c r="B3939" s="1297" t="s">
        <v>1259</v>
      </c>
      <c r="C3939" s="1297">
        <v>1008</v>
      </c>
      <c r="D3939" s="1297" t="s">
        <v>1260</v>
      </c>
      <c r="E3939" s="1297" t="s">
        <v>906</v>
      </c>
      <c r="G3939" s="1399">
        <v>2216413.52</v>
      </c>
      <c r="J3939" s="1399">
        <v>2216413.52</v>
      </c>
    </row>
    <row r="3940" spans="2:12">
      <c r="B3940" s="1297"/>
      <c r="C3940" s="1297"/>
      <c r="D3940" s="1297"/>
      <c r="E3940" s="1297" t="s">
        <v>907</v>
      </c>
      <c r="G3940" s="1399">
        <v>636863.44999999995</v>
      </c>
      <c r="J3940" s="1399">
        <v>636863.44999999995</v>
      </c>
    </row>
    <row r="3941" spans="2:12">
      <c r="B3941" s="1297"/>
      <c r="C3941" s="1297"/>
      <c r="D3941" s="1297"/>
      <c r="E3941" s="1297" t="s">
        <v>908</v>
      </c>
      <c r="G3941" s="1399">
        <v>32802.28</v>
      </c>
      <c r="J3941" s="1399">
        <v>32802.28</v>
      </c>
    </row>
    <row r="3942" spans="2:12">
      <c r="B3942" s="1297"/>
      <c r="C3942" s="1297"/>
      <c r="D3942" s="1297"/>
      <c r="E3942" s="1297" t="s">
        <v>1034</v>
      </c>
      <c r="H3942" s="1399">
        <v>4805.7</v>
      </c>
      <c r="J3942" s="1399">
        <v>4805.7</v>
      </c>
    </row>
    <row r="3943" spans="2:12">
      <c r="B3943" s="1297"/>
      <c r="C3943" s="1297"/>
      <c r="D3943" s="1297"/>
      <c r="E3943" s="1297" t="s">
        <v>1038</v>
      </c>
      <c r="H3943" s="1399">
        <v>7018.77</v>
      </c>
      <c r="J3943" s="1399">
        <v>7018.77</v>
      </c>
    </row>
    <row r="3944" spans="2:12">
      <c r="B3944" s="1297"/>
      <c r="C3944" s="1297"/>
      <c r="D3944" s="1297"/>
      <c r="E3944" s="1297" t="s">
        <v>1039</v>
      </c>
      <c r="H3944" s="1399">
        <v>17269.049999999996</v>
      </c>
      <c r="J3944" s="1399">
        <v>17269.049999999996</v>
      </c>
    </row>
    <row r="3945" spans="2:12">
      <c r="B3945" s="1297"/>
      <c r="C3945" s="1297"/>
      <c r="D3945" s="1297"/>
      <c r="E3945" s="1297" t="s">
        <v>1040</v>
      </c>
      <c r="H3945" s="1399">
        <v>39917.550000000003</v>
      </c>
      <c r="J3945" s="1399">
        <v>39917.550000000003</v>
      </c>
    </row>
    <row r="3946" spans="2:12">
      <c r="B3946" s="1297"/>
      <c r="C3946" s="1297"/>
      <c r="D3946" s="1297"/>
      <c r="E3946" s="1297" t="s">
        <v>1041</v>
      </c>
      <c r="H3946" s="1399">
        <v>1822.68</v>
      </c>
      <c r="J3946" s="1399">
        <v>1822.68</v>
      </c>
    </row>
    <row r="3947" spans="2:12">
      <c r="B3947" s="1297"/>
      <c r="C3947" s="1297"/>
      <c r="D3947" s="1297"/>
      <c r="E3947" s="1297" t="s">
        <v>1042</v>
      </c>
      <c r="H3947" s="1399">
        <v>19354.29</v>
      </c>
      <c r="J3947" s="1399">
        <v>19354.29</v>
      </c>
    </row>
    <row r="3948" spans="2:12">
      <c r="B3948" s="1297"/>
      <c r="C3948" s="1297"/>
      <c r="D3948" s="1297"/>
      <c r="E3948" s="1297" t="s">
        <v>953</v>
      </c>
      <c r="H3948" s="1399">
        <v>0</v>
      </c>
      <c r="J3948" s="1399">
        <v>0</v>
      </c>
    </row>
    <row r="3949" spans="2:12">
      <c r="B3949" s="1297"/>
      <c r="C3949" s="1297"/>
      <c r="D3949" s="1297"/>
      <c r="E3949" s="1297" t="s">
        <v>986</v>
      </c>
      <c r="H3949" s="1399">
        <v>246287.3</v>
      </c>
      <c r="J3949" s="1399">
        <v>246287.3</v>
      </c>
    </row>
    <row r="3950" spans="2:12">
      <c r="B3950" s="1297"/>
      <c r="C3950" s="1297"/>
      <c r="D3950" s="1297"/>
      <c r="E3950" s="1297" t="s">
        <v>1044</v>
      </c>
      <c r="F3950" s="1399">
        <v>-73474.36</v>
      </c>
      <c r="J3950" s="1399">
        <v>-73474.36</v>
      </c>
    </row>
    <row r="3951" spans="2:12">
      <c r="B3951" s="1297"/>
      <c r="C3951" s="1297"/>
      <c r="D3951" s="1297"/>
      <c r="E3951" s="1297" t="s">
        <v>1045</v>
      </c>
      <c r="H3951" s="1399">
        <v>165101.40999999997</v>
      </c>
      <c r="J3951" s="1399">
        <v>165101.40999999997</v>
      </c>
    </row>
    <row r="3952" spans="2:12">
      <c r="B3952" s="1297"/>
      <c r="C3952" s="1297"/>
      <c r="D3952" s="1297"/>
      <c r="E3952" s="1297" t="s">
        <v>1046</v>
      </c>
      <c r="I3952" s="1399">
        <v>5722904</v>
      </c>
      <c r="J3952" s="1399">
        <v>5722904</v>
      </c>
    </row>
    <row r="3953" spans="5:10" s="1297" customFormat="1">
      <c r="E3953" s="1297" t="s">
        <v>1047</v>
      </c>
      <c r="F3953" s="1399"/>
      <c r="G3953" s="1399"/>
      <c r="H3953" s="1399"/>
      <c r="I3953" s="1399">
        <v>270562</v>
      </c>
      <c r="J3953" s="1399">
        <v>270562</v>
      </c>
    </row>
    <row r="3954" spans="5:10" s="1297" customFormat="1">
      <c r="E3954" s="1297" t="s">
        <v>1048</v>
      </c>
      <c r="F3954" s="1399"/>
      <c r="G3954" s="1399"/>
      <c r="H3954" s="1399"/>
      <c r="I3954" s="1399">
        <v>-750568</v>
      </c>
      <c r="J3954" s="1399">
        <v>-750568</v>
      </c>
    </row>
    <row r="3955" spans="5:10" s="1297" customFormat="1">
      <c r="E3955" s="1297" t="s">
        <v>932</v>
      </c>
      <c r="F3955" s="1399"/>
      <c r="G3955" s="1399"/>
      <c r="H3955" s="1399"/>
      <c r="I3955" s="1399">
        <v>392904</v>
      </c>
      <c r="J3955" s="1399">
        <v>392904</v>
      </c>
    </row>
    <row r="3956" spans="5:10" s="1297" customFormat="1">
      <c r="E3956" s="1404" t="s">
        <v>933</v>
      </c>
      <c r="F3956" s="1405"/>
      <c r="G3956" s="1405"/>
      <c r="H3956" s="1405"/>
      <c r="I3956" s="1405">
        <v>350055.51</v>
      </c>
      <c r="J3956" s="1405">
        <v>350055.51</v>
      </c>
    </row>
    <row r="3957" spans="5:10" s="1297" customFormat="1">
      <c r="E3957" s="1297" t="s">
        <v>934</v>
      </c>
      <c r="F3957" s="1399"/>
      <c r="G3957" s="1399"/>
      <c r="H3957" s="1399"/>
      <c r="I3957" s="1399">
        <v>18008</v>
      </c>
      <c r="J3957" s="1399">
        <v>18008</v>
      </c>
    </row>
    <row r="3958" spans="5:10" s="1297" customFormat="1">
      <c r="E3958" s="1297" t="s">
        <v>935</v>
      </c>
      <c r="F3958" s="1399"/>
      <c r="G3958" s="1399"/>
      <c r="H3958" s="1399"/>
      <c r="I3958" s="1399">
        <v>66574.710000000006</v>
      </c>
      <c r="J3958" s="1399">
        <v>66574.710000000006</v>
      </c>
    </row>
    <row r="3959" spans="5:10" s="1297" customFormat="1">
      <c r="E3959" s="1297" t="s">
        <v>936</v>
      </c>
      <c r="F3959" s="1399"/>
      <c r="G3959" s="1399"/>
      <c r="H3959" s="1399"/>
      <c r="I3959" s="1399">
        <v>20658.88</v>
      </c>
      <c r="J3959" s="1399">
        <v>20658.88</v>
      </c>
    </row>
    <row r="3960" spans="5:10" s="1297" customFormat="1">
      <c r="E3960" s="1297" t="s">
        <v>937</v>
      </c>
      <c r="F3960" s="1399"/>
      <c r="G3960" s="1399"/>
      <c r="H3960" s="1399"/>
      <c r="I3960" s="1399">
        <v>2123.4499999999998</v>
      </c>
      <c r="J3960" s="1399">
        <v>2123.4499999999998</v>
      </c>
    </row>
    <row r="3961" spans="5:10" s="1297" customFormat="1">
      <c r="E3961" s="1297" t="s">
        <v>938</v>
      </c>
      <c r="F3961" s="1399"/>
      <c r="G3961" s="1399"/>
      <c r="H3961" s="1399"/>
      <c r="I3961" s="1399">
        <v>6551</v>
      </c>
      <c r="J3961" s="1399">
        <v>6551</v>
      </c>
    </row>
    <row r="3962" spans="5:10" s="1297" customFormat="1">
      <c r="E3962" s="1297" t="s">
        <v>939</v>
      </c>
      <c r="F3962" s="1399"/>
      <c r="G3962" s="1399"/>
      <c r="H3962" s="1399"/>
      <c r="I3962" s="1399">
        <v>126041.81</v>
      </c>
      <c r="J3962" s="1399">
        <v>126041.81</v>
      </c>
    </row>
    <row r="3963" spans="5:10" s="1297" customFormat="1">
      <c r="E3963" s="1297" t="s">
        <v>940</v>
      </c>
      <c r="F3963" s="1399">
        <v>339436.56</v>
      </c>
      <c r="G3963" s="1399"/>
      <c r="H3963" s="1399"/>
      <c r="I3963" s="1399"/>
      <c r="J3963" s="1399">
        <v>339436.56</v>
      </c>
    </row>
    <row r="3964" spans="5:10" s="1297" customFormat="1">
      <c r="E3964" s="1297" t="s">
        <v>941</v>
      </c>
      <c r="F3964" s="1399">
        <v>127986.76</v>
      </c>
      <c r="G3964" s="1399"/>
      <c r="H3964" s="1399"/>
      <c r="I3964" s="1399"/>
      <c r="J3964" s="1399">
        <v>127986.76</v>
      </c>
    </row>
    <row r="3965" spans="5:10" s="1297" customFormat="1">
      <c r="E3965" s="1297" t="s">
        <v>942</v>
      </c>
      <c r="F3965" s="1399">
        <v>4687.4799999999996</v>
      </c>
      <c r="G3965" s="1399"/>
      <c r="H3965" s="1399"/>
      <c r="I3965" s="1399"/>
      <c r="J3965" s="1399">
        <v>4687.4799999999996</v>
      </c>
    </row>
    <row r="3966" spans="5:10" s="1297" customFormat="1">
      <c r="E3966" s="1297" t="s">
        <v>943</v>
      </c>
      <c r="F3966" s="1399">
        <v>0</v>
      </c>
      <c r="G3966" s="1399"/>
      <c r="H3966" s="1399"/>
      <c r="I3966" s="1399"/>
      <c r="J3966" s="1399">
        <v>0</v>
      </c>
    </row>
    <row r="3967" spans="5:10" s="1297" customFormat="1">
      <c r="E3967" s="1297" t="s">
        <v>944</v>
      </c>
      <c r="F3967" s="1399">
        <v>962710.55</v>
      </c>
      <c r="G3967" s="1399"/>
      <c r="H3967" s="1399"/>
      <c r="I3967" s="1399"/>
      <c r="J3967" s="1399">
        <v>962710.55</v>
      </c>
    </row>
    <row r="3968" spans="5:10" s="1297" customFormat="1">
      <c r="E3968" s="1297" t="s">
        <v>945</v>
      </c>
      <c r="F3968" s="1399">
        <v>229008</v>
      </c>
      <c r="G3968" s="1399"/>
      <c r="H3968" s="1399"/>
      <c r="I3968" s="1399"/>
      <c r="J3968" s="1399">
        <v>229008</v>
      </c>
    </row>
    <row r="3969" spans="2:12">
      <c r="B3969" s="1297"/>
      <c r="C3969" s="1297"/>
      <c r="D3969" s="1297"/>
      <c r="E3969" s="1297" t="s">
        <v>947</v>
      </c>
      <c r="F3969" s="1399">
        <v>38092.550000000003</v>
      </c>
      <c r="J3969" s="1399">
        <v>38092.550000000003</v>
      </c>
    </row>
    <row r="3970" spans="2:12">
      <c r="B3970" s="1297"/>
      <c r="C3970" s="1297"/>
      <c r="D3970" s="1297"/>
      <c r="E3970" s="1297" t="s">
        <v>1115</v>
      </c>
      <c r="F3970" s="1399">
        <v>10.27</v>
      </c>
      <c r="J3970" s="1399">
        <v>10.27</v>
      </c>
    </row>
    <row r="3971" spans="2:12">
      <c r="B3971" s="1297"/>
      <c r="C3971" s="1297"/>
      <c r="D3971" s="1297"/>
      <c r="E3971" s="1404" t="s">
        <v>948</v>
      </c>
      <c r="F3971" s="1405"/>
      <c r="G3971" s="1405"/>
      <c r="H3971" s="1405">
        <v>1131819.02</v>
      </c>
      <c r="I3971" s="1405"/>
      <c r="J3971" s="1405">
        <v>1131819.02</v>
      </c>
    </row>
    <row r="3972" spans="2:12">
      <c r="B3972" s="1297"/>
      <c r="C3972" s="1297"/>
      <c r="D3972" s="1400" t="s">
        <v>1261</v>
      </c>
      <c r="E3972" s="1400"/>
      <c r="F3972" s="1401">
        <f>SUM(F3939:F3971)</f>
        <v>1628457.81</v>
      </c>
      <c r="G3972" s="1401">
        <f>SUM(G3939:G3971)</f>
        <v>2886079.2499999995</v>
      </c>
      <c r="H3972" s="1401">
        <f>SUM(H3939:H3971)-H3971</f>
        <v>501576.75</v>
      </c>
      <c r="I3972" s="1401">
        <f>SUM(I3939:I3971)-I3956</f>
        <v>5875759.8499999996</v>
      </c>
      <c r="J3972" s="1401">
        <f>SUM(J3939:J3971)</f>
        <v>12373748.190000003</v>
      </c>
      <c r="K3972" s="1401">
        <f>SUM(F3972:I3972)</f>
        <v>10891873.66</v>
      </c>
      <c r="L3972" s="1408">
        <f>K3972/C3939</f>
        <v>10805.430218253969</v>
      </c>
    </row>
    <row r="3973" spans="2:12">
      <c r="B3973" s="1297" t="s">
        <v>1262</v>
      </c>
      <c r="C3973" s="1297">
        <v>3268</v>
      </c>
      <c r="D3973" s="1297" t="s">
        <v>1263</v>
      </c>
      <c r="E3973" s="1297" t="s">
        <v>906</v>
      </c>
      <c r="G3973" s="1399">
        <v>12032716.470000001</v>
      </c>
      <c r="J3973" s="1399">
        <v>12032716.470000001</v>
      </c>
    </row>
    <row r="3974" spans="2:12">
      <c r="B3974" s="1297"/>
      <c r="C3974" s="1297"/>
      <c r="D3974" s="1297"/>
      <c r="E3974" s="1297" t="s">
        <v>952</v>
      </c>
      <c r="G3974" s="1399">
        <v>104646.37</v>
      </c>
      <c r="J3974" s="1399">
        <v>104646.37</v>
      </c>
    </row>
    <row r="3975" spans="2:12">
      <c r="B3975" s="1297"/>
      <c r="C3975" s="1297"/>
      <c r="D3975" s="1297"/>
      <c r="E3975" s="1297" t="s">
        <v>907</v>
      </c>
      <c r="G3975" s="1399">
        <v>3495751.71</v>
      </c>
      <c r="J3975" s="1399">
        <v>3495751.71</v>
      </c>
    </row>
    <row r="3976" spans="2:12">
      <c r="B3976" s="1297"/>
      <c r="C3976" s="1297"/>
      <c r="D3976" s="1297"/>
      <c r="E3976" s="1297" t="s">
        <v>908</v>
      </c>
      <c r="G3976" s="1399">
        <v>26849.7</v>
      </c>
      <c r="J3976" s="1399">
        <v>26849.7</v>
      </c>
    </row>
    <row r="3977" spans="2:12">
      <c r="B3977" s="1297"/>
      <c r="C3977" s="1297"/>
      <c r="D3977" s="1297"/>
      <c r="E3977" s="1297" t="s">
        <v>1034</v>
      </c>
      <c r="H3977" s="1399">
        <v>12085.37</v>
      </c>
      <c r="J3977" s="1399">
        <v>12085.37</v>
      </c>
    </row>
    <row r="3978" spans="2:12">
      <c r="B3978" s="1297"/>
      <c r="C3978" s="1297"/>
      <c r="D3978" s="1297"/>
      <c r="E3978" s="1297" t="s">
        <v>1035</v>
      </c>
      <c r="H3978" s="1399">
        <v>387436.16</v>
      </c>
      <c r="J3978" s="1399">
        <v>387436.16</v>
      </c>
    </row>
    <row r="3979" spans="2:12">
      <c r="B3979" s="1297"/>
      <c r="C3979" s="1297"/>
      <c r="D3979" s="1297"/>
      <c r="E3979" s="1297" t="s">
        <v>1037</v>
      </c>
      <c r="H3979" s="1399">
        <v>16003.98</v>
      </c>
      <c r="J3979" s="1399">
        <v>16003.98</v>
      </c>
    </row>
    <row r="3980" spans="2:12">
      <c r="B3980" s="1297"/>
      <c r="C3980" s="1297"/>
      <c r="D3980" s="1297"/>
      <c r="E3980" s="1297" t="s">
        <v>1039</v>
      </c>
      <c r="H3980" s="1399">
        <v>118183.03</v>
      </c>
      <c r="J3980" s="1399">
        <v>118183.03</v>
      </c>
    </row>
    <row r="3981" spans="2:12">
      <c r="B3981" s="1297"/>
      <c r="C3981" s="1297"/>
      <c r="D3981" s="1297"/>
      <c r="E3981" s="1297" t="s">
        <v>1040</v>
      </c>
      <c r="H3981" s="1399">
        <v>248971.26</v>
      </c>
      <c r="J3981" s="1399">
        <v>248971.26</v>
      </c>
    </row>
    <row r="3982" spans="2:12">
      <c r="B3982" s="1297"/>
      <c r="C3982" s="1297"/>
      <c r="D3982" s="1297"/>
      <c r="E3982" s="1297" t="s">
        <v>1041</v>
      </c>
      <c r="H3982" s="1399">
        <v>37259.300000000003</v>
      </c>
      <c r="J3982" s="1399">
        <v>37259.300000000003</v>
      </c>
    </row>
    <row r="3983" spans="2:12">
      <c r="B3983" s="1297"/>
      <c r="C3983" s="1297"/>
      <c r="D3983" s="1297"/>
      <c r="E3983" s="1297" t="s">
        <v>1042</v>
      </c>
      <c r="H3983" s="1399">
        <v>31063.13</v>
      </c>
      <c r="J3983" s="1399">
        <v>31063.13</v>
      </c>
    </row>
    <row r="3984" spans="2:12">
      <c r="B3984" s="1297"/>
      <c r="C3984" s="1297"/>
      <c r="D3984" s="1297"/>
      <c r="E3984" s="1297" t="s">
        <v>1043</v>
      </c>
      <c r="H3984" s="1399">
        <v>14400</v>
      </c>
      <c r="J3984" s="1399">
        <v>14400</v>
      </c>
    </row>
    <row r="3985" spans="5:10" s="1297" customFormat="1">
      <c r="E3985" s="1297" t="s">
        <v>986</v>
      </c>
      <c r="F3985" s="1399"/>
      <c r="G3985" s="1399"/>
      <c r="H3985" s="1399">
        <v>2570</v>
      </c>
      <c r="I3985" s="1399"/>
      <c r="J3985" s="1399">
        <v>2570</v>
      </c>
    </row>
    <row r="3986" spans="5:10" s="1297" customFormat="1">
      <c r="E3986" s="1297" t="s">
        <v>1045</v>
      </c>
      <c r="F3986" s="1399"/>
      <c r="G3986" s="1399"/>
      <c r="H3986" s="1399">
        <v>1143704.33</v>
      </c>
      <c r="I3986" s="1399"/>
      <c r="J3986" s="1399">
        <v>1143704.33</v>
      </c>
    </row>
    <row r="3987" spans="5:10" s="1297" customFormat="1">
      <c r="E3987" s="1297" t="s">
        <v>1046</v>
      </c>
      <c r="F3987" s="1399"/>
      <c r="G3987" s="1399"/>
      <c r="H3987" s="1399"/>
      <c r="I3987" s="1399">
        <v>18913250</v>
      </c>
      <c r="J3987" s="1399">
        <v>18913250</v>
      </c>
    </row>
    <row r="3988" spans="5:10" s="1297" customFormat="1">
      <c r="E3988" s="1297" t="s">
        <v>1047</v>
      </c>
      <c r="F3988" s="1399"/>
      <c r="G3988" s="1399"/>
      <c r="H3988" s="1399"/>
      <c r="I3988" s="1399">
        <v>-1585748</v>
      </c>
      <c r="J3988" s="1399">
        <v>-1585748</v>
      </c>
    </row>
    <row r="3989" spans="5:10" s="1297" customFormat="1">
      <c r="E3989" s="1297" t="s">
        <v>1048</v>
      </c>
      <c r="F3989" s="1399"/>
      <c r="G3989" s="1399"/>
      <c r="H3989" s="1399"/>
      <c r="I3989" s="1399">
        <v>-4444824</v>
      </c>
      <c r="J3989" s="1399">
        <v>-4444824</v>
      </c>
    </row>
    <row r="3990" spans="5:10" s="1297" customFormat="1">
      <c r="E3990" s="1404" t="s">
        <v>955</v>
      </c>
      <c r="F3990" s="1405"/>
      <c r="G3990" s="1405"/>
      <c r="H3990" s="1405"/>
      <c r="I3990" s="1405">
        <v>417209.28</v>
      </c>
      <c r="J3990" s="1405">
        <v>417209.28</v>
      </c>
    </row>
    <row r="3991" spans="5:10" s="1297" customFormat="1">
      <c r="E3991" s="1297" t="s">
        <v>934</v>
      </c>
      <c r="F3991" s="1399"/>
      <c r="G3991" s="1399"/>
      <c r="H3991" s="1399"/>
      <c r="I3991" s="1399">
        <v>47178</v>
      </c>
      <c r="J3991" s="1399">
        <v>47178</v>
      </c>
    </row>
    <row r="3992" spans="5:10" s="1297" customFormat="1">
      <c r="E3992" s="1297" t="s">
        <v>935</v>
      </c>
      <c r="F3992" s="1399"/>
      <c r="G3992" s="1399"/>
      <c r="H3992" s="1399"/>
      <c r="I3992" s="1399">
        <v>130541.68</v>
      </c>
      <c r="J3992" s="1399">
        <v>130541.68</v>
      </c>
    </row>
    <row r="3993" spans="5:10" s="1297" customFormat="1">
      <c r="E3993" s="1297" t="s">
        <v>936</v>
      </c>
      <c r="F3993" s="1399"/>
      <c r="G3993" s="1399"/>
      <c r="H3993" s="1399"/>
      <c r="I3993" s="1399">
        <v>59175.44</v>
      </c>
      <c r="J3993" s="1399">
        <v>59175.44</v>
      </c>
    </row>
    <row r="3994" spans="5:10" s="1297" customFormat="1">
      <c r="E3994" s="1297" t="s">
        <v>938</v>
      </c>
      <c r="F3994" s="1399"/>
      <c r="G3994" s="1399"/>
      <c r="H3994" s="1399"/>
      <c r="I3994" s="1399">
        <v>15909</v>
      </c>
      <c r="J3994" s="1399">
        <v>15909</v>
      </c>
    </row>
    <row r="3995" spans="5:10" s="1297" customFormat="1">
      <c r="E3995" s="1297" t="s">
        <v>939</v>
      </c>
      <c r="F3995" s="1399"/>
      <c r="G3995" s="1399"/>
      <c r="H3995" s="1399"/>
      <c r="I3995" s="1399">
        <v>45876.38</v>
      </c>
      <c r="J3995" s="1399">
        <v>45876.38</v>
      </c>
    </row>
    <row r="3996" spans="5:10" s="1297" customFormat="1">
      <c r="E3996" s="1297" t="s">
        <v>1131</v>
      </c>
      <c r="F3996" s="1399">
        <v>58204.03</v>
      </c>
      <c r="G3996" s="1399"/>
      <c r="H3996" s="1399"/>
      <c r="I3996" s="1399"/>
      <c r="J3996" s="1399">
        <v>58204.03</v>
      </c>
    </row>
    <row r="3997" spans="5:10" s="1297" customFormat="1">
      <c r="E3997" s="1297" t="s">
        <v>940</v>
      </c>
      <c r="F3997" s="1399">
        <v>675985</v>
      </c>
      <c r="G3997" s="1399"/>
      <c r="H3997" s="1399"/>
      <c r="I3997" s="1399"/>
      <c r="J3997" s="1399">
        <v>675985</v>
      </c>
    </row>
    <row r="3998" spans="5:10" s="1297" customFormat="1">
      <c r="E3998" s="1297" t="s">
        <v>941</v>
      </c>
      <c r="F3998" s="1399">
        <v>236067.62</v>
      </c>
      <c r="G3998" s="1399"/>
      <c r="H3998" s="1399"/>
      <c r="I3998" s="1399"/>
      <c r="J3998" s="1399">
        <v>236067.62</v>
      </c>
    </row>
    <row r="3999" spans="5:10" s="1297" customFormat="1">
      <c r="E3999" s="1297" t="s">
        <v>944</v>
      </c>
      <c r="F3999" s="1399">
        <v>1547171.24</v>
      </c>
      <c r="G3999" s="1399"/>
      <c r="H3999" s="1399"/>
      <c r="I3999" s="1399"/>
      <c r="J3999" s="1399">
        <v>1547171.24</v>
      </c>
    </row>
    <row r="4000" spans="5:10" s="1297" customFormat="1">
      <c r="E4000" s="1297" t="s">
        <v>945</v>
      </c>
      <c r="F4000" s="1399">
        <v>1191719.45</v>
      </c>
      <c r="G4000" s="1399"/>
      <c r="H4000" s="1399"/>
      <c r="I4000" s="1399"/>
      <c r="J4000" s="1399">
        <v>1191719.45</v>
      </c>
    </row>
    <row r="4001" spans="2:12">
      <c r="B4001" s="1297"/>
      <c r="C4001" s="1297"/>
      <c r="D4001" s="1297"/>
      <c r="E4001" s="1297" t="s">
        <v>946</v>
      </c>
      <c r="F4001" s="1399">
        <v>-8.6</v>
      </c>
      <c r="J4001" s="1399">
        <v>-8.6</v>
      </c>
    </row>
    <row r="4002" spans="2:12">
      <c r="B4002" s="1297"/>
      <c r="C4002" s="1297"/>
      <c r="D4002" s="1297"/>
      <c r="E4002" s="1297" t="s">
        <v>947</v>
      </c>
      <c r="F4002" s="1399">
        <v>53108.869999999995</v>
      </c>
      <c r="J4002" s="1399">
        <v>53108.869999999995</v>
      </c>
    </row>
    <row r="4003" spans="2:12">
      <c r="B4003" s="1297"/>
      <c r="C4003" s="1297"/>
      <c r="D4003" s="1297"/>
      <c r="E4003" s="1404" t="s">
        <v>948</v>
      </c>
      <c r="F4003" s="1405"/>
      <c r="G4003" s="1405"/>
      <c r="H4003" s="1405">
        <v>49983.43</v>
      </c>
      <c r="I4003" s="1405"/>
      <c r="J4003" s="1405">
        <v>49983.43</v>
      </c>
    </row>
    <row r="4004" spans="2:12">
      <c r="B4004" s="1297"/>
      <c r="C4004" s="1297"/>
      <c r="D4004" s="1400" t="s">
        <v>1264</v>
      </c>
      <c r="E4004" s="1400"/>
      <c r="F4004" s="1401">
        <f>SUM(F3973:F4003)</f>
        <v>3762247.61</v>
      </c>
      <c r="G4004" s="1401">
        <f>SUM(G3973:G4003)</f>
        <v>15659964.25</v>
      </c>
      <c r="H4004" s="1401">
        <f>SUM(H3973:H4003)-H4003</f>
        <v>2011676.56</v>
      </c>
      <c r="I4004" s="1401">
        <f>SUM(I3973:I4003)-I3990</f>
        <v>13181358.5</v>
      </c>
      <c r="J4004" s="1401">
        <f>SUM(J3973:J4003)</f>
        <v>35082439.630000003</v>
      </c>
      <c r="K4004" s="1401">
        <f>SUM(F4004:I4004)</f>
        <v>34615246.920000002</v>
      </c>
      <c r="L4004" s="1408">
        <f>K4004/C3973</f>
        <v>10592.180820073439</v>
      </c>
    </row>
    <row r="4005" spans="2:12">
      <c r="B4005" s="1297" t="s">
        <v>1265</v>
      </c>
      <c r="C4005" s="1297">
        <v>7294</v>
      </c>
      <c r="D4005" s="1297" t="s">
        <v>1266</v>
      </c>
      <c r="E4005" s="1297" t="s">
        <v>906</v>
      </c>
      <c r="G4005" s="1399">
        <v>12903302.01</v>
      </c>
      <c r="J4005" s="1399">
        <v>12903302.01</v>
      </c>
    </row>
    <row r="4006" spans="2:12">
      <c r="B4006" s="1297"/>
      <c r="C4006" s="1297"/>
      <c r="D4006" s="1297"/>
      <c r="E4006" s="1297" t="s">
        <v>907</v>
      </c>
      <c r="G4006" s="1399">
        <v>4337977.45</v>
      </c>
      <c r="J4006" s="1399">
        <v>4337977.45</v>
      </c>
    </row>
    <row r="4007" spans="2:12">
      <c r="B4007" s="1297"/>
      <c r="C4007" s="1297"/>
      <c r="D4007" s="1297"/>
      <c r="E4007" s="1297" t="s">
        <v>1034</v>
      </c>
      <c r="H4007" s="1399">
        <v>29823.759999999998</v>
      </c>
      <c r="J4007" s="1399">
        <v>29823.759999999998</v>
      </c>
    </row>
    <row r="4008" spans="2:12">
      <c r="B4008" s="1297"/>
      <c r="C4008" s="1297"/>
      <c r="D4008" s="1297"/>
      <c r="E4008" s="1297" t="s">
        <v>1035</v>
      </c>
      <c r="H4008" s="1399">
        <v>1168169.44</v>
      </c>
      <c r="J4008" s="1399">
        <v>1168169.44</v>
      </c>
    </row>
    <row r="4009" spans="2:12">
      <c r="B4009" s="1297"/>
      <c r="C4009" s="1297"/>
      <c r="D4009" s="1297"/>
      <c r="E4009" s="1297" t="s">
        <v>1036</v>
      </c>
      <c r="H4009" s="1399">
        <v>289463</v>
      </c>
      <c r="J4009" s="1399">
        <v>289463</v>
      </c>
    </row>
    <row r="4010" spans="2:12">
      <c r="B4010" s="1297"/>
      <c r="C4010" s="1297"/>
      <c r="D4010" s="1297"/>
      <c r="E4010" s="1297" t="s">
        <v>1039</v>
      </c>
      <c r="H4010" s="1399">
        <v>92087.93</v>
      </c>
      <c r="J4010" s="1399">
        <v>92087.93</v>
      </c>
    </row>
    <row r="4011" spans="2:12">
      <c r="B4011" s="1297"/>
      <c r="C4011" s="1297"/>
      <c r="D4011" s="1297"/>
      <c r="E4011" s="1297" t="s">
        <v>1040</v>
      </c>
      <c r="H4011" s="1399">
        <v>559841.34</v>
      </c>
      <c r="J4011" s="1399">
        <v>559841.34</v>
      </c>
    </row>
    <row r="4012" spans="2:12">
      <c r="B4012" s="1297"/>
      <c r="C4012" s="1297"/>
      <c r="D4012" s="1297"/>
      <c r="E4012" s="1297" t="s">
        <v>1041</v>
      </c>
      <c r="H4012" s="1399">
        <v>107423.83</v>
      </c>
      <c r="J4012" s="1399">
        <v>107423.83</v>
      </c>
    </row>
    <row r="4013" spans="2:12">
      <c r="B4013" s="1297"/>
      <c r="C4013" s="1297"/>
      <c r="D4013" s="1297"/>
      <c r="E4013" s="1297" t="s">
        <v>1042</v>
      </c>
      <c r="H4013" s="1399">
        <v>68858.86</v>
      </c>
      <c r="J4013" s="1399">
        <v>68858.86</v>
      </c>
    </row>
    <row r="4014" spans="2:12">
      <c r="B4014" s="1297"/>
      <c r="C4014" s="1297"/>
      <c r="D4014" s="1297"/>
      <c r="E4014" s="1297" t="s">
        <v>953</v>
      </c>
      <c r="H4014" s="1399">
        <v>37518</v>
      </c>
      <c r="J4014" s="1399">
        <v>37518</v>
      </c>
    </row>
    <row r="4015" spans="2:12">
      <c r="B4015" s="1297"/>
      <c r="C4015" s="1297"/>
      <c r="D4015" s="1297"/>
      <c r="E4015" s="1297" t="s">
        <v>1044</v>
      </c>
      <c r="F4015" s="1399">
        <v>101827</v>
      </c>
      <c r="J4015" s="1399">
        <v>101827</v>
      </c>
    </row>
    <row r="4016" spans="2:12">
      <c r="B4016" s="1297"/>
      <c r="C4016" s="1297"/>
      <c r="D4016" s="1297"/>
      <c r="E4016" s="1297" t="s">
        <v>1045</v>
      </c>
      <c r="H4016" s="1399">
        <v>1396028.09</v>
      </c>
      <c r="J4016" s="1399">
        <v>1396028.09</v>
      </c>
    </row>
    <row r="4017" spans="5:10" s="1297" customFormat="1">
      <c r="E4017" s="1297" t="s">
        <v>1046</v>
      </c>
      <c r="F4017" s="1399"/>
      <c r="G4017" s="1399"/>
      <c r="H4017" s="1399"/>
      <c r="I4017" s="1399">
        <v>35419884</v>
      </c>
      <c r="J4017" s="1399">
        <v>35419884</v>
      </c>
    </row>
    <row r="4018" spans="5:10" s="1297" customFormat="1">
      <c r="E4018" s="1297" t="s">
        <v>1047</v>
      </c>
      <c r="F4018" s="1399"/>
      <c r="G4018" s="1399"/>
      <c r="H4018" s="1399"/>
      <c r="I4018" s="1399">
        <v>796431</v>
      </c>
      <c r="J4018" s="1399">
        <v>796431</v>
      </c>
    </row>
    <row r="4019" spans="5:10" s="1297" customFormat="1">
      <c r="E4019" s="1297" t="s">
        <v>1048</v>
      </c>
      <c r="F4019" s="1399"/>
      <c r="G4019" s="1399"/>
      <c r="H4019" s="1399"/>
      <c r="I4019" s="1399">
        <v>-4461425</v>
      </c>
      <c r="J4019" s="1399">
        <v>-4461425</v>
      </c>
    </row>
    <row r="4020" spans="5:10" s="1297" customFormat="1">
      <c r="E4020" s="1297" t="s">
        <v>932</v>
      </c>
      <c r="F4020" s="1399"/>
      <c r="G4020" s="1399"/>
      <c r="H4020" s="1399"/>
      <c r="I4020" s="1399">
        <v>4668008</v>
      </c>
      <c r="J4020" s="1399">
        <v>4668008</v>
      </c>
    </row>
    <row r="4021" spans="5:10" s="1297" customFormat="1">
      <c r="E4021" s="1297" t="s">
        <v>933</v>
      </c>
      <c r="F4021" s="1399"/>
      <c r="G4021" s="1399"/>
      <c r="H4021" s="1399"/>
      <c r="I4021" s="1399">
        <v>1724496.16</v>
      </c>
      <c r="J4021" s="1399">
        <v>1724496.16</v>
      </c>
    </row>
    <row r="4022" spans="5:10" s="1297" customFormat="1">
      <c r="E4022" s="1297" t="s">
        <v>934</v>
      </c>
      <c r="F4022" s="1399"/>
      <c r="G4022" s="1399"/>
      <c r="H4022" s="1399"/>
      <c r="I4022" s="1399">
        <v>132316</v>
      </c>
      <c r="J4022" s="1399">
        <v>132316</v>
      </c>
    </row>
    <row r="4023" spans="5:10" s="1297" customFormat="1">
      <c r="E4023" s="1297" t="s">
        <v>1130</v>
      </c>
      <c r="F4023" s="1399"/>
      <c r="G4023" s="1399"/>
      <c r="H4023" s="1399"/>
      <c r="I4023" s="1399">
        <v>984905.9</v>
      </c>
      <c r="J4023" s="1399">
        <v>984905.9</v>
      </c>
    </row>
    <row r="4024" spans="5:10" s="1297" customFormat="1">
      <c r="E4024" s="1297" t="s">
        <v>935</v>
      </c>
      <c r="F4024" s="1399"/>
      <c r="G4024" s="1399"/>
      <c r="H4024" s="1399"/>
      <c r="I4024" s="1399">
        <v>745891.4</v>
      </c>
      <c r="J4024" s="1399">
        <v>745891.4</v>
      </c>
    </row>
    <row r="4025" spans="5:10" s="1297" customFormat="1">
      <c r="E4025" s="1297" t="s">
        <v>936</v>
      </c>
      <c r="F4025" s="1399"/>
      <c r="G4025" s="1399"/>
      <c r="H4025" s="1399"/>
      <c r="I4025" s="1399">
        <v>123603.14</v>
      </c>
      <c r="J4025" s="1399">
        <v>123603.14</v>
      </c>
    </row>
    <row r="4026" spans="5:10" s="1297" customFormat="1">
      <c r="E4026" s="1297" t="s">
        <v>937</v>
      </c>
      <c r="F4026" s="1399"/>
      <c r="G4026" s="1399"/>
      <c r="H4026" s="1399"/>
      <c r="I4026" s="1399">
        <v>21879.88</v>
      </c>
      <c r="J4026" s="1399">
        <v>21879.88</v>
      </c>
    </row>
    <row r="4027" spans="5:10" s="1297" customFormat="1">
      <c r="E4027" s="1297" t="s">
        <v>938</v>
      </c>
      <c r="F4027" s="1399"/>
      <c r="G4027" s="1399"/>
      <c r="H4027" s="1399"/>
      <c r="I4027" s="1399">
        <v>42672</v>
      </c>
      <c r="J4027" s="1399">
        <v>42672</v>
      </c>
    </row>
    <row r="4028" spans="5:10" s="1297" customFormat="1">
      <c r="E4028" s="1297" t="s">
        <v>940</v>
      </c>
      <c r="F4028" s="1399">
        <v>2270447.6800000002</v>
      </c>
      <c r="G4028" s="1399"/>
      <c r="H4028" s="1399"/>
      <c r="I4028" s="1399"/>
      <c r="J4028" s="1399">
        <v>2270447.6800000002</v>
      </c>
    </row>
    <row r="4029" spans="5:10" s="1297" customFormat="1">
      <c r="E4029" s="1297" t="s">
        <v>941</v>
      </c>
      <c r="F4029" s="1399">
        <v>970244.66</v>
      </c>
      <c r="G4029" s="1399"/>
      <c r="H4029" s="1399"/>
      <c r="I4029" s="1399"/>
      <c r="J4029" s="1399">
        <v>970244.66</v>
      </c>
    </row>
    <row r="4030" spans="5:10" s="1297" customFormat="1">
      <c r="E4030" s="1297" t="s">
        <v>943</v>
      </c>
      <c r="F4030" s="1399">
        <v>38064.86</v>
      </c>
      <c r="G4030" s="1399"/>
      <c r="H4030" s="1399"/>
      <c r="I4030" s="1399"/>
      <c r="J4030" s="1399">
        <v>38064.86</v>
      </c>
    </row>
    <row r="4031" spans="5:10" s="1297" customFormat="1">
      <c r="E4031" s="1297" t="s">
        <v>944</v>
      </c>
      <c r="F4031" s="1399">
        <v>3605384.1199999996</v>
      </c>
      <c r="G4031" s="1399"/>
      <c r="H4031" s="1399"/>
      <c r="I4031" s="1399"/>
      <c r="J4031" s="1399">
        <v>3605384.1199999996</v>
      </c>
    </row>
    <row r="4032" spans="5:10" s="1297" customFormat="1">
      <c r="E4032" s="1297" t="s">
        <v>945</v>
      </c>
      <c r="F4032" s="1399">
        <v>2937168.5500000003</v>
      </c>
      <c r="G4032" s="1399"/>
      <c r="H4032" s="1399"/>
      <c r="I4032" s="1399"/>
      <c r="J4032" s="1399">
        <v>2937168.5500000003</v>
      </c>
    </row>
    <row r="4033" spans="2:12">
      <c r="B4033" s="1297"/>
      <c r="C4033" s="1297"/>
      <c r="D4033" s="1297"/>
      <c r="E4033" s="1297" t="s">
        <v>946</v>
      </c>
      <c r="F4033" s="1399">
        <v>114946.43</v>
      </c>
      <c r="J4033" s="1399">
        <v>114946.43</v>
      </c>
    </row>
    <row r="4034" spans="2:12">
      <c r="B4034" s="1297"/>
      <c r="C4034" s="1297"/>
      <c r="D4034" s="1297"/>
      <c r="E4034" s="1297" t="s">
        <v>1214</v>
      </c>
      <c r="F4034" s="1399">
        <v>536152.5</v>
      </c>
      <c r="J4034" s="1399">
        <v>536152.5</v>
      </c>
    </row>
    <row r="4035" spans="2:12">
      <c r="B4035" s="1297"/>
      <c r="C4035" s="1297"/>
      <c r="D4035" s="1297"/>
      <c r="E4035" s="1297" t="s">
        <v>947</v>
      </c>
      <c r="F4035" s="1399">
        <v>273313.55</v>
      </c>
      <c r="J4035" s="1399">
        <v>273313.55</v>
      </c>
    </row>
    <row r="4036" spans="2:12">
      <c r="B4036" s="1297"/>
      <c r="C4036" s="1297"/>
      <c r="D4036" s="1297"/>
      <c r="E4036" s="1404" t="s">
        <v>948</v>
      </c>
      <c r="F4036" s="1405"/>
      <c r="G4036" s="1405"/>
      <c r="H4036" s="1405">
        <v>17000792.529999997</v>
      </c>
      <c r="I4036" s="1405"/>
      <c r="J4036" s="1405">
        <v>17000792.529999997</v>
      </c>
    </row>
    <row r="4037" spans="2:12">
      <c r="B4037" s="1297"/>
      <c r="C4037" s="1297"/>
      <c r="D4037" s="1400" t="s">
        <v>1267</v>
      </c>
      <c r="E4037" s="1400"/>
      <c r="F4037" s="1401">
        <f>SUM(F4005:F4036)</f>
        <v>10847549.350000001</v>
      </c>
      <c r="G4037" s="1401">
        <f>SUM(G4005:G4036)</f>
        <v>17241279.460000001</v>
      </c>
      <c r="H4037" s="1401">
        <f>SUM(H4005:H4036)-H4036</f>
        <v>3749214.25</v>
      </c>
      <c r="I4037" s="1401">
        <f>SUM(I4005:I4036)</f>
        <v>40198662.479999997</v>
      </c>
      <c r="J4037" s="1401">
        <f>SUM(J4005:J4036)</f>
        <v>89037498.069999993</v>
      </c>
      <c r="K4037" s="1401">
        <f>SUM(F4037:I4037)</f>
        <v>72036705.539999992</v>
      </c>
      <c r="L4037" s="1408">
        <f>K4037/C4005</f>
        <v>9876.1592459555795</v>
      </c>
    </row>
    <row r="4038" spans="2:12">
      <c r="B4038" s="1297" t="s">
        <v>1268</v>
      </c>
      <c r="C4038" s="1297">
        <v>30758</v>
      </c>
      <c r="D4038" s="1297" t="s">
        <v>1269</v>
      </c>
      <c r="E4038" s="1297" t="s">
        <v>906</v>
      </c>
      <c r="G4038" s="1399">
        <v>94808157.799999997</v>
      </c>
      <c r="J4038" s="1399">
        <v>94808157.799999997</v>
      </c>
    </row>
    <row r="4039" spans="2:12">
      <c r="B4039" s="1297"/>
      <c r="C4039" s="1297"/>
      <c r="D4039" s="1297"/>
      <c r="E4039" s="1297" t="s">
        <v>952</v>
      </c>
      <c r="G4039" s="1399">
        <v>115532.71</v>
      </c>
      <c r="J4039" s="1399">
        <v>115532.71</v>
      </c>
    </row>
    <row r="4040" spans="2:12">
      <c r="B4040" s="1297"/>
      <c r="C4040" s="1297"/>
      <c r="D4040" s="1297"/>
      <c r="E4040" s="1297" t="s">
        <v>907</v>
      </c>
      <c r="G4040" s="1399">
        <v>36286562.030000001</v>
      </c>
      <c r="J4040" s="1399">
        <v>36286562.030000001</v>
      </c>
    </row>
    <row r="4041" spans="2:12">
      <c r="B4041" s="1297"/>
      <c r="C4041" s="1297"/>
      <c r="D4041" s="1297"/>
      <c r="E4041" s="1297" t="s">
        <v>908</v>
      </c>
      <c r="G4041" s="1399">
        <v>133632.60999999999</v>
      </c>
      <c r="J4041" s="1399">
        <v>133632.60999999999</v>
      </c>
    </row>
    <row r="4042" spans="2:12">
      <c r="B4042" s="1297"/>
      <c r="C4042" s="1297"/>
      <c r="D4042" s="1297"/>
      <c r="E4042" s="1297" t="s">
        <v>909</v>
      </c>
      <c r="H4042" s="1399">
        <v>97205.540000000008</v>
      </c>
      <c r="J4042" s="1399">
        <v>97205.540000000008</v>
      </c>
    </row>
    <row r="4043" spans="2:12">
      <c r="B4043" s="1297"/>
      <c r="C4043" s="1297"/>
      <c r="D4043" s="1297"/>
      <c r="E4043" s="1297" t="s">
        <v>910</v>
      </c>
      <c r="H4043" s="1399">
        <v>1149305.1100000001</v>
      </c>
      <c r="J4043" s="1399">
        <v>1149305.1100000001</v>
      </c>
    </row>
    <row r="4044" spans="2:12">
      <c r="B4044" s="1297"/>
      <c r="C4044" s="1297"/>
      <c r="D4044" s="1297"/>
      <c r="E4044" s="1297" t="s">
        <v>1034</v>
      </c>
      <c r="H4044" s="1399">
        <v>518886.19000000006</v>
      </c>
      <c r="J4044" s="1399">
        <v>518886.19000000006</v>
      </c>
    </row>
    <row r="4045" spans="2:12">
      <c r="B4045" s="1297"/>
      <c r="C4045" s="1297"/>
      <c r="D4045" s="1297"/>
      <c r="E4045" s="1297" t="s">
        <v>1035</v>
      </c>
      <c r="H4045" s="1399">
        <v>1491212.9599999997</v>
      </c>
      <c r="J4045" s="1399">
        <v>1491212.9599999997</v>
      </c>
    </row>
    <row r="4046" spans="2:12">
      <c r="B4046" s="1297"/>
      <c r="C4046" s="1297"/>
      <c r="D4046" s="1297"/>
      <c r="E4046" s="1297" t="s">
        <v>1036</v>
      </c>
      <c r="H4046" s="1399">
        <v>640637.00000000012</v>
      </c>
      <c r="J4046" s="1399">
        <v>640637.00000000012</v>
      </c>
    </row>
    <row r="4047" spans="2:12">
      <c r="B4047" s="1297"/>
      <c r="C4047" s="1297"/>
      <c r="D4047" s="1297"/>
      <c r="E4047" s="1297" t="s">
        <v>1037</v>
      </c>
      <c r="H4047" s="1399">
        <v>365595.72</v>
      </c>
      <c r="J4047" s="1399">
        <v>365595.72</v>
      </c>
    </row>
    <row r="4048" spans="2:12">
      <c r="B4048" s="1297"/>
      <c r="C4048" s="1297"/>
      <c r="D4048" s="1297"/>
      <c r="E4048" s="1297" t="s">
        <v>1038</v>
      </c>
      <c r="H4048" s="1399">
        <v>54558</v>
      </c>
      <c r="J4048" s="1399">
        <v>54558</v>
      </c>
    </row>
    <row r="4049" spans="5:10" s="1297" customFormat="1">
      <c r="E4049" s="1297" t="s">
        <v>1003</v>
      </c>
      <c r="F4049" s="1399"/>
      <c r="G4049" s="1399"/>
      <c r="H4049" s="1399">
        <v>704195.51</v>
      </c>
      <c r="I4049" s="1399"/>
      <c r="J4049" s="1399">
        <v>704195.51</v>
      </c>
    </row>
    <row r="4050" spans="5:10" s="1297" customFormat="1">
      <c r="E4050" s="1297" t="s">
        <v>1039</v>
      </c>
      <c r="F4050" s="1399"/>
      <c r="G4050" s="1399"/>
      <c r="H4050" s="1399">
        <v>372295.01</v>
      </c>
      <c r="I4050" s="1399"/>
      <c r="J4050" s="1399">
        <v>372295.01</v>
      </c>
    </row>
    <row r="4051" spans="5:10" s="1297" customFormat="1">
      <c r="E4051" s="1297" t="s">
        <v>1040</v>
      </c>
      <c r="F4051" s="1399"/>
      <c r="G4051" s="1399"/>
      <c r="H4051" s="1399">
        <v>2281296.4099999997</v>
      </c>
      <c r="I4051" s="1399"/>
      <c r="J4051" s="1399">
        <v>2281296.4099999997</v>
      </c>
    </row>
    <row r="4052" spans="5:10" s="1297" customFormat="1">
      <c r="E4052" s="1297" t="s">
        <v>1127</v>
      </c>
      <c r="F4052" s="1399"/>
      <c r="G4052" s="1399"/>
      <c r="H4052" s="1399">
        <v>19500.200000000004</v>
      </c>
      <c r="I4052" s="1399"/>
      <c r="J4052" s="1399">
        <v>19500.200000000004</v>
      </c>
    </row>
    <row r="4053" spans="5:10" s="1297" customFormat="1">
      <c r="E4053" s="1297" t="s">
        <v>1207</v>
      </c>
      <c r="F4053" s="1399"/>
      <c r="G4053" s="1399"/>
      <c r="H4053" s="1399">
        <v>-299.97000000000003</v>
      </c>
      <c r="I4053" s="1399"/>
      <c r="J4053" s="1399">
        <v>-299.97000000000003</v>
      </c>
    </row>
    <row r="4054" spans="5:10" s="1297" customFormat="1">
      <c r="E4054" s="1297" t="s">
        <v>1041</v>
      </c>
      <c r="F4054" s="1399"/>
      <c r="G4054" s="1399"/>
      <c r="H4054" s="1399">
        <v>910288.74999999977</v>
      </c>
      <c r="I4054" s="1399"/>
      <c r="J4054" s="1399">
        <v>910288.74999999977</v>
      </c>
    </row>
    <row r="4055" spans="5:10" s="1297" customFormat="1">
      <c r="E4055" s="1297" t="s">
        <v>1042</v>
      </c>
      <c r="F4055" s="1399"/>
      <c r="G4055" s="1399"/>
      <c r="H4055" s="1399">
        <v>506364.04</v>
      </c>
      <c r="I4055" s="1399"/>
      <c r="J4055" s="1399">
        <v>506364.04</v>
      </c>
    </row>
    <row r="4056" spans="5:10" s="1297" customFormat="1">
      <c r="E4056" s="1297" t="s">
        <v>953</v>
      </c>
      <c r="F4056" s="1399"/>
      <c r="G4056" s="1399"/>
      <c r="H4056" s="1399">
        <v>44928.75</v>
      </c>
      <c r="I4056" s="1399"/>
      <c r="J4056" s="1399">
        <v>44928.75</v>
      </c>
    </row>
    <row r="4057" spans="5:10" s="1297" customFormat="1">
      <c r="E4057" s="1297" t="s">
        <v>1043</v>
      </c>
      <c r="F4057" s="1399"/>
      <c r="G4057" s="1399"/>
      <c r="H4057" s="1399">
        <v>74068.600000000006</v>
      </c>
      <c r="I4057" s="1399"/>
      <c r="J4057" s="1399">
        <v>74068.600000000006</v>
      </c>
    </row>
    <row r="4058" spans="5:10" s="1297" customFormat="1">
      <c r="E4058" s="1297" t="s">
        <v>1203</v>
      </c>
      <c r="F4058" s="1399"/>
      <c r="G4058" s="1399"/>
      <c r="H4058" s="1399">
        <v>765</v>
      </c>
      <c r="I4058" s="1399"/>
      <c r="J4058" s="1399">
        <v>765</v>
      </c>
    </row>
    <row r="4059" spans="5:10" s="1297" customFormat="1">
      <c r="E4059" s="1297" t="s">
        <v>996</v>
      </c>
      <c r="F4059" s="1399"/>
      <c r="G4059" s="1399"/>
      <c r="H4059" s="1399">
        <v>212480.23</v>
      </c>
      <c r="I4059" s="1399"/>
      <c r="J4059" s="1399">
        <v>212480.23</v>
      </c>
    </row>
    <row r="4060" spans="5:10" s="1297" customFormat="1">
      <c r="E4060" s="1297" t="s">
        <v>1044</v>
      </c>
      <c r="F4060" s="1399">
        <v>2104606.09</v>
      </c>
      <c r="G4060" s="1399"/>
      <c r="H4060" s="1399"/>
      <c r="I4060" s="1399"/>
      <c r="J4060" s="1399">
        <v>2104606.09</v>
      </c>
    </row>
    <row r="4061" spans="5:10" s="1297" customFormat="1">
      <c r="E4061" s="1297" t="s">
        <v>1045</v>
      </c>
      <c r="F4061" s="1399"/>
      <c r="G4061" s="1399"/>
      <c r="H4061" s="1399">
        <v>3283916.3400000026</v>
      </c>
      <c r="I4061" s="1399"/>
      <c r="J4061" s="1399">
        <v>3283916.3400000026</v>
      </c>
    </row>
    <row r="4062" spans="5:10" s="1297" customFormat="1">
      <c r="E4062" s="1297" t="s">
        <v>1046</v>
      </c>
      <c r="F4062" s="1399"/>
      <c r="G4062" s="1399"/>
      <c r="H4062" s="1399"/>
      <c r="I4062" s="1399">
        <v>179903346</v>
      </c>
      <c r="J4062" s="1399">
        <v>179903346</v>
      </c>
    </row>
    <row r="4063" spans="5:10" s="1297" customFormat="1">
      <c r="E4063" s="1297" t="s">
        <v>1048</v>
      </c>
      <c r="F4063" s="1399"/>
      <c r="G4063" s="1399"/>
      <c r="H4063" s="1399"/>
      <c r="I4063" s="1399">
        <v>-20738833</v>
      </c>
      <c r="J4063" s="1399">
        <v>-20738833</v>
      </c>
    </row>
    <row r="4064" spans="5:10" s="1297" customFormat="1">
      <c r="E4064" s="1404" t="s">
        <v>955</v>
      </c>
      <c r="F4064" s="1405"/>
      <c r="G4064" s="1405"/>
      <c r="H4064" s="1405"/>
      <c r="I4064" s="1405">
        <v>5035782.76</v>
      </c>
      <c r="J4064" s="1405">
        <v>5035782.76</v>
      </c>
    </row>
    <row r="4065" spans="5:10" s="1297" customFormat="1">
      <c r="E4065" s="1297" t="s">
        <v>934</v>
      </c>
      <c r="F4065" s="1399"/>
      <c r="G4065" s="1399"/>
      <c r="H4065" s="1399"/>
      <c r="I4065" s="1399">
        <v>498856</v>
      </c>
      <c r="J4065" s="1399">
        <v>498856</v>
      </c>
    </row>
    <row r="4066" spans="5:10" s="1297" customFormat="1">
      <c r="E4066" s="1297" t="s">
        <v>1130</v>
      </c>
      <c r="F4066" s="1399"/>
      <c r="G4066" s="1399"/>
      <c r="H4066" s="1399"/>
      <c r="I4066" s="1399">
        <v>3275373.18</v>
      </c>
      <c r="J4066" s="1399">
        <v>3275373.18</v>
      </c>
    </row>
    <row r="4067" spans="5:10" s="1297" customFormat="1">
      <c r="E4067" s="1297" t="s">
        <v>935</v>
      </c>
      <c r="F4067" s="1399"/>
      <c r="G4067" s="1399"/>
      <c r="H4067" s="1399"/>
      <c r="I4067" s="1399">
        <v>3094177.43</v>
      </c>
      <c r="J4067" s="1399">
        <v>3094177.43</v>
      </c>
    </row>
    <row r="4068" spans="5:10" s="1297" customFormat="1">
      <c r="E4068" s="1297" t="s">
        <v>936</v>
      </c>
      <c r="F4068" s="1399"/>
      <c r="G4068" s="1399"/>
      <c r="H4068" s="1399"/>
      <c r="I4068" s="1399">
        <v>645295.93000000005</v>
      </c>
      <c r="J4068" s="1399">
        <v>645295.93000000005</v>
      </c>
    </row>
    <row r="4069" spans="5:10" s="1297" customFormat="1">
      <c r="E4069" s="1297" t="s">
        <v>937</v>
      </c>
      <c r="F4069" s="1399"/>
      <c r="G4069" s="1399"/>
      <c r="H4069" s="1399"/>
      <c r="I4069" s="1399">
        <v>120992.79000000001</v>
      </c>
      <c r="J4069" s="1399">
        <v>120992.79000000001</v>
      </c>
    </row>
    <row r="4070" spans="5:10" s="1297" customFormat="1">
      <c r="E4070" s="1297" t="s">
        <v>938</v>
      </c>
      <c r="F4070" s="1399"/>
      <c r="G4070" s="1399"/>
      <c r="H4070" s="1399"/>
      <c r="I4070" s="1399">
        <v>189030</v>
      </c>
      <c r="J4070" s="1399">
        <v>189030</v>
      </c>
    </row>
    <row r="4071" spans="5:10" s="1297" customFormat="1">
      <c r="E4071" s="1297" t="s">
        <v>939</v>
      </c>
      <c r="F4071" s="1399"/>
      <c r="G4071" s="1399"/>
      <c r="H4071" s="1399"/>
      <c r="I4071" s="1399">
        <v>242677.38000000006</v>
      </c>
      <c r="J4071" s="1399">
        <v>242677.38000000006</v>
      </c>
    </row>
    <row r="4072" spans="5:10" s="1297" customFormat="1">
      <c r="E4072" s="1297" t="s">
        <v>1131</v>
      </c>
      <c r="F4072" s="1399">
        <v>605481.6</v>
      </c>
      <c r="G4072" s="1399"/>
      <c r="H4072" s="1399"/>
      <c r="I4072" s="1399"/>
      <c r="J4072" s="1399">
        <v>605481.6</v>
      </c>
    </row>
    <row r="4073" spans="5:10" s="1297" customFormat="1">
      <c r="E4073" s="1297" t="s">
        <v>940</v>
      </c>
      <c r="F4073" s="1399">
        <v>8914072.4400000013</v>
      </c>
      <c r="G4073" s="1399"/>
      <c r="H4073" s="1399"/>
      <c r="I4073" s="1399"/>
      <c r="J4073" s="1399">
        <v>8914072.4400000013</v>
      </c>
    </row>
    <row r="4074" spans="5:10" s="1297" customFormat="1">
      <c r="E4074" s="1297" t="s">
        <v>941</v>
      </c>
      <c r="F4074" s="1399">
        <v>2679966.6800000002</v>
      </c>
      <c r="G4074" s="1399"/>
      <c r="H4074" s="1399"/>
      <c r="I4074" s="1399"/>
      <c r="J4074" s="1399">
        <v>2679966.6800000002</v>
      </c>
    </row>
    <row r="4075" spans="5:10" s="1297" customFormat="1">
      <c r="E4075" s="1297" t="s">
        <v>943</v>
      </c>
      <c r="F4075" s="1399">
        <v>46941.159999999996</v>
      </c>
      <c r="G4075" s="1399"/>
      <c r="H4075" s="1399"/>
      <c r="I4075" s="1399"/>
      <c r="J4075" s="1399">
        <v>46941.159999999996</v>
      </c>
    </row>
    <row r="4076" spans="5:10" s="1297" customFormat="1">
      <c r="E4076" s="1297" t="s">
        <v>944</v>
      </c>
      <c r="F4076" s="1399">
        <v>23128175.350000005</v>
      </c>
      <c r="G4076" s="1399"/>
      <c r="H4076" s="1399"/>
      <c r="I4076" s="1399"/>
      <c r="J4076" s="1399">
        <v>23128175.350000005</v>
      </c>
    </row>
    <row r="4077" spans="5:10" s="1297" customFormat="1">
      <c r="E4077" s="1297" t="s">
        <v>945</v>
      </c>
      <c r="F4077" s="1399">
        <v>21091744.500000004</v>
      </c>
      <c r="G4077" s="1399"/>
      <c r="H4077" s="1399"/>
      <c r="I4077" s="1399"/>
      <c r="J4077" s="1399">
        <v>21091744.500000004</v>
      </c>
    </row>
    <row r="4078" spans="5:10" s="1297" customFormat="1">
      <c r="E4078" s="1297" t="s">
        <v>946</v>
      </c>
      <c r="F4078" s="1399">
        <v>1769827.79</v>
      </c>
      <c r="G4078" s="1399"/>
      <c r="H4078" s="1399"/>
      <c r="I4078" s="1399"/>
      <c r="J4078" s="1399">
        <v>1769827.79</v>
      </c>
    </row>
    <row r="4079" spans="5:10" s="1297" customFormat="1">
      <c r="E4079" s="1297" t="s">
        <v>978</v>
      </c>
      <c r="F4079" s="1399">
        <v>536235.04</v>
      </c>
      <c r="G4079" s="1399"/>
      <c r="H4079" s="1399"/>
      <c r="I4079" s="1399"/>
      <c r="J4079" s="1399">
        <v>536235.04</v>
      </c>
    </row>
    <row r="4080" spans="5:10" s="1297" customFormat="1">
      <c r="E4080" s="1297" t="s">
        <v>1006</v>
      </c>
      <c r="F4080" s="1399">
        <v>1579998.22</v>
      </c>
      <c r="G4080" s="1399"/>
      <c r="H4080" s="1399"/>
      <c r="I4080" s="1399"/>
      <c r="J4080" s="1399">
        <v>1579998.22</v>
      </c>
    </row>
    <row r="4081" spans="2:12">
      <c r="B4081" s="1297"/>
      <c r="C4081" s="1297"/>
      <c r="D4081" s="1297"/>
      <c r="E4081" s="1297" t="s">
        <v>947</v>
      </c>
      <c r="F4081" s="1399">
        <v>431615.82000000007</v>
      </c>
      <c r="J4081" s="1399">
        <v>431615.82000000007</v>
      </c>
    </row>
    <row r="4082" spans="2:12">
      <c r="B4082" s="1297"/>
      <c r="C4082" s="1297"/>
      <c r="D4082" s="1297"/>
      <c r="E4082" s="1297" t="s">
        <v>1115</v>
      </c>
      <c r="F4082" s="1399">
        <v>131971.23000000001</v>
      </c>
      <c r="J4082" s="1399">
        <v>131971.23000000001</v>
      </c>
    </row>
    <row r="4083" spans="2:12">
      <c r="B4083" s="1297"/>
      <c r="C4083" s="1297"/>
      <c r="D4083" s="1297"/>
      <c r="E4083" s="1404" t="s">
        <v>1116</v>
      </c>
      <c r="F4083" s="1405"/>
      <c r="G4083" s="1405"/>
      <c r="H4083" s="1405">
        <v>17984610</v>
      </c>
      <c r="I4083" s="1405"/>
      <c r="J4083" s="1405">
        <v>17984610</v>
      </c>
    </row>
    <row r="4084" spans="2:12">
      <c r="B4084" s="1297"/>
      <c r="C4084" s="1297"/>
      <c r="D4084" s="1297"/>
      <c r="E4084" s="1297" t="s">
        <v>1117</v>
      </c>
      <c r="H4084" s="1399">
        <v>1321139.05</v>
      </c>
      <c r="J4084" s="1399">
        <v>1321139.05</v>
      </c>
    </row>
    <row r="4085" spans="2:12">
      <c r="B4085" s="1297"/>
      <c r="C4085" s="1297"/>
      <c r="D4085" s="1297"/>
      <c r="E4085" s="1404" t="s">
        <v>948</v>
      </c>
      <c r="F4085" s="1405"/>
      <c r="G4085" s="1405"/>
      <c r="H4085" s="1405">
        <v>27923395.34</v>
      </c>
      <c r="I4085" s="1405"/>
      <c r="J4085" s="1405">
        <v>27923395.34</v>
      </c>
    </row>
    <row r="4086" spans="2:12">
      <c r="B4086" s="1297"/>
      <c r="C4086" s="1297"/>
      <c r="D4086" s="1297"/>
      <c r="E4086" s="1297" t="s">
        <v>956</v>
      </c>
      <c r="H4086" s="1399">
        <v>177317.77</v>
      </c>
      <c r="J4086" s="1399">
        <v>177317.77</v>
      </c>
    </row>
    <row r="4087" spans="2:12">
      <c r="B4087" s="1297"/>
      <c r="C4087" s="1297"/>
      <c r="D4087" s="1297"/>
      <c r="E4087" s="1297" t="s">
        <v>1118</v>
      </c>
      <c r="H4087" s="1399">
        <v>79143.48</v>
      </c>
      <c r="J4087" s="1399">
        <v>79143.48</v>
      </c>
    </row>
    <row r="4088" spans="2:12">
      <c r="B4088" s="1297"/>
      <c r="C4088" s="1297"/>
      <c r="D4088" s="1297"/>
      <c r="E4088" s="1297" t="s">
        <v>1270</v>
      </c>
      <c r="H4088" s="1399">
        <v>16</v>
      </c>
      <c r="J4088" s="1399">
        <v>16</v>
      </c>
    </row>
    <row r="4089" spans="2:12">
      <c r="B4089" s="1297"/>
      <c r="C4089" s="1297"/>
      <c r="D4089" s="1297"/>
      <c r="E4089" s="1297" t="s">
        <v>1271</v>
      </c>
      <c r="H4089" s="1399">
        <v>11960.04</v>
      </c>
      <c r="J4089" s="1399">
        <v>11960.04</v>
      </c>
    </row>
    <row r="4090" spans="2:12">
      <c r="B4090" s="1297"/>
      <c r="C4090" s="1297"/>
      <c r="D4090" s="1400" t="s">
        <v>1272</v>
      </c>
      <c r="E4090" s="1400"/>
      <c r="F4090" s="1401">
        <f>SUM(F4038:F4089)</f>
        <v>63020635.920000002</v>
      </c>
      <c r="G4090" s="1401">
        <f>SUM(G4038:G4089)</f>
        <v>131343885.14999999</v>
      </c>
      <c r="H4090" s="1401">
        <f>SUM(H4038:H4089)-(H4083+H4085)</f>
        <v>14316775.729999997</v>
      </c>
      <c r="I4090" s="1401">
        <f>SUM(I4038:I4089)-I4064</f>
        <v>167230915.71000001</v>
      </c>
      <c r="J4090" s="1401">
        <f>SUM(J4038:J4089)</f>
        <v>426856000.61000013</v>
      </c>
      <c r="K4090" s="1401">
        <f>SUM(F4090:I4090)</f>
        <v>375912212.50999999</v>
      </c>
      <c r="L4090" s="1408">
        <f>K4090/C4038</f>
        <v>12221.607793419598</v>
      </c>
    </row>
    <row r="4091" spans="2:12">
      <c r="B4091" s="1297" t="s">
        <v>1273</v>
      </c>
      <c r="C4091" s="1297">
        <f>18522-'[2]1$REV-DATA-GAcharterAuditdata'!G68</f>
        <v>18365</v>
      </c>
      <c r="D4091" s="1297" t="s">
        <v>1274</v>
      </c>
      <c r="E4091" s="1297" t="s">
        <v>906</v>
      </c>
      <c r="G4091" s="1399">
        <v>47120046.18</v>
      </c>
      <c r="J4091" s="1399">
        <v>47120046.18</v>
      </c>
    </row>
    <row r="4092" spans="2:12">
      <c r="B4092" s="1297"/>
      <c r="C4092" s="1297"/>
      <c r="D4092" s="1297"/>
      <c r="E4092" s="1297" t="s">
        <v>952</v>
      </c>
      <c r="G4092" s="1399">
        <v>451338.95</v>
      </c>
      <c r="J4092" s="1399">
        <v>451338.95</v>
      </c>
    </row>
    <row r="4093" spans="2:12">
      <c r="B4093" s="1297"/>
      <c r="C4093" s="1297"/>
      <c r="D4093" s="1297"/>
      <c r="E4093" s="1297" t="s">
        <v>907</v>
      </c>
      <c r="G4093" s="1399">
        <v>9893666.2200000007</v>
      </c>
      <c r="J4093" s="1399">
        <v>9893666.2200000007</v>
      </c>
    </row>
    <row r="4094" spans="2:12">
      <c r="B4094" s="1297"/>
      <c r="C4094" s="1297"/>
      <c r="D4094" s="1297"/>
      <c r="E4094" s="1297" t="s">
        <v>908</v>
      </c>
      <c r="G4094" s="1399">
        <v>23227.22</v>
      </c>
      <c r="J4094" s="1399">
        <v>23227.22</v>
      </c>
    </row>
    <row r="4095" spans="2:12">
      <c r="B4095" s="1297"/>
      <c r="C4095" s="1297"/>
      <c r="D4095" s="1297"/>
      <c r="E4095" s="1297" t="s">
        <v>1039</v>
      </c>
      <c r="H4095" s="1399">
        <v>95292.27</v>
      </c>
      <c r="J4095" s="1399">
        <v>95292.27</v>
      </c>
    </row>
    <row r="4096" spans="2:12">
      <c r="B4096" s="1297"/>
      <c r="C4096" s="1297"/>
      <c r="D4096" s="1297"/>
      <c r="E4096" s="1297" t="s">
        <v>1040</v>
      </c>
      <c r="H4096" s="1399">
        <v>1593460.7299999997</v>
      </c>
      <c r="J4096" s="1399">
        <v>1593460.7299999997</v>
      </c>
    </row>
    <row r="4097" spans="5:10" s="1297" customFormat="1">
      <c r="E4097" s="1297" t="s">
        <v>1041</v>
      </c>
      <c r="F4097" s="1399"/>
      <c r="G4097" s="1399"/>
      <c r="H4097" s="1399">
        <v>563414.65000000014</v>
      </c>
      <c r="I4097" s="1399"/>
      <c r="J4097" s="1399">
        <v>563414.65000000014</v>
      </c>
    </row>
    <row r="4098" spans="5:10" s="1297" customFormat="1">
      <c r="E4098" s="1297" t="s">
        <v>1042</v>
      </c>
      <c r="F4098" s="1399"/>
      <c r="G4098" s="1399"/>
      <c r="H4098" s="1399">
        <v>200573.47</v>
      </c>
      <c r="I4098" s="1399"/>
      <c r="J4098" s="1399">
        <v>200573.47</v>
      </c>
    </row>
    <row r="4099" spans="5:10" s="1297" customFormat="1">
      <c r="E4099" s="1297" t="s">
        <v>954</v>
      </c>
      <c r="F4099" s="1399"/>
      <c r="G4099" s="1399"/>
      <c r="H4099" s="1399">
        <v>2717653.67</v>
      </c>
      <c r="I4099" s="1399"/>
      <c r="J4099" s="1399">
        <v>2717653.67</v>
      </c>
    </row>
    <row r="4100" spans="5:10" s="1297" customFormat="1">
      <c r="E4100" s="1297" t="s">
        <v>985</v>
      </c>
      <c r="F4100" s="1399"/>
      <c r="G4100" s="1399"/>
      <c r="H4100" s="1399">
        <v>699022.16</v>
      </c>
      <c r="I4100" s="1399"/>
      <c r="J4100" s="1399">
        <v>699022.16</v>
      </c>
    </row>
    <row r="4101" spans="5:10" s="1297" customFormat="1">
      <c r="E4101" s="1297" t="s">
        <v>986</v>
      </c>
      <c r="F4101" s="1399"/>
      <c r="G4101" s="1399"/>
      <c r="H4101" s="1399">
        <v>38707.589999999997</v>
      </c>
      <c r="I4101" s="1399"/>
      <c r="J4101" s="1399">
        <v>38707.589999999997</v>
      </c>
    </row>
    <row r="4102" spans="5:10" s="1297" customFormat="1">
      <c r="E4102" s="1297" t="s">
        <v>996</v>
      </c>
      <c r="F4102" s="1399"/>
      <c r="G4102" s="1399"/>
      <c r="H4102" s="1399">
        <v>5035.87</v>
      </c>
      <c r="I4102" s="1399"/>
      <c r="J4102" s="1399">
        <v>5035.87</v>
      </c>
    </row>
    <row r="4103" spans="5:10" s="1297" customFormat="1">
      <c r="E4103" s="1297" t="s">
        <v>1044</v>
      </c>
      <c r="F4103" s="1399"/>
      <c r="G4103" s="1399"/>
      <c r="H4103" s="1399">
        <v>69967.520000000004</v>
      </c>
      <c r="I4103" s="1399"/>
      <c r="J4103" s="1399">
        <v>69967.520000000004</v>
      </c>
    </row>
    <row r="4104" spans="5:10" s="1297" customFormat="1">
      <c r="E4104" s="1297" t="s">
        <v>1045</v>
      </c>
      <c r="F4104" s="1399"/>
      <c r="G4104" s="1399"/>
      <c r="H4104" s="1399">
        <v>445527.61000000004</v>
      </c>
      <c r="I4104" s="1399"/>
      <c r="J4104" s="1399">
        <v>445527.61000000004</v>
      </c>
    </row>
    <row r="4105" spans="5:10" s="1297" customFormat="1">
      <c r="E4105" s="1297" t="s">
        <v>1046</v>
      </c>
      <c r="F4105" s="1399"/>
      <c r="G4105" s="1399"/>
      <c r="H4105" s="1399"/>
      <c r="I4105" s="1399">
        <v>94627680</v>
      </c>
      <c r="J4105" s="1399">
        <v>94627680</v>
      </c>
    </row>
    <row r="4106" spans="5:10" s="1297" customFormat="1">
      <c r="E4106" s="1297" t="s">
        <v>1128</v>
      </c>
      <c r="F4106" s="1399"/>
      <c r="G4106" s="1399"/>
      <c r="H4106" s="1399"/>
      <c r="I4106" s="1399">
        <v>8329566</v>
      </c>
      <c r="J4106" s="1399">
        <v>8329566</v>
      </c>
    </row>
    <row r="4107" spans="5:10" s="1297" customFormat="1">
      <c r="E4107" s="1297" t="s">
        <v>1129</v>
      </c>
      <c r="F4107" s="1399"/>
      <c r="G4107" s="1399"/>
      <c r="H4107" s="1399"/>
      <c r="I4107" s="1399">
        <v>-13202260</v>
      </c>
      <c r="J4107" s="1399">
        <v>-13202260</v>
      </c>
    </row>
    <row r="4108" spans="5:10" s="1297" customFormat="1">
      <c r="E4108" s="1297" t="s">
        <v>1047</v>
      </c>
      <c r="F4108" s="1399"/>
      <c r="G4108" s="1399"/>
      <c r="H4108" s="1399"/>
      <c r="I4108" s="1399">
        <v>1645649</v>
      </c>
      <c r="J4108" s="1399">
        <v>1645649</v>
      </c>
    </row>
    <row r="4109" spans="5:10" s="1297" customFormat="1">
      <c r="E4109" s="1297" t="s">
        <v>1048</v>
      </c>
      <c r="F4109" s="1399"/>
      <c r="G4109" s="1399"/>
      <c r="H4109" s="1399"/>
      <c r="I4109" s="1399">
        <v>-13904941</v>
      </c>
      <c r="J4109" s="1399">
        <v>-13904941</v>
      </c>
    </row>
    <row r="4110" spans="5:10" s="1297" customFormat="1">
      <c r="E4110" s="1297" t="s">
        <v>932</v>
      </c>
      <c r="F4110" s="1399"/>
      <c r="G4110" s="1399"/>
      <c r="H4110" s="1399"/>
      <c r="I4110" s="1399">
        <v>11430913</v>
      </c>
      <c r="J4110" s="1399">
        <v>11430913</v>
      </c>
    </row>
    <row r="4111" spans="5:10" s="1297" customFormat="1">
      <c r="E4111" s="1404" t="s">
        <v>955</v>
      </c>
      <c r="F4111" s="1405"/>
      <c r="G4111" s="1405"/>
      <c r="H4111" s="1405"/>
      <c r="I4111" s="1405">
        <v>2369694.87</v>
      </c>
      <c r="J4111" s="1405">
        <v>2369694.87</v>
      </c>
    </row>
    <row r="4112" spans="5:10" s="1297" customFormat="1">
      <c r="E4112" s="1297" t="s">
        <v>934</v>
      </c>
      <c r="F4112" s="1399"/>
      <c r="G4112" s="1399"/>
      <c r="H4112" s="1399"/>
      <c r="I4112" s="1399">
        <v>292530</v>
      </c>
      <c r="J4112" s="1399">
        <v>292530</v>
      </c>
    </row>
    <row r="4113" spans="5:10" s="1297" customFormat="1">
      <c r="E4113" s="1297" t="s">
        <v>1130</v>
      </c>
      <c r="F4113" s="1399"/>
      <c r="G4113" s="1399"/>
      <c r="H4113" s="1399"/>
      <c r="I4113" s="1399">
        <v>7159652.0999999996</v>
      </c>
      <c r="J4113" s="1399">
        <v>7159652.0999999996</v>
      </c>
    </row>
    <row r="4114" spans="5:10" s="1297" customFormat="1">
      <c r="E4114" s="1297" t="s">
        <v>935</v>
      </c>
      <c r="F4114" s="1399"/>
      <c r="G4114" s="1399"/>
      <c r="H4114" s="1399"/>
      <c r="I4114" s="1399">
        <v>1632816.15</v>
      </c>
      <c r="J4114" s="1399">
        <v>1632816.15</v>
      </c>
    </row>
    <row r="4115" spans="5:10" s="1297" customFormat="1">
      <c r="E4115" s="1297" t="s">
        <v>936</v>
      </c>
      <c r="F4115" s="1399"/>
      <c r="G4115" s="1399"/>
      <c r="H4115" s="1399"/>
      <c r="I4115" s="1399">
        <v>303930.65999999997</v>
      </c>
      <c r="J4115" s="1399">
        <v>303930.65999999997</v>
      </c>
    </row>
    <row r="4116" spans="5:10" s="1297" customFormat="1">
      <c r="E4116" s="1297" t="s">
        <v>937</v>
      </c>
      <c r="F4116" s="1399"/>
      <c r="G4116" s="1399"/>
      <c r="H4116" s="1399"/>
      <c r="I4116" s="1399">
        <v>17273.8</v>
      </c>
      <c r="J4116" s="1399">
        <v>17273.8</v>
      </c>
    </row>
    <row r="4117" spans="5:10" s="1297" customFormat="1">
      <c r="E4117" s="1297" t="s">
        <v>938</v>
      </c>
      <c r="F4117" s="1399"/>
      <c r="G4117" s="1399"/>
      <c r="H4117" s="1399"/>
      <c r="I4117" s="1399">
        <v>104622</v>
      </c>
      <c r="J4117" s="1399">
        <v>104622</v>
      </c>
    </row>
    <row r="4118" spans="5:10" s="1297" customFormat="1">
      <c r="E4118" s="1297" t="s">
        <v>939</v>
      </c>
      <c r="F4118" s="1399"/>
      <c r="G4118" s="1399"/>
      <c r="H4118" s="1399"/>
      <c r="I4118" s="1399">
        <v>567222.91999999993</v>
      </c>
      <c r="J4118" s="1399">
        <v>567222.91999999993</v>
      </c>
    </row>
    <row r="4119" spans="5:10" s="1297" customFormat="1">
      <c r="E4119" s="1297" t="s">
        <v>1131</v>
      </c>
      <c r="F4119" s="1399">
        <v>60783.22</v>
      </c>
      <c r="G4119" s="1399"/>
      <c r="H4119" s="1399"/>
      <c r="I4119" s="1399"/>
      <c r="J4119" s="1399">
        <v>60783.22</v>
      </c>
    </row>
    <row r="4120" spans="5:10" s="1297" customFormat="1">
      <c r="E4120" s="1297" t="s">
        <v>940</v>
      </c>
      <c r="F4120" s="1399">
        <v>5206367.9399999995</v>
      </c>
      <c r="G4120" s="1399"/>
      <c r="H4120" s="1399"/>
      <c r="I4120" s="1399"/>
      <c r="J4120" s="1399">
        <v>5206367.9399999995</v>
      </c>
    </row>
    <row r="4121" spans="5:10" s="1297" customFormat="1">
      <c r="E4121" s="1297" t="s">
        <v>941</v>
      </c>
      <c r="F4121" s="1399">
        <v>1759267.8399999996</v>
      </c>
      <c r="G4121" s="1399"/>
      <c r="H4121" s="1399"/>
      <c r="I4121" s="1399"/>
      <c r="J4121" s="1399">
        <v>1759267.8399999996</v>
      </c>
    </row>
    <row r="4122" spans="5:10" s="1297" customFormat="1">
      <c r="E4122" s="1297" t="s">
        <v>943</v>
      </c>
      <c r="F4122" s="1399">
        <v>69289.899999999994</v>
      </c>
      <c r="G4122" s="1399"/>
      <c r="H4122" s="1399"/>
      <c r="I4122" s="1399"/>
      <c r="J4122" s="1399">
        <v>69289.899999999994</v>
      </c>
    </row>
    <row r="4123" spans="5:10" s="1297" customFormat="1">
      <c r="E4123" s="1297" t="s">
        <v>944</v>
      </c>
      <c r="F4123" s="1399">
        <v>9351672.0999999996</v>
      </c>
      <c r="G4123" s="1399"/>
      <c r="H4123" s="1399"/>
      <c r="I4123" s="1399"/>
      <c r="J4123" s="1399">
        <v>9351672.0999999996</v>
      </c>
    </row>
    <row r="4124" spans="5:10" s="1297" customFormat="1">
      <c r="E4124" s="1297" t="s">
        <v>945</v>
      </c>
      <c r="F4124" s="1399">
        <v>8162431.9699999997</v>
      </c>
      <c r="G4124" s="1399"/>
      <c r="H4124" s="1399"/>
      <c r="I4124" s="1399"/>
      <c r="J4124" s="1399">
        <v>8162431.9699999997</v>
      </c>
    </row>
    <row r="4125" spans="5:10" s="1297" customFormat="1">
      <c r="E4125" s="1297" t="s">
        <v>978</v>
      </c>
      <c r="F4125" s="1399">
        <v>3596.52</v>
      </c>
      <c r="G4125" s="1399"/>
      <c r="H4125" s="1399"/>
      <c r="I4125" s="1399"/>
      <c r="J4125" s="1399">
        <v>3596.52</v>
      </c>
    </row>
    <row r="4126" spans="5:10" s="1297" customFormat="1">
      <c r="E4126" s="1297" t="s">
        <v>947</v>
      </c>
      <c r="F4126" s="1399">
        <v>292556.5</v>
      </c>
      <c r="G4126" s="1399"/>
      <c r="H4126" s="1399"/>
      <c r="I4126" s="1399"/>
      <c r="J4126" s="1399">
        <v>292556.5</v>
      </c>
    </row>
    <row r="4127" spans="5:10" s="1297" customFormat="1">
      <c r="E4127" s="1297" t="s">
        <v>1115</v>
      </c>
      <c r="F4127" s="1399">
        <v>460229.99</v>
      </c>
      <c r="G4127" s="1399"/>
      <c r="H4127" s="1399"/>
      <c r="I4127" s="1399"/>
      <c r="J4127" s="1399">
        <v>460229.99</v>
      </c>
    </row>
    <row r="4128" spans="5:10" s="1297" customFormat="1">
      <c r="E4128" s="1404" t="s">
        <v>1116</v>
      </c>
      <c r="F4128" s="1405"/>
      <c r="G4128" s="1405"/>
      <c r="H4128" s="1405">
        <v>24942763.190000001</v>
      </c>
      <c r="I4128" s="1405"/>
      <c r="J4128" s="1405">
        <v>24942763.190000001</v>
      </c>
    </row>
    <row r="4129" spans="2:12">
      <c r="B4129" s="1297"/>
      <c r="C4129" s="1297"/>
      <c r="D4129" s="1297"/>
      <c r="E4129" s="1404" t="s">
        <v>948</v>
      </c>
      <c r="F4129" s="1405"/>
      <c r="G4129" s="1405"/>
      <c r="H4129" s="1405">
        <v>17405434.600000001</v>
      </c>
      <c r="I4129" s="1405"/>
      <c r="J4129" s="1405">
        <v>17405434.600000001</v>
      </c>
    </row>
    <row r="4130" spans="2:12">
      <c r="B4130" s="1297"/>
      <c r="C4130" s="1297"/>
      <c r="D4130" s="1297"/>
      <c r="E4130" s="1297" t="s">
        <v>956</v>
      </c>
      <c r="H4130" s="1399">
        <v>2810.14</v>
      </c>
      <c r="J4130" s="1399">
        <v>2810.14</v>
      </c>
    </row>
    <row r="4131" spans="2:12">
      <c r="B4131" s="1297"/>
      <c r="C4131" s="1297"/>
      <c r="D4131" s="1400" t="s">
        <v>1275</v>
      </c>
      <c r="E4131" s="1400" t="s">
        <v>1643</v>
      </c>
      <c r="F4131" s="1401">
        <f>SUM(F4091:F4130)-'1$REV-CharterAuditData'!BM68</f>
        <v>25225339.979999997</v>
      </c>
      <c r="G4131" s="1401">
        <f>SUM(G4091:G4130)-'1$REV-CharterAuditData'!Q68</f>
        <v>57176090.57</v>
      </c>
      <c r="H4131" s="1401">
        <f>SUM(H4091:H4130)-(H4128+H4129)</f>
        <v>6431465.6799999923</v>
      </c>
      <c r="I4131" s="1401">
        <f>SUM(I4091:I4130)-(I4111+'1$REV-CharterAuditData'!AZ68)</f>
        <v>98114237.629999995</v>
      </c>
      <c r="J4131" s="1401">
        <f>SUM(J4091:J4130)</f>
        <v>233008487.52000001</v>
      </c>
      <c r="K4131" s="1401">
        <f>SUM(F4131:I4131)</f>
        <v>186947133.85999998</v>
      </c>
      <c r="L4131" s="1408">
        <f>K4131/C4091</f>
        <v>10179.533561666212</v>
      </c>
    </row>
    <row r="4132" spans="2:12">
      <c r="B4132" s="1297" t="s">
        <v>1276</v>
      </c>
      <c r="C4132" s="1297">
        <v>6368</v>
      </c>
      <c r="D4132" s="1297" t="s">
        <v>1277</v>
      </c>
      <c r="E4132" s="1297" t="s">
        <v>906</v>
      </c>
      <c r="G4132" s="1399">
        <v>27047234.119999997</v>
      </c>
      <c r="J4132" s="1399">
        <v>27047234.119999997</v>
      </c>
    </row>
    <row r="4133" spans="2:12">
      <c r="B4133" s="1297"/>
      <c r="C4133" s="1297"/>
      <c r="D4133" s="1297"/>
      <c r="E4133" s="1297" t="s">
        <v>952</v>
      </c>
      <c r="G4133" s="1399">
        <v>390401.43000000005</v>
      </c>
      <c r="J4133" s="1399">
        <v>390401.43000000005</v>
      </c>
    </row>
    <row r="4134" spans="2:12">
      <c r="B4134" s="1297"/>
      <c r="C4134" s="1297"/>
      <c r="D4134" s="1297"/>
      <c r="E4134" s="1297" t="s">
        <v>907</v>
      </c>
      <c r="G4134" s="1399">
        <v>4724154.33</v>
      </c>
      <c r="J4134" s="1399">
        <v>4724154.33</v>
      </c>
    </row>
    <row r="4135" spans="2:12">
      <c r="B4135" s="1297"/>
      <c r="C4135" s="1297"/>
      <c r="D4135" s="1297"/>
      <c r="E4135" s="1297" t="s">
        <v>908</v>
      </c>
      <c r="G4135" s="1399">
        <v>11817.1</v>
      </c>
      <c r="J4135" s="1399">
        <v>11817.1</v>
      </c>
    </row>
    <row r="4136" spans="2:12">
      <c r="B4136" s="1297"/>
      <c r="C4136" s="1297"/>
      <c r="D4136" s="1297"/>
      <c r="E4136" s="1297" t="s">
        <v>909</v>
      </c>
      <c r="H4136" s="1399">
        <v>188477.72</v>
      </c>
      <c r="J4136" s="1399">
        <v>188477.72</v>
      </c>
    </row>
    <row r="4137" spans="2:12">
      <c r="B4137" s="1297"/>
      <c r="C4137" s="1297"/>
      <c r="D4137" s="1297"/>
      <c r="E4137" s="1297" t="s">
        <v>1034</v>
      </c>
      <c r="H4137" s="1399">
        <v>812477.72</v>
      </c>
      <c r="J4137" s="1399">
        <v>812477.72</v>
      </c>
    </row>
    <row r="4138" spans="2:12">
      <c r="B4138" s="1297"/>
      <c r="C4138" s="1297"/>
      <c r="D4138" s="1297"/>
      <c r="E4138" s="1297" t="s">
        <v>1035</v>
      </c>
      <c r="H4138" s="1399">
        <v>958810.82</v>
      </c>
      <c r="J4138" s="1399">
        <v>958810.82</v>
      </c>
    </row>
    <row r="4139" spans="2:12">
      <c r="B4139" s="1297"/>
      <c r="C4139" s="1297"/>
      <c r="D4139" s="1297"/>
      <c r="E4139" s="1297" t="s">
        <v>1036</v>
      </c>
      <c r="H4139" s="1399">
        <v>325314.58</v>
      </c>
      <c r="J4139" s="1399">
        <v>325314.58</v>
      </c>
    </row>
    <row r="4140" spans="2:12">
      <c r="B4140" s="1297"/>
      <c r="C4140" s="1297"/>
      <c r="D4140" s="1297"/>
      <c r="E4140" s="1297" t="s">
        <v>1037</v>
      </c>
      <c r="H4140" s="1399">
        <v>57823.88</v>
      </c>
      <c r="J4140" s="1399">
        <v>57823.88</v>
      </c>
    </row>
    <row r="4141" spans="2:12">
      <c r="B4141" s="1297"/>
      <c r="C4141" s="1297"/>
      <c r="D4141" s="1297"/>
      <c r="E4141" s="1297" t="s">
        <v>1039</v>
      </c>
      <c r="H4141" s="1399">
        <v>82241.909999999989</v>
      </c>
      <c r="J4141" s="1399">
        <v>82241.909999999989</v>
      </c>
    </row>
    <row r="4142" spans="2:12">
      <c r="B4142" s="1297"/>
      <c r="C4142" s="1297"/>
      <c r="D4142" s="1297"/>
      <c r="E4142" s="1297" t="s">
        <v>1040</v>
      </c>
      <c r="H4142" s="1399">
        <v>1006725.05</v>
      </c>
      <c r="J4142" s="1399">
        <v>1006725.05</v>
      </c>
    </row>
    <row r="4143" spans="2:12">
      <c r="B4143" s="1297"/>
      <c r="C4143" s="1297"/>
      <c r="D4143" s="1297"/>
      <c r="E4143" s="1297" t="s">
        <v>1041</v>
      </c>
      <c r="H4143" s="1399">
        <v>108286.13</v>
      </c>
      <c r="J4143" s="1399">
        <v>108286.13</v>
      </c>
    </row>
    <row r="4144" spans="2:12">
      <c r="B4144" s="1297"/>
      <c r="C4144" s="1297"/>
      <c r="D4144" s="1297"/>
      <c r="E4144" s="1297" t="s">
        <v>1042</v>
      </c>
      <c r="H4144" s="1399">
        <v>66070.73</v>
      </c>
      <c r="J4144" s="1399">
        <v>66070.73</v>
      </c>
    </row>
    <row r="4145" spans="5:10" s="1297" customFormat="1">
      <c r="E4145" s="1297" t="s">
        <v>1043</v>
      </c>
      <c r="F4145" s="1399"/>
      <c r="G4145" s="1399"/>
      <c r="H4145" s="1399">
        <v>2950</v>
      </c>
      <c r="I4145" s="1399"/>
      <c r="J4145" s="1399">
        <v>2950</v>
      </c>
    </row>
    <row r="4146" spans="5:10" s="1297" customFormat="1">
      <c r="E4146" s="1297" t="s">
        <v>996</v>
      </c>
      <c r="F4146" s="1399"/>
      <c r="G4146" s="1399"/>
      <c r="H4146" s="1399">
        <v>1800</v>
      </c>
      <c r="I4146" s="1399"/>
      <c r="J4146" s="1399">
        <v>1800</v>
      </c>
    </row>
    <row r="4147" spans="5:10" s="1297" customFormat="1">
      <c r="E4147" s="1297" t="s">
        <v>1045</v>
      </c>
      <c r="F4147" s="1399"/>
      <c r="G4147" s="1399"/>
      <c r="H4147" s="1399">
        <v>8829.4000000000015</v>
      </c>
      <c r="I4147" s="1399"/>
      <c r="J4147" s="1399">
        <v>8829.4000000000015</v>
      </c>
    </row>
    <row r="4148" spans="5:10" s="1297" customFormat="1">
      <c r="E4148" s="1297" t="s">
        <v>1046</v>
      </c>
      <c r="F4148" s="1399"/>
      <c r="G4148" s="1399"/>
      <c r="H4148" s="1399"/>
      <c r="I4148" s="1399">
        <v>34427963</v>
      </c>
      <c r="J4148" s="1399">
        <v>34427963</v>
      </c>
    </row>
    <row r="4149" spans="5:10" s="1297" customFormat="1">
      <c r="E4149" s="1297" t="s">
        <v>1128</v>
      </c>
      <c r="F4149" s="1399"/>
      <c r="G4149" s="1399"/>
      <c r="H4149" s="1399"/>
      <c r="I4149" s="1399">
        <v>2757373</v>
      </c>
      <c r="J4149" s="1399">
        <v>2757373</v>
      </c>
    </row>
    <row r="4150" spans="5:10" s="1297" customFormat="1">
      <c r="E4150" s="1297" t="s">
        <v>1129</v>
      </c>
      <c r="F4150" s="1399"/>
      <c r="G4150" s="1399"/>
      <c r="H4150" s="1399"/>
      <c r="I4150" s="1399">
        <v>-4577069</v>
      </c>
      <c r="J4150" s="1399">
        <v>-4577069</v>
      </c>
    </row>
    <row r="4151" spans="5:10" s="1297" customFormat="1">
      <c r="E4151" s="1297" t="s">
        <v>1047</v>
      </c>
      <c r="F4151" s="1399"/>
      <c r="G4151" s="1399"/>
      <c r="H4151" s="1399"/>
      <c r="I4151" s="1399">
        <v>809988</v>
      </c>
      <c r="J4151" s="1399">
        <v>809988</v>
      </c>
    </row>
    <row r="4152" spans="5:10" s="1297" customFormat="1">
      <c r="E4152" s="1297" t="s">
        <v>1048</v>
      </c>
      <c r="F4152" s="1399"/>
      <c r="G4152" s="1399"/>
      <c r="H4152" s="1399"/>
      <c r="I4152" s="1399">
        <v>-7334148</v>
      </c>
      <c r="J4152" s="1399">
        <v>-7334148</v>
      </c>
    </row>
    <row r="4153" spans="5:10" s="1297" customFormat="1">
      <c r="E4153" s="1297" t="s">
        <v>934</v>
      </c>
      <c r="F4153" s="1399"/>
      <c r="G4153" s="1399"/>
      <c r="H4153" s="1399"/>
      <c r="I4153" s="1399">
        <v>80172</v>
      </c>
      <c r="J4153" s="1399">
        <v>80172</v>
      </c>
    </row>
    <row r="4154" spans="5:10" s="1297" customFormat="1">
      <c r="E4154" s="1297" t="s">
        <v>935</v>
      </c>
      <c r="F4154" s="1399"/>
      <c r="G4154" s="1399"/>
      <c r="H4154" s="1399"/>
      <c r="I4154" s="1399">
        <v>504989.19</v>
      </c>
      <c r="J4154" s="1399">
        <v>504989.19</v>
      </c>
    </row>
    <row r="4155" spans="5:10" s="1297" customFormat="1">
      <c r="E4155" s="1297" t="s">
        <v>936</v>
      </c>
      <c r="F4155" s="1399"/>
      <c r="G4155" s="1399"/>
      <c r="H4155" s="1399"/>
      <c r="I4155" s="1399">
        <v>105395.31</v>
      </c>
      <c r="J4155" s="1399">
        <v>105395.31</v>
      </c>
    </row>
    <row r="4156" spans="5:10" s="1297" customFormat="1">
      <c r="E4156" s="1297" t="s">
        <v>937</v>
      </c>
      <c r="F4156" s="1399"/>
      <c r="G4156" s="1399"/>
      <c r="H4156" s="1399"/>
      <c r="I4156" s="1399">
        <v>30389.14</v>
      </c>
      <c r="J4156" s="1399">
        <v>30389.14</v>
      </c>
    </row>
    <row r="4157" spans="5:10" s="1297" customFormat="1">
      <c r="E4157" s="1297" t="s">
        <v>938</v>
      </c>
      <c r="F4157" s="1399"/>
      <c r="G4157" s="1399"/>
      <c r="H4157" s="1399"/>
      <c r="I4157" s="1399">
        <v>36309</v>
      </c>
      <c r="J4157" s="1399">
        <v>36309</v>
      </c>
    </row>
    <row r="4158" spans="5:10" s="1297" customFormat="1">
      <c r="E4158" s="1297" t="s">
        <v>1131</v>
      </c>
      <c r="F4158" s="1399">
        <v>108.84</v>
      </c>
      <c r="G4158" s="1399"/>
      <c r="H4158" s="1399"/>
      <c r="I4158" s="1399"/>
      <c r="J4158" s="1399">
        <v>108.84</v>
      </c>
    </row>
    <row r="4159" spans="5:10" s="1297" customFormat="1">
      <c r="E4159" s="1297" t="s">
        <v>940</v>
      </c>
      <c r="F4159" s="1399">
        <v>640383.72</v>
      </c>
      <c r="G4159" s="1399"/>
      <c r="H4159" s="1399"/>
      <c r="I4159" s="1399"/>
      <c r="J4159" s="1399">
        <v>640383.72</v>
      </c>
    </row>
    <row r="4160" spans="5:10" s="1297" customFormat="1">
      <c r="E4160" s="1297" t="s">
        <v>941</v>
      </c>
      <c r="F4160" s="1399">
        <v>120190.44</v>
      </c>
      <c r="G4160" s="1399"/>
      <c r="H4160" s="1399"/>
      <c r="I4160" s="1399"/>
      <c r="J4160" s="1399">
        <v>120190.44</v>
      </c>
    </row>
    <row r="4161" spans="2:12">
      <c r="B4161" s="1297"/>
      <c r="C4161" s="1297"/>
      <c r="D4161" s="1297"/>
      <c r="E4161" s="1297" t="s">
        <v>944</v>
      </c>
      <c r="F4161" s="1399">
        <v>3724449.9000000004</v>
      </c>
      <c r="J4161" s="1399">
        <v>3724449.9000000004</v>
      </c>
    </row>
    <row r="4162" spans="2:12">
      <c r="B4162" s="1297"/>
      <c r="C4162" s="1297"/>
      <c r="D4162" s="1297"/>
      <c r="E4162" s="1297" t="s">
        <v>947</v>
      </c>
      <c r="F4162" s="1399">
        <v>157771.07</v>
      </c>
      <c r="J4162" s="1399">
        <v>157771.07</v>
      </c>
    </row>
    <row r="4163" spans="2:12">
      <c r="B4163" s="1297"/>
      <c r="C4163" s="1297"/>
      <c r="D4163" s="1297"/>
      <c r="E4163" s="1404" t="s">
        <v>948</v>
      </c>
      <c r="F4163" s="1405"/>
      <c r="G4163" s="1405"/>
      <c r="H4163" s="1405">
        <v>795929.3</v>
      </c>
      <c r="I4163" s="1405"/>
      <c r="J4163" s="1405">
        <v>795929.3</v>
      </c>
    </row>
    <row r="4164" spans="2:12">
      <c r="B4164" s="1297"/>
      <c r="C4164" s="1297"/>
      <c r="D4164" s="1297"/>
      <c r="E4164" s="1297" t="s">
        <v>956</v>
      </c>
      <c r="H4164" s="1399">
        <v>11767</v>
      </c>
      <c r="J4164" s="1399">
        <v>11767</v>
      </c>
    </row>
    <row r="4165" spans="2:12">
      <c r="B4165" s="1297"/>
      <c r="C4165" s="1297"/>
      <c r="D4165" s="1297"/>
      <c r="E4165" s="1297" t="s">
        <v>1118</v>
      </c>
      <c r="H4165" s="1399">
        <v>350</v>
      </c>
      <c r="J4165" s="1399">
        <v>350</v>
      </c>
    </row>
    <row r="4166" spans="2:12">
      <c r="B4166" s="1297"/>
      <c r="C4166" s="1297"/>
      <c r="D4166" s="1400" t="s">
        <v>1278</v>
      </c>
      <c r="E4166" s="1400"/>
      <c r="F4166" s="1401">
        <f>SUM(F4132:F4165)</f>
        <v>4642903.9700000007</v>
      </c>
      <c r="G4166" s="1401">
        <f>SUM(G4132:G4165)</f>
        <v>32173606.979999997</v>
      </c>
      <c r="H4166" s="1401">
        <f>SUM(H4132:H4165)-H4163</f>
        <v>3631924.9399999995</v>
      </c>
      <c r="I4166" s="1401">
        <f>SUM(I4132:I4165)</f>
        <v>26841361.640000001</v>
      </c>
      <c r="J4166" s="1401">
        <f>SUM(J4132:J4165)</f>
        <v>68085726.829999983</v>
      </c>
      <c r="K4166" s="1401">
        <f>SUM(F4166:I4166)</f>
        <v>67289797.530000001</v>
      </c>
      <c r="L4166" s="1408">
        <f>K4166/C4132</f>
        <v>10566.865190012562</v>
      </c>
    </row>
    <row r="4167" spans="2:12">
      <c r="B4167" s="1297" t="s">
        <v>1279</v>
      </c>
      <c r="C4167" s="1297">
        <v>2320</v>
      </c>
      <c r="D4167" s="1297" t="s">
        <v>1280</v>
      </c>
      <c r="E4167" s="1297" t="s">
        <v>906</v>
      </c>
      <c r="G4167" s="1399">
        <v>8144053.0899999999</v>
      </c>
      <c r="J4167" s="1399">
        <v>8144053.0899999999</v>
      </c>
    </row>
    <row r="4168" spans="2:12">
      <c r="B4168" s="1297"/>
      <c r="C4168" s="1297"/>
      <c r="D4168" s="1297"/>
      <c r="E4168" s="1297" t="s">
        <v>952</v>
      </c>
      <c r="G4168" s="1399">
        <v>65663.45</v>
      </c>
      <c r="J4168" s="1399">
        <v>65663.45</v>
      </c>
    </row>
    <row r="4169" spans="2:12">
      <c r="B4169" s="1297"/>
      <c r="C4169" s="1297"/>
      <c r="D4169" s="1297"/>
      <c r="E4169" s="1297" t="s">
        <v>907</v>
      </c>
      <c r="G4169" s="1399">
        <v>745971.07</v>
      </c>
      <c r="J4169" s="1399">
        <v>745971.07</v>
      </c>
    </row>
    <row r="4170" spans="2:12">
      <c r="B4170" s="1297"/>
      <c r="C4170" s="1297"/>
      <c r="D4170" s="1297"/>
      <c r="E4170" s="1297" t="s">
        <v>908</v>
      </c>
      <c r="G4170" s="1399">
        <v>0</v>
      </c>
      <c r="J4170" s="1399">
        <v>0</v>
      </c>
    </row>
    <row r="4171" spans="2:12">
      <c r="B4171" s="1297"/>
      <c r="C4171" s="1297"/>
      <c r="D4171" s="1297"/>
      <c r="E4171" s="1297" t="s">
        <v>910</v>
      </c>
      <c r="H4171" s="1399">
        <v>217.35</v>
      </c>
      <c r="J4171" s="1399">
        <v>217.35</v>
      </c>
    </row>
    <row r="4172" spans="2:12">
      <c r="B4172" s="1297"/>
      <c r="C4172" s="1297"/>
      <c r="D4172" s="1297"/>
      <c r="E4172" s="1297" t="s">
        <v>1034</v>
      </c>
      <c r="H4172" s="1399">
        <v>8089.19</v>
      </c>
      <c r="J4172" s="1399">
        <v>8089.19</v>
      </c>
    </row>
    <row r="4173" spans="2:12">
      <c r="B4173" s="1297"/>
      <c r="C4173" s="1297"/>
      <c r="D4173" s="1297"/>
      <c r="E4173" s="1297" t="s">
        <v>1035</v>
      </c>
      <c r="H4173" s="1399">
        <v>204267.51</v>
      </c>
      <c r="J4173" s="1399">
        <v>204267.51</v>
      </c>
    </row>
    <row r="4174" spans="2:12">
      <c r="B4174" s="1297"/>
      <c r="C4174" s="1297"/>
      <c r="D4174" s="1297"/>
      <c r="E4174" s="1297" t="s">
        <v>1036</v>
      </c>
      <c r="H4174" s="1399">
        <v>65053.65</v>
      </c>
      <c r="J4174" s="1399">
        <v>65053.65</v>
      </c>
    </row>
    <row r="4175" spans="2:12">
      <c r="B4175" s="1297"/>
      <c r="C4175" s="1297"/>
      <c r="D4175" s="1297"/>
      <c r="E4175" s="1297" t="s">
        <v>1037</v>
      </c>
      <c r="H4175" s="1399">
        <v>9058.8799999999992</v>
      </c>
      <c r="J4175" s="1399">
        <v>9058.8799999999992</v>
      </c>
    </row>
    <row r="4176" spans="2:12">
      <c r="B4176" s="1297"/>
      <c r="C4176" s="1297"/>
      <c r="D4176" s="1297"/>
      <c r="E4176" s="1297" t="s">
        <v>1105</v>
      </c>
      <c r="H4176" s="1399">
        <v>0</v>
      </c>
      <c r="J4176" s="1399">
        <v>0</v>
      </c>
    </row>
    <row r="4177" spans="5:10" s="1297" customFormat="1">
      <c r="E4177" s="1297" t="s">
        <v>1039</v>
      </c>
      <c r="F4177" s="1399"/>
      <c r="G4177" s="1399"/>
      <c r="H4177" s="1399">
        <v>43671.79</v>
      </c>
      <c r="I4177" s="1399"/>
      <c r="J4177" s="1399">
        <v>43671.79</v>
      </c>
    </row>
    <row r="4178" spans="5:10" s="1297" customFormat="1">
      <c r="E4178" s="1297" t="s">
        <v>1040</v>
      </c>
      <c r="F4178" s="1399"/>
      <c r="G4178" s="1399"/>
      <c r="H4178" s="1399">
        <v>181823.26</v>
      </c>
      <c r="I4178" s="1399"/>
      <c r="J4178" s="1399">
        <v>181823.26</v>
      </c>
    </row>
    <row r="4179" spans="5:10" s="1297" customFormat="1">
      <c r="E4179" s="1297" t="s">
        <v>1041</v>
      </c>
      <c r="F4179" s="1399"/>
      <c r="G4179" s="1399"/>
      <c r="H4179" s="1399">
        <v>13733.8</v>
      </c>
      <c r="I4179" s="1399"/>
      <c r="J4179" s="1399">
        <v>13733.8</v>
      </c>
    </row>
    <row r="4180" spans="5:10" s="1297" customFormat="1">
      <c r="E4180" s="1297" t="s">
        <v>1042</v>
      </c>
      <c r="F4180" s="1399"/>
      <c r="G4180" s="1399"/>
      <c r="H4180" s="1399">
        <v>29920.73</v>
      </c>
      <c r="I4180" s="1399"/>
      <c r="J4180" s="1399">
        <v>29920.73</v>
      </c>
    </row>
    <row r="4181" spans="5:10" s="1297" customFormat="1">
      <c r="E4181" s="1297" t="s">
        <v>996</v>
      </c>
      <c r="F4181" s="1399"/>
      <c r="G4181" s="1399"/>
      <c r="H4181" s="1399">
        <v>75</v>
      </c>
      <c r="I4181" s="1399"/>
      <c r="J4181" s="1399">
        <v>75</v>
      </c>
    </row>
    <row r="4182" spans="5:10" s="1297" customFormat="1">
      <c r="E4182" s="1297" t="s">
        <v>1045</v>
      </c>
      <c r="F4182" s="1399"/>
      <c r="G4182" s="1399"/>
      <c r="H4182" s="1399">
        <v>105479.93</v>
      </c>
      <c r="I4182" s="1399"/>
      <c r="J4182" s="1399">
        <v>105479.93</v>
      </c>
    </row>
    <row r="4183" spans="5:10" s="1297" customFormat="1">
      <c r="E4183" s="1297" t="s">
        <v>1046</v>
      </c>
      <c r="F4183" s="1399"/>
      <c r="G4183" s="1399"/>
      <c r="H4183" s="1399"/>
      <c r="I4183" s="1399">
        <v>12258700</v>
      </c>
      <c r="J4183" s="1399">
        <v>12258700</v>
      </c>
    </row>
    <row r="4184" spans="5:10" s="1297" customFormat="1">
      <c r="E4184" s="1297" t="s">
        <v>1047</v>
      </c>
      <c r="F4184" s="1399"/>
      <c r="G4184" s="1399"/>
      <c r="H4184" s="1399"/>
      <c r="I4184" s="1399">
        <v>474335</v>
      </c>
      <c r="J4184" s="1399">
        <v>474335</v>
      </c>
    </row>
    <row r="4185" spans="5:10" s="1297" customFormat="1">
      <c r="E4185" s="1297" t="s">
        <v>1048</v>
      </c>
      <c r="F4185" s="1399"/>
      <c r="G4185" s="1399"/>
      <c r="H4185" s="1399"/>
      <c r="I4185" s="1399">
        <v>-1910373</v>
      </c>
      <c r="J4185" s="1399">
        <v>-1910373</v>
      </c>
    </row>
    <row r="4186" spans="5:10" s="1297" customFormat="1">
      <c r="E4186" s="1297" t="s">
        <v>932</v>
      </c>
      <c r="F4186" s="1399"/>
      <c r="G4186" s="1399"/>
      <c r="H4186" s="1399"/>
      <c r="I4186" s="1399">
        <v>1136879</v>
      </c>
      <c r="J4186" s="1399">
        <v>1136879</v>
      </c>
    </row>
    <row r="4187" spans="5:10" s="1297" customFormat="1">
      <c r="E4187" s="1404" t="s">
        <v>955</v>
      </c>
      <c r="F4187" s="1405"/>
      <c r="G4187" s="1405"/>
      <c r="H4187" s="1405"/>
      <c r="I4187" s="1405">
        <v>93262.71</v>
      </c>
      <c r="J4187" s="1405">
        <v>93262.71</v>
      </c>
    </row>
    <row r="4188" spans="5:10" s="1297" customFormat="1">
      <c r="E4188" s="1297" t="s">
        <v>934</v>
      </c>
      <c r="F4188" s="1399"/>
      <c r="G4188" s="1399"/>
      <c r="H4188" s="1399"/>
      <c r="I4188" s="1399">
        <v>34310</v>
      </c>
      <c r="J4188" s="1399">
        <v>34310</v>
      </c>
    </row>
    <row r="4189" spans="5:10" s="1297" customFormat="1">
      <c r="E4189" s="1297" t="s">
        <v>1130</v>
      </c>
      <c r="F4189" s="1399"/>
      <c r="G4189" s="1399"/>
      <c r="H4189" s="1399"/>
      <c r="I4189" s="1399">
        <v>335054.01</v>
      </c>
      <c r="J4189" s="1399">
        <v>335054.01</v>
      </c>
    </row>
    <row r="4190" spans="5:10" s="1297" customFormat="1">
      <c r="E4190" s="1297" t="s">
        <v>935</v>
      </c>
      <c r="F4190" s="1399"/>
      <c r="G4190" s="1399"/>
      <c r="H4190" s="1399"/>
      <c r="I4190" s="1399">
        <v>424121.76</v>
      </c>
      <c r="J4190" s="1399">
        <v>424121.76</v>
      </c>
    </row>
    <row r="4191" spans="5:10" s="1297" customFormat="1">
      <c r="E4191" s="1297" t="s">
        <v>936</v>
      </c>
      <c r="F4191" s="1399"/>
      <c r="G4191" s="1399"/>
      <c r="H4191" s="1399"/>
      <c r="I4191" s="1399">
        <v>40967.61</v>
      </c>
      <c r="J4191" s="1399">
        <v>40967.61</v>
      </c>
    </row>
    <row r="4192" spans="5:10" s="1297" customFormat="1">
      <c r="E4192" s="1297" t="s">
        <v>937</v>
      </c>
      <c r="F4192" s="1399"/>
      <c r="G4192" s="1399"/>
      <c r="H4192" s="1399"/>
      <c r="I4192" s="1399">
        <v>29406.400000000001</v>
      </c>
      <c r="J4192" s="1399">
        <v>29406.400000000001</v>
      </c>
    </row>
    <row r="4193" spans="2:12">
      <c r="B4193" s="1297"/>
      <c r="C4193" s="1297"/>
      <c r="D4193" s="1297"/>
      <c r="E4193" s="1297" t="s">
        <v>938</v>
      </c>
      <c r="I4193" s="1399">
        <v>11417</v>
      </c>
      <c r="J4193" s="1399">
        <v>11417</v>
      </c>
    </row>
    <row r="4194" spans="2:12">
      <c r="B4194" s="1297"/>
      <c r="C4194" s="1297"/>
      <c r="D4194" s="1297"/>
      <c r="E4194" s="1297" t="s">
        <v>939</v>
      </c>
      <c r="I4194" s="1399">
        <v>129037.08</v>
      </c>
      <c r="J4194" s="1399">
        <v>129037.08</v>
      </c>
    </row>
    <row r="4195" spans="2:12">
      <c r="B4195" s="1297"/>
      <c r="C4195" s="1297"/>
      <c r="D4195" s="1297"/>
      <c r="E4195" s="1297" t="s">
        <v>940</v>
      </c>
      <c r="F4195" s="1399">
        <v>542145.93999999994</v>
      </c>
      <c r="J4195" s="1399">
        <v>542145.93999999994</v>
      </c>
    </row>
    <row r="4196" spans="2:12">
      <c r="B4196" s="1297"/>
      <c r="C4196" s="1297"/>
      <c r="D4196" s="1297"/>
      <c r="E4196" s="1297" t="s">
        <v>941</v>
      </c>
      <c r="F4196" s="1399">
        <v>174965.64</v>
      </c>
      <c r="J4196" s="1399">
        <v>174965.64</v>
      </c>
    </row>
    <row r="4197" spans="2:12">
      <c r="B4197" s="1297"/>
      <c r="C4197" s="1297"/>
      <c r="D4197" s="1297"/>
      <c r="E4197" s="1297" t="s">
        <v>943</v>
      </c>
      <c r="F4197" s="1399">
        <v>1519.96</v>
      </c>
      <c r="J4197" s="1399">
        <v>1519.96</v>
      </c>
    </row>
    <row r="4198" spans="2:12">
      <c r="B4198" s="1297"/>
      <c r="C4198" s="1297"/>
      <c r="D4198" s="1297"/>
      <c r="E4198" s="1297" t="s">
        <v>944</v>
      </c>
      <c r="F4198" s="1399">
        <v>1058192.74</v>
      </c>
      <c r="J4198" s="1399">
        <v>1058192.74</v>
      </c>
    </row>
    <row r="4199" spans="2:12">
      <c r="B4199" s="1297"/>
      <c r="C4199" s="1297"/>
      <c r="D4199" s="1297"/>
      <c r="E4199" s="1297" t="s">
        <v>945</v>
      </c>
      <c r="F4199" s="1399">
        <v>638587.42000000004</v>
      </c>
      <c r="J4199" s="1399">
        <v>638587.42000000004</v>
      </c>
    </row>
    <row r="4200" spans="2:12">
      <c r="B4200" s="1297"/>
      <c r="C4200" s="1297"/>
      <c r="D4200" s="1297"/>
      <c r="E4200" s="1297" t="s">
        <v>1214</v>
      </c>
      <c r="F4200" s="1399">
        <v>6266.06</v>
      </c>
      <c r="J4200" s="1399">
        <v>6266.06</v>
      </c>
    </row>
    <row r="4201" spans="2:12">
      <c r="B4201" s="1297"/>
      <c r="C4201" s="1297"/>
      <c r="D4201" s="1297"/>
      <c r="E4201" s="1297" t="s">
        <v>947</v>
      </c>
      <c r="F4201" s="1399">
        <v>71998.63</v>
      </c>
      <c r="J4201" s="1399">
        <v>71998.63</v>
      </c>
    </row>
    <row r="4202" spans="2:12">
      <c r="B4202" s="1297"/>
      <c r="C4202" s="1297"/>
      <c r="D4202" s="1297"/>
      <c r="E4202" s="1404" t="s">
        <v>948</v>
      </c>
      <c r="F4202" s="1405"/>
      <c r="G4202" s="1405"/>
      <c r="H4202" s="1405">
        <v>5760138.4299999997</v>
      </c>
      <c r="I4202" s="1405"/>
      <c r="J4202" s="1405">
        <v>5760138.4299999997</v>
      </c>
    </row>
    <row r="4203" spans="2:12">
      <c r="B4203" s="1297"/>
      <c r="C4203" s="1297"/>
      <c r="D4203" s="1297"/>
      <c r="E4203" s="1297" t="s">
        <v>956</v>
      </c>
      <c r="H4203" s="1399">
        <v>1165.01</v>
      </c>
      <c r="J4203" s="1399">
        <v>1165.01</v>
      </c>
    </row>
    <row r="4204" spans="2:12">
      <c r="B4204" s="1297"/>
      <c r="C4204" s="1297"/>
      <c r="D4204" s="1297"/>
      <c r="E4204" s="1297" t="s">
        <v>1118</v>
      </c>
      <c r="H4204" s="1399">
        <v>4985.93</v>
      </c>
      <c r="J4204" s="1399">
        <v>4985.93</v>
      </c>
    </row>
    <row r="4205" spans="2:12">
      <c r="B4205" s="1297"/>
      <c r="C4205" s="1297"/>
      <c r="D4205" s="1400" t="s">
        <v>1281</v>
      </c>
      <c r="E4205" s="1400"/>
      <c r="F4205" s="1401">
        <f>SUM(F4167:F4204)</f>
        <v>2493676.3899999997</v>
      </c>
      <c r="G4205" s="1401">
        <f>SUM(G4167:G4204)</f>
        <v>8955687.6099999994</v>
      </c>
      <c r="H4205" s="1401">
        <f>SUM(H4167:H4204)-H4202</f>
        <v>667542.02999999933</v>
      </c>
      <c r="I4205" s="1401">
        <f>SUM(I4167:I4204)-I4187</f>
        <v>12963854.859999999</v>
      </c>
      <c r="J4205" s="1401">
        <f>SUM(J4167:J4204)</f>
        <v>30934162.030000001</v>
      </c>
      <c r="K4205" s="1401">
        <f>SUM(F4205:I4205)</f>
        <v>25080760.890000001</v>
      </c>
      <c r="L4205" s="1408">
        <f>K4205/C4167</f>
        <v>10810.672797413794</v>
      </c>
    </row>
    <row r="4206" spans="2:12">
      <c r="B4206" s="1297" t="s">
        <v>1282</v>
      </c>
      <c r="C4206" s="1297">
        <v>27997</v>
      </c>
      <c r="D4206" s="1297" t="s">
        <v>1283</v>
      </c>
      <c r="E4206" s="1297" t="s">
        <v>906</v>
      </c>
      <c r="G4206" s="1399">
        <v>69188197.659999996</v>
      </c>
      <c r="J4206" s="1399">
        <v>69188197.659999996</v>
      </c>
    </row>
    <row r="4207" spans="2:12">
      <c r="B4207" s="1297"/>
      <c r="C4207" s="1297"/>
      <c r="D4207" s="1297"/>
      <c r="E4207" s="1297" t="s">
        <v>952</v>
      </c>
      <c r="G4207" s="1399">
        <v>961309.7</v>
      </c>
      <c r="J4207" s="1399">
        <v>961309.7</v>
      </c>
    </row>
    <row r="4208" spans="2:12">
      <c r="B4208" s="1297"/>
      <c r="C4208" s="1297"/>
      <c r="D4208" s="1297"/>
      <c r="E4208" s="1297" t="s">
        <v>907</v>
      </c>
      <c r="G4208" s="1399">
        <v>13845161.07</v>
      </c>
      <c r="J4208" s="1399">
        <v>13845161.07</v>
      </c>
    </row>
    <row r="4209" spans="5:10" s="1297" customFormat="1">
      <c r="E4209" s="1297" t="s">
        <v>908</v>
      </c>
      <c r="F4209" s="1399"/>
      <c r="G4209" s="1399">
        <v>23729.05</v>
      </c>
      <c r="H4209" s="1399"/>
      <c r="I4209" s="1399"/>
      <c r="J4209" s="1399">
        <v>23729.05</v>
      </c>
    </row>
    <row r="4210" spans="5:10" s="1297" customFormat="1">
      <c r="E4210" s="1297" t="s">
        <v>1038</v>
      </c>
      <c r="F4210" s="1399"/>
      <c r="G4210" s="1399"/>
      <c r="H4210" s="1399">
        <v>875</v>
      </c>
      <c r="I4210" s="1399"/>
      <c r="J4210" s="1399">
        <v>875</v>
      </c>
    </row>
    <row r="4211" spans="5:10" s="1297" customFormat="1">
      <c r="E4211" s="1297" t="s">
        <v>1039</v>
      </c>
      <c r="F4211" s="1399"/>
      <c r="G4211" s="1399"/>
      <c r="H4211" s="1399">
        <v>84030.909999999989</v>
      </c>
      <c r="I4211" s="1399"/>
      <c r="J4211" s="1399">
        <v>84030.909999999989</v>
      </c>
    </row>
    <row r="4212" spans="5:10" s="1297" customFormat="1">
      <c r="E4212" s="1297" t="s">
        <v>1040</v>
      </c>
      <c r="F4212" s="1399"/>
      <c r="G4212" s="1399"/>
      <c r="H4212" s="1399">
        <v>3537218.52</v>
      </c>
      <c r="I4212" s="1399"/>
      <c r="J4212" s="1399">
        <v>3537218.52</v>
      </c>
    </row>
    <row r="4213" spans="5:10" s="1297" customFormat="1">
      <c r="E4213" s="1297" t="s">
        <v>1041</v>
      </c>
      <c r="F4213" s="1399"/>
      <c r="G4213" s="1399"/>
      <c r="H4213" s="1399">
        <v>1126345.4099999999</v>
      </c>
      <c r="I4213" s="1399"/>
      <c r="J4213" s="1399">
        <v>1126345.4099999999</v>
      </c>
    </row>
    <row r="4214" spans="5:10" s="1297" customFormat="1">
      <c r="E4214" s="1297" t="s">
        <v>1042</v>
      </c>
      <c r="F4214" s="1399"/>
      <c r="G4214" s="1399"/>
      <c r="H4214" s="1399">
        <v>257770.63</v>
      </c>
      <c r="I4214" s="1399"/>
      <c r="J4214" s="1399">
        <v>257770.63</v>
      </c>
    </row>
    <row r="4215" spans="5:10" s="1297" customFormat="1">
      <c r="E4215" s="1297" t="s">
        <v>954</v>
      </c>
      <c r="F4215" s="1399"/>
      <c r="G4215" s="1399"/>
      <c r="H4215" s="1399">
        <v>4507252.0199999996</v>
      </c>
      <c r="I4215" s="1399"/>
      <c r="J4215" s="1399">
        <v>4507252.0199999996</v>
      </c>
    </row>
    <row r="4216" spans="5:10" s="1297" customFormat="1">
      <c r="E4216" s="1297" t="s">
        <v>985</v>
      </c>
      <c r="F4216" s="1399"/>
      <c r="G4216" s="1399"/>
      <c r="H4216" s="1399">
        <v>-13842.119999999999</v>
      </c>
      <c r="I4216" s="1399"/>
      <c r="J4216" s="1399">
        <v>-13842.119999999999</v>
      </c>
    </row>
    <row r="4217" spans="5:10" s="1297" customFormat="1">
      <c r="E4217" s="1297" t="s">
        <v>1203</v>
      </c>
      <c r="F4217" s="1399"/>
      <c r="G4217" s="1399"/>
      <c r="H4217" s="1399">
        <v>1000</v>
      </c>
      <c r="I4217" s="1399"/>
      <c r="J4217" s="1399">
        <v>1000</v>
      </c>
    </row>
    <row r="4218" spans="5:10" s="1297" customFormat="1">
      <c r="E4218" s="1297" t="s">
        <v>1044</v>
      </c>
      <c r="F4218" s="1399">
        <v>102463.22</v>
      </c>
      <c r="G4218" s="1399"/>
      <c r="H4218" s="1399"/>
      <c r="I4218" s="1399"/>
      <c r="J4218" s="1399">
        <v>102463.22</v>
      </c>
    </row>
    <row r="4219" spans="5:10" s="1297" customFormat="1">
      <c r="E4219" s="1297" t="s">
        <v>1045</v>
      </c>
      <c r="F4219" s="1399"/>
      <c r="G4219" s="1399"/>
      <c r="H4219" s="1399">
        <v>1077255.94</v>
      </c>
      <c r="I4219" s="1399"/>
      <c r="J4219" s="1399">
        <v>1077255.94</v>
      </c>
    </row>
    <row r="4220" spans="5:10" s="1297" customFormat="1">
      <c r="E4220" s="1297" t="s">
        <v>1046</v>
      </c>
      <c r="F4220" s="1399"/>
      <c r="G4220" s="1399"/>
      <c r="H4220" s="1399"/>
      <c r="I4220" s="1399">
        <v>136875437</v>
      </c>
      <c r="J4220" s="1399">
        <v>136875437</v>
      </c>
    </row>
    <row r="4221" spans="5:10" s="1297" customFormat="1">
      <c r="E4221" s="1297" t="s">
        <v>1128</v>
      </c>
      <c r="F4221" s="1399"/>
      <c r="G4221" s="1399"/>
      <c r="H4221" s="1399"/>
      <c r="I4221" s="1399">
        <v>12306029</v>
      </c>
      <c r="J4221" s="1399">
        <v>12306029</v>
      </c>
    </row>
    <row r="4222" spans="5:10" s="1297" customFormat="1">
      <c r="E4222" s="1297" t="s">
        <v>1129</v>
      </c>
      <c r="F4222" s="1399"/>
      <c r="G4222" s="1399"/>
      <c r="H4222" s="1399"/>
      <c r="I4222" s="1399">
        <v>-18943395</v>
      </c>
      <c r="J4222" s="1399">
        <v>-18943395</v>
      </c>
    </row>
    <row r="4223" spans="5:10" s="1297" customFormat="1">
      <c r="E4223" s="1297" t="s">
        <v>1047</v>
      </c>
      <c r="F4223" s="1399"/>
      <c r="G4223" s="1399"/>
      <c r="H4223" s="1399"/>
      <c r="I4223" s="1399">
        <v>1833807</v>
      </c>
      <c r="J4223" s="1399">
        <v>1833807</v>
      </c>
    </row>
    <row r="4224" spans="5:10" s="1297" customFormat="1">
      <c r="E4224" s="1297" t="s">
        <v>1048</v>
      </c>
      <c r="F4224" s="1399"/>
      <c r="G4224" s="1399"/>
      <c r="H4224" s="1399"/>
      <c r="I4224" s="1399">
        <v>-19279417</v>
      </c>
      <c r="J4224" s="1399">
        <v>-19279417</v>
      </c>
    </row>
    <row r="4225" spans="5:10" s="1297" customFormat="1">
      <c r="E4225" s="1297" t="s">
        <v>932</v>
      </c>
      <c r="F4225" s="1399"/>
      <c r="G4225" s="1399"/>
      <c r="H4225" s="1399"/>
      <c r="I4225" s="1399">
        <v>17276058</v>
      </c>
      <c r="J4225" s="1399">
        <v>17276058</v>
      </c>
    </row>
    <row r="4226" spans="5:10" s="1297" customFormat="1">
      <c r="E4226" s="1297" t="s">
        <v>934</v>
      </c>
      <c r="F4226" s="1399"/>
      <c r="G4226" s="1399"/>
      <c r="H4226" s="1399"/>
      <c r="I4226" s="1399">
        <v>392426</v>
      </c>
      <c r="J4226" s="1399">
        <v>392426</v>
      </c>
    </row>
    <row r="4227" spans="5:10" s="1297" customFormat="1">
      <c r="E4227" s="1297" t="s">
        <v>1130</v>
      </c>
      <c r="F4227" s="1399"/>
      <c r="G4227" s="1399"/>
      <c r="H4227" s="1399"/>
      <c r="I4227" s="1399">
        <v>2557081.6000000001</v>
      </c>
      <c r="J4227" s="1399">
        <v>2557081.6000000001</v>
      </c>
    </row>
    <row r="4228" spans="5:10" s="1297" customFormat="1">
      <c r="E4228" s="1297" t="s">
        <v>935</v>
      </c>
      <c r="F4228" s="1399"/>
      <c r="G4228" s="1399"/>
      <c r="H4228" s="1399"/>
      <c r="I4228" s="1399">
        <v>1562425.01</v>
      </c>
      <c r="J4228" s="1399">
        <v>1562425.01</v>
      </c>
    </row>
    <row r="4229" spans="5:10" s="1297" customFormat="1">
      <c r="E4229" s="1297" t="s">
        <v>936</v>
      </c>
      <c r="F4229" s="1399"/>
      <c r="G4229" s="1399"/>
      <c r="H4229" s="1399"/>
      <c r="I4229" s="1399">
        <v>385865.89</v>
      </c>
      <c r="J4229" s="1399">
        <v>385865.89</v>
      </c>
    </row>
    <row r="4230" spans="5:10" s="1297" customFormat="1">
      <c r="E4230" s="1297" t="s">
        <v>937</v>
      </c>
      <c r="F4230" s="1399"/>
      <c r="G4230" s="1399"/>
      <c r="H4230" s="1399"/>
      <c r="I4230" s="1399">
        <v>94948.65</v>
      </c>
      <c r="J4230" s="1399">
        <v>94948.65</v>
      </c>
    </row>
    <row r="4231" spans="5:10" s="1297" customFormat="1">
      <c r="E4231" s="1297" t="s">
        <v>938</v>
      </c>
      <c r="F4231" s="1399"/>
      <c r="G4231" s="1399"/>
      <c r="H4231" s="1399"/>
      <c r="I4231" s="1399">
        <v>124461</v>
      </c>
      <c r="J4231" s="1399">
        <v>124461</v>
      </c>
    </row>
    <row r="4232" spans="5:10" s="1297" customFormat="1">
      <c r="E4232" s="1297" t="s">
        <v>939</v>
      </c>
      <c r="F4232" s="1399"/>
      <c r="G4232" s="1399"/>
      <c r="H4232" s="1399"/>
      <c r="I4232" s="1399">
        <v>41922.06</v>
      </c>
      <c r="J4232" s="1399">
        <v>41922.06</v>
      </c>
    </row>
    <row r="4233" spans="5:10" s="1297" customFormat="1">
      <c r="E4233" s="1297" t="s">
        <v>1131</v>
      </c>
      <c r="F4233" s="1399">
        <v>222268.04</v>
      </c>
      <c r="G4233" s="1399"/>
      <c r="H4233" s="1399"/>
      <c r="I4233" s="1399"/>
      <c r="J4233" s="1399">
        <v>222268.04</v>
      </c>
    </row>
    <row r="4234" spans="5:10" s="1297" customFormat="1">
      <c r="E4234" s="1297" t="s">
        <v>940</v>
      </c>
      <c r="F4234" s="1399">
        <v>4868925.76</v>
      </c>
      <c r="G4234" s="1399"/>
      <c r="H4234" s="1399"/>
      <c r="I4234" s="1399"/>
      <c r="J4234" s="1399">
        <v>4868925.76</v>
      </c>
    </row>
    <row r="4235" spans="5:10" s="1297" customFormat="1">
      <c r="E4235" s="1297" t="s">
        <v>941</v>
      </c>
      <c r="F4235" s="1399">
        <v>1245370.78</v>
      </c>
      <c r="G4235" s="1399"/>
      <c r="H4235" s="1399"/>
      <c r="I4235" s="1399"/>
      <c r="J4235" s="1399">
        <v>1245370.78</v>
      </c>
    </row>
    <row r="4236" spans="5:10" s="1297" customFormat="1">
      <c r="E4236" s="1297" t="s">
        <v>943</v>
      </c>
      <c r="F4236" s="1399">
        <v>55925.79</v>
      </c>
      <c r="G4236" s="1399"/>
      <c r="H4236" s="1399"/>
      <c r="I4236" s="1399"/>
      <c r="J4236" s="1399">
        <v>55925.79</v>
      </c>
    </row>
    <row r="4237" spans="5:10" s="1297" customFormat="1">
      <c r="E4237" s="1297" t="s">
        <v>944</v>
      </c>
      <c r="F4237" s="1399">
        <v>7912228.5699999984</v>
      </c>
      <c r="G4237" s="1399"/>
      <c r="H4237" s="1399"/>
      <c r="I4237" s="1399"/>
      <c r="J4237" s="1399">
        <v>7912228.5699999984</v>
      </c>
    </row>
    <row r="4238" spans="5:10" s="1297" customFormat="1">
      <c r="E4238" s="1297" t="s">
        <v>945</v>
      </c>
      <c r="F4238" s="1399">
        <v>9045195.0600000005</v>
      </c>
      <c r="G4238" s="1399"/>
      <c r="H4238" s="1399"/>
      <c r="I4238" s="1399"/>
      <c r="J4238" s="1399">
        <v>9045195.0600000005</v>
      </c>
    </row>
    <row r="4239" spans="5:10" s="1297" customFormat="1">
      <c r="E4239" s="1297" t="s">
        <v>947</v>
      </c>
      <c r="F4239" s="1399">
        <v>429335.13</v>
      </c>
      <c r="G4239" s="1399"/>
      <c r="H4239" s="1399"/>
      <c r="I4239" s="1399"/>
      <c r="J4239" s="1399">
        <v>429335.13</v>
      </c>
    </row>
    <row r="4240" spans="5:10" s="1297" customFormat="1">
      <c r="E4240" s="1404" t="s">
        <v>948</v>
      </c>
      <c r="F4240" s="1405"/>
      <c r="G4240" s="1405"/>
      <c r="H4240" s="1405">
        <v>24639599.23</v>
      </c>
      <c r="I4240" s="1405"/>
      <c r="J4240" s="1405">
        <v>24639599.23</v>
      </c>
    </row>
    <row r="4241" spans="2:12">
      <c r="B4241" s="1297"/>
      <c r="C4241" s="1297"/>
      <c r="D4241" s="1297"/>
      <c r="E4241" s="1297" t="s">
        <v>956</v>
      </c>
      <c r="H4241" s="1399">
        <v>31397</v>
      </c>
      <c r="J4241" s="1399">
        <v>31397</v>
      </c>
    </row>
    <row r="4242" spans="2:12">
      <c r="B4242" s="1297"/>
      <c r="C4242" s="1297"/>
      <c r="D4242" s="1400" t="s">
        <v>1284</v>
      </c>
      <c r="E4242" s="1400"/>
      <c r="F4242" s="1401">
        <f>SUM(F4206:F4241)</f>
        <v>23881712.349999998</v>
      </c>
      <c r="G4242" s="1401">
        <f>SUM(G4206:G4241)</f>
        <v>84018397.480000004</v>
      </c>
      <c r="H4242" s="1401">
        <f>SUM(H4206:H4241)-H4240</f>
        <v>10609303.309999999</v>
      </c>
      <c r="I4242" s="1401">
        <f>SUM(I4206:I4241)</f>
        <v>135227649.20999998</v>
      </c>
      <c r="J4242" s="1401">
        <f>SUM(J4206:J4241)</f>
        <v>278376661.57999992</v>
      </c>
      <c r="K4242" s="1401">
        <f>SUM(F4242:I4242)</f>
        <v>253737062.34999996</v>
      </c>
      <c r="L4242" s="1408">
        <f>K4242/C4206</f>
        <v>9063.0089777476151</v>
      </c>
    </row>
    <row r="4243" spans="2:12">
      <c r="B4243" s="1297" t="s">
        <v>1285</v>
      </c>
      <c r="C4243" s="1297">
        <v>3911</v>
      </c>
      <c r="D4243" s="1297" t="s">
        <v>1286</v>
      </c>
      <c r="E4243" s="1297" t="s">
        <v>906</v>
      </c>
      <c r="G4243" s="1399">
        <v>10572262.5</v>
      </c>
      <c r="J4243" s="1399">
        <v>10572262.5</v>
      </c>
    </row>
    <row r="4244" spans="2:12">
      <c r="B4244" s="1297"/>
      <c r="C4244" s="1297"/>
      <c r="D4244" s="1297"/>
      <c r="E4244" s="1297" t="s">
        <v>952</v>
      </c>
      <c r="G4244" s="1399">
        <v>110583.93</v>
      </c>
      <c r="J4244" s="1399">
        <v>110583.93</v>
      </c>
    </row>
    <row r="4245" spans="2:12">
      <c r="B4245" s="1297"/>
      <c r="C4245" s="1297"/>
      <c r="D4245" s="1297"/>
      <c r="E4245" s="1297" t="s">
        <v>907</v>
      </c>
      <c r="G4245" s="1399">
        <v>4060444.12</v>
      </c>
      <c r="J4245" s="1399">
        <v>4060444.12</v>
      </c>
    </row>
    <row r="4246" spans="2:12">
      <c r="B4246" s="1297"/>
      <c r="C4246" s="1297"/>
      <c r="D4246" s="1297"/>
      <c r="E4246" s="1297" t="s">
        <v>908</v>
      </c>
      <c r="G4246" s="1399">
        <v>54918.7</v>
      </c>
      <c r="J4246" s="1399">
        <v>54918.7</v>
      </c>
    </row>
    <row r="4247" spans="2:12">
      <c r="B4247" s="1297"/>
      <c r="C4247" s="1297"/>
      <c r="D4247" s="1297"/>
      <c r="E4247" s="1297" t="s">
        <v>909</v>
      </c>
      <c r="H4247" s="1399">
        <v>79251.929999999993</v>
      </c>
      <c r="J4247" s="1399">
        <v>79251.929999999993</v>
      </c>
    </row>
    <row r="4248" spans="2:12">
      <c r="B4248" s="1297"/>
      <c r="C4248" s="1297"/>
      <c r="D4248" s="1297"/>
      <c r="E4248" s="1297" t="s">
        <v>910</v>
      </c>
      <c r="H4248" s="1399">
        <v>135725.91</v>
      </c>
      <c r="J4248" s="1399">
        <v>135725.91</v>
      </c>
    </row>
    <row r="4249" spans="2:12">
      <c r="B4249" s="1297"/>
      <c r="C4249" s="1297"/>
      <c r="D4249" s="1297"/>
      <c r="E4249" s="1297" t="s">
        <v>1034</v>
      </c>
      <c r="H4249" s="1399">
        <v>93556.93</v>
      </c>
      <c r="J4249" s="1399">
        <v>93556.93</v>
      </c>
    </row>
    <row r="4250" spans="2:12">
      <c r="B4250" s="1297"/>
      <c r="C4250" s="1297"/>
      <c r="D4250" s="1297"/>
      <c r="E4250" s="1297" t="s">
        <v>1035</v>
      </c>
      <c r="H4250" s="1399">
        <v>374834.98</v>
      </c>
      <c r="J4250" s="1399">
        <v>374834.98</v>
      </c>
    </row>
    <row r="4251" spans="2:12">
      <c r="B4251" s="1297"/>
      <c r="C4251" s="1297"/>
      <c r="D4251" s="1297"/>
      <c r="E4251" s="1297" t="s">
        <v>1036</v>
      </c>
      <c r="H4251" s="1399">
        <v>235375</v>
      </c>
      <c r="J4251" s="1399">
        <v>235375</v>
      </c>
    </row>
    <row r="4252" spans="2:12">
      <c r="B4252" s="1297"/>
      <c r="C4252" s="1297"/>
      <c r="D4252" s="1297"/>
      <c r="E4252" s="1297" t="s">
        <v>1037</v>
      </c>
      <c r="H4252" s="1399">
        <v>31840.400000000001</v>
      </c>
      <c r="J4252" s="1399">
        <v>31840.400000000001</v>
      </c>
    </row>
    <row r="4253" spans="2:12">
      <c r="B4253" s="1297"/>
      <c r="C4253" s="1297"/>
      <c r="D4253" s="1297"/>
      <c r="E4253" s="1297" t="s">
        <v>1039</v>
      </c>
      <c r="H4253" s="1399">
        <v>10592.24</v>
      </c>
      <c r="J4253" s="1399">
        <v>10592.24</v>
      </c>
    </row>
    <row r="4254" spans="2:12">
      <c r="B4254" s="1297"/>
      <c r="C4254" s="1297"/>
      <c r="D4254" s="1297"/>
      <c r="E4254" s="1297" t="s">
        <v>1040</v>
      </c>
      <c r="H4254" s="1399">
        <v>177368.11</v>
      </c>
      <c r="J4254" s="1399">
        <v>177368.11</v>
      </c>
    </row>
    <row r="4255" spans="2:12">
      <c r="B4255" s="1297"/>
      <c r="C4255" s="1297"/>
      <c r="D4255" s="1297"/>
      <c r="E4255" s="1297" t="s">
        <v>1127</v>
      </c>
      <c r="H4255" s="1399">
        <v>71872.639999999999</v>
      </c>
      <c r="J4255" s="1399">
        <v>71872.639999999999</v>
      </c>
    </row>
    <row r="4256" spans="2:12">
      <c r="B4256" s="1297"/>
      <c r="C4256" s="1297"/>
      <c r="D4256" s="1297"/>
      <c r="E4256" s="1297" t="s">
        <v>1041</v>
      </c>
      <c r="H4256" s="1399">
        <v>36384.410000000003</v>
      </c>
      <c r="J4256" s="1399">
        <v>36384.410000000003</v>
      </c>
    </row>
    <row r="4257" spans="5:10" s="1297" customFormat="1">
      <c r="E4257" s="1297" t="s">
        <v>1042</v>
      </c>
      <c r="F4257" s="1399"/>
      <c r="G4257" s="1399"/>
      <c r="H4257" s="1399">
        <v>52554.85</v>
      </c>
      <c r="I4257" s="1399"/>
      <c r="J4257" s="1399">
        <v>52554.85</v>
      </c>
    </row>
    <row r="4258" spans="5:10" s="1297" customFormat="1">
      <c r="E4258" s="1297" t="s">
        <v>1045</v>
      </c>
      <c r="F4258" s="1399"/>
      <c r="G4258" s="1399"/>
      <c r="H4258" s="1399">
        <v>45587.49</v>
      </c>
      <c r="I4258" s="1399"/>
      <c r="J4258" s="1399">
        <v>45587.49</v>
      </c>
    </row>
    <row r="4259" spans="5:10" s="1297" customFormat="1">
      <c r="E4259" s="1297" t="s">
        <v>1046</v>
      </c>
      <c r="F4259" s="1399"/>
      <c r="G4259" s="1399"/>
      <c r="H4259" s="1399"/>
      <c r="I4259" s="1399">
        <v>19231700</v>
      </c>
      <c r="J4259" s="1399">
        <v>19231700</v>
      </c>
    </row>
    <row r="4260" spans="5:10" s="1297" customFormat="1">
      <c r="E4260" s="1297" t="s">
        <v>1128</v>
      </c>
      <c r="F4260" s="1399"/>
      <c r="G4260" s="1399"/>
      <c r="H4260" s="1399"/>
      <c r="I4260" s="1399">
        <v>1688569</v>
      </c>
      <c r="J4260" s="1399">
        <v>1688569</v>
      </c>
    </row>
    <row r="4261" spans="5:10" s="1297" customFormat="1">
      <c r="E4261" s="1297" t="s">
        <v>1129</v>
      </c>
      <c r="F4261" s="1399"/>
      <c r="G4261" s="1399"/>
      <c r="H4261" s="1399"/>
      <c r="I4261" s="1399">
        <v>-2811397</v>
      </c>
      <c r="J4261" s="1399">
        <v>-2811397</v>
      </c>
    </row>
    <row r="4262" spans="5:10" s="1297" customFormat="1">
      <c r="E4262" s="1297" t="s">
        <v>1047</v>
      </c>
      <c r="F4262" s="1399"/>
      <c r="G4262" s="1399"/>
      <c r="H4262" s="1399"/>
      <c r="I4262" s="1399">
        <v>636422</v>
      </c>
      <c r="J4262" s="1399">
        <v>636422</v>
      </c>
    </row>
    <row r="4263" spans="5:10" s="1297" customFormat="1">
      <c r="E4263" s="1297" t="s">
        <v>1048</v>
      </c>
      <c r="F4263" s="1399"/>
      <c r="G4263" s="1399"/>
      <c r="H4263" s="1399"/>
      <c r="I4263" s="1399">
        <v>-2623520</v>
      </c>
      <c r="J4263" s="1399">
        <v>-2623520</v>
      </c>
    </row>
    <row r="4264" spans="5:10" s="1297" customFormat="1">
      <c r="E4264" s="1297" t="s">
        <v>932</v>
      </c>
      <c r="F4264" s="1399"/>
      <c r="G4264" s="1399"/>
      <c r="H4264" s="1399"/>
      <c r="I4264" s="1399">
        <v>2061836</v>
      </c>
      <c r="J4264" s="1399">
        <v>2061836</v>
      </c>
    </row>
    <row r="4265" spans="5:10" s="1297" customFormat="1">
      <c r="E4265" s="1297" t="s">
        <v>934</v>
      </c>
      <c r="F4265" s="1399"/>
      <c r="G4265" s="1399"/>
      <c r="H4265" s="1399"/>
      <c r="I4265" s="1399">
        <v>72628</v>
      </c>
      <c r="J4265" s="1399">
        <v>72628</v>
      </c>
    </row>
    <row r="4266" spans="5:10" s="1297" customFormat="1">
      <c r="E4266" s="1297" t="s">
        <v>935</v>
      </c>
      <c r="F4266" s="1399"/>
      <c r="G4266" s="1399"/>
      <c r="H4266" s="1399"/>
      <c r="I4266" s="1399">
        <v>135159.63</v>
      </c>
      <c r="J4266" s="1399">
        <v>135159.63</v>
      </c>
    </row>
    <row r="4267" spans="5:10" s="1297" customFormat="1">
      <c r="E4267" s="1297" t="s">
        <v>936</v>
      </c>
      <c r="F4267" s="1399"/>
      <c r="G4267" s="1399"/>
      <c r="H4267" s="1399"/>
      <c r="I4267" s="1399">
        <v>63377.25</v>
      </c>
      <c r="J4267" s="1399">
        <v>63377.25</v>
      </c>
    </row>
    <row r="4268" spans="5:10" s="1297" customFormat="1">
      <c r="E4268" s="1297" t="s">
        <v>937</v>
      </c>
      <c r="F4268" s="1399"/>
      <c r="G4268" s="1399"/>
      <c r="H4268" s="1399"/>
      <c r="I4268" s="1399">
        <v>27851.759999999998</v>
      </c>
      <c r="J4268" s="1399">
        <v>27851.759999999998</v>
      </c>
    </row>
    <row r="4269" spans="5:10" s="1297" customFormat="1">
      <c r="E4269" s="1297" t="s">
        <v>938</v>
      </c>
      <c r="F4269" s="1399"/>
      <c r="G4269" s="1399"/>
      <c r="H4269" s="1399"/>
      <c r="I4269" s="1399">
        <v>25266.01</v>
      </c>
      <c r="J4269" s="1399">
        <v>25266.01</v>
      </c>
    </row>
    <row r="4270" spans="5:10" s="1297" customFormat="1">
      <c r="E4270" s="1297" t="s">
        <v>1131</v>
      </c>
      <c r="F4270" s="1399">
        <v>32888.53</v>
      </c>
      <c r="G4270" s="1399"/>
      <c r="H4270" s="1399"/>
      <c r="I4270" s="1399"/>
      <c r="J4270" s="1399">
        <v>32888.53</v>
      </c>
    </row>
    <row r="4271" spans="5:10" s="1297" customFormat="1">
      <c r="E4271" s="1297" t="s">
        <v>940</v>
      </c>
      <c r="F4271" s="1399">
        <v>1075854.1000000001</v>
      </c>
      <c r="G4271" s="1399"/>
      <c r="H4271" s="1399"/>
      <c r="I4271" s="1399"/>
      <c r="J4271" s="1399">
        <v>1075854.1000000001</v>
      </c>
    </row>
    <row r="4272" spans="5:10" s="1297" customFormat="1">
      <c r="E4272" s="1297" t="s">
        <v>941</v>
      </c>
      <c r="F4272" s="1399">
        <v>380643.34</v>
      </c>
      <c r="G4272" s="1399"/>
      <c r="H4272" s="1399"/>
      <c r="I4272" s="1399"/>
      <c r="J4272" s="1399">
        <v>380643.34</v>
      </c>
    </row>
    <row r="4273" spans="2:12">
      <c r="B4273" s="1297"/>
      <c r="C4273" s="1297"/>
      <c r="D4273" s="1297"/>
      <c r="E4273" s="1297" t="s">
        <v>943</v>
      </c>
      <c r="F4273" s="1399">
        <v>45568.46</v>
      </c>
      <c r="J4273" s="1399">
        <v>45568.46</v>
      </c>
    </row>
    <row r="4274" spans="2:12">
      <c r="B4274" s="1297"/>
      <c r="C4274" s="1297"/>
      <c r="D4274" s="1297"/>
      <c r="E4274" s="1297" t="s">
        <v>944</v>
      </c>
      <c r="F4274" s="1399">
        <v>3280585.4999999995</v>
      </c>
      <c r="J4274" s="1399">
        <v>3280585.4999999995</v>
      </c>
    </row>
    <row r="4275" spans="2:12">
      <c r="B4275" s="1297"/>
      <c r="C4275" s="1297"/>
      <c r="D4275" s="1297"/>
      <c r="E4275" s="1297" t="s">
        <v>945</v>
      </c>
      <c r="F4275" s="1399">
        <v>3818245.1</v>
      </c>
      <c r="J4275" s="1399">
        <v>3818245.1</v>
      </c>
    </row>
    <row r="4276" spans="2:12">
      <c r="B4276" s="1297"/>
      <c r="C4276" s="1297"/>
      <c r="D4276" s="1297"/>
      <c r="E4276" s="1297" t="s">
        <v>946</v>
      </c>
      <c r="F4276" s="1399">
        <v>14718.42</v>
      </c>
      <c r="J4276" s="1399">
        <v>14718.42</v>
      </c>
    </row>
    <row r="4277" spans="2:12">
      <c r="B4277" s="1297"/>
      <c r="C4277" s="1297"/>
      <c r="D4277" s="1297"/>
      <c r="E4277" s="1297" t="s">
        <v>947</v>
      </c>
      <c r="F4277" s="1399">
        <v>169587.11</v>
      </c>
      <c r="J4277" s="1399">
        <v>169587.11</v>
      </c>
    </row>
    <row r="4278" spans="2:12">
      <c r="B4278" s="1297"/>
      <c r="C4278" s="1297"/>
      <c r="D4278" s="1297"/>
      <c r="E4278" s="1404" t="s">
        <v>948</v>
      </c>
      <c r="F4278" s="1405"/>
      <c r="G4278" s="1405"/>
      <c r="H4278" s="1405">
        <v>4160865.8099999996</v>
      </c>
      <c r="I4278" s="1405"/>
      <c r="J4278" s="1405">
        <v>4160865.8099999996</v>
      </c>
    </row>
    <row r="4279" spans="2:12">
      <c r="B4279" s="1297"/>
      <c r="C4279" s="1297"/>
      <c r="D4279" s="1400" t="s">
        <v>1287</v>
      </c>
      <c r="E4279" s="1400"/>
      <c r="F4279" s="1401">
        <f>SUM(F4243:F4278)</f>
        <v>8818090.5599999987</v>
      </c>
      <c r="G4279" s="1401">
        <f>SUM(G4243:G4278)</f>
        <v>14798209.25</v>
      </c>
      <c r="H4279" s="1401">
        <f>SUM(H4243:H4278)-H4278</f>
        <v>1344944.8899999997</v>
      </c>
      <c r="I4279" s="1401">
        <f>SUM(I4243:I4278)</f>
        <v>18507892.650000002</v>
      </c>
      <c r="J4279" s="1401">
        <f>SUM(J4243:J4278)</f>
        <v>47630003.160000011</v>
      </c>
      <c r="K4279" s="1401">
        <f>SUM(F4279:I4279)</f>
        <v>43469137.350000001</v>
      </c>
      <c r="L4279" s="1408">
        <f>K4279/C4243</f>
        <v>11114.58382766556</v>
      </c>
    </row>
    <row r="4280" spans="2:12">
      <c r="B4280" s="1297" t="s">
        <v>1288</v>
      </c>
      <c r="C4280" s="1297">
        <v>4375</v>
      </c>
      <c r="D4280" s="1297" t="s">
        <v>1289</v>
      </c>
      <c r="E4280" s="1297" t="s">
        <v>906</v>
      </c>
      <c r="G4280" s="1399">
        <v>22268941.670000002</v>
      </c>
      <c r="J4280" s="1399">
        <v>22268941.670000002</v>
      </c>
    </row>
    <row r="4281" spans="2:12">
      <c r="B4281" s="1297"/>
      <c r="C4281" s="1297"/>
      <c r="D4281" s="1297"/>
      <c r="E4281" s="1297" t="s">
        <v>952</v>
      </c>
      <c r="G4281" s="1399">
        <v>355901.11</v>
      </c>
      <c r="J4281" s="1399">
        <v>355901.11</v>
      </c>
    </row>
    <row r="4282" spans="2:12">
      <c r="B4282" s="1297"/>
      <c r="C4282" s="1297"/>
      <c r="D4282" s="1297"/>
      <c r="E4282" s="1297" t="s">
        <v>907</v>
      </c>
      <c r="G4282" s="1399">
        <v>3915978.81</v>
      </c>
      <c r="J4282" s="1399">
        <v>3915978.81</v>
      </c>
    </row>
    <row r="4283" spans="2:12">
      <c r="B4283" s="1297"/>
      <c r="C4283" s="1297"/>
      <c r="D4283" s="1297"/>
      <c r="E4283" s="1297" t="s">
        <v>1145</v>
      </c>
      <c r="G4283" s="1399">
        <v>23538.23</v>
      </c>
      <c r="J4283" s="1399">
        <v>23538.23</v>
      </c>
    </row>
    <row r="4284" spans="2:12">
      <c r="B4284" s="1297"/>
      <c r="C4284" s="1297"/>
      <c r="D4284" s="1297"/>
      <c r="E4284" s="1297" t="s">
        <v>908</v>
      </c>
      <c r="G4284" s="1399">
        <v>13902.27</v>
      </c>
      <c r="J4284" s="1399">
        <v>13902.27</v>
      </c>
    </row>
    <row r="4285" spans="2:12">
      <c r="B4285" s="1297"/>
      <c r="C4285" s="1297"/>
      <c r="D4285" s="1297"/>
      <c r="E4285" s="1297" t="s">
        <v>909</v>
      </c>
      <c r="H4285" s="1399">
        <v>4711.76</v>
      </c>
      <c r="J4285" s="1399">
        <v>4711.76</v>
      </c>
    </row>
    <row r="4286" spans="2:12">
      <c r="B4286" s="1297"/>
      <c r="C4286" s="1297"/>
      <c r="D4286" s="1297"/>
      <c r="E4286" s="1297" t="s">
        <v>910</v>
      </c>
      <c r="H4286" s="1399">
        <v>108960.1</v>
      </c>
      <c r="J4286" s="1399">
        <v>108960.1</v>
      </c>
    </row>
    <row r="4287" spans="2:12">
      <c r="B4287" s="1297"/>
      <c r="C4287" s="1297"/>
      <c r="D4287" s="1297"/>
      <c r="E4287" s="1297" t="s">
        <v>1034</v>
      </c>
      <c r="H4287" s="1399">
        <v>89635.77</v>
      </c>
      <c r="J4287" s="1399">
        <v>89635.77</v>
      </c>
    </row>
    <row r="4288" spans="2:12">
      <c r="B4288" s="1297"/>
      <c r="C4288" s="1297"/>
      <c r="D4288" s="1297"/>
      <c r="E4288" s="1297" t="s">
        <v>1035</v>
      </c>
      <c r="H4288" s="1399">
        <v>462072.88000000006</v>
      </c>
      <c r="J4288" s="1399">
        <v>462072.88000000006</v>
      </c>
    </row>
    <row r="4289" spans="5:10" s="1297" customFormat="1">
      <c r="E4289" s="1297" t="s">
        <v>1036</v>
      </c>
      <c r="F4289" s="1399"/>
      <c r="G4289" s="1399"/>
      <c r="H4289" s="1399">
        <v>166763.15</v>
      </c>
      <c r="I4289" s="1399"/>
      <c r="J4289" s="1399">
        <v>166763.15</v>
      </c>
    </row>
    <row r="4290" spans="5:10" s="1297" customFormat="1">
      <c r="E4290" s="1297" t="s">
        <v>1037</v>
      </c>
      <c r="F4290" s="1399"/>
      <c r="G4290" s="1399"/>
      <c r="H4290" s="1399">
        <v>2813.01</v>
      </c>
      <c r="I4290" s="1399"/>
      <c r="J4290" s="1399">
        <v>2813.01</v>
      </c>
    </row>
    <row r="4291" spans="5:10" s="1297" customFormat="1">
      <c r="E4291" s="1297" t="s">
        <v>1039</v>
      </c>
      <c r="F4291" s="1399"/>
      <c r="G4291" s="1399"/>
      <c r="H4291" s="1399">
        <v>121685.17</v>
      </c>
      <c r="I4291" s="1399"/>
      <c r="J4291" s="1399">
        <v>121685.17</v>
      </c>
    </row>
    <row r="4292" spans="5:10" s="1297" customFormat="1">
      <c r="E4292" s="1297" t="s">
        <v>1040</v>
      </c>
      <c r="F4292" s="1399"/>
      <c r="G4292" s="1399"/>
      <c r="H4292" s="1399">
        <v>496655.01000000007</v>
      </c>
      <c r="I4292" s="1399"/>
      <c r="J4292" s="1399">
        <v>496655.01000000007</v>
      </c>
    </row>
    <row r="4293" spans="5:10" s="1297" customFormat="1">
      <c r="E4293" s="1297" t="s">
        <v>1041</v>
      </c>
      <c r="F4293" s="1399"/>
      <c r="G4293" s="1399"/>
      <c r="H4293" s="1399">
        <v>116034.52</v>
      </c>
      <c r="I4293" s="1399"/>
      <c r="J4293" s="1399">
        <v>116034.52</v>
      </c>
    </row>
    <row r="4294" spans="5:10" s="1297" customFormat="1">
      <c r="E4294" s="1297" t="s">
        <v>1042</v>
      </c>
      <c r="F4294" s="1399"/>
      <c r="G4294" s="1399"/>
      <c r="H4294" s="1399">
        <v>77083.580000000016</v>
      </c>
      <c r="I4294" s="1399"/>
      <c r="J4294" s="1399">
        <v>77083.580000000016</v>
      </c>
    </row>
    <row r="4295" spans="5:10" s="1297" customFormat="1">
      <c r="E4295" s="1297" t="s">
        <v>985</v>
      </c>
      <c r="F4295" s="1399"/>
      <c r="G4295" s="1399"/>
      <c r="H4295" s="1399">
        <v>101633.25</v>
      </c>
      <c r="I4295" s="1399"/>
      <c r="J4295" s="1399">
        <v>101633.25</v>
      </c>
    </row>
    <row r="4296" spans="5:10" s="1297" customFormat="1">
      <c r="E4296" s="1297" t="s">
        <v>986</v>
      </c>
      <c r="F4296" s="1399"/>
      <c r="G4296" s="1399"/>
      <c r="H4296" s="1399">
        <v>63115.56</v>
      </c>
      <c r="I4296" s="1399"/>
      <c r="J4296" s="1399">
        <v>63115.56</v>
      </c>
    </row>
    <row r="4297" spans="5:10" s="1297" customFormat="1">
      <c r="E4297" s="1297" t="s">
        <v>1045</v>
      </c>
      <c r="F4297" s="1399"/>
      <c r="G4297" s="1399"/>
      <c r="H4297" s="1399">
        <v>387991.60000000009</v>
      </c>
      <c r="I4297" s="1399"/>
      <c r="J4297" s="1399">
        <v>387991.60000000009</v>
      </c>
    </row>
    <row r="4298" spans="5:10" s="1297" customFormat="1">
      <c r="E4298" s="1297" t="s">
        <v>1046</v>
      </c>
      <c r="F4298" s="1399"/>
      <c r="G4298" s="1399"/>
      <c r="H4298" s="1399"/>
      <c r="I4298" s="1399">
        <v>23426971</v>
      </c>
      <c r="J4298" s="1399">
        <v>23426971</v>
      </c>
    </row>
    <row r="4299" spans="5:10" s="1297" customFormat="1">
      <c r="E4299" s="1297" t="s">
        <v>1128</v>
      </c>
      <c r="F4299" s="1399"/>
      <c r="G4299" s="1399"/>
      <c r="H4299" s="1399"/>
      <c r="I4299" s="1399">
        <v>2008545</v>
      </c>
      <c r="J4299" s="1399">
        <v>2008545</v>
      </c>
    </row>
    <row r="4300" spans="5:10" s="1297" customFormat="1">
      <c r="E4300" s="1297" t="s">
        <v>1129</v>
      </c>
      <c r="F4300" s="1399"/>
      <c r="G4300" s="1399"/>
      <c r="H4300" s="1399"/>
      <c r="I4300" s="1399">
        <v>-2884836</v>
      </c>
      <c r="J4300" s="1399">
        <v>-2884836</v>
      </c>
    </row>
    <row r="4301" spans="5:10" s="1297" customFormat="1">
      <c r="E4301" s="1297" t="s">
        <v>1047</v>
      </c>
      <c r="F4301" s="1399"/>
      <c r="G4301" s="1399"/>
      <c r="H4301" s="1399"/>
      <c r="I4301" s="1399">
        <v>622353</v>
      </c>
      <c r="J4301" s="1399">
        <v>622353</v>
      </c>
    </row>
    <row r="4302" spans="5:10" s="1297" customFormat="1">
      <c r="E4302" s="1297" t="s">
        <v>1048</v>
      </c>
      <c r="F4302" s="1399"/>
      <c r="G4302" s="1399"/>
      <c r="H4302" s="1399"/>
      <c r="I4302" s="1399">
        <v>-6361774</v>
      </c>
      <c r="J4302" s="1399">
        <v>-6361774</v>
      </c>
    </row>
    <row r="4303" spans="5:10" s="1297" customFormat="1">
      <c r="E4303" s="1297" t="s">
        <v>933</v>
      </c>
      <c r="F4303" s="1399"/>
      <c r="G4303" s="1399"/>
      <c r="H4303" s="1399"/>
      <c r="I4303" s="1399">
        <v>163582.71</v>
      </c>
      <c r="J4303" s="1399">
        <v>163582.71</v>
      </c>
    </row>
    <row r="4304" spans="5:10" s="1297" customFormat="1">
      <c r="E4304" s="1297" t="s">
        <v>934</v>
      </c>
      <c r="F4304" s="1399"/>
      <c r="G4304" s="1399"/>
      <c r="H4304" s="1399"/>
      <c r="I4304" s="1399">
        <v>73272.800000000003</v>
      </c>
      <c r="J4304" s="1399">
        <v>73272.800000000003</v>
      </c>
    </row>
    <row r="4305" spans="2:12">
      <c r="B4305" s="1297"/>
      <c r="C4305" s="1297"/>
      <c r="D4305" s="1297"/>
      <c r="E4305" s="1297" t="s">
        <v>1130</v>
      </c>
      <c r="I4305" s="1399">
        <v>116566</v>
      </c>
      <c r="J4305" s="1399">
        <v>116566</v>
      </c>
    </row>
    <row r="4306" spans="2:12">
      <c r="B4306" s="1297"/>
      <c r="C4306" s="1297"/>
      <c r="D4306" s="1297"/>
      <c r="E4306" s="1297" t="s">
        <v>935</v>
      </c>
      <c r="I4306" s="1399">
        <v>493438.53</v>
      </c>
      <c r="J4306" s="1399">
        <v>493438.53</v>
      </c>
    </row>
    <row r="4307" spans="2:12">
      <c r="B4307" s="1297"/>
      <c r="C4307" s="1297"/>
      <c r="D4307" s="1297"/>
      <c r="E4307" s="1297" t="s">
        <v>936</v>
      </c>
      <c r="I4307" s="1399">
        <v>104344.86</v>
      </c>
      <c r="J4307" s="1399">
        <v>104344.86</v>
      </c>
    </row>
    <row r="4308" spans="2:12">
      <c r="B4308" s="1297"/>
      <c r="C4308" s="1297"/>
      <c r="D4308" s="1297"/>
      <c r="E4308" s="1297" t="s">
        <v>937</v>
      </c>
      <c r="I4308" s="1399">
        <v>8577.2800000000007</v>
      </c>
      <c r="J4308" s="1399">
        <v>8577.2800000000007</v>
      </c>
    </row>
    <row r="4309" spans="2:12">
      <c r="B4309" s="1297"/>
      <c r="C4309" s="1297"/>
      <c r="D4309" s="1297"/>
      <c r="E4309" s="1297" t="s">
        <v>938</v>
      </c>
      <c r="I4309" s="1399">
        <v>29197</v>
      </c>
      <c r="J4309" s="1399">
        <v>29197</v>
      </c>
    </row>
    <row r="4310" spans="2:12">
      <c r="B4310" s="1297"/>
      <c r="C4310" s="1297"/>
      <c r="D4310" s="1297"/>
      <c r="E4310" s="1297" t="s">
        <v>940</v>
      </c>
      <c r="F4310" s="1399">
        <v>977362.10000000009</v>
      </c>
      <c r="J4310" s="1399">
        <v>977362.10000000009</v>
      </c>
    </row>
    <row r="4311" spans="2:12">
      <c r="B4311" s="1297"/>
      <c r="C4311" s="1297"/>
      <c r="D4311" s="1297"/>
      <c r="E4311" s="1297" t="s">
        <v>941</v>
      </c>
      <c r="F4311" s="1399">
        <v>300211.40000000002</v>
      </c>
      <c r="J4311" s="1399">
        <v>300211.40000000002</v>
      </c>
    </row>
    <row r="4312" spans="2:12">
      <c r="B4312" s="1297"/>
      <c r="C4312" s="1297"/>
      <c r="D4312" s="1297"/>
      <c r="E4312" s="1297" t="s">
        <v>944</v>
      </c>
      <c r="F4312" s="1399">
        <v>2540660.8699999996</v>
      </c>
      <c r="J4312" s="1399">
        <v>2540660.8699999996</v>
      </c>
    </row>
    <row r="4313" spans="2:12">
      <c r="B4313" s="1297"/>
      <c r="C4313" s="1297"/>
      <c r="D4313" s="1297"/>
      <c r="E4313" s="1297" t="s">
        <v>945</v>
      </c>
      <c r="F4313" s="1399">
        <v>1502731.17</v>
      </c>
      <c r="J4313" s="1399">
        <v>1502731.17</v>
      </c>
    </row>
    <row r="4314" spans="2:12">
      <c r="B4314" s="1297"/>
      <c r="C4314" s="1297"/>
      <c r="D4314" s="1297"/>
      <c r="E4314" s="1297" t="s">
        <v>946</v>
      </c>
      <c r="F4314" s="1399">
        <v>633577.63</v>
      </c>
      <c r="J4314" s="1399">
        <v>633577.63</v>
      </c>
    </row>
    <row r="4315" spans="2:12">
      <c r="B4315" s="1297"/>
      <c r="C4315" s="1297"/>
      <c r="D4315" s="1297"/>
      <c r="E4315" s="1297" t="s">
        <v>947</v>
      </c>
      <c r="F4315" s="1399">
        <v>142256.83000000002</v>
      </c>
      <c r="J4315" s="1399">
        <v>142256.83000000002</v>
      </c>
    </row>
    <row r="4316" spans="2:12">
      <c r="B4316" s="1297"/>
      <c r="C4316" s="1297"/>
      <c r="D4316" s="1297"/>
      <c r="E4316" s="1404" t="s">
        <v>948</v>
      </c>
      <c r="F4316" s="1405"/>
      <c r="G4316" s="1405"/>
      <c r="H4316" s="1405">
        <v>4248676.8999999994</v>
      </c>
      <c r="I4316" s="1405"/>
      <c r="J4316" s="1405">
        <v>4248676.8999999994</v>
      </c>
    </row>
    <row r="4317" spans="2:12">
      <c r="B4317" s="1297"/>
      <c r="C4317" s="1297"/>
      <c r="D4317" s="1400" t="s">
        <v>1290</v>
      </c>
      <c r="E4317" s="1400"/>
      <c r="F4317" s="1401">
        <f>SUM(F4280:F4316)</f>
        <v>6096799.9999999991</v>
      </c>
      <c r="G4317" s="1401">
        <f>SUM(G4280:G4316)</f>
        <v>26578262.09</v>
      </c>
      <c r="H4317" s="1401">
        <f>SUM(H4280:H4316)-H4316</f>
        <v>2199155.3600000003</v>
      </c>
      <c r="I4317" s="1401">
        <f>SUM(I4280:I4316)</f>
        <v>17800238.180000003</v>
      </c>
      <c r="J4317" s="1401">
        <f>SUM(J4280:J4316)</f>
        <v>56923132.530000001</v>
      </c>
      <c r="K4317" s="1401">
        <f>SUM(F4317:I4317)</f>
        <v>52674455.63000001</v>
      </c>
      <c r="L4317" s="1408">
        <f>K4317/C4280</f>
        <v>12039.875572571431</v>
      </c>
    </row>
    <row r="4318" spans="2:12">
      <c r="B4318" s="1297" t="s">
        <v>1483</v>
      </c>
      <c r="C4318" s="1297">
        <v>3423</v>
      </c>
      <c r="D4318" s="1297" t="s">
        <v>1484</v>
      </c>
      <c r="E4318" s="1297" t="s">
        <v>906</v>
      </c>
      <c r="G4318" s="1399">
        <v>6026007.6100000003</v>
      </c>
      <c r="J4318" s="1399">
        <v>6026007.6100000003</v>
      </c>
    </row>
    <row r="4319" spans="2:12">
      <c r="B4319" s="1297"/>
      <c r="C4319" s="1297"/>
      <c r="D4319" s="1297"/>
      <c r="E4319" s="1297" t="s">
        <v>907</v>
      </c>
      <c r="G4319" s="1399">
        <v>1661818.14</v>
      </c>
      <c r="J4319" s="1399">
        <v>1661818.14</v>
      </c>
    </row>
    <row r="4320" spans="2:12">
      <c r="B4320" s="1297"/>
      <c r="C4320" s="1297"/>
      <c r="D4320" s="1297"/>
      <c r="E4320" s="1297" t="s">
        <v>908</v>
      </c>
      <c r="G4320" s="1399">
        <v>67827.199999999997</v>
      </c>
      <c r="J4320" s="1399">
        <v>67827.199999999997</v>
      </c>
    </row>
    <row r="4321" spans="5:10" s="1297" customFormat="1">
      <c r="E4321" s="1297" t="s">
        <v>909</v>
      </c>
      <c r="F4321" s="1399"/>
      <c r="G4321" s="1399"/>
      <c r="H4321" s="1399">
        <v>30394.43</v>
      </c>
      <c r="I4321" s="1399"/>
      <c r="J4321" s="1399">
        <v>30394.43</v>
      </c>
    </row>
    <row r="4322" spans="5:10" s="1297" customFormat="1">
      <c r="E4322" s="1297" t="s">
        <v>910</v>
      </c>
      <c r="F4322" s="1399"/>
      <c r="G4322" s="1399"/>
      <c r="H4322" s="1399">
        <v>475</v>
      </c>
      <c r="I4322" s="1399"/>
      <c r="J4322" s="1399">
        <v>475</v>
      </c>
    </row>
    <row r="4323" spans="5:10" s="1297" customFormat="1">
      <c r="E4323" s="1297" t="s">
        <v>1034</v>
      </c>
      <c r="F4323" s="1399"/>
      <c r="G4323" s="1399"/>
      <c r="H4323" s="1399">
        <v>74624.2</v>
      </c>
      <c r="I4323" s="1399"/>
      <c r="J4323" s="1399">
        <v>74624.2</v>
      </c>
    </row>
    <row r="4324" spans="5:10" s="1297" customFormat="1">
      <c r="E4324" s="1297" t="s">
        <v>1035</v>
      </c>
      <c r="F4324" s="1399"/>
      <c r="G4324" s="1399"/>
      <c r="H4324" s="1399">
        <v>617997.48</v>
      </c>
      <c r="I4324" s="1399"/>
      <c r="J4324" s="1399">
        <v>617997.48</v>
      </c>
    </row>
    <row r="4325" spans="5:10" s="1297" customFormat="1">
      <c r="E4325" s="1297" t="s">
        <v>1036</v>
      </c>
      <c r="F4325" s="1399"/>
      <c r="G4325" s="1399"/>
      <c r="H4325" s="1399">
        <v>140392.03</v>
      </c>
      <c r="I4325" s="1399"/>
      <c r="J4325" s="1399">
        <v>140392.03</v>
      </c>
    </row>
    <row r="4326" spans="5:10" s="1297" customFormat="1">
      <c r="E4326" s="1297" t="s">
        <v>1037</v>
      </c>
      <c r="F4326" s="1399"/>
      <c r="G4326" s="1399"/>
      <c r="H4326" s="1399">
        <v>1464</v>
      </c>
      <c r="I4326" s="1399"/>
      <c r="J4326" s="1399">
        <v>1464</v>
      </c>
    </row>
    <row r="4327" spans="5:10" s="1297" customFormat="1">
      <c r="E4327" s="1297" t="s">
        <v>1039</v>
      </c>
      <c r="F4327" s="1399"/>
      <c r="G4327" s="1399"/>
      <c r="H4327" s="1399">
        <v>8999.3100000000013</v>
      </c>
      <c r="I4327" s="1399"/>
      <c r="J4327" s="1399">
        <v>8999.3100000000013</v>
      </c>
    </row>
    <row r="4328" spans="5:10" s="1297" customFormat="1">
      <c r="E4328" s="1297" t="s">
        <v>1040</v>
      </c>
      <c r="F4328" s="1399"/>
      <c r="G4328" s="1399"/>
      <c r="H4328" s="1399">
        <v>259674.91</v>
      </c>
      <c r="I4328" s="1399"/>
      <c r="J4328" s="1399">
        <v>259674.91</v>
      </c>
    </row>
    <row r="4329" spans="5:10" s="1297" customFormat="1">
      <c r="E4329" s="1297" t="s">
        <v>1041</v>
      </c>
      <c r="F4329" s="1399"/>
      <c r="G4329" s="1399"/>
      <c r="H4329" s="1399">
        <v>28123.56</v>
      </c>
      <c r="I4329" s="1399"/>
      <c r="J4329" s="1399">
        <v>28123.56</v>
      </c>
    </row>
    <row r="4330" spans="5:10" s="1297" customFormat="1">
      <c r="E4330" s="1297" t="s">
        <v>1042</v>
      </c>
      <c r="F4330" s="1399"/>
      <c r="G4330" s="1399"/>
      <c r="H4330" s="1399">
        <v>65355.19</v>
      </c>
      <c r="I4330" s="1399"/>
      <c r="J4330" s="1399">
        <v>65355.19</v>
      </c>
    </row>
    <row r="4331" spans="5:10" s="1297" customFormat="1">
      <c r="E4331" s="1297" t="s">
        <v>953</v>
      </c>
      <c r="F4331" s="1399"/>
      <c r="G4331" s="1399"/>
      <c r="H4331" s="1399">
        <v>50946.85</v>
      </c>
      <c r="I4331" s="1399"/>
      <c r="J4331" s="1399">
        <v>50946.85</v>
      </c>
    </row>
    <row r="4332" spans="5:10" s="1297" customFormat="1">
      <c r="E4332" s="1297" t="s">
        <v>986</v>
      </c>
      <c r="F4332" s="1399"/>
      <c r="G4332" s="1399"/>
      <c r="H4332" s="1399">
        <v>238756.52</v>
      </c>
      <c r="I4332" s="1399"/>
      <c r="J4332" s="1399">
        <v>238756.52</v>
      </c>
    </row>
    <row r="4333" spans="5:10" s="1297" customFormat="1">
      <c r="E4333" s="1297" t="s">
        <v>1045</v>
      </c>
      <c r="F4333" s="1399"/>
      <c r="G4333" s="1399"/>
      <c r="H4333" s="1399">
        <v>349728.34</v>
      </c>
      <c r="I4333" s="1399"/>
      <c r="J4333" s="1399">
        <v>349728.34</v>
      </c>
    </row>
    <row r="4334" spans="5:10" s="1297" customFormat="1">
      <c r="E4334" s="1297" t="s">
        <v>1046</v>
      </c>
      <c r="F4334" s="1399"/>
      <c r="G4334" s="1399"/>
      <c r="H4334" s="1399"/>
      <c r="I4334" s="1399">
        <v>20584123</v>
      </c>
      <c r="J4334" s="1399">
        <v>20584123</v>
      </c>
    </row>
    <row r="4335" spans="5:10" s="1297" customFormat="1">
      <c r="E4335" s="1297" t="s">
        <v>1129</v>
      </c>
      <c r="F4335" s="1399"/>
      <c r="G4335" s="1399"/>
      <c r="H4335" s="1399"/>
      <c r="I4335" s="1399">
        <v>-2604349</v>
      </c>
      <c r="J4335" s="1399">
        <v>-2604349</v>
      </c>
    </row>
    <row r="4336" spans="5:10" s="1297" customFormat="1">
      <c r="E4336" s="1297" t="s">
        <v>1047</v>
      </c>
      <c r="F4336" s="1399"/>
      <c r="G4336" s="1399"/>
      <c r="H4336" s="1399"/>
      <c r="I4336" s="1399">
        <v>503004</v>
      </c>
      <c r="J4336" s="1399">
        <v>503004</v>
      </c>
    </row>
    <row r="4337" spans="5:10" s="1297" customFormat="1">
      <c r="E4337" s="1297" t="s">
        <v>1048</v>
      </c>
      <c r="F4337" s="1399"/>
      <c r="G4337" s="1399"/>
      <c r="H4337" s="1399"/>
      <c r="I4337" s="1399">
        <v>-1959993</v>
      </c>
      <c r="J4337" s="1399">
        <v>-1959993</v>
      </c>
    </row>
    <row r="4338" spans="5:10" s="1297" customFormat="1">
      <c r="E4338" s="1297" t="s">
        <v>932</v>
      </c>
      <c r="F4338" s="1399"/>
      <c r="G4338" s="1399"/>
      <c r="H4338" s="1399"/>
      <c r="I4338" s="1399">
        <v>2105559</v>
      </c>
      <c r="J4338" s="1399">
        <v>2105559</v>
      </c>
    </row>
    <row r="4339" spans="5:10" s="1297" customFormat="1">
      <c r="E4339" s="1404" t="s">
        <v>955</v>
      </c>
      <c r="F4339" s="1405"/>
      <c r="G4339" s="1405"/>
      <c r="H4339" s="1405"/>
      <c r="I4339" s="1405">
        <v>699791.24</v>
      </c>
      <c r="J4339" s="1405">
        <v>699791.24</v>
      </c>
    </row>
    <row r="4340" spans="5:10" s="1297" customFormat="1">
      <c r="E4340" s="1297" t="s">
        <v>934</v>
      </c>
      <c r="F4340" s="1399"/>
      <c r="G4340" s="1399"/>
      <c r="H4340" s="1399"/>
      <c r="I4340" s="1399">
        <v>57911.4</v>
      </c>
      <c r="J4340" s="1399">
        <v>57911.4</v>
      </c>
    </row>
    <row r="4341" spans="5:10" s="1297" customFormat="1">
      <c r="E4341" s="1297" t="s">
        <v>935</v>
      </c>
      <c r="F4341" s="1399"/>
      <c r="G4341" s="1399"/>
      <c r="H4341" s="1399"/>
      <c r="I4341" s="1399">
        <v>273056.07</v>
      </c>
      <c r="J4341" s="1399">
        <v>273056.07</v>
      </c>
    </row>
    <row r="4342" spans="5:10" s="1297" customFormat="1">
      <c r="E4342" s="1297" t="s">
        <v>936</v>
      </c>
      <c r="F4342" s="1399"/>
      <c r="G4342" s="1399"/>
      <c r="H4342" s="1399"/>
      <c r="I4342" s="1399">
        <v>46570.02</v>
      </c>
      <c r="J4342" s="1399">
        <v>46570.02</v>
      </c>
    </row>
    <row r="4343" spans="5:10" s="1297" customFormat="1">
      <c r="E4343" s="1297" t="s">
        <v>937</v>
      </c>
      <c r="F4343" s="1399"/>
      <c r="G4343" s="1399"/>
      <c r="H4343" s="1399"/>
      <c r="I4343" s="1399">
        <v>30130.42</v>
      </c>
      <c r="J4343" s="1399">
        <v>30130.42</v>
      </c>
    </row>
    <row r="4344" spans="5:10" s="1297" customFormat="1">
      <c r="E4344" s="1297" t="s">
        <v>938</v>
      </c>
      <c r="F4344" s="1399"/>
      <c r="G4344" s="1399"/>
      <c r="H4344" s="1399"/>
      <c r="I4344" s="1399">
        <v>14973</v>
      </c>
      <c r="J4344" s="1399">
        <v>14973</v>
      </c>
    </row>
    <row r="4345" spans="5:10" s="1297" customFormat="1">
      <c r="E4345" s="1297" t="s">
        <v>940</v>
      </c>
      <c r="F4345" s="1399">
        <v>855387.08</v>
      </c>
      <c r="G4345" s="1399"/>
      <c r="H4345" s="1399"/>
      <c r="I4345" s="1399"/>
      <c r="J4345" s="1399">
        <v>855387.08</v>
      </c>
    </row>
    <row r="4346" spans="5:10" s="1297" customFormat="1">
      <c r="E4346" s="1297" t="s">
        <v>941</v>
      </c>
      <c r="F4346" s="1399">
        <v>284477.65999999997</v>
      </c>
      <c r="G4346" s="1399"/>
      <c r="H4346" s="1399"/>
      <c r="I4346" s="1399"/>
      <c r="J4346" s="1399">
        <v>284477.65999999997</v>
      </c>
    </row>
    <row r="4347" spans="5:10" s="1297" customFormat="1">
      <c r="E4347" s="1297" t="s">
        <v>942</v>
      </c>
      <c r="F4347" s="1399">
        <v>6454.44</v>
      </c>
      <c r="G4347" s="1399"/>
      <c r="H4347" s="1399"/>
      <c r="I4347" s="1399"/>
      <c r="J4347" s="1399">
        <v>6454.44</v>
      </c>
    </row>
    <row r="4348" spans="5:10" s="1297" customFormat="1">
      <c r="E4348" s="1297" t="s">
        <v>944</v>
      </c>
      <c r="F4348" s="1399">
        <v>2012288.4199999997</v>
      </c>
      <c r="G4348" s="1399"/>
      <c r="H4348" s="1399"/>
      <c r="I4348" s="1399"/>
      <c r="J4348" s="1399">
        <v>2012288.4199999997</v>
      </c>
    </row>
    <row r="4349" spans="5:10" s="1297" customFormat="1">
      <c r="E4349" s="1297" t="s">
        <v>945</v>
      </c>
      <c r="F4349" s="1399">
        <v>1392565.69</v>
      </c>
      <c r="G4349" s="1399"/>
      <c r="H4349" s="1399"/>
      <c r="I4349" s="1399"/>
      <c r="J4349" s="1399">
        <v>1392565.69</v>
      </c>
    </row>
    <row r="4350" spans="5:10" s="1297" customFormat="1">
      <c r="E4350" s="1297" t="s">
        <v>946</v>
      </c>
      <c r="F4350" s="1399">
        <v>153434.53</v>
      </c>
      <c r="G4350" s="1399"/>
      <c r="H4350" s="1399"/>
      <c r="I4350" s="1399"/>
      <c r="J4350" s="1399">
        <v>153434.53</v>
      </c>
    </row>
    <row r="4351" spans="5:10" s="1297" customFormat="1">
      <c r="E4351" s="1297" t="s">
        <v>947</v>
      </c>
      <c r="F4351" s="1399">
        <v>129644.74</v>
      </c>
      <c r="G4351" s="1399"/>
      <c r="H4351" s="1399"/>
      <c r="I4351" s="1399"/>
      <c r="J4351" s="1399">
        <v>129644.74</v>
      </c>
    </row>
    <row r="4352" spans="5:10" s="1297" customFormat="1">
      <c r="E4352" s="1404" t="s">
        <v>948</v>
      </c>
      <c r="F4352" s="1405"/>
      <c r="G4352" s="1405"/>
      <c r="H4352" s="1405">
        <v>4391493.26</v>
      </c>
      <c r="I4352" s="1405"/>
      <c r="J4352" s="1405">
        <v>4391493.26</v>
      </c>
    </row>
    <row r="4353" spans="2:12">
      <c r="B4353" s="1297"/>
      <c r="C4353" s="1297"/>
      <c r="D4353" s="1400" t="s">
        <v>1485</v>
      </c>
      <c r="E4353" s="1400"/>
      <c r="F4353" s="1401">
        <f>SUM(F4318:F4352)</f>
        <v>4834252.5599999996</v>
      </c>
      <c r="G4353" s="1401">
        <f>SUM(G4318:G4352)</f>
        <v>7755652.9500000002</v>
      </c>
      <c r="H4353" s="1401">
        <f>SUM(H4318:H4352)-H4352</f>
        <v>1866931.8200000003</v>
      </c>
      <c r="I4353" s="1401">
        <f>SUM(I4318:I4352)-I4339</f>
        <v>19050984.91</v>
      </c>
      <c r="J4353" s="1401">
        <f>SUM(J4318:J4352)</f>
        <v>38599106.739999995</v>
      </c>
      <c r="K4353" s="1401">
        <f>SUM(F4353:I4353)</f>
        <v>33507822.240000002</v>
      </c>
      <c r="L4353" s="1408">
        <f>K4353/C4318</f>
        <v>9789.0219807186677</v>
      </c>
    </row>
    <row r="4354" spans="2:12">
      <c r="B4354" s="1297" t="s">
        <v>1486</v>
      </c>
      <c r="C4354" s="1297">
        <v>3394</v>
      </c>
      <c r="D4354" s="1297" t="s">
        <v>1487</v>
      </c>
      <c r="E4354" s="1297" t="s">
        <v>906</v>
      </c>
      <c r="G4354" s="1399">
        <v>7566994.3800000008</v>
      </c>
      <c r="J4354" s="1399">
        <v>7566994.3800000008</v>
      </c>
    </row>
    <row r="4355" spans="2:12">
      <c r="B4355" s="1297"/>
      <c r="C4355" s="1297"/>
      <c r="D4355" s="1297"/>
      <c r="E4355" s="1297" t="s">
        <v>952</v>
      </c>
      <c r="G4355" s="1399">
        <v>77916.149999999994</v>
      </c>
      <c r="J4355" s="1399">
        <v>77916.149999999994</v>
      </c>
    </row>
    <row r="4356" spans="2:12">
      <c r="B4356" s="1297"/>
      <c r="C4356" s="1297"/>
      <c r="D4356" s="1297"/>
      <c r="E4356" s="1297" t="s">
        <v>907</v>
      </c>
      <c r="G4356" s="1399">
        <v>860973.8</v>
      </c>
      <c r="J4356" s="1399">
        <v>860973.8</v>
      </c>
    </row>
    <row r="4357" spans="2:12">
      <c r="B4357" s="1297"/>
      <c r="C4357" s="1297"/>
      <c r="D4357" s="1297"/>
      <c r="E4357" s="1297" t="s">
        <v>909</v>
      </c>
      <c r="H4357" s="1399">
        <v>49705.9</v>
      </c>
      <c r="J4357" s="1399">
        <v>49705.9</v>
      </c>
    </row>
    <row r="4358" spans="2:12">
      <c r="B4358" s="1297"/>
      <c r="C4358" s="1297"/>
      <c r="D4358" s="1297"/>
      <c r="E4358" s="1297" t="s">
        <v>910</v>
      </c>
      <c r="H4358" s="1399">
        <v>236152.63</v>
      </c>
      <c r="J4358" s="1399">
        <v>236152.63</v>
      </c>
    </row>
    <row r="4359" spans="2:12">
      <c r="B4359" s="1297"/>
      <c r="C4359" s="1297"/>
      <c r="D4359" s="1297"/>
      <c r="E4359" s="1297" t="s">
        <v>1034</v>
      </c>
      <c r="H4359" s="1399">
        <v>28868.1</v>
      </c>
      <c r="J4359" s="1399">
        <v>28868.1</v>
      </c>
    </row>
    <row r="4360" spans="2:12">
      <c r="B4360" s="1297"/>
      <c r="C4360" s="1297"/>
      <c r="D4360" s="1297"/>
      <c r="E4360" s="1297" t="s">
        <v>1035</v>
      </c>
      <c r="H4360" s="1399">
        <v>633266.1</v>
      </c>
      <c r="J4360" s="1399">
        <v>633266.1</v>
      </c>
    </row>
    <row r="4361" spans="2:12">
      <c r="B4361" s="1297"/>
      <c r="C4361" s="1297"/>
      <c r="D4361" s="1297"/>
      <c r="E4361" s="1297" t="s">
        <v>1036</v>
      </c>
      <c r="H4361" s="1399">
        <v>179719.45</v>
      </c>
      <c r="J4361" s="1399">
        <v>179719.45</v>
      </c>
    </row>
    <row r="4362" spans="2:12">
      <c r="B4362" s="1297"/>
      <c r="C4362" s="1297"/>
      <c r="D4362" s="1297"/>
      <c r="E4362" s="1297" t="s">
        <v>1039</v>
      </c>
      <c r="H4362" s="1399">
        <v>11061.79</v>
      </c>
      <c r="J4362" s="1399">
        <v>11061.79</v>
      </c>
    </row>
    <row r="4363" spans="2:12">
      <c r="B4363" s="1297"/>
      <c r="C4363" s="1297"/>
      <c r="D4363" s="1297"/>
      <c r="E4363" s="1297" t="s">
        <v>1040</v>
      </c>
      <c r="H4363" s="1399">
        <v>354924.99</v>
      </c>
      <c r="J4363" s="1399">
        <v>354924.99</v>
      </c>
    </row>
    <row r="4364" spans="2:12">
      <c r="B4364" s="1297"/>
      <c r="C4364" s="1297"/>
      <c r="D4364" s="1297"/>
      <c r="E4364" s="1297" t="s">
        <v>1041</v>
      </c>
      <c r="H4364" s="1399">
        <v>2215.65</v>
      </c>
      <c r="J4364" s="1399">
        <v>2215.65</v>
      </c>
    </row>
    <row r="4365" spans="2:12">
      <c r="B4365" s="1297"/>
      <c r="C4365" s="1297"/>
      <c r="D4365" s="1297"/>
      <c r="E4365" s="1297" t="s">
        <v>1042</v>
      </c>
      <c r="H4365" s="1399">
        <v>29242.35</v>
      </c>
      <c r="J4365" s="1399">
        <v>29242.35</v>
      </c>
    </row>
    <row r="4366" spans="2:12">
      <c r="B4366" s="1297"/>
      <c r="C4366" s="1297"/>
      <c r="D4366" s="1297"/>
      <c r="E4366" s="1297" t="s">
        <v>1045</v>
      </c>
      <c r="H4366" s="1399">
        <v>112397.94</v>
      </c>
      <c r="J4366" s="1399">
        <v>112397.94</v>
      </c>
    </row>
    <row r="4367" spans="2:12">
      <c r="B4367" s="1297"/>
      <c r="C4367" s="1297"/>
      <c r="D4367" s="1297"/>
      <c r="E4367" s="1297" t="s">
        <v>1046</v>
      </c>
      <c r="I4367" s="1399">
        <v>16959826</v>
      </c>
      <c r="J4367" s="1399">
        <v>16959826</v>
      </c>
    </row>
    <row r="4368" spans="2:12">
      <c r="B4368" s="1297"/>
      <c r="C4368" s="1297"/>
      <c r="D4368" s="1297"/>
      <c r="E4368" s="1297" t="s">
        <v>1129</v>
      </c>
      <c r="I4368" s="1399">
        <v>-2179109</v>
      </c>
      <c r="J4368" s="1399">
        <v>-2179109</v>
      </c>
    </row>
    <row r="4369" spans="5:10" s="1297" customFormat="1">
      <c r="E4369" s="1297" t="s">
        <v>1047</v>
      </c>
      <c r="F4369" s="1399"/>
      <c r="G4369" s="1399"/>
      <c r="H4369" s="1399"/>
      <c r="I4369" s="1399">
        <v>428933</v>
      </c>
      <c r="J4369" s="1399">
        <v>428933</v>
      </c>
    </row>
    <row r="4370" spans="5:10" s="1297" customFormat="1">
      <c r="E4370" s="1297" t="s">
        <v>1048</v>
      </c>
      <c r="F4370" s="1399"/>
      <c r="G4370" s="1399"/>
      <c r="H4370" s="1399"/>
      <c r="I4370" s="1399">
        <v>-2379175</v>
      </c>
      <c r="J4370" s="1399">
        <v>-2379175</v>
      </c>
    </row>
    <row r="4371" spans="5:10" s="1297" customFormat="1">
      <c r="E4371" s="1297" t="s">
        <v>932</v>
      </c>
      <c r="F4371" s="1399"/>
      <c r="G4371" s="1399"/>
      <c r="H4371" s="1399"/>
      <c r="I4371" s="1399">
        <v>1238078</v>
      </c>
      <c r="J4371" s="1399">
        <v>1238078</v>
      </c>
    </row>
    <row r="4372" spans="5:10" s="1297" customFormat="1">
      <c r="E4372" s="1404" t="s">
        <v>955</v>
      </c>
      <c r="F4372" s="1405"/>
      <c r="G4372" s="1405"/>
      <c r="H4372" s="1405"/>
      <c r="I4372" s="1405">
        <v>398725.31</v>
      </c>
      <c r="J4372" s="1405">
        <v>398725.31</v>
      </c>
    </row>
    <row r="4373" spans="5:10" s="1297" customFormat="1">
      <c r="E4373" s="1297" t="s">
        <v>934</v>
      </c>
      <c r="F4373" s="1399"/>
      <c r="G4373" s="1399"/>
      <c r="H4373" s="1399"/>
      <c r="I4373" s="1399">
        <v>45492</v>
      </c>
      <c r="J4373" s="1399">
        <v>45492</v>
      </c>
    </row>
    <row r="4374" spans="5:10" s="1297" customFormat="1">
      <c r="E4374" s="1297" t="s">
        <v>935</v>
      </c>
      <c r="F4374" s="1399"/>
      <c r="G4374" s="1399"/>
      <c r="H4374" s="1399"/>
      <c r="I4374" s="1399">
        <v>209951.89</v>
      </c>
      <c r="J4374" s="1399">
        <v>209951.89</v>
      </c>
    </row>
    <row r="4375" spans="5:10" s="1297" customFormat="1">
      <c r="E4375" s="1297" t="s">
        <v>936</v>
      </c>
      <c r="F4375" s="1399"/>
      <c r="G4375" s="1399"/>
      <c r="H4375" s="1399"/>
      <c r="I4375" s="1399">
        <v>53573.03</v>
      </c>
      <c r="J4375" s="1399">
        <v>53573.03</v>
      </c>
    </row>
    <row r="4376" spans="5:10" s="1297" customFormat="1">
      <c r="E4376" s="1297" t="s">
        <v>937</v>
      </c>
      <c r="F4376" s="1399"/>
      <c r="G4376" s="1399"/>
      <c r="H4376" s="1399"/>
      <c r="I4376" s="1399">
        <v>22962.28</v>
      </c>
      <c r="J4376" s="1399">
        <v>22962.28</v>
      </c>
    </row>
    <row r="4377" spans="5:10" s="1297" customFormat="1">
      <c r="E4377" s="1297" t="s">
        <v>938</v>
      </c>
      <c r="F4377" s="1399"/>
      <c r="G4377" s="1399"/>
      <c r="H4377" s="1399"/>
      <c r="I4377" s="1399">
        <v>19652</v>
      </c>
      <c r="J4377" s="1399">
        <v>19652</v>
      </c>
    </row>
    <row r="4378" spans="5:10" s="1297" customFormat="1">
      <c r="E4378" s="1297" t="s">
        <v>939</v>
      </c>
      <c r="F4378" s="1399"/>
      <c r="G4378" s="1399"/>
      <c r="H4378" s="1399"/>
      <c r="I4378" s="1399">
        <v>84671.56</v>
      </c>
      <c r="J4378" s="1399">
        <v>84671.56</v>
      </c>
    </row>
    <row r="4379" spans="5:10" s="1297" customFormat="1">
      <c r="E4379" s="1297" t="s">
        <v>940</v>
      </c>
      <c r="F4379" s="1399">
        <v>585170.38</v>
      </c>
      <c r="G4379" s="1399"/>
      <c r="H4379" s="1399"/>
      <c r="I4379" s="1399"/>
      <c r="J4379" s="1399">
        <v>585170.38</v>
      </c>
    </row>
    <row r="4380" spans="5:10" s="1297" customFormat="1">
      <c r="E4380" s="1297" t="s">
        <v>941</v>
      </c>
      <c r="F4380" s="1399">
        <v>171869.86</v>
      </c>
      <c r="G4380" s="1399"/>
      <c r="H4380" s="1399"/>
      <c r="I4380" s="1399"/>
      <c r="J4380" s="1399">
        <v>171869.86</v>
      </c>
    </row>
    <row r="4381" spans="5:10" s="1297" customFormat="1">
      <c r="E4381" s="1297" t="s">
        <v>944</v>
      </c>
      <c r="F4381" s="1399">
        <v>1230649.1299999999</v>
      </c>
      <c r="G4381" s="1399"/>
      <c r="H4381" s="1399"/>
      <c r="I4381" s="1399"/>
      <c r="J4381" s="1399">
        <v>1230649.1299999999</v>
      </c>
    </row>
    <row r="4382" spans="5:10" s="1297" customFormat="1">
      <c r="E4382" s="1297" t="s">
        <v>945</v>
      </c>
      <c r="F4382" s="1399">
        <v>904425.49</v>
      </c>
      <c r="G4382" s="1399"/>
      <c r="H4382" s="1399"/>
      <c r="I4382" s="1399"/>
      <c r="J4382" s="1399">
        <v>904425.49</v>
      </c>
    </row>
    <row r="4383" spans="5:10" s="1297" customFormat="1">
      <c r="E4383" s="1297" t="s">
        <v>947</v>
      </c>
      <c r="F4383" s="1399">
        <v>95368.86</v>
      </c>
      <c r="G4383" s="1399"/>
      <c r="H4383" s="1399"/>
      <c r="I4383" s="1399"/>
      <c r="J4383" s="1399">
        <v>95368.86</v>
      </c>
    </row>
    <row r="4384" spans="5:10" s="1297" customFormat="1">
      <c r="E4384" s="1404" t="s">
        <v>948</v>
      </c>
      <c r="F4384" s="1405"/>
      <c r="G4384" s="1405"/>
      <c r="H4384" s="1405">
        <v>3053540.72</v>
      </c>
      <c r="I4384" s="1405"/>
      <c r="J4384" s="1405">
        <v>3053540.72</v>
      </c>
    </row>
    <row r="4385" spans="2:12">
      <c r="B4385" s="1297"/>
      <c r="C4385" s="1297"/>
      <c r="D4385" s="1297"/>
      <c r="E4385" s="1297" t="s">
        <v>1118</v>
      </c>
      <c r="H4385" s="1399">
        <v>0</v>
      </c>
      <c r="J4385" s="1399">
        <v>0</v>
      </c>
    </row>
    <row r="4386" spans="2:12">
      <c r="B4386" s="1297"/>
      <c r="C4386" s="1297"/>
      <c r="D4386" s="1400" t="s">
        <v>1488</v>
      </c>
      <c r="E4386" s="1400"/>
      <c r="F4386" s="1401">
        <f>SUM(F4354:F4385)</f>
        <v>2987483.7199999997</v>
      </c>
      <c r="G4386" s="1401">
        <f>SUM(G4354:G4385)</f>
        <v>8505884.3300000019</v>
      </c>
      <c r="H4386" s="1401">
        <f>SUM(H4354:H4385)-H4384</f>
        <v>1637554.9</v>
      </c>
      <c r="I4386" s="1401">
        <f>SUM(I4354:I4385)-I4372</f>
        <v>14504855.76</v>
      </c>
      <c r="J4386" s="1401">
        <f>SUM(J4354:J4385)</f>
        <v>31088044.739999995</v>
      </c>
      <c r="K4386" s="1401">
        <f>SUM(F4386:I4386)</f>
        <v>27635778.710000001</v>
      </c>
      <c r="L4386" s="1408">
        <f>K4386/C4354</f>
        <v>8142.5393959929288</v>
      </c>
    </row>
    <row r="4387" spans="2:12">
      <c r="B4387" s="1297" t="s">
        <v>1489</v>
      </c>
      <c r="C4387" s="1297">
        <v>7240</v>
      </c>
      <c r="D4387" s="1297" t="s">
        <v>1490</v>
      </c>
      <c r="E4387" s="1297" t="s">
        <v>906</v>
      </c>
      <c r="G4387" s="1399">
        <v>13461314.66</v>
      </c>
      <c r="J4387" s="1399">
        <v>13461314.66</v>
      </c>
    </row>
    <row r="4388" spans="2:12">
      <c r="B4388" s="1297"/>
      <c r="C4388" s="1297"/>
      <c r="D4388" s="1297"/>
      <c r="E4388" s="1297" t="s">
        <v>952</v>
      </c>
      <c r="G4388" s="1399">
        <v>116876.44</v>
      </c>
      <c r="J4388" s="1399">
        <v>116876.44</v>
      </c>
    </row>
    <row r="4389" spans="2:12">
      <c r="B4389" s="1297"/>
      <c r="C4389" s="1297"/>
      <c r="D4389" s="1297"/>
      <c r="E4389" s="1297" t="s">
        <v>907</v>
      </c>
      <c r="G4389" s="1399">
        <v>3980639.36</v>
      </c>
      <c r="J4389" s="1399">
        <v>3980639.36</v>
      </c>
    </row>
    <row r="4390" spans="2:12">
      <c r="B4390" s="1297"/>
      <c r="C4390" s="1297"/>
      <c r="D4390" s="1297"/>
      <c r="E4390" s="1297" t="s">
        <v>908</v>
      </c>
      <c r="G4390" s="1399">
        <v>40490.519999999997</v>
      </c>
      <c r="J4390" s="1399">
        <v>40490.519999999997</v>
      </c>
    </row>
    <row r="4391" spans="2:12">
      <c r="B4391" s="1297"/>
      <c r="C4391" s="1297"/>
      <c r="D4391" s="1297"/>
      <c r="E4391" s="1297" t="s">
        <v>1037</v>
      </c>
      <c r="H4391" s="1399">
        <v>9031</v>
      </c>
      <c r="J4391" s="1399">
        <v>9031</v>
      </c>
    </row>
    <row r="4392" spans="2:12">
      <c r="B4392" s="1297"/>
      <c r="C4392" s="1297"/>
      <c r="D4392" s="1297"/>
      <c r="E4392" s="1297" t="s">
        <v>1039</v>
      </c>
      <c r="H4392" s="1399">
        <v>23702.800000000003</v>
      </c>
      <c r="J4392" s="1399">
        <v>23702.800000000003</v>
      </c>
    </row>
    <row r="4393" spans="2:12">
      <c r="B4393" s="1297"/>
      <c r="C4393" s="1297"/>
      <c r="D4393" s="1297"/>
      <c r="E4393" s="1297" t="s">
        <v>1040</v>
      </c>
      <c r="H4393" s="1399">
        <v>325992.67999999993</v>
      </c>
      <c r="J4393" s="1399">
        <v>325992.67999999993</v>
      </c>
    </row>
    <row r="4394" spans="2:12">
      <c r="B4394" s="1297"/>
      <c r="C4394" s="1297"/>
      <c r="D4394" s="1297"/>
      <c r="E4394" s="1297" t="s">
        <v>1127</v>
      </c>
      <c r="H4394" s="1399">
        <v>68546.599999999991</v>
      </c>
      <c r="J4394" s="1399">
        <v>68546.599999999991</v>
      </c>
    </row>
    <row r="4395" spans="2:12">
      <c r="B4395" s="1297"/>
      <c r="C4395" s="1297"/>
      <c r="D4395" s="1297"/>
      <c r="E4395" s="1297" t="s">
        <v>1041</v>
      </c>
      <c r="H4395" s="1399">
        <v>22753.379999999997</v>
      </c>
      <c r="J4395" s="1399">
        <v>22753.379999999997</v>
      </c>
    </row>
    <row r="4396" spans="2:12">
      <c r="B4396" s="1297"/>
      <c r="C4396" s="1297"/>
      <c r="D4396" s="1297"/>
      <c r="E4396" s="1297" t="s">
        <v>1042</v>
      </c>
      <c r="H4396" s="1399">
        <v>37222.6</v>
      </c>
      <c r="J4396" s="1399">
        <v>37222.6</v>
      </c>
    </row>
    <row r="4397" spans="2:12">
      <c r="B4397" s="1297"/>
      <c r="C4397" s="1297"/>
      <c r="D4397" s="1297"/>
      <c r="E4397" s="1297" t="s">
        <v>954</v>
      </c>
      <c r="H4397" s="1399">
        <v>1976726.35</v>
      </c>
      <c r="J4397" s="1399">
        <v>1976726.35</v>
      </c>
    </row>
    <row r="4398" spans="2:12">
      <c r="B4398" s="1297"/>
      <c r="C4398" s="1297"/>
      <c r="D4398" s="1297"/>
      <c r="E4398" s="1297" t="s">
        <v>986</v>
      </c>
      <c r="H4398" s="1399">
        <v>189950</v>
      </c>
      <c r="J4398" s="1399">
        <v>189950</v>
      </c>
    </row>
    <row r="4399" spans="2:12">
      <c r="B4399" s="1297"/>
      <c r="C4399" s="1297"/>
      <c r="D4399" s="1297"/>
      <c r="E4399" s="1297" t="s">
        <v>991</v>
      </c>
      <c r="H4399" s="1399">
        <v>26155.69</v>
      </c>
      <c r="J4399" s="1399">
        <v>26155.69</v>
      </c>
    </row>
    <row r="4400" spans="2:12">
      <c r="B4400" s="1297"/>
      <c r="C4400" s="1297"/>
      <c r="D4400" s="1297"/>
      <c r="E4400" s="1297" t="s">
        <v>1044</v>
      </c>
      <c r="F4400" s="1399">
        <v>19654.900000000001</v>
      </c>
      <c r="J4400" s="1399">
        <v>19654.900000000001</v>
      </c>
    </row>
    <row r="4401" spans="5:10" s="1297" customFormat="1">
      <c r="E4401" s="1297" t="s">
        <v>1045</v>
      </c>
      <c r="F4401" s="1399"/>
      <c r="G4401" s="1399"/>
      <c r="H4401" s="1399">
        <v>204669.27</v>
      </c>
      <c r="I4401" s="1399"/>
      <c r="J4401" s="1399">
        <v>204669.27</v>
      </c>
    </row>
    <row r="4402" spans="5:10" s="1297" customFormat="1">
      <c r="E4402" s="1297" t="s">
        <v>1046</v>
      </c>
      <c r="F4402" s="1399"/>
      <c r="G4402" s="1399"/>
      <c r="H4402" s="1399"/>
      <c r="I4402" s="1399">
        <v>38924528</v>
      </c>
      <c r="J4402" s="1399">
        <v>38924528</v>
      </c>
    </row>
    <row r="4403" spans="5:10" s="1297" customFormat="1">
      <c r="E4403" s="1297" t="s">
        <v>1128</v>
      </c>
      <c r="F4403" s="1399"/>
      <c r="G4403" s="1399"/>
      <c r="H4403" s="1399"/>
      <c r="I4403" s="1399">
        <v>3254275</v>
      </c>
      <c r="J4403" s="1399">
        <v>3254275</v>
      </c>
    </row>
    <row r="4404" spans="5:10" s="1297" customFormat="1">
      <c r="E4404" s="1297" t="s">
        <v>1129</v>
      </c>
      <c r="F4404" s="1399"/>
      <c r="G4404" s="1399"/>
      <c r="H4404" s="1399"/>
      <c r="I4404" s="1399">
        <v>-5536380</v>
      </c>
      <c r="J4404" s="1399">
        <v>-5536380</v>
      </c>
    </row>
    <row r="4405" spans="5:10" s="1297" customFormat="1">
      <c r="E4405" s="1297" t="s">
        <v>1047</v>
      </c>
      <c r="F4405" s="1399"/>
      <c r="G4405" s="1399"/>
      <c r="H4405" s="1399"/>
      <c r="I4405" s="1399">
        <v>930419</v>
      </c>
      <c r="J4405" s="1399">
        <v>930419</v>
      </c>
    </row>
    <row r="4406" spans="5:10" s="1297" customFormat="1">
      <c r="E4406" s="1297" t="s">
        <v>1048</v>
      </c>
      <c r="F4406" s="1399"/>
      <c r="G4406" s="1399"/>
      <c r="H4406" s="1399"/>
      <c r="I4406" s="1399">
        <v>-4302218</v>
      </c>
      <c r="J4406" s="1399">
        <v>-4302218</v>
      </c>
    </row>
    <row r="4407" spans="5:10" s="1297" customFormat="1">
      <c r="E4407" s="1297" t="s">
        <v>932</v>
      </c>
      <c r="F4407" s="1399"/>
      <c r="G4407" s="1399"/>
      <c r="H4407" s="1399"/>
      <c r="I4407" s="1399">
        <v>5041825</v>
      </c>
      <c r="J4407" s="1399">
        <v>5041825</v>
      </c>
    </row>
    <row r="4408" spans="5:10" s="1297" customFormat="1">
      <c r="E4408" s="1404" t="s">
        <v>955</v>
      </c>
      <c r="F4408" s="1405"/>
      <c r="G4408" s="1405"/>
      <c r="H4408" s="1405"/>
      <c r="I4408" s="1405">
        <v>1281598.6599999999</v>
      </c>
      <c r="J4408" s="1405">
        <v>1281598.6599999999</v>
      </c>
    </row>
    <row r="4409" spans="5:10" s="1297" customFormat="1">
      <c r="E4409" s="1297" t="s">
        <v>934</v>
      </c>
      <c r="F4409" s="1399"/>
      <c r="G4409" s="1399"/>
      <c r="H4409" s="1399"/>
      <c r="I4409" s="1399">
        <v>115036</v>
      </c>
      <c r="J4409" s="1399">
        <v>115036</v>
      </c>
    </row>
    <row r="4410" spans="5:10" s="1297" customFormat="1">
      <c r="E4410" s="1297" t="s">
        <v>1130</v>
      </c>
      <c r="F4410" s="1399"/>
      <c r="G4410" s="1399"/>
      <c r="H4410" s="1399"/>
      <c r="I4410" s="1399">
        <v>42279.51</v>
      </c>
      <c r="J4410" s="1399">
        <v>42279.51</v>
      </c>
    </row>
    <row r="4411" spans="5:10" s="1297" customFormat="1">
      <c r="E4411" s="1297" t="s">
        <v>935</v>
      </c>
      <c r="F4411" s="1399"/>
      <c r="G4411" s="1399"/>
      <c r="H4411" s="1399"/>
      <c r="I4411" s="1399">
        <v>893755.31</v>
      </c>
      <c r="J4411" s="1399">
        <v>893755.31</v>
      </c>
    </row>
    <row r="4412" spans="5:10" s="1297" customFormat="1">
      <c r="E4412" s="1297" t="s">
        <v>936</v>
      </c>
      <c r="F4412" s="1399"/>
      <c r="G4412" s="1399"/>
      <c r="H4412" s="1399"/>
      <c r="I4412" s="1399">
        <v>98042.15</v>
      </c>
      <c r="J4412" s="1399">
        <v>98042.15</v>
      </c>
    </row>
    <row r="4413" spans="5:10" s="1297" customFormat="1">
      <c r="E4413" s="1297" t="s">
        <v>937</v>
      </c>
      <c r="F4413" s="1399"/>
      <c r="G4413" s="1399"/>
      <c r="H4413" s="1399"/>
      <c r="I4413" s="1399">
        <v>42127.13</v>
      </c>
      <c r="J4413" s="1399">
        <v>42127.13</v>
      </c>
    </row>
    <row r="4414" spans="5:10" s="1297" customFormat="1">
      <c r="E4414" s="1297" t="s">
        <v>938</v>
      </c>
      <c r="F4414" s="1399"/>
      <c r="G4414" s="1399"/>
      <c r="H4414" s="1399"/>
      <c r="I4414" s="1399">
        <v>30694</v>
      </c>
      <c r="J4414" s="1399">
        <v>30694</v>
      </c>
    </row>
    <row r="4415" spans="5:10" s="1297" customFormat="1">
      <c r="E4415" s="1297" t="s">
        <v>940</v>
      </c>
      <c r="F4415" s="1399">
        <v>1825991.84</v>
      </c>
      <c r="G4415" s="1399"/>
      <c r="H4415" s="1399"/>
      <c r="I4415" s="1399"/>
      <c r="J4415" s="1399">
        <v>1825991.84</v>
      </c>
    </row>
    <row r="4416" spans="5:10" s="1297" customFormat="1">
      <c r="E4416" s="1297" t="s">
        <v>941</v>
      </c>
      <c r="F4416" s="1399">
        <v>624613.79999999993</v>
      </c>
      <c r="G4416" s="1399"/>
      <c r="H4416" s="1399"/>
      <c r="I4416" s="1399"/>
      <c r="J4416" s="1399">
        <v>624613.79999999993</v>
      </c>
    </row>
    <row r="4417" spans="2:12">
      <c r="B4417" s="1297"/>
      <c r="C4417" s="1297"/>
      <c r="D4417" s="1297"/>
      <c r="E4417" s="1297" t="s">
        <v>943</v>
      </c>
      <c r="F4417" s="1399">
        <v>10824.720000000003</v>
      </c>
      <c r="J4417" s="1399">
        <v>10824.720000000003</v>
      </c>
    </row>
    <row r="4418" spans="2:12">
      <c r="B4418" s="1297"/>
      <c r="C4418" s="1297"/>
      <c r="D4418" s="1297"/>
      <c r="E4418" s="1297" t="s">
        <v>944</v>
      </c>
      <c r="F4418" s="1399">
        <v>5294627.8</v>
      </c>
      <c r="J4418" s="1399">
        <v>5294627.8</v>
      </c>
    </row>
    <row r="4419" spans="2:12">
      <c r="B4419" s="1297"/>
      <c r="C4419" s="1297"/>
      <c r="D4419" s="1297"/>
      <c r="E4419" s="1297" t="s">
        <v>945</v>
      </c>
      <c r="F4419" s="1399">
        <v>2870219.0900000003</v>
      </c>
      <c r="J4419" s="1399">
        <v>2870219.0900000003</v>
      </c>
    </row>
    <row r="4420" spans="2:12">
      <c r="B4420" s="1297"/>
      <c r="C4420" s="1297"/>
      <c r="D4420" s="1297"/>
      <c r="E4420" s="1297" t="s">
        <v>946</v>
      </c>
      <c r="F4420" s="1399">
        <v>14749.36</v>
      </c>
      <c r="J4420" s="1399">
        <v>14749.36</v>
      </c>
    </row>
    <row r="4421" spans="2:12">
      <c r="B4421" s="1297"/>
      <c r="C4421" s="1297"/>
      <c r="D4421" s="1297"/>
      <c r="E4421" s="1297" t="s">
        <v>947</v>
      </c>
      <c r="F4421" s="1399">
        <v>145029.32</v>
      </c>
      <c r="J4421" s="1399">
        <v>145029.32</v>
      </c>
    </row>
    <row r="4422" spans="2:12">
      <c r="B4422" s="1297"/>
      <c r="C4422" s="1297"/>
      <c r="D4422" s="1297"/>
      <c r="E4422" s="1297" t="s">
        <v>1115</v>
      </c>
      <c r="F4422" s="1399">
        <v>4259.24</v>
      </c>
      <c r="J4422" s="1399">
        <v>4259.24</v>
      </c>
    </row>
    <row r="4423" spans="2:12">
      <c r="B4423" s="1297"/>
      <c r="C4423" s="1297"/>
      <c r="D4423" s="1297"/>
      <c r="E4423" s="1404" t="s">
        <v>948</v>
      </c>
      <c r="F4423" s="1405"/>
      <c r="G4423" s="1405"/>
      <c r="H4423" s="1405">
        <v>2234954.67</v>
      </c>
      <c r="I4423" s="1405"/>
      <c r="J4423" s="1405">
        <v>2234954.67</v>
      </c>
    </row>
    <row r="4424" spans="2:12">
      <c r="B4424" s="1297"/>
      <c r="C4424" s="1297"/>
      <c r="D4424" s="1297"/>
      <c r="E4424" s="1297" t="s">
        <v>956</v>
      </c>
      <c r="H4424" s="1399">
        <v>8075</v>
      </c>
      <c r="J4424" s="1399">
        <v>8075</v>
      </c>
    </row>
    <row r="4425" spans="2:12">
      <c r="B4425" s="1297"/>
      <c r="C4425" s="1297"/>
      <c r="D4425" s="1400" t="s">
        <v>1491</v>
      </c>
      <c r="E4425" s="1400"/>
      <c r="F4425" s="1401">
        <f>SUM(F4387:F4424)</f>
        <v>10809970.07</v>
      </c>
      <c r="G4425" s="1401">
        <f>SUM(G4387:G4424)</f>
        <v>17599320.98</v>
      </c>
      <c r="H4425" s="1401">
        <f>SUM(H4387:H4424)-H4423</f>
        <v>2892825.37</v>
      </c>
      <c r="I4425" s="1401">
        <f>SUM(I4387:I4424)-I4408</f>
        <v>39534383.100000001</v>
      </c>
      <c r="J4425" s="1401">
        <f>SUM(J4387:J4424)</f>
        <v>74353052.849999994</v>
      </c>
      <c r="K4425" s="1401">
        <f>SUM(F4425:I4425)</f>
        <v>70836499.520000011</v>
      </c>
      <c r="L4425" s="1408">
        <f>K4425/C4387</f>
        <v>9784.0468950276263</v>
      </c>
    </row>
    <row r="4426" spans="2:12">
      <c r="B4426" s="1297" t="s">
        <v>1492</v>
      </c>
      <c r="C4426" s="1297">
        <v>1346</v>
      </c>
      <c r="D4426" s="1297" t="s">
        <v>1493</v>
      </c>
      <c r="E4426" s="1297" t="s">
        <v>906</v>
      </c>
      <c r="G4426" s="1399">
        <v>3179807.46</v>
      </c>
      <c r="J4426" s="1399">
        <v>3179807.46</v>
      </c>
    </row>
    <row r="4427" spans="2:12">
      <c r="B4427" s="1297"/>
      <c r="C4427" s="1297"/>
      <c r="D4427" s="1297"/>
      <c r="E4427" s="1297" t="s">
        <v>952</v>
      </c>
      <c r="G4427" s="1399">
        <v>31509.49</v>
      </c>
      <c r="J4427" s="1399">
        <v>31509.49</v>
      </c>
    </row>
    <row r="4428" spans="2:12">
      <c r="B4428" s="1297"/>
      <c r="C4428" s="1297"/>
      <c r="D4428" s="1297"/>
      <c r="E4428" s="1297" t="s">
        <v>907</v>
      </c>
      <c r="G4428" s="1399">
        <v>913603.98</v>
      </c>
      <c r="J4428" s="1399">
        <v>913603.98</v>
      </c>
    </row>
    <row r="4429" spans="2:12">
      <c r="B4429" s="1297"/>
      <c r="C4429" s="1297"/>
      <c r="D4429" s="1297"/>
      <c r="E4429" s="1297" t="s">
        <v>909</v>
      </c>
      <c r="H4429" s="1399">
        <v>66679.760000000009</v>
      </c>
      <c r="J4429" s="1399">
        <v>66679.760000000009</v>
      </c>
    </row>
    <row r="4430" spans="2:12">
      <c r="B4430" s="1297"/>
      <c r="C4430" s="1297"/>
      <c r="D4430" s="1297"/>
      <c r="E4430" s="1297" t="s">
        <v>910</v>
      </c>
      <c r="H4430" s="1399">
        <v>34521.69</v>
      </c>
      <c r="J4430" s="1399">
        <v>34521.69</v>
      </c>
    </row>
    <row r="4431" spans="2:12">
      <c r="B4431" s="1297"/>
      <c r="C4431" s="1297"/>
      <c r="D4431" s="1297"/>
      <c r="E4431" s="1297" t="s">
        <v>1034</v>
      </c>
      <c r="H4431" s="1399">
        <v>26933.919999999998</v>
      </c>
      <c r="J4431" s="1399">
        <v>26933.919999999998</v>
      </c>
    </row>
    <row r="4432" spans="2:12">
      <c r="B4432" s="1297"/>
      <c r="C4432" s="1297"/>
      <c r="D4432" s="1297"/>
      <c r="E4432" s="1297" t="s">
        <v>1035</v>
      </c>
      <c r="H4432" s="1399">
        <v>136196.72</v>
      </c>
      <c r="J4432" s="1399">
        <v>136196.72</v>
      </c>
    </row>
    <row r="4433" spans="5:10" s="1297" customFormat="1">
      <c r="E4433" s="1297" t="s">
        <v>1036</v>
      </c>
      <c r="F4433" s="1399"/>
      <c r="G4433" s="1399"/>
      <c r="H4433" s="1399">
        <v>69362.179999999993</v>
      </c>
      <c r="I4433" s="1399"/>
      <c r="J4433" s="1399">
        <v>69362.179999999993</v>
      </c>
    </row>
    <row r="4434" spans="5:10" s="1297" customFormat="1">
      <c r="E4434" s="1297" t="s">
        <v>1039</v>
      </c>
      <c r="F4434" s="1399"/>
      <c r="G4434" s="1399"/>
      <c r="H4434" s="1399">
        <v>35325.819999999992</v>
      </c>
      <c r="I4434" s="1399"/>
      <c r="J4434" s="1399">
        <v>35325.819999999992</v>
      </c>
    </row>
    <row r="4435" spans="5:10" s="1297" customFormat="1">
      <c r="E4435" s="1297" t="s">
        <v>1040</v>
      </c>
      <c r="F4435" s="1399"/>
      <c r="G4435" s="1399"/>
      <c r="H4435" s="1399">
        <v>87932.31</v>
      </c>
      <c r="I4435" s="1399"/>
      <c r="J4435" s="1399">
        <v>87932.31</v>
      </c>
    </row>
    <row r="4436" spans="5:10" s="1297" customFormat="1">
      <c r="E4436" s="1297" t="s">
        <v>1041</v>
      </c>
      <c r="F4436" s="1399"/>
      <c r="G4436" s="1399"/>
      <c r="H4436" s="1399">
        <v>3947.38</v>
      </c>
      <c r="I4436" s="1399"/>
      <c r="J4436" s="1399">
        <v>3947.38</v>
      </c>
    </row>
    <row r="4437" spans="5:10" s="1297" customFormat="1">
      <c r="E4437" s="1297" t="s">
        <v>1042</v>
      </c>
      <c r="F4437" s="1399"/>
      <c r="G4437" s="1399"/>
      <c r="H4437" s="1399">
        <v>24642</v>
      </c>
      <c r="I4437" s="1399"/>
      <c r="J4437" s="1399">
        <v>24642</v>
      </c>
    </row>
    <row r="4438" spans="5:10" s="1297" customFormat="1">
      <c r="E4438" s="1297" t="s">
        <v>1044</v>
      </c>
      <c r="F4438" s="1399">
        <v>90214.87</v>
      </c>
      <c r="G4438" s="1399"/>
      <c r="H4438" s="1399"/>
      <c r="I4438" s="1399"/>
      <c r="J4438" s="1399">
        <v>90214.87</v>
      </c>
    </row>
    <row r="4439" spans="5:10" s="1297" customFormat="1">
      <c r="E4439" s="1297" t="s">
        <v>1045</v>
      </c>
      <c r="F4439" s="1399"/>
      <c r="G4439" s="1399"/>
      <c r="H4439" s="1399">
        <v>212528.8</v>
      </c>
      <c r="I4439" s="1399"/>
      <c r="J4439" s="1399">
        <v>212528.8</v>
      </c>
    </row>
    <row r="4440" spans="5:10" s="1297" customFormat="1">
      <c r="E4440" s="1297" t="s">
        <v>1046</v>
      </c>
      <c r="F4440" s="1399"/>
      <c r="G4440" s="1399"/>
      <c r="H4440" s="1399"/>
      <c r="I4440" s="1399">
        <v>7109019</v>
      </c>
      <c r="J4440" s="1399">
        <v>7109019</v>
      </c>
    </row>
    <row r="4441" spans="5:10" s="1297" customFormat="1">
      <c r="E4441" s="1297" t="s">
        <v>1128</v>
      </c>
      <c r="F4441" s="1399"/>
      <c r="G4441" s="1399"/>
      <c r="H4441" s="1399"/>
      <c r="I4441" s="1399">
        <v>572948</v>
      </c>
      <c r="J4441" s="1399">
        <v>572948</v>
      </c>
    </row>
    <row r="4442" spans="5:10" s="1297" customFormat="1">
      <c r="E4442" s="1297" t="s">
        <v>1047</v>
      </c>
      <c r="F4442" s="1399"/>
      <c r="G4442" s="1399"/>
      <c r="H4442" s="1399"/>
      <c r="I4442" s="1399">
        <v>277101</v>
      </c>
      <c r="J4442" s="1399">
        <v>277101</v>
      </c>
    </row>
    <row r="4443" spans="5:10" s="1297" customFormat="1">
      <c r="E4443" s="1297" t="s">
        <v>1048</v>
      </c>
      <c r="F4443" s="1399"/>
      <c r="G4443" s="1399"/>
      <c r="H4443" s="1399"/>
      <c r="I4443" s="1399">
        <v>-1041936</v>
      </c>
      <c r="J4443" s="1399">
        <v>-1041936</v>
      </c>
    </row>
    <row r="4444" spans="5:10" s="1297" customFormat="1">
      <c r="E4444" s="1297" t="s">
        <v>932</v>
      </c>
      <c r="F4444" s="1399"/>
      <c r="G4444" s="1399"/>
      <c r="H4444" s="1399"/>
      <c r="I4444" s="1399">
        <v>562230</v>
      </c>
      <c r="J4444" s="1399">
        <v>562230</v>
      </c>
    </row>
    <row r="4445" spans="5:10" s="1297" customFormat="1">
      <c r="E4445" s="1404" t="s">
        <v>955</v>
      </c>
      <c r="F4445" s="1405"/>
      <c r="G4445" s="1405"/>
      <c r="H4445" s="1405"/>
      <c r="I4445" s="1405">
        <v>446935.55</v>
      </c>
      <c r="J4445" s="1405">
        <v>446935.55</v>
      </c>
    </row>
    <row r="4446" spans="5:10" s="1297" customFormat="1">
      <c r="E4446" s="1297" t="s">
        <v>934</v>
      </c>
      <c r="F4446" s="1399"/>
      <c r="G4446" s="1399"/>
      <c r="H4446" s="1399"/>
      <c r="I4446" s="1399">
        <v>25918</v>
      </c>
      <c r="J4446" s="1399">
        <v>25918</v>
      </c>
    </row>
    <row r="4447" spans="5:10" s="1297" customFormat="1">
      <c r="E4447" s="1297" t="s">
        <v>935</v>
      </c>
      <c r="F4447" s="1399"/>
      <c r="G4447" s="1399"/>
      <c r="H4447" s="1399"/>
      <c r="I4447" s="1399">
        <v>43038.66</v>
      </c>
      <c r="J4447" s="1399">
        <v>43038.66</v>
      </c>
    </row>
    <row r="4448" spans="5:10" s="1297" customFormat="1">
      <c r="E4448" s="1297" t="s">
        <v>936</v>
      </c>
      <c r="F4448" s="1399"/>
      <c r="G4448" s="1399"/>
      <c r="H4448" s="1399"/>
      <c r="I4448" s="1399">
        <v>23810.240000000002</v>
      </c>
      <c r="J4448" s="1399">
        <v>23810.240000000002</v>
      </c>
    </row>
    <row r="4449" spans="2:12">
      <c r="B4449" s="1297"/>
      <c r="C4449" s="1297"/>
      <c r="D4449" s="1297"/>
      <c r="E4449" s="1297" t="s">
        <v>938</v>
      </c>
      <c r="I4449" s="1399">
        <v>9171</v>
      </c>
      <c r="J4449" s="1399">
        <v>9171</v>
      </c>
    </row>
    <row r="4450" spans="2:12">
      <c r="B4450" s="1297"/>
      <c r="C4450" s="1297"/>
      <c r="D4450" s="1297"/>
      <c r="E4450" s="1297" t="s">
        <v>939</v>
      </c>
      <c r="I4450" s="1399">
        <v>47052.69</v>
      </c>
      <c r="J4450" s="1399">
        <v>47052.69</v>
      </c>
    </row>
    <row r="4451" spans="2:12">
      <c r="B4451" s="1297"/>
      <c r="C4451" s="1297"/>
      <c r="D4451" s="1297"/>
      <c r="E4451" s="1297" t="s">
        <v>940</v>
      </c>
      <c r="F4451" s="1399">
        <v>401945.86</v>
      </c>
      <c r="J4451" s="1399">
        <v>401945.86</v>
      </c>
    </row>
    <row r="4452" spans="2:12">
      <c r="B4452" s="1297"/>
      <c r="C4452" s="1297"/>
      <c r="D4452" s="1297"/>
      <c r="E4452" s="1297" t="s">
        <v>941</v>
      </c>
      <c r="F4452" s="1399">
        <v>153869.48000000001</v>
      </c>
      <c r="J4452" s="1399">
        <v>153869.48000000001</v>
      </c>
    </row>
    <row r="4453" spans="2:12">
      <c r="B4453" s="1297"/>
      <c r="C4453" s="1297"/>
      <c r="D4453" s="1297"/>
      <c r="E4453" s="1297" t="s">
        <v>943</v>
      </c>
      <c r="F4453" s="1399">
        <v>9110.14</v>
      </c>
      <c r="J4453" s="1399">
        <v>9110.14</v>
      </c>
    </row>
    <row r="4454" spans="2:12">
      <c r="B4454" s="1297"/>
      <c r="C4454" s="1297"/>
      <c r="D4454" s="1297"/>
      <c r="E4454" s="1297" t="s">
        <v>944</v>
      </c>
      <c r="F4454" s="1399">
        <v>1512054.17</v>
      </c>
      <c r="J4454" s="1399">
        <v>1512054.17</v>
      </c>
    </row>
    <row r="4455" spans="2:12">
      <c r="B4455" s="1297"/>
      <c r="C4455" s="1297"/>
      <c r="D4455" s="1297"/>
      <c r="E4455" s="1297" t="s">
        <v>945</v>
      </c>
      <c r="F4455" s="1399">
        <v>1517882.78</v>
      </c>
      <c r="J4455" s="1399">
        <v>1517882.78</v>
      </c>
    </row>
    <row r="4456" spans="2:12">
      <c r="B4456" s="1297"/>
      <c r="C4456" s="1297"/>
      <c r="D4456" s="1297"/>
      <c r="E4456" s="1297" t="s">
        <v>947</v>
      </c>
      <c r="F4456" s="1399">
        <v>64808.43</v>
      </c>
      <c r="J4456" s="1399">
        <v>64808.43</v>
      </c>
    </row>
    <row r="4457" spans="2:12">
      <c r="B4457" s="1297"/>
      <c r="C4457" s="1297"/>
      <c r="D4457" s="1297"/>
      <c r="E4457" s="1404" t="s">
        <v>948</v>
      </c>
      <c r="F4457" s="1405"/>
      <c r="G4457" s="1405"/>
      <c r="H4457" s="1405">
        <v>1393540.9000000001</v>
      </c>
      <c r="I4457" s="1405"/>
      <c r="J4457" s="1405">
        <v>1393540.9000000001</v>
      </c>
    </row>
    <row r="4458" spans="2:12">
      <c r="B4458" s="1297"/>
      <c r="C4458" s="1297"/>
      <c r="D4458" s="1297"/>
      <c r="E4458" s="1297" t="s">
        <v>956</v>
      </c>
      <c r="H4458" s="1399">
        <v>41651.870000000003</v>
      </c>
      <c r="J4458" s="1399">
        <v>41651.870000000003</v>
      </c>
    </row>
    <row r="4459" spans="2:12">
      <c r="B4459" s="1297"/>
      <c r="C4459" s="1297"/>
      <c r="D4459" s="1400" t="s">
        <v>1494</v>
      </c>
      <c r="E4459" s="1400"/>
      <c r="F4459" s="1401">
        <f>SUM(F4426:F4458)</f>
        <v>3749885.73</v>
      </c>
      <c r="G4459" s="1401">
        <f>SUM(G4426:G4458)</f>
        <v>4124920.93</v>
      </c>
      <c r="H4459" s="1401">
        <f>SUM(H4426:H4458)-H4457</f>
        <v>739722.45</v>
      </c>
      <c r="I4459" s="1401">
        <f>SUM(I4426:I4458)-I4445</f>
        <v>7628352.5900000008</v>
      </c>
      <c r="J4459" s="1401">
        <f>SUM(J4426:J4458)</f>
        <v>18083358.149999999</v>
      </c>
      <c r="K4459" s="1401">
        <f>SUM(F4459:I4459)</f>
        <v>16242881.699999999</v>
      </c>
      <c r="L4459" s="1408">
        <f>K4459/C4426</f>
        <v>12067.519836552749</v>
      </c>
    </row>
    <row r="4460" spans="2:12">
      <c r="B4460" s="1297" t="s">
        <v>1495</v>
      </c>
      <c r="C4460" s="1297">
        <v>2629</v>
      </c>
      <c r="D4460" s="1297" t="s">
        <v>1496</v>
      </c>
      <c r="E4460" s="1297" t="s">
        <v>906</v>
      </c>
      <c r="G4460" s="1399">
        <v>16290518.720000001</v>
      </c>
      <c r="J4460" s="1399">
        <v>16290518.720000001</v>
      </c>
    </row>
    <row r="4461" spans="2:12">
      <c r="B4461" s="1297"/>
      <c r="C4461" s="1297"/>
      <c r="D4461" s="1297"/>
      <c r="E4461" s="1297" t="s">
        <v>952</v>
      </c>
      <c r="G4461" s="1399">
        <v>292829.63</v>
      </c>
      <c r="J4461" s="1399">
        <v>292829.63</v>
      </c>
    </row>
    <row r="4462" spans="2:12">
      <c r="B4462" s="1297"/>
      <c r="C4462" s="1297"/>
      <c r="D4462" s="1297"/>
      <c r="E4462" s="1297" t="s">
        <v>907</v>
      </c>
      <c r="G4462" s="1399">
        <v>4324840.42</v>
      </c>
      <c r="J4462" s="1399">
        <v>4324840.42</v>
      </c>
    </row>
    <row r="4463" spans="2:12">
      <c r="B4463" s="1297"/>
      <c r="C4463" s="1297"/>
      <c r="D4463" s="1297"/>
      <c r="E4463" s="1297" t="s">
        <v>1034</v>
      </c>
      <c r="H4463" s="1399">
        <v>2105</v>
      </c>
      <c r="J4463" s="1399">
        <v>2105</v>
      </c>
    </row>
    <row r="4464" spans="2:12">
      <c r="B4464" s="1297"/>
      <c r="C4464" s="1297"/>
      <c r="D4464" s="1297"/>
      <c r="E4464" s="1297" t="s">
        <v>1037</v>
      </c>
      <c r="H4464" s="1399">
        <v>14050</v>
      </c>
      <c r="J4464" s="1399">
        <v>14050</v>
      </c>
    </row>
    <row r="4465" spans="5:10" s="1297" customFormat="1">
      <c r="E4465" s="1297" t="s">
        <v>1038</v>
      </c>
      <c r="F4465" s="1399"/>
      <c r="G4465" s="1399"/>
      <c r="H4465" s="1399">
        <v>4800</v>
      </c>
      <c r="I4465" s="1399"/>
      <c r="J4465" s="1399">
        <v>4800</v>
      </c>
    </row>
    <row r="4466" spans="5:10" s="1297" customFormat="1">
      <c r="E4466" s="1297" t="s">
        <v>1039</v>
      </c>
      <c r="F4466" s="1399"/>
      <c r="G4466" s="1399"/>
      <c r="H4466" s="1399">
        <v>39414.389999999992</v>
      </c>
      <c r="I4466" s="1399"/>
      <c r="J4466" s="1399">
        <v>39414.389999999992</v>
      </c>
    </row>
    <row r="4467" spans="5:10" s="1297" customFormat="1">
      <c r="E4467" s="1297" t="s">
        <v>1040</v>
      </c>
      <c r="F4467" s="1399"/>
      <c r="G4467" s="1399"/>
      <c r="H4467" s="1399">
        <v>117294.81</v>
      </c>
      <c r="I4467" s="1399"/>
      <c r="J4467" s="1399">
        <v>117294.81</v>
      </c>
    </row>
    <row r="4468" spans="5:10" s="1297" customFormat="1">
      <c r="E4468" s="1297" t="s">
        <v>1041</v>
      </c>
      <c r="F4468" s="1399"/>
      <c r="G4468" s="1399"/>
      <c r="H4468" s="1399">
        <v>62122.020000000004</v>
      </c>
      <c r="I4468" s="1399"/>
      <c r="J4468" s="1399">
        <v>62122.020000000004</v>
      </c>
    </row>
    <row r="4469" spans="5:10" s="1297" customFormat="1">
      <c r="E4469" s="1297" t="s">
        <v>1042</v>
      </c>
      <c r="F4469" s="1399"/>
      <c r="G4469" s="1399"/>
      <c r="H4469" s="1399">
        <v>49758.45</v>
      </c>
      <c r="I4469" s="1399"/>
      <c r="J4469" s="1399">
        <v>49758.45</v>
      </c>
    </row>
    <row r="4470" spans="5:10" s="1297" customFormat="1">
      <c r="E4470" s="1297" t="s">
        <v>954</v>
      </c>
      <c r="F4470" s="1399"/>
      <c r="G4470" s="1399"/>
      <c r="H4470" s="1399">
        <v>772540.02</v>
      </c>
      <c r="I4470" s="1399"/>
      <c r="J4470" s="1399">
        <v>772540.02</v>
      </c>
    </row>
    <row r="4471" spans="5:10" s="1297" customFormat="1">
      <c r="E4471" s="1297" t="s">
        <v>986</v>
      </c>
      <c r="F4471" s="1399"/>
      <c r="G4471" s="1399"/>
      <c r="H4471" s="1399">
        <v>-873.78</v>
      </c>
      <c r="I4471" s="1399"/>
      <c r="J4471" s="1399">
        <v>-873.78</v>
      </c>
    </row>
    <row r="4472" spans="5:10" s="1297" customFormat="1">
      <c r="E4472" s="1297" t="s">
        <v>1044</v>
      </c>
      <c r="F4472" s="1399">
        <v>32737.5</v>
      </c>
      <c r="G4472" s="1399"/>
      <c r="H4472" s="1399"/>
      <c r="I4472" s="1399"/>
      <c r="J4472" s="1399">
        <v>32737.5</v>
      </c>
    </row>
    <row r="4473" spans="5:10" s="1297" customFormat="1">
      <c r="E4473" s="1297" t="s">
        <v>1045</v>
      </c>
      <c r="F4473" s="1399"/>
      <c r="G4473" s="1399"/>
      <c r="H4473" s="1399">
        <v>682536.8</v>
      </c>
      <c r="I4473" s="1399"/>
      <c r="J4473" s="1399">
        <v>682536.8</v>
      </c>
    </row>
    <row r="4474" spans="5:10" s="1297" customFormat="1">
      <c r="E4474" s="1297" t="s">
        <v>1046</v>
      </c>
      <c r="F4474" s="1399"/>
      <c r="G4474" s="1399"/>
      <c r="H4474" s="1399"/>
      <c r="I4474" s="1399">
        <v>15244768</v>
      </c>
      <c r="J4474" s="1399">
        <v>15244768</v>
      </c>
    </row>
    <row r="4475" spans="5:10" s="1297" customFormat="1">
      <c r="E4475" s="1297" t="s">
        <v>1128</v>
      </c>
      <c r="F4475" s="1399"/>
      <c r="G4475" s="1399"/>
      <c r="H4475" s="1399"/>
      <c r="I4475" s="1399">
        <v>1167545</v>
      </c>
      <c r="J4475" s="1399">
        <v>1167545</v>
      </c>
    </row>
    <row r="4476" spans="5:10" s="1297" customFormat="1">
      <c r="E4476" s="1297" t="s">
        <v>1129</v>
      </c>
      <c r="F4476" s="1399"/>
      <c r="G4476" s="1399"/>
      <c r="H4476" s="1399"/>
      <c r="I4476" s="1399">
        <v>-1344051</v>
      </c>
      <c r="J4476" s="1399">
        <v>-1344051</v>
      </c>
    </row>
    <row r="4477" spans="5:10" s="1297" customFormat="1">
      <c r="E4477" s="1297" t="s">
        <v>1047</v>
      </c>
      <c r="F4477" s="1399"/>
      <c r="G4477" s="1399"/>
      <c r="H4477" s="1399"/>
      <c r="I4477" s="1399">
        <v>406315</v>
      </c>
      <c r="J4477" s="1399">
        <v>406315</v>
      </c>
    </row>
    <row r="4478" spans="5:10" s="1297" customFormat="1">
      <c r="E4478" s="1297" t="s">
        <v>1048</v>
      </c>
      <c r="F4478" s="1399"/>
      <c r="G4478" s="1399"/>
      <c r="H4478" s="1399"/>
      <c r="I4478" s="1399">
        <v>-7014086</v>
      </c>
      <c r="J4478" s="1399">
        <v>-7014086</v>
      </c>
    </row>
    <row r="4479" spans="5:10" s="1297" customFormat="1">
      <c r="E4479" s="1404" t="s">
        <v>955</v>
      </c>
      <c r="F4479" s="1405"/>
      <c r="G4479" s="1405"/>
      <c r="H4479" s="1405"/>
      <c r="I4479" s="1405">
        <v>760873.19</v>
      </c>
      <c r="J4479" s="1405">
        <v>760873.19</v>
      </c>
    </row>
    <row r="4480" spans="5:10" s="1297" customFormat="1">
      <c r="E4480" s="1297" t="s">
        <v>934</v>
      </c>
      <c r="F4480" s="1399"/>
      <c r="G4480" s="1399"/>
      <c r="H4480" s="1399"/>
      <c r="I4480" s="1399">
        <v>47698</v>
      </c>
      <c r="J4480" s="1399">
        <v>47698</v>
      </c>
    </row>
    <row r="4481" spans="5:10" s="1297" customFormat="1">
      <c r="E4481" s="1297" t="s">
        <v>935</v>
      </c>
      <c r="F4481" s="1399"/>
      <c r="G4481" s="1399"/>
      <c r="H4481" s="1399"/>
      <c r="I4481" s="1399">
        <v>400597.05999999994</v>
      </c>
      <c r="J4481" s="1399">
        <v>400597.05999999994</v>
      </c>
    </row>
    <row r="4482" spans="5:10" s="1297" customFormat="1">
      <c r="E4482" s="1297" t="s">
        <v>936</v>
      </c>
      <c r="F4482" s="1399"/>
      <c r="G4482" s="1399"/>
      <c r="H4482" s="1399"/>
      <c r="I4482" s="1399">
        <v>75282.37</v>
      </c>
      <c r="J4482" s="1399">
        <v>75282.37</v>
      </c>
    </row>
    <row r="4483" spans="5:10" s="1297" customFormat="1">
      <c r="E4483" s="1297" t="s">
        <v>937</v>
      </c>
      <c r="F4483" s="1399"/>
      <c r="G4483" s="1399"/>
      <c r="H4483" s="1399"/>
      <c r="I4483" s="1399">
        <v>11163.98</v>
      </c>
      <c r="J4483" s="1399">
        <v>11163.98</v>
      </c>
    </row>
    <row r="4484" spans="5:10" s="1297" customFormat="1">
      <c r="E4484" s="1297" t="s">
        <v>938</v>
      </c>
      <c r="F4484" s="1399"/>
      <c r="G4484" s="1399"/>
      <c r="H4484" s="1399"/>
      <c r="I4484" s="1399">
        <v>20962</v>
      </c>
      <c r="J4484" s="1399">
        <v>20962</v>
      </c>
    </row>
    <row r="4485" spans="5:10" s="1297" customFormat="1">
      <c r="E4485" s="1297" t="s">
        <v>939</v>
      </c>
      <c r="F4485" s="1399"/>
      <c r="G4485" s="1399"/>
      <c r="H4485" s="1399"/>
      <c r="I4485" s="1399">
        <v>61065.04</v>
      </c>
      <c r="J4485" s="1399">
        <v>61065.04</v>
      </c>
    </row>
    <row r="4486" spans="5:10" s="1297" customFormat="1">
      <c r="E4486" s="1297" t="s">
        <v>1131</v>
      </c>
      <c r="F4486" s="1399">
        <v>1244538.71</v>
      </c>
      <c r="G4486" s="1399"/>
      <c r="H4486" s="1399"/>
      <c r="I4486" s="1399"/>
      <c r="J4486" s="1399">
        <v>1244538.71</v>
      </c>
    </row>
    <row r="4487" spans="5:10" s="1297" customFormat="1">
      <c r="E4487" s="1297" t="s">
        <v>940</v>
      </c>
      <c r="F4487" s="1399">
        <v>939295.24</v>
      </c>
      <c r="G4487" s="1399"/>
      <c r="H4487" s="1399"/>
      <c r="I4487" s="1399"/>
      <c r="J4487" s="1399">
        <v>939295.24</v>
      </c>
    </row>
    <row r="4488" spans="5:10" s="1297" customFormat="1">
      <c r="E4488" s="1297" t="s">
        <v>941</v>
      </c>
      <c r="F4488" s="1399">
        <v>377040.44</v>
      </c>
      <c r="G4488" s="1399"/>
      <c r="H4488" s="1399"/>
      <c r="I4488" s="1399"/>
      <c r="J4488" s="1399">
        <v>377040.44</v>
      </c>
    </row>
    <row r="4489" spans="5:10" s="1297" customFormat="1">
      <c r="E4489" s="1297" t="s">
        <v>943</v>
      </c>
      <c r="F4489" s="1399">
        <v>1840.38</v>
      </c>
      <c r="G4489" s="1399"/>
      <c r="H4489" s="1399"/>
      <c r="I4489" s="1399"/>
      <c r="J4489" s="1399">
        <v>1840.38</v>
      </c>
    </row>
    <row r="4490" spans="5:10" s="1297" customFormat="1">
      <c r="E4490" s="1297" t="s">
        <v>944</v>
      </c>
      <c r="F4490" s="1399">
        <v>2158051.39</v>
      </c>
      <c r="G4490" s="1399"/>
      <c r="H4490" s="1399"/>
      <c r="I4490" s="1399"/>
      <c r="J4490" s="1399">
        <v>2158051.39</v>
      </c>
    </row>
    <row r="4491" spans="5:10" s="1297" customFormat="1">
      <c r="E4491" s="1297" t="s">
        <v>945</v>
      </c>
      <c r="F4491" s="1399">
        <v>1096464.31</v>
      </c>
      <c r="G4491" s="1399"/>
      <c r="H4491" s="1399"/>
      <c r="I4491" s="1399"/>
      <c r="J4491" s="1399">
        <v>1096464.31</v>
      </c>
    </row>
    <row r="4492" spans="5:10" s="1297" customFormat="1">
      <c r="E4492" s="1297" t="s">
        <v>946</v>
      </c>
      <c r="F4492" s="1399">
        <v>3243</v>
      </c>
      <c r="G4492" s="1399"/>
      <c r="H4492" s="1399"/>
      <c r="I4492" s="1399"/>
      <c r="J4492" s="1399">
        <v>3243</v>
      </c>
    </row>
    <row r="4493" spans="5:10" s="1297" customFormat="1">
      <c r="E4493" s="1297" t="s">
        <v>978</v>
      </c>
      <c r="F4493" s="1399">
        <v>4080.92</v>
      </c>
      <c r="G4493" s="1399"/>
      <c r="H4493" s="1399"/>
      <c r="I4493" s="1399"/>
      <c r="J4493" s="1399">
        <v>4080.92</v>
      </c>
    </row>
    <row r="4494" spans="5:10" s="1297" customFormat="1">
      <c r="E4494" s="1297" t="s">
        <v>1214</v>
      </c>
      <c r="F4494" s="1399">
        <v>46798.42</v>
      </c>
      <c r="G4494" s="1399"/>
      <c r="H4494" s="1399"/>
      <c r="I4494" s="1399"/>
      <c r="J4494" s="1399">
        <v>46798.42</v>
      </c>
    </row>
    <row r="4495" spans="5:10" s="1297" customFormat="1">
      <c r="E4495" s="1297" t="s">
        <v>947</v>
      </c>
      <c r="F4495" s="1399">
        <v>110632.59</v>
      </c>
      <c r="G4495" s="1399"/>
      <c r="H4495" s="1399"/>
      <c r="I4495" s="1399"/>
      <c r="J4495" s="1399">
        <v>110632.59</v>
      </c>
    </row>
    <row r="4496" spans="5:10" s="1297" customFormat="1">
      <c r="E4496" s="1404" t="s">
        <v>948</v>
      </c>
      <c r="F4496" s="1405"/>
      <c r="G4496" s="1405"/>
      <c r="H4496" s="1405">
        <v>21947810.109999996</v>
      </c>
      <c r="I4496" s="1405"/>
      <c r="J4496" s="1405">
        <v>21947810.109999996</v>
      </c>
    </row>
    <row r="4497" spans="2:12">
      <c r="B4497" s="1297"/>
      <c r="C4497" s="1297"/>
      <c r="D4497" s="1297"/>
      <c r="E4497" s="1297" t="s">
        <v>1118</v>
      </c>
      <c r="H4497" s="1399">
        <v>3275.68</v>
      </c>
      <c r="J4497" s="1399">
        <v>3275.68</v>
      </c>
    </row>
    <row r="4498" spans="2:12">
      <c r="B4498" s="1297"/>
      <c r="C4498" s="1297"/>
      <c r="D4498" s="1400" t="s">
        <v>1497</v>
      </c>
      <c r="E4498" s="1400"/>
      <c r="F4498" s="1401">
        <f>SUM(F4460:F4497)</f>
        <v>6014722.9000000004</v>
      </c>
      <c r="G4498" s="1401">
        <f>SUM(G4460:G4497)</f>
        <v>20908188.770000003</v>
      </c>
      <c r="H4498" s="1401">
        <f>SUM(H4460:H4497)-H4496</f>
        <v>1747023.3900000006</v>
      </c>
      <c r="I4498" s="1401">
        <f>SUM(I4460:I4497)-I4479</f>
        <v>9077259.4499999993</v>
      </c>
      <c r="J4498" s="1401">
        <f>SUM(J4460:J4497)</f>
        <v>60455877.81000001</v>
      </c>
      <c r="K4498" s="1401">
        <f>SUM(F4498:I4498)</f>
        <v>37747194.510000005</v>
      </c>
      <c r="L4498" s="1408">
        <f>K4498/C4460</f>
        <v>14358.004758463296</v>
      </c>
    </row>
    <row r="4499" spans="2:12">
      <c r="B4499" s="1297" t="s">
        <v>1498</v>
      </c>
      <c r="C4499" s="1297">
        <v>343</v>
      </c>
      <c r="D4499" s="1297" t="s">
        <v>1499</v>
      </c>
      <c r="E4499" s="1297" t="s">
        <v>906</v>
      </c>
      <c r="G4499" s="1399">
        <v>1315143.4000000001</v>
      </c>
      <c r="J4499" s="1399">
        <v>1315143.4000000001</v>
      </c>
    </row>
    <row r="4500" spans="2:12">
      <c r="B4500" s="1297"/>
      <c r="C4500" s="1297"/>
      <c r="D4500" s="1297"/>
      <c r="E4500" s="1297" t="s">
        <v>952</v>
      </c>
      <c r="G4500" s="1399">
        <v>12998.34</v>
      </c>
      <c r="J4500" s="1399">
        <v>12998.34</v>
      </c>
    </row>
    <row r="4501" spans="2:12">
      <c r="B4501" s="1297"/>
      <c r="C4501" s="1297"/>
      <c r="D4501" s="1297"/>
      <c r="E4501" s="1297" t="s">
        <v>907</v>
      </c>
      <c r="G4501" s="1399">
        <v>96099.85</v>
      </c>
      <c r="J4501" s="1399">
        <v>96099.85</v>
      </c>
    </row>
    <row r="4502" spans="2:12">
      <c r="B4502" s="1297"/>
      <c r="C4502" s="1297"/>
      <c r="D4502" s="1297"/>
      <c r="E4502" s="1297" t="s">
        <v>908</v>
      </c>
      <c r="G4502" s="1399">
        <v>9285.26</v>
      </c>
      <c r="J4502" s="1399">
        <v>9285.26</v>
      </c>
    </row>
    <row r="4503" spans="2:12">
      <c r="B4503" s="1297"/>
      <c r="C4503" s="1297"/>
      <c r="D4503" s="1297"/>
      <c r="E4503" s="1297" t="s">
        <v>909</v>
      </c>
      <c r="H4503" s="1399">
        <v>9807.5</v>
      </c>
      <c r="J4503" s="1399">
        <v>9807.5</v>
      </c>
    </row>
    <row r="4504" spans="2:12">
      <c r="B4504" s="1297"/>
      <c r="C4504" s="1297"/>
      <c r="D4504" s="1297"/>
      <c r="E4504" s="1297" t="s">
        <v>910</v>
      </c>
      <c r="H4504" s="1399">
        <v>5353.3600000000006</v>
      </c>
      <c r="J4504" s="1399">
        <v>5353.3600000000006</v>
      </c>
    </row>
    <row r="4505" spans="2:12">
      <c r="B4505" s="1297"/>
      <c r="C4505" s="1297"/>
      <c r="D4505" s="1297"/>
      <c r="E4505" s="1297" t="s">
        <v>1034</v>
      </c>
      <c r="H4505" s="1399">
        <v>3767.46</v>
      </c>
      <c r="J4505" s="1399">
        <v>3767.46</v>
      </c>
    </row>
    <row r="4506" spans="2:12">
      <c r="B4506" s="1297"/>
      <c r="C4506" s="1297"/>
      <c r="D4506" s="1297"/>
      <c r="E4506" s="1297" t="s">
        <v>1035</v>
      </c>
      <c r="H4506" s="1399">
        <v>22350.59</v>
      </c>
      <c r="J4506" s="1399">
        <v>22350.59</v>
      </c>
    </row>
    <row r="4507" spans="2:12">
      <c r="B4507" s="1297"/>
      <c r="C4507" s="1297"/>
      <c r="D4507" s="1297"/>
      <c r="E4507" s="1297" t="s">
        <v>1036</v>
      </c>
      <c r="H4507" s="1399">
        <v>11414.76</v>
      </c>
      <c r="J4507" s="1399">
        <v>11414.76</v>
      </c>
    </row>
    <row r="4508" spans="2:12">
      <c r="B4508" s="1297"/>
      <c r="C4508" s="1297"/>
      <c r="D4508" s="1297"/>
      <c r="E4508" s="1297" t="s">
        <v>1003</v>
      </c>
      <c r="H4508" s="1399">
        <v>944</v>
      </c>
      <c r="J4508" s="1399">
        <v>944</v>
      </c>
    </row>
    <row r="4509" spans="2:12">
      <c r="B4509" s="1297"/>
      <c r="C4509" s="1297"/>
      <c r="D4509" s="1297"/>
      <c r="E4509" s="1297" t="s">
        <v>1039</v>
      </c>
      <c r="H4509" s="1399">
        <v>3394.1900000000005</v>
      </c>
      <c r="J4509" s="1399">
        <v>3394.1900000000005</v>
      </c>
    </row>
    <row r="4510" spans="2:12">
      <c r="B4510" s="1297"/>
      <c r="C4510" s="1297"/>
      <c r="D4510" s="1297"/>
      <c r="E4510" s="1297" t="s">
        <v>1042</v>
      </c>
      <c r="H4510" s="1399">
        <v>5497.35</v>
      </c>
      <c r="J4510" s="1399">
        <v>5497.35</v>
      </c>
    </row>
    <row r="4511" spans="2:12">
      <c r="B4511" s="1297"/>
      <c r="C4511" s="1297"/>
      <c r="D4511" s="1297"/>
      <c r="E4511" s="1297" t="s">
        <v>996</v>
      </c>
      <c r="H4511" s="1399">
        <v>138</v>
      </c>
      <c r="J4511" s="1399">
        <v>138</v>
      </c>
    </row>
    <row r="4512" spans="2:12">
      <c r="B4512" s="1297"/>
      <c r="C4512" s="1297"/>
      <c r="D4512" s="1297"/>
      <c r="E4512" s="1297" t="s">
        <v>1045</v>
      </c>
      <c r="H4512" s="1399">
        <v>54463.49</v>
      </c>
      <c r="J4512" s="1399">
        <v>54463.49</v>
      </c>
    </row>
    <row r="4513" spans="5:10" s="1297" customFormat="1">
      <c r="E4513" s="1297" t="s">
        <v>1046</v>
      </c>
      <c r="F4513" s="1399"/>
      <c r="G4513" s="1399"/>
      <c r="H4513" s="1399"/>
      <c r="I4513" s="1399">
        <v>2238162</v>
      </c>
      <c r="J4513" s="1399">
        <v>2238162</v>
      </c>
    </row>
    <row r="4514" spans="5:10" s="1297" customFormat="1">
      <c r="E4514" s="1297" t="s">
        <v>1047</v>
      </c>
      <c r="F4514" s="1399"/>
      <c r="G4514" s="1399"/>
      <c r="H4514" s="1399"/>
      <c r="I4514" s="1399">
        <v>222495</v>
      </c>
      <c r="J4514" s="1399">
        <v>222495</v>
      </c>
    </row>
    <row r="4515" spans="5:10" s="1297" customFormat="1">
      <c r="E4515" s="1297" t="s">
        <v>1048</v>
      </c>
      <c r="F4515" s="1399"/>
      <c r="G4515" s="1399"/>
      <c r="H4515" s="1399"/>
      <c r="I4515" s="1399">
        <v>-402003</v>
      </c>
      <c r="J4515" s="1399">
        <v>-402003</v>
      </c>
    </row>
    <row r="4516" spans="5:10" s="1297" customFormat="1">
      <c r="E4516" s="1404" t="s">
        <v>955</v>
      </c>
      <c r="F4516" s="1405"/>
      <c r="G4516" s="1405"/>
      <c r="H4516" s="1405"/>
      <c r="I4516" s="1405">
        <v>138448.42000000001</v>
      </c>
      <c r="J4516" s="1405">
        <v>138448.42000000001</v>
      </c>
    </row>
    <row r="4517" spans="5:10" s="1297" customFormat="1">
      <c r="E4517" s="1297" t="s">
        <v>934</v>
      </c>
      <c r="F4517" s="1399"/>
      <c r="G4517" s="1399"/>
      <c r="H4517" s="1399"/>
      <c r="I4517" s="1399">
        <v>6858</v>
      </c>
      <c r="J4517" s="1399">
        <v>6858</v>
      </c>
    </row>
    <row r="4518" spans="5:10" s="1297" customFormat="1">
      <c r="E4518" s="1297" t="s">
        <v>935</v>
      </c>
      <c r="F4518" s="1399"/>
      <c r="G4518" s="1399"/>
      <c r="H4518" s="1399"/>
      <c r="I4518" s="1399">
        <v>10711.86</v>
      </c>
      <c r="J4518" s="1399">
        <v>10711.86</v>
      </c>
    </row>
    <row r="4519" spans="5:10" s="1297" customFormat="1">
      <c r="E4519" s="1297" t="s">
        <v>936</v>
      </c>
      <c r="F4519" s="1399"/>
      <c r="G4519" s="1399"/>
      <c r="H4519" s="1399"/>
      <c r="I4519" s="1399">
        <v>8753.76</v>
      </c>
      <c r="J4519" s="1399">
        <v>8753.76</v>
      </c>
    </row>
    <row r="4520" spans="5:10" s="1297" customFormat="1">
      <c r="E4520" s="1297" t="s">
        <v>937</v>
      </c>
      <c r="F4520" s="1399"/>
      <c r="G4520" s="1399"/>
      <c r="H4520" s="1399"/>
      <c r="I4520" s="1399">
        <v>4825.58</v>
      </c>
      <c r="J4520" s="1399">
        <v>4825.58</v>
      </c>
    </row>
    <row r="4521" spans="5:10" s="1297" customFormat="1">
      <c r="E4521" s="1297" t="s">
        <v>938</v>
      </c>
      <c r="F4521" s="1399"/>
      <c r="G4521" s="1399"/>
      <c r="H4521" s="1399"/>
      <c r="I4521" s="1399">
        <v>1872</v>
      </c>
      <c r="J4521" s="1399">
        <v>1872</v>
      </c>
    </row>
    <row r="4522" spans="5:10" s="1297" customFormat="1">
      <c r="E4522" s="1297" t="s">
        <v>939</v>
      </c>
      <c r="F4522" s="1399"/>
      <c r="G4522" s="1399"/>
      <c r="H4522" s="1399"/>
      <c r="I4522" s="1399">
        <v>15672.12</v>
      </c>
      <c r="J4522" s="1399">
        <v>15672.12</v>
      </c>
    </row>
    <row r="4523" spans="5:10" s="1297" customFormat="1">
      <c r="E4523" s="1297" t="s">
        <v>940</v>
      </c>
      <c r="F4523" s="1399">
        <v>180150.12</v>
      </c>
      <c r="G4523" s="1399"/>
      <c r="H4523" s="1399"/>
      <c r="I4523" s="1399"/>
      <c r="J4523" s="1399">
        <v>180150.12</v>
      </c>
    </row>
    <row r="4524" spans="5:10" s="1297" customFormat="1">
      <c r="E4524" s="1297" t="s">
        <v>941</v>
      </c>
      <c r="F4524" s="1399">
        <v>85065.600000000006</v>
      </c>
      <c r="G4524" s="1399"/>
      <c r="H4524" s="1399"/>
      <c r="I4524" s="1399"/>
      <c r="J4524" s="1399">
        <v>85065.600000000006</v>
      </c>
    </row>
    <row r="4525" spans="5:10" s="1297" customFormat="1">
      <c r="E4525" s="1297" t="s">
        <v>943</v>
      </c>
      <c r="F4525" s="1399">
        <v>6488.32</v>
      </c>
      <c r="G4525" s="1399"/>
      <c r="H4525" s="1399"/>
      <c r="I4525" s="1399"/>
      <c r="J4525" s="1399">
        <v>6488.32</v>
      </c>
    </row>
    <row r="4526" spans="5:10" s="1297" customFormat="1">
      <c r="E4526" s="1297" t="s">
        <v>944</v>
      </c>
      <c r="F4526" s="1399">
        <v>493900.67</v>
      </c>
      <c r="G4526" s="1399"/>
      <c r="H4526" s="1399"/>
      <c r="I4526" s="1399"/>
      <c r="J4526" s="1399">
        <v>493900.67</v>
      </c>
    </row>
    <row r="4527" spans="5:10" s="1297" customFormat="1">
      <c r="E4527" s="1297" t="s">
        <v>945</v>
      </c>
      <c r="F4527" s="1399">
        <v>164011.21000000002</v>
      </c>
      <c r="G4527" s="1399"/>
      <c r="H4527" s="1399"/>
      <c r="I4527" s="1399"/>
      <c r="J4527" s="1399">
        <v>164011.21000000002</v>
      </c>
    </row>
    <row r="4528" spans="5:10" s="1297" customFormat="1">
      <c r="E4528" s="1297" t="s">
        <v>946</v>
      </c>
      <c r="F4528" s="1399">
        <v>284130.90000000002</v>
      </c>
      <c r="G4528" s="1399"/>
      <c r="H4528" s="1399"/>
      <c r="I4528" s="1399"/>
      <c r="J4528" s="1399">
        <v>284130.90000000002</v>
      </c>
    </row>
    <row r="4529" spans="2:12">
      <c r="B4529" s="1297"/>
      <c r="C4529" s="1297"/>
      <c r="D4529" s="1297"/>
      <c r="E4529" s="1297" t="s">
        <v>947</v>
      </c>
      <c r="F4529" s="1399">
        <v>18567.82</v>
      </c>
      <c r="J4529" s="1399">
        <v>18567.82</v>
      </c>
    </row>
    <row r="4530" spans="2:12">
      <c r="B4530" s="1297"/>
      <c r="C4530" s="1297"/>
      <c r="D4530" s="1297"/>
      <c r="E4530" s="1404" t="s">
        <v>948</v>
      </c>
      <c r="F4530" s="1405"/>
      <c r="G4530" s="1405"/>
      <c r="H4530" s="1405">
        <v>480960.86</v>
      </c>
      <c r="I4530" s="1405"/>
      <c r="J4530" s="1405">
        <v>480960.86</v>
      </c>
    </row>
    <row r="4531" spans="2:12">
      <c r="B4531" s="1297"/>
      <c r="C4531" s="1297"/>
      <c r="D4531" s="1297"/>
      <c r="E4531" s="1297" t="s">
        <v>1118</v>
      </c>
      <c r="H4531" s="1399">
        <v>236</v>
      </c>
      <c r="J4531" s="1399">
        <v>236</v>
      </c>
    </row>
    <row r="4532" spans="2:12">
      <c r="B4532" s="1297"/>
      <c r="C4532" s="1297"/>
      <c r="D4532" s="1400" t="s">
        <v>1500</v>
      </c>
      <c r="E4532" s="1400"/>
      <c r="F4532" s="1401">
        <f>SUM(F4499:F4531)</f>
        <v>1232314.6399999999</v>
      </c>
      <c r="G4532" s="1401">
        <f>SUM(G4499:G4531)</f>
        <v>1433526.8500000003</v>
      </c>
      <c r="H4532" s="1401">
        <f>SUM(H4499:H4531)-H4530</f>
        <v>117366.70000000007</v>
      </c>
      <c r="I4532" s="1401">
        <f>SUM(I4499:I4531)-I4516</f>
        <v>2107347.3199999998</v>
      </c>
      <c r="J4532" s="1401">
        <f>SUM(J4499:J4531)</f>
        <v>5509964.7900000019</v>
      </c>
      <c r="K4532" s="1401">
        <f>SUM(F4532:I4532)</f>
        <v>4890555.51</v>
      </c>
      <c r="L4532" s="1408">
        <f>K4532/C4499</f>
        <v>14258.179329446064</v>
      </c>
    </row>
    <row r="4533" spans="2:12">
      <c r="B4533" s="1297" t="s">
        <v>1501</v>
      </c>
      <c r="C4533" s="1297">
        <v>2240</v>
      </c>
      <c r="D4533" s="1297" t="s">
        <v>1502</v>
      </c>
      <c r="E4533" s="1297" t="s">
        <v>906</v>
      </c>
      <c r="G4533" s="1399">
        <v>15059820.5</v>
      </c>
      <c r="J4533" s="1399">
        <v>15059820.5</v>
      </c>
    </row>
    <row r="4534" spans="2:12">
      <c r="B4534" s="1297"/>
      <c r="C4534" s="1297"/>
      <c r="D4534" s="1297"/>
      <c r="E4534" s="1297" t="s">
        <v>1126</v>
      </c>
      <c r="G4534" s="1399">
        <v>2814433.83</v>
      </c>
      <c r="J4534" s="1399">
        <v>2814433.83</v>
      </c>
    </row>
    <row r="4535" spans="2:12">
      <c r="B4535" s="1297"/>
      <c r="C4535" s="1297"/>
      <c r="D4535" s="1297"/>
      <c r="E4535" s="1297" t="s">
        <v>952</v>
      </c>
      <c r="G4535" s="1399">
        <v>211802.35</v>
      </c>
      <c r="J4535" s="1399">
        <v>211802.35</v>
      </c>
    </row>
    <row r="4536" spans="2:12">
      <c r="B4536" s="1297"/>
      <c r="C4536" s="1297"/>
      <c r="D4536" s="1297"/>
      <c r="E4536" s="1297" t="s">
        <v>907</v>
      </c>
      <c r="G4536" s="1399">
        <v>2814367.52</v>
      </c>
      <c r="J4536" s="1399">
        <v>2814367.52</v>
      </c>
    </row>
    <row r="4537" spans="2:12">
      <c r="B4537" s="1297"/>
      <c r="C4537" s="1297"/>
      <c r="D4537" s="1297"/>
      <c r="E4537" s="1297" t="s">
        <v>910</v>
      </c>
      <c r="H4537" s="1399">
        <v>6387.5</v>
      </c>
      <c r="J4537" s="1399">
        <v>6387.5</v>
      </c>
    </row>
    <row r="4538" spans="2:12">
      <c r="B4538" s="1297"/>
      <c r="C4538" s="1297"/>
      <c r="D4538" s="1297"/>
      <c r="E4538" s="1297" t="s">
        <v>1034</v>
      </c>
      <c r="H4538" s="1399">
        <v>58906.49</v>
      </c>
      <c r="J4538" s="1399">
        <v>58906.49</v>
      </c>
    </row>
    <row r="4539" spans="2:12">
      <c r="B4539" s="1297"/>
      <c r="C4539" s="1297"/>
      <c r="D4539" s="1297"/>
      <c r="E4539" s="1297" t="s">
        <v>1035</v>
      </c>
      <c r="H4539" s="1399">
        <v>474541.48000000004</v>
      </c>
      <c r="J4539" s="1399">
        <v>474541.48000000004</v>
      </c>
    </row>
    <row r="4540" spans="2:12">
      <c r="B4540" s="1297"/>
      <c r="C4540" s="1297"/>
      <c r="D4540" s="1297"/>
      <c r="E4540" s="1297" t="s">
        <v>1036</v>
      </c>
      <c r="H4540" s="1399">
        <v>118762.44</v>
      </c>
      <c r="J4540" s="1399">
        <v>118762.44</v>
      </c>
    </row>
    <row r="4541" spans="2:12">
      <c r="B4541" s="1297"/>
      <c r="C4541" s="1297"/>
      <c r="D4541" s="1297"/>
      <c r="E4541" s="1297" t="s">
        <v>1039</v>
      </c>
      <c r="H4541" s="1399">
        <v>20859.619999999995</v>
      </c>
      <c r="J4541" s="1399">
        <v>20859.619999999995</v>
      </c>
    </row>
    <row r="4542" spans="2:12">
      <c r="B4542" s="1297"/>
      <c r="C4542" s="1297"/>
      <c r="D4542" s="1297"/>
      <c r="E4542" s="1297" t="s">
        <v>1040</v>
      </c>
      <c r="H4542" s="1399">
        <v>208201.5</v>
      </c>
      <c r="J4542" s="1399">
        <v>208201.5</v>
      </c>
    </row>
    <row r="4543" spans="2:12">
      <c r="B4543" s="1297"/>
      <c r="C4543" s="1297"/>
      <c r="D4543" s="1297"/>
      <c r="E4543" s="1297" t="s">
        <v>1041</v>
      </c>
      <c r="H4543" s="1399">
        <v>97129.95</v>
      </c>
      <c r="J4543" s="1399">
        <v>97129.95</v>
      </c>
    </row>
    <row r="4544" spans="2:12">
      <c r="B4544" s="1297"/>
      <c r="C4544" s="1297"/>
      <c r="D4544" s="1297"/>
      <c r="E4544" s="1297" t="s">
        <v>1042</v>
      </c>
      <c r="H4544" s="1399">
        <v>44408.34</v>
      </c>
      <c r="J4544" s="1399">
        <v>44408.34</v>
      </c>
    </row>
    <row r="4545" spans="5:10" s="1297" customFormat="1">
      <c r="E4545" s="1297" t="s">
        <v>986</v>
      </c>
      <c r="F4545" s="1399"/>
      <c r="G4545" s="1399"/>
      <c r="H4545" s="1399">
        <v>45601</v>
      </c>
      <c r="I4545" s="1399"/>
      <c r="J4545" s="1399">
        <v>45601</v>
      </c>
    </row>
    <row r="4546" spans="5:10" s="1297" customFormat="1">
      <c r="E4546" s="1297" t="s">
        <v>1045</v>
      </c>
      <c r="F4546" s="1399"/>
      <c r="G4546" s="1399"/>
      <c r="H4546" s="1399">
        <v>130609.65999999999</v>
      </c>
      <c r="I4546" s="1399"/>
      <c r="J4546" s="1399">
        <v>130609.65999999999</v>
      </c>
    </row>
    <row r="4547" spans="5:10" s="1297" customFormat="1">
      <c r="E4547" s="1297" t="s">
        <v>1046</v>
      </c>
      <c r="F4547" s="1399"/>
      <c r="G4547" s="1399"/>
      <c r="H4547" s="1399"/>
      <c r="I4547" s="1399">
        <v>13633820</v>
      </c>
      <c r="J4547" s="1399">
        <v>13633820</v>
      </c>
    </row>
    <row r="4548" spans="5:10" s="1297" customFormat="1">
      <c r="E4548" s="1297" t="s">
        <v>1048</v>
      </c>
      <c r="F4548" s="1399"/>
      <c r="G4548" s="1399"/>
      <c r="H4548" s="1399"/>
      <c r="I4548" s="1399">
        <v>-7331655</v>
      </c>
      <c r="J4548" s="1399">
        <v>-7331655</v>
      </c>
    </row>
    <row r="4549" spans="5:10" s="1297" customFormat="1">
      <c r="E4549" s="1404" t="s">
        <v>955</v>
      </c>
      <c r="F4549" s="1405"/>
      <c r="G4549" s="1405"/>
      <c r="H4549" s="1405"/>
      <c r="I4549" s="1405">
        <v>153583.67000000001</v>
      </c>
      <c r="J4549" s="1405">
        <v>153583.67000000001</v>
      </c>
    </row>
    <row r="4550" spans="5:10" s="1297" customFormat="1">
      <c r="E4550" s="1297" t="s">
        <v>934</v>
      </c>
      <c r="F4550" s="1399"/>
      <c r="G4550" s="1399"/>
      <c r="H4550" s="1399"/>
      <c r="I4550" s="1399">
        <v>38866</v>
      </c>
      <c r="J4550" s="1399">
        <v>38866</v>
      </c>
    </row>
    <row r="4551" spans="5:10" s="1297" customFormat="1">
      <c r="E4551" s="1297" t="s">
        <v>935</v>
      </c>
      <c r="F4551" s="1399"/>
      <c r="G4551" s="1399"/>
      <c r="H4551" s="1399"/>
      <c r="I4551" s="1399">
        <v>242060.29</v>
      </c>
      <c r="J4551" s="1399">
        <v>242060.29</v>
      </c>
    </row>
    <row r="4552" spans="5:10" s="1297" customFormat="1">
      <c r="E4552" s="1297" t="s">
        <v>936</v>
      </c>
      <c r="F4552" s="1399"/>
      <c r="G4552" s="1399"/>
      <c r="H4552" s="1399"/>
      <c r="I4552" s="1399">
        <v>60926.19</v>
      </c>
      <c r="J4552" s="1399">
        <v>60926.19</v>
      </c>
    </row>
    <row r="4553" spans="5:10" s="1297" customFormat="1">
      <c r="E4553" s="1297" t="s">
        <v>937</v>
      </c>
      <c r="F4553" s="1399"/>
      <c r="G4553" s="1399"/>
      <c r="H4553" s="1399"/>
      <c r="I4553" s="1399">
        <v>35249.85</v>
      </c>
      <c r="J4553" s="1399">
        <v>35249.85</v>
      </c>
    </row>
    <row r="4554" spans="5:10" s="1297" customFormat="1">
      <c r="E4554" s="1297" t="s">
        <v>938</v>
      </c>
      <c r="F4554" s="1399"/>
      <c r="G4554" s="1399"/>
      <c r="H4554" s="1399"/>
      <c r="I4554" s="1399">
        <v>15721</v>
      </c>
      <c r="J4554" s="1399">
        <v>15721</v>
      </c>
    </row>
    <row r="4555" spans="5:10" s="1297" customFormat="1">
      <c r="E4555" s="1297" t="s">
        <v>940</v>
      </c>
      <c r="F4555" s="1399">
        <v>626727.68000000005</v>
      </c>
      <c r="G4555" s="1399"/>
      <c r="H4555" s="1399"/>
      <c r="I4555" s="1399"/>
      <c r="J4555" s="1399">
        <v>626727.68000000005</v>
      </c>
    </row>
    <row r="4556" spans="5:10" s="1297" customFormat="1">
      <c r="E4556" s="1297" t="s">
        <v>941</v>
      </c>
      <c r="F4556" s="1399">
        <v>245713.9</v>
      </c>
      <c r="G4556" s="1399"/>
      <c r="H4556" s="1399"/>
      <c r="I4556" s="1399"/>
      <c r="J4556" s="1399">
        <v>245713.9</v>
      </c>
    </row>
    <row r="4557" spans="5:10" s="1297" customFormat="1">
      <c r="E4557" s="1297" t="s">
        <v>943</v>
      </c>
      <c r="F4557" s="1399">
        <v>20953.84</v>
      </c>
      <c r="G4557" s="1399"/>
      <c r="H4557" s="1399"/>
      <c r="I4557" s="1399"/>
      <c r="J4557" s="1399">
        <v>20953.84</v>
      </c>
    </row>
    <row r="4558" spans="5:10" s="1297" customFormat="1">
      <c r="E4558" s="1297" t="s">
        <v>944</v>
      </c>
      <c r="F4558" s="1399">
        <v>1908409.03</v>
      </c>
      <c r="G4558" s="1399"/>
      <c r="H4558" s="1399"/>
      <c r="I4558" s="1399"/>
      <c r="J4558" s="1399">
        <v>1908409.03</v>
      </c>
    </row>
    <row r="4559" spans="5:10" s="1297" customFormat="1">
      <c r="E4559" s="1297" t="s">
        <v>945</v>
      </c>
      <c r="F4559" s="1399">
        <v>839478.22</v>
      </c>
      <c r="G4559" s="1399"/>
      <c r="H4559" s="1399"/>
      <c r="I4559" s="1399"/>
      <c r="J4559" s="1399">
        <v>839478.22</v>
      </c>
    </row>
    <row r="4560" spans="5:10" s="1297" customFormat="1">
      <c r="E4560" s="1297" t="s">
        <v>1214</v>
      </c>
      <c r="F4560" s="1399">
        <v>108264.3</v>
      </c>
      <c r="G4560" s="1399"/>
      <c r="H4560" s="1399"/>
      <c r="I4560" s="1399"/>
      <c r="J4560" s="1399">
        <v>108264.3</v>
      </c>
    </row>
    <row r="4561" spans="2:12">
      <c r="B4561" s="1297"/>
      <c r="C4561" s="1297"/>
      <c r="D4561" s="1297"/>
      <c r="E4561" s="1297" t="s">
        <v>947</v>
      </c>
      <c r="F4561" s="1399">
        <v>59432.73</v>
      </c>
      <c r="J4561" s="1399">
        <v>59432.73</v>
      </c>
    </row>
    <row r="4562" spans="2:12">
      <c r="B4562" s="1297"/>
      <c r="C4562" s="1297"/>
      <c r="D4562" s="1297"/>
      <c r="E4562" s="1297" t="s">
        <v>1115</v>
      </c>
      <c r="F4562" s="1399">
        <v>351333.33</v>
      </c>
      <c r="J4562" s="1399">
        <v>351333.33</v>
      </c>
    </row>
    <row r="4563" spans="2:12">
      <c r="B4563" s="1297"/>
      <c r="C4563" s="1297"/>
      <c r="D4563" s="1297"/>
      <c r="E4563" s="1404" t="s">
        <v>1116</v>
      </c>
      <c r="F4563" s="1405"/>
      <c r="G4563" s="1405"/>
      <c r="H4563" s="1405">
        <v>15904000</v>
      </c>
      <c r="I4563" s="1405"/>
      <c r="J4563" s="1405">
        <v>15904000</v>
      </c>
    </row>
    <row r="4564" spans="2:12">
      <c r="B4564" s="1297"/>
      <c r="C4564" s="1297"/>
      <c r="D4564" s="1297"/>
      <c r="E4564" s="1404" t="s">
        <v>948</v>
      </c>
      <c r="F4564" s="1405"/>
      <c r="G4564" s="1405"/>
      <c r="H4564" s="1405">
        <v>1152630.1200000001</v>
      </c>
      <c r="I4564" s="1405"/>
      <c r="J4564" s="1405">
        <v>1152630.1200000001</v>
      </c>
    </row>
    <row r="4565" spans="2:12">
      <c r="B4565" s="1297"/>
      <c r="C4565" s="1297"/>
      <c r="D4565" s="1297"/>
      <c r="E4565" s="1297" t="s">
        <v>956</v>
      </c>
      <c r="H4565" s="1399">
        <v>20000</v>
      </c>
      <c r="J4565" s="1399">
        <v>20000</v>
      </c>
    </row>
    <row r="4566" spans="2:12">
      <c r="B4566" s="1297"/>
      <c r="C4566" s="1297"/>
      <c r="D4566" s="1297"/>
      <c r="E4566" s="1297" t="s">
        <v>1118</v>
      </c>
      <c r="H4566" s="1399">
        <v>3189957.92</v>
      </c>
      <c r="J4566" s="1399">
        <v>3189957.92</v>
      </c>
    </row>
    <row r="4567" spans="2:12">
      <c r="B4567" s="1297"/>
      <c r="C4567" s="1297"/>
      <c r="D4567" s="1400" t="s">
        <v>1503</v>
      </c>
      <c r="E4567" s="1400"/>
      <c r="F4567" s="1401">
        <f>SUM(F4533:F4566)</f>
        <v>4160313.03</v>
      </c>
      <c r="G4567" s="1401">
        <f>SUM(G4533:G4566)</f>
        <v>20900424.199999999</v>
      </c>
      <c r="H4567" s="1401">
        <f>SUM(H4533:H4566)-(H4563+H4564)</f>
        <v>4415365.9000000022</v>
      </c>
      <c r="I4567" s="1401">
        <f>SUM(I4533:I4566)-I4549</f>
        <v>6694988.3300000001</v>
      </c>
      <c r="J4567" s="1401">
        <f>SUM(J4533:J4566)</f>
        <v>53381305.25</v>
      </c>
      <c r="K4567" s="1401">
        <f>SUM(F4567:I4567)</f>
        <v>36171091.460000001</v>
      </c>
      <c r="L4567" s="1408">
        <f>K4567/C4533</f>
        <v>16147.808687500001</v>
      </c>
    </row>
    <row r="4568" spans="2:12">
      <c r="B4568" s="1297" t="s">
        <v>1504</v>
      </c>
      <c r="C4568" s="1297">
        <v>1059</v>
      </c>
      <c r="D4568" s="1297" t="s">
        <v>1505</v>
      </c>
      <c r="E4568" s="1297" t="s">
        <v>906</v>
      </c>
      <c r="G4568" s="1399">
        <v>2666496.0699999998</v>
      </c>
      <c r="J4568" s="1399">
        <v>2666496.0699999998</v>
      </c>
    </row>
    <row r="4569" spans="2:12">
      <c r="B4569" s="1297"/>
      <c r="C4569" s="1297"/>
      <c r="D4569" s="1297"/>
      <c r="E4569" s="1297" t="s">
        <v>952</v>
      </c>
      <c r="G4569" s="1399">
        <v>2684.95</v>
      </c>
      <c r="J4569" s="1399">
        <v>2684.95</v>
      </c>
    </row>
    <row r="4570" spans="2:12">
      <c r="B4570" s="1297"/>
      <c r="C4570" s="1297"/>
      <c r="D4570" s="1297"/>
      <c r="E4570" s="1297" t="s">
        <v>907</v>
      </c>
      <c r="G4570" s="1399">
        <v>779948.48</v>
      </c>
      <c r="J4570" s="1399">
        <v>779948.48</v>
      </c>
    </row>
    <row r="4571" spans="2:12">
      <c r="B4571" s="1297"/>
      <c r="C4571" s="1297"/>
      <c r="D4571" s="1297"/>
      <c r="E4571" s="1297" t="s">
        <v>1122</v>
      </c>
      <c r="H4571" s="1399">
        <v>-134949</v>
      </c>
      <c r="J4571" s="1399">
        <v>-134949</v>
      </c>
    </row>
    <row r="4572" spans="2:12">
      <c r="B4572" s="1297"/>
      <c r="C4572" s="1297"/>
      <c r="D4572" s="1297"/>
      <c r="E4572" s="1297" t="s">
        <v>1034</v>
      </c>
      <c r="H4572" s="1399">
        <v>3658.2</v>
      </c>
      <c r="J4572" s="1399">
        <v>3658.2</v>
      </c>
    </row>
    <row r="4573" spans="2:12">
      <c r="B4573" s="1297"/>
      <c r="C4573" s="1297"/>
      <c r="D4573" s="1297"/>
      <c r="E4573" s="1297" t="s">
        <v>1105</v>
      </c>
      <c r="H4573" s="1399">
        <v>178516.8</v>
      </c>
      <c r="J4573" s="1399">
        <v>178516.8</v>
      </c>
    </row>
    <row r="4574" spans="2:12">
      <c r="B4574" s="1297"/>
      <c r="C4574" s="1297"/>
      <c r="D4574" s="1297"/>
      <c r="E4574" s="1297" t="s">
        <v>1038</v>
      </c>
      <c r="H4574" s="1399">
        <v>1485.86</v>
      </c>
      <c r="J4574" s="1399">
        <v>1485.86</v>
      </c>
    </row>
    <row r="4575" spans="2:12">
      <c r="B4575" s="1297"/>
      <c r="C4575" s="1297"/>
      <c r="D4575" s="1297"/>
      <c r="E4575" s="1297" t="s">
        <v>1039</v>
      </c>
      <c r="H4575" s="1399">
        <v>441.11</v>
      </c>
      <c r="J4575" s="1399">
        <v>441.11</v>
      </c>
    </row>
    <row r="4576" spans="2:12">
      <c r="B4576" s="1297"/>
      <c r="C4576" s="1297"/>
      <c r="D4576" s="1297"/>
      <c r="E4576" s="1297" t="s">
        <v>1042</v>
      </c>
      <c r="H4576" s="1399">
        <v>50584.3</v>
      </c>
      <c r="J4576" s="1399">
        <v>50584.3</v>
      </c>
    </row>
    <row r="4577" spans="5:10" s="1297" customFormat="1">
      <c r="E4577" s="1297" t="s">
        <v>953</v>
      </c>
      <c r="F4577" s="1399"/>
      <c r="G4577" s="1399"/>
      <c r="H4577" s="1399">
        <v>42035.09</v>
      </c>
      <c r="I4577" s="1399"/>
      <c r="J4577" s="1399">
        <v>42035.09</v>
      </c>
    </row>
    <row r="4578" spans="5:10" s="1297" customFormat="1">
      <c r="E4578" s="1297" t="s">
        <v>985</v>
      </c>
      <c r="F4578" s="1399"/>
      <c r="G4578" s="1399"/>
      <c r="H4578" s="1399">
        <v>1439</v>
      </c>
      <c r="I4578" s="1399"/>
      <c r="J4578" s="1399">
        <v>1439</v>
      </c>
    </row>
    <row r="4579" spans="5:10" s="1297" customFormat="1">
      <c r="E4579" s="1297" t="s">
        <v>996</v>
      </c>
      <c r="F4579" s="1399"/>
      <c r="G4579" s="1399"/>
      <c r="H4579" s="1399">
        <v>36698</v>
      </c>
      <c r="I4579" s="1399"/>
      <c r="J4579" s="1399">
        <v>36698</v>
      </c>
    </row>
    <row r="4580" spans="5:10" s="1297" customFormat="1">
      <c r="E4580" s="1297" t="s">
        <v>1044</v>
      </c>
      <c r="F4580" s="1399">
        <v>46483.33</v>
      </c>
      <c r="G4580" s="1399"/>
      <c r="H4580" s="1399"/>
      <c r="I4580" s="1399"/>
      <c r="J4580" s="1399">
        <v>46483.33</v>
      </c>
    </row>
    <row r="4581" spans="5:10" s="1297" customFormat="1">
      <c r="E4581" s="1297" t="s">
        <v>1045</v>
      </c>
      <c r="F4581" s="1399"/>
      <c r="G4581" s="1399"/>
      <c r="H4581" s="1399">
        <v>23466.400000000001</v>
      </c>
      <c r="I4581" s="1399"/>
      <c r="J4581" s="1399">
        <v>23466.400000000001</v>
      </c>
    </row>
    <row r="4582" spans="5:10" s="1297" customFormat="1">
      <c r="E4582" s="1297" t="s">
        <v>1046</v>
      </c>
      <c r="F4582" s="1399"/>
      <c r="G4582" s="1399"/>
      <c r="H4582" s="1399"/>
      <c r="I4582" s="1399">
        <v>6827308</v>
      </c>
      <c r="J4582" s="1399">
        <v>6827308</v>
      </c>
    </row>
    <row r="4583" spans="5:10" s="1297" customFormat="1">
      <c r="E4583" s="1297" t="s">
        <v>1047</v>
      </c>
      <c r="F4583" s="1399"/>
      <c r="G4583" s="1399"/>
      <c r="H4583" s="1399"/>
      <c r="I4583" s="1399">
        <v>-529840</v>
      </c>
      <c r="J4583" s="1399">
        <v>-529840</v>
      </c>
    </row>
    <row r="4584" spans="5:10" s="1297" customFormat="1">
      <c r="E4584" s="1297" t="s">
        <v>1048</v>
      </c>
      <c r="F4584" s="1399"/>
      <c r="G4584" s="1399"/>
      <c r="H4584" s="1399"/>
      <c r="I4584" s="1399">
        <v>-1036531</v>
      </c>
      <c r="J4584" s="1399">
        <v>-1036531</v>
      </c>
    </row>
    <row r="4585" spans="5:10" s="1297" customFormat="1">
      <c r="E4585" s="1297" t="s">
        <v>932</v>
      </c>
      <c r="F4585" s="1399"/>
      <c r="G4585" s="1399"/>
      <c r="H4585" s="1399"/>
      <c r="I4585" s="1399">
        <v>398697</v>
      </c>
      <c r="J4585" s="1399">
        <v>398697</v>
      </c>
    </row>
    <row r="4586" spans="5:10" s="1297" customFormat="1">
      <c r="E4586" s="1404" t="s">
        <v>955</v>
      </c>
      <c r="F4586" s="1405"/>
      <c r="G4586" s="1405"/>
      <c r="H4586" s="1405"/>
      <c r="I4586" s="1405">
        <v>154251.82999999999</v>
      </c>
      <c r="J4586" s="1405">
        <v>154251.82999999999</v>
      </c>
    </row>
    <row r="4587" spans="5:10" s="1297" customFormat="1">
      <c r="E4587" s="1297" t="s">
        <v>934</v>
      </c>
      <c r="F4587" s="1399"/>
      <c r="G4587" s="1399"/>
      <c r="H4587" s="1399"/>
      <c r="I4587" s="1399">
        <v>26250</v>
      </c>
      <c r="J4587" s="1399">
        <v>26250</v>
      </c>
    </row>
    <row r="4588" spans="5:10" s="1297" customFormat="1">
      <c r="E4588" s="1297" t="s">
        <v>935</v>
      </c>
      <c r="F4588" s="1399"/>
      <c r="G4588" s="1399"/>
      <c r="H4588" s="1399"/>
      <c r="I4588" s="1399">
        <v>126403.33</v>
      </c>
      <c r="J4588" s="1399">
        <v>126403.33</v>
      </c>
    </row>
    <row r="4589" spans="5:10" s="1297" customFormat="1">
      <c r="E4589" s="1297" t="s">
        <v>936</v>
      </c>
      <c r="F4589" s="1399"/>
      <c r="G4589" s="1399"/>
      <c r="H4589" s="1399"/>
      <c r="I4589" s="1399">
        <v>35715.35</v>
      </c>
      <c r="J4589" s="1399">
        <v>35715.35</v>
      </c>
    </row>
    <row r="4590" spans="5:10" s="1297" customFormat="1">
      <c r="E4590" s="1297" t="s">
        <v>937</v>
      </c>
      <c r="F4590" s="1399"/>
      <c r="G4590" s="1399"/>
      <c r="H4590" s="1399"/>
      <c r="I4590" s="1399">
        <v>7638.97</v>
      </c>
      <c r="J4590" s="1399">
        <v>7638.97</v>
      </c>
    </row>
    <row r="4591" spans="5:10" s="1297" customFormat="1">
      <c r="E4591" s="1297" t="s">
        <v>938</v>
      </c>
      <c r="F4591" s="1399"/>
      <c r="G4591" s="1399"/>
      <c r="H4591" s="1399"/>
      <c r="I4591" s="1399">
        <v>10668</v>
      </c>
      <c r="J4591" s="1399">
        <v>10668</v>
      </c>
    </row>
    <row r="4592" spans="5:10" s="1297" customFormat="1">
      <c r="E4592" s="1297" t="s">
        <v>940</v>
      </c>
      <c r="F4592" s="1399">
        <v>0</v>
      </c>
      <c r="G4592" s="1399"/>
      <c r="H4592" s="1399"/>
      <c r="I4592" s="1399"/>
      <c r="J4592" s="1399">
        <v>0</v>
      </c>
    </row>
    <row r="4593" spans="2:12">
      <c r="B4593" s="1297"/>
      <c r="C4593" s="1297"/>
      <c r="D4593" s="1297"/>
      <c r="E4593" s="1297" t="s">
        <v>941</v>
      </c>
      <c r="F4593" s="1399">
        <v>487503.7</v>
      </c>
      <c r="J4593" s="1399">
        <v>487503.7</v>
      </c>
    </row>
    <row r="4594" spans="2:12">
      <c r="B4594" s="1297"/>
      <c r="C4594" s="1297"/>
      <c r="D4594" s="1297"/>
      <c r="E4594" s="1297" t="s">
        <v>942</v>
      </c>
      <c r="F4594" s="1399">
        <v>317985.40000000002</v>
      </c>
      <c r="J4594" s="1399">
        <v>317985.40000000002</v>
      </c>
    </row>
    <row r="4595" spans="2:12">
      <c r="B4595" s="1297"/>
      <c r="C4595" s="1297"/>
      <c r="D4595" s="1297"/>
      <c r="E4595" s="1297" t="s">
        <v>943</v>
      </c>
      <c r="F4595" s="1399">
        <v>15531.86</v>
      </c>
      <c r="J4595" s="1399">
        <v>15531.86</v>
      </c>
    </row>
    <row r="4596" spans="2:12">
      <c r="B4596" s="1297"/>
      <c r="C4596" s="1297"/>
      <c r="D4596" s="1297"/>
      <c r="E4596" s="1297" t="s">
        <v>944</v>
      </c>
      <c r="F4596" s="1399">
        <v>1677517.0999999996</v>
      </c>
      <c r="J4596" s="1399">
        <v>1677517.0999999996</v>
      </c>
    </row>
    <row r="4597" spans="2:12">
      <c r="B4597" s="1297"/>
      <c r="C4597" s="1297"/>
      <c r="D4597" s="1297"/>
      <c r="E4597" s="1297" t="s">
        <v>945</v>
      </c>
      <c r="F4597" s="1399">
        <v>685340.51</v>
      </c>
      <c r="J4597" s="1399">
        <v>685340.51</v>
      </c>
    </row>
    <row r="4598" spans="2:12">
      <c r="B4598" s="1297"/>
      <c r="C4598" s="1297"/>
      <c r="D4598" s="1297"/>
      <c r="E4598" s="1297" t="s">
        <v>946</v>
      </c>
      <c r="F4598" s="1399">
        <v>912265.5</v>
      </c>
      <c r="J4598" s="1399">
        <v>912265.5</v>
      </c>
    </row>
    <row r="4599" spans="2:12">
      <c r="B4599" s="1297"/>
      <c r="C4599" s="1297"/>
      <c r="D4599" s="1297"/>
      <c r="E4599" s="1297" t="s">
        <v>947</v>
      </c>
      <c r="F4599" s="1399">
        <v>59552.01</v>
      </c>
      <c r="J4599" s="1399">
        <v>59552.01</v>
      </c>
    </row>
    <row r="4600" spans="2:12">
      <c r="B4600" s="1297"/>
      <c r="C4600" s="1297"/>
      <c r="D4600" s="1297"/>
      <c r="E4600" s="1297" t="s">
        <v>1115</v>
      </c>
      <c r="F4600" s="1399">
        <v>10211.1</v>
      </c>
      <c r="J4600" s="1399">
        <v>10211.1</v>
      </c>
    </row>
    <row r="4601" spans="2:12">
      <c r="B4601" s="1297"/>
      <c r="C4601" s="1297"/>
      <c r="D4601" s="1297"/>
      <c r="E4601" s="1404" t="s">
        <v>1116</v>
      </c>
      <c r="F4601" s="1405"/>
      <c r="G4601" s="1405"/>
      <c r="H4601" s="1405">
        <v>3350000</v>
      </c>
      <c r="I4601" s="1405"/>
      <c r="J4601" s="1405">
        <v>3350000</v>
      </c>
    </row>
    <row r="4602" spans="2:12">
      <c r="B4602" s="1297"/>
      <c r="C4602" s="1297"/>
      <c r="D4602" s="1297"/>
      <c r="E4602" s="1404" t="s">
        <v>948</v>
      </c>
      <c r="F4602" s="1405"/>
      <c r="G4602" s="1405"/>
      <c r="H4602" s="1405">
        <v>776770.39</v>
      </c>
      <c r="I4602" s="1405"/>
      <c r="J4602" s="1405">
        <v>776770.39</v>
      </c>
    </row>
    <row r="4603" spans="2:12">
      <c r="B4603" s="1297"/>
      <c r="C4603" s="1297"/>
      <c r="D4603" s="1297"/>
      <c r="E4603" s="1297" t="s">
        <v>1118</v>
      </c>
      <c r="H4603" s="1399">
        <v>40572.82</v>
      </c>
      <c r="J4603" s="1399">
        <v>40572.82</v>
      </c>
    </row>
    <row r="4604" spans="2:12">
      <c r="B4604" s="1297"/>
      <c r="C4604" s="1297"/>
      <c r="D4604" s="1400" t="s">
        <v>1506</v>
      </c>
      <c r="E4604" s="1400"/>
      <c r="F4604" s="1401">
        <f>SUM(F4568:F4603)</f>
        <v>4212390.5099999988</v>
      </c>
      <c r="G4604" s="1401">
        <f>SUM(G4568:G4603)</f>
        <v>3449129.5</v>
      </c>
      <c r="H4604" s="1401">
        <f>SUM(H4568:H4603)-(H4601+H4602)</f>
        <v>243948.57999999961</v>
      </c>
      <c r="I4604" s="1401">
        <f>SUM(I4568:I4603)-I4586</f>
        <v>5866309.6499999994</v>
      </c>
      <c r="J4604" s="1401">
        <f>SUM(J4568:J4603)</f>
        <v>18052800.460000001</v>
      </c>
      <c r="K4604" s="1401">
        <f>SUM(F4604:I4604)</f>
        <v>13771778.239999998</v>
      </c>
      <c r="L4604" s="1408">
        <f>K4604/C4568</f>
        <v>13004.512030217185</v>
      </c>
    </row>
    <row r="4605" spans="2:12">
      <c r="B4605" s="1297" t="s">
        <v>1507</v>
      </c>
      <c r="C4605" s="1297">
        <v>30779</v>
      </c>
      <c r="D4605" s="1297" t="s">
        <v>1508</v>
      </c>
      <c r="E4605" s="1297" t="s">
        <v>906</v>
      </c>
      <c r="G4605" s="1399">
        <v>80086368.629999995</v>
      </c>
      <c r="J4605" s="1399">
        <v>80086368.629999995</v>
      </c>
    </row>
    <row r="4606" spans="2:12">
      <c r="B4606" s="1297"/>
      <c r="C4606" s="1297"/>
      <c r="D4606" s="1297"/>
      <c r="E4606" s="1297" t="s">
        <v>952</v>
      </c>
      <c r="G4606" s="1399">
        <v>1043490.25</v>
      </c>
      <c r="J4606" s="1399">
        <v>1043490.25</v>
      </c>
    </row>
    <row r="4607" spans="2:12">
      <c r="B4607" s="1297"/>
      <c r="C4607" s="1297"/>
      <c r="D4607" s="1297"/>
      <c r="E4607" s="1297" t="s">
        <v>907</v>
      </c>
      <c r="G4607" s="1399">
        <v>37232391.659999996</v>
      </c>
      <c r="J4607" s="1399">
        <v>37232391.659999996</v>
      </c>
    </row>
    <row r="4608" spans="2:12">
      <c r="B4608" s="1297"/>
      <c r="C4608" s="1297"/>
      <c r="D4608" s="1297"/>
      <c r="E4608" s="1297" t="s">
        <v>910</v>
      </c>
      <c r="H4608" s="1399">
        <v>2835</v>
      </c>
      <c r="J4608" s="1399">
        <v>2835</v>
      </c>
    </row>
    <row r="4609" spans="5:10" s="1297" customFormat="1">
      <c r="E4609" s="1297" t="s">
        <v>1034</v>
      </c>
      <c r="F4609" s="1399"/>
      <c r="G4609" s="1399"/>
      <c r="H4609" s="1399">
        <v>206581.43</v>
      </c>
      <c r="I4609" s="1399"/>
      <c r="J4609" s="1399">
        <v>206581.43</v>
      </c>
    </row>
    <row r="4610" spans="5:10" s="1297" customFormat="1">
      <c r="E4610" s="1297" t="s">
        <v>1035</v>
      </c>
      <c r="F4610" s="1399"/>
      <c r="G4610" s="1399"/>
      <c r="H4610" s="1399">
        <v>3086756.6999999997</v>
      </c>
      <c r="I4610" s="1399"/>
      <c r="J4610" s="1399">
        <v>3086756.6999999997</v>
      </c>
    </row>
    <row r="4611" spans="5:10" s="1297" customFormat="1">
      <c r="E4611" s="1297" t="s">
        <v>1037</v>
      </c>
      <c r="F4611" s="1399"/>
      <c r="G4611" s="1399"/>
      <c r="H4611" s="1399">
        <v>12012</v>
      </c>
      <c r="I4611" s="1399"/>
      <c r="J4611" s="1399">
        <v>12012</v>
      </c>
    </row>
    <row r="4612" spans="5:10" s="1297" customFormat="1">
      <c r="E4612" s="1297" t="s">
        <v>1038</v>
      </c>
      <c r="F4612" s="1399"/>
      <c r="G4612" s="1399"/>
      <c r="H4612" s="1399">
        <v>116905</v>
      </c>
      <c r="I4612" s="1399"/>
      <c r="J4612" s="1399">
        <v>116905</v>
      </c>
    </row>
    <row r="4613" spans="5:10" s="1297" customFormat="1">
      <c r="E4613" s="1297" t="s">
        <v>1039</v>
      </c>
      <c r="F4613" s="1399"/>
      <c r="G4613" s="1399"/>
      <c r="H4613" s="1399">
        <v>2136124.6100000008</v>
      </c>
      <c r="I4613" s="1399"/>
      <c r="J4613" s="1399">
        <v>2136124.6100000008</v>
      </c>
    </row>
    <row r="4614" spans="5:10" s="1297" customFormat="1">
      <c r="E4614" s="1297" t="s">
        <v>1040</v>
      </c>
      <c r="F4614" s="1399"/>
      <c r="G4614" s="1399"/>
      <c r="H4614" s="1399">
        <v>1191027.3400000001</v>
      </c>
      <c r="I4614" s="1399"/>
      <c r="J4614" s="1399">
        <v>1191027.3400000001</v>
      </c>
    </row>
    <row r="4615" spans="5:10" s="1297" customFormat="1">
      <c r="E4615" s="1297" t="s">
        <v>1041</v>
      </c>
      <c r="F4615" s="1399"/>
      <c r="G4615" s="1399"/>
      <c r="H4615" s="1399">
        <v>329181.80999999994</v>
      </c>
      <c r="I4615" s="1399"/>
      <c r="J4615" s="1399">
        <v>329181.80999999994</v>
      </c>
    </row>
    <row r="4616" spans="5:10" s="1297" customFormat="1">
      <c r="E4616" s="1297" t="s">
        <v>1042</v>
      </c>
      <c r="F4616" s="1399"/>
      <c r="G4616" s="1399"/>
      <c r="H4616" s="1399">
        <v>202173.26999999996</v>
      </c>
      <c r="I4616" s="1399"/>
      <c r="J4616" s="1399">
        <v>202173.26999999996</v>
      </c>
    </row>
    <row r="4617" spans="5:10" s="1297" customFormat="1">
      <c r="E4617" s="1297" t="s">
        <v>954</v>
      </c>
      <c r="F4617" s="1399"/>
      <c r="G4617" s="1399"/>
      <c r="H4617" s="1399">
        <v>416248.43</v>
      </c>
      <c r="I4617" s="1399"/>
      <c r="J4617" s="1399">
        <v>416248.43</v>
      </c>
    </row>
    <row r="4618" spans="5:10" s="1297" customFormat="1">
      <c r="E4618" s="1297" t="s">
        <v>986</v>
      </c>
      <c r="F4618" s="1399"/>
      <c r="G4618" s="1399"/>
      <c r="H4618" s="1399">
        <v>570</v>
      </c>
      <c r="I4618" s="1399"/>
      <c r="J4618" s="1399">
        <v>570</v>
      </c>
    </row>
    <row r="4619" spans="5:10" s="1297" customFormat="1">
      <c r="E4619" s="1297" t="s">
        <v>1044</v>
      </c>
      <c r="F4619" s="1399">
        <v>1614820.44</v>
      </c>
      <c r="G4619" s="1399"/>
      <c r="H4619" s="1399"/>
      <c r="I4619" s="1399"/>
      <c r="J4619" s="1399">
        <v>1614820.44</v>
      </c>
    </row>
    <row r="4620" spans="5:10" s="1297" customFormat="1">
      <c r="E4620" s="1297" t="s">
        <v>1045</v>
      </c>
      <c r="F4620" s="1399"/>
      <c r="G4620" s="1399"/>
      <c r="H4620" s="1399">
        <v>852706.07999999973</v>
      </c>
      <c r="I4620" s="1399"/>
      <c r="J4620" s="1399">
        <v>852706.07999999973</v>
      </c>
    </row>
    <row r="4621" spans="5:10" s="1297" customFormat="1">
      <c r="E4621" s="1297" t="s">
        <v>1046</v>
      </c>
      <c r="F4621" s="1399"/>
      <c r="G4621" s="1399"/>
      <c r="H4621" s="1399"/>
      <c r="I4621" s="1399">
        <v>158332046</v>
      </c>
      <c r="J4621" s="1399">
        <v>158332046</v>
      </c>
    </row>
    <row r="4622" spans="5:10" s="1297" customFormat="1">
      <c r="E4622" s="1297" t="s">
        <v>1128</v>
      </c>
      <c r="F4622" s="1399"/>
      <c r="G4622" s="1399"/>
      <c r="H4622" s="1399"/>
      <c r="I4622" s="1399">
        <v>13228259</v>
      </c>
      <c r="J4622" s="1399">
        <v>13228259</v>
      </c>
    </row>
    <row r="4623" spans="5:10" s="1297" customFormat="1">
      <c r="E4623" s="1297" t="s">
        <v>1129</v>
      </c>
      <c r="F4623" s="1399"/>
      <c r="G4623" s="1399"/>
      <c r="H4623" s="1399"/>
      <c r="I4623" s="1399">
        <v>-22570214</v>
      </c>
      <c r="J4623" s="1399">
        <v>-22570214</v>
      </c>
    </row>
    <row r="4624" spans="5:10" s="1297" customFormat="1">
      <c r="E4624" s="1297" t="s">
        <v>1047</v>
      </c>
      <c r="F4624" s="1399"/>
      <c r="G4624" s="1399"/>
      <c r="H4624" s="1399"/>
      <c r="I4624" s="1399">
        <v>3084815</v>
      </c>
      <c r="J4624" s="1399">
        <v>3084815</v>
      </c>
    </row>
    <row r="4625" spans="5:10" s="1297" customFormat="1">
      <c r="E4625" s="1297" t="s">
        <v>1048</v>
      </c>
      <c r="F4625" s="1399"/>
      <c r="G4625" s="1399"/>
      <c r="H4625" s="1399"/>
      <c r="I4625" s="1399">
        <v>-22844202</v>
      </c>
      <c r="J4625" s="1399">
        <v>-22844202</v>
      </c>
    </row>
    <row r="4626" spans="5:10" s="1297" customFormat="1">
      <c r="E4626" s="1297" t="s">
        <v>932</v>
      </c>
      <c r="F4626" s="1399"/>
      <c r="G4626" s="1399"/>
      <c r="H4626" s="1399"/>
      <c r="I4626" s="1399">
        <v>15509262</v>
      </c>
      <c r="J4626" s="1399">
        <v>15509262</v>
      </c>
    </row>
    <row r="4627" spans="5:10" s="1297" customFormat="1">
      <c r="E4627" s="1404" t="s">
        <v>955</v>
      </c>
      <c r="F4627" s="1405"/>
      <c r="G4627" s="1405"/>
      <c r="H4627" s="1405"/>
      <c r="I4627" s="1405">
        <v>5397668.7199999997</v>
      </c>
      <c r="J4627" s="1405">
        <v>5397668.7199999997</v>
      </c>
    </row>
    <row r="4628" spans="5:10" s="1297" customFormat="1">
      <c r="E4628" s="1297" t="s">
        <v>934</v>
      </c>
      <c r="F4628" s="1399"/>
      <c r="G4628" s="1399"/>
      <c r="H4628" s="1399"/>
      <c r="I4628" s="1399">
        <v>499340</v>
      </c>
      <c r="J4628" s="1399">
        <v>499340</v>
      </c>
    </row>
    <row r="4629" spans="5:10" s="1297" customFormat="1">
      <c r="E4629" s="1297" t="s">
        <v>1130</v>
      </c>
      <c r="F4629" s="1399"/>
      <c r="G4629" s="1399"/>
      <c r="H4629" s="1399"/>
      <c r="I4629" s="1399">
        <v>3924418.3000000003</v>
      </c>
      <c r="J4629" s="1399">
        <v>3924418.3000000003</v>
      </c>
    </row>
    <row r="4630" spans="5:10" s="1297" customFormat="1">
      <c r="E4630" s="1297" t="s">
        <v>935</v>
      </c>
      <c r="F4630" s="1399"/>
      <c r="G4630" s="1399"/>
      <c r="H4630" s="1399"/>
      <c r="I4630" s="1399">
        <v>3305853.74</v>
      </c>
      <c r="J4630" s="1399">
        <v>3305853.74</v>
      </c>
    </row>
    <row r="4631" spans="5:10" s="1297" customFormat="1">
      <c r="E4631" s="1297" t="s">
        <v>936</v>
      </c>
      <c r="F4631" s="1399"/>
      <c r="G4631" s="1399"/>
      <c r="H4631" s="1399"/>
      <c r="I4631" s="1399">
        <v>482507.44</v>
      </c>
      <c r="J4631" s="1399">
        <v>482507.44</v>
      </c>
    </row>
    <row r="4632" spans="5:10" s="1297" customFormat="1">
      <c r="E4632" s="1297" t="s">
        <v>937</v>
      </c>
      <c r="F4632" s="1399"/>
      <c r="G4632" s="1399"/>
      <c r="H4632" s="1399"/>
      <c r="I4632" s="1399">
        <v>169495.82</v>
      </c>
      <c r="J4632" s="1399">
        <v>169495.82</v>
      </c>
    </row>
    <row r="4633" spans="5:10" s="1297" customFormat="1">
      <c r="E4633" s="1297" t="s">
        <v>938</v>
      </c>
      <c r="F4633" s="1399"/>
      <c r="G4633" s="1399"/>
      <c r="H4633" s="1399"/>
      <c r="I4633" s="1399">
        <v>187346</v>
      </c>
      <c r="J4633" s="1399">
        <v>187346</v>
      </c>
    </row>
    <row r="4634" spans="5:10" s="1297" customFormat="1">
      <c r="E4634" s="1297" t="s">
        <v>939</v>
      </c>
      <c r="F4634" s="1399"/>
      <c r="G4634" s="1399"/>
      <c r="H4634" s="1399"/>
      <c r="I4634" s="1399">
        <v>1055.55</v>
      </c>
      <c r="J4634" s="1399">
        <v>1055.55</v>
      </c>
    </row>
    <row r="4635" spans="5:10" s="1297" customFormat="1">
      <c r="E4635" s="1297" t="s">
        <v>1131</v>
      </c>
      <c r="F4635" s="1399">
        <v>1121477.19</v>
      </c>
      <c r="G4635" s="1399"/>
      <c r="H4635" s="1399"/>
      <c r="I4635" s="1399"/>
      <c r="J4635" s="1399">
        <v>1121477.19</v>
      </c>
    </row>
    <row r="4636" spans="5:10" s="1297" customFormat="1">
      <c r="E4636" s="1297" t="s">
        <v>940</v>
      </c>
      <c r="F4636" s="1399">
        <v>9356462.1199999992</v>
      </c>
      <c r="G4636" s="1399"/>
      <c r="H4636" s="1399"/>
      <c r="I4636" s="1399"/>
      <c r="J4636" s="1399">
        <v>9356462.1199999992</v>
      </c>
    </row>
    <row r="4637" spans="5:10" s="1297" customFormat="1">
      <c r="E4637" s="1297" t="s">
        <v>941</v>
      </c>
      <c r="F4637" s="1399">
        <v>3532478.7</v>
      </c>
      <c r="G4637" s="1399"/>
      <c r="H4637" s="1399"/>
      <c r="I4637" s="1399"/>
      <c r="J4637" s="1399">
        <v>3532478.7</v>
      </c>
    </row>
    <row r="4638" spans="5:10" s="1297" customFormat="1">
      <c r="E4638" s="1297" t="s">
        <v>943</v>
      </c>
      <c r="F4638" s="1399">
        <v>113496.75999999998</v>
      </c>
      <c r="G4638" s="1399"/>
      <c r="H4638" s="1399"/>
      <c r="I4638" s="1399"/>
      <c r="J4638" s="1399">
        <v>113496.75999999998</v>
      </c>
    </row>
    <row r="4639" spans="5:10" s="1297" customFormat="1">
      <c r="E4639" s="1297" t="s">
        <v>944</v>
      </c>
      <c r="F4639" s="1399">
        <v>29109836.169999994</v>
      </c>
      <c r="G4639" s="1399"/>
      <c r="H4639" s="1399"/>
      <c r="I4639" s="1399"/>
      <c r="J4639" s="1399">
        <v>29109836.169999994</v>
      </c>
    </row>
    <row r="4640" spans="5:10" s="1297" customFormat="1">
      <c r="E4640" s="1297" t="s">
        <v>945</v>
      </c>
      <c r="F4640" s="1399">
        <v>17644171.310000002</v>
      </c>
      <c r="G4640" s="1399"/>
      <c r="H4640" s="1399"/>
      <c r="I4640" s="1399"/>
      <c r="J4640" s="1399">
        <v>17644171.310000002</v>
      </c>
    </row>
    <row r="4641" spans="2:12">
      <c r="B4641" s="1297"/>
      <c r="C4641" s="1297"/>
      <c r="D4641" s="1297"/>
      <c r="E4641" s="1297" t="s">
        <v>946</v>
      </c>
      <c r="F4641" s="1399">
        <v>9000</v>
      </c>
      <c r="J4641" s="1399">
        <v>9000</v>
      </c>
    </row>
    <row r="4642" spans="2:12">
      <c r="B4642" s="1297"/>
      <c r="C4642" s="1297"/>
      <c r="D4642" s="1297"/>
      <c r="E4642" s="1297" t="s">
        <v>978</v>
      </c>
      <c r="F4642" s="1399">
        <v>4134.8</v>
      </c>
      <c r="J4642" s="1399">
        <v>4134.8</v>
      </c>
    </row>
    <row r="4643" spans="2:12">
      <c r="B4643" s="1297"/>
      <c r="C4643" s="1297"/>
      <c r="D4643" s="1297"/>
      <c r="E4643" s="1297" t="s">
        <v>1006</v>
      </c>
      <c r="F4643" s="1399">
        <v>1208987.25</v>
      </c>
      <c r="J4643" s="1399">
        <v>1208987.25</v>
      </c>
    </row>
    <row r="4644" spans="2:12">
      <c r="B4644" s="1297"/>
      <c r="C4644" s="1297"/>
      <c r="D4644" s="1297"/>
      <c r="E4644" s="1297" t="s">
        <v>947</v>
      </c>
      <c r="F4644" s="1399">
        <v>1002023.9000000003</v>
      </c>
      <c r="J4644" s="1399">
        <v>1002023.9000000003</v>
      </c>
    </row>
    <row r="4645" spans="2:12">
      <c r="B4645" s="1297"/>
      <c r="C4645" s="1297"/>
      <c r="D4645" s="1297"/>
      <c r="E4645" s="1404" t="s">
        <v>948</v>
      </c>
      <c r="F4645" s="1405"/>
      <c r="G4645" s="1405"/>
      <c r="H4645" s="1405">
        <v>29746278.699999999</v>
      </c>
      <c r="I4645" s="1405"/>
      <c r="J4645" s="1405">
        <v>29746278.699999999</v>
      </c>
    </row>
    <row r="4646" spans="2:12">
      <c r="B4646" s="1297"/>
      <c r="C4646" s="1297"/>
      <c r="D4646" s="1297"/>
      <c r="E4646" s="1297" t="s">
        <v>956</v>
      </c>
      <c r="H4646" s="1399">
        <v>6653.94</v>
      </c>
      <c r="J4646" s="1399">
        <v>6653.94</v>
      </c>
    </row>
    <row r="4647" spans="2:12">
      <c r="B4647" s="1297"/>
      <c r="C4647" s="1297"/>
      <c r="D4647" s="1400" t="s">
        <v>1509</v>
      </c>
      <c r="E4647" s="1400"/>
      <c r="F4647" s="1401">
        <f>SUM(F4605:F4646)</f>
        <v>64716888.639999993</v>
      </c>
      <c r="G4647" s="1401">
        <f>SUM(G4605:G4646)</f>
        <v>118362250.53999999</v>
      </c>
      <c r="H4647" s="1401">
        <f>SUM(H4605:H4646)-H4645</f>
        <v>8559775.6099999957</v>
      </c>
      <c r="I4647" s="1401">
        <f>SUM(I4605:I4646)-I4627</f>
        <v>153309982.85000002</v>
      </c>
      <c r="J4647" s="1401">
        <f>SUM(J4605:J4646)</f>
        <v>380092845.06</v>
      </c>
      <c r="K4647" s="1401">
        <f>SUM(F4647:I4647)</f>
        <v>344948897.63999999</v>
      </c>
      <c r="L4647" s="1408">
        <f>K4647/C4605</f>
        <v>11207.280861626434</v>
      </c>
    </row>
    <row r="4648" spans="2:12">
      <c r="B4648" s="1297" t="s">
        <v>1510</v>
      </c>
      <c r="C4648" s="1297">
        <v>15413</v>
      </c>
      <c r="D4648" s="1297" t="s">
        <v>1511</v>
      </c>
      <c r="E4648" s="1297" t="s">
        <v>906</v>
      </c>
      <c r="G4648" s="1399">
        <v>57963851.620000005</v>
      </c>
      <c r="J4648" s="1399">
        <v>57963851.620000005</v>
      </c>
    </row>
    <row r="4649" spans="2:12">
      <c r="B4649" s="1297"/>
      <c r="C4649" s="1297"/>
      <c r="D4649" s="1297"/>
      <c r="E4649" s="1297" t="s">
        <v>952</v>
      </c>
      <c r="G4649" s="1399">
        <v>431638.16</v>
      </c>
      <c r="J4649" s="1399">
        <v>431638.16</v>
      </c>
    </row>
    <row r="4650" spans="2:12">
      <c r="B4650" s="1297"/>
      <c r="C4650" s="1297"/>
      <c r="D4650" s="1297"/>
      <c r="E4650" s="1297" t="s">
        <v>907</v>
      </c>
      <c r="G4650" s="1399">
        <v>12505322.380000001</v>
      </c>
      <c r="J4650" s="1399">
        <v>12505322.380000001</v>
      </c>
    </row>
    <row r="4651" spans="2:12">
      <c r="B4651" s="1297"/>
      <c r="C4651" s="1297"/>
      <c r="D4651" s="1297"/>
      <c r="E4651" s="1297" t="s">
        <v>908</v>
      </c>
      <c r="G4651" s="1399">
        <v>9236.0499999999993</v>
      </c>
      <c r="J4651" s="1399">
        <v>9236.0499999999993</v>
      </c>
    </row>
    <row r="4652" spans="2:12">
      <c r="B4652" s="1297"/>
      <c r="C4652" s="1297"/>
      <c r="D4652" s="1297"/>
      <c r="E4652" s="1297" t="s">
        <v>1037</v>
      </c>
      <c r="H4652" s="1399">
        <v>104411.7</v>
      </c>
      <c r="J4652" s="1399">
        <v>104411.7</v>
      </c>
    </row>
    <row r="4653" spans="2:12">
      <c r="B4653" s="1297"/>
      <c r="C4653" s="1297"/>
      <c r="D4653" s="1297"/>
      <c r="E4653" s="1297" t="s">
        <v>1064</v>
      </c>
      <c r="H4653" s="1399">
        <v>2625.52</v>
      </c>
      <c r="J4653" s="1399">
        <v>2625.52</v>
      </c>
    </row>
    <row r="4654" spans="2:12">
      <c r="B4654" s="1297"/>
      <c r="C4654" s="1297"/>
      <c r="D4654" s="1297"/>
      <c r="E4654" s="1297" t="s">
        <v>1039</v>
      </c>
      <c r="H4654" s="1399">
        <v>98730.12999999999</v>
      </c>
      <c r="J4654" s="1399">
        <v>98730.12999999999</v>
      </c>
    </row>
    <row r="4655" spans="2:12">
      <c r="B4655" s="1297"/>
      <c r="C4655" s="1297"/>
      <c r="D4655" s="1297"/>
      <c r="E4655" s="1297" t="s">
        <v>1040</v>
      </c>
      <c r="H4655" s="1399">
        <v>1539996.65</v>
      </c>
      <c r="J4655" s="1399">
        <v>1539996.65</v>
      </c>
    </row>
    <row r="4656" spans="2:12">
      <c r="B4656" s="1297"/>
      <c r="C4656" s="1297"/>
      <c r="D4656" s="1297"/>
      <c r="E4656" s="1297" t="s">
        <v>1041</v>
      </c>
      <c r="H4656" s="1399">
        <v>752015.46</v>
      </c>
      <c r="J4656" s="1399">
        <v>752015.46</v>
      </c>
    </row>
    <row r="4657" spans="5:10" s="1297" customFormat="1">
      <c r="E4657" s="1297" t="s">
        <v>1042</v>
      </c>
      <c r="F4657" s="1399"/>
      <c r="G4657" s="1399"/>
      <c r="H4657" s="1399">
        <v>262750.03999999998</v>
      </c>
      <c r="I4657" s="1399"/>
      <c r="J4657" s="1399">
        <v>262750.03999999998</v>
      </c>
    </row>
    <row r="4658" spans="5:10" s="1297" customFormat="1">
      <c r="E4658" s="1297" t="s">
        <v>986</v>
      </c>
      <c r="F4658" s="1399"/>
      <c r="G4658" s="1399"/>
      <c r="H4658" s="1399">
        <v>10815.45</v>
      </c>
      <c r="I4658" s="1399"/>
      <c r="J4658" s="1399">
        <v>10815.45</v>
      </c>
    </row>
    <row r="4659" spans="5:10" s="1297" customFormat="1">
      <c r="E4659" s="1297" t="s">
        <v>996</v>
      </c>
      <c r="F4659" s="1399"/>
      <c r="G4659" s="1399"/>
      <c r="H4659" s="1399">
        <v>32905.949999999997</v>
      </c>
      <c r="I4659" s="1399"/>
      <c r="J4659" s="1399">
        <v>32905.949999999997</v>
      </c>
    </row>
    <row r="4660" spans="5:10" s="1297" customFormat="1">
      <c r="E4660" s="1297" t="s">
        <v>1044</v>
      </c>
      <c r="F4660" s="1399">
        <v>410689.88</v>
      </c>
      <c r="G4660" s="1399"/>
      <c r="H4660" s="1399"/>
      <c r="I4660" s="1399"/>
      <c r="J4660" s="1399">
        <v>410689.88</v>
      </c>
    </row>
    <row r="4661" spans="5:10" s="1297" customFormat="1">
      <c r="E4661" s="1297" t="s">
        <v>1045</v>
      </c>
      <c r="F4661" s="1399"/>
      <c r="G4661" s="1399"/>
      <c r="H4661" s="1399">
        <v>10113423.630000001</v>
      </c>
      <c r="I4661" s="1399"/>
      <c r="J4661" s="1399">
        <v>10113423.630000001</v>
      </c>
    </row>
    <row r="4662" spans="5:10" s="1297" customFormat="1">
      <c r="E4662" s="1297" t="s">
        <v>1046</v>
      </c>
      <c r="F4662" s="1399"/>
      <c r="G4662" s="1399"/>
      <c r="H4662" s="1399"/>
      <c r="I4662" s="1399">
        <v>74181709</v>
      </c>
      <c r="J4662" s="1399">
        <v>74181709</v>
      </c>
    </row>
    <row r="4663" spans="5:10" s="1297" customFormat="1">
      <c r="E4663" s="1297" t="s">
        <v>1048</v>
      </c>
      <c r="F4663" s="1399"/>
      <c r="G4663" s="1399"/>
      <c r="H4663" s="1399"/>
      <c r="I4663" s="1399">
        <v>-13695372</v>
      </c>
      <c r="J4663" s="1399">
        <v>-13695372</v>
      </c>
    </row>
    <row r="4664" spans="5:10" s="1297" customFormat="1">
      <c r="E4664" s="1297" t="s">
        <v>932</v>
      </c>
      <c r="F4664" s="1399"/>
      <c r="G4664" s="1399"/>
      <c r="H4664" s="1399"/>
      <c r="I4664" s="1399">
        <v>3771181</v>
      </c>
      <c r="J4664" s="1399">
        <v>3771181</v>
      </c>
    </row>
    <row r="4665" spans="5:10" s="1297" customFormat="1">
      <c r="E4665" s="1404" t="s">
        <v>955</v>
      </c>
      <c r="F4665" s="1405"/>
      <c r="G4665" s="1405"/>
      <c r="H4665" s="1405"/>
      <c r="I4665" s="1405">
        <v>1216851.1200000001</v>
      </c>
      <c r="J4665" s="1405">
        <v>1216851.1200000001</v>
      </c>
    </row>
    <row r="4666" spans="5:10" s="1297" customFormat="1">
      <c r="E4666" s="1297" t="s">
        <v>934</v>
      </c>
      <c r="F4666" s="1399"/>
      <c r="G4666" s="1399"/>
      <c r="H4666" s="1399"/>
      <c r="I4666" s="1399">
        <v>239478</v>
      </c>
      <c r="J4666" s="1399">
        <v>239478</v>
      </c>
    </row>
    <row r="4667" spans="5:10" s="1297" customFormat="1">
      <c r="E4667" s="1297" t="s">
        <v>1130</v>
      </c>
      <c r="F4667" s="1399"/>
      <c r="G4667" s="1399"/>
      <c r="H4667" s="1399"/>
      <c r="I4667" s="1399">
        <v>1921881.4</v>
      </c>
      <c r="J4667" s="1399">
        <v>1921881.4</v>
      </c>
    </row>
    <row r="4668" spans="5:10" s="1297" customFormat="1">
      <c r="E4668" s="1297" t="s">
        <v>935</v>
      </c>
      <c r="F4668" s="1399"/>
      <c r="G4668" s="1399"/>
      <c r="H4668" s="1399"/>
      <c r="I4668" s="1399">
        <v>513390.11</v>
      </c>
      <c r="J4668" s="1399">
        <v>513390.11</v>
      </c>
    </row>
    <row r="4669" spans="5:10" s="1297" customFormat="1">
      <c r="E4669" s="1297" t="s">
        <v>936</v>
      </c>
      <c r="F4669" s="1399"/>
      <c r="G4669" s="1399"/>
      <c r="H4669" s="1399"/>
      <c r="I4669" s="1399">
        <v>280120.43</v>
      </c>
      <c r="J4669" s="1399">
        <v>280120.43</v>
      </c>
    </row>
    <row r="4670" spans="5:10" s="1297" customFormat="1">
      <c r="E4670" s="1297" t="s">
        <v>937</v>
      </c>
      <c r="F4670" s="1399"/>
      <c r="G4670" s="1399"/>
      <c r="H4670" s="1399"/>
      <c r="I4670" s="1399">
        <v>240705.41</v>
      </c>
      <c r="J4670" s="1399">
        <v>240705.41</v>
      </c>
    </row>
    <row r="4671" spans="5:10" s="1297" customFormat="1">
      <c r="E4671" s="1297" t="s">
        <v>938</v>
      </c>
      <c r="F4671" s="1399"/>
      <c r="G4671" s="1399"/>
      <c r="H4671" s="1399"/>
      <c r="I4671" s="1399">
        <v>92831</v>
      </c>
      <c r="J4671" s="1399">
        <v>92831</v>
      </c>
    </row>
    <row r="4672" spans="5:10" s="1297" customFormat="1">
      <c r="E4672" s="1297" t="s">
        <v>1131</v>
      </c>
      <c r="F4672" s="1399">
        <v>193756.95</v>
      </c>
      <c r="G4672" s="1399"/>
      <c r="H4672" s="1399"/>
      <c r="I4672" s="1399"/>
      <c r="J4672" s="1399">
        <v>193756.95</v>
      </c>
    </row>
    <row r="4673" spans="2:12">
      <c r="B4673" s="1297"/>
      <c r="C4673" s="1297"/>
      <c r="D4673" s="1297"/>
      <c r="E4673" s="1297" t="s">
        <v>940</v>
      </c>
      <c r="F4673" s="1399">
        <v>4255617.26</v>
      </c>
      <c r="J4673" s="1399">
        <v>4255617.26</v>
      </c>
    </row>
    <row r="4674" spans="2:12">
      <c r="B4674" s="1297"/>
      <c r="C4674" s="1297"/>
      <c r="D4674" s="1297"/>
      <c r="E4674" s="1297" t="s">
        <v>941</v>
      </c>
      <c r="F4674" s="1399">
        <v>1500496.72</v>
      </c>
      <c r="J4674" s="1399">
        <v>1500496.72</v>
      </c>
    </row>
    <row r="4675" spans="2:12">
      <c r="B4675" s="1297"/>
      <c r="C4675" s="1297"/>
      <c r="D4675" s="1297"/>
      <c r="E4675" s="1297" t="s">
        <v>943</v>
      </c>
      <c r="F4675" s="1399">
        <v>64239.4</v>
      </c>
      <c r="J4675" s="1399">
        <v>64239.4</v>
      </c>
    </row>
    <row r="4676" spans="2:12">
      <c r="B4676" s="1297"/>
      <c r="C4676" s="1297"/>
      <c r="D4676" s="1297"/>
      <c r="E4676" s="1297" t="s">
        <v>944</v>
      </c>
      <c r="F4676" s="1399">
        <v>8349820.5699999994</v>
      </c>
      <c r="J4676" s="1399">
        <v>8349820.5699999994</v>
      </c>
    </row>
    <row r="4677" spans="2:12">
      <c r="B4677" s="1297"/>
      <c r="C4677" s="1297"/>
      <c r="D4677" s="1297"/>
      <c r="E4677" s="1297" t="s">
        <v>945</v>
      </c>
      <c r="F4677" s="1399">
        <v>5520830.0499999998</v>
      </c>
      <c r="J4677" s="1399">
        <v>5520830.0499999998</v>
      </c>
    </row>
    <row r="4678" spans="2:12">
      <c r="B4678" s="1297"/>
      <c r="C4678" s="1297"/>
      <c r="D4678" s="1297"/>
      <c r="E4678" s="1297" t="s">
        <v>946</v>
      </c>
      <c r="F4678" s="1399">
        <v>1385998.06</v>
      </c>
      <c r="J4678" s="1399">
        <v>1385998.06</v>
      </c>
    </row>
    <row r="4679" spans="2:12">
      <c r="B4679" s="1297"/>
      <c r="C4679" s="1297"/>
      <c r="D4679" s="1297"/>
      <c r="E4679" s="1297" t="s">
        <v>978</v>
      </c>
      <c r="F4679" s="1399">
        <v>10658.92</v>
      </c>
      <c r="J4679" s="1399">
        <v>10658.92</v>
      </c>
    </row>
    <row r="4680" spans="2:12">
      <c r="B4680" s="1297"/>
      <c r="C4680" s="1297"/>
      <c r="D4680" s="1297"/>
      <c r="E4680" s="1297" t="s">
        <v>947</v>
      </c>
      <c r="F4680" s="1399">
        <v>429705.34</v>
      </c>
      <c r="J4680" s="1399">
        <v>429705.34</v>
      </c>
    </row>
    <row r="4681" spans="2:12">
      <c r="B4681" s="1297"/>
      <c r="C4681" s="1297"/>
      <c r="D4681" s="1297"/>
      <c r="E4681" s="1404" t="s">
        <v>948</v>
      </c>
      <c r="F4681" s="1405"/>
      <c r="G4681" s="1405"/>
      <c r="H4681" s="1405">
        <v>2987587.9999999995</v>
      </c>
      <c r="I4681" s="1405"/>
      <c r="J4681" s="1405">
        <v>2987587.9999999995</v>
      </c>
    </row>
    <row r="4682" spans="2:12">
      <c r="B4682" s="1297"/>
      <c r="C4682" s="1297"/>
      <c r="D4682" s="1400" t="s">
        <v>1512</v>
      </c>
      <c r="E4682" s="1400"/>
      <c r="F4682" s="1401">
        <f>SUM(F4648:F4681)</f>
        <v>22121813.149999999</v>
      </c>
      <c r="G4682" s="1401">
        <f>SUM(G4648:G4681)</f>
        <v>70910048.209999993</v>
      </c>
      <c r="H4682" s="1401">
        <f>SUM(H4648:H4681)-H4681</f>
        <v>12917674.530000001</v>
      </c>
      <c r="I4682" s="1401">
        <f>SUM(I4648:I4681)-I4665</f>
        <v>67545924.349999994</v>
      </c>
      <c r="J4682" s="1401">
        <f>SUM(J4648:J4681)</f>
        <v>177699899.36000001</v>
      </c>
      <c r="K4682" s="1401">
        <f>SUM(F4682:I4682)</f>
        <v>173495460.23999998</v>
      </c>
      <c r="L4682" s="1408">
        <f>K4682/C4648</f>
        <v>11256.43678972296</v>
      </c>
    </row>
    <row r="4683" spans="2:12">
      <c r="B4683" s="1297" t="s">
        <v>1513</v>
      </c>
      <c r="C4683" s="1297">
        <v>1314</v>
      </c>
      <c r="D4683" s="1297" t="s">
        <v>1514</v>
      </c>
      <c r="E4683" s="1297" t="s">
        <v>906</v>
      </c>
      <c r="G4683" s="1399">
        <v>2073563.32</v>
      </c>
      <c r="J4683" s="1399">
        <v>2073563.32</v>
      </c>
    </row>
    <row r="4684" spans="2:12">
      <c r="B4684" s="1297"/>
      <c r="C4684" s="1297"/>
      <c r="D4684" s="1297"/>
      <c r="E4684" s="1297" t="s">
        <v>952</v>
      </c>
      <c r="G4684" s="1399">
        <v>15363.73</v>
      </c>
      <c r="J4684" s="1399">
        <v>15363.73</v>
      </c>
    </row>
    <row r="4685" spans="2:12">
      <c r="B4685" s="1297"/>
      <c r="C4685" s="1297"/>
      <c r="D4685" s="1297"/>
      <c r="E4685" s="1297" t="s">
        <v>907</v>
      </c>
      <c r="G4685" s="1399">
        <v>257748.6</v>
      </c>
      <c r="J4685" s="1399">
        <v>257748.6</v>
      </c>
    </row>
    <row r="4686" spans="2:12">
      <c r="B4686" s="1297"/>
      <c r="C4686" s="1297"/>
      <c r="D4686" s="1297"/>
      <c r="E4686" s="1297" t="s">
        <v>908</v>
      </c>
      <c r="G4686" s="1399">
        <v>11462.41</v>
      </c>
      <c r="J4686" s="1399">
        <v>11462.41</v>
      </c>
    </row>
    <row r="4687" spans="2:12">
      <c r="B4687" s="1297"/>
      <c r="C4687" s="1297"/>
      <c r="D4687" s="1297"/>
      <c r="E4687" s="1297" t="s">
        <v>909</v>
      </c>
      <c r="H4687" s="1399">
        <v>21174.03</v>
      </c>
      <c r="J4687" s="1399">
        <v>21174.03</v>
      </c>
    </row>
    <row r="4688" spans="2:12">
      <c r="B4688" s="1297"/>
      <c r="C4688" s="1297"/>
      <c r="D4688" s="1297"/>
      <c r="E4688" s="1297" t="s">
        <v>910</v>
      </c>
      <c r="H4688" s="1399">
        <v>5851</v>
      </c>
      <c r="J4688" s="1399">
        <v>5851</v>
      </c>
    </row>
    <row r="4689" spans="5:10" s="1297" customFormat="1">
      <c r="E4689" s="1297" t="s">
        <v>1034</v>
      </c>
      <c r="F4689" s="1399"/>
      <c r="G4689" s="1399"/>
      <c r="H4689" s="1399">
        <v>20159</v>
      </c>
      <c r="I4689" s="1399"/>
      <c r="J4689" s="1399">
        <v>20159</v>
      </c>
    </row>
    <row r="4690" spans="5:10" s="1297" customFormat="1">
      <c r="E4690" s="1297" t="s">
        <v>1035</v>
      </c>
      <c r="F4690" s="1399"/>
      <c r="G4690" s="1399"/>
      <c r="H4690" s="1399">
        <v>335745.08</v>
      </c>
      <c r="I4690" s="1399"/>
      <c r="J4690" s="1399">
        <v>335745.08</v>
      </c>
    </row>
    <row r="4691" spans="5:10" s="1297" customFormat="1">
      <c r="E4691" s="1297" t="s">
        <v>1036</v>
      </c>
      <c r="F4691" s="1399"/>
      <c r="G4691" s="1399"/>
      <c r="H4691" s="1399">
        <v>61743.02</v>
      </c>
      <c r="I4691" s="1399"/>
      <c r="J4691" s="1399">
        <v>61743.02</v>
      </c>
    </row>
    <row r="4692" spans="5:10" s="1297" customFormat="1">
      <c r="E4692" s="1297" t="s">
        <v>1037</v>
      </c>
      <c r="F4692" s="1399"/>
      <c r="G4692" s="1399"/>
      <c r="H4692" s="1399">
        <v>535290.79999999993</v>
      </c>
      <c r="I4692" s="1399"/>
      <c r="J4692" s="1399">
        <v>535290.79999999993</v>
      </c>
    </row>
    <row r="4693" spans="5:10" s="1297" customFormat="1">
      <c r="E4693" s="1297" t="s">
        <v>1039</v>
      </c>
      <c r="F4693" s="1399"/>
      <c r="G4693" s="1399"/>
      <c r="H4693" s="1399">
        <v>5622.369999999999</v>
      </c>
      <c r="I4693" s="1399"/>
      <c r="J4693" s="1399">
        <v>5622.369999999999</v>
      </c>
    </row>
    <row r="4694" spans="5:10" s="1297" customFormat="1">
      <c r="E4694" s="1297" t="s">
        <v>1040</v>
      </c>
      <c r="F4694" s="1399"/>
      <c r="G4694" s="1399"/>
      <c r="H4694" s="1399">
        <v>135425.54999999999</v>
      </c>
      <c r="I4694" s="1399"/>
      <c r="J4694" s="1399">
        <v>135425.54999999999</v>
      </c>
    </row>
    <row r="4695" spans="5:10" s="1297" customFormat="1">
      <c r="E4695" s="1297" t="s">
        <v>1041</v>
      </c>
      <c r="F4695" s="1399"/>
      <c r="G4695" s="1399"/>
      <c r="H4695" s="1399">
        <v>58082.55</v>
      </c>
      <c r="I4695" s="1399"/>
      <c r="J4695" s="1399">
        <v>58082.55</v>
      </c>
    </row>
    <row r="4696" spans="5:10" s="1297" customFormat="1">
      <c r="E4696" s="1297" t="s">
        <v>1042</v>
      </c>
      <c r="F4696" s="1399"/>
      <c r="G4696" s="1399"/>
      <c r="H4696" s="1399">
        <v>17484.5</v>
      </c>
      <c r="I4696" s="1399"/>
      <c r="J4696" s="1399">
        <v>17484.5</v>
      </c>
    </row>
    <row r="4697" spans="5:10" s="1297" customFormat="1">
      <c r="E4697" s="1297" t="s">
        <v>953</v>
      </c>
      <c r="F4697" s="1399"/>
      <c r="G4697" s="1399"/>
      <c r="H4697" s="1399">
        <v>1555</v>
      </c>
      <c r="I4697" s="1399"/>
      <c r="J4697" s="1399">
        <v>1555</v>
      </c>
    </row>
    <row r="4698" spans="5:10" s="1297" customFormat="1">
      <c r="E4698" s="1297" t="s">
        <v>1045</v>
      </c>
      <c r="F4698" s="1399"/>
      <c r="G4698" s="1399"/>
      <c r="H4698" s="1399">
        <v>19085.829999999998</v>
      </c>
      <c r="I4698" s="1399"/>
      <c r="J4698" s="1399">
        <v>19085.829999999998</v>
      </c>
    </row>
    <row r="4699" spans="5:10" s="1297" customFormat="1">
      <c r="E4699" s="1297" t="s">
        <v>1046</v>
      </c>
      <c r="F4699" s="1399"/>
      <c r="G4699" s="1399"/>
      <c r="H4699" s="1399"/>
      <c r="I4699" s="1399">
        <v>6414892</v>
      </c>
      <c r="J4699" s="1399">
        <v>6414892</v>
      </c>
    </row>
    <row r="4700" spans="5:10" s="1297" customFormat="1">
      <c r="E4700" s="1297" t="s">
        <v>1047</v>
      </c>
      <c r="F4700" s="1399"/>
      <c r="G4700" s="1399"/>
      <c r="H4700" s="1399"/>
      <c r="I4700" s="1399">
        <v>281173</v>
      </c>
      <c r="J4700" s="1399">
        <v>281173</v>
      </c>
    </row>
    <row r="4701" spans="5:10" s="1297" customFormat="1">
      <c r="E4701" s="1297" t="s">
        <v>1048</v>
      </c>
      <c r="F4701" s="1399"/>
      <c r="G4701" s="1399"/>
      <c r="H4701" s="1399"/>
      <c r="I4701" s="1399">
        <v>-574189</v>
      </c>
      <c r="J4701" s="1399">
        <v>-574189</v>
      </c>
    </row>
    <row r="4702" spans="5:10" s="1297" customFormat="1">
      <c r="E4702" s="1297" t="s">
        <v>932</v>
      </c>
      <c r="F4702" s="1399"/>
      <c r="G4702" s="1399"/>
      <c r="H4702" s="1399"/>
      <c r="I4702" s="1399">
        <v>465006</v>
      </c>
      <c r="J4702" s="1399">
        <v>465006</v>
      </c>
    </row>
    <row r="4703" spans="5:10" s="1297" customFormat="1">
      <c r="E4703" s="1297" t="s">
        <v>933</v>
      </c>
      <c r="F4703" s="1399"/>
      <c r="G4703" s="1399"/>
      <c r="H4703" s="1399"/>
      <c r="I4703" s="1399">
        <v>427052</v>
      </c>
      <c r="J4703" s="1399">
        <v>427052</v>
      </c>
    </row>
    <row r="4704" spans="5:10" s="1297" customFormat="1">
      <c r="E4704" s="1297" t="s">
        <v>934</v>
      </c>
      <c r="F4704" s="1399"/>
      <c r="G4704" s="1399"/>
      <c r="H4704" s="1399"/>
      <c r="I4704" s="1399">
        <v>22172</v>
      </c>
      <c r="J4704" s="1399">
        <v>22172</v>
      </c>
    </row>
    <row r="4705" spans="2:12">
      <c r="B4705" s="1297"/>
      <c r="C4705" s="1297"/>
      <c r="D4705" s="1297"/>
      <c r="E4705" s="1297" t="s">
        <v>935</v>
      </c>
      <c r="I4705" s="1399">
        <v>27905.16</v>
      </c>
      <c r="J4705" s="1399">
        <v>27905.16</v>
      </c>
    </row>
    <row r="4706" spans="2:12">
      <c r="B4706" s="1297"/>
      <c r="C4706" s="1297"/>
      <c r="D4706" s="1297"/>
      <c r="E4706" s="1297" t="s">
        <v>936</v>
      </c>
      <c r="I4706" s="1399">
        <v>17157.38</v>
      </c>
      <c r="J4706" s="1399">
        <v>17157.38</v>
      </c>
    </row>
    <row r="4707" spans="2:12">
      <c r="B4707" s="1297"/>
      <c r="C4707" s="1297"/>
      <c r="D4707" s="1297"/>
      <c r="E4707" s="1297" t="s">
        <v>938</v>
      </c>
      <c r="I4707" s="1399">
        <v>4866</v>
      </c>
      <c r="J4707" s="1399">
        <v>4866</v>
      </c>
    </row>
    <row r="4708" spans="2:12">
      <c r="B4708" s="1297"/>
      <c r="C4708" s="1297"/>
      <c r="D4708" s="1297"/>
      <c r="E4708" s="1297" t="s">
        <v>939</v>
      </c>
      <c r="I4708" s="1399">
        <v>4007.1099999999997</v>
      </c>
      <c r="J4708" s="1399">
        <v>4007.1099999999997</v>
      </c>
    </row>
    <row r="4709" spans="2:12">
      <c r="B4709" s="1297"/>
      <c r="C4709" s="1297"/>
      <c r="D4709" s="1297"/>
      <c r="E4709" s="1297" t="s">
        <v>940</v>
      </c>
      <c r="F4709" s="1399">
        <v>320493.80000000005</v>
      </c>
      <c r="J4709" s="1399">
        <v>320493.80000000005</v>
      </c>
    </row>
    <row r="4710" spans="2:12">
      <c r="B4710" s="1297"/>
      <c r="C4710" s="1297"/>
      <c r="D4710" s="1297"/>
      <c r="E4710" s="1297" t="s">
        <v>941</v>
      </c>
      <c r="F4710" s="1399">
        <v>122588.4</v>
      </c>
      <c r="J4710" s="1399">
        <v>122588.4</v>
      </c>
    </row>
    <row r="4711" spans="2:12">
      <c r="B4711" s="1297"/>
      <c r="C4711" s="1297"/>
      <c r="D4711" s="1297"/>
      <c r="E4711" s="1297" t="s">
        <v>943</v>
      </c>
      <c r="F4711" s="1399">
        <v>251.99</v>
      </c>
      <c r="J4711" s="1399">
        <v>251.99</v>
      </c>
    </row>
    <row r="4712" spans="2:12">
      <c r="B4712" s="1297"/>
      <c r="C4712" s="1297"/>
      <c r="D4712" s="1297"/>
      <c r="E4712" s="1297" t="s">
        <v>944</v>
      </c>
      <c r="F4712" s="1399">
        <v>559301.81000000006</v>
      </c>
      <c r="J4712" s="1399">
        <v>559301.81000000006</v>
      </c>
    </row>
    <row r="4713" spans="2:12">
      <c r="B4713" s="1297"/>
      <c r="C4713" s="1297"/>
      <c r="D4713" s="1297"/>
      <c r="E4713" s="1297" t="s">
        <v>945</v>
      </c>
      <c r="F4713" s="1399">
        <v>622681.46</v>
      </c>
      <c r="J4713" s="1399">
        <v>622681.46</v>
      </c>
    </row>
    <row r="4714" spans="2:12">
      <c r="B4714" s="1297"/>
      <c r="C4714" s="1297"/>
      <c r="D4714" s="1297"/>
      <c r="E4714" s="1297" t="s">
        <v>947</v>
      </c>
      <c r="F4714" s="1399">
        <v>52186.45</v>
      </c>
      <c r="J4714" s="1399">
        <v>52186.45</v>
      </c>
    </row>
    <row r="4715" spans="2:12">
      <c r="B4715" s="1297"/>
      <c r="C4715" s="1297"/>
      <c r="D4715" s="1297"/>
      <c r="E4715" s="1404" t="s">
        <v>948</v>
      </c>
      <c r="F4715" s="1405"/>
      <c r="G4715" s="1405"/>
      <c r="H4715" s="1405">
        <v>180086</v>
      </c>
      <c r="I4715" s="1405"/>
      <c r="J4715" s="1405">
        <v>180086</v>
      </c>
    </row>
    <row r="4716" spans="2:12">
      <c r="B4716" s="1297"/>
      <c r="C4716" s="1297"/>
      <c r="D4716" s="1297"/>
      <c r="E4716" s="1297" t="s">
        <v>1118</v>
      </c>
      <c r="H4716" s="1399">
        <v>26466.75</v>
      </c>
      <c r="J4716" s="1399">
        <v>26466.75</v>
      </c>
    </row>
    <row r="4717" spans="2:12">
      <c r="B4717" s="1297"/>
      <c r="C4717" s="1297"/>
      <c r="D4717" s="1400" t="s">
        <v>1515</v>
      </c>
      <c r="E4717" s="1400"/>
      <c r="F4717" s="1401">
        <f>SUM(F4683:F4716)</f>
        <v>1677503.91</v>
      </c>
      <c r="G4717" s="1401">
        <f>SUM(G4683:G4716)</f>
        <v>2358138.06</v>
      </c>
      <c r="H4717" s="1401">
        <f>SUM(H4683:H4716)-H4715</f>
        <v>1243685.48</v>
      </c>
      <c r="I4717" s="1401">
        <f>SUM(I4683:I4716)</f>
        <v>7090041.6500000004</v>
      </c>
      <c r="J4717" s="1401">
        <f>SUM(J4683:J4716)</f>
        <v>12549455.100000001</v>
      </c>
      <c r="K4717" s="1401">
        <f>SUM(F4717:I4717)</f>
        <v>12369369.1</v>
      </c>
      <c r="L4717" s="1408">
        <f>K4717/C4683</f>
        <v>9413.5229071537287</v>
      </c>
    </row>
    <row r="4718" spans="2:12">
      <c r="B4718" s="1297" t="s">
        <v>1516</v>
      </c>
      <c r="C4718" s="1297">
        <v>2397</v>
      </c>
      <c r="D4718" s="1297" t="s">
        <v>1324</v>
      </c>
      <c r="E4718" s="1297" t="s">
        <v>906</v>
      </c>
      <c r="G4718" s="1399">
        <v>5047032.55</v>
      </c>
      <c r="J4718" s="1399">
        <v>5047032.55</v>
      </c>
    </row>
    <row r="4719" spans="2:12">
      <c r="B4719" s="1297"/>
      <c r="C4719" s="1297"/>
      <c r="D4719" s="1297"/>
      <c r="E4719" s="1297" t="s">
        <v>952</v>
      </c>
      <c r="G4719" s="1399">
        <v>22158.17</v>
      </c>
      <c r="J4719" s="1399">
        <v>22158.17</v>
      </c>
    </row>
    <row r="4720" spans="2:12">
      <c r="B4720" s="1297"/>
      <c r="C4720" s="1297"/>
      <c r="D4720" s="1297"/>
      <c r="E4720" s="1297" t="s">
        <v>907</v>
      </c>
      <c r="G4720" s="1399">
        <v>1436585.18</v>
      </c>
      <c r="J4720" s="1399">
        <v>1436585.18</v>
      </c>
    </row>
    <row r="4721" spans="5:10" s="1297" customFormat="1">
      <c r="E4721" s="1297" t="s">
        <v>908</v>
      </c>
      <c r="F4721" s="1399"/>
      <c r="G4721" s="1399">
        <v>26320.46</v>
      </c>
      <c r="H4721" s="1399"/>
      <c r="I4721" s="1399"/>
      <c r="J4721" s="1399">
        <v>26320.46</v>
      </c>
    </row>
    <row r="4722" spans="5:10" s="1297" customFormat="1">
      <c r="E4722" s="1297" t="s">
        <v>1122</v>
      </c>
      <c r="F4722" s="1399"/>
      <c r="G4722" s="1399"/>
      <c r="H4722" s="1399">
        <v>-3275</v>
      </c>
      <c r="I4722" s="1399"/>
      <c r="J4722" s="1399">
        <v>-3275</v>
      </c>
    </row>
    <row r="4723" spans="5:10" s="1297" customFormat="1">
      <c r="E4723" s="1297" t="s">
        <v>909</v>
      </c>
      <c r="F4723" s="1399"/>
      <c r="G4723" s="1399"/>
      <c r="H4723" s="1399">
        <v>17262.239999999998</v>
      </c>
      <c r="I4723" s="1399"/>
      <c r="J4723" s="1399">
        <v>17262.239999999998</v>
      </c>
    </row>
    <row r="4724" spans="5:10" s="1297" customFormat="1">
      <c r="E4724" s="1297" t="s">
        <v>910</v>
      </c>
      <c r="F4724" s="1399"/>
      <c r="G4724" s="1399"/>
      <c r="H4724" s="1399">
        <v>63719.77</v>
      </c>
      <c r="I4724" s="1399"/>
      <c r="J4724" s="1399">
        <v>63719.77</v>
      </c>
    </row>
    <row r="4725" spans="5:10" s="1297" customFormat="1">
      <c r="E4725" s="1297" t="s">
        <v>1034</v>
      </c>
      <c r="F4725" s="1399"/>
      <c r="G4725" s="1399"/>
      <c r="H4725" s="1399">
        <v>88054.07</v>
      </c>
      <c r="I4725" s="1399"/>
      <c r="J4725" s="1399">
        <v>88054.07</v>
      </c>
    </row>
    <row r="4726" spans="5:10" s="1297" customFormat="1">
      <c r="E4726" s="1297" t="s">
        <v>1035</v>
      </c>
      <c r="F4726" s="1399"/>
      <c r="G4726" s="1399"/>
      <c r="H4726" s="1399">
        <v>188395.06</v>
      </c>
      <c r="I4726" s="1399"/>
      <c r="J4726" s="1399">
        <v>188395.06</v>
      </c>
    </row>
    <row r="4727" spans="5:10" s="1297" customFormat="1">
      <c r="E4727" s="1297" t="s">
        <v>1036</v>
      </c>
      <c r="F4727" s="1399"/>
      <c r="G4727" s="1399"/>
      <c r="H4727" s="1399">
        <v>61353.16</v>
      </c>
      <c r="I4727" s="1399"/>
      <c r="J4727" s="1399">
        <v>61353.16</v>
      </c>
    </row>
    <row r="4728" spans="5:10" s="1297" customFormat="1">
      <c r="E4728" s="1297" t="s">
        <v>1003</v>
      </c>
      <c r="F4728" s="1399"/>
      <c r="G4728" s="1399"/>
      <c r="H4728" s="1399">
        <v>21929.75</v>
      </c>
      <c r="I4728" s="1399"/>
      <c r="J4728" s="1399">
        <v>21929.75</v>
      </c>
    </row>
    <row r="4729" spans="5:10" s="1297" customFormat="1">
      <c r="E4729" s="1297" t="s">
        <v>1039</v>
      </c>
      <c r="F4729" s="1399"/>
      <c r="G4729" s="1399"/>
      <c r="H4729" s="1399">
        <v>31053.600000000002</v>
      </c>
      <c r="I4729" s="1399"/>
      <c r="J4729" s="1399">
        <v>31053.600000000002</v>
      </c>
    </row>
    <row r="4730" spans="5:10" s="1297" customFormat="1">
      <c r="E4730" s="1297" t="s">
        <v>1041</v>
      </c>
      <c r="F4730" s="1399"/>
      <c r="G4730" s="1399"/>
      <c r="H4730" s="1399">
        <v>205.25</v>
      </c>
      <c r="I4730" s="1399"/>
      <c r="J4730" s="1399">
        <v>205.25</v>
      </c>
    </row>
    <row r="4731" spans="5:10" s="1297" customFormat="1">
      <c r="E4731" s="1297" t="s">
        <v>1042</v>
      </c>
      <c r="F4731" s="1399"/>
      <c r="G4731" s="1399"/>
      <c r="H4731" s="1399">
        <v>33951.199999999997</v>
      </c>
      <c r="I4731" s="1399"/>
      <c r="J4731" s="1399">
        <v>33951.199999999997</v>
      </c>
    </row>
    <row r="4732" spans="5:10" s="1297" customFormat="1">
      <c r="E4732" s="1297" t="s">
        <v>985</v>
      </c>
      <c r="F4732" s="1399"/>
      <c r="G4732" s="1399"/>
      <c r="H4732" s="1399">
        <v>30818</v>
      </c>
      <c r="I4732" s="1399"/>
      <c r="J4732" s="1399">
        <v>30818</v>
      </c>
    </row>
    <row r="4733" spans="5:10" s="1297" customFormat="1">
      <c r="E4733" s="1297" t="s">
        <v>1045</v>
      </c>
      <c r="F4733" s="1399"/>
      <c r="G4733" s="1399"/>
      <c r="H4733" s="1399">
        <v>605699.55000000005</v>
      </c>
      <c r="I4733" s="1399"/>
      <c r="J4733" s="1399">
        <v>605699.55000000005</v>
      </c>
    </row>
    <row r="4734" spans="5:10" s="1297" customFormat="1">
      <c r="E4734" s="1297" t="s">
        <v>1046</v>
      </c>
      <c r="F4734" s="1399"/>
      <c r="G4734" s="1399"/>
      <c r="H4734" s="1399"/>
      <c r="I4734" s="1399">
        <v>14142214</v>
      </c>
      <c r="J4734" s="1399">
        <v>14142214</v>
      </c>
    </row>
    <row r="4735" spans="5:10" s="1297" customFormat="1">
      <c r="E4735" s="1297" t="s">
        <v>1129</v>
      </c>
      <c r="F4735" s="1399"/>
      <c r="G4735" s="1399"/>
      <c r="H4735" s="1399"/>
      <c r="I4735" s="1399">
        <v>-1908604</v>
      </c>
      <c r="J4735" s="1399">
        <v>-1908604</v>
      </c>
    </row>
    <row r="4736" spans="5:10" s="1297" customFormat="1">
      <c r="E4736" s="1297" t="s">
        <v>1047</v>
      </c>
      <c r="F4736" s="1399"/>
      <c r="G4736" s="1399"/>
      <c r="H4736" s="1399"/>
      <c r="I4736" s="1399">
        <v>653389</v>
      </c>
      <c r="J4736" s="1399">
        <v>653389</v>
      </c>
    </row>
    <row r="4737" spans="2:12">
      <c r="B4737" s="1297"/>
      <c r="C4737" s="1297"/>
      <c r="D4737" s="1297"/>
      <c r="E4737" s="1297" t="s">
        <v>1048</v>
      </c>
      <c r="I4737" s="1399">
        <v>-1715358</v>
      </c>
      <c r="J4737" s="1399">
        <v>-1715358</v>
      </c>
    </row>
    <row r="4738" spans="2:12">
      <c r="B4738" s="1297"/>
      <c r="C4738" s="1297"/>
      <c r="D4738" s="1297"/>
      <c r="E4738" s="1297" t="s">
        <v>932</v>
      </c>
      <c r="I4738" s="1399">
        <v>1107023</v>
      </c>
      <c r="J4738" s="1399">
        <v>1107023</v>
      </c>
    </row>
    <row r="4739" spans="2:12">
      <c r="B4739" s="1297"/>
      <c r="C4739" s="1297"/>
      <c r="D4739" s="1297"/>
      <c r="E4739" s="1404" t="s">
        <v>955</v>
      </c>
      <c r="F4739" s="1405"/>
      <c r="G4739" s="1405"/>
      <c r="H4739" s="1405"/>
      <c r="I4739" s="1405">
        <v>472715.86</v>
      </c>
      <c r="J4739" s="1405">
        <v>472715.86</v>
      </c>
    </row>
    <row r="4740" spans="2:12">
      <c r="B4740" s="1297"/>
      <c r="C4740" s="1297"/>
      <c r="D4740" s="1297"/>
      <c r="E4740" s="1297" t="s">
        <v>934</v>
      </c>
      <c r="I4740" s="1399">
        <v>42788</v>
      </c>
      <c r="J4740" s="1399">
        <v>42788</v>
      </c>
    </row>
    <row r="4741" spans="2:12">
      <c r="B4741" s="1297"/>
      <c r="C4741" s="1297"/>
      <c r="D4741" s="1297"/>
      <c r="E4741" s="1297" t="s">
        <v>935</v>
      </c>
      <c r="I4741" s="1399">
        <v>372815.98</v>
      </c>
      <c r="J4741" s="1399">
        <v>372815.98</v>
      </c>
    </row>
    <row r="4742" spans="2:12">
      <c r="B4742" s="1297"/>
      <c r="C4742" s="1297"/>
      <c r="D4742" s="1297"/>
      <c r="E4742" s="1297" t="s">
        <v>936</v>
      </c>
      <c r="I4742" s="1399">
        <v>37115.96</v>
      </c>
      <c r="J4742" s="1399">
        <v>37115.96</v>
      </c>
    </row>
    <row r="4743" spans="2:12">
      <c r="B4743" s="1297"/>
      <c r="C4743" s="1297"/>
      <c r="D4743" s="1297"/>
      <c r="E4743" s="1297" t="s">
        <v>938</v>
      </c>
      <c r="I4743" s="1399">
        <v>14973.01</v>
      </c>
      <c r="J4743" s="1399">
        <v>14973.01</v>
      </c>
    </row>
    <row r="4744" spans="2:12">
      <c r="B4744" s="1297"/>
      <c r="C4744" s="1297"/>
      <c r="D4744" s="1297"/>
      <c r="E4744" s="1297" t="s">
        <v>939</v>
      </c>
      <c r="I4744" s="1399">
        <v>49238.93</v>
      </c>
      <c r="J4744" s="1399">
        <v>49238.93</v>
      </c>
    </row>
    <row r="4745" spans="2:12">
      <c r="B4745" s="1297"/>
      <c r="C4745" s="1297"/>
      <c r="D4745" s="1297"/>
      <c r="E4745" s="1297" t="s">
        <v>940</v>
      </c>
      <c r="F4745" s="1399">
        <v>772991.62</v>
      </c>
      <c r="J4745" s="1399">
        <v>772991.62</v>
      </c>
    </row>
    <row r="4746" spans="2:12">
      <c r="B4746" s="1297"/>
      <c r="C4746" s="1297"/>
      <c r="D4746" s="1297"/>
      <c r="E4746" s="1297" t="s">
        <v>941</v>
      </c>
      <c r="F4746" s="1399">
        <v>502036.83999999997</v>
      </c>
      <c r="J4746" s="1399">
        <v>502036.83999999997</v>
      </c>
    </row>
    <row r="4747" spans="2:12">
      <c r="B4747" s="1297"/>
      <c r="C4747" s="1297"/>
      <c r="D4747" s="1297"/>
      <c r="E4747" s="1297" t="s">
        <v>944</v>
      </c>
      <c r="F4747" s="1399">
        <v>2103989.1799999997</v>
      </c>
      <c r="J4747" s="1399">
        <v>2103989.1799999997</v>
      </c>
    </row>
    <row r="4748" spans="2:12">
      <c r="B4748" s="1297"/>
      <c r="C4748" s="1297"/>
      <c r="D4748" s="1297"/>
      <c r="E4748" s="1297" t="s">
        <v>945</v>
      </c>
      <c r="F4748" s="1399">
        <v>1098071.4099999999</v>
      </c>
      <c r="J4748" s="1399">
        <v>1098071.4099999999</v>
      </c>
    </row>
    <row r="4749" spans="2:12">
      <c r="B4749" s="1297"/>
      <c r="C4749" s="1297"/>
      <c r="D4749" s="1297"/>
      <c r="E4749" s="1297" t="s">
        <v>947</v>
      </c>
      <c r="F4749" s="1399">
        <v>98150.05</v>
      </c>
      <c r="J4749" s="1399">
        <v>98150.05</v>
      </c>
    </row>
    <row r="4750" spans="2:12">
      <c r="B4750" s="1297"/>
      <c r="C4750" s="1297"/>
      <c r="D4750" s="1297"/>
      <c r="E4750" s="1404" t="s">
        <v>948</v>
      </c>
      <c r="F4750" s="1405"/>
      <c r="G4750" s="1405"/>
      <c r="H4750" s="1405">
        <v>326260</v>
      </c>
      <c r="I4750" s="1405"/>
      <c r="J4750" s="1405">
        <v>326260</v>
      </c>
    </row>
    <row r="4751" spans="2:12">
      <c r="B4751" s="1297"/>
      <c r="C4751" s="1297"/>
      <c r="D4751" s="1297"/>
      <c r="E4751" s="1297" t="s">
        <v>1118</v>
      </c>
      <c r="H4751" s="1399">
        <v>4493.74</v>
      </c>
      <c r="J4751" s="1399">
        <v>4493.74</v>
      </c>
    </row>
    <row r="4752" spans="2:12">
      <c r="B4752" s="1297"/>
      <c r="C4752" s="1297"/>
      <c r="D4752" s="1400" t="s">
        <v>1325</v>
      </c>
      <c r="E4752" s="1400"/>
      <c r="F4752" s="1401">
        <f>SUM(F4718:F4751)</f>
        <v>4575239.0999999996</v>
      </c>
      <c r="G4752" s="1401">
        <f>SUM(G4718:G4751)</f>
        <v>6532096.3599999994</v>
      </c>
      <c r="H4752" s="1401">
        <f>SUM(H4718:H4751)-H4750</f>
        <v>1143660.3900000001</v>
      </c>
      <c r="I4752" s="1401">
        <f>SUM(I4718:I4751)-I4739</f>
        <v>12795595.880000001</v>
      </c>
      <c r="J4752" s="1401">
        <f>SUM(J4718:J4751)</f>
        <v>25845567.59</v>
      </c>
      <c r="K4752" s="1401">
        <f>SUM(F4752:I4752)</f>
        <v>25046591.73</v>
      </c>
      <c r="L4752" s="1408">
        <f>K4752/C4718</f>
        <v>10449.141314142678</v>
      </c>
    </row>
    <row r="4753" spans="2:10" s="1297" customFormat="1">
      <c r="B4753" s="1297" t="s">
        <v>1326</v>
      </c>
      <c r="C4753" s="1297">
        <v>1544</v>
      </c>
      <c r="D4753" s="1297" t="s">
        <v>1327</v>
      </c>
      <c r="E4753" s="1297" t="s">
        <v>906</v>
      </c>
      <c r="F4753" s="1399"/>
      <c r="G4753" s="1399">
        <v>3916094.25</v>
      </c>
      <c r="H4753" s="1399"/>
      <c r="I4753" s="1399"/>
      <c r="J4753" s="1399">
        <v>3916094.25</v>
      </c>
    </row>
    <row r="4754" spans="2:10" s="1297" customFormat="1">
      <c r="E4754" s="1297" t="s">
        <v>952</v>
      </c>
      <c r="F4754" s="1399"/>
      <c r="G4754" s="1399">
        <v>20569.599999999999</v>
      </c>
      <c r="H4754" s="1399"/>
      <c r="I4754" s="1399"/>
      <c r="J4754" s="1399">
        <v>20569.599999999999</v>
      </c>
    </row>
    <row r="4755" spans="2:10" s="1297" customFormat="1">
      <c r="E4755" s="1297" t="s">
        <v>907</v>
      </c>
      <c r="F4755" s="1399"/>
      <c r="G4755" s="1399">
        <v>1199668.6100000001</v>
      </c>
      <c r="H4755" s="1399"/>
      <c r="I4755" s="1399"/>
      <c r="J4755" s="1399">
        <v>1199668.6100000001</v>
      </c>
    </row>
    <row r="4756" spans="2:10" s="1297" customFormat="1">
      <c r="E4756" s="1297" t="s">
        <v>908</v>
      </c>
      <c r="F4756" s="1399"/>
      <c r="G4756" s="1399">
        <v>206294.72</v>
      </c>
      <c r="H4756" s="1399"/>
      <c r="I4756" s="1399"/>
      <c r="J4756" s="1399">
        <v>206294.72</v>
      </c>
    </row>
    <row r="4757" spans="2:10" s="1297" customFormat="1">
      <c r="E4757" s="1297" t="s">
        <v>1034</v>
      </c>
      <c r="F4757" s="1399"/>
      <c r="G4757" s="1399"/>
      <c r="H4757" s="1399">
        <v>14063.43</v>
      </c>
      <c r="I4757" s="1399"/>
      <c r="J4757" s="1399">
        <v>14063.43</v>
      </c>
    </row>
    <row r="4758" spans="2:10" s="1297" customFormat="1">
      <c r="E4758" s="1297" t="s">
        <v>1038</v>
      </c>
      <c r="F4758" s="1399"/>
      <c r="G4758" s="1399"/>
      <c r="H4758" s="1399">
        <v>24000</v>
      </c>
      <c r="I4758" s="1399"/>
      <c r="J4758" s="1399">
        <v>24000</v>
      </c>
    </row>
    <row r="4759" spans="2:10" s="1297" customFormat="1">
      <c r="E4759" s="1297" t="s">
        <v>1003</v>
      </c>
      <c r="F4759" s="1399"/>
      <c r="G4759" s="1399"/>
      <c r="H4759" s="1399">
        <v>1401.26</v>
      </c>
      <c r="I4759" s="1399"/>
      <c r="J4759" s="1399">
        <v>1401.26</v>
      </c>
    </row>
    <row r="4760" spans="2:10" s="1297" customFormat="1">
      <c r="E4760" s="1297" t="s">
        <v>1039</v>
      </c>
      <c r="F4760" s="1399"/>
      <c r="G4760" s="1399"/>
      <c r="H4760" s="1399">
        <v>62178.69</v>
      </c>
      <c r="I4760" s="1399"/>
      <c r="J4760" s="1399">
        <v>62178.69</v>
      </c>
    </row>
    <row r="4761" spans="2:10" s="1297" customFormat="1">
      <c r="E4761" s="1297" t="s">
        <v>1040</v>
      </c>
      <c r="F4761" s="1399"/>
      <c r="G4761" s="1399"/>
      <c r="H4761" s="1399">
        <v>73415.58</v>
      </c>
      <c r="I4761" s="1399"/>
      <c r="J4761" s="1399">
        <v>73415.58</v>
      </c>
    </row>
    <row r="4762" spans="2:10" s="1297" customFormat="1">
      <c r="E4762" s="1297" t="s">
        <v>1041</v>
      </c>
      <c r="F4762" s="1399"/>
      <c r="G4762" s="1399"/>
      <c r="H4762" s="1399">
        <v>4965.26</v>
      </c>
      <c r="I4762" s="1399"/>
      <c r="J4762" s="1399">
        <v>4965.26</v>
      </c>
    </row>
    <row r="4763" spans="2:10" s="1297" customFormat="1">
      <c r="E4763" s="1297" t="s">
        <v>1042</v>
      </c>
      <c r="F4763" s="1399"/>
      <c r="G4763" s="1399"/>
      <c r="H4763" s="1399">
        <v>31330.82</v>
      </c>
      <c r="I4763" s="1399"/>
      <c r="J4763" s="1399">
        <v>31330.82</v>
      </c>
    </row>
    <row r="4764" spans="2:10" s="1297" customFormat="1">
      <c r="E4764" s="1297" t="s">
        <v>954</v>
      </c>
      <c r="F4764" s="1399"/>
      <c r="G4764" s="1399"/>
      <c r="H4764" s="1399">
        <v>489619.54</v>
      </c>
      <c r="I4764" s="1399"/>
      <c r="J4764" s="1399">
        <v>489619.54</v>
      </c>
    </row>
    <row r="4765" spans="2:10" s="1297" customFormat="1">
      <c r="E4765" s="1297" t="s">
        <v>986</v>
      </c>
      <c r="F4765" s="1399"/>
      <c r="G4765" s="1399"/>
      <c r="H4765" s="1399">
        <v>9143.48</v>
      </c>
      <c r="I4765" s="1399"/>
      <c r="J4765" s="1399">
        <v>9143.48</v>
      </c>
    </row>
    <row r="4766" spans="2:10" s="1297" customFormat="1">
      <c r="E4766" s="1297" t="s">
        <v>1044</v>
      </c>
      <c r="F4766" s="1399">
        <v>17235</v>
      </c>
      <c r="G4766" s="1399"/>
      <c r="H4766" s="1399"/>
      <c r="I4766" s="1399"/>
      <c r="J4766" s="1399">
        <v>17235</v>
      </c>
    </row>
    <row r="4767" spans="2:10" s="1297" customFormat="1">
      <c r="E4767" s="1297" t="s">
        <v>1045</v>
      </c>
      <c r="F4767" s="1399"/>
      <c r="G4767" s="1399"/>
      <c r="H4767" s="1399">
        <v>45573.9</v>
      </c>
      <c r="I4767" s="1399"/>
      <c r="J4767" s="1399">
        <v>45573.9</v>
      </c>
    </row>
    <row r="4768" spans="2:10" s="1297" customFormat="1">
      <c r="E4768" s="1297" t="s">
        <v>1046</v>
      </c>
      <c r="F4768" s="1399"/>
      <c r="G4768" s="1399"/>
      <c r="H4768" s="1399"/>
      <c r="I4768" s="1399">
        <v>8310985</v>
      </c>
      <c r="J4768" s="1399">
        <v>8310985</v>
      </c>
    </row>
    <row r="4769" spans="5:10" s="1297" customFormat="1">
      <c r="E4769" s="1297" t="s">
        <v>1128</v>
      </c>
      <c r="F4769" s="1399"/>
      <c r="G4769" s="1399"/>
      <c r="H4769" s="1399"/>
      <c r="I4769" s="1399">
        <v>654642</v>
      </c>
      <c r="J4769" s="1399">
        <v>654642</v>
      </c>
    </row>
    <row r="4770" spans="5:10" s="1297" customFormat="1">
      <c r="E4770" s="1297" t="s">
        <v>1129</v>
      </c>
      <c r="F4770" s="1399"/>
      <c r="G4770" s="1399"/>
      <c r="H4770" s="1399"/>
      <c r="I4770" s="1399">
        <v>-1167734</v>
      </c>
      <c r="J4770" s="1399">
        <v>-1167734</v>
      </c>
    </row>
    <row r="4771" spans="5:10" s="1297" customFormat="1">
      <c r="E4771" s="1297" t="s">
        <v>1047</v>
      </c>
      <c r="F4771" s="1399"/>
      <c r="G4771" s="1399"/>
      <c r="H4771" s="1399"/>
      <c r="I4771" s="1399">
        <v>351993</v>
      </c>
      <c r="J4771" s="1399">
        <v>351993</v>
      </c>
    </row>
    <row r="4772" spans="5:10" s="1297" customFormat="1">
      <c r="E4772" s="1297" t="s">
        <v>1048</v>
      </c>
      <c r="F4772" s="1399"/>
      <c r="G4772" s="1399"/>
      <c r="H4772" s="1399"/>
      <c r="I4772" s="1399">
        <v>-1140262</v>
      </c>
      <c r="J4772" s="1399">
        <v>-1140262</v>
      </c>
    </row>
    <row r="4773" spans="5:10" s="1297" customFormat="1">
      <c r="E4773" s="1297" t="s">
        <v>932</v>
      </c>
      <c r="F4773" s="1399"/>
      <c r="G4773" s="1399"/>
      <c r="H4773" s="1399"/>
      <c r="I4773" s="1399">
        <v>464091</v>
      </c>
      <c r="J4773" s="1399">
        <v>464091</v>
      </c>
    </row>
    <row r="4774" spans="5:10" s="1297" customFormat="1">
      <c r="E4774" s="1404" t="s">
        <v>955</v>
      </c>
      <c r="F4774" s="1405"/>
      <c r="G4774" s="1405"/>
      <c r="H4774" s="1405"/>
      <c r="I4774" s="1405">
        <v>313095.26</v>
      </c>
      <c r="J4774" s="1405">
        <v>313095.26</v>
      </c>
    </row>
    <row r="4775" spans="5:10" s="1297" customFormat="1">
      <c r="E4775" s="1297" t="s">
        <v>934</v>
      </c>
      <c r="F4775" s="1399"/>
      <c r="G4775" s="1399"/>
      <c r="H4775" s="1399"/>
      <c r="I4775" s="1399">
        <v>29396</v>
      </c>
      <c r="J4775" s="1399">
        <v>29396</v>
      </c>
    </row>
    <row r="4776" spans="5:10" s="1297" customFormat="1">
      <c r="E4776" s="1297" t="s">
        <v>935</v>
      </c>
      <c r="F4776" s="1399"/>
      <c r="G4776" s="1399"/>
      <c r="H4776" s="1399"/>
      <c r="I4776" s="1399">
        <v>289066.95</v>
      </c>
      <c r="J4776" s="1399">
        <v>289066.95</v>
      </c>
    </row>
    <row r="4777" spans="5:10" s="1297" customFormat="1">
      <c r="E4777" s="1297" t="s">
        <v>936</v>
      </c>
      <c r="F4777" s="1399"/>
      <c r="G4777" s="1399"/>
      <c r="H4777" s="1399"/>
      <c r="I4777" s="1399">
        <v>30813.25</v>
      </c>
      <c r="J4777" s="1399">
        <v>30813.25</v>
      </c>
    </row>
    <row r="4778" spans="5:10" s="1297" customFormat="1">
      <c r="E4778" s="1297" t="s">
        <v>937</v>
      </c>
      <c r="F4778" s="1399"/>
      <c r="G4778" s="1399"/>
      <c r="H4778" s="1399"/>
      <c r="I4778" s="1399">
        <v>13358.89</v>
      </c>
      <c r="J4778" s="1399">
        <v>13358.89</v>
      </c>
    </row>
    <row r="4779" spans="5:10" s="1297" customFormat="1">
      <c r="E4779" s="1297" t="s">
        <v>938</v>
      </c>
      <c r="F4779" s="1399"/>
      <c r="G4779" s="1399"/>
      <c r="H4779" s="1399"/>
      <c r="I4779" s="1399">
        <v>8984</v>
      </c>
      <c r="J4779" s="1399">
        <v>8984</v>
      </c>
    </row>
    <row r="4780" spans="5:10" s="1297" customFormat="1">
      <c r="E4780" s="1297" t="s">
        <v>940</v>
      </c>
      <c r="F4780" s="1399">
        <v>557928.34</v>
      </c>
      <c r="G4780" s="1399"/>
      <c r="H4780" s="1399"/>
      <c r="I4780" s="1399"/>
      <c r="J4780" s="1399">
        <v>557928.34</v>
      </c>
    </row>
    <row r="4781" spans="5:10" s="1297" customFormat="1">
      <c r="E4781" s="1297" t="s">
        <v>941</v>
      </c>
      <c r="F4781" s="1399">
        <v>248590.4</v>
      </c>
      <c r="G4781" s="1399"/>
      <c r="H4781" s="1399"/>
      <c r="I4781" s="1399"/>
      <c r="J4781" s="1399">
        <v>248590.4</v>
      </c>
    </row>
    <row r="4782" spans="5:10" s="1297" customFormat="1">
      <c r="E4782" s="1297" t="s">
        <v>943</v>
      </c>
      <c r="F4782" s="1399">
        <v>2678.8</v>
      </c>
      <c r="G4782" s="1399"/>
      <c r="H4782" s="1399"/>
      <c r="I4782" s="1399"/>
      <c r="J4782" s="1399">
        <v>2678.8</v>
      </c>
    </row>
    <row r="4783" spans="5:10" s="1297" customFormat="1">
      <c r="E4783" s="1297" t="s">
        <v>944</v>
      </c>
      <c r="F4783" s="1399">
        <v>1635041.7200000002</v>
      </c>
      <c r="G4783" s="1399"/>
      <c r="H4783" s="1399"/>
      <c r="I4783" s="1399"/>
      <c r="J4783" s="1399">
        <v>1635041.7200000002</v>
      </c>
    </row>
    <row r="4784" spans="5:10" s="1297" customFormat="1">
      <c r="E4784" s="1297" t="s">
        <v>945</v>
      </c>
      <c r="F4784" s="1399">
        <v>770644.53</v>
      </c>
      <c r="G4784" s="1399"/>
      <c r="H4784" s="1399"/>
      <c r="I4784" s="1399"/>
      <c r="J4784" s="1399">
        <v>770644.53</v>
      </c>
    </row>
    <row r="4785" spans="2:12">
      <c r="B4785" s="1297"/>
      <c r="C4785" s="1297"/>
      <c r="D4785" s="1297"/>
      <c r="E4785" s="1297" t="s">
        <v>947</v>
      </c>
      <c r="F4785" s="1399">
        <v>39946.49</v>
      </c>
      <c r="J4785" s="1399">
        <v>39946.49</v>
      </c>
    </row>
    <row r="4786" spans="2:12">
      <c r="B4786" s="1297"/>
      <c r="C4786" s="1297"/>
      <c r="D4786" s="1297"/>
      <c r="E4786" s="1404" t="s">
        <v>948</v>
      </c>
      <c r="F4786" s="1405"/>
      <c r="G4786" s="1405"/>
      <c r="H4786" s="1405">
        <v>15973.89</v>
      </c>
      <c r="I4786" s="1405"/>
      <c r="J4786" s="1405">
        <v>15973.89</v>
      </c>
    </row>
    <row r="4787" spans="2:12">
      <c r="B4787" s="1297"/>
      <c r="C4787" s="1297"/>
      <c r="D4787" s="1297"/>
      <c r="E4787" s="1297" t="s">
        <v>1051</v>
      </c>
      <c r="H4787" s="1399">
        <v>95980.430000000008</v>
      </c>
      <c r="J4787" s="1399">
        <v>95980.430000000008</v>
      </c>
    </row>
    <row r="4788" spans="2:12">
      <c r="B4788" s="1297"/>
      <c r="C4788" s="1297"/>
      <c r="D4788" s="1400" t="s">
        <v>1328</v>
      </c>
      <c r="E4788" s="1400"/>
      <c r="F4788" s="1401">
        <f>SUM(F4754:F4787)</f>
        <v>3272065.2800000003</v>
      </c>
      <c r="G4788" s="1401">
        <f>SUM(G4754:G4787)</f>
        <v>1426532.9300000002</v>
      </c>
      <c r="H4788" s="1401">
        <f>SUM(H4754:H4787)-H4786</f>
        <v>851672.39000000013</v>
      </c>
      <c r="I4788" s="1401">
        <f>SUM(I4754:I4787)-I4774</f>
        <v>7845334.0899999999</v>
      </c>
      <c r="J4788" s="1401">
        <f>SUM(J4754:J4787)</f>
        <v>13724673.840000002</v>
      </c>
      <c r="K4788" s="1401">
        <f>SUM(F4788:I4788)</f>
        <v>13395604.690000001</v>
      </c>
      <c r="L4788" s="1408">
        <f>K4788/C4753</f>
        <v>8675.9097733160634</v>
      </c>
    </row>
    <row r="4789" spans="2:12">
      <c r="B4789" s="1297" t="s">
        <v>1329</v>
      </c>
      <c r="C4789" s="1297">
        <v>10102</v>
      </c>
      <c r="D4789" s="1297" t="s">
        <v>1330</v>
      </c>
      <c r="E4789" s="1297" t="s">
        <v>906</v>
      </c>
      <c r="G4789" s="1399">
        <v>25737356.59</v>
      </c>
      <c r="J4789" s="1399">
        <v>25737356.59</v>
      </c>
    </row>
    <row r="4790" spans="2:12">
      <c r="B4790" s="1297"/>
      <c r="C4790" s="1297"/>
      <c r="D4790" s="1297"/>
      <c r="E4790" s="1297" t="s">
        <v>907</v>
      </c>
      <c r="G4790" s="1399">
        <v>8243365.5699999994</v>
      </c>
      <c r="J4790" s="1399">
        <v>8243365.5699999994</v>
      </c>
    </row>
    <row r="4791" spans="2:12">
      <c r="B4791" s="1297"/>
      <c r="C4791" s="1297"/>
      <c r="D4791" s="1297"/>
      <c r="E4791" s="1297" t="s">
        <v>908</v>
      </c>
      <c r="G4791" s="1399">
        <v>251239.07</v>
      </c>
      <c r="J4791" s="1399">
        <v>251239.07</v>
      </c>
    </row>
    <row r="4792" spans="2:12">
      <c r="B4792" s="1297"/>
      <c r="C4792" s="1297"/>
      <c r="D4792" s="1297"/>
      <c r="E4792" s="1297" t="s">
        <v>1036</v>
      </c>
      <c r="H4792" s="1399">
        <v>219455.46</v>
      </c>
      <c r="J4792" s="1399">
        <v>219455.46</v>
      </c>
    </row>
    <row r="4793" spans="2:12">
      <c r="B4793" s="1297"/>
      <c r="C4793" s="1297"/>
      <c r="D4793" s="1297"/>
      <c r="E4793" s="1297" t="s">
        <v>1037</v>
      </c>
      <c r="H4793" s="1399">
        <v>377149</v>
      </c>
      <c r="J4793" s="1399">
        <v>377149</v>
      </c>
    </row>
    <row r="4794" spans="2:12">
      <c r="B4794" s="1297"/>
      <c r="C4794" s="1297"/>
      <c r="D4794" s="1297"/>
      <c r="E4794" s="1297" t="s">
        <v>1105</v>
      </c>
      <c r="H4794" s="1399">
        <v>32000</v>
      </c>
      <c r="J4794" s="1399">
        <v>32000</v>
      </c>
    </row>
    <row r="4795" spans="2:12">
      <c r="B4795" s="1297"/>
      <c r="C4795" s="1297"/>
      <c r="D4795" s="1297"/>
      <c r="E4795" s="1297" t="s">
        <v>1039</v>
      </c>
      <c r="H4795" s="1399">
        <v>72348.63</v>
      </c>
      <c r="J4795" s="1399">
        <v>72348.63</v>
      </c>
    </row>
    <row r="4796" spans="2:12">
      <c r="B4796" s="1297"/>
      <c r="C4796" s="1297"/>
      <c r="D4796" s="1297"/>
      <c r="E4796" s="1297" t="s">
        <v>1040</v>
      </c>
      <c r="H4796" s="1399">
        <v>557258.55000000005</v>
      </c>
      <c r="J4796" s="1399">
        <v>557258.55000000005</v>
      </c>
    </row>
    <row r="4797" spans="2:12">
      <c r="B4797" s="1297"/>
      <c r="C4797" s="1297"/>
      <c r="D4797" s="1297"/>
      <c r="E4797" s="1297" t="s">
        <v>1041</v>
      </c>
      <c r="H4797" s="1399">
        <v>15674.899999999998</v>
      </c>
      <c r="J4797" s="1399">
        <v>15674.899999999998</v>
      </c>
    </row>
    <row r="4798" spans="2:12">
      <c r="B4798" s="1297"/>
      <c r="C4798" s="1297"/>
      <c r="D4798" s="1297"/>
      <c r="E4798" s="1297" t="s">
        <v>1042</v>
      </c>
      <c r="H4798" s="1399">
        <v>119002.78</v>
      </c>
      <c r="J4798" s="1399">
        <v>119002.78</v>
      </c>
    </row>
    <row r="4799" spans="2:12">
      <c r="B4799" s="1297"/>
      <c r="C4799" s="1297"/>
      <c r="D4799" s="1297"/>
      <c r="E4799" s="1297" t="s">
        <v>953</v>
      </c>
      <c r="H4799" s="1399">
        <v>68845.81</v>
      </c>
      <c r="J4799" s="1399">
        <v>68845.81</v>
      </c>
    </row>
    <row r="4800" spans="2:12">
      <c r="B4800" s="1297"/>
      <c r="C4800" s="1297"/>
      <c r="D4800" s="1297"/>
      <c r="E4800" s="1297" t="s">
        <v>954</v>
      </c>
      <c r="H4800" s="1399">
        <v>1701566.6400000001</v>
      </c>
      <c r="J4800" s="1399">
        <v>1701566.6400000001</v>
      </c>
    </row>
    <row r="4801" spans="5:10" s="1297" customFormat="1">
      <c r="E4801" s="1297" t="s">
        <v>986</v>
      </c>
      <c r="F4801" s="1399"/>
      <c r="G4801" s="1399"/>
      <c r="H4801" s="1399">
        <v>428375.4200000001</v>
      </c>
      <c r="I4801" s="1399"/>
      <c r="J4801" s="1399">
        <v>428375.4200000001</v>
      </c>
    </row>
    <row r="4802" spans="5:10" s="1297" customFormat="1">
      <c r="E4802" s="1297" t="s">
        <v>1005</v>
      </c>
      <c r="F4802" s="1399"/>
      <c r="G4802" s="1399"/>
      <c r="H4802" s="1399">
        <v>62795</v>
      </c>
      <c r="I4802" s="1399"/>
      <c r="J4802" s="1399">
        <v>62795</v>
      </c>
    </row>
    <row r="4803" spans="5:10" s="1297" customFormat="1">
      <c r="E4803" s="1297" t="s">
        <v>1044</v>
      </c>
      <c r="F4803" s="1399">
        <v>452740</v>
      </c>
      <c r="G4803" s="1399"/>
      <c r="H4803" s="1399"/>
      <c r="I4803" s="1399"/>
      <c r="J4803" s="1399">
        <v>452740</v>
      </c>
    </row>
    <row r="4804" spans="5:10" s="1297" customFormat="1">
      <c r="E4804" s="1297" t="s">
        <v>1045</v>
      </c>
      <c r="F4804" s="1399"/>
      <c r="G4804" s="1399"/>
      <c r="H4804" s="1399">
        <v>844606.00999999989</v>
      </c>
      <c r="I4804" s="1399"/>
      <c r="J4804" s="1399">
        <v>844606.00999999989</v>
      </c>
    </row>
    <row r="4805" spans="5:10" s="1297" customFormat="1">
      <c r="E4805" s="1297" t="s">
        <v>1046</v>
      </c>
      <c r="F4805" s="1399"/>
      <c r="G4805" s="1399"/>
      <c r="H4805" s="1399"/>
      <c r="I4805" s="1399">
        <v>50950020</v>
      </c>
      <c r="J4805" s="1399">
        <v>50950020</v>
      </c>
    </row>
    <row r="4806" spans="5:10" s="1297" customFormat="1">
      <c r="E4806" s="1297" t="s">
        <v>1128</v>
      </c>
      <c r="F4806" s="1399"/>
      <c r="G4806" s="1399"/>
      <c r="H4806" s="1399"/>
      <c r="I4806" s="1399">
        <v>4305292</v>
      </c>
      <c r="J4806" s="1399">
        <v>4305292</v>
      </c>
    </row>
    <row r="4807" spans="5:10" s="1297" customFormat="1">
      <c r="E4807" s="1297" t="s">
        <v>1129</v>
      </c>
      <c r="F4807" s="1399"/>
      <c r="G4807" s="1399"/>
      <c r="H4807" s="1399"/>
      <c r="I4807" s="1399">
        <v>-7063861</v>
      </c>
      <c r="J4807" s="1399">
        <v>-7063861</v>
      </c>
    </row>
    <row r="4808" spans="5:10" s="1297" customFormat="1">
      <c r="E4808" s="1297" t="s">
        <v>1047</v>
      </c>
      <c r="F4808" s="1399"/>
      <c r="G4808" s="1399"/>
      <c r="H4808" s="1399"/>
      <c r="I4808" s="1399">
        <v>2102857</v>
      </c>
      <c r="J4808" s="1399">
        <v>2102857</v>
      </c>
    </row>
    <row r="4809" spans="5:10" s="1297" customFormat="1">
      <c r="E4809" s="1297" t="s">
        <v>1048</v>
      </c>
      <c r="F4809" s="1399"/>
      <c r="G4809" s="1399"/>
      <c r="H4809" s="1399"/>
      <c r="I4809" s="1399">
        <v>-7492688</v>
      </c>
      <c r="J4809" s="1399">
        <v>-7492688</v>
      </c>
    </row>
    <row r="4810" spans="5:10" s="1297" customFormat="1">
      <c r="E4810" s="1297" t="s">
        <v>932</v>
      </c>
      <c r="F4810" s="1399"/>
      <c r="G4810" s="1399"/>
      <c r="H4810" s="1399"/>
      <c r="I4810" s="1399">
        <v>4427870</v>
      </c>
      <c r="J4810" s="1399">
        <v>4427870</v>
      </c>
    </row>
    <row r="4811" spans="5:10" s="1297" customFormat="1">
      <c r="E4811" s="1404" t="s">
        <v>955</v>
      </c>
      <c r="F4811" s="1405"/>
      <c r="G4811" s="1405"/>
      <c r="H4811" s="1405"/>
      <c r="I4811" s="1405">
        <v>1901270.89</v>
      </c>
      <c r="J4811" s="1405">
        <v>1901270.89</v>
      </c>
    </row>
    <row r="4812" spans="5:10" s="1297" customFormat="1">
      <c r="E4812" s="1297" t="s">
        <v>934</v>
      </c>
      <c r="F4812" s="1399"/>
      <c r="G4812" s="1399"/>
      <c r="H4812" s="1399"/>
      <c r="I4812" s="1399">
        <v>167362.00000000006</v>
      </c>
      <c r="J4812" s="1399">
        <v>167362.00000000006</v>
      </c>
    </row>
    <row r="4813" spans="5:10" s="1297" customFormat="1">
      <c r="E4813" s="1297" t="s">
        <v>935</v>
      </c>
      <c r="F4813" s="1399"/>
      <c r="G4813" s="1399"/>
      <c r="H4813" s="1399"/>
      <c r="I4813" s="1399">
        <v>3655957.82</v>
      </c>
      <c r="J4813" s="1399">
        <v>3655957.82</v>
      </c>
    </row>
    <row r="4814" spans="5:10" s="1297" customFormat="1">
      <c r="E4814" s="1297" t="s">
        <v>936</v>
      </c>
      <c r="F4814" s="1399"/>
      <c r="G4814" s="1399"/>
      <c r="H4814" s="1399"/>
      <c r="I4814" s="1399">
        <v>196084.3</v>
      </c>
      <c r="J4814" s="1399">
        <v>196084.3</v>
      </c>
    </row>
    <row r="4815" spans="5:10" s="1297" customFormat="1">
      <c r="E4815" s="1297" t="s">
        <v>937</v>
      </c>
      <c r="F4815" s="1399"/>
      <c r="G4815" s="1399"/>
      <c r="H4815" s="1399"/>
      <c r="I4815" s="1399">
        <v>22792.98</v>
      </c>
      <c r="J4815" s="1399">
        <v>22792.98</v>
      </c>
    </row>
    <row r="4816" spans="5:10" s="1297" customFormat="1">
      <c r="E4816" s="1297" t="s">
        <v>938</v>
      </c>
      <c r="F4816" s="1399"/>
      <c r="G4816" s="1399"/>
      <c r="H4816" s="1399"/>
      <c r="I4816" s="1399">
        <v>69249</v>
      </c>
      <c r="J4816" s="1399">
        <v>69249</v>
      </c>
    </row>
    <row r="4817" spans="2:12">
      <c r="B4817" s="1297"/>
      <c r="C4817" s="1297"/>
      <c r="D4817" s="1297"/>
      <c r="E4817" s="1297" t="s">
        <v>1131</v>
      </c>
      <c r="F4817" s="1399">
        <v>250599.04000000001</v>
      </c>
      <c r="J4817" s="1399">
        <v>250599.04000000001</v>
      </c>
    </row>
    <row r="4818" spans="2:12">
      <c r="B4818" s="1297"/>
      <c r="C4818" s="1297"/>
      <c r="D4818" s="1297"/>
      <c r="E4818" s="1297" t="s">
        <v>940</v>
      </c>
      <c r="F4818" s="1399">
        <v>3179680.42</v>
      </c>
      <c r="J4818" s="1399">
        <v>3179680.42</v>
      </c>
    </row>
    <row r="4819" spans="2:12">
      <c r="B4819" s="1297"/>
      <c r="C4819" s="1297"/>
      <c r="D4819" s="1297"/>
      <c r="E4819" s="1297" t="s">
        <v>941</v>
      </c>
      <c r="F4819" s="1399">
        <v>1168191.4800000002</v>
      </c>
      <c r="J4819" s="1399">
        <v>1168191.4800000002</v>
      </c>
    </row>
    <row r="4820" spans="2:12">
      <c r="B4820" s="1297"/>
      <c r="C4820" s="1297"/>
      <c r="D4820" s="1297"/>
      <c r="E4820" s="1297" t="s">
        <v>943</v>
      </c>
      <c r="F4820" s="1399">
        <v>35341.460000000006</v>
      </c>
      <c r="J4820" s="1399">
        <v>35341.460000000006</v>
      </c>
    </row>
    <row r="4821" spans="2:12">
      <c r="B4821" s="1297"/>
      <c r="C4821" s="1297"/>
      <c r="D4821" s="1297"/>
      <c r="E4821" s="1297" t="s">
        <v>944</v>
      </c>
      <c r="F4821" s="1399">
        <v>7625847.8399999999</v>
      </c>
      <c r="J4821" s="1399">
        <v>7625847.8399999999</v>
      </c>
    </row>
    <row r="4822" spans="2:12">
      <c r="B4822" s="1297"/>
      <c r="C4822" s="1297"/>
      <c r="D4822" s="1297"/>
      <c r="E4822" s="1297" t="s">
        <v>945</v>
      </c>
      <c r="F4822" s="1399">
        <v>4226466.91</v>
      </c>
      <c r="J4822" s="1399">
        <v>4226466.91</v>
      </c>
    </row>
    <row r="4823" spans="2:12">
      <c r="B4823" s="1297"/>
      <c r="C4823" s="1297"/>
      <c r="D4823" s="1297"/>
      <c r="E4823" s="1297" t="s">
        <v>978</v>
      </c>
      <c r="F4823" s="1399">
        <v>949.58</v>
      </c>
      <c r="J4823" s="1399">
        <v>949.58</v>
      </c>
    </row>
    <row r="4824" spans="2:12">
      <c r="B4824" s="1297"/>
      <c r="C4824" s="1297"/>
      <c r="D4824" s="1297"/>
      <c r="E4824" s="1297" t="s">
        <v>1006</v>
      </c>
      <c r="F4824" s="1399">
        <v>10309.64</v>
      </c>
      <c r="J4824" s="1399">
        <v>10309.64</v>
      </c>
    </row>
    <row r="4825" spans="2:12">
      <c r="B4825" s="1297"/>
      <c r="C4825" s="1297"/>
      <c r="D4825" s="1297"/>
      <c r="E4825" s="1297" t="s">
        <v>947</v>
      </c>
      <c r="F4825" s="1399">
        <v>191021.86000000002</v>
      </c>
      <c r="J4825" s="1399">
        <v>191021.86000000002</v>
      </c>
    </row>
    <row r="4826" spans="2:12">
      <c r="B4826" s="1297"/>
      <c r="C4826" s="1297"/>
      <c r="D4826" s="1297"/>
      <c r="E4826" s="1297" t="s">
        <v>1115</v>
      </c>
      <c r="F4826" s="1399">
        <v>13813.09</v>
      </c>
      <c r="J4826" s="1399">
        <v>13813.09</v>
      </c>
    </row>
    <row r="4827" spans="2:12">
      <c r="B4827" s="1297"/>
      <c r="C4827" s="1297"/>
      <c r="D4827" s="1297"/>
      <c r="E4827" s="1404" t="s">
        <v>948</v>
      </c>
      <c r="F4827" s="1405"/>
      <c r="G4827" s="1405"/>
      <c r="H4827" s="1405">
        <v>5691869.8999999994</v>
      </c>
      <c r="I4827" s="1405"/>
      <c r="J4827" s="1405">
        <v>5691869.8999999994</v>
      </c>
    </row>
    <row r="4828" spans="2:12">
      <c r="B4828" s="1297"/>
      <c r="C4828" s="1297"/>
      <c r="D4828" s="1297"/>
      <c r="E4828" s="1297" t="s">
        <v>956</v>
      </c>
      <c r="H4828" s="1399">
        <v>70828.33</v>
      </c>
      <c r="J4828" s="1399">
        <v>70828.33</v>
      </c>
    </row>
    <row r="4829" spans="2:12">
      <c r="B4829" s="1297"/>
      <c r="C4829" s="1297"/>
      <c r="D4829" s="1400" t="s">
        <v>1331</v>
      </c>
      <c r="E4829" s="1400"/>
      <c r="F4829" s="1401">
        <f>SUM(F4789:F4828)</f>
        <v>17154961.319999997</v>
      </c>
      <c r="G4829" s="1401">
        <f>SUM(G4789:G4828)</f>
        <v>34231961.229999997</v>
      </c>
      <c r="H4829" s="1401">
        <f>SUM(H4789:H4828)-H4827</f>
        <v>4569906.53</v>
      </c>
      <c r="I4829" s="1401">
        <f>SUM(I4789:I4828)-I4811</f>
        <v>51340936.099999994</v>
      </c>
      <c r="J4829" s="1401">
        <f>SUM(J4789:J4828)</f>
        <v>114890905.97000001</v>
      </c>
      <c r="K4829" s="1401">
        <f>SUM(F4829:I4829)</f>
        <v>107297765.17999999</v>
      </c>
      <c r="L4829" s="1408">
        <f>K4829/C4789</f>
        <v>10621.437851910512</v>
      </c>
    </row>
    <row r="4830" spans="2:12">
      <c r="B4830" s="1297" t="s">
        <v>1332</v>
      </c>
      <c r="C4830" s="1297">
        <v>3910</v>
      </c>
      <c r="D4830" s="1297" t="s">
        <v>1333</v>
      </c>
      <c r="E4830" s="1297" t="s">
        <v>906</v>
      </c>
      <c r="G4830" s="1399">
        <v>12405408.859999999</v>
      </c>
      <c r="J4830" s="1399">
        <v>12405408.859999999</v>
      </c>
    </row>
    <row r="4831" spans="2:12">
      <c r="B4831" s="1297"/>
      <c r="C4831" s="1297"/>
      <c r="D4831" s="1297"/>
      <c r="E4831" s="1297" t="s">
        <v>907</v>
      </c>
      <c r="G4831" s="1399">
        <v>3033153.78</v>
      </c>
      <c r="J4831" s="1399">
        <v>3033153.78</v>
      </c>
    </row>
    <row r="4832" spans="2:12">
      <c r="B4832" s="1297"/>
      <c r="C4832" s="1297"/>
      <c r="D4832" s="1297"/>
      <c r="E4832" s="1297" t="s">
        <v>908</v>
      </c>
      <c r="G4832" s="1399">
        <v>101874.16</v>
      </c>
      <c r="J4832" s="1399">
        <v>101874.16</v>
      </c>
    </row>
    <row r="4833" spans="5:10" s="1297" customFormat="1">
      <c r="E4833" s="1297" t="s">
        <v>909</v>
      </c>
      <c r="F4833" s="1399"/>
      <c r="G4833" s="1399"/>
      <c r="H4833" s="1399">
        <v>126093.63</v>
      </c>
      <c r="I4833" s="1399"/>
      <c r="J4833" s="1399">
        <v>126093.63</v>
      </c>
    </row>
    <row r="4834" spans="5:10" s="1297" customFormat="1">
      <c r="E4834" s="1297" t="s">
        <v>910</v>
      </c>
      <c r="F4834" s="1399"/>
      <c r="G4834" s="1399"/>
      <c r="H4834" s="1399">
        <v>162718.07</v>
      </c>
      <c r="I4834" s="1399"/>
      <c r="J4834" s="1399">
        <v>162718.07</v>
      </c>
    </row>
    <row r="4835" spans="5:10" s="1297" customFormat="1">
      <c r="E4835" s="1297" t="s">
        <v>1034</v>
      </c>
      <c r="F4835" s="1399"/>
      <c r="G4835" s="1399"/>
      <c r="H4835" s="1399">
        <v>80227.12</v>
      </c>
      <c r="I4835" s="1399"/>
      <c r="J4835" s="1399">
        <v>80227.12</v>
      </c>
    </row>
    <row r="4836" spans="5:10" s="1297" customFormat="1">
      <c r="E4836" s="1297" t="s">
        <v>1035</v>
      </c>
      <c r="F4836" s="1399"/>
      <c r="G4836" s="1399"/>
      <c r="H4836" s="1399">
        <v>456440.69999999995</v>
      </c>
      <c r="I4836" s="1399"/>
      <c r="J4836" s="1399">
        <v>456440.69999999995</v>
      </c>
    </row>
    <row r="4837" spans="5:10" s="1297" customFormat="1">
      <c r="E4837" s="1297" t="s">
        <v>1036</v>
      </c>
      <c r="F4837" s="1399"/>
      <c r="G4837" s="1399"/>
      <c r="H4837" s="1399">
        <v>128333.39</v>
      </c>
      <c r="I4837" s="1399"/>
      <c r="J4837" s="1399">
        <v>128333.39</v>
      </c>
    </row>
    <row r="4838" spans="5:10" s="1297" customFormat="1">
      <c r="E4838" s="1297" t="s">
        <v>1037</v>
      </c>
      <c r="F4838" s="1399"/>
      <c r="G4838" s="1399"/>
      <c r="H4838" s="1399">
        <v>280.39999999999998</v>
      </c>
      <c r="I4838" s="1399"/>
      <c r="J4838" s="1399">
        <v>280.39999999999998</v>
      </c>
    </row>
    <row r="4839" spans="5:10" s="1297" customFormat="1">
      <c r="E4839" s="1297" t="s">
        <v>1039</v>
      </c>
      <c r="F4839" s="1399"/>
      <c r="G4839" s="1399"/>
      <c r="H4839" s="1399">
        <v>63266.590000000011</v>
      </c>
      <c r="I4839" s="1399"/>
      <c r="J4839" s="1399">
        <v>63266.590000000011</v>
      </c>
    </row>
    <row r="4840" spans="5:10" s="1297" customFormat="1">
      <c r="E4840" s="1297" t="s">
        <v>1040</v>
      </c>
      <c r="F4840" s="1399"/>
      <c r="G4840" s="1399"/>
      <c r="H4840" s="1399">
        <v>324275.49</v>
      </c>
      <c r="I4840" s="1399"/>
      <c r="J4840" s="1399">
        <v>324275.49</v>
      </c>
    </row>
    <row r="4841" spans="5:10" s="1297" customFormat="1">
      <c r="E4841" s="1297" t="s">
        <v>1041</v>
      </c>
      <c r="F4841" s="1399"/>
      <c r="G4841" s="1399"/>
      <c r="H4841" s="1399">
        <v>19237.310000000001</v>
      </c>
      <c r="I4841" s="1399"/>
      <c r="J4841" s="1399">
        <v>19237.310000000001</v>
      </c>
    </row>
    <row r="4842" spans="5:10" s="1297" customFormat="1">
      <c r="E4842" s="1297" t="s">
        <v>1042</v>
      </c>
      <c r="F4842" s="1399"/>
      <c r="G4842" s="1399"/>
      <c r="H4842" s="1399">
        <v>79265.22</v>
      </c>
      <c r="I4842" s="1399"/>
      <c r="J4842" s="1399">
        <v>79265.22</v>
      </c>
    </row>
    <row r="4843" spans="5:10" s="1297" customFormat="1">
      <c r="E4843" s="1297" t="s">
        <v>985</v>
      </c>
      <c r="F4843" s="1399"/>
      <c r="G4843" s="1399"/>
      <c r="H4843" s="1399">
        <v>74146.39</v>
      </c>
      <c r="I4843" s="1399"/>
      <c r="J4843" s="1399">
        <v>74146.39</v>
      </c>
    </row>
    <row r="4844" spans="5:10" s="1297" customFormat="1">
      <c r="E4844" s="1297" t="s">
        <v>986</v>
      </c>
      <c r="F4844" s="1399"/>
      <c r="G4844" s="1399"/>
      <c r="H4844" s="1399">
        <v>6500</v>
      </c>
      <c r="I4844" s="1399"/>
      <c r="J4844" s="1399">
        <v>6500</v>
      </c>
    </row>
    <row r="4845" spans="5:10" s="1297" customFormat="1">
      <c r="E4845" s="1297" t="s">
        <v>1045</v>
      </c>
      <c r="F4845" s="1399"/>
      <c r="G4845" s="1399"/>
      <c r="H4845" s="1399">
        <v>934590.47000000009</v>
      </c>
      <c r="I4845" s="1399"/>
      <c r="J4845" s="1399">
        <v>934590.47000000009</v>
      </c>
    </row>
    <row r="4846" spans="5:10" s="1297" customFormat="1">
      <c r="E4846" s="1297" t="s">
        <v>1046</v>
      </c>
      <c r="F4846" s="1399"/>
      <c r="G4846" s="1399"/>
      <c r="H4846" s="1399"/>
      <c r="I4846" s="1399">
        <v>23458285</v>
      </c>
      <c r="J4846" s="1399">
        <v>23458285</v>
      </c>
    </row>
    <row r="4847" spans="5:10" s="1297" customFormat="1">
      <c r="E4847" s="1297" t="s">
        <v>1128</v>
      </c>
      <c r="F4847" s="1399"/>
      <c r="G4847" s="1399"/>
      <c r="H4847" s="1399"/>
      <c r="I4847" s="1399">
        <v>1759983</v>
      </c>
      <c r="J4847" s="1399">
        <v>1759983</v>
      </c>
    </row>
    <row r="4848" spans="5:10" s="1297" customFormat="1">
      <c r="E4848" s="1297" t="s">
        <v>1129</v>
      </c>
      <c r="F4848" s="1399"/>
      <c r="G4848" s="1399"/>
      <c r="H4848" s="1399"/>
      <c r="I4848" s="1399">
        <v>-3259905</v>
      </c>
      <c r="J4848" s="1399">
        <v>-3259905</v>
      </c>
    </row>
    <row r="4849" spans="5:10" s="1297" customFormat="1">
      <c r="E4849" s="1297" t="s">
        <v>1047</v>
      </c>
      <c r="F4849" s="1399"/>
      <c r="G4849" s="1399"/>
      <c r="H4849" s="1399"/>
      <c r="I4849" s="1399">
        <v>695859</v>
      </c>
      <c r="J4849" s="1399">
        <v>695859</v>
      </c>
    </row>
    <row r="4850" spans="5:10" s="1297" customFormat="1">
      <c r="E4850" s="1297" t="s">
        <v>1048</v>
      </c>
      <c r="F4850" s="1399"/>
      <c r="G4850" s="1399"/>
      <c r="H4850" s="1399"/>
      <c r="I4850" s="1399">
        <v>-3650444</v>
      </c>
      <c r="J4850" s="1399">
        <v>-3650444</v>
      </c>
    </row>
    <row r="4851" spans="5:10" s="1297" customFormat="1">
      <c r="E4851" s="1297" t="s">
        <v>932</v>
      </c>
      <c r="F4851" s="1399"/>
      <c r="G4851" s="1399"/>
      <c r="H4851" s="1399"/>
      <c r="I4851" s="1399">
        <v>1267022</v>
      </c>
      <c r="J4851" s="1399">
        <v>1267022</v>
      </c>
    </row>
    <row r="4852" spans="5:10" s="1297" customFormat="1">
      <c r="E4852" s="1404" t="s">
        <v>955</v>
      </c>
      <c r="F4852" s="1405"/>
      <c r="G4852" s="1405"/>
      <c r="H4852" s="1405"/>
      <c r="I4852" s="1405">
        <v>467378.39</v>
      </c>
      <c r="J4852" s="1399">
        <v>467378.39</v>
      </c>
    </row>
    <row r="4853" spans="5:10" s="1297" customFormat="1">
      <c r="E4853" s="1297" t="s">
        <v>934</v>
      </c>
      <c r="F4853" s="1399"/>
      <c r="G4853" s="1399"/>
      <c r="H4853" s="1399"/>
      <c r="I4853" s="1399">
        <v>70062</v>
      </c>
      <c r="J4853" s="1399">
        <v>70062</v>
      </c>
    </row>
    <row r="4854" spans="5:10" s="1297" customFormat="1">
      <c r="E4854" s="1297" t="s">
        <v>1130</v>
      </c>
      <c r="F4854" s="1399"/>
      <c r="G4854" s="1399"/>
      <c r="H4854" s="1399"/>
      <c r="I4854" s="1399">
        <v>6802260.9400000004</v>
      </c>
      <c r="J4854" s="1399">
        <v>6802260.9400000004</v>
      </c>
    </row>
    <row r="4855" spans="5:10" s="1297" customFormat="1">
      <c r="E4855" s="1297" t="s">
        <v>935</v>
      </c>
      <c r="F4855" s="1399"/>
      <c r="G4855" s="1399"/>
      <c r="H4855" s="1399"/>
      <c r="I4855" s="1399">
        <v>474019.17</v>
      </c>
      <c r="J4855" s="1399">
        <v>474019.17</v>
      </c>
    </row>
    <row r="4856" spans="5:10" s="1297" customFormat="1">
      <c r="E4856" s="1297" t="s">
        <v>936</v>
      </c>
      <c r="F4856" s="1399"/>
      <c r="G4856" s="1399"/>
      <c r="H4856" s="1399"/>
      <c r="I4856" s="1399">
        <v>91039.14</v>
      </c>
      <c r="J4856" s="1399">
        <v>91039.14</v>
      </c>
    </row>
    <row r="4857" spans="5:10" s="1297" customFormat="1">
      <c r="E4857" s="1297" t="s">
        <v>937</v>
      </c>
      <c r="F4857" s="1399"/>
      <c r="G4857" s="1399"/>
      <c r="H4857" s="1399"/>
      <c r="I4857" s="1399">
        <v>4396.8999999999996</v>
      </c>
      <c r="J4857" s="1399">
        <v>4396.8999999999996</v>
      </c>
    </row>
    <row r="4858" spans="5:10" s="1297" customFormat="1">
      <c r="E4858" s="1297" t="s">
        <v>938</v>
      </c>
      <c r="F4858" s="1399"/>
      <c r="G4858" s="1399"/>
      <c r="H4858" s="1399"/>
      <c r="I4858" s="1399">
        <v>26951</v>
      </c>
      <c r="J4858" s="1399">
        <v>26951</v>
      </c>
    </row>
    <row r="4859" spans="5:10" s="1297" customFormat="1">
      <c r="E4859" s="1297" t="s">
        <v>939</v>
      </c>
      <c r="F4859" s="1399"/>
      <c r="G4859" s="1399"/>
      <c r="H4859" s="1399"/>
      <c r="I4859" s="1399">
        <v>84561.1</v>
      </c>
      <c r="J4859" s="1399">
        <v>84561.1</v>
      </c>
    </row>
    <row r="4860" spans="5:10" s="1297" customFormat="1">
      <c r="E4860" s="1297" t="s">
        <v>940</v>
      </c>
      <c r="F4860" s="1399">
        <v>950252.74</v>
      </c>
      <c r="G4860" s="1399"/>
      <c r="H4860" s="1399"/>
      <c r="I4860" s="1399"/>
      <c r="J4860" s="1399">
        <v>950252.74</v>
      </c>
    </row>
    <row r="4861" spans="5:10" s="1297" customFormat="1">
      <c r="E4861" s="1297" t="s">
        <v>941</v>
      </c>
      <c r="F4861" s="1399">
        <v>286747.21999999997</v>
      </c>
      <c r="G4861" s="1399"/>
      <c r="H4861" s="1399"/>
      <c r="I4861" s="1399"/>
      <c r="J4861" s="1399">
        <v>286747.21999999997</v>
      </c>
    </row>
    <row r="4862" spans="5:10" s="1297" customFormat="1">
      <c r="E4862" s="1297" t="s">
        <v>943</v>
      </c>
      <c r="F4862" s="1399">
        <v>13616.43</v>
      </c>
      <c r="G4862" s="1399"/>
      <c r="H4862" s="1399"/>
      <c r="I4862" s="1399"/>
      <c r="J4862" s="1399">
        <v>13616.43</v>
      </c>
    </row>
    <row r="4863" spans="5:10" s="1297" customFormat="1">
      <c r="E4863" s="1297" t="s">
        <v>944</v>
      </c>
      <c r="F4863" s="1399">
        <v>3967404.7899999996</v>
      </c>
      <c r="G4863" s="1399"/>
      <c r="H4863" s="1399"/>
      <c r="I4863" s="1399"/>
      <c r="J4863" s="1399">
        <v>3967404.7899999996</v>
      </c>
    </row>
    <row r="4864" spans="5:10" s="1297" customFormat="1">
      <c r="E4864" s="1297" t="s">
        <v>945</v>
      </c>
      <c r="F4864" s="1399">
        <v>901495</v>
      </c>
      <c r="G4864" s="1399"/>
      <c r="H4864" s="1399"/>
      <c r="I4864" s="1399"/>
      <c r="J4864" s="1399">
        <v>901495</v>
      </c>
    </row>
    <row r="4865" spans="2:12">
      <c r="B4865" s="1297"/>
      <c r="C4865" s="1297"/>
      <c r="D4865" s="1297"/>
      <c r="E4865" s="1297" t="s">
        <v>1214</v>
      </c>
      <c r="F4865" s="1399">
        <v>20306.900000000001</v>
      </c>
      <c r="J4865" s="1399">
        <v>20306.900000000001</v>
      </c>
    </row>
    <row r="4866" spans="2:12">
      <c r="B4866" s="1297"/>
      <c r="C4866" s="1297"/>
      <c r="D4866" s="1297"/>
      <c r="E4866" s="1297" t="s">
        <v>947</v>
      </c>
      <c r="F4866" s="1399">
        <v>116533.17</v>
      </c>
      <c r="J4866" s="1399">
        <v>116533.17</v>
      </c>
    </row>
    <row r="4867" spans="2:12">
      <c r="B4867" s="1297"/>
      <c r="C4867" s="1297"/>
      <c r="D4867" s="1297"/>
      <c r="E4867" s="1404" t="s">
        <v>1116</v>
      </c>
      <c r="F4867" s="1405"/>
      <c r="G4867" s="1405"/>
      <c r="H4867" s="1405">
        <v>1690000</v>
      </c>
      <c r="I4867" s="1405"/>
      <c r="J4867" s="1405">
        <v>1690000</v>
      </c>
    </row>
    <row r="4868" spans="2:12">
      <c r="B4868" s="1297"/>
      <c r="C4868" s="1297"/>
      <c r="D4868" s="1297"/>
      <c r="E4868" s="1404" t="s">
        <v>948</v>
      </c>
      <c r="F4868" s="1405"/>
      <c r="G4868" s="1405"/>
      <c r="H4868" s="1405">
        <v>17776290.880000003</v>
      </c>
      <c r="I4868" s="1405"/>
      <c r="J4868" s="1405">
        <v>17776290.880000003</v>
      </c>
    </row>
    <row r="4869" spans="2:12">
      <c r="B4869" s="1297"/>
      <c r="C4869" s="1297"/>
      <c r="D4869" s="1400" t="s">
        <v>1334</v>
      </c>
      <c r="E4869" s="1400"/>
      <c r="F4869" s="1401">
        <f>SUM(F4830:F4868)</f>
        <v>6256356.25</v>
      </c>
      <c r="G4869" s="1401">
        <f>SUM(G4830:G4868)</f>
        <v>15540436.799999999</v>
      </c>
      <c r="H4869" s="1401">
        <f>SUM(H4830:H4868)-(H4867+H4868)</f>
        <v>2455374.7800000012</v>
      </c>
      <c r="I4869" s="1401">
        <f>SUM(I4830:I4868)-I4852</f>
        <v>27824090.250000004</v>
      </c>
      <c r="J4869" s="1401">
        <f>SUM(J4830:J4868)</f>
        <v>72009927.349999994</v>
      </c>
      <c r="K4869" s="1401">
        <f>SUM(F4869:I4869)</f>
        <v>52076258.079999998</v>
      </c>
      <c r="L4869" s="1408">
        <f>K4869/C4830</f>
        <v>13318.736081841431</v>
      </c>
    </row>
    <row r="4870" spans="2:12">
      <c r="B4870" s="1297" t="s">
        <v>1335</v>
      </c>
      <c r="C4870" s="1297">
        <v>503</v>
      </c>
      <c r="D4870" s="1297" t="s">
        <v>1336</v>
      </c>
      <c r="E4870" s="1297" t="s">
        <v>906</v>
      </c>
      <c r="G4870" s="1399">
        <v>1738030.93</v>
      </c>
      <c r="J4870" s="1399">
        <v>1738030.93</v>
      </c>
    </row>
    <row r="4871" spans="2:12">
      <c r="B4871" s="1297"/>
      <c r="C4871" s="1297"/>
      <c r="D4871" s="1297"/>
      <c r="E4871" s="1297" t="s">
        <v>907</v>
      </c>
      <c r="G4871" s="1399">
        <v>389371.05</v>
      </c>
      <c r="J4871" s="1399">
        <v>389371.05</v>
      </c>
    </row>
    <row r="4872" spans="2:12">
      <c r="B4872" s="1297"/>
      <c r="C4872" s="1297"/>
      <c r="D4872" s="1297"/>
      <c r="E4872" s="1297" t="s">
        <v>908</v>
      </c>
      <c r="G4872" s="1399">
        <v>9071.2800000000007</v>
      </c>
      <c r="J4872" s="1399">
        <v>9071.2800000000007</v>
      </c>
    </row>
    <row r="4873" spans="2:12">
      <c r="B4873" s="1297"/>
      <c r="C4873" s="1297"/>
      <c r="D4873" s="1297"/>
      <c r="E4873" s="1297" t="s">
        <v>909</v>
      </c>
      <c r="H4873" s="1399">
        <v>25290.55</v>
      </c>
      <c r="J4873" s="1399">
        <v>25290.55</v>
      </c>
    </row>
    <row r="4874" spans="2:12">
      <c r="B4874" s="1297"/>
      <c r="C4874" s="1297"/>
      <c r="D4874" s="1297"/>
      <c r="E4874" s="1297" t="s">
        <v>910</v>
      </c>
      <c r="H4874" s="1399">
        <v>23966.06</v>
      </c>
      <c r="J4874" s="1399">
        <v>23966.06</v>
      </c>
    </row>
    <row r="4875" spans="2:12">
      <c r="B4875" s="1297"/>
      <c r="C4875" s="1297"/>
      <c r="D4875" s="1297"/>
      <c r="E4875" s="1297" t="s">
        <v>1034</v>
      </c>
      <c r="H4875" s="1399">
        <v>5993.96</v>
      </c>
      <c r="J4875" s="1399">
        <v>5993.96</v>
      </c>
    </row>
    <row r="4876" spans="2:12">
      <c r="B4876" s="1297"/>
      <c r="C4876" s="1297"/>
      <c r="D4876" s="1297"/>
      <c r="E4876" s="1297" t="s">
        <v>1035</v>
      </c>
      <c r="H4876" s="1399">
        <v>15110.990000000002</v>
      </c>
      <c r="J4876" s="1399">
        <v>15110.990000000002</v>
      </c>
    </row>
    <row r="4877" spans="2:12">
      <c r="B4877" s="1297"/>
      <c r="C4877" s="1297"/>
      <c r="D4877" s="1297"/>
      <c r="E4877" s="1297" t="s">
        <v>1036</v>
      </c>
      <c r="H4877" s="1399">
        <v>19234.259999999998</v>
      </c>
      <c r="J4877" s="1399">
        <v>19234.259999999998</v>
      </c>
    </row>
    <row r="4878" spans="2:12">
      <c r="B4878" s="1297"/>
      <c r="C4878" s="1297"/>
      <c r="D4878" s="1297"/>
      <c r="E4878" s="1297" t="s">
        <v>1039</v>
      </c>
      <c r="H4878" s="1399">
        <v>5116.8599999999997</v>
      </c>
      <c r="J4878" s="1399">
        <v>5116.8599999999997</v>
      </c>
    </row>
    <row r="4879" spans="2:12">
      <c r="B4879" s="1297"/>
      <c r="C4879" s="1297"/>
      <c r="D4879" s="1297"/>
      <c r="E4879" s="1297" t="s">
        <v>1041</v>
      </c>
      <c r="H4879" s="1399">
        <v>2215.25</v>
      </c>
      <c r="J4879" s="1399">
        <v>2215.25</v>
      </c>
    </row>
    <row r="4880" spans="2:12">
      <c r="B4880" s="1297"/>
      <c r="C4880" s="1297"/>
      <c r="D4880" s="1297"/>
      <c r="E4880" s="1297" t="s">
        <v>1042</v>
      </c>
      <c r="H4880" s="1399">
        <v>19893.349999999999</v>
      </c>
      <c r="J4880" s="1399">
        <v>19893.349999999999</v>
      </c>
    </row>
    <row r="4881" spans="5:10" s="1297" customFormat="1">
      <c r="E4881" s="1297" t="s">
        <v>953</v>
      </c>
      <c r="F4881" s="1399"/>
      <c r="G4881" s="1399"/>
      <c r="H4881" s="1399">
        <v>11303.7</v>
      </c>
      <c r="I4881" s="1399"/>
      <c r="J4881" s="1399">
        <v>11303.7</v>
      </c>
    </row>
    <row r="4882" spans="5:10" s="1297" customFormat="1">
      <c r="E4882" s="1297" t="s">
        <v>1044</v>
      </c>
      <c r="F4882" s="1399">
        <v>35291</v>
      </c>
      <c r="G4882" s="1399"/>
      <c r="H4882" s="1399"/>
      <c r="I4882" s="1399"/>
      <c r="J4882" s="1399">
        <v>35291</v>
      </c>
    </row>
    <row r="4883" spans="5:10" s="1297" customFormat="1">
      <c r="E4883" s="1297" t="s">
        <v>1045</v>
      </c>
      <c r="F4883" s="1399"/>
      <c r="G4883" s="1399"/>
      <c r="H4883" s="1399">
        <v>53905.14</v>
      </c>
      <c r="I4883" s="1399"/>
      <c r="J4883" s="1399">
        <v>53905.14</v>
      </c>
    </row>
    <row r="4884" spans="5:10" s="1297" customFormat="1">
      <c r="E4884" s="1297" t="s">
        <v>1046</v>
      </c>
      <c r="F4884" s="1399"/>
      <c r="G4884" s="1399"/>
      <c r="H4884" s="1399"/>
      <c r="I4884" s="1399">
        <v>2677114</v>
      </c>
      <c r="J4884" s="1399">
        <v>2677114</v>
      </c>
    </row>
    <row r="4885" spans="5:10" s="1297" customFormat="1">
      <c r="E4885" s="1297" t="s">
        <v>1047</v>
      </c>
      <c r="F4885" s="1399"/>
      <c r="G4885" s="1399"/>
      <c r="H4885" s="1399"/>
      <c r="I4885" s="1399">
        <v>405316</v>
      </c>
      <c r="J4885" s="1399">
        <v>405316</v>
      </c>
    </row>
    <row r="4886" spans="5:10" s="1297" customFormat="1">
      <c r="E4886" s="1297" t="s">
        <v>1048</v>
      </c>
      <c r="F4886" s="1399"/>
      <c r="G4886" s="1399"/>
      <c r="H4886" s="1399"/>
      <c r="I4886" s="1399">
        <v>-697267</v>
      </c>
      <c r="J4886" s="1399">
        <v>-697267</v>
      </c>
    </row>
    <row r="4887" spans="5:10" s="1297" customFormat="1">
      <c r="E4887" s="1404" t="s">
        <v>955</v>
      </c>
      <c r="F4887" s="1405"/>
      <c r="G4887" s="1405"/>
      <c r="H4887" s="1405"/>
      <c r="I4887" s="1405">
        <v>257439.1</v>
      </c>
      <c r="J4887" s="1405">
        <v>257439.1</v>
      </c>
    </row>
    <row r="4888" spans="5:10" s="1297" customFormat="1">
      <c r="E4888" s="1297" t="s">
        <v>934</v>
      </c>
      <c r="F4888" s="1399"/>
      <c r="G4888" s="1399"/>
      <c r="H4888" s="1399"/>
      <c r="I4888" s="1399">
        <v>12578</v>
      </c>
      <c r="J4888" s="1399">
        <v>12578</v>
      </c>
    </row>
    <row r="4889" spans="5:10" s="1297" customFormat="1">
      <c r="E4889" s="1297" t="s">
        <v>935</v>
      </c>
      <c r="F4889" s="1399"/>
      <c r="G4889" s="1399"/>
      <c r="H4889" s="1399"/>
      <c r="I4889" s="1399">
        <v>21404.62</v>
      </c>
      <c r="J4889" s="1399">
        <v>21404.62</v>
      </c>
    </row>
    <row r="4890" spans="5:10" s="1297" customFormat="1">
      <c r="E4890" s="1297" t="s">
        <v>936</v>
      </c>
      <c r="F4890" s="1399"/>
      <c r="G4890" s="1399"/>
      <c r="H4890" s="1399"/>
      <c r="I4890" s="1399">
        <v>16106.92</v>
      </c>
      <c r="J4890" s="1399">
        <v>16106.92</v>
      </c>
    </row>
    <row r="4891" spans="5:10" s="1297" customFormat="1">
      <c r="E4891" s="1297" t="s">
        <v>937</v>
      </c>
      <c r="F4891" s="1399"/>
      <c r="G4891" s="1399"/>
      <c r="H4891" s="1399"/>
      <c r="I4891" s="1399">
        <v>4552.33</v>
      </c>
      <c r="J4891" s="1399">
        <v>4552.33</v>
      </c>
    </row>
    <row r="4892" spans="5:10" s="1297" customFormat="1">
      <c r="E4892" s="1297" t="s">
        <v>938</v>
      </c>
      <c r="F4892" s="1399"/>
      <c r="G4892" s="1399"/>
      <c r="H4892" s="1399"/>
      <c r="I4892" s="1399">
        <v>5428</v>
      </c>
      <c r="J4892" s="1399">
        <v>5428</v>
      </c>
    </row>
    <row r="4893" spans="5:10" s="1297" customFormat="1">
      <c r="E4893" s="1297" t="s">
        <v>939</v>
      </c>
      <c r="F4893" s="1399"/>
      <c r="G4893" s="1399"/>
      <c r="H4893" s="1399"/>
      <c r="I4893" s="1399">
        <v>57120.409999999996</v>
      </c>
      <c r="J4893" s="1399">
        <v>57120.409999999996</v>
      </c>
    </row>
    <row r="4894" spans="5:10" s="1297" customFormat="1">
      <c r="E4894" s="1297" t="s">
        <v>1131</v>
      </c>
      <c r="F4894" s="1399">
        <v>38175.879999999997</v>
      </c>
      <c r="G4894" s="1399"/>
      <c r="H4894" s="1399"/>
      <c r="I4894" s="1399"/>
      <c r="J4894" s="1399">
        <v>38175.879999999997</v>
      </c>
    </row>
    <row r="4895" spans="5:10" s="1297" customFormat="1">
      <c r="E4895" s="1297" t="s">
        <v>940</v>
      </c>
      <c r="F4895" s="1399">
        <v>231740.7</v>
      </c>
      <c r="G4895" s="1399"/>
      <c r="H4895" s="1399"/>
      <c r="I4895" s="1399"/>
      <c r="J4895" s="1399">
        <v>231740.7</v>
      </c>
    </row>
    <row r="4896" spans="5:10" s="1297" customFormat="1">
      <c r="E4896" s="1297" t="s">
        <v>941</v>
      </c>
      <c r="F4896" s="1399">
        <v>137871.04000000001</v>
      </c>
      <c r="G4896" s="1399"/>
      <c r="H4896" s="1399"/>
      <c r="I4896" s="1399"/>
      <c r="J4896" s="1399">
        <v>137871.04000000001</v>
      </c>
    </row>
    <row r="4897" spans="2:12">
      <c r="B4897" s="1297"/>
      <c r="C4897" s="1297"/>
      <c r="D4897" s="1297"/>
      <c r="E4897" s="1297" t="s">
        <v>944</v>
      </c>
      <c r="F4897" s="1399">
        <v>783327.58000000007</v>
      </c>
      <c r="J4897" s="1399">
        <v>783327.58000000007</v>
      </c>
    </row>
    <row r="4898" spans="2:12">
      <c r="B4898" s="1297"/>
      <c r="C4898" s="1297"/>
      <c r="D4898" s="1297"/>
      <c r="E4898" s="1297" t="s">
        <v>945</v>
      </c>
      <c r="F4898" s="1399">
        <v>878428.05</v>
      </c>
      <c r="J4898" s="1399">
        <v>878428.05</v>
      </c>
    </row>
    <row r="4899" spans="2:12">
      <c r="B4899" s="1297"/>
      <c r="C4899" s="1297"/>
      <c r="D4899" s="1297"/>
      <c r="E4899" s="1297" t="s">
        <v>947</v>
      </c>
      <c r="F4899" s="1399">
        <v>26238</v>
      </c>
      <c r="J4899" s="1399">
        <v>26238</v>
      </c>
    </row>
    <row r="4900" spans="2:12">
      <c r="B4900" s="1297"/>
      <c r="C4900" s="1297"/>
      <c r="D4900" s="1297"/>
      <c r="E4900" s="1297" t="s">
        <v>1115</v>
      </c>
      <c r="F4900" s="1399">
        <v>9319.1200000000008</v>
      </c>
      <c r="J4900" s="1399">
        <v>9319.1200000000008</v>
      </c>
    </row>
    <row r="4901" spans="2:12">
      <c r="B4901" s="1297"/>
      <c r="C4901" s="1297"/>
      <c r="D4901" s="1297"/>
      <c r="E4901" s="1404" t="s">
        <v>948</v>
      </c>
      <c r="F4901" s="1405"/>
      <c r="G4901" s="1405"/>
      <c r="H4901" s="1405">
        <v>25627.25</v>
      </c>
      <c r="I4901" s="1405"/>
      <c r="J4901" s="1405">
        <v>25627.25</v>
      </c>
    </row>
    <row r="4902" spans="2:12">
      <c r="B4902" s="1297"/>
      <c r="C4902" s="1297"/>
      <c r="D4902" s="1400" t="s">
        <v>1337</v>
      </c>
      <c r="E4902" s="1400"/>
      <c r="F4902" s="1401">
        <f>SUM(F4870:F4901)</f>
        <v>2140391.37</v>
      </c>
      <c r="G4902" s="1401">
        <f>SUM(G4870:G4901)</f>
        <v>2136473.2599999998</v>
      </c>
      <c r="H4902" s="1401">
        <f>SUM(H4870:H4901)-H4901</f>
        <v>182030.12</v>
      </c>
      <c r="I4902" s="1401">
        <f>SUM(I4870:I4901)-I4887</f>
        <v>2502353.2800000003</v>
      </c>
      <c r="J4902" s="1401">
        <f>SUM(J4870:J4901)</f>
        <v>7244314.3799999999</v>
      </c>
      <c r="K4902" s="1401">
        <f>SUM(F4902:I4902)</f>
        <v>6961248.0300000003</v>
      </c>
      <c r="L4902" s="1408">
        <f>K4902/C4870</f>
        <v>13839.45930417495</v>
      </c>
    </row>
    <row r="4903" spans="2:12">
      <c r="B4903" s="1297" t="s">
        <v>1338</v>
      </c>
      <c r="C4903" s="1297">
        <v>4667</v>
      </c>
      <c r="D4903" s="1297" t="s">
        <v>1339</v>
      </c>
      <c r="E4903" s="1297" t="s">
        <v>906</v>
      </c>
      <c r="G4903" s="1399">
        <v>12667686.99</v>
      </c>
      <c r="J4903" s="1399">
        <v>12667686.99</v>
      </c>
    </row>
    <row r="4904" spans="2:12">
      <c r="B4904" s="1297"/>
      <c r="C4904" s="1297"/>
      <c r="D4904" s="1297"/>
      <c r="E4904" s="1297" t="s">
        <v>952</v>
      </c>
      <c r="G4904" s="1399">
        <v>91111.06</v>
      </c>
      <c r="J4904" s="1399">
        <v>91111.06</v>
      </c>
    </row>
    <row r="4905" spans="2:12">
      <c r="B4905" s="1297"/>
      <c r="C4905" s="1297"/>
      <c r="D4905" s="1297"/>
      <c r="E4905" s="1297" t="s">
        <v>907</v>
      </c>
      <c r="G4905" s="1399">
        <v>4352377.2</v>
      </c>
      <c r="J4905" s="1399">
        <v>4352377.2</v>
      </c>
    </row>
    <row r="4906" spans="2:12">
      <c r="B4906" s="1297"/>
      <c r="C4906" s="1297"/>
      <c r="D4906" s="1297"/>
      <c r="E4906" s="1297" t="s">
        <v>908</v>
      </c>
      <c r="G4906" s="1399">
        <v>44364.28</v>
      </c>
      <c r="J4906" s="1399">
        <v>44364.28</v>
      </c>
    </row>
    <row r="4907" spans="2:12">
      <c r="B4907" s="1297"/>
      <c r="C4907" s="1297"/>
      <c r="D4907" s="1297"/>
      <c r="E4907" s="1297" t="s">
        <v>909</v>
      </c>
      <c r="H4907" s="1399">
        <v>22687.75</v>
      </c>
      <c r="J4907" s="1399">
        <v>22687.75</v>
      </c>
    </row>
    <row r="4908" spans="2:12">
      <c r="B4908" s="1297"/>
      <c r="C4908" s="1297"/>
      <c r="D4908" s="1297"/>
      <c r="E4908" s="1297" t="s">
        <v>910</v>
      </c>
      <c r="H4908" s="1399">
        <v>740</v>
      </c>
      <c r="J4908" s="1399">
        <v>740</v>
      </c>
    </row>
    <row r="4909" spans="2:12">
      <c r="B4909" s="1297"/>
      <c r="C4909" s="1297"/>
      <c r="D4909" s="1297"/>
      <c r="E4909" s="1297" t="s">
        <v>1034</v>
      </c>
      <c r="H4909" s="1399">
        <v>24536.44</v>
      </c>
      <c r="J4909" s="1399">
        <v>24536.44</v>
      </c>
    </row>
    <row r="4910" spans="2:12">
      <c r="B4910" s="1297"/>
      <c r="C4910" s="1297"/>
      <c r="D4910" s="1297"/>
      <c r="E4910" s="1297" t="s">
        <v>1035</v>
      </c>
      <c r="H4910" s="1399">
        <v>738522.87</v>
      </c>
      <c r="J4910" s="1399">
        <v>738522.87</v>
      </c>
    </row>
    <row r="4911" spans="2:12">
      <c r="B4911" s="1297"/>
      <c r="C4911" s="1297"/>
      <c r="D4911" s="1297"/>
      <c r="E4911" s="1297" t="s">
        <v>1036</v>
      </c>
      <c r="H4911" s="1399">
        <v>29523.94</v>
      </c>
      <c r="J4911" s="1399">
        <v>29523.94</v>
      </c>
    </row>
    <row r="4912" spans="2:12">
      <c r="B4912" s="1297"/>
      <c r="C4912" s="1297"/>
      <c r="D4912" s="1297"/>
      <c r="E4912" s="1297" t="s">
        <v>1037</v>
      </c>
      <c r="H4912" s="1399">
        <v>3250</v>
      </c>
      <c r="J4912" s="1399">
        <v>3250</v>
      </c>
    </row>
    <row r="4913" spans="5:10" s="1297" customFormat="1">
      <c r="E4913" s="1297" t="s">
        <v>1039</v>
      </c>
      <c r="F4913" s="1399"/>
      <c r="G4913" s="1399"/>
      <c r="H4913" s="1399">
        <v>12206.02</v>
      </c>
      <c r="I4913" s="1399"/>
      <c r="J4913" s="1399">
        <v>12206.02</v>
      </c>
    </row>
    <row r="4914" spans="5:10" s="1297" customFormat="1">
      <c r="E4914" s="1297" t="s">
        <v>1041</v>
      </c>
      <c r="F4914" s="1399"/>
      <c r="G4914" s="1399"/>
      <c r="H4914" s="1399">
        <v>39737.760000000002</v>
      </c>
      <c r="I4914" s="1399"/>
      <c r="J4914" s="1399">
        <v>39737.760000000002</v>
      </c>
    </row>
    <row r="4915" spans="5:10" s="1297" customFormat="1">
      <c r="E4915" s="1297" t="s">
        <v>1042</v>
      </c>
      <c r="F4915" s="1399"/>
      <c r="G4915" s="1399"/>
      <c r="H4915" s="1399">
        <v>95143.5</v>
      </c>
      <c r="I4915" s="1399"/>
      <c r="J4915" s="1399">
        <v>95143.5</v>
      </c>
    </row>
    <row r="4916" spans="5:10" s="1297" customFormat="1">
      <c r="E4916" s="1297" t="s">
        <v>953</v>
      </c>
      <c r="F4916" s="1399"/>
      <c r="G4916" s="1399"/>
      <c r="H4916" s="1399">
        <v>6794.11</v>
      </c>
      <c r="I4916" s="1399"/>
      <c r="J4916" s="1399">
        <v>6794.11</v>
      </c>
    </row>
    <row r="4917" spans="5:10" s="1297" customFormat="1">
      <c r="E4917" s="1297" t="s">
        <v>985</v>
      </c>
      <c r="F4917" s="1399"/>
      <c r="G4917" s="1399"/>
      <c r="H4917" s="1399">
        <v>130707</v>
      </c>
      <c r="I4917" s="1399"/>
      <c r="J4917" s="1399">
        <v>130707</v>
      </c>
    </row>
    <row r="4918" spans="5:10" s="1297" customFormat="1">
      <c r="E4918" s="1297" t="s">
        <v>986</v>
      </c>
      <c r="F4918" s="1399"/>
      <c r="G4918" s="1399"/>
      <c r="H4918" s="1399">
        <v>800</v>
      </c>
      <c r="I4918" s="1399"/>
      <c r="J4918" s="1399">
        <v>800</v>
      </c>
    </row>
    <row r="4919" spans="5:10" s="1297" customFormat="1">
      <c r="E4919" s="1297" t="s">
        <v>1044</v>
      </c>
      <c r="F4919" s="1399">
        <v>131003.24</v>
      </c>
      <c r="G4919" s="1399"/>
      <c r="H4919" s="1399"/>
      <c r="I4919" s="1399"/>
      <c r="J4919" s="1399">
        <v>131003.24</v>
      </c>
    </row>
    <row r="4920" spans="5:10" s="1297" customFormat="1">
      <c r="E4920" s="1297" t="s">
        <v>1045</v>
      </c>
      <c r="F4920" s="1399"/>
      <c r="G4920" s="1399"/>
      <c r="H4920" s="1399">
        <v>524607.36</v>
      </c>
      <c r="I4920" s="1399"/>
      <c r="J4920" s="1399">
        <v>524607.36</v>
      </c>
    </row>
    <row r="4921" spans="5:10" s="1297" customFormat="1">
      <c r="E4921" s="1297" t="s">
        <v>1046</v>
      </c>
      <c r="F4921" s="1399"/>
      <c r="G4921" s="1399"/>
      <c r="H4921" s="1399"/>
      <c r="I4921" s="1399">
        <v>22368237</v>
      </c>
      <c r="J4921" s="1399">
        <v>22368237</v>
      </c>
    </row>
    <row r="4922" spans="5:10" s="1297" customFormat="1">
      <c r="E4922" s="1297" t="s">
        <v>1047</v>
      </c>
      <c r="F4922" s="1399"/>
      <c r="G4922" s="1399"/>
      <c r="H4922" s="1399"/>
      <c r="I4922" s="1399">
        <v>886724</v>
      </c>
      <c r="J4922" s="1399">
        <v>886724</v>
      </c>
    </row>
    <row r="4923" spans="5:10" s="1297" customFormat="1">
      <c r="E4923" s="1297" t="s">
        <v>1048</v>
      </c>
      <c r="F4923" s="1399"/>
      <c r="G4923" s="1399"/>
      <c r="H4923" s="1399"/>
      <c r="I4923" s="1399">
        <v>-3372466</v>
      </c>
      <c r="J4923" s="1399">
        <v>-3372466</v>
      </c>
    </row>
    <row r="4924" spans="5:10" s="1297" customFormat="1">
      <c r="E4924" s="1297" t="s">
        <v>932</v>
      </c>
      <c r="F4924" s="1399"/>
      <c r="G4924" s="1399"/>
      <c r="H4924" s="1399"/>
      <c r="I4924" s="1399">
        <v>2510005</v>
      </c>
      <c r="J4924" s="1399">
        <v>2510005</v>
      </c>
    </row>
    <row r="4925" spans="5:10" s="1297" customFormat="1">
      <c r="E4925" s="1404" t="s">
        <v>955</v>
      </c>
      <c r="F4925" s="1405"/>
      <c r="G4925" s="1405"/>
      <c r="H4925" s="1405"/>
      <c r="I4925" s="1405">
        <v>1208352.23</v>
      </c>
      <c r="J4925" s="1405">
        <v>1208352.23</v>
      </c>
    </row>
    <row r="4926" spans="5:10" s="1297" customFormat="1">
      <c r="E4926" s="1297" t="s">
        <v>934</v>
      </c>
      <c r="F4926" s="1399"/>
      <c r="G4926" s="1399"/>
      <c r="H4926" s="1399"/>
      <c r="I4926" s="1399">
        <v>98536</v>
      </c>
      <c r="J4926" s="1399">
        <v>98536</v>
      </c>
    </row>
    <row r="4927" spans="5:10" s="1297" customFormat="1">
      <c r="E4927" s="1297" t="s">
        <v>935</v>
      </c>
      <c r="F4927" s="1399"/>
      <c r="G4927" s="1399"/>
      <c r="H4927" s="1399"/>
      <c r="I4927" s="1399">
        <v>180300.76</v>
      </c>
      <c r="J4927" s="1399">
        <v>180300.76</v>
      </c>
    </row>
    <row r="4928" spans="5:10" s="1297" customFormat="1">
      <c r="E4928" s="1297" t="s">
        <v>936</v>
      </c>
      <c r="F4928" s="1399"/>
      <c r="G4928" s="1399"/>
      <c r="H4928" s="1399"/>
      <c r="I4928" s="1399">
        <v>89988.69</v>
      </c>
      <c r="J4928" s="1399">
        <v>89988.69</v>
      </c>
    </row>
    <row r="4929" spans="2:12">
      <c r="B4929" s="1297"/>
      <c r="C4929" s="1297"/>
      <c r="D4929" s="1297"/>
      <c r="E4929" s="1297" t="s">
        <v>937</v>
      </c>
      <c r="I4929" s="1399">
        <v>27850.33</v>
      </c>
      <c r="J4929" s="1399">
        <v>27850.33</v>
      </c>
    </row>
    <row r="4930" spans="2:12">
      <c r="B4930" s="1297"/>
      <c r="C4930" s="1297"/>
      <c r="D4930" s="1297"/>
      <c r="E4930" s="1297" t="s">
        <v>938</v>
      </c>
      <c r="I4930" s="1399">
        <v>34437</v>
      </c>
      <c r="J4930" s="1399">
        <v>34437</v>
      </c>
    </row>
    <row r="4931" spans="2:12">
      <c r="B4931" s="1297"/>
      <c r="C4931" s="1297"/>
      <c r="D4931" s="1297"/>
      <c r="E4931" s="1297" t="s">
        <v>939</v>
      </c>
      <c r="I4931" s="1399">
        <v>255920.52999999997</v>
      </c>
      <c r="J4931" s="1399">
        <v>255920.52999999997</v>
      </c>
    </row>
    <row r="4932" spans="2:12">
      <c r="B4932" s="1297"/>
      <c r="C4932" s="1297"/>
      <c r="D4932" s="1297"/>
      <c r="E4932" s="1297" t="s">
        <v>940</v>
      </c>
      <c r="F4932" s="1399">
        <v>1892313.36</v>
      </c>
      <c r="J4932" s="1399">
        <v>1892313.36</v>
      </c>
    </row>
    <row r="4933" spans="2:12">
      <c r="B4933" s="1297"/>
      <c r="C4933" s="1297"/>
      <c r="D4933" s="1297"/>
      <c r="E4933" s="1297" t="s">
        <v>941</v>
      </c>
      <c r="F4933" s="1399">
        <v>1156986.3400000001</v>
      </c>
      <c r="J4933" s="1399">
        <v>1156986.3400000001</v>
      </c>
    </row>
    <row r="4934" spans="2:12">
      <c r="B4934" s="1297"/>
      <c r="C4934" s="1297"/>
      <c r="D4934" s="1297"/>
      <c r="E4934" s="1297" t="s">
        <v>943</v>
      </c>
      <c r="F4934" s="1399">
        <v>41474.78</v>
      </c>
      <c r="J4934" s="1399">
        <v>41474.78</v>
      </c>
    </row>
    <row r="4935" spans="2:12">
      <c r="B4935" s="1297"/>
      <c r="C4935" s="1297"/>
      <c r="D4935" s="1297"/>
      <c r="E4935" s="1297" t="s">
        <v>944</v>
      </c>
      <c r="F4935" s="1399">
        <v>5621960.3700000001</v>
      </c>
      <c r="J4935" s="1399">
        <v>5621960.3700000001</v>
      </c>
    </row>
    <row r="4936" spans="2:12">
      <c r="B4936" s="1297"/>
      <c r="C4936" s="1297"/>
      <c r="D4936" s="1297"/>
      <c r="E4936" s="1297" t="s">
        <v>945</v>
      </c>
      <c r="F4936" s="1399">
        <v>2395850.2200000002</v>
      </c>
      <c r="J4936" s="1399">
        <v>2395850.2200000002</v>
      </c>
    </row>
    <row r="4937" spans="2:12">
      <c r="B4937" s="1297"/>
      <c r="C4937" s="1297"/>
      <c r="D4937" s="1297"/>
      <c r="E4937" s="1297" t="s">
        <v>978</v>
      </c>
      <c r="F4937" s="1399">
        <v>14400</v>
      </c>
      <c r="J4937" s="1399">
        <v>14400</v>
      </c>
    </row>
    <row r="4938" spans="2:12">
      <c r="B4938" s="1297"/>
      <c r="C4938" s="1297"/>
      <c r="D4938" s="1297"/>
      <c r="E4938" s="1297" t="s">
        <v>947</v>
      </c>
      <c r="F4938" s="1399">
        <v>228613.80000000002</v>
      </c>
      <c r="J4938" s="1399">
        <v>228613.80000000002</v>
      </c>
    </row>
    <row r="4939" spans="2:12">
      <c r="B4939" s="1297"/>
      <c r="C4939" s="1297"/>
      <c r="D4939" s="1297"/>
      <c r="E4939" s="1404" t="s">
        <v>1116</v>
      </c>
      <c r="F4939" s="1405"/>
      <c r="G4939" s="1405"/>
      <c r="H4939" s="1405">
        <v>15695618.68</v>
      </c>
      <c r="I4939" s="1405"/>
      <c r="J4939" s="1405">
        <v>15695618.68</v>
      </c>
    </row>
    <row r="4940" spans="2:12">
      <c r="B4940" s="1297"/>
      <c r="C4940" s="1297"/>
      <c r="D4940" s="1297"/>
      <c r="E4940" s="1404" t="s">
        <v>948</v>
      </c>
      <c r="F4940" s="1405"/>
      <c r="G4940" s="1405"/>
      <c r="H4940" s="1405">
        <v>1073741.4099999999</v>
      </c>
      <c r="I4940" s="1405"/>
      <c r="J4940" s="1405">
        <v>1073741.4099999999</v>
      </c>
    </row>
    <row r="4941" spans="2:12">
      <c r="B4941" s="1297"/>
      <c r="C4941" s="1297"/>
      <c r="D4941" s="1400" t="s">
        <v>1340</v>
      </c>
      <c r="E4941" s="1400"/>
      <c r="F4941" s="1401">
        <f>SUM(F4903:F4940)</f>
        <v>11482602.110000001</v>
      </c>
      <c r="G4941" s="1401">
        <f>SUM(G4903:G4940)</f>
        <v>17155539.530000001</v>
      </c>
      <c r="H4941" s="1401">
        <f>SUM(H4903:H4940)-(H4939+H4940)</f>
        <v>1629256.75</v>
      </c>
      <c r="I4941" s="1401">
        <f>SUM(I4903:I4940)-I4925</f>
        <v>23079533.310000002</v>
      </c>
      <c r="J4941" s="1401">
        <f>SUM(J4903:J4940)</f>
        <v>71324644.019999981</v>
      </c>
      <c r="K4941" s="1401">
        <f>SUM(F4941:I4941)</f>
        <v>53346931.700000003</v>
      </c>
      <c r="L4941" s="1408">
        <f>K4941/C4903</f>
        <v>11430.668887936577</v>
      </c>
    </row>
    <row r="4942" spans="2:12">
      <c r="B4942" s="1297" t="s">
        <v>1341</v>
      </c>
      <c r="C4942" s="1297">
        <v>564</v>
      </c>
      <c r="D4942" s="1297" t="s">
        <v>1342</v>
      </c>
      <c r="E4942" s="1297" t="s">
        <v>906</v>
      </c>
      <c r="G4942" s="1399">
        <v>2986501.3600000003</v>
      </c>
      <c r="J4942" s="1399">
        <v>2986501.3600000003</v>
      </c>
    </row>
    <row r="4943" spans="2:12">
      <c r="B4943" s="1297"/>
      <c r="C4943" s="1297"/>
      <c r="D4943" s="1297"/>
      <c r="E4943" s="1297" t="s">
        <v>907</v>
      </c>
      <c r="G4943" s="1399">
        <v>618536.06000000006</v>
      </c>
      <c r="J4943" s="1399">
        <v>618536.06000000006</v>
      </c>
    </row>
    <row r="4944" spans="2:12">
      <c r="B4944" s="1297"/>
      <c r="C4944" s="1297"/>
      <c r="D4944" s="1297"/>
      <c r="E4944" s="1297" t="s">
        <v>908</v>
      </c>
      <c r="G4944" s="1399">
        <v>0</v>
      </c>
      <c r="J4944" s="1399">
        <v>0</v>
      </c>
    </row>
    <row r="4945" spans="5:10" s="1297" customFormat="1">
      <c r="E4945" s="1297" t="s">
        <v>909</v>
      </c>
      <c r="F4945" s="1399"/>
      <c r="G4945" s="1399"/>
      <c r="H4945" s="1399">
        <v>9704.5</v>
      </c>
      <c r="I4945" s="1399"/>
      <c r="J4945" s="1399">
        <v>9704.5</v>
      </c>
    </row>
    <row r="4946" spans="5:10" s="1297" customFormat="1">
      <c r="E4946" s="1297" t="s">
        <v>1035</v>
      </c>
      <c r="F4946" s="1399"/>
      <c r="G4946" s="1399"/>
      <c r="H4946" s="1399">
        <v>14587.62</v>
      </c>
      <c r="I4946" s="1399"/>
      <c r="J4946" s="1399">
        <v>14587.62</v>
      </c>
    </row>
    <row r="4947" spans="5:10" s="1297" customFormat="1">
      <c r="E4947" s="1297" t="s">
        <v>1039</v>
      </c>
      <c r="F4947" s="1399"/>
      <c r="G4947" s="1399"/>
      <c r="H4947" s="1399">
        <v>11687.609999999999</v>
      </c>
      <c r="I4947" s="1399"/>
      <c r="J4947" s="1399">
        <v>11687.609999999999</v>
      </c>
    </row>
    <row r="4948" spans="5:10" s="1297" customFormat="1">
      <c r="E4948" s="1297" t="s">
        <v>1041</v>
      </c>
      <c r="F4948" s="1399"/>
      <c r="G4948" s="1399"/>
      <c r="H4948" s="1399">
        <v>7359.2</v>
      </c>
      <c r="I4948" s="1399"/>
      <c r="J4948" s="1399">
        <v>7359.2</v>
      </c>
    </row>
    <row r="4949" spans="5:10" s="1297" customFormat="1">
      <c r="E4949" s="1297" t="s">
        <v>1042</v>
      </c>
      <c r="F4949" s="1399"/>
      <c r="G4949" s="1399"/>
      <c r="H4949" s="1399">
        <v>21406.45</v>
      </c>
      <c r="I4949" s="1399"/>
      <c r="J4949" s="1399">
        <v>21406.45</v>
      </c>
    </row>
    <row r="4950" spans="5:10" s="1297" customFormat="1">
      <c r="E4950" s="1297" t="s">
        <v>986</v>
      </c>
      <c r="F4950" s="1399"/>
      <c r="G4950" s="1399"/>
      <c r="H4950" s="1399">
        <v>15005.62</v>
      </c>
      <c r="I4950" s="1399"/>
      <c r="J4950" s="1399">
        <v>15005.62</v>
      </c>
    </row>
    <row r="4951" spans="5:10" s="1297" customFormat="1">
      <c r="E4951" s="1297" t="s">
        <v>1044</v>
      </c>
      <c r="F4951" s="1399">
        <v>7363</v>
      </c>
      <c r="G4951" s="1399"/>
      <c r="H4951" s="1399"/>
      <c r="I4951" s="1399"/>
      <c r="J4951" s="1399">
        <v>7363</v>
      </c>
    </row>
    <row r="4952" spans="5:10" s="1297" customFormat="1">
      <c r="E4952" s="1297" t="s">
        <v>1045</v>
      </c>
      <c r="F4952" s="1399"/>
      <c r="G4952" s="1399"/>
      <c r="H4952" s="1399">
        <v>90790.27</v>
      </c>
      <c r="I4952" s="1399"/>
      <c r="J4952" s="1399">
        <v>90790.27</v>
      </c>
    </row>
    <row r="4953" spans="5:10" s="1297" customFormat="1">
      <c r="E4953" s="1297" t="s">
        <v>1046</v>
      </c>
      <c r="F4953" s="1399"/>
      <c r="G4953" s="1399"/>
      <c r="H4953" s="1399"/>
      <c r="I4953" s="1399">
        <v>3720945</v>
      </c>
      <c r="J4953" s="1399">
        <v>3720945</v>
      </c>
    </row>
    <row r="4954" spans="5:10" s="1297" customFormat="1">
      <c r="E4954" s="1297" t="s">
        <v>1047</v>
      </c>
      <c r="F4954" s="1399"/>
      <c r="G4954" s="1399"/>
      <c r="H4954" s="1399"/>
      <c r="I4954" s="1399">
        <v>14692</v>
      </c>
      <c r="J4954" s="1399">
        <v>14692</v>
      </c>
    </row>
    <row r="4955" spans="5:10" s="1297" customFormat="1">
      <c r="E4955" s="1297" t="s">
        <v>1048</v>
      </c>
      <c r="F4955" s="1399"/>
      <c r="G4955" s="1399"/>
      <c r="H4955" s="1399"/>
      <c r="I4955" s="1399">
        <v>-1049638</v>
      </c>
      <c r="J4955" s="1399">
        <v>-1049638</v>
      </c>
    </row>
    <row r="4956" spans="5:10" s="1297" customFormat="1">
      <c r="E4956" s="1404" t="s">
        <v>955</v>
      </c>
      <c r="F4956" s="1405"/>
      <c r="G4956" s="1405"/>
      <c r="H4956" s="1405"/>
      <c r="I4956" s="1405">
        <v>123309.84</v>
      </c>
      <c r="J4956" s="1405">
        <v>123309.84</v>
      </c>
    </row>
    <row r="4957" spans="5:10" s="1297" customFormat="1">
      <c r="E4957" s="1297" t="s">
        <v>934</v>
      </c>
      <c r="F4957" s="1399"/>
      <c r="G4957" s="1399"/>
      <c r="H4957" s="1399"/>
      <c r="I4957" s="1399">
        <v>13860</v>
      </c>
      <c r="J4957" s="1399">
        <v>13860</v>
      </c>
    </row>
    <row r="4958" spans="5:10" s="1297" customFormat="1">
      <c r="E4958" s="1297" t="s">
        <v>935</v>
      </c>
      <c r="F4958" s="1399"/>
      <c r="G4958" s="1399"/>
      <c r="H4958" s="1399"/>
      <c r="I4958" s="1399">
        <v>26657</v>
      </c>
      <c r="J4958" s="1399">
        <v>26657</v>
      </c>
    </row>
    <row r="4959" spans="5:10" s="1297" customFormat="1">
      <c r="E4959" s="1297" t="s">
        <v>936</v>
      </c>
      <c r="F4959" s="1399"/>
      <c r="G4959" s="1399"/>
      <c r="H4959" s="1399"/>
      <c r="I4959" s="1399">
        <v>12605.42</v>
      </c>
      <c r="J4959" s="1399">
        <v>12605.42</v>
      </c>
    </row>
    <row r="4960" spans="5:10" s="1297" customFormat="1">
      <c r="E4960" s="1297" t="s">
        <v>938</v>
      </c>
      <c r="F4960" s="1399"/>
      <c r="G4960" s="1399"/>
      <c r="H4960" s="1399"/>
      <c r="I4960" s="1399">
        <v>5240</v>
      </c>
      <c r="J4960" s="1399">
        <v>5240</v>
      </c>
    </row>
    <row r="4961" spans="2:12">
      <c r="B4961" s="1297"/>
      <c r="C4961" s="1297"/>
      <c r="D4961" s="1297"/>
      <c r="E4961" s="1297" t="s">
        <v>939</v>
      </c>
      <c r="I4961" s="1399">
        <v>0</v>
      </c>
      <c r="J4961" s="1399">
        <v>0</v>
      </c>
    </row>
    <row r="4962" spans="2:12">
      <c r="B4962" s="1297"/>
      <c r="C4962" s="1297"/>
      <c r="D4962" s="1297"/>
      <c r="E4962" s="1297" t="s">
        <v>1131</v>
      </c>
      <c r="F4962" s="1399">
        <v>51169.97</v>
      </c>
      <c r="J4962" s="1399">
        <v>51169.97</v>
      </c>
    </row>
    <row r="4963" spans="2:12">
      <c r="B4963" s="1297"/>
      <c r="C4963" s="1297"/>
      <c r="D4963" s="1297"/>
      <c r="E4963" s="1297" t="s">
        <v>940</v>
      </c>
      <c r="F4963" s="1399">
        <v>216229.92</v>
      </c>
      <c r="J4963" s="1399">
        <v>216229.92</v>
      </c>
    </row>
    <row r="4964" spans="2:12">
      <c r="B4964" s="1297"/>
      <c r="C4964" s="1297"/>
      <c r="D4964" s="1297"/>
      <c r="E4964" s="1297" t="s">
        <v>941</v>
      </c>
      <c r="F4964" s="1399">
        <v>112795.52</v>
      </c>
      <c r="J4964" s="1399">
        <v>112795.52</v>
      </c>
    </row>
    <row r="4965" spans="2:12">
      <c r="B4965" s="1297"/>
      <c r="C4965" s="1297"/>
      <c r="D4965" s="1297"/>
      <c r="E4965" s="1297" t="s">
        <v>943</v>
      </c>
      <c r="F4965" s="1399">
        <v>2773.52</v>
      </c>
      <c r="J4965" s="1399">
        <v>2773.52</v>
      </c>
    </row>
    <row r="4966" spans="2:12">
      <c r="B4966" s="1297"/>
      <c r="C4966" s="1297"/>
      <c r="D4966" s="1297"/>
      <c r="E4966" s="1297" t="s">
        <v>944</v>
      </c>
      <c r="F4966" s="1399">
        <v>980371.7699999999</v>
      </c>
      <c r="J4966" s="1399">
        <v>980371.7699999999</v>
      </c>
    </row>
    <row r="4967" spans="2:12">
      <c r="B4967" s="1297"/>
      <c r="C4967" s="1297"/>
      <c r="D4967" s="1297"/>
      <c r="E4967" s="1297" t="s">
        <v>945</v>
      </c>
      <c r="F4967" s="1399">
        <v>324147</v>
      </c>
      <c r="J4967" s="1399">
        <v>324147</v>
      </c>
    </row>
    <row r="4968" spans="2:12">
      <c r="B4968" s="1297"/>
      <c r="C4968" s="1297"/>
      <c r="D4968" s="1297"/>
      <c r="E4968" s="1297" t="s">
        <v>947</v>
      </c>
      <c r="F4968" s="1399">
        <v>26196.51</v>
      </c>
      <c r="J4968" s="1399">
        <v>26196.51</v>
      </c>
    </row>
    <row r="4969" spans="2:12">
      <c r="B4969" s="1297"/>
      <c r="C4969" s="1297"/>
      <c r="D4969" s="1297"/>
      <c r="E4969" s="1404" t="s">
        <v>948</v>
      </c>
      <c r="F4969" s="1405"/>
      <c r="G4969" s="1405"/>
      <c r="H4969" s="1405">
        <v>155106.96</v>
      </c>
      <c r="I4969" s="1405"/>
      <c r="J4969" s="1405">
        <v>155106.96</v>
      </c>
    </row>
    <row r="4970" spans="2:12">
      <c r="B4970" s="1297"/>
      <c r="C4970" s="1297"/>
      <c r="D4970" s="1400" t="s">
        <v>1343</v>
      </c>
      <c r="E4970" s="1400"/>
      <c r="F4970" s="1401">
        <f>SUM(F4942:F4969)</f>
        <v>1721047.21</v>
      </c>
      <c r="G4970" s="1401">
        <f>SUM(G4942:G4969)</f>
        <v>3605037.4200000004</v>
      </c>
      <c r="H4970" s="1401">
        <f>SUM(H4942:H4969)-H4969</f>
        <v>170541.27</v>
      </c>
      <c r="I4970" s="1401">
        <f>SUM(I4942:I4969)-I4956</f>
        <v>2744361.42</v>
      </c>
      <c r="J4970" s="1401">
        <f>SUM(J4942:J4969)</f>
        <v>8519404.1199999992</v>
      </c>
      <c r="K4970" s="1401">
        <f>SUM(F4970:I4970)</f>
        <v>8240987.3200000003</v>
      </c>
      <c r="L4970" s="1408">
        <f>K4970/C4942</f>
        <v>14611.679645390072</v>
      </c>
    </row>
    <row r="4971" spans="2:12">
      <c r="B4971" s="1297" t="s">
        <v>1344</v>
      </c>
      <c r="C4971" s="1297">
        <v>192</v>
      </c>
      <c r="D4971" s="1297" t="s">
        <v>1345</v>
      </c>
      <c r="E4971" s="1297" t="s">
        <v>906</v>
      </c>
      <c r="G4971" s="1399">
        <v>1277195.69</v>
      </c>
      <c r="J4971" s="1399">
        <v>1277195.69</v>
      </c>
    </row>
    <row r="4972" spans="2:12">
      <c r="B4972" s="1297"/>
      <c r="C4972" s="1297"/>
      <c r="D4972" s="1297"/>
      <c r="E4972" s="1297" t="s">
        <v>952</v>
      </c>
      <c r="G4972" s="1399">
        <v>3876.81</v>
      </c>
      <c r="J4972" s="1399">
        <v>3876.81</v>
      </c>
    </row>
    <row r="4973" spans="2:12">
      <c r="B4973" s="1297"/>
      <c r="C4973" s="1297"/>
      <c r="D4973" s="1297"/>
      <c r="E4973" s="1297" t="s">
        <v>907</v>
      </c>
      <c r="G4973" s="1399">
        <v>88189.41</v>
      </c>
      <c r="J4973" s="1399">
        <v>88189.41</v>
      </c>
    </row>
    <row r="4974" spans="2:12">
      <c r="B4974" s="1297"/>
      <c r="C4974" s="1297"/>
      <c r="D4974" s="1297"/>
      <c r="E4974" s="1297" t="s">
        <v>908</v>
      </c>
      <c r="G4974" s="1399">
        <v>13453.93</v>
      </c>
      <c r="J4974" s="1399">
        <v>13453.93</v>
      </c>
    </row>
    <row r="4975" spans="2:12">
      <c r="B4975" s="1297"/>
      <c r="C4975" s="1297"/>
      <c r="D4975" s="1297"/>
      <c r="E4975" s="1297" t="s">
        <v>909</v>
      </c>
      <c r="H4975" s="1399">
        <v>9909.64</v>
      </c>
      <c r="J4975" s="1399">
        <v>9909.64</v>
      </c>
    </row>
    <row r="4976" spans="2:12">
      <c r="B4976" s="1297"/>
      <c r="C4976" s="1297"/>
      <c r="D4976" s="1297"/>
      <c r="E4976" s="1297" t="s">
        <v>910</v>
      </c>
      <c r="H4976" s="1399">
        <v>11770.8</v>
      </c>
      <c r="J4976" s="1399">
        <v>11770.8</v>
      </c>
    </row>
    <row r="4977" spans="5:10" s="1297" customFormat="1">
      <c r="E4977" s="1297" t="s">
        <v>1034</v>
      </c>
      <c r="F4977" s="1399"/>
      <c r="G4977" s="1399"/>
      <c r="H4977" s="1399">
        <v>1366.2</v>
      </c>
      <c r="I4977" s="1399"/>
      <c r="J4977" s="1399">
        <v>1366.2</v>
      </c>
    </row>
    <row r="4978" spans="5:10" s="1297" customFormat="1">
      <c r="E4978" s="1297" t="s">
        <v>1035</v>
      </c>
      <c r="F4978" s="1399"/>
      <c r="G4978" s="1399"/>
      <c r="H4978" s="1399">
        <v>27904.33</v>
      </c>
      <c r="I4978" s="1399"/>
      <c r="J4978" s="1399">
        <v>27904.33</v>
      </c>
    </row>
    <row r="4979" spans="5:10" s="1297" customFormat="1">
      <c r="E4979" s="1297" t="s">
        <v>1036</v>
      </c>
      <c r="F4979" s="1399"/>
      <c r="G4979" s="1399"/>
      <c r="H4979" s="1399">
        <v>16832</v>
      </c>
      <c r="I4979" s="1399"/>
      <c r="J4979" s="1399">
        <v>16832</v>
      </c>
    </row>
    <row r="4980" spans="5:10" s="1297" customFormat="1">
      <c r="E4980" s="1297" t="s">
        <v>1039</v>
      </c>
      <c r="F4980" s="1399"/>
      <c r="G4980" s="1399"/>
      <c r="H4980" s="1399">
        <v>8762.49</v>
      </c>
      <c r="I4980" s="1399"/>
      <c r="J4980" s="1399">
        <v>8762.49</v>
      </c>
    </row>
    <row r="4981" spans="5:10" s="1297" customFormat="1">
      <c r="E4981" s="1297" t="s">
        <v>1041</v>
      </c>
      <c r="F4981" s="1399"/>
      <c r="G4981" s="1399"/>
      <c r="H4981" s="1399">
        <v>161.5</v>
      </c>
      <c r="I4981" s="1399"/>
      <c r="J4981" s="1399">
        <v>161.5</v>
      </c>
    </row>
    <row r="4982" spans="5:10" s="1297" customFormat="1">
      <c r="E4982" s="1297" t="s">
        <v>1042</v>
      </c>
      <c r="F4982" s="1399"/>
      <c r="G4982" s="1399"/>
      <c r="H4982" s="1399">
        <v>6565</v>
      </c>
      <c r="I4982" s="1399"/>
      <c r="J4982" s="1399">
        <v>6565</v>
      </c>
    </row>
    <row r="4983" spans="5:10" s="1297" customFormat="1">
      <c r="E4983" s="1297" t="s">
        <v>1045</v>
      </c>
      <c r="F4983" s="1399"/>
      <c r="G4983" s="1399"/>
      <c r="H4983" s="1399">
        <v>61633.14</v>
      </c>
      <c r="I4983" s="1399"/>
      <c r="J4983" s="1399">
        <v>61633.14</v>
      </c>
    </row>
    <row r="4984" spans="5:10" s="1297" customFormat="1">
      <c r="E4984" s="1297" t="s">
        <v>1046</v>
      </c>
      <c r="F4984" s="1399"/>
      <c r="G4984" s="1399"/>
      <c r="H4984" s="1399"/>
      <c r="I4984" s="1399">
        <v>1255535</v>
      </c>
      <c r="J4984" s="1399">
        <v>1255535</v>
      </c>
    </row>
    <row r="4985" spans="5:10" s="1297" customFormat="1">
      <c r="E4985" s="1297" t="s">
        <v>1047</v>
      </c>
      <c r="F4985" s="1399"/>
      <c r="G4985" s="1399"/>
      <c r="H4985" s="1399"/>
      <c r="I4985" s="1399">
        <v>286317</v>
      </c>
      <c r="J4985" s="1399">
        <v>286317</v>
      </c>
    </row>
    <row r="4986" spans="5:10" s="1297" customFormat="1">
      <c r="E4986" s="1297" t="s">
        <v>1048</v>
      </c>
      <c r="F4986" s="1399"/>
      <c r="G4986" s="1399"/>
      <c r="H4986" s="1399"/>
      <c r="I4986" s="1399">
        <v>-388965.5</v>
      </c>
      <c r="J4986" s="1399">
        <v>-388965.5</v>
      </c>
    </row>
    <row r="4987" spans="5:10" s="1297" customFormat="1">
      <c r="E4987" s="1297" t="s">
        <v>934</v>
      </c>
      <c r="F4987" s="1399"/>
      <c r="G4987" s="1399"/>
      <c r="H4987" s="1399"/>
      <c r="I4987" s="1399">
        <v>3896</v>
      </c>
      <c r="J4987" s="1399">
        <v>3896</v>
      </c>
    </row>
    <row r="4988" spans="5:10" s="1297" customFormat="1">
      <c r="E4988" s="1297" t="s">
        <v>935</v>
      </c>
      <c r="F4988" s="1399"/>
      <c r="G4988" s="1399"/>
      <c r="H4988" s="1399"/>
      <c r="I4988" s="1399">
        <v>242279.32</v>
      </c>
      <c r="J4988" s="1399">
        <v>242279.32</v>
      </c>
    </row>
    <row r="4989" spans="5:10" s="1297" customFormat="1">
      <c r="E4989" s="1297" t="s">
        <v>936</v>
      </c>
      <c r="F4989" s="1399"/>
      <c r="G4989" s="1399"/>
      <c r="H4989" s="1399"/>
      <c r="I4989" s="1399">
        <v>4902.1099999999997</v>
      </c>
      <c r="J4989" s="1399">
        <v>4902.1099999999997</v>
      </c>
    </row>
    <row r="4990" spans="5:10" s="1297" customFormat="1">
      <c r="E4990" s="1297" t="s">
        <v>938</v>
      </c>
      <c r="F4990" s="1399"/>
      <c r="G4990" s="1399"/>
      <c r="H4990" s="1399"/>
      <c r="I4990" s="1399">
        <v>2433</v>
      </c>
      <c r="J4990" s="1399">
        <v>2433</v>
      </c>
    </row>
    <row r="4991" spans="5:10" s="1297" customFormat="1">
      <c r="E4991" s="1297" t="s">
        <v>940</v>
      </c>
      <c r="F4991" s="1399">
        <v>83163.28</v>
      </c>
      <c r="G4991" s="1399"/>
      <c r="H4991" s="1399"/>
      <c r="I4991" s="1399"/>
      <c r="J4991" s="1399">
        <v>83163.28</v>
      </c>
    </row>
    <row r="4992" spans="5:10" s="1297" customFormat="1">
      <c r="E4992" s="1297" t="s">
        <v>941</v>
      </c>
      <c r="F4992" s="1399">
        <v>48602.720000000001</v>
      </c>
      <c r="G4992" s="1399"/>
      <c r="H4992" s="1399"/>
      <c r="I4992" s="1399"/>
      <c r="J4992" s="1399">
        <v>48602.720000000001</v>
      </c>
    </row>
    <row r="4993" spans="2:12">
      <c r="B4993" s="1297"/>
      <c r="C4993" s="1297"/>
      <c r="D4993" s="1297"/>
      <c r="E4993" s="1297" t="s">
        <v>943</v>
      </c>
      <c r="F4993" s="1399">
        <v>2251.8200000000002</v>
      </c>
      <c r="J4993" s="1399">
        <v>2251.8200000000002</v>
      </c>
    </row>
    <row r="4994" spans="2:12">
      <c r="B4994" s="1297"/>
      <c r="C4994" s="1297"/>
      <c r="D4994" s="1297"/>
      <c r="E4994" s="1297" t="s">
        <v>944</v>
      </c>
      <c r="F4994" s="1399">
        <v>248877.83</v>
      </c>
      <c r="J4994" s="1399">
        <v>248877.83</v>
      </c>
    </row>
    <row r="4995" spans="2:12">
      <c r="B4995" s="1297"/>
      <c r="C4995" s="1297"/>
      <c r="D4995" s="1297"/>
      <c r="E4995" s="1297" t="s">
        <v>945</v>
      </c>
      <c r="F4995" s="1399">
        <v>120632</v>
      </c>
      <c r="J4995" s="1399">
        <v>120632</v>
      </c>
    </row>
    <row r="4996" spans="2:12">
      <c r="B4996" s="1297"/>
      <c r="C4996" s="1297"/>
      <c r="D4996" s="1297"/>
      <c r="E4996" s="1297" t="s">
        <v>978</v>
      </c>
      <c r="F4996" s="1399">
        <v>1200</v>
      </c>
      <c r="J4996" s="1399">
        <v>1200</v>
      </c>
    </row>
    <row r="4997" spans="2:12">
      <c r="B4997" s="1297"/>
      <c r="C4997" s="1297"/>
      <c r="D4997" s="1297"/>
      <c r="E4997" s="1297" t="s">
        <v>947</v>
      </c>
      <c r="F4997" s="1399">
        <v>6900.13</v>
      </c>
      <c r="J4997" s="1399">
        <v>6900.13</v>
      </c>
    </row>
    <row r="4998" spans="2:12">
      <c r="B4998" s="1297"/>
      <c r="C4998" s="1297"/>
      <c r="D4998" s="1297"/>
      <c r="E4998" s="1404" t="s">
        <v>948</v>
      </c>
      <c r="F4998" s="1405"/>
      <c r="G4998" s="1405"/>
      <c r="H4998" s="1405">
        <v>3864.3799999999997</v>
      </c>
      <c r="I4998" s="1405"/>
      <c r="J4998" s="1405">
        <v>3864.3799999999997</v>
      </c>
    </row>
    <row r="4999" spans="2:12">
      <c r="B4999" s="1297"/>
      <c r="C4999" s="1297"/>
      <c r="D4999" s="1400" t="s">
        <v>1346</v>
      </c>
      <c r="E4999" s="1400"/>
      <c r="F4999" s="1401">
        <f>SUM(F4971:F4998)</f>
        <v>511627.78</v>
      </c>
      <c r="G4999" s="1401">
        <f>SUM(G4971:G4998)</f>
        <v>1382715.8399999999</v>
      </c>
      <c r="H4999" s="1401">
        <f>SUM(H4971:H4998)-H4998</f>
        <v>144905.1</v>
      </c>
      <c r="I4999" s="1401">
        <f>SUM(I4971:I4998)</f>
        <v>1406396.9300000002</v>
      </c>
      <c r="J4999" s="1401">
        <f>SUM(J4971:J4998)</f>
        <v>3449510.0299999989</v>
      </c>
      <c r="K4999" s="1401">
        <f>SUM(F4999:I4999)</f>
        <v>3445645.6500000004</v>
      </c>
      <c r="L4999" s="1408">
        <f>K4999/C4971</f>
        <v>17946.071093750001</v>
      </c>
    </row>
    <row r="5000" spans="2:12">
      <c r="B5000" s="1297" t="s">
        <v>1347</v>
      </c>
      <c r="C5000" s="1297">
        <v>3371</v>
      </c>
      <c r="D5000" s="1297" t="s">
        <v>1348</v>
      </c>
      <c r="E5000" s="1297" t="s">
        <v>906</v>
      </c>
      <c r="G5000" s="1399">
        <v>5374781.54</v>
      </c>
      <c r="J5000" s="1399">
        <v>5374781.54</v>
      </c>
    </row>
    <row r="5001" spans="2:12">
      <c r="B5001" s="1297"/>
      <c r="C5001" s="1297"/>
      <c r="D5001" s="1297"/>
      <c r="E5001" s="1297" t="s">
        <v>952</v>
      </c>
      <c r="G5001" s="1399">
        <v>45346.51</v>
      </c>
      <c r="J5001" s="1399">
        <v>45346.51</v>
      </c>
    </row>
    <row r="5002" spans="2:12">
      <c r="B5002" s="1297"/>
      <c r="C5002" s="1297"/>
      <c r="D5002" s="1297"/>
      <c r="E5002" s="1297" t="s">
        <v>907</v>
      </c>
      <c r="G5002" s="1399">
        <v>1903932.14</v>
      </c>
      <c r="J5002" s="1399">
        <v>1903932.14</v>
      </c>
    </row>
    <row r="5003" spans="2:12">
      <c r="B5003" s="1297"/>
      <c r="C5003" s="1297"/>
      <c r="D5003" s="1297"/>
      <c r="E5003" s="1297" t="s">
        <v>908</v>
      </c>
      <c r="G5003" s="1399">
        <v>5953.33</v>
      </c>
      <c r="J5003" s="1399">
        <v>5953.33</v>
      </c>
    </row>
    <row r="5004" spans="2:12">
      <c r="B5004" s="1297"/>
      <c r="C5004" s="1297"/>
      <c r="D5004" s="1297"/>
      <c r="E5004" s="1297" t="s">
        <v>909</v>
      </c>
      <c r="H5004" s="1399">
        <v>107274.58</v>
      </c>
      <c r="J5004" s="1399">
        <v>107274.58</v>
      </c>
    </row>
    <row r="5005" spans="2:12">
      <c r="B5005" s="1297"/>
      <c r="C5005" s="1297"/>
      <c r="D5005" s="1297"/>
      <c r="E5005" s="1297" t="s">
        <v>910</v>
      </c>
      <c r="H5005" s="1399">
        <v>47128.3</v>
      </c>
      <c r="J5005" s="1399">
        <v>47128.3</v>
      </c>
    </row>
    <row r="5006" spans="2:12">
      <c r="B5006" s="1297"/>
      <c r="C5006" s="1297"/>
      <c r="D5006" s="1297"/>
      <c r="E5006" s="1297" t="s">
        <v>1034</v>
      </c>
      <c r="H5006" s="1399">
        <v>59329.79</v>
      </c>
      <c r="J5006" s="1399">
        <v>59329.79</v>
      </c>
    </row>
    <row r="5007" spans="2:12">
      <c r="B5007" s="1297"/>
      <c r="C5007" s="1297"/>
      <c r="D5007" s="1297"/>
      <c r="E5007" s="1297" t="s">
        <v>1035</v>
      </c>
      <c r="H5007" s="1399">
        <v>363447.95999999996</v>
      </c>
      <c r="J5007" s="1399">
        <v>363447.95999999996</v>
      </c>
    </row>
    <row r="5008" spans="2:12">
      <c r="B5008" s="1297"/>
      <c r="C5008" s="1297"/>
      <c r="D5008" s="1297"/>
      <c r="E5008" s="1297" t="s">
        <v>1036</v>
      </c>
      <c r="H5008" s="1399">
        <v>141519.54</v>
      </c>
      <c r="J5008" s="1399">
        <v>141519.54</v>
      </c>
    </row>
    <row r="5009" spans="5:10" s="1297" customFormat="1">
      <c r="E5009" s="1297" t="s">
        <v>1039</v>
      </c>
      <c r="F5009" s="1399"/>
      <c r="G5009" s="1399"/>
      <c r="H5009" s="1399">
        <v>147009.94</v>
      </c>
      <c r="I5009" s="1399"/>
      <c r="J5009" s="1399">
        <v>147009.94</v>
      </c>
    </row>
    <row r="5010" spans="5:10" s="1297" customFormat="1">
      <c r="E5010" s="1297" t="s">
        <v>1040</v>
      </c>
      <c r="F5010" s="1399"/>
      <c r="G5010" s="1399"/>
      <c r="H5010" s="1399">
        <v>175129.85</v>
      </c>
      <c r="I5010" s="1399"/>
      <c r="J5010" s="1399">
        <v>175129.85</v>
      </c>
    </row>
    <row r="5011" spans="5:10" s="1297" customFormat="1">
      <c r="E5011" s="1297" t="s">
        <v>1041</v>
      </c>
      <c r="F5011" s="1399"/>
      <c r="G5011" s="1399"/>
      <c r="H5011" s="1399">
        <v>89593.05</v>
      </c>
      <c r="I5011" s="1399"/>
      <c r="J5011" s="1399">
        <v>89593.05</v>
      </c>
    </row>
    <row r="5012" spans="5:10" s="1297" customFormat="1">
      <c r="E5012" s="1297" t="s">
        <v>1042</v>
      </c>
      <c r="F5012" s="1399"/>
      <c r="G5012" s="1399"/>
      <c r="H5012" s="1399">
        <v>71041.75</v>
      </c>
      <c r="I5012" s="1399"/>
      <c r="J5012" s="1399">
        <v>71041.75</v>
      </c>
    </row>
    <row r="5013" spans="5:10" s="1297" customFormat="1">
      <c r="E5013" s="1297" t="s">
        <v>985</v>
      </c>
      <c r="F5013" s="1399"/>
      <c r="G5013" s="1399"/>
      <c r="H5013" s="1399">
        <v>70172.87</v>
      </c>
      <c r="I5013" s="1399"/>
      <c r="J5013" s="1399">
        <v>70172.87</v>
      </c>
    </row>
    <row r="5014" spans="5:10" s="1297" customFormat="1">
      <c r="E5014" s="1297" t="s">
        <v>1044</v>
      </c>
      <c r="F5014" s="1399">
        <v>34809.760000000002</v>
      </c>
      <c r="G5014" s="1399"/>
      <c r="H5014" s="1399"/>
      <c r="I5014" s="1399"/>
      <c r="J5014" s="1399">
        <v>34809.760000000002</v>
      </c>
    </row>
    <row r="5015" spans="5:10" s="1297" customFormat="1">
      <c r="E5015" s="1297" t="s">
        <v>1045</v>
      </c>
      <c r="F5015" s="1399"/>
      <c r="G5015" s="1399"/>
      <c r="H5015" s="1399">
        <v>391034.9</v>
      </c>
      <c r="I5015" s="1399"/>
      <c r="J5015" s="1399">
        <v>391034.9</v>
      </c>
    </row>
    <row r="5016" spans="5:10" s="1297" customFormat="1">
      <c r="E5016" s="1297" t="s">
        <v>1046</v>
      </c>
      <c r="F5016" s="1399"/>
      <c r="G5016" s="1399"/>
      <c r="H5016" s="1399"/>
      <c r="I5016" s="1399">
        <v>17424169</v>
      </c>
      <c r="J5016" s="1399">
        <v>17424169</v>
      </c>
    </row>
    <row r="5017" spans="5:10" s="1297" customFormat="1">
      <c r="E5017" s="1297" t="s">
        <v>1047</v>
      </c>
      <c r="F5017" s="1399"/>
      <c r="G5017" s="1399"/>
      <c r="H5017" s="1399"/>
      <c r="I5017" s="1399">
        <v>594847</v>
      </c>
      <c r="J5017" s="1399">
        <v>594847</v>
      </c>
    </row>
    <row r="5018" spans="5:10" s="1297" customFormat="1">
      <c r="E5018" s="1297" t="s">
        <v>1048</v>
      </c>
      <c r="F5018" s="1399"/>
      <c r="G5018" s="1399"/>
      <c r="H5018" s="1399"/>
      <c r="I5018" s="1399">
        <v>-1782286</v>
      </c>
      <c r="J5018" s="1399">
        <v>-1782286</v>
      </c>
    </row>
    <row r="5019" spans="5:10" s="1297" customFormat="1">
      <c r="E5019" s="1297" t="s">
        <v>932</v>
      </c>
      <c r="F5019" s="1399"/>
      <c r="G5019" s="1399"/>
      <c r="H5019" s="1399"/>
      <c r="I5019" s="1399">
        <v>1670361</v>
      </c>
      <c r="J5019" s="1399">
        <v>1670361</v>
      </c>
    </row>
    <row r="5020" spans="5:10" s="1297" customFormat="1">
      <c r="E5020" s="1404" t="s">
        <v>955</v>
      </c>
      <c r="F5020" s="1405"/>
      <c r="G5020" s="1405"/>
      <c r="H5020" s="1405"/>
      <c r="I5020" s="1405">
        <v>956148.5</v>
      </c>
      <c r="J5020" s="1405">
        <v>956148.5</v>
      </c>
    </row>
    <row r="5021" spans="5:10" s="1297" customFormat="1">
      <c r="E5021" s="1297" t="s">
        <v>934</v>
      </c>
      <c r="F5021" s="1399"/>
      <c r="G5021" s="1399"/>
      <c r="H5021" s="1399"/>
      <c r="I5021" s="1399">
        <v>57732</v>
      </c>
      <c r="J5021" s="1399">
        <v>57732</v>
      </c>
    </row>
    <row r="5022" spans="5:10" s="1297" customFormat="1">
      <c r="E5022" s="1297" t="s">
        <v>935</v>
      </c>
      <c r="F5022" s="1399"/>
      <c r="G5022" s="1399"/>
      <c r="H5022" s="1399"/>
      <c r="I5022" s="1399">
        <v>432381.18000000005</v>
      </c>
      <c r="J5022" s="1399">
        <v>432381.18000000005</v>
      </c>
    </row>
    <row r="5023" spans="5:10" s="1297" customFormat="1">
      <c r="E5023" s="1297" t="s">
        <v>936</v>
      </c>
      <c r="F5023" s="1399"/>
      <c r="G5023" s="1399"/>
      <c r="H5023" s="1399"/>
      <c r="I5023" s="1399">
        <v>60926.19</v>
      </c>
      <c r="J5023" s="1399">
        <v>60926.19</v>
      </c>
    </row>
    <row r="5024" spans="5:10" s="1297" customFormat="1">
      <c r="E5024" s="1297" t="s">
        <v>937</v>
      </c>
      <c r="F5024" s="1399"/>
      <c r="G5024" s="1399"/>
      <c r="H5024" s="1399"/>
      <c r="I5024" s="1399">
        <v>12061.58</v>
      </c>
      <c r="J5024" s="1399">
        <v>12061.58</v>
      </c>
    </row>
    <row r="5025" spans="2:12">
      <c r="B5025" s="1297"/>
      <c r="C5025" s="1297"/>
      <c r="D5025" s="1297"/>
      <c r="E5025" s="1297" t="s">
        <v>938</v>
      </c>
      <c r="I5025" s="1399">
        <v>20775</v>
      </c>
      <c r="J5025" s="1399">
        <v>20775</v>
      </c>
    </row>
    <row r="5026" spans="2:12">
      <c r="B5026" s="1297"/>
      <c r="C5026" s="1297"/>
      <c r="D5026" s="1297"/>
      <c r="E5026" s="1297" t="s">
        <v>940</v>
      </c>
      <c r="F5026" s="1399">
        <v>1106491.26</v>
      </c>
      <c r="J5026" s="1399">
        <v>1106491.26</v>
      </c>
    </row>
    <row r="5027" spans="2:12">
      <c r="B5027" s="1297"/>
      <c r="C5027" s="1297"/>
      <c r="D5027" s="1297"/>
      <c r="E5027" s="1297" t="s">
        <v>941</v>
      </c>
      <c r="F5027" s="1399">
        <v>419711.74</v>
      </c>
      <c r="J5027" s="1399">
        <v>419711.74</v>
      </c>
    </row>
    <row r="5028" spans="2:12">
      <c r="B5028" s="1297"/>
      <c r="C5028" s="1297"/>
      <c r="D5028" s="1297"/>
      <c r="E5028" s="1297" t="s">
        <v>942</v>
      </c>
      <c r="F5028" s="1399">
        <v>15719.6</v>
      </c>
      <c r="J5028" s="1399">
        <v>15719.6</v>
      </c>
    </row>
    <row r="5029" spans="2:12">
      <c r="B5029" s="1297"/>
      <c r="C5029" s="1297"/>
      <c r="D5029" s="1297"/>
      <c r="E5029" s="1297" t="s">
        <v>943</v>
      </c>
      <c r="F5029" s="1399">
        <v>3013.28</v>
      </c>
      <c r="J5029" s="1399">
        <v>3013.28</v>
      </c>
    </row>
    <row r="5030" spans="2:12">
      <c r="B5030" s="1297"/>
      <c r="C5030" s="1297"/>
      <c r="D5030" s="1297"/>
      <c r="E5030" s="1297" t="s">
        <v>944</v>
      </c>
      <c r="F5030" s="1399">
        <v>3000108.3799999994</v>
      </c>
      <c r="J5030" s="1399">
        <v>3000108.3799999994</v>
      </c>
    </row>
    <row r="5031" spans="2:12">
      <c r="B5031" s="1297"/>
      <c r="C5031" s="1297"/>
      <c r="D5031" s="1297"/>
      <c r="E5031" s="1297" t="s">
        <v>945</v>
      </c>
      <c r="F5031" s="1399">
        <v>1627079.61</v>
      </c>
      <c r="J5031" s="1399">
        <v>1627079.61</v>
      </c>
    </row>
    <row r="5032" spans="2:12">
      <c r="B5032" s="1297"/>
      <c r="C5032" s="1297"/>
      <c r="D5032" s="1297"/>
      <c r="E5032" s="1297" t="s">
        <v>946</v>
      </c>
      <c r="F5032" s="1399">
        <v>407241.64999999997</v>
      </c>
      <c r="J5032" s="1399">
        <v>407241.64999999997</v>
      </c>
    </row>
    <row r="5033" spans="2:12">
      <c r="B5033" s="1297"/>
      <c r="C5033" s="1297"/>
      <c r="D5033" s="1297"/>
      <c r="E5033" s="1297" t="s">
        <v>978</v>
      </c>
      <c r="F5033" s="1399">
        <v>1200</v>
      </c>
      <c r="J5033" s="1399">
        <v>1200</v>
      </c>
    </row>
    <row r="5034" spans="2:12">
      <c r="B5034" s="1297"/>
      <c r="C5034" s="1297"/>
      <c r="D5034" s="1297"/>
      <c r="E5034" s="1297" t="s">
        <v>947</v>
      </c>
      <c r="F5034" s="1399">
        <v>159426.62</v>
      </c>
      <c r="J5034" s="1399">
        <v>159426.62</v>
      </c>
    </row>
    <row r="5035" spans="2:12">
      <c r="B5035" s="1297"/>
      <c r="C5035" s="1297"/>
      <c r="D5035" s="1297"/>
      <c r="E5035" s="1404" t="s">
        <v>948</v>
      </c>
      <c r="F5035" s="1405"/>
      <c r="G5035" s="1405"/>
      <c r="H5035" s="1405">
        <v>481085.66000000009</v>
      </c>
      <c r="I5035" s="1405"/>
      <c r="J5035" s="1405">
        <v>481085.66000000009</v>
      </c>
    </row>
    <row r="5036" spans="2:12">
      <c r="B5036" s="1297"/>
      <c r="C5036" s="1297"/>
      <c r="D5036" s="1400" t="s">
        <v>1349</v>
      </c>
      <c r="E5036" s="1400"/>
      <c r="F5036" s="1401">
        <f>SUM(F5000:F5035)</f>
        <v>6774801.9000000004</v>
      </c>
      <c r="G5036" s="1401">
        <f>SUM(G5000:G5035)</f>
        <v>7330013.5199999996</v>
      </c>
      <c r="H5036" s="1401">
        <f>SUM(H5000:H5035)-H5035</f>
        <v>1662682.5299999998</v>
      </c>
      <c r="I5036" s="1401">
        <f>SUM(I5000:I5035)-I5020</f>
        <v>18490966.949999999</v>
      </c>
      <c r="J5036" s="1401">
        <f>SUM(J5000:J5035)</f>
        <v>35695699.059999995</v>
      </c>
      <c r="K5036" s="1401">
        <f>SUM(F5036:I5036)</f>
        <v>34258464.899999999</v>
      </c>
      <c r="L5036" s="1408">
        <f>K5036/C5000</f>
        <v>10162.700949273212</v>
      </c>
    </row>
    <row r="5037" spans="2:12">
      <c r="B5037" s="1297" t="s">
        <v>1350</v>
      </c>
      <c r="C5037" s="1297">
        <v>1502</v>
      </c>
      <c r="D5037" s="1297" t="s">
        <v>1351</v>
      </c>
      <c r="E5037" s="1297" t="s">
        <v>906</v>
      </c>
      <c r="G5037" s="1399">
        <v>2884862.53</v>
      </c>
      <c r="J5037" s="1399">
        <v>2884862.53</v>
      </c>
    </row>
    <row r="5038" spans="2:12">
      <c r="B5038" s="1297"/>
      <c r="C5038" s="1297"/>
      <c r="D5038" s="1297"/>
      <c r="E5038" s="1297" t="s">
        <v>952</v>
      </c>
      <c r="G5038" s="1399">
        <v>3958.28</v>
      </c>
      <c r="J5038" s="1399">
        <v>3958.28</v>
      </c>
    </row>
    <row r="5039" spans="2:12">
      <c r="B5039" s="1297"/>
      <c r="C5039" s="1297"/>
      <c r="D5039" s="1297"/>
      <c r="E5039" s="1297" t="s">
        <v>907</v>
      </c>
      <c r="G5039" s="1399">
        <v>781035.6</v>
      </c>
      <c r="J5039" s="1399">
        <v>781035.6</v>
      </c>
    </row>
    <row r="5040" spans="2:12">
      <c r="B5040" s="1297"/>
      <c r="C5040" s="1297"/>
      <c r="D5040" s="1297"/>
      <c r="E5040" s="1297" t="s">
        <v>908</v>
      </c>
      <c r="G5040" s="1399">
        <v>23463.89</v>
      </c>
      <c r="J5040" s="1399">
        <v>23463.89</v>
      </c>
    </row>
    <row r="5041" spans="5:10" s="1297" customFormat="1">
      <c r="E5041" s="1297" t="s">
        <v>910</v>
      </c>
      <c r="F5041" s="1399"/>
      <c r="G5041" s="1399"/>
      <c r="H5041" s="1399">
        <v>63555.44</v>
      </c>
      <c r="I5041" s="1399"/>
      <c r="J5041" s="1399">
        <v>63555.44</v>
      </c>
    </row>
    <row r="5042" spans="5:10" s="1297" customFormat="1">
      <c r="E5042" s="1297" t="s">
        <v>1035</v>
      </c>
      <c r="F5042" s="1399"/>
      <c r="G5042" s="1399"/>
      <c r="H5042" s="1399">
        <v>262713.86</v>
      </c>
      <c r="I5042" s="1399"/>
      <c r="J5042" s="1399">
        <v>262713.86</v>
      </c>
    </row>
    <row r="5043" spans="5:10" s="1297" customFormat="1">
      <c r="E5043" s="1297" t="s">
        <v>1036</v>
      </c>
      <c r="F5043" s="1399"/>
      <c r="G5043" s="1399"/>
      <c r="H5043" s="1399">
        <v>101886.37</v>
      </c>
      <c r="I5043" s="1399"/>
      <c r="J5043" s="1399">
        <v>101886.37</v>
      </c>
    </row>
    <row r="5044" spans="5:10" s="1297" customFormat="1">
      <c r="E5044" s="1297" t="s">
        <v>1037</v>
      </c>
      <c r="F5044" s="1399"/>
      <c r="G5044" s="1399"/>
      <c r="H5044" s="1399">
        <v>34456.019999999997</v>
      </c>
      <c r="I5044" s="1399"/>
      <c r="J5044" s="1399">
        <v>34456.019999999997</v>
      </c>
    </row>
    <row r="5045" spans="5:10" s="1297" customFormat="1">
      <c r="E5045" s="1297" t="s">
        <v>1039</v>
      </c>
      <c r="F5045" s="1399"/>
      <c r="G5045" s="1399"/>
      <c r="H5045" s="1399">
        <v>3007.9600000000005</v>
      </c>
      <c r="I5045" s="1399"/>
      <c r="J5045" s="1399">
        <v>3007.9600000000005</v>
      </c>
    </row>
    <row r="5046" spans="5:10" s="1297" customFormat="1">
      <c r="E5046" s="1297" t="s">
        <v>1040</v>
      </c>
      <c r="F5046" s="1399"/>
      <c r="G5046" s="1399"/>
      <c r="H5046" s="1399">
        <v>96615.11</v>
      </c>
      <c r="I5046" s="1399"/>
      <c r="J5046" s="1399">
        <v>96615.11</v>
      </c>
    </row>
    <row r="5047" spans="5:10" s="1297" customFormat="1">
      <c r="E5047" s="1297" t="s">
        <v>1041</v>
      </c>
      <c r="F5047" s="1399"/>
      <c r="G5047" s="1399"/>
      <c r="H5047" s="1399">
        <v>48221.75</v>
      </c>
      <c r="I5047" s="1399"/>
      <c r="J5047" s="1399">
        <v>48221.75</v>
      </c>
    </row>
    <row r="5048" spans="5:10" s="1297" customFormat="1">
      <c r="E5048" s="1297" t="s">
        <v>1042</v>
      </c>
      <c r="F5048" s="1399"/>
      <c r="G5048" s="1399"/>
      <c r="H5048" s="1399">
        <v>22280.959999999999</v>
      </c>
      <c r="I5048" s="1399"/>
      <c r="J5048" s="1399">
        <v>22280.959999999999</v>
      </c>
    </row>
    <row r="5049" spans="5:10" s="1297" customFormat="1">
      <c r="E5049" s="1297" t="s">
        <v>953</v>
      </c>
      <c r="F5049" s="1399"/>
      <c r="G5049" s="1399"/>
      <c r="H5049" s="1399">
        <v>48865.71</v>
      </c>
      <c r="I5049" s="1399"/>
      <c r="J5049" s="1399">
        <v>48865.71</v>
      </c>
    </row>
    <row r="5050" spans="5:10" s="1297" customFormat="1">
      <c r="E5050" s="1297" t="s">
        <v>1045</v>
      </c>
      <c r="F5050" s="1399"/>
      <c r="G5050" s="1399"/>
      <c r="H5050" s="1399">
        <v>143606.89000000001</v>
      </c>
      <c r="I5050" s="1399"/>
      <c r="J5050" s="1399">
        <v>143606.89000000001</v>
      </c>
    </row>
    <row r="5051" spans="5:10" s="1297" customFormat="1">
      <c r="E5051" s="1297" t="s">
        <v>1046</v>
      </c>
      <c r="F5051" s="1399"/>
      <c r="G5051" s="1399"/>
      <c r="H5051" s="1399"/>
      <c r="I5051" s="1399">
        <v>7755266</v>
      </c>
      <c r="J5051" s="1399">
        <v>7755266</v>
      </c>
    </row>
    <row r="5052" spans="5:10" s="1297" customFormat="1">
      <c r="E5052" s="1297" t="s">
        <v>1047</v>
      </c>
      <c r="F5052" s="1399"/>
      <c r="G5052" s="1399"/>
      <c r="H5052" s="1399"/>
      <c r="I5052" s="1399">
        <v>386013.53</v>
      </c>
      <c r="J5052" s="1399">
        <v>386013.53</v>
      </c>
    </row>
    <row r="5053" spans="5:10" s="1297" customFormat="1">
      <c r="E5053" s="1297" t="s">
        <v>1048</v>
      </c>
      <c r="F5053" s="1399"/>
      <c r="G5053" s="1399"/>
      <c r="H5053" s="1399"/>
      <c r="I5053" s="1399">
        <v>-944738</v>
      </c>
      <c r="J5053" s="1399">
        <v>-944738</v>
      </c>
    </row>
    <row r="5054" spans="5:10" s="1297" customFormat="1">
      <c r="E5054" s="1297" t="s">
        <v>932</v>
      </c>
      <c r="F5054" s="1399"/>
      <c r="G5054" s="1399"/>
      <c r="H5054" s="1399"/>
      <c r="I5054" s="1399">
        <v>711152</v>
      </c>
      <c r="J5054" s="1399">
        <v>711152</v>
      </c>
    </row>
    <row r="5055" spans="5:10" s="1297" customFormat="1">
      <c r="E5055" s="1404" t="s">
        <v>955</v>
      </c>
      <c r="F5055" s="1405"/>
      <c r="G5055" s="1405"/>
      <c r="H5055" s="1405"/>
      <c r="I5055" s="1405">
        <v>436921.78</v>
      </c>
      <c r="J5055" s="1405">
        <v>436921.78</v>
      </c>
    </row>
    <row r="5056" spans="5:10" s="1297" customFormat="1">
      <c r="E5056" s="1297" t="s">
        <v>934</v>
      </c>
      <c r="F5056" s="1399"/>
      <c r="G5056" s="1399"/>
      <c r="H5056" s="1399"/>
      <c r="I5056" s="1399">
        <v>26920</v>
      </c>
      <c r="J5056" s="1399">
        <v>26920</v>
      </c>
    </row>
    <row r="5057" spans="2:12">
      <c r="B5057" s="1297"/>
      <c r="C5057" s="1297"/>
      <c r="D5057" s="1297"/>
      <c r="E5057" s="1297" t="s">
        <v>935</v>
      </c>
      <c r="I5057" s="1399">
        <v>485725.00999999995</v>
      </c>
      <c r="J5057" s="1399">
        <v>485725.00999999995</v>
      </c>
    </row>
    <row r="5058" spans="2:12">
      <c r="B5058" s="1297"/>
      <c r="C5058" s="1297"/>
      <c r="D5058" s="1297"/>
      <c r="E5058" s="1297" t="s">
        <v>936</v>
      </c>
      <c r="I5058" s="1399">
        <v>33964.6</v>
      </c>
      <c r="J5058" s="1399">
        <v>33964.6</v>
      </c>
    </row>
    <row r="5059" spans="2:12">
      <c r="B5059" s="1297"/>
      <c r="C5059" s="1297"/>
      <c r="D5059" s="1297"/>
      <c r="E5059" s="1297" t="s">
        <v>938</v>
      </c>
      <c r="I5059" s="1399">
        <v>9919</v>
      </c>
      <c r="J5059" s="1399">
        <v>9919</v>
      </c>
    </row>
    <row r="5060" spans="2:12">
      <c r="B5060" s="1297"/>
      <c r="C5060" s="1297"/>
      <c r="D5060" s="1297"/>
      <c r="E5060" s="1297" t="s">
        <v>1131</v>
      </c>
      <c r="F5060" s="1399">
        <v>547325.94000000006</v>
      </c>
      <c r="J5060" s="1399">
        <v>547325.94000000006</v>
      </c>
    </row>
    <row r="5061" spans="2:12">
      <c r="B5061" s="1297"/>
      <c r="C5061" s="1297"/>
      <c r="D5061" s="1297"/>
      <c r="E5061" s="1297" t="s">
        <v>940</v>
      </c>
      <c r="F5061" s="1399">
        <v>444806.74</v>
      </c>
      <c r="J5061" s="1399">
        <v>444806.74</v>
      </c>
    </row>
    <row r="5062" spans="2:12">
      <c r="B5062" s="1297"/>
      <c r="C5062" s="1297"/>
      <c r="D5062" s="1297"/>
      <c r="E5062" s="1297" t="s">
        <v>941</v>
      </c>
      <c r="F5062" s="1399">
        <v>187889.8</v>
      </c>
      <c r="J5062" s="1399">
        <v>187889.8</v>
      </c>
    </row>
    <row r="5063" spans="2:12">
      <c r="B5063" s="1297"/>
      <c r="C5063" s="1297"/>
      <c r="D5063" s="1297"/>
      <c r="E5063" s="1297" t="s">
        <v>943</v>
      </c>
      <c r="F5063" s="1399">
        <v>8330.18</v>
      </c>
      <c r="J5063" s="1399">
        <v>8330.18</v>
      </c>
    </row>
    <row r="5064" spans="2:12">
      <c r="B5064" s="1297"/>
      <c r="C5064" s="1297"/>
      <c r="D5064" s="1297"/>
      <c r="E5064" s="1297" t="s">
        <v>944</v>
      </c>
      <c r="F5064" s="1399">
        <v>1969207.1300000001</v>
      </c>
      <c r="J5064" s="1399">
        <v>1969207.1300000001</v>
      </c>
    </row>
    <row r="5065" spans="2:12">
      <c r="B5065" s="1297"/>
      <c r="C5065" s="1297"/>
      <c r="D5065" s="1297"/>
      <c r="E5065" s="1297" t="s">
        <v>945</v>
      </c>
      <c r="F5065" s="1399">
        <v>735181.58000000007</v>
      </c>
      <c r="J5065" s="1399">
        <v>735181.58000000007</v>
      </c>
    </row>
    <row r="5066" spans="2:12">
      <c r="B5066" s="1297"/>
      <c r="C5066" s="1297"/>
      <c r="D5066" s="1297"/>
      <c r="E5066" s="1297" t="s">
        <v>978</v>
      </c>
      <c r="F5066" s="1399">
        <v>1200</v>
      </c>
      <c r="J5066" s="1399">
        <v>1200</v>
      </c>
    </row>
    <row r="5067" spans="2:12">
      <c r="B5067" s="1297"/>
      <c r="C5067" s="1297"/>
      <c r="D5067" s="1297"/>
      <c r="E5067" s="1297" t="s">
        <v>947</v>
      </c>
      <c r="F5067" s="1399">
        <v>51066.53</v>
      </c>
      <c r="J5067" s="1399">
        <v>51066.53</v>
      </c>
    </row>
    <row r="5068" spans="2:12">
      <c r="B5068" s="1297"/>
      <c r="C5068" s="1297"/>
      <c r="D5068" s="1297"/>
      <c r="E5068" s="1404" t="s">
        <v>948</v>
      </c>
      <c r="F5068" s="1405"/>
      <c r="G5068" s="1405"/>
      <c r="H5068" s="1405">
        <v>444256.26</v>
      </c>
      <c r="I5068" s="1405"/>
      <c r="J5068" s="1405">
        <v>444256.26</v>
      </c>
    </row>
    <row r="5069" spans="2:12">
      <c r="B5069" s="1297"/>
      <c r="C5069" s="1297"/>
      <c r="D5069" s="1297"/>
      <c r="E5069" s="1297" t="s">
        <v>1118</v>
      </c>
      <c r="H5069" s="1399">
        <v>5966.78</v>
      </c>
      <c r="J5069" s="1399">
        <v>5966.78</v>
      </c>
    </row>
    <row r="5070" spans="2:12">
      <c r="B5070" s="1297"/>
      <c r="C5070" s="1297"/>
      <c r="D5070" s="1400" t="s">
        <v>1352</v>
      </c>
      <c r="E5070" s="1400"/>
      <c r="F5070" s="1401">
        <f>SUM(F5037:F5069)</f>
        <v>3945007.9</v>
      </c>
      <c r="G5070" s="1401">
        <f>SUM(G5037:G5069)</f>
        <v>3693320.3</v>
      </c>
      <c r="H5070" s="1401">
        <f>SUM(H5037:H5069)-H5068</f>
        <v>831176.85000000009</v>
      </c>
      <c r="I5070" s="1401">
        <f>SUM(I5037:I5069)-I5055</f>
        <v>8464222.1400000006</v>
      </c>
      <c r="J5070" s="1401">
        <f>SUM(J5037:J5069)</f>
        <v>17814905.23</v>
      </c>
      <c r="K5070" s="1401">
        <f>SUM(F5070:I5070)</f>
        <v>16933727.189999998</v>
      </c>
      <c r="L5070" s="1408">
        <f>K5070/C5037</f>
        <v>11274.119300932089</v>
      </c>
    </row>
    <row r="5071" spans="2:12">
      <c r="B5071" s="1297" t="s">
        <v>1353</v>
      </c>
      <c r="C5071" s="1297">
        <v>1652</v>
      </c>
      <c r="D5071" s="1297" t="s">
        <v>1354</v>
      </c>
      <c r="E5071" s="1297" t="s">
        <v>906</v>
      </c>
      <c r="G5071" s="1399">
        <v>4106445.6</v>
      </c>
      <c r="J5071" s="1399">
        <v>4106445.6</v>
      </c>
    </row>
    <row r="5072" spans="2:12">
      <c r="B5072" s="1297"/>
      <c r="C5072" s="1297"/>
      <c r="D5072" s="1297"/>
      <c r="E5072" s="1297" t="s">
        <v>952</v>
      </c>
      <c r="G5072" s="1399">
        <v>14143.53</v>
      </c>
      <c r="J5072" s="1399">
        <v>14143.53</v>
      </c>
    </row>
    <row r="5073" spans="5:10" s="1297" customFormat="1">
      <c r="E5073" s="1297" t="s">
        <v>907</v>
      </c>
      <c r="F5073" s="1399"/>
      <c r="G5073" s="1399">
        <v>1145725.8500000001</v>
      </c>
      <c r="H5073" s="1399"/>
      <c r="I5073" s="1399"/>
      <c r="J5073" s="1399">
        <v>1145725.8500000001</v>
      </c>
    </row>
    <row r="5074" spans="5:10" s="1297" customFormat="1">
      <c r="E5074" s="1297" t="s">
        <v>908</v>
      </c>
      <c r="F5074" s="1399"/>
      <c r="G5074" s="1399">
        <v>20589.2</v>
      </c>
      <c r="H5074" s="1399"/>
      <c r="I5074" s="1399"/>
      <c r="J5074" s="1399">
        <v>20589.2</v>
      </c>
    </row>
    <row r="5075" spans="5:10" s="1297" customFormat="1">
      <c r="E5075" s="1297" t="s">
        <v>909</v>
      </c>
      <c r="F5075" s="1399"/>
      <c r="G5075" s="1399"/>
      <c r="H5075" s="1399">
        <v>58149.1</v>
      </c>
      <c r="I5075" s="1399"/>
      <c r="J5075" s="1399">
        <v>58149.1</v>
      </c>
    </row>
    <row r="5076" spans="5:10" s="1297" customFormat="1">
      <c r="E5076" s="1297" t="s">
        <v>910</v>
      </c>
      <c r="F5076" s="1399"/>
      <c r="G5076" s="1399"/>
      <c r="H5076" s="1399">
        <v>53485.98</v>
      </c>
      <c r="I5076" s="1399"/>
      <c r="J5076" s="1399">
        <v>53485.98</v>
      </c>
    </row>
    <row r="5077" spans="5:10" s="1297" customFormat="1">
      <c r="E5077" s="1297" t="s">
        <v>1035</v>
      </c>
      <c r="F5077" s="1399"/>
      <c r="G5077" s="1399"/>
      <c r="H5077" s="1399">
        <v>184711.44</v>
      </c>
      <c r="I5077" s="1399"/>
      <c r="J5077" s="1399">
        <v>184711.44</v>
      </c>
    </row>
    <row r="5078" spans="5:10" s="1297" customFormat="1">
      <c r="E5078" s="1297" t="s">
        <v>1036</v>
      </c>
      <c r="F5078" s="1399"/>
      <c r="G5078" s="1399"/>
      <c r="H5078" s="1399">
        <v>42994.6</v>
      </c>
      <c r="I5078" s="1399"/>
      <c r="J5078" s="1399">
        <v>42994.6</v>
      </c>
    </row>
    <row r="5079" spans="5:10" s="1297" customFormat="1">
      <c r="E5079" s="1297" t="s">
        <v>1039</v>
      </c>
      <c r="F5079" s="1399"/>
      <c r="G5079" s="1399"/>
      <c r="H5079" s="1399">
        <v>8781.0199999999986</v>
      </c>
      <c r="I5079" s="1399"/>
      <c r="J5079" s="1399">
        <v>8781.0199999999986</v>
      </c>
    </row>
    <row r="5080" spans="5:10" s="1297" customFormat="1">
      <c r="E5080" s="1297" t="s">
        <v>1040</v>
      </c>
      <c r="F5080" s="1399"/>
      <c r="G5080" s="1399"/>
      <c r="H5080" s="1399">
        <v>0</v>
      </c>
      <c r="I5080" s="1399"/>
      <c r="J5080" s="1399">
        <v>0</v>
      </c>
    </row>
    <row r="5081" spans="5:10" s="1297" customFormat="1">
      <c r="E5081" s="1297" t="s">
        <v>1041</v>
      </c>
      <c r="F5081" s="1399"/>
      <c r="G5081" s="1399"/>
      <c r="H5081" s="1399">
        <v>29018.050000000003</v>
      </c>
      <c r="I5081" s="1399"/>
      <c r="J5081" s="1399">
        <v>29018.050000000003</v>
      </c>
    </row>
    <row r="5082" spans="5:10" s="1297" customFormat="1">
      <c r="E5082" s="1297" t="s">
        <v>1042</v>
      </c>
      <c r="F5082" s="1399"/>
      <c r="G5082" s="1399"/>
      <c r="H5082" s="1399">
        <v>22978.25</v>
      </c>
      <c r="I5082" s="1399"/>
      <c r="J5082" s="1399">
        <v>22978.25</v>
      </c>
    </row>
    <row r="5083" spans="5:10" s="1297" customFormat="1">
      <c r="E5083" s="1297" t="s">
        <v>953</v>
      </c>
      <c r="F5083" s="1399"/>
      <c r="G5083" s="1399"/>
      <c r="H5083" s="1399">
        <v>20232.27</v>
      </c>
      <c r="I5083" s="1399"/>
      <c r="J5083" s="1399">
        <v>20232.27</v>
      </c>
    </row>
    <row r="5084" spans="5:10" s="1297" customFormat="1">
      <c r="E5084" s="1297" t="s">
        <v>1044</v>
      </c>
      <c r="F5084" s="1399">
        <v>3000</v>
      </c>
      <c r="G5084" s="1399"/>
      <c r="H5084" s="1399"/>
      <c r="I5084" s="1399"/>
      <c r="J5084" s="1399">
        <v>3000</v>
      </c>
    </row>
    <row r="5085" spans="5:10" s="1297" customFormat="1">
      <c r="E5085" s="1297" t="s">
        <v>1045</v>
      </c>
      <c r="F5085" s="1399"/>
      <c r="G5085" s="1399"/>
      <c r="H5085" s="1399">
        <v>75360.650000000009</v>
      </c>
      <c r="I5085" s="1399"/>
      <c r="J5085" s="1399">
        <v>75360.650000000009</v>
      </c>
    </row>
    <row r="5086" spans="5:10" s="1297" customFormat="1">
      <c r="E5086" s="1297" t="s">
        <v>1046</v>
      </c>
      <c r="F5086" s="1399"/>
      <c r="G5086" s="1399"/>
      <c r="H5086" s="1399"/>
      <c r="I5086" s="1399">
        <v>8455039</v>
      </c>
      <c r="J5086" s="1399">
        <v>8455039</v>
      </c>
    </row>
    <row r="5087" spans="5:10" s="1297" customFormat="1">
      <c r="E5087" s="1297" t="s">
        <v>1047</v>
      </c>
      <c r="F5087" s="1399"/>
      <c r="G5087" s="1399"/>
      <c r="H5087" s="1399"/>
      <c r="I5087" s="1399">
        <v>373737</v>
      </c>
      <c r="J5087" s="1399">
        <v>373737</v>
      </c>
    </row>
    <row r="5088" spans="5:10" s="1297" customFormat="1">
      <c r="E5088" s="1297" t="s">
        <v>1048</v>
      </c>
      <c r="F5088" s="1399"/>
      <c r="G5088" s="1399"/>
      <c r="H5088" s="1399"/>
      <c r="I5088" s="1399">
        <v>-1407869</v>
      </c>
      <c r="J5088" s="1399">
        <v>-1407869</v>
      </c>
    </row>
    <row r="5089" spans="2:12">
      <c r="B5089" s="1297"/>
      <c r="C5089" s="1297"/>
      <c r="D5089" s="1297"/>
      <c r="E5089" s="1297" t="s">
        <v>932</v>
      </c>
      <c r="I5089" s="1399">
        <v>531227</v>
      </c>
      <c r="J5089" s="1399">
        <v>531227</v>
      </c>
    </row>
    <row r="5090" spans="2:12">
      <c r="B5090" s="1297"/>
      <c r="C5090" s="1297"/>
      <c r="D5090" s="1297"/>
      <c r="E5090" s="1404" t="s">
        <v>955</v>
      </c>
      <c r="F5090" s="1405"/>
      <c r="G5090" s="1405"/>
      <c r="H5090" s="1405"/>
      <c r="I5090" s="1405">
        <v>447508.28</v>
      </c>
      <c r="J5090" s="1405">
        <v>447508.28</v>
      </c>
    </row>
    <row r="5091" spans="2:12">
      <c r="B5091" s="1297"/>
      <c r="C5091" s="1297"/>
      <c r="D5091" s="1297"/>
      <c r="E5091" s="1297" t="s">
        <v>934</v>
      </c>
      <c r="I5091" s="1399">
        <v>29846</v>
      </c>
      <c r="J5091" s="1399">
        <v>29846</v>
      </c>
    </row>
    <row r="5092" spans="2:12">
      <c r="B5092" s="1297"/>
      <c r="C5092" s="1297"/>
      <c r="D5092" s="1297"/>
      <c r="E5092" s="1297" t="s">
        <v>935</v>
      </c>
      <c r="I5092" s="1399">
        <v>122484.77</v>
      </c>
      <c r="J5092" s="1399">
        <v>122484.77</v>
      </c>
    </row>
    <row r="5093" spans="2:12">
      <c r="B5093" s="1297"/>
      <c r="C5093" s="1297"/>
      <c r="D5093" s="1297"/>
      <c r="E5093" s="1297" t="s">
        <v>936</v>
      </c>
      <c r="I5093" s="1399">
        <v>32564</v>
      </c>
      <c r="J5093" s="1399">
        <v>32564</v>
      </c>
    </row>
    <row r="5094" spans="2:12">
      <c r="B5094" s="1297"/>
      <c r="C5094" s="1297"/>
      <c r="D5094" s="1297"/>
      <c r="E5094" s="1297" t="s">
        <v>937</v>
      </c>
      <c r="I5094" s="1399">
        <v>28849.759999999998</v>
      </c>
      <c r="J5094" s="1399">
        <v>28849.759999999998</v>
      </c>
    </row>
    <row r="5095" spans="2:12">
      <c r="B5095" s="1297"/>
      <c r="C5095" s="1297"/>
      <c r="D5095" s="1297"/>
      <c r="E5095" s="1297" t="s">
        <v>938</v>
      </c>
      <c r="I5095" s="1399">
        <v>6925</v>
      </c>
      <c r="J5095" s="1399">
        <v>6925</v>
      </c>
    </row>
    <row r="5096" spans="2:12">
      <c r="B5096" s="1297"/>
      <c r="C5096" s="1297"/>
      <c r="D5096" s="1297"/>
      <c r="E5096" s="1297" t="s">
        <v>939</v>
      </c>
      <c r="I5096" s="1399">
        <v>75580.160000000003</v>
      </c>
      <c r="J5096" s="1399">
        <v>75580.160000000003</v>
      </c>
    </row>
    <row r="5097" spans="2:12">
      <c r="B5097" s="1297"/>
      <c r="C5097" s="1297"/>
      <c r="D5097" s="1297"/>
      <c r="E5097" s="1297" t="s">
        <v>940</v>
      </c>
      <c r="F5097" s="1399">
        <v>571372.04</v>
      </c>
      <c r="J5097" s="1399">
        <v>571372.04</v>
      </c>
    </row>
    <row r="5098" spans="2:12">
      <c r="B5098" s="1297"/>
      <c r="C5098" s="1297"/>
      <c r="D5098" s="1297"/>
      <c r="E5098" s="1297" t="s">
        <v>941</v>
      </c>
      <c r="F5098" s="1399">
        <v>248554.46000000002</v>
      </c>
      <c r="J5098" s="1399">
        <v>248554.46000000002</v>
      </c>
    </row>
    <row r="5099" spans="2:12">
      <c r="B5099" s="1297"/>
      <c r="C5099" s="1297"/>
      <c r="D5099" s="1297"/>
      <c r="E5099" s="1297" t="s">
        <v>944</v>
      </c>
      <c r="F5099" s="1399">
        <v>1484689.6500000001</v>
      </c>
      <c r="J5099" s="1399">
        <v>1484689.6500000001</v>
      </c>
    </row>
    <row r="5100" spans="2:12">
      <c r="B5100" s="1297"/>
      <c r="C5100" s="1297"/>
      <c r="D5100" s="1297"/>
      <c r="E5100" s="1297" t="s">
        <v>945</v>
      </c>
      <c r="F5100" s="1399">
        <v>1036712.47</v>
      </c>
      <c r="J5100" s="1399">
        <v>1036712.47</v>
      </c>
    </row>
    <row r="5101" spans="2:12">
      <c r="B5101" s="1297"/>
      <c r="C5101" s="1297"/>
      <c r="D5101" s="1297"/>
      <c r="E5101" s="1297" t="s">
        <v>946</v>
      </c>
      <c r="F5101" s="1399">
        <v>261270.37</v>
      </c>
      <c r="J5101" s="1399">
        <v>261270.37</v>
      </c>
    </row>
    <row r="5102" spans="2:12">
      <c r="B5102" s="1297"/>
      <c r="C5102" s="1297"/>
      <c r="D5102" s="1297"/>
      <c r="E5102" s="1297" t="s">
        <v>947</v>
      </c>
      <c r="F5102" s="1399">
        <v>75575.350000000006</v>
      </c>
      <c r="J5102" s="1399">
        <v>75575.350000000006</v>
      </c>
    </row>
    <row r="5103" spans="2:12">
      <c r="B5103" s="1297"/>
      <c r="C5103" s="1297"/>
      <c r="D5103" s="1297"/>
      <c r="E5103" s="1404" t="s">
        <v>948</v>
      </c>
      <c r="F5103" s="1405"/>
      <c r="G5103" s="1405"/>
      <c r="H5103" s="1405">
        <v>153078.98000000001</v>
      </c>
      <c r="I5103" s="1405"/>
      <c r="J5103" s="1405">
        <v>153078.98000000001</v>
      </c>
    </row>
    <row r="5104" spans="2:12">
      <c r="B5104" s="1297"/>
      <c r="C5104" s="1297"/>
      <c r="D5104" s="1400" t="s">
        <v>1355</v>
      </c>
      <c r="E5104" s="1400"/>
      <c r="F5104" s="1401">
        <f>SUM(F5071:F5103)</f>
        <v>3681174.3400000003</v>
      </c>
      <c r="G5104" s="1401">
        <f>SUM(G5071:G5103)</f>
        <v>5286904.1800000006</v>
      </c>
      <c r="H5104" s="1401">
        <f>SUM(H5071:H5103)-H5103</f>
        <v>495711.3600000001</v>
      </c>
      <c r="I5104" s="1401">
        <f>SUM(I5071:I5103)-I5090</f>
        <v>8248383.6899999985</v>
      </c>
      <c r="J5104" s="1401">
        <f>SUM(J5071:J5103)</f>
        <v>18312760.829999998</v>
      </c>
      <c r="K5104" s="1401">
        <f>SUM(F5104:I5104)</f>
        <v>17712173.57</v>
      </c>
      <c r="L5104" s="1408">
        <f>K5104/C5071</f>
        <v>10721.654703389831</v>
      </c>
    </row>
    <row r="5105" spans="2:10" s="1297" customFormat="1">
      <c r="B5105" s="1297" t="s">
        <v>1356</v>
      </c>
      <c r="C5105" s="1297">
        <v>1406</v>
      </c>
      <c r="D5105" s="1297" t="s">
        <v>1357</v>
      </c>
      <c r="E5105" s="1297" t="s">
        <v>906</v>
      </c>
      <c r="F5105" s="1399"/>
      <c r="G5105" s="1399">
        <v>3832908.73</v>
      </c>
      <c r="H5105" s="1399"/>
      <c r="I5105" s="1399"/>
      <c r="J5105" s="1399">
        <v>3832908.73</v>
      </c>
    </row>
    <row r="5106" spans="2:10" s="1297" customFormat="1">
      <c r="E5106" s="1297" t="s">
        <v>952</v>
      </c>
      <c r="F5106" s="1399"/>
      <c r="G5106" s="1399">
        <v>25608.94</v>
      </c>
      <c r="H5106" s="1399"/>
      <c r="I5106" s="1399"/>
      <c r="J5106" s="1399">
        <v>25608.94</v>
      </c>
    </row>
    <row r="5107" spans="2:10" s="1297" customFormat="1">
      <c r="E5107" s="1297" t="s">
        <v>907</v>
      </c>
      <c r="F5107" s="1399"/>
      <c r="G5107" s="1399">
        <v>864491.59</v>
      </c>
      <c r="H5107" s="1399"/>
      <c r="I5107" s="1399"/>
      <c r="J5107" s="1399">
        <v>864491.59</v>
      </c>
    </row>
    <row r="5108" spans="2:10" s="1297" customFormat="1">
      <c r="E5108" s="1297" t="s">
        <v>908</v>
      </c>
      <c r="F5108" s="1399"/>
      <c r="G5108" s="1399">
        <v>15576.61</v>
      </c>
      <c r="H5108" s="1399"/>
      <c r="I5108" s="1399"/>
      <c r="J5108" s="1399">
        <v>15576.61</v>
      </c>
    </row>
    <row r="5109" spans="2:10" s="1297" customFormat="1">
      <c r="E5109" s="1297" t="s">
        <v>1034</v>
      </c>
      <c r="F5109" s="1399"/>
      <c r="G5109" s="1399"/>
      <c r="H5109" s="1399">
        <v>500</v>
      </c>
      <c r="I5109" s="1399"/>
      <c r="J5109" s="1399">
        <v>500</v>
      </c>
    </row>
    <row r="5110" spans="2:10" s="1297" customFormat="1">
      <c r="E5110" s="1297" t="s">
        <v>1037</v>
      </c>
      <c r="F5110" s="1399"/>
      <c r="G5110" s="1399"/>
      <c r="H5110" s="1399">
        <v>0</v>
      </c>
      <c r="I5110" s="1399"/>
      <c r="J5110" s="1399">
        <v>0</v>
      </c>
    </row>
    <row r="5111" spans="2:10" s="1297" customFormat="1">
      <c r="E5111" s="1297" t="s">
        <v>1038</v>
      </c>
      <c r="F5111" s="1399"/>
      <c r="G5111" s="1399"/>
      <c r="H5111" s="1399">
        <v>750</v>
      </c>
      <c r="I5111" s="1399"/>
      <c r="J5111" s="1399">
        <v>750</v>
      </c>
    </row>
    <row r="5112" spans="2:10" s="1297" customFormat="1">
      <c r="E5112" s="1297" t="s">
        <v>1039</v>
      </c>
      <c r="F5112" s="1399"/>
      <c r="G5112" s="1399"/>
      <c r="H5112" s="1399">
        <v>35045.630000000005</v>
      </c>
      <c r="I5112" s="1399"/>
      <c r="J5112" s="1399">
        <v>35045.630000000005</v>
      </c>
    </row>
    <row r="5113" spans="2:10" s="1297" customFormat="1">
      <c r="E5113" s="1297" t="s">
        <v>1041</v>
      </c>
      <c r="F5113" s="1399"/>
      <c r="G5113" s="1399"/>
      <c r="H5113" s="1399">
        <v>377.86</v>
      </c>
      <c r="I5113" s="1399"/>
      <c r="J5113" s="1399">
        <v>377.86</v>
      </c>
    </row>
    <row r="5114" spans="2:10" s="1297" customFormat="1">
      <c r="E5114" s="1297" t="s">
        <v>1042</v>
      </c>
      <c r="F5114" s="1399"/>
      <c r="G5114" s="1399"/>
      <c r="H5114" s="1399">
        <v>14851.8</v>
      </c>
      <c r="I5114" s="1399"/>
      <c r="J5114" s="1399">
        <v>14851.8</v>
      </c>
    </row>
    <row r="5115" spans="2:10" s="1297" customFormat="1">
      <c r="E5115" s="1297" t="s">
        <v>953</v>
      </c>
      <c r="F5115" s="1399"/>
      <c r="G5115" s="1399"/>
      <c r="H5115" s="1399">
        <v>23348</v>
      </c>
      <c r="I5115" s="1399"/>
      <c r="J5115" s="1399">
        <v>23348</v>
      </c>
    </row>
    <row r="5116" spans="2:10" s="1297" customFormat="1">
      <c r="E5116" s="1297" t="s">
        <v>986</v>
      </c>
      <c r="F5116" s="1399"/>
      <c r="G5116" s="1399"/>
      <c r="H5116" s="1399">
        <v>2025</v>
      </c>
      <c r="I5116" s="1399"/>
      <c r="J5116" s="1399">
        <v>2025</v>
      </c>
    </row>
    <row r="5117" spans="2:10" s="1297" customFormat="1">
      <c r="E5117" s="1297" t="s">
        <v>996</v>
      </c>
      <c r="F5117" s="1399"/>
      <c r="G5117" s="1399"/>
      <c r="H5117" s="1399">
        <v>2100</v>
      </c>
      <c r="I5117" s="1399"/>
      <c r="J5117" s="1399">
        <v>2100</v>
      </c>
    </row>
    <row r="5118" spans="2:10" s="1297" customFormat="1">
      <c r="E5118" s="1297" t="s">
        <v>1044</v>
      </c>
      <c r="F5118" s="1399">
        <v>22322.33</v>
      </c>
      <c r="G5118" s="1399"/>
      <c r="H5118" s="1399"/>
      <c r="I5118" s="1399"/>
      <c r="J5118" s="1399">
        <v>22322.33</v>
      </c>
    </row>
    <row r="5119" spans="2:10" s="1297" customFormat="1">
      <c r="E5119" s="1297" t="s">
        <v>1045</v>
      </c>
      <c r="F5119" s="1399"/>
      <c r="G5119" s="1399"/>
      <c r="H5119" s="1399">
        <v>130694.13999999998</v>
      </c>
      <c r="I5119" s="1399"/>
      <c r="J5119" s="1399">
        <v>130694.13999999998</v>
      </c>
    </row>
    <row r="5120" spans="2:10" s="1297" customFormat="1">
      <c r="E5120" s="1297" t="s">
        <v>1046</v>
      </c>
      <c r="F5120" s="1399"/>
      <c r="G5120" s="1399"/>
      <c r="H5120" s="1399"/>
      <c r="I5120" s="1399">
        <v>7502711</v>
      </c>
      <c r="J5120" s="1399">
        <v>7502711</v>
      </c>
    </row>
    <row r="5121" spans="5:10" s="1297" customFormat="1">
      <c r="E5121" s="1297" t="s">
        <v>1047</v>
      </c>
      <c r="F5121" s="1399"/>
      <c r="G5121" s="1399"/>
      <c r="H5121" s="1399"/>
      <c r="I5121" s="1399">
        <v>304309</v>
      </c>
      <c r="J5121" s="1399">
        <v>304309</v>
      </c>
    </row>
    <row r="5122" spans="5:10" s="1297" customFormat="1">
      <c r="E5122" s="1297" t="s">
        <v>1048</v>
      </c>
      <c r="F5122" s="1399"/>
      <c r="G5122" s="1399"/>
      <c r="H5122" s="1399"/>
      <c r="I5122" s="1399">
        <v>-1085451</v>
      </c>
      <c r="J5122" s="1399">
        <v>-1085451</v>
      </c>
    </row>
    <row r="5123" spans="5:10" s="1297" customFormat="1">
      <c r="E5123" s="1297" t="s">
        <v>932</v>
      </c>
      <c r="F5123" s="1399"/>
      <c r="G5123" s="1399"/>
      <c r="H5123" s="1399"/>
      <c r="I5123" s="1399">
        <v>630869</v>
      </c>
      <c r="J5123" s="1399">
        <v>630869</v>
      </c>
    </row>
    <row r="5124" spans="5:10" s="1297" customFormat="1">
      <c r="E5124" s="1404" t="s">
        <v>955</v>
      </c>
      <c r="F5124" s="1405"/>
      <c r="G5124" s="1405"/>
      <c r="H5124" s="1405"/>
      <c r="I5124" s="1405">
        <v>449371.1</v>
      </c>
      <c r="J5124" s="1405">
        <v>449371.1</v>
      </c>
    </row>
    <row r="5125" spans="5:10" s="1297" customFormat="1">
      <c r="E5125" s="1297" t="s">
        <v>934</v>
      </c>
      <c r="F5125" s="1399"/>
      <c r="G5125" s="1399"/>
      <c r="H5125" s="1399"/>
      <c r="I5125" s="1399">
        <v>30946</v>
      </c>
      <c r="J5125" s="1399">
        <v>30946</v>
      </c>
    </row>
    <row r="5126" spans="5:10" s="1297" customFormat="1">
      <c r="E5126" s="1297" t="s">
        <v>935</v>
      </c>
      <c r="F5126" s="1399"/>
      <c r="G5126" s="1399"/>
      <c r="H5126" s="1399"/>
      <c r="I5126" s="1399">
        <v>81283.61</v>
      </c>
      <c r="J5126" s="1399">
        <v>81283.61</v>
      </c>
    </row>
    <row r="5127" spans="5:10" s="1297" customFormat="1">
      <c r="E5127" s="1297" t="s">
        <v>936</v>
      </c>
      <c r="F5127" s="1399"/>
      <c r="G5127" s="1399"/>
      <c r="H5127" s="1399"/>
      <c r="I5127" s="1399">
        <v>31513.55</v>
      </c>
      <c r="J5127" s="1399">
        <v>31513.55</v>
      </c>
    </row>
    <row r="5128" spans="5:10" s="1297" customFormat="1">
      <c r="E5128" s="1297" t="s">
        <v>937</v>
      </c>
      <c r="F5128" s="1399"/>
      <c r="G5128" s="1399"/>
      <c r="H5128" s="1399"/>
      <c r="I5128" s="1399">
        <v>3373.96</v>
      </c>
      <c r="J5128" s="1399">
        <v>3373.96</v>
      </c>
    </row>
    <row r="5129" spans="5:10" s="1297" customFormat="1">
      <c r="E5129" s="1297" t="s">
        <v>938</v>
      </c>
      <c r="F5129" s="1399"/>
      <c r="G5129" s="1399"/>
      <c r="H5129" s="1399"/>
      <c r="I5129" s="1399">
        <v>8796</v>
      </c>
      <c r="J5129" s="1399">
        <v>8796</v>
      </c>
    </row>
    <row r="5130" spans="5:10" s="1297" customFormat="1">
      <c r="E5130" s="1297" t="s">
        <v>939</v>
      </c>
      <c r="F5130" s="1399"/>
      <c r="G5130" s="1399"/>
      <c r="H5130" s="1399"/>
      <c r="I5130" s="1399">
        <v>0</v>
      </c>
      <c r="J5130" s="1399">
        <v>0</v>
      </c>
    </row>
    <row r="5131" spans="5:10" s="1297" customFormat="1">
      <c r="E5131" s="1297" t="s">
        <v>940</v>
      </c>
      <c r="F5131" s="1399">
        <v>497395.78</v>
      </c>
      <c r="G5131" s="1399"/>
      <c r="H5131" s="1399"/>
      <c r="I5131" s="1399"/>
      <c r="J5131" s="1399">
        <v>497395.78</v>
      </c>
    </row>
    <row r="5132" spans="5:10" s="1297" customFormat="1">
      <c r="E5132" s="1297" t="s">
        <v>941</v>
      </c>
      <c r="F5132" s="1399">
        <v>201976.7</v>
      </c>
      <c r="G5132" s="1399"/>
      <c r="H5132" s="1399"/>
      <c r="I5132" s="1399"/>
      <c r="J5132" s="1399">
        <v>201976.7</v>
      </c>
    </row>
    <row r="5133" spans="5:10" s="1297" customFormat="1">
      <c r="E5133" s="1297" t="s">
        <v>943</v>
      </c>
      <c r="F5133" s="1399">
        <v>14549.88</v>
      </c>
      <c r="G5133" s="1399"/>
      <c r="H5133" s="1399"/>
      <c r="I5133" s="1399"/>
      <c r="J5133" s="1399">
        <v>14549.88</v>
      </c>
    </row>
    <row r="5134" spans="5:10" s="1297" customFormat="1">
      <c r="E5134" s="1297" t="s">
        <v>944</v>
      </c>
      <c r="F5134" s="1399">
        <v>1989576.8600000003</v>
      </c>
      <c r="G5134" s="1399"/>
      <c r="H5134" s="1399"/>
      <c r="I5134" s="1399"/>
      <c r="J5134" s="1399">
        <v>1989576.8600000003</v>
      </c>
    </row>
    <row r="5135" spans="5:10" s="1297" customFormat="1">
      <c r="E5135" s="1297" t="s">
        <v>945</v>
      </c>
      <c r="F5135" s="1399">
        <v>928489.05999999994</v>
      </c>
      <c r="G5135" s="1399"/>
      <c r="H5135" s="1399"/>
      <c r="I5135" s="1399"/>
      <c r="J5135" s="1399">
        <v>928489.05999999994</v>
      </c>
    </row>
    <row r="5136" spans="5:10" s="1297" customFormat="1">
      <c r="E5136" s="1297" t="s">
        <v>946</v>
      </c>
      <c r="F5136" s="1399">
        <v>62617.89</v>
      </c>
      <c r="G5136" s="1399"/>
      <c r="H5136" s="1399"/>
      <c r="I5136" s="1399"/>
      <c r="J5136" s="1399">
        <v>62617.89</v>
      </c>
    </row>
    <row r="5137" spans="2:12">
      <c r="B5137" s="1297"/>
      <c r="C5137" s="1297"/>
      <c r="D5137" s="1297"/>
      <c r="E5137" s="1297" t="s">
        <v>978</v>
      </c>
      <c r="F5137" s="1399">
        <v>0</v>
      </c>
      <c r="J5137" s="1399">
        <v>0</v>
      </c>
    </row>
    <row r="5138" spans="2:12">
      <c r="B5138" s="1297"/>
      <c r="C5138" s="1297"/>
      <c r="D5138" s="1297"/>
      <c r="E5138" s="1297" t="s">
        <v>947</v>
      </c>
      <c r="F5138" s="1399">
        <v>26094.02</v>
      </c>
      <c r="J5138" s="1399">
        <v>26094.02</v>
      </c>
    </row>
    <row r="5139" spans="2:12">
      <c r="B5139" s="1297"/>
      <c r="C5139" s="1297"/>
      <c r="D5139" s="1297"/>
      <c r="E5139" s="1297" t="s">
        <v>1115</v>
      </c>
      <c r="F5139" s="1399">
        <v>22844</v>
      </c>
      <c r="J5139" s="1399">
        <v>22844</v>
      </c>
    </row>
    <row r="5140" spans="2:12">
      <c r="B5140" s="1297"/>
      <c r="C5140" s="1297"/>
      <c r="D5140" s="1297"/>
      <c r="E5140" s="1404" t="s">
        <v>948</v>
      </c>
      <c r="F5140" s="1405"/>
      <c r="G5140" s="1405"/>
      <c r="H5140" s="1405">
        <v>19938.38</v>
      </c>
      <c r="I5140" s="1405"/>
      <c r="J5140" s="1405">
        <v>19938.38</v>
      </c>
    </row>
    <row r="5141" spans="2:12">
      <c r="B5141" s="1297"/>
      <c r="C5141" s="1297"/>
      <c r="D5141" s="1400" t="s">
        <v>1358</v>
      </c>
      <c r="E5141" s="1400"/>
      <c r="F5141" s="1401">
        <f>SUM(F5105:F5140)</f>
        <v>3765866.5200000005</v>
      </c>
      <c r="G5141" s="1401">
        <f>SUM(G5105:G5140)</f>
        <v>4738585.87</v>
      </c>
      <c r="H5141" s="1401">
        <f>SUM(H5105:H5140)-H5140</f>
        <v>209692.43</v>
      </c>
      <c r="I5141" s="1401">
        <f>SUM(I5105:I5140)-I5124</f>
        <v>7508351.1200000001</v>
      </c>
      <c r="J5141" s="1401">
        <f>SUM(J5105:J5140)</f>
        <v>16691805.420000002</v>
      </c>
      <c r="K5141" s="1401">
        <f>SUM(F5141:I5141)</f>
        <v>16222495.940000001</v>
      </c>
      <c r="L5141" s="1408">
        <f>K5141/C5105</f>
        <v>11538.048321479375</v>
      </c>
    </row>
    <row r="5142" spans="2:12">
      <c r="B5142" s="1297" t="s">
        <v>1359</v>
      </c>
      <c r="C5142" s="1297">
        <v>4928</v>
      </c>
      <c r="D5142" s="1297" t="s">
        <v>1360</v>
      </c>
      <c r="E5142" s="1297" t="s">
        <v>906</v>
      </c>
      <c r="G5142" s="1399">
        <v>11052332.74</v>
      </c>
      <c r="J5142" s="1399">
        <v>11052332.74</v>
      </c>
    </row>
    <row r="5143" spans="2:12">
      <c r="B5143" s="1297"/>
      <c r="C5143" s="1297"/>
      <c r="D5143" s="1297"/>
      <c r="E5143" s="1297" t="s">
        <v>952</v>
      </c>
      <c r="G5143" s="1399">
        <v>147169.04</v>
      </c>
      <c r="J5143" s="1399">
        <v>147169.04</v>
      </c>
    </row>
    <row r="5144" spans="2:12">
      <c r="B5144" s="1297"/>
      <c r="C5144" s="1297"/>
      <c r="D5144" s="1297"/>
      <c r="E5144" s="1297" t="s">
        <v>907</v>
      </c>
      <c r="G5144" s="1399">
        <v>4863744.0299999993</v>
      </c>
      <c r="J5144" s="1399">
        <v>4863744.0299999993</v>
      </c>
    </row>
    <row r="5145" spans="2:12">
      <c r="B5145" s="1297"/>
      <c r="C5145" s="1297"/>
      <c r="D5145" s="1297"/>
      <c r="E5145" s="1297" t="s">
        <v>908</v>
      </c>
      <c r="G5145" s="1399">
        <v>27643.86</v>
      </c>
      <c r="J5145" s="1399">
        <v>27643.86</v>
      </c>
    </row>
    <row r="5146" spans="2:12">
      <c r="B5146" s="1297"/>
      <c r="C5146" s="1297"/>
      <c r="D5146" s="1297"/>
      <c r="E5146" s="1297" t="s">
        <v>909</v>
      </c>
      <c r="H5146" s="1399">
        <v>17222.68</v>
      </c>
      <c r="J5146" s="1399">
        <v>17222.68</v>
      </c>
    </row>
    <row r="5147" spans="2:12">
      <c r="B5147" s="1297"/>
      <c r="C5147" s="1297"/>
      <c r="D5147" s="1297"/>
      <c r="E5147" s="1297" t="s">
        <v>910</v>
      </c>
      <c r="H5147" s="1399">
        <v>229897.93</v>
      </c>
      <c r="J5147" s="1399">
        <v>229897.93</v>
      </c>
    </row>
    <row r="5148" spans="2:12">
      <c r="B5148" s="1297"/>
      <c r="C5148" s="1297"/>
      <c r="D5148" s="1297"/>
      <c r="E5148" s="1297" t="s">
        <v>1034</v>
      </c>
      <c r="H5148" s="1399">
        <v>64276.409999999996</v>
      </c>
      <c r="J5148" s="1399">
        <v>64276.409999999996</v>
      </c>
    </row>
    <row r="5149" spans="2:12">
      <c r="B5149" s="1297"/>
      <c r="C5149" s="1297"/>
      <c r="D5149" s="1297"/>
      <c r="E5149" s="1297" t="s">
        <v>1035</v>
      </c>
      <c r="H5149" s="1399">
        <v>266357.65000000002</v>
      </c>
      <c r="J5149" s="1399">
        <v>266357.65000000002</v>
      </c>
    </row>
    <row r="5150" spans="2:12">
      <c r="B5150" s="1297"/>
      <c r="C5150" s="1297"/>
      <c r="D5150" s="1297"/>
      <c r="E5150" s="1297" t="s">
        <v>1036</v>
      </c>
      <c r="H5150" s="1399">
        <v>202328.16999999998</v>
      </c>
      <c r="J5150" s="1399">
        <v>202328.16999999998</v>
      </c>
    </row>
    <row r="5151" spans="2:12">
      <c r="B5151" s="1297"/>
      <c r="C5151" s="1297"/>
      <c r="D5151" s="1297"/>
      <c r="E5151" s="1297" t="s">
        <v>1037</v>
      </c>
      <c r="H5151" s="1399">
        <v>97896.58</v>
      </c>
      <c r="J5151" s="1399">
        <v>97896.58</v>
      </c>
    </row>
    <row r="5152" spans="2:12">
      <c r="B5152" s="1297"/>
      <c r="C5152" s="1297"/>
      <c r="D5152" s="1297"/>
      <c r="E5152" s="1297" t="s">
        <v>1039</v>
      </c>
      <c r="H5152" s="1399">
        <v>240642.54000000004</v>
      </c>
      <c r="J5152" s="1399">
        <v>240642.54000000004</v>
      </c>
    </row>
    <row r="5153" spans="5:10" s="1297" customFormat="1">
      <c r="E5153" s="1297" t="s">
        <v>1040</v>
      </c>
      <c r="F5153" s="1399"/>
      <c r="G5153" s="1399"/>
      <c r="H5153" s="1399">
        <v>361436.24</v>
      </c>
      <c r="I5153" s="1399"/>
      <c r="J5153" s="1399">
        <v>361436.24</v>
      </c>
    </row>
    <row r="5154" spans="5:10" s="1297" customFormat="1">
      <c r="E5154" s="1297" t="s">
        <v>1041</v>
      </c>
      <c r="F5154" s="1399"/>
      <c r="G5154" s="1399"/>
      <c r="H5154" s="1399">
        <v>45923.89</v>
      </c>
      <c r="I5154" s="1399"/>
      <c r="J5154" s="1399">
        <v>45923.89</v>
      </c>
    </row>
    <row r="5155" spans="5:10" s="1297" customFormat="1">
      <c r="E5155" s="1297" t="s">
        <v>1042</v>
      </c>
      <c r="F5155" s="1399"/>
      <c r="G5155" s="1399"/>
      <c r="H5155" s="1399">
        <v>81351.929999999993</v>
      </c>
      <c r="I5155" s="1399"/>
      <c r="J5155" s="1399">
        <v>81351.929999999993</v>
      </c>
    </row>
    <row r="5156" spans="5:10" s="1297" customFormat="1">
      <c r="E5156" s="1297" t="s">
        <v>986</v>
      </c>
      <c r="F5156" s="1399"/>
      <c r="G5156" s="1399"/>
      <c r="H5156" s="1399">
        <v>251425</v>
      </c>
      <c r="I5156" s="1399"/>
      <c r="J5156" s="1399">
        <v>251425</v>
      </c>
    </row>
    <row r="5157" spans="5:10" s="1297" customFormat="1">
      <c r="E5157" s="1297" t="s">
        <v>1044</v>
      </c>
      <c r="F5157" s="1399">
        <v>85400.06</v>
      </c>
      <c r="G5157" s="1399"/>
      <c r="H5157" s="1399"/>
      <c r="I5157" s="1399"/>
      <c r="J5157" s="1399">
        <v>85400.06</v>
      </c>
    </row>
    <row r="5158" spans="5:10" s="1297" customFormat="1">
      <c r="E5158" s="1297" t="s">
        <v>1045</v>
      </c>
      <c r="F5158" s="1399"/>
      <c r="G5158" s="1399"/>
      <c r="H5158" s="1399">
        <v>425367.86</v>
      </c>
      <c r="I5158" s="1399"/>
      <c r="J5158" s="1399">
        <v>425367.86</v>
      </c>
    </row>
    <row r="5159" spans="5:10" s="1297" customFormat="1">
      <c r="E5159" s="1297" t="s">
        <v>1046</v>
      </c>
      <c r="F5159" s="1399"/>
      <c r="G5159" s="1399"/>
      <c r="H5159" s="1399"/>
      <c r="I5159" s="1399">
        <v>26483478</v>
      </c>
      <c r="J5159" s="1399">
        <v>26483478</v>
      </c>
    </row>
    <row r="5160" spans="5:10" s="1297" customFormat="1">
      <c r="E5160" s="1297" t="s">
        <v>1128</v>
      </c>
      <c r="F5160" s="1399"/>
      <c r="G5160" s="1399"/>
      <c r="H5160" s="1399"/>
      <c r="I5160" s="1399">
        <v>2122023</v>
      </c>
      <c r="J5160" s="1399">
        <v>2122023</v>
      </c>
    </row>
    <row r="5161" spans="5:10" s="1297" customFormat="1">
      <c r="E5161" s="1297" t="s">
        <v>1129</v>
      </c>
      <c r="F5161" s="1399"/>
      <c r="G5161" s="1399"/>
      <c r="H5161" s="1399"/>
      <c r="I5161" s="1399">
        <v>-3701488</v>
      </c>
      <c r="J5161" s="1399">
        <v>-3701488</v>
      </c>
    </row>
    <row r="5162" spans="5:10" s="1297" customFormat="1">
      <c r="E5162" s="1297" t="s">
        <v>1047</v>
      </c>
      <c r="F5162" s="1399"/>
      <c r="G5162" s="1399"/>
      <c r="H5162" s="1399"/>
      <c r="I5162" s="1399">
        <v>909050</v>
      </c>
      <c r="J5162" s="1399">
        <v>909050</v>
      </c>
    </row>
    <row r="5163" spans="5:10" s="1297" customFormat="1">
      <c r="E5163" s="1297" t="s">
        <v>1048</v>
      </c>
      <c r="F5163" s="1399"/>
      <c r="G5163" s="1399"/>
      <c r="H5163" s="1399"/>
      <c r="I5163" s="1399">
        <v>-3984653</v>
      </c>
      <c r="J5163" s="1399">
        <v>-3984653</v>
      </c>
    </row>
    <row r="5164" spans="5:10" s="1297" customFormat="1">
      <c r="E5164" s="1297" t="s">
        <v>932</v>
      </c>
      <c r="F5164" s="1399"/>
      <c r="G5164" s="1399"/>
      <c r="H5164" s="1399"/>
      <c r="I5164" s="1399">
        <v>1570864</v>
      </c>
      <c r="J5164" s="1399">
        <v>1570864</v>
      </c>
    </row>
    <row r="5165" spans="5:10" s="1297" customFormat="1">
      <c r="E5165" s="1297" t="s">
        <v>933</v>
      </c>
      <c r="F5165" s="1399"/>
      <c r="G5165" s="1399"/>
      <c r="H5165" s="1399"/>
      <c r="I5165" s="1399">
        <v>1046005.15</v>
      </c>
      <c r="J5165" s="1399">
        <v>1046005.15</v>
      </c>
    </row>
    <row r="5166" spans="5:10" s="1297" customFormat="1">
      <c r="E5166" s="1297" t="s">
        <v>934</v>
      </c>
      <c r="F5166" s="1399"/>
      <c r="G5166" s="1399"/>
      <c r="H5166" s="1399"/>
      <c r="I5166" s="1399">
        <v>87802</v>
      </c>
      <c r="J5166" s="1399">
        <v>87802</v>
      </c>
    </row>
    <row r="5167" spans="5:10" s="1297" customFormat="1">
      <c r="E5167" s="1297" t="s">
        <v>1130</v>
      </c>
      <c r="F5167" s="1399"/>
      <c r="G5167" s="1399"/>
      <c r="H5167" s="1399"/>
      <c r="I5167" s="1399">
        <v>169706.9</v>
      </c>
      <c r="J5167" s="1399">
        <v>169706.9</v>
      </c>
    </row>
    <row r="5168" spans="5:10" s="1297" customFormat="1">
      <c r="E5168" s="1297" t="s">
        <v>935</v>
      </c>
      <c r="F5168" s="1399"/>
      <c r="G5168" s="1399"/>
      <c r="H5168" s="1399"/>
      <c r="I5168" s="1399">
        <v>2646370.11</v>
      </c>
      <c r="J5168" s="1399">
        <v>2646370.11</v>
      </c>
    </row>
    <row r="5169" spans="2:12">
      <c r="B5169" s="1297"/>
      <c r="C5169" s="1297"/>
      <c r="D5169" s="1297"/>
      <c r="E5169" s="1297" t="s">
        <v>936</v>
      </c>
      <c r="I5169" s="1399">
        <v>80184.47</v>
      </c>
      <c r="J5169" s="1399">
        <v>80184.47</v>
      </c>
    </row>
    <row r="5170" spans="2:12">
      <c r="B5170" s="1297"/>
      <c r="C5170" s="1297"/>
      <c r="D5170" s="1297"/>
      <c r="E5170" s="1297" t="s">
        <v>937</v>
      </c>
      <c r="I5170" s="1399">
        <v>28055.81</v>
      </c>
      <c r="J5170" s="1399">
        <v>28055.81</v>
      </c>
    </row>
    <row r="5171" spans="2:12">
      <c r="B5171" s="1297"/>
      <c r="C5171" s="1297"/>
      <c r="D5171" s="1297"/>
      <c r="E5171" s="1297" t="s">
        <v>938</v>
      </c>
      <c r="I5171" s="1399">
        <v>20962</v>
      </c>
      <c r="J5171" s="1399">
        <v>20962</v>
      </c>
    </row>
    <row r="5172" spans="2:12">
      <c r="B5172" s="1297"/>
      <c r="C5172" s="1297"/>
      <c r="D5172" s="1297"/>
      <c r="E5172" s="1297" t="s">
        <v>940</v>
      </c>
      <c r="F5172" s="1399">
        <v>1369287.9</v>
      </c>
      <c r="J5172" s="1399">
        <v>1369287.9</v>
      </c>
    </row>
    <row r="5173" spans="2:12">
      <c r="B5173" s="1297"/>
      <c r="C5173" s="1297"/>
      <c r="D5173" s="1297"/>
      <c r="E5173" s="1297" t="s">
        <v>941</v>
      </c>
      <c r="F5173" s="1399">
        <v>726157.36</v>
      </c>
      <c r="J5173" s="1399">
        <v>726157.36</v>
      </c>
    </row>
    <row r="5174" spans="2:12">
      <c r="B5174" s="1297"/>
      <c r="C5174" s="1297"/>
      <c r="D5174" s="1297"/>
      <c r="E5174" s="1297" t="s">
        <v>943</v>
      </c>
      <c r="F5174" s="1399">
        <v>4938.0200000000004</v>
      </c>
      <c r="J5174" s="1399">
        <v>4938.0200000000004</v>
      </c>
    </row>
    <row r="5175" spans="2:12">
      <c r="B5175" s="1297"/>
      <c r="C5175" s="1297"/>
      <c r="D5175" s="1297"/>
      <c r="E5175" s="1297" t="s">
        <v>944</v>
      </c>
      <c r="F5175" s="1399">
        <v>3587058.52</v>
      </c>
      <c r="J5175" s="1399">
        <v>3587058.52</v>
      </c>
    </row>
    <row r="5176" spans="2:12">
      <c r="B5176" s="1297"/>
      <c r="C5176" s="1297"/>
      <c r="D5176" s="1297"/>
      <c r="E5176" s="1297" t="s">
        <v>945</v>
      </c>
      <c r="F5176" s="1399">
        <v>2090976.3299999998</v>
      </c>
      <c r="J5176" s="1399">
        <v>2090976.3299999998</v>
      </c>
    </row>
    <row r="5177" spans="2:12">
      <c r="B5177" s="1297"/>
      <c r="C5177" s="1297"/>
      <c r="D5177" s="1297"/>
      <c r="E5177" s="1297" t="s">
        <v>947</v>
      </c>
      <c r="F5177" s="1399">
        <v>145756.12</v>
      </c>
      <c r="J5177" s="1399">
        <v>145756.12</v>
      </c>
    </row>
    <row r="5178" spans="2:12">
      <c r="B5178" s="1297"/>
      <c r="C5178" s="1297"/>
      <c r="D5178" s="1297"/>
      <c r="E5178" s="1404" t="s">
        <v>948</v>
      </c>
      <c r="F5178" s="1405"/>
      <c r="G5178" s="1405"/>
      <c r="H5178" s="1405">
        <v>1247652.1200000001</v>
      </c>
      <c r="I5178" s="1405"/>
      <c r="J5178" s="1405">
        <v>1247652.1200000001</v>
      </c>
    </row>
    <row r="5179" spans="2:12">
      <c r="B5179" s="1297"/>
      <c r="C5179" s="1297"/>
      <c r="D5179" s="1297"/>
      <c r="E5179" s="1297" t="s">
        <v>956</v>
      </c>
      <c r="H5179" s="1399">
        <v>499750</v>
      </c>
      <c r="J5179" s="1399">
        <v>499750</v>
      </c>
    </row>
    <row r="5180" spans="2:12">
      <c r="B5180" s="1297"/>
      <c r="C5180" s="1297"/>
      <c r="D5180" s="1400" t="s">
        <v>1361</v>
      </c>
      <c r="E5180" s="1400"/>
      <c r="F5180" s="1401">
        <f>SUM(F5142:F5179)</f>
        <v>8009574.3099999996</v>
      </c>
      <c r="G5180" s="1401">
        <f>SUM(G5142:G5179)</f>
        <v>16090889.669999998</v>
      </c>
      <c r="H5180" s="1401">
        <f>SUM(H5142:H5179)-H5178</f>
        <v>2783876.88</v>
      </c>
      <c r="I5180" s="1401">
        <f>SUM(I5142:I5179)</f>
        <v>27478360.439999994</v>
      </c>
      <c r="J5180" s="1401">
        <f>SUM(J5142:J5179)</f>
        <v>55610353.419999987</v>
      </c>
      <c r="K5180" s="1401">
        <f>SUM(F5180:I5180)</f>
        <v>54362701.29999999</v>
      </c>
      <c r="L5180" s="1408">
        <f>K5180/C5142</f>
        <v>11031.392309253244</v>
      </c>
    </row>
    <row r="5181" spans="2:12">
      <c r="B5181" s="1297" t="s">
        <v>1362</v>
      </c>
      <c r="C5181" s="1297">
        <v>7678</v>
      </c>
      <c r="D5181" s="1297" t="s">
        <v>1363</v>
      </c>
      <c r="E5181" s="1297" t="s">
        <v>906</v>
      </c>
      <c r="G5181" s="1399">
        <v>14196217.390000001</v>
      </c>
      <c r="J5181" s="1399">
        <v>14196217.390000001</v>
      </c>
    </row>
    <row r="5182" spans="2:12">
      <c r="B5182" s="1297"/>
      <c r="C5182" s="1297"/>
      <c r="D5182" s="1297"/>
      <c r="E5182" s="1297" t="s">
        <v>952</v>
      </c>
      <c r="G5182" s="1399">
        <v>161979.07</v>
      </c>
      <c r="J5182" s="1399">
        <v>161979.07</v>
      </c>
    </row>
    <row r="5183" spans="2:12">
      <c r="B5183" s="1297"/>
      <c r="C5183" s="1297"/>
      <c r="D5183" s="1297"/>
      <c r="E5183" s="1297" t="s">
        <v>907</v>
      </c>
      <c r="G5183" s="1399">
        <v>8008850.21</v>
      </c>
      <c r="J5183" s="1399">
        <v>8008850.21</v>
      </c>
    </row>
    <row r="5184" spans="2:12">
      <c r="B5184" s="1297"/>
      <c r="C5184" s="1297"/>
      <c r="D5184" s="1297"/>
      <c r="E5184" s="1297" t="s">
        <v>908</v>
      </c>
      <c r="G5184" s="1399">
        <v>16666.8</v>
      </c>
      <c r="J5184" s="1399">
        <v>16666.8</v>
      </c>
    </row>
    <row r="5185" spans="5:10" s="1297" customFormat="1">
      <c r="E5185" s="1297" t="s">
        <v>909</v>
      </c>
      <c r="F5185" s="1399"/>
      <c r="G5185" s="1399"/>
      <c r="H5185" s="1399">
        <v>16934.3</v>
      </c>
      <c r="I5185" s="1399"/>
      <c r="J5185" s="1399">
        <v>16934.3</v>
      </c>
    </row>
    <row r="5186" spans="5:10" s="1297" customFormat="1">
      <c r="E5186" s="1297" t="s">
        <v>910</v>
      </c>
      <c r="F5186" s="1399"/>
      <c r="G5186" s="1399"/>
      <c r="H5186" s="1399">
        <v>38305</v>
      </c>
      <c r="I5186" s="1399"/>
      <c r="J5186" s="1399">
        <v>38305</v>
      </c>
    </row>
    <row r="5187" spans="5:10" s="1297" customFormat="1">
      <c r="E5187" s="1297" t="s">
        <v>1034</v>
      </c>
      <c r="F5187" s="1399"/>
      <c r="G5187" s="1399"/>
      <c r="H5187" s="1399">
        <v>13260.8</v>
      </c>
      <c r="I5187" s="1399"/>
      <c r="J5187" s="1399">
        <v>13260.8</v>
      </c>
    </row>
    <row r="5188" spans="5:10" s="1297" customFormat="1">
      <c r="E5188" s="1297" t="s">
        <v>1035</v>
      </c>
      <c r="F5188" s="1399"/>
      <c r="G5188" s="1399"/>
      <c r="H5188" s="1399">
        <v>1146694.99</v>
      </c>
      <c r="I5188" s="1399"/>
      <c r="J5188" s="1399">
        <v>1146694.99</v>
      </c>
    </row>
    <row r="5189" spans="5:10" s="1297" customFormat="1">
      <c r="E5189" s="1297" t="s">
        <v>1036</v>
      </c>
      <c r="F5189" s="1399"/>
      <c r="G5189" s="1399"/>
      <c r="H5189" s="1399">
        <v>320151.27</v>
      </c>
      <c r="I5189" s="1399"/>
      <c r="J5189" s="1399">
        <v>320151.27</v>
      </c>
    </row>
    <row r="5190" spans="5:10" s="1297" customFormat="1">
      <c r="E5190" s="1297" t="s">
        <v>1003</v>
      </c>
      <c r="F5190" s="1399"/>
      <c r="G5190" s="1399"/>
      <c r="H5190" s="1399">
        <v>8778</v>
      </c>
      <c r="I5190" s="1399"/>
      <c r="J5190" s="1399">
        <v>8778</v>
      </c>
    </row>
    <row r="5191" spans="5:10" s="1297" customFormat="1">
      <c r="E5191" s="1297" t="s">
        <v>1039</v>
      </c>
      <c r="F5191" s="1399"/>
      <c r="G5191" s="1399"/>
      <c r="H5191" s="1399">
        <v>13749.26</v>
      </c>
      <c r="I5191" s="1399"/>
      <c r="J5191" s="1399">
        <v>13749.26</v>
      </c>
    </row>
    <row r="5192" spans="5:10" s="1297" customFormat="1">
      <c r="E5192" s="1297" t="s">
        <v>1040</v>
      </c>
      <c r="F5192" s="1399"/>
      <c r="G5192" s="1399"/>
      <c r="H5192" s="1399">
        <v>234071.84</v>
      </c>
      <c r="I5192" s="1399"/>
      <c r="J5192" s="1399">
        <v>234071.84</v>
      </c>
    </row>
    <row r="5193" spans="5:10" s="1297" customFormat="1">
      <c r="E5193" s="1297" t="s">
        <v>1127</v>
      </c>
      <c r="F5193" s="1399"/>
      <c r="G5193" s="1399"/>
      <c r="H5193" s="1399">
        <v>33465.759999999995</v>
      </c>
      <c r="I5193" s="1399"/>
      <c r="J5193" s="1399">
        <v>33465.759999999995</v>
      </c>
    </row>
    <row r="5194" spans="5:10" s="1297" customFormat="1">
      <c r="E5194" s="1297" t="s">
        <v>1041</v>
      </c>
      <c r="F5194" s="1399"/>
      <c r="G5194" s="1399"/>
      <c r="H5194" s="1399">
        <v>35672.719999999994</v>
      </c>
      <c r="I5194" s="1399"/>
      <c r="J5194" s="1399">
        <v>35672.719999999994</v>
      </c>
    </row>
    <row r="5195" spans="5:10" s="1297" customFormat="1">
      <c r="E5195" s="1297" t="s">
        <v>1042</v>
      </c>
      <c r="F5195" s="1399"/>
      <c r="G5195" s="1399"/>
      <c r="H5195" s="1399">
        <v>94087.930000000008</v>
      </c>
      <c r="I5195" s="1399"/>
      <c r="J5195" s="1399">
        <v>94087.930000000008</v>
      </c>
    </row>
    <row r="5196" spans="5:10" s="1297" customFormat="1">
      <c r="E5196" s="1297" t="s">
        <v>953</v>
      </c>
      <c r="F5196" s="1399"/>
      <c r="G5196" s="1399"/>
      <c r="H5196" s="1399">
        <v>3812.91</v>
      </c>
      <c r="I5196" s="1399"/>
      <c r="J5196" s="1399">
        <v>3812.91</v>
      </c>
    </row>
    <row r="5197" spans="5:10" s="1297" customFormat="1">
      <c r="E5197" s="1297" t="s">
        <v>1043</v>
      </c>
      <c r="F5197" s="1399"/>
      <c r="G5197" s="1399"/>
      <c r="H5197" s="1399">
        <v>26653.1</v>
      </c>
      <c r="I5197" s="1399"/>
      <c r="J5197" s="1399">
        <v>26653.1</v>
      </c>
    </row>
    <row r="5198" spans="5:10" s="1297" customFormat="1">
      <c r="E5198" s="1297" t="s">
        <v>986</v>
      </c>
      <c r="F5198" s="1399"/>
      <c r="G5198" s="1399"/>
      <c r="H5198" s="1399">
        <v>38091</v>
      </c>
      <c r="I5198" s="1399"/>
      <c r="J5198" s="1399">
        <v>38091</v>
      </c>
    </row>
    <row r="5199" spans="5:10" s="1297" customFormat="1">
      <c r="E5199" s="1297" t="s">
        <v>996</v>
      </c>
      <c r="F5199" s="1399"/>
      <c r="G5199" s="1399"/>
      <c r="H5199" s="1399">
        <v>1402.23</v>
      </c>
      <c r="I5199" s="1399"/>
      <c r="J5199" s="1399">
        <v>1402.23</v>
      </c>
    </row>
    <row r="5200" spans="5:10" s="1297" customFormat="1">
      <c r="E5200" s="1297" t="s">
        <v>1044</v>
      </c>
      <c r="F5200" s="1399">
        <v>63747.93</v>
      </c>
      <c r="G5200" s="1399"/>
      <c r="H5200" s="1399"/>
      <c r="I5200" s="1399"/>
      <c r="J5200" s="1399">
        <v>63747.93</v>
      </c>
    </row>
    <row r="5201" spans="5:10" s="1297" customFormat="1">
      <c r="E5201" s="1297" t="s">
        <v>1045</v>
      </c>
      <c r="F5201" s="1399"/>
      <c r="G5201" s="1399"/>
      <c r="H5201" s="1399">
        <v>419100.89999999991</v>
      </c>
      <c r="I5201" s="1399"/>
      <c r="J5201" s="1399">
        <v>419100.89999999991</v>
      </c>
    </row>
    <row r="5202" spans="5:10" s="1297" customFormat="1">
      <c r="E5202" s="1297" t="s">
        <v>1046</v>
      </c>
      <c r="F5202" s="1399"/>
      <c r="G5202" s="1399"/>
      <c r="H5202" s="1399"/>
      <c r="I5202" s="1399">
        <v>36882634</v>
      </c>
      <c r="J5202" s="1399">
        <v>36882634</v>
      </c>
    </row>
    <row r="5203" spans="5:10" s="1297" customFormat="1">
      <c r="E5203" s="1297" t="s">
        <v>1047</v>
      </c>
      <c r="F5203" s="1399"/>
      <c r="G5203" s="1399"/>
      <c r="H5203" s="1399"/>
      <c r="I5203" s="1399">
        <v>808412</v>
      </c>
      <c r="J5203" s="1399">
        <v>808412</v>
      </c>
    </row>
    <row r="5204" spans="5:10" s="1297" customFormat="1">
      <c r="E5204" s="1297" t="s">
        <v>1048</v>
      </c>
      <c r="F5204" s="1399"/>
      <c r="G5204" s="1399"/>
      <c r="H5204" s="1399"/>
      <c r="I5204" s="1399">
        <v>-4691522</v>
      </c>
      <c r="J5204" s="1399">
        <v>-4691522</v>
      </c>
    </row>
    <row r="5205" spans="5:10" s="1297" customFormat="1">
      <c r="E5205" s="1297" t="s">
        <v>932</v>
      </c>
      <c r="F5205" s="1399"/>
      <c r="G5205" s="1399"/>
      <c r="H5205" s="1399"/>
      <c r="I5205" s="1399">
        <v>3906251</v>
      </c>
      <c r="J5205" s="1399">
        <v>3906251</v>
      </c>
    </row>
    <row r="5206" spans="5:10" s="1297" customFormat="1">
      <c r="E5206" s="1404" t="s">
        <v>955</v>
      </c>
      <c r="F5206" s="1405"/>
      <c r="G5206" s="1405"/>
      <c r="H5206" s="1405"/>
      <c r="I5206" s="1405">
        <v>1341644.44</v>
      </c>
      <c r="J5206" s="1405">
        <v>1341644.44</v>
      </c>
    </row>
    <row r="5207" spans="5:10" s="1297" customFormat="1">
      <c r="E5207" s="1297" t="s">
        <v>934</v>
      </c>
      <c r="F5207" s="1399"/>
      <c r="G5207" s="1399"/>
      <c r="H5207" s="1399"/>
      <c r="I5207" s="1399">
        <v>123498</v>
      </c>
      <c r="J5207" s="1399">
        <v>123498</v>
      </c>
    </row>
    <row r="5208" spans="5:10" s="1297" customFormat="1">
      <c r="E5208" s="1297" t="s">
        <v>1130</v>
      </c>
      <c r="F5208" s="1399"/>
      <c r="G5208" s="1399"/>
      <c r="H5208" s="1399"/>
      <c r="I5208" s="1399">
        <v>101026.8</v>
      </c>
      <c r="J5208" s="1399">
        <v>101026.8</v>
      </c>
    </row>
    <row r="5209" spans="5:10" s="1297" customFormat="1">
      <c r="E5209" s="1297" t="s">
        <v>935</v>
      </c>
      <c r="F5209" s="1399"/>
      <c r="G5209" s="1399"/>
      <c r="H5209" s="1399"/>
      <c r="I5209" s="1399">
        <v>685603.53</v>
      </c>
      <c r="J5209" s="1399">
        <v>685603.53</v>
      </c>
    </row>
    <row r="5210" spans="5:10" s="1297" customFormat="1">
      <c r="E5210" s="1297" t="s">
        <v>936</v>
      </c>
      <c r="F5210" s="1399"/>
      <c r="G5210" s="1399"/>
      <c r="H5210" s="1399"/>
      <c r="I5210" s="1399">
        <v>100143.05</v>
      </c>
      <c r="J5210" s="1399">
        <v>100143.05</v>
      </c>
    </row>
    <row r="5211" spans="5:10" s="1297" customFormat="1">
      <c r="E5211" s="1297" t="s">
        <v>937</v>
      </c>
      <c r="F5211" s="1399"/>
      <c r="G5211" s="1399"/>
      <c r="H5211" s="1399"/>
      <c r="I5211" s="1399">
        <v>69433.62</v>
      </c>
      <c r="J5211" s="1399">
        <v>69433.62</v>
      </c>
    </row>
    <row r="5212" spans="5:10" s="1297" customFormat="1">
      <c r="E5212" s="1297" t="s">
        <v>938</v>
      </c>
      <c r="F5212" s="1399"/>
      <c r="G5212" s="1399"/>
      <c r="H5212" s="1399"/>
      <c r="I5212" s="1399">
        <v>26202</v>
      </c>
      <c r="J5212" s="1399">
        <v>26202</v>
      </c>
    </row>
    <row r="5213" spans="5:10" s="1297" customFormat="1">
      <c r="E5213" s="1297" t="s">
        <v>1131</v>
      </c>
      <c r="F5213" s="1399">
        <v>88538.46</v>
      </c>
      <c r="G5213" s="1399"/>
      <c r="H5213" s="1399"/>
      <c r="I5213" s="1399"/>
      <c r="J5213" s="1399">
        <v>88538.46</v>
      </c>
    </row>
    <row r="5214" spans="5:10" s="1297" customFormat="1">
      <c r="E5214" s="1297" t="s">
        <v>940</v>
      </c>
      <c r="F5214" s="1399">
        <v>2228891.2200000002</v>
      </c>
      <c r="G5214" s="1399"/>
      <c r="H5214" s="1399"/>
      <c r="I5214" s="1399"/>
      <c r="J5214" s="1399">
        <v>2228891.2200000002</v>
      </c>
    </row>
    <row r="5215" spans="5:10" s="1297" customFormat="1">
      <c r="E5215" s="1297" t="s">
        <v>941</v>
      </c>
      <c r="F5215" s="1399">
        <v>761862.24</v>
      </c>
      <c r="G5215" s="1399"/>
      <c r="H5215" s="1399"/>
      <c r="I5215" s="1399"/>
      <c r="J5215" s="1399">
        <v>761862.24</v>
      </c>
    </row>
    <row r="5216" spans="5:10" s="1297" customFormat="1">
      <c r="E5216" s="1297" t="s">
        <v>943</v>
      </c>
      <c r="F5216" s="1399">
        <v>39019.460000000006</v>
      </c>
      <c r="G5216" s="1399"/>
      <c r="H5216" s="1399"/>
      <c r="I5216" s="1399"/>
      <c r="J5216" s="1399">
        <v>39019.460000000006</v>
      </c>
    </row>
    <row r="5217" spans="2:12">
      <c r="B5217" s="1297"/>
      <c r="C5217" s="1297"/>
      <c r="D5217" s="1297"/>
      <c r="E5217" s="1297" t="s">
        <v>944</v>
      </c>
      <c r="F5217" s="1399">
        <v>6962582.2800000012</v>
      </c>
      <c r="J5217" s="1399">
        <v>6962582.2800000012</v>
      </c>
    </row>
    <row r="5218" spans="2:12">
      <c r="B5218" s="1297"/>
      <c r="C5218" s="1297"/>
      <c r="D5218" s="1297"/>
      <c r="E5218" s="1297" t="s">
        <v>945</v>
      </c>
      <c r="F5218" s="1399">
        <v>4753976.4400000004</v>
      </c>
      <c r="J5218" s="1399">
        <v>4753976.4400000004</v>
      </c>
    </row>
    <row r="5219" spans="2:12">
      <c r="B5219" s="1297"/>
      <c r="C5219" s="1297"/>
      <c r="D5219" s="1297"/>
      <c r="E5219" s="1297" t="s">
        <v>947</v>
      </c>
      <c r="F5219" s="1399">
        <v>208363.61000000002</v>
      </c>
      <c r="J5219" s="1399">
        <v>208363.61000000002</v>
      </c>
    </row>
    <row r="5220" spans="2:12">
      <c r="B5220" s="1297"/>
      <c r="C5220" s="1297"/>
      <c r="D5220" s="1297"/>
      <c r="E5220" s="1297" t="s">
        <v>1115</v>
      </c>
      <c r="F5220" s="1399">
        <v>20</v>
      </c>
      <c r="J5220" s="1399">
        <v>20</v>
      </c>
    </row>
    <row r="5221" spans="2:12">
      <c r="B5221" s="1297"/>
      <c r="C5221" s="1297"/>
      <c r="D5221" s="1297"/>
      <c r="E5221" s="1404" t="s">
        <v>948</v>
      </c>
      <c r="F5221" s="1405"/>
      <c r="G5221" s="1405"/>
      <c r="H5221" s="1405">
        <v>646226.12999999989</v>
      </c>
      <c r="I5221" s="1405"/>
      <c r="J5221" s="1405">
        <v>646226.12999999989</v>
      </c>
    </row>
    <row r="5222" spans="2:12">
      <c r="B5222" s="1297"/>
      <c r="C5222" s="1297"/>
      <c r="D5222" s="1297"/>
      <c r="E5222" s="1297" t="s">
        <v>956</v>
      </c>
      <c r="H5222" s="1399">
        <v>17650</v>
      </c>
      <c r="J5222" s="1399">
        <v>17650</v>
      </c>
    </row>
    <row r="5223" spans="2:12">
      <c r="B5223" s="1297"/>
      <c r="C5223" s="1297"/>
      <c r="D5223" s="1400" t="s">
        <v>1364</v>
      </c>
      <c r="E5223" s="1400"/>
      <c r="F5223" s="1401">
        <f>SUM(F5181:F5222)</f>
        <v>15107001.640000001</v>
      </c>
      <c r="G5223" s="1401">
        <f>SUM(G5181:G5222)</f>
        <v>22383713.470000003</v>
      </c>
      <c r="H5223" s="1401">
        <f>SUM(H5181:H5222)-H5221</f>
        <v>2461882.0099999998</v>
      </c>
      <c r="I5223" s="1401">
        <f>SUM(I5181:I5222)-I5206</f>
        <v>38011681.999999993</v>
      </c>
      <c r="J5223" s="1401">
        <f>SUM(J5181:J5222)</f>
        <v>79952149.689999983</v>
      </c>
      <c r="K5223" s="1401">
        <f>SUM(F5223:I5223)</f>
        <v>77964279.11999999</v>
      </c>
      <c r="L5223" s="1408">
        <f>K5223/C5181</f>
        <v>10154.243177910914</v>
      </c>
    </row>
    <row r="5224" spans="2:12">
      <c r="B5224" s="1297" t="s">
        <v>1365</v>
      </c>
      <c r="C5224" s="1297">
        <v>2818</v>
      </c>
      <c r="D5224" s="1297" t="s">
        <v>1366</v>
      </c>
      <c r="E5224" s="1297" t="s">
        <v>906</v>
      </c>
      <c r="G5224" s="1399">
        <v>3564532.1</v>
      </c>
      <c r="J5224" s="1399">
        <v>3564532.1</v>
      </c>
    </row>
    <row r="5225" spans="2:12">
      <c r="B5225" s="1297"/>
      <c r="C5225" s="1297"/>
      <c r="D5225" s="1297"/>
      <c r="E5225" s="1297" t="s">
        <v>907</v>
      </c>
      <c r="G5225" s="1399">
        <v>2346518.0299999998</v>
      </c>
      <c r="J5225" s="1399">
        <v>2346518.0299999998</v>
      </c>
    </row>
    <row r="5226" spans="2:12">
      <c r="B5226" s="1297"/>
      <c r="C5226" s="1297"/>
      <c r="D5226" s="1297"/>
      <c r="E5226" s="1297" t="s">
        <v>908</v>
      </c>
      <c r="G5226" s="1399">
        <v>39036.720000000001</v>
      </c>
      <c r="J5226" s="1399">
        <v>39036.720000000001</v>
      </c>
    </row>
    <row r="5227" spans="2:12">
      <c r="B5227" s="1297"/>
      <c r="C5227" s="1297"/>
      <c r="D5227" s="1297"/>
      <c r="E5227" s="1297" t="s">
        <v>909</v>
      </c>
      <c r="H5227" s="1399">
        <v>21846.12</v>
      </c>
      <c r="J5227" s="1399">
        <v>21846.12</v>
      </c>
    </row>
    <row r="5228" spans="2:12">
      <c r="B5228" s="1297"/>
      <c r="C5228" s="1297"/>
      <c r="D5228" s="1297"/>
      <c r="E5228" s="1297" t="s">
        <v>910</v>
      </c>
      <c r="H5228" s="1399">
        <v>36057.800000000003</v>
      </c>
      <c r="J5228" s="1399">
        <v>36057.800000000003</v>
      </c>
    </row>
    <row r="5229" spans="2:12">
      <c r="B5229" s="1297"/>
      <c r="C5229" s="1297"/>
      <c r="D5229" s="1297"/>
      <c r="E5229" s="1297" t="s">
        <v>1034</v>
      </c>
      <c r="H5229" s="1399">
        <v>62523</v>
      </c>
      <c r="J5229" s="1399">
        <v>62523</v>
      </c>
    </row>
    <row r="5230" spans="2:12">
      <c r="B5230" s="1297"/>
      <c r="C5230" s="1297"/>
      <c r="D5230" s="1297"/>
      <c r="E5230" s="1297" t="s">
        <v>1035</v>
      </c>
      <c r="H5230" s="1399">
        <v>269364.45</v>
      </c>
      <c r="J5230" s="1399">
        <v>269364.45</v>
      </c>
    </row>
    <row r="5231" spans="2:12">
      <c r="B5231" s="1297"/>
      <c r="C5231" s="1297"/>
      <c r="D5231" s="1297"/>
      <c r="E5231" s="1297" t="s">
        <v>1036</v>
      </c>
      <c r="H5231" s="1399">
        <v>107049.23</v>
      </c>
      <c r="J5231" s="1399">
        <v>107049.23</v>
      </c>
    </row>
    <row r="5232" spans="2:12">
      <c r="B5232" s="1297"/>
      <c r="C5232" s="1297"/>
      <c r="D5232" s="1297"/>
      <c r="E5232" s="1297" t="s">
        <v>1039</v>
      </c>
      <c r="H5232" s="1399">
        <v>20919.04</v>
      </c>
      <c r="J5232" s="1399">
        <v>20919.04</v>
      </c>
    </row>
    <row r="5233" spans="5:10" s="1297" customFormat="1">
      <c r="E5233" s="1297" t="s">
        <v>1040</v>
      </c>
      <c r="F5233" s="1399"/>
      <c r="G5233" s="1399"/>
      <c r="H5233" s="1399">
        <v>213983.46000000002</v>
      </c>
      <c r="I5233" s="1399"/>
      <c r="J5233" s="1399">
        <v>213983.46000000002</v>
      </c>
    </row>
    <row r="5234" spans="5:10" s="1297" customFormat="1">
      <c r="E5234" s="1297" t="s">
        <v>1041</v>
      </c>
      <c r="F5234" s="1399"/>
      <c r="G5234" s="1399"/>
      <c r="H5234" s="1399">
        <v>13253.619999999999</v>
      </c>
      <c r="I5234" s="1399"/>
      <c r="J5234" s="1399">
        <v>13253.619999999999</v>
      </c>
    </row>
    <row r="5235" spans="5:10" s="1297" customFormat="1">
      <c r="E5235" s="1297" t="s">
        <v>1042</v>
      </c>
      <c r="F5235" s="1399"/>
      <c r="G5235" s="1399"/>
      <c r="H5235" s="1399">
        <v>69353.03</v>
      </c>
      <c r="I5235" s="1399"/>
      <c r="J5235" s="1399">
        <v>69353.03</v>
      </c>
    </row>
    <row r="5236" spans="5:10" s="1297" customFormat="1">
      <c r="E5236" s="1297" t="s">
        <v>1044</v>
      </c>
      <c r="F5236" s="1399">
        <v>16291.76</v>
      </c>
      <c r="G5236" s="1399"/>
      <c r="H5236" s="1399"/>
      <c r="I5236" s="1399"/>
      <c r="J5236" s="1399">
        <v>16291.76</v>
      </c>
    </row>
    <row r="5237" spans="5:10" s="1297" customFormat="1">
      <c r="E5237" s="1297" t="s">
        <v>1045</v>
      </c>
      <c r="F5237" s="1399"/>
      <c r="G5237" s="1399"/>
      <c r="H5237" s="1399">
        <v>431322.26</v>
      </c>
      <c r="I5237" s="1399"/>
      <c r="J5237" s="1399">
        <v>431322.26</v>
      </c>
    </row>
    <row r="5238" spans="5:10" s="1297" customFormat="1">
      <c r="E5238" s="1297" t="s">
        <v>1046</v>
      </c>
      <c r="F5238" s="1399"/>
      <c r="G5238" s="1399"/>
      <c r="H5238" s="1399"/>
      <c r="I5238" s="1399">
        <v>14373324</v>
      </c>
      <c r="J5238" s="1399">
        <v>14373324</v>
      </c>
    </row>
    <row r="5239" spans="5:10" s="1297" customFormat="1">
      <c r="E5239" s="1297" t="s">
        <v>1047</v>
      </c>
      <c r="F5239" s="1399"/>
      <c r="G5239" s="1399"/>
      <c r="H5239" s="1399"/>
      <c r="I5239" s="1399">
        <v>524358</v>
      </c>
      <c r="J5239" s="1399">
        <v>524358</v>
      </c>
    </row>
    <row r="5240" spans="5:10" s="1297" customFormat="1">
      <c r="E5240" s="1297" t="s">
        <v>1048</v>
      </c>
      <c r="F5240" s="1399"/>
      <c r="G5240" s="1399"/>
      <c r="H5240" s="1399"/>
      <c r="I5240" s="1399">
        <v>-1354789</v>
      </c>
      <c r="J5240" s="1399">
        <v>-1354789</v>
      </c>
    </row>
    <row r="5241" spans="5:10" s="1297" customFormat="1">
      <c r="E5241" s="1297" t="s">
        <v>932</v>
      </c>
      <c r="F5241" s="1399"/>
      <c r="G5241" s="1399"/>
      <c r="H5241" s="1399"/>
      <c r="I5241" s="1399">
        <v>1564709</v>
      </c>
      <c r="J5241" s="1399">
        <v>1564709</v>
      </c>
    </row>
    <row r="5242" spans="5:10" s="1297" customFormat="1">
      <c r="E5242" s="1404" t="s">
        <v>955</v>
      </c>
      <c r="F5242" s="1405"/>
      <c r="G5242" s="1405"/>
      <c r="H5242" s="1405"/>
      <c r="I5242" s="1405">
        <v>950175.51</v>
      </c>
      <c r="J5242" s="1405">
        <v>950175.51</v>
      </c>
    </row>
    <row r="5243" spans="5:10" s="1297" customFormat="1">
      <c r="E5243" s="1297" t="s">
        <v>934</v>
      </c>
      <c r="F5243" s="1399"/>
      <c r="G5243" s="1399"/>
      <c r="H5243" s="1399"/>
      <c r="I5243" s="1399">
        <v>54868</v>
      </c>
      <c r="J5243" s="1399">
        <v>54868</v>
      </c>
    </row>
    <row r="5244" spans="5:10" s="1297" customFormat="1">
      <c r="E5244" s="1297" t="s">
        <v>935</v>
      </c>
      <c r="F5244" s="1399"/>
      <c r="G5244" s="1399"/>
      <c r="H5244" s="1399"/>
      <c r="I5244" s="1399">
        <v>324687.94</v>
      </c>
      <c r="J5244" s="1399">
        <v>324687.94</v>
      </c>
    </row>
    <row r="5245" spans="5:10" s="1297" customFormat="1">
      <c r="E5245" s="1297" t="s">
        <v>936</v>
      </c>
      <c r="F5245" s="1399"/>
      <c r="G5245" s="1399"/>
      <c r="H5245" s="1399"/>
      <c r="I5245" s="1399">
        <v>36765.81</v>
      </c>
      <c r="J5245" s="1399">
        <v>36765.81</v>
      </c>
    </row>
    <row r="5246" spans="5:10" s="1297" customFormat="1">
      <c r="E5246" s="1297" t="s">
        <v>938</v>
      </c>
      <c r="F5246" s="1399"/>
      <c r="G5246" s="1399"/>
      <c r="H5246" s="1399"/>
      <c r="I5246" s="1399">
        <v>17406</v>
      </c>
      <c r="J5246" s="1399">
        <v>17406</v>
      </c>
    </row>
    <row r="5247" spans="5:10" s="1297" customFormat="1">
      <c r="E5247" s="1297" t="s">
        <v>940</v>
      </c>
      <c r="F5247" s="1399">
        <v>943207.83000000007</v>
      </c>
      <c r="G5247" s="1399"/>
      <c r="H5247" s="1399"/>
      <c r="I5247" s="1399"/>
      <c r="J5247" s="1399">
        <v>943207.83000000007</v>
      </c>
    </row>
    <row r="5248" spans="5:10" s="1297" customFormat="1">
      <c r="E5248" s="1297" t="s">
        <v>941</v>
      </c>
      <c r="F5248" s="1399">
        <v>315420.45999999996</v>
      </c>
      <c r="G5248" s="1399"/>
      <c r="H5248" s="1399"/>
      <c r="I5248" s="1399"/>
      <c r="J5248" s="1399">
        <v>315420.45999999996</v>
      </c>
    </row>
    <row r="5249" spans="2:12">
      <c r="B5249" s="1297"/>
      <c r="C5249" s="1297"/>
      <c r="D5249" s="1297"/>
      <c r="E5249" s="1297" t="s">
        <v>942</v>
      </c>
      <c r="F5249" s="1399">
        <v>13478.900000000001</v>
      </c>
      <c r="J5249" s="1399">
        <v>13478.900000000001</v>
      </c>
    </row>
    <row r="5250" spans="2:12">
      <c r="B5250" s="1297"/>
      <c r="C5250" s="1297"/>
      <c r="D5250" s="1297"/>
      <c r="E5250" s="1297" t="s">
        <v>943</v>
      </c>
      <c r="F5250" s="1399">
        <v>8267.2799999999988</v>
      </c>
      <c r="J5250" s="1399">
        <v>8267.2799999999988</v>
      </c>
    </row>
    <row r="5251" spans="2:12">
      <c r="B5251" s="1297"/>
      <c r="C5251" s="1297"/>
      <c r="D5251" s="1297"/>
      <c r="E5251" s="1297" t="s">
        <v>944</v>
      </c>
      <c r="F5251" s="1399">
        <v>2534343.8200000003</v>
      </c>
      <c r="J5251" s="1399">
        <v>2534343.8200000003</v>
      </c>
    </row>
    <row r="5252" spans="2:12">
      <c r="B5252" s="1297"/>
      <c r="C5252" s="1297"/>
      <c r="D5252" s="1297"/>
      <c r="E5252" s="1297" t="s">
        <v>945</v>
      </c>
      <c r="F5252" s="1399">
        <v>1858148.13</v>
      </c>
      <c r="J5252" s="1399">
        <v>1858148.13</v>
      </c>
    </row>
    <row r="5253" spans="2:12">
      <c r="B5253" s="1297"/>
      <c r="C5253" s="1297"/>
      <c r="D5253" s="1297"/>
      <c r="E5253" s="1297" t="s">
        <v>947</v>
      </c>
      <c r="F5253" s="1399">
        <v>122181.10999999999</v>
      </c>
      <c r="J5253" s="1399">
        <v>122181.10999999999</v>
      </c>
    </row>
    <row r="5254" spans="2:12">
      <c r="B5254" s="1297"/>
      <c r="C5254" s="1297"/>
      <c r="D5254" s="1297"/>
      <c r="E5254" s="1404" t="s">
        <v>948</v>
      </c>
      <c r="F5254" s="1405"/>
      <c r="G5254" s="1405"/>
      <c r="H5254" s="1405">
        <v>-436616.36000000004</v>
      </c>
      <c r="I5254" s="1405"/>
      <c r="J5254" s="1405">
        <v>-436616.36000000004</v>
      </c>
    </row>
    <row r="5255" spans="2:12">
      <c r="B5255" s="1297"/>
      <c r="C5255" s="1297"/>
      <c r="D5255" s="1297"/>
      <c r="E5255" s="1297" t="s">
        <v>1118</v>
      </c>
      <c r="H5255" s="1399">
        <v>3691.68</v>
      </c>
      <c r="J5255" s="1399">
        <v>3691.68</v>
      </c>
    </row>
    <row r="5256" spans="2:12">
      <c r="B5256" s="1297"/>
      <c r="C5256" s="1297"/>
      <c r="D5256" s="1400" t="s">
        <v>1367</v>
      </c>
      <c r="E5256" s="1400"/>
      <c r="F5256" s="1401">
        <f>SUM(F5224:F5255)</f>
        <v>5811339.29</v>
      </c>
      <c r="G5256" s="1401">
        <f>SUM(G5224:G5255)</f>
        <v>5950086.8499999996</v>
      </c>
      <c r="H5256" s="1401">
        <f>SUM(H5224:H5255)-H5254</f>
        <v>1249363.69</v>
      </c>
      <c r="I5256" s="1401">
        <f>SUM(I5224:I5255)-I5242</f>
        <v>15541329.75</v>
      </c>
      <c r="J5256" s="1401">
        <f>SUM(J5224:J5255)</f>
        <v>29065678.73</v>
      </c>
      <c r="K5256" s="1401">
        <f>SUM(F5256:I5256)</f>
        <v>28552119.579999998</v>
      </c>
      <c r="L5256" s="1408">
        <f>K5256/C5224</f>
        <v>10132.050951029098</v>
      </c>
    </row>
    <row r="5257" spans="2:12">
      <c r="B5257" s="1297" t="s">
        <v>1368</v>
      </c>
      <c r="C5257" s="1297">
        <v>1133</v>
      </c>
      <c r="D5257" s="1297" t="s">
        <v>1369</v>
      </c>
      <c r="E5257" s="1297" t="s">
        <v>906</v>
      </c>
      <c r="G5257" s="1399">
        <v>4442201.47</v>
      </c>
      <c r="J5257" s="1399">
        <v>4442201.47</v>
      </c>
    </row>
    <row r="5258" spans="2:12">
      <c r="B5258" s="1297"/>
      <c r="C5258" s="1297"/>
      <c r="D5258" s="1297"/>
      <c r="E5258" s="1297" t="s">
        <v>1126</v>
      </c>
      <c r="G5258" s="1399">
        <v>1694378.07</v>
      </c>
      <c r="J5258" s="1399">
        <v>1694378.07</v>
      </c>
    </row>
    <row r="5259" spans="2:12">
      <c r="B5259" s="1297"/>
      <c r="C5259" s="1297"/>
      <c r="D5259" s="1297"/>
      <c r="E5259" s="1297" t="s">
        <v>952</v>
      </c>
      <c r="G5259" s="1399">
        <v>38573.08</v>
      </c>
      <c r="J5259" s="1399">
        <v>38573.08</v>
      </c>
    </row>
    <row r="5260" spans="2:12">
      <c r="B5260" s="1297"/>
      <c r="C5260" s="1297"/>
      <c r="D5260" s="1297"/>
      <c r="E5260" s="1297" t="s">
        <v>907</v>
      </c>
      <c r="G5260" s="1399">
        <v>1690529.77</v>
      </c>
      <c r="J5260" s="1399">
        <v>1690529.77</v>
      </c>
    </row>
    <row r="5261" spans="2:12">
      <c r="B5261" s="1297"/>
      <c r="C5261" s="1297"/>
      <c r="D5261" s="1297"/>
      <c r="E5261" s="1297" t="s">
        <v>909</v>
      </c>
      <c r="H5261" s="1399">
        <v>7439.07</v>
      </c>
      <c r="J5261" s="1399">
        <v>7439.07</v>
      </c>
    </row>
    <row r="5262" spans="2:12">
      <c r="B5262" s="1297"/>
      <c r="C5262" s="1297"/>
      <c r="D5262" s="1297"/>
      <c r="E5262" s="1297" t="s">
        <v>910</v>
      </c>
      <c r="H5262" s="1399">
        <v>35189.68</v>
      </c>
      <c r="J5262" s="1399">
        <v>35189.68</v>
      </c>
    </row>
    <row r="5263" spans="2:12">
      <c r="B5263" s="1297"/>
      <c r="C5263" s="1297"/>
      <c r="D5263" s="1297"/>
      <c r="E5263" s="1297" t="s">
        <v>1034</v>
      </c>
      <c r="H5263" s="1399">
        <v>57261.06</v>
      </c>
      <c r="J5263" s="1399">
        <v>57261.06</v>
      </c>
    </row>
    <row r="5264" spans="2:12">
      <c r="B5264" s="1297"/>
      <c r="C5264" s="1297"/>
      <c r="D5264" s="1297"/>
      <c r="E5264" s="1297" t="s">
        <v>1035</v>
      </c>
      <c r="H5264" s="1399">
        <v>264626.69999999995</v>
      </c>
      <c r="J5264" s="1399">
        <v>264626.69999999995</v>
      </c>
    </row>
    <row r="5265" spans="5:10" s="1297" customFormat="1">
      <c r="E5265" s="1297" t="s">
        <v>1036</v>
      </c>
      <c r="F5265" s="1399"/>
      <c r="G5265" s="1399"/>
      <c r="H5265" s="1399">
        <v>63634.21</v>
      </c>
      <c r="I5265" s="1399"/>
      <c r="J5265" s="1399">
        <v>63634.21</v>
      </c>
    </row>
    <row r="5266" spans="5:10" s="1297" customFormat="1">
      <c r="E5266" s="1297" t="s">
        <v>1039</v>
      </c>
      <c r="F5266" s="1399"/>
      <c r="G5266" s="1399"/>
      <c r="H5266" s="1399">
        <v>15071.720000000001</v>
      </c>
      <c r="I5266" s="1399"/>
      <c r="J5266" s="1399">
        <v>15071.720000000001</v>
      </c>
    </row>
    <row r="5267" spans="5:10" s="1297" customFormat="1">
      <c r="E5267" s="1297" t="s">
        <v>1040</v>
      </c>
      <c r="F5267" s="1399"/>
      <c r="G5267" s="1399"/>
      <c r="H5267" s="1399">
        <v>121405.47</v>
      </c>
      <c r="I5267" s="1399"/>
      <c r="J5267" s="1399">
        <v>121405.47</v>
      </c>
    </row>
    <row r="5268" spans="5:10" s="1297" customFormat="1">
      <c r="E5268" s="1297" t="s">
        <v>1041</v>
      </c>
      <c r="F5268" s="1399"/>
      <c r="G5268" s="1399"/>
      <c r="H5268" s="1399">
        <v>51721.45</v>
      </c>
      <c r="I5268" s="1399"/>
      <c r="J5268" s="1399">
        <v>51721.45</v>
      </c>
    </row>
    <row r="5269" spans="5:10" s="1297" customFormat="1">
      <c r="E5269" s="1297" t="s">
        <v>1042</v>
      </c>
      <c r="F5269" s="1399"/>
      <c r="G5269" s="1399"/>
      <c r="H5269" s="1399">
        <v>32074.75</v>
      </c>
      <c r="I5269" s="1399"/>
      <c r="J5269" s="1399">
        <v>32074.75</v>
      </c>
    </row>
    <row r="5270" spans="5:10" s="1297" customFormat="1">
      <c r="E5270" s="1297" t="s">
        <v>985</v>
      </c>
      <c r="F5270" s="1399"/>
      <c r="G5270" s="1399"/>
      <c r="H5270" s="1399">
        <v>17108</v>
      </c>
      <c r="I5270" s="1399"/>
      <c r="J5270" s="1399">
        <v>17108</v>
      </c>
    </row>
    <row r="5271" spans="5:10" s="1297" customFormat="1">
      <c r="E5271" s="1297" t="s">
        <v>996</v>
      </c>
      <c r="F5271" s="1399"/>
      <c r="G5271" s="1399"/>
      <c r="H5271" s="1399">
        <v>168680.38</v>
      </c>
      <c r="I5271" s="1399"/>
      <c r="J5271" s="1399">
        <v>168680.38</v>
      </c>
    </row>
    <row r="5272" spans="5:10" s="1297" customFormat="1">
      <c r="E5272" s="1297" t="s">
        <v>1004</v>
      </c>
      <c r="F5272" s="1399"/>
      <c r="G5272" s="1399"/>
      <c r="H5272" s="1399">
        <v>-29447.31</v>
      </c>
      <c r="I5272" s="1399"/>
      <c r="J5272" s="1399">
        <v>-29447.31</v>
      </c>
    </row>
    <row r="5273" spans="5:10" s="1297" customFormat="1">
      <c r="E5273" s="1297" t="s">
        <v>1045</v>
      </c>
      <c r="F5273" s="1399"/>
      <c r="G5273" s="1399"/>
      <c r="H5273" s="1399">
        <v>275972.04000000004</v>
      </c>
      <c r="I5273" s="1399"/>
      <c r="J5273" s="1399">
        <v>275972.04000000004</v>
      </c>
    </row>
    <row r="5274" spans="5:10" s="1297" customFormat="1">
      <c r="E5274" s="1297" t="s">
        <v>1046</v>
      </c>
      <c r="F5274" s="1399"/>
      <c r="G5274" s="1399"/>
      <c r="H5274" s="1399"/>
      <c r="I5274" s="1399">
        <v>7016113</v>
      </c>
      <c r="J5274" s="1399">
        <v>7016113</v>
      </c>
    </row>
    <row r="5275" spans="5:10" s="1297" customFormat="1">
      <c r="E5275" s="1297" t="s">
        <v>1047</v>
      </c>
      <c r="F5275" s="1399"/>
      <c r="G5275" s="1399"/>
      <c r="H5275" s="1399"/>
      <c r="I5275" s="1399">
        <v>269911</v>
      </c>
      <c r="J5275" s="1399">
        <v>269911</v>
      </c>
    </row>
    <row r="5276" spans="5:10" s="1297" customFormat="1">
      <c r="E5276" s="1297" t="s">
        <v>1048</v>
      </c>
      <c r="F5276" s="1399"/>
      <c r="G5276" s="1399"/>
      <c r="H5276" s="1399"/>
      <c r="I5276" s="1399">
        <v>-3973801</v>
      </c>
      <c r="J5276" s="1399">
        <v>-3973801</v>
      </c>
    </row>
    <row r="5277" spans="5:10" s="1297" customFormat="1">
      <c r="E5277" s="1297" t="s">
        <v>934</v>
      </c>
      <c r="F5277" s="1399"/>
      <c r="G5277" s="1399"/>
      <c r="H5277" s="1399"/>
      <c r="I5277" s="1399">
        <v>18476</v>
      </c>
      <c r="J5277" s="1399">
        <v>18476</v>
      </c>
    </row>
    <row r="5278" spans="5:10" s="1297" customFormat="1">
      <c r="E5278" s="1297" t="s">
        <v>935</v>
      </c>
      <c r="F5278" s="1399"/>
      <c r="G5278" s="1399"/>
      <c r="H5278" s="1399"/>
      <c r="I5278" s="1399">
        <v>243788.1</v>
      </c>
      <c r="J5278" s="1399">
        <v>243788.1</v>
      </c>
    </row>
    <row r="5279" spans="5:10" s="1297" customFormat="1">
      <c r="E5279" s="1297" t="s">
        <v>936</v>
      </c>
      <c r="F5279" s="1399"/>
      <c r="G5279" s="1399"/>
      <c r="H5279" s="1399"/>
      <c r="I5279" s="1399">
        <v>30463.1</v>
      </c>
      <c r="J5279" s="1399">
        <v>30463.1</v>
      </c>
    </row>
    <row r="5280" spans="5:10" s="1297" customFormat="1">
      <c r="E5280" s="1297" t="s">
        <v>937</v>
      </c>
      <c r="F5280" s="1399"/>
      <c r="G5280" s="1399"/>
      <c r="H5280" s="1399"/>
      <c r="I5280" s="1399">
        <v>9932.1</v>
      </c>
      <c r="J5280" s="1399">
        <v>9932.1</v>
      </c>
    </row>
    <row r="5281" spans="2:12">
      <c r="B5281" s="1297"/>
      <c r="C5281" s="1297"/>
      <c r="D5281" s="1297"/>
      <c r="E5281" s="1297" t="s">
        <v>938</v>
      </c>
      <c r="I5281" s="1399">
        <v>7486</v>
      </c>
      <c r="J5281" s="1399">
        <v>7486</v>
      </c>
    </row>
    <row r="5282" spans="2:12">
      <c r="B5282" s="1297"/>
      <c r="C5282" s="1297"/>
      <c r="D5282" s="1297"/>
      <c r="E5282" s="1297" t="s">
        <v>939</v>
      </c>
      <c r="I5282" s="1399">
        <v>100756.62000000001</v>
      </c>
      <c r="J5282" s="1399">
        <v>100756.62000000001</v>
      </c>
    </row>
    <row r="5283" spans="2:12">
      <c r="B5283" s="1297"/>
      <c r="C5283" s="1297"/>
      <c r="D5283" s="1297"/>
      <c r="E5283" s="1297" t="s">
        <v>940</v>
      </c>
      <c r="F5283" s="1399">
        <v>283442.52</v>
      </c>
      <c r="J5283" s="1399">
        <v>283442.52</v>
      </c>
    </row>
    <row r="5284" spans="2:12">
      <c r="B5284" s="1297"/>
      <c r="C5284" s="1297"/>
      <c r="D5284" s="1297"/>
      <c r="E5284" s="1297" t="s">
        <v>941</v>
      </c>
      <c r="F5284" s="1399">
        <v>107797</v>
      </c>
      <c r="J5284" s="1399">
        <v>107797</v>
      </c>
    </row>
    <row r="5285" spans="2:12">
      <c r="B5285" s="1297"/>
      <c r="C5285" s="1297"/>
      <c r="D5285" s="1297"/>
      <c r="E5285" s="1297" t="s">
        <v>943</v>
      </c>
      <c r="F5285" s="1399">
        <v>8231.76</v>
      </c>
      <c r="J5285" s="1399">
        <v>8231.76</v>
      </c>
    </row>
    <row r="5286" spans="2:12">
      <c r="B5286" s="1297"/>
      <c r="C5286" s="1297"/>
      <c r="D5286" s="1297"/>
      <c r="E5286" s="1297" t="s">
        <v>944</v>
      </c>
      <c r="F5286" s="1399">
        <v>892917.24</v>
      </c>
      <c r="J5286" s="1399">
        <v>892917.24</v>
      </c>
    </row>
    <row r="5287" spans="2:12">
      <c r="B5287" s="1297"/>
      <c r="C5287" s="1297"/>
      <c r="D5287" s="1297"/>
      <c r="E5287" s="1297" t="s">
        <v>945</v>
      </c>
      <c r="F5287" s="1399">
        <v>436406.5</v>
      </c>
      <c r="J5287" s="1399">
        <v>436406.5</v>
      </c>
    </row>
    <row r="5288" spans="2:12">
      <c r="B5288" s="1297"/>
      <c r="C5288" s="1297"/>
      <c r="D5288" s="1297"/>
      <c r="E5288" s="1297" t="s">
        <v>946</v>
      </c>
      <c r="F5288" s="1399">
        <v>225694.94</v>
      </c>
      <c r="J5288" s="1399">
        <v>225694.94</v>
      </c>
    </row>
    <row r="5289" spans="2:12">
      <c r="B5289" s="1297"/>
      <c r="C5289" s="1297"/>
      <c r="D5289" s="1297"/>
      <c r="E5289" s="1297" t="s">
        <v>1214</v>
      </c>
      <c r="F5289" s="1399">
        <v>30743.95</v>
      </c>
      <c r="J5289" s="1399">
        <v>30743.95</v>
      </c>
    </row>
    <row r="5290" spans="2:12">
      <c r="B5290" s="1297"/>
      <c r="C5290" s="1297"/>
      <c r="D5290" s="1297"/>
      <c r="E5290" s="1297" t="s">
        <v>947</v>
      </c>
      <c r="F5290" s="1399">
        <v>27198.03</v>
      </c>
      <c r="J5290" s="1399">
        <v>27198.03</v>
      </c>
    </row>
    <row r="5291" spans="2:12">
      <c r="B5291" s="1297"/>
      <c r="C5291" s="1297"/>
      <c r="D5291" s="1297"/>
      <c r="E5291" s="1404" t="s">
        <v>948</v>
      </c>
      <c r="F5291" s="1405"/>
      <c r="G5291" s="1405"/>
      <c r="H5291" s="1405">
        <v>3206874.97</v>
      </c>
      <c r="I5291" s="1405"/>
      <c r="J5291" s="1405">
        <v>3206874.97</v>
      </c>
    </row>
    <row r="5292" spans="2:12">
      <c r="B5292" s="1297"/>
      <c r="C5292" s="1297"/>
      <c r="D5292" s="1400" t="s">
        <v>1370</v>
      </c>
      <c r="E5292" s="1400"/>
      <c r="F5292" s="1401">
        <f>SUM(F5257:F5291)</f>
        <v>2012431.94</v>
      </c>
      <c r="G5292" s="1401">
        <f>SUM(G5257:G5291)</f>
        <v>7865682.3900000006</v>
      </c>
      <c r="H5292" s="1401">
        <f>SUM(H5257:H5291)-H5291</f>
        <v>1080737.2199999993</v>
      </c>
      <c r="I5292" s="1401">
        <f>SUM(I5257:I5291)</f>
        <v>3723124.9200000004</v>
      </c>
      <c r="J5292" s="1401">
        <f>SUM(J5257:J5291)</f>
        <v>17888851.439999994</v>
      </c>
      <c r="K5292" s="1401">
        <f>SUM(F5292:I5292)</f>
        <v>14681976.469999999</v>
      </c>
      <c r="L5292" s="1408">
        <f>K5292/C5257</f>
        <v>12958.49644307149</v>
      </c>
    </row>
    <row r="5293" spans="2:12">
      <c r="B5293" s="1297" t="s">
        <v>1371</v>
      </c>
      <c r="C5293" s="1297">
        <v>1086</v>
      </c>
      <c r="D5293" s="1297" t="s">
        <v>1372</v>
      </c>
      <c r="E5293" s="1297" t="s">
        <v>906</v>
      </c>
      <c r="G5293" s="1399">
        <v>1313123.1000000001</v>
      </c>
      <c r="J5293" s="1399">
        <v>1313123.1000000001</v>
      </c>
    </row>
    <row r="5294" spans="2:12">
      <c r="B5294" s="1297"/>
      <c r="C5294" s="1297"/>
      <c r="D5294" s="1297"/>
      <c r="E5294" s="1297" t="s">
        <v>952</v>
      </c>
      <c r="G5294" s="1399">
        <v>6403.9</v>
      </c>
      <c r="J5294" s="1399">
        <v>6403.9</v>
      </c>
    </row>
    <row r="5295" spans="2:12">
      <c r="B5295" s="1297"/>
      <c r="C5295" s="1297"/>
      <c r="D5295" s="1297"/>
      <c r="E5295" s="1297" t="s">
        <v>907</v>
      </c>
      <c r="G5295" s="1399">
        <v>465146.87</v>
      </c>
      <c r="J5295" s="1399">
        <v>465146.87</v>
      </c>
    </row>
    <row r="5296" spans="2:12">
      <c r="B5296" s="1297"/>
      <c r="C5296" s="1297"/>
      <c r="D5296" s="1297"/>
      <c r="E5296" s="1297" t="s">
        <v>908</v>
      </c>
      <c r="G5296" s="1399">
        <v>4397.13</v>
      </c>
      <c r="J5296" s="1399">
        <v>4397.13</v>
      </c>
    </row>
    <row r="5297" spans="5:10" s="1297" customFormat="1">
      <c r="E5297" s="1297" t="s">
        <v>909</v>
      </c>
      <c r="F5297" s="1399"/>
      <c r="G5297" s="1399"/>
      <c r="H5297" s="1399">
        <v>610.56999999999994</v>
      </c>
      <c r="I5297" s="1399"/>
      <c r="J5297" s="1399">
        <v>610.56999999999994</v>
      </c>
    </row>
    <row r="5298" spans="5:10" s="1297" customFormat="1">
      <c r="E5298" s="1297" t="s">
        <v>910</v>
      </c>
      <c r="F5298" s="1399"/>
      <c r="G5298" s="1399"/>
      <c r="H5298" s="1399">
        <v>55174.3</v>
      </c>
      <c r="I5298" s="1399"/>
      <c r="J5298" s="1399">
        <v>55174.3</v>
      </c>
    </row>
    <row r="5299" spans="5:10" s="1297" customFormat="1">
      <c r="E5299" s="1297" t="s">
        <v>1034</v>
      </c>
      <c r="F5299" s="1399"/>
      <c r="G5299" s="1399"/>
      <c r="H5299" s="1399">
        <v>8387.09</v>
      </c>
      <c r="I5299" s="1399"/>
      <c r="J5299" s="1399">
        <v>8387.09</v>
      </c>
    </row>
    <row r="5300" spans="5:10" s="1297" customFormat="1">
      <c r="E5300" s="1297" t="s">
        <v>1035</v>
      </c>
      <c r="F5300" s="1399"/>
      <c r="G5300" s="1399"/>
      <c r="H5300" s="1399">
        <v>209773.72</v>
      </c>
      <c r="I5300" s="1399"/>
      <c r="J5300" s="1399">
        <v>209773.72</v>
      </c>
    </row>
    <row r="5301" spans="5:10" s="1297" customFormat="1">
      <c r="E5301" s="1297" t="s">
        <v>1036</v>
      </c>
      <c r="F5301" s="1399"/>
      <c r="G5301" s="1399"/>
      <c r="H5301" s="1399">
        <v>90337.91</v>
      </c>
      <c r="I5301" s="1399"/>
      <c r="J5301" s="1399">
        <v>90337.91</v>
      </c>
    </row>
    <row r="5302" spans="5:10" s="1297" customFormat="1">
      <c r="E5302" s="1297" t="s">
        <v>1039</v>
      </c>
      <c r="F5302" s="1399"/>
      <c r="G5302" s="1399"/>
      <c r="H5302" s="1399">
        <v>4011.85</v>
      </c>
      <c r="I5302" s="1399"/>
      <c r="J5302" s="1399">
        <v>4011.85</v>
      </c>
    </row>
    <row r="5303" spans="5:10" s="1297" customFormat="1">
      <c r="E5303" s="1297" t="s">
        <v>1040</v>
      </c>
      <c r="F5303" s="1399"/>
      <c r="G5303" s="1399"/>
      <c r="H5303" s="1399">
        <v>85917.3</v>
      </c>
      <c r="I5303" s="1399"/>
      <c r="J5303" s="1399">
        <v>85917.3</v>
      </c>
    </row>
    <row r="5304" spans="5:10" s="1297" customFormat="1">
      <c r="E5304" s="1297" t="s">
        <v>1041</v>
      </c>
      <c r="F5304" s="1399"/>
      <c r="G5304" s="1399"/>
      <c r="H5304" s="1399">
        <v>21319.5</v>
      </c>
      <c r="I5304" s="1399"/>
      <c r="J5304" s="1399">
        <v>21319.5</v>
      </c>
    </row>
    <row r="5305" spans="5:10" s="1297" customFormat="1">
      <c r="E5305" s="1297" t="s">
        <v>1042</v>
      </c>
      <c r="F5305" s="1399"/>
      <c r="G5305" s="1399"/>
      <c r="H5305" s="1399">
        <v>23317.05</v>
      </c>
      <c r="I5305" s="1399"/>
      <c r="J5305" s="1399">
        <v>23317.05</v>
      </c>
    </row>
    <row r="5306" spans="5:10" s="1297" customFormat="1">
      <c r="E5306" s="1297" t="s">
        <v>1044</v>
      </c>
      <c r="F5306" s="1399">
        <v>39027.370000000003</v>
      </c>
      <c r="G5306" s="1399"/>
      <c r="H5306" s="1399"/>
      <c r="I5306" s="1399"/>
      <c r="J5306" s="1399">
        <v>39027.370000000003</v>
      </c>
    </row>
    <row r="5307" spans="5:10" s="1297" customFormat="1">
      <c r="E5307" s="1297" t="s">
        <v>1045</v>
      </c>
      <c r="F5307" s="1399"/>
      <c r="G5307" s="1399"/>
      <c r="H5307" s="1399">
        <v>80118.820000000007</v>
      </c>
      <c r="I5307" s="1399"/>
      <c r="J5307" s="1399">
        <v>80118.820000000007</v>
      </c>
    </row>
    <row r="5308" spans="5:10" s="1297" customFormat="1">
      <c r="E5308" s="1297" t="s">
        <v>1046</v>
      </c>
      <c r="F5308" s="1399"/>
      <c r="G5308" s="1399"/>
      <c r="H5308" s="1399"/>
      <c r="I5308" s="1399">
        <v>6264125</v>
      </c>
      <c r="J5308" s="1399">
        <v>6264125</v>
      </c>
    </row>
    <row r="5309" spans="5:10" s="1297" customFormat="1">
      <c r="E5309" s="1297" t="s">
        <v>1129</v>
      </c>
      <c r="F5309" s="1399"/>
      <c r="G5309" s="1399"/>
      <c r="H5309" s="1399"/>
      <c r="I5309" s="1399">
        <v>-857267</v>
      </c>
      <c r="J5309" s="1399">
        <v>-857267</v>
      </c>
    </row>
    <row r="5310" spans="5:10" s="1297" customFormat="1">
      <c r="E5310" s="1297" t="s">
        <v>1047</v>
      </c>
      <c r="F5310" s="1399"/>
      <c r="G5310" s="1399"/>
      <c r="H5310" s="1399"/>
      <c r="I5310" s="1399">
        <v>227854</v>
      </c>
      <c r="J5310" s="1399">
        <v>227854</v>
      </c>
    </row>
    <row r="5311" spans="5:10" s="1297" customFormat="1">
      <c r="E5311" s="1297" t="s">
        <v>1048</v>
      </c>
      <c r="F5311" s="1399"/>
      <c r="G5311" s="1399"/>
      <c r="H5311" s="1399"/>
      <c r="I5311" s="1399">
        <v>-601237</v>
      </c>
      <c r="J5311" s="1399">
        <v>-601237</v>
      </c>
    </row>
    <row r="5312" spans="5:10" s="1297" customFormat="1">
      <c r="E5312" s="1297" t="s">
        <v>932</v>
      </c>
      <c r="F5312" s="1399"/>
      <c r="G5312" s="1399"/>
      <c r="H5312" s="1399"/>
      <c r="I5312" s="1399">
        <v>405505</v>
      </c>
      <c r="J5312" s="1399">
        <v>405505</v>
      </c>
    </row>
    <row r="5313" spans="5:10" s="1297" customFormat="1">
      <c r="E5313" s="1404" t="s">
        <v>955</v>
      </c>
      <c r="F5313" s="1405"/>
      <c r="G5313" s="1405"/>
      <c r="H5313" s="1405"/>
      <c r="I5313" s="1405">
        <v>416223.39</v>
      </c>
      <c r="J5313" s="1405">
        <v>416223.39</v>
      </c>
    </row>
    <row r="5314" spans="5:10" s="1297" customFormat="1">
      <c r="E5314" s="1297" t="s">
        <v>934</v>
      </c>
      <c r="F5314" s="1399"/>
      <c r="G5314" s="1399"/>
      <c r="H5314" s="1399"/>
      <c r="I5314" s="1399">
        <v>22242</v>
      </c>
      <c r="J5314" s="1399">
        <v>22242</v>
      </c>
    </row>
    <row r="5315" spans="5:10" s="1297" customFormat="1">
      <c r="E5315" s="1297" t="s">
        <v>1130</v>
      </c>
      <c r="F5315" s="1399"/>
      <c r="G5315" s="1399"/>
      <c r="H5315" s="1399"/>
      <c r="I5315" s="1399">
        <v>3037109.27</v>
      </c>
      <c r="J5315" s="1399">
        <v>3037109.27</v>
      </c>
    </row>
    <row r="5316" spans="5:10" s="1297" customFormat="1">
      <c r="E5316" s="1297" t="s">
        <v>935</v>
      </c>
      <c r="F5316" s="1399"/>
      <c r="G5316" s="1399"/>
      <c r="H5316" s="1399"/>
      <c r="I5316" s="1399">
        <v>101194.04</v>
      </c>
      <c r="J5316" s="1399">
        <v>101194.04</v>
      </c>
    </row>
    <row r="5317" spans="5:10" s="1297" customFormat="1">
      <c r="E5317" s="1297" t="s">
        <v>936</v>
      </c>
      <c r="F5317" s="1399"/>
      <c r="G5317" s="1399"/>
      <c r="H5317" s="1399"/>
      <c r="I5317" s="1399">
        <v>18207.82</v>
      </c>
      <c r="J5317" s="1399">
        <v>18207.82</v>
      </c>
    </row>
    <row r="5318" spans="5:10" s="1297" customFormat="1">
      <c r="E5318" s="1297" t="s">
        <v>938</v>
      </c>
      <c r="F5318" s="1399"/>
      <c r="G5318" s="1399"/>
      <c r="H5318" s="1399"/>
      <c r="I5318" s="1399">
        <v>5989</v>
      </c>
      <c r="J5318" s="1399">
        <v>5989</v>
      </c>
    </row>
    <row r="5319" spans="5:10" s="1297" customFormat="1">
      <c r="E5319" s="1297" t="s">
        <v>940</v>
      </c>
      <c r="F5319" s="1399">
        <v>390410.34</v>
      </c>
      <c r="G5319" s="1399"/>
      <c r="H5319" s="1399"/>
      <c r="I5319" s="1399"/>
      <c r="J5319" s="1399">
        <v>390410.34</v>
      </c>
    </row>
    <row r="5320" spans="5:10" s="1297" customFormat="1">
      <c r="E5320" s="1297" t="s">
        <v>941</v>
      </c>
      <c r="F5320" s="1399">
        <v>121786.66</v>
      </c>
      <c r="G5320" s="1399"/>
      <c r="H5320" s="1399"/>
      <c r="I5320" s="1399"/>
      <c r="J5320" s="1399">
        <v>121786.66</v>
      </c>
    </row>
    <row r="5321" spans="5:10" s="1297" customFormat="1">
      <c r="E5321" s="1297" t="s">
        <v>943</v>
      </c>
      <c r="F5321" s="1399">
        <v>281.2</v>
      </c>
      <c r="G5321" s="1399"/>
      <c r="H5321" s="1399"/>
      <c r="I5321" s="1399"/>
      <c r="J5321" s="1399">
        <v>281.2</v>
      </c>
    </row>
    <row r="5322" spans="5:10" s="1297" customFormat="1">
      <c r="E5322" s="1297" t="s">
        <v>944</v>
      </c>
      <c r="F5322" s="1399">
        <v>1027760.7000000001</v>
      </c>
      <c r="G5322" s="1399"/>
      <c r="H5322" s="1399"/>
      <c r="I5322" s="1399"/>
      <c r="J5322" s="1399">
        <v>1027760.7000000001</v>
      </c>
    </row>
    <row r="5323" spans="5:10" s="1297" customFormat="1">
      <c r="E5323" s="1297" t="s">
        <v>945</v>
      </c>
      <c r="F5323" s="1399">
        <v>669817.29</v>
      </c>
      <c r="G5323" s="1399"/>
      <c r="H5323" s="1399"/>
      <c r="I5323" s="1399"/>
      <c r="J5323" s="1399">
        <v>669817.29</v>
      </c>
    </row>
    <row r="5324" spans="5:10" s="1297" customFormat="1">
      <c r="E5324" s="1297" t="s">
        <v>946</v>
      </c>
      <c r="F5324" s="1399">
        <v>-8216.93</v>
      </c>
      <c r="G5324" s="1399"/>
      <c r="H5324" s="1399"/>
      <c r="I5324" s="1399"/>
      <c r="J5324" s="1399">
        <v>-8216.93</v>
      </c>
    </row>
    <row r="5325" spans="5:10" s="1297" customFormat="1">
      <c r="E5325" s="1297" t="s">
        <v>947</v>
      </c>
      <c r="F5325" s="1399">
        <v>50741.66</v>
      </c>
      <c r="G5325" s="1399"/>
      <c r="H5325" s="1399"/>
      <c r="I5325" s="1399"/>
      <c r="J5325" s="1399">
        <v>50741.66</v>
      </c>
    </row>
    <row r="5326" spans="5:10" s="1297" customFormat="1">
      <c r="E5326" s="1297" t="s">
        <v>1115</v>
      </c>
      <c r="F5326" s="1399">
        <v>125231.83</v>
      </c>
      <c r="G5326" s="1399"/>
      <c r="H5326" s="1399"/>
      <c r="I5326" s="1399"/>
      <c r="J5326" s="1399">
        <v>125231.83</v>
      </c>
    </row>
    <row r="5327" spans="5:10" s="1297" customFormat="1">
      <c r="E5327" s="1404" t="s">
        <v>1116</v>
      </c>
      <c r="F5327" s="1405"/>
      <c r="G5327" s="1405"/>
      <c r="H5327" s="1405">
        <v>7920000</v>
      </c>
      <c r="I5327" s="1405"/>
      <c r="J5327" s="1405">
        <v>7920000</v>
      </c>
    </row>
    <row r="5328" spans="5:10" s="1297" customFormat="1">
      <c r="E5328" s="1404" t="s">
        <v>948</v>
      </c>
      <c r="F5328" s="1405"/>
      <c r="G5328" s="1405"/>
      <c r="H5328" s="1405">
        <v>4459355.5699999994</v>
      </c>
      <c r="I5328" s="1405"/>
      <c r="J5328" s="1405">
        <v>4459355.5699999994</v>
      </c>
    </row>
    <row r="5329" spans="2:12">
      <c r="B5329" s="1297"/>
      <c r="C5329" s="1297"/>
      <c r="D5329" s="1297"/>
      <c r="E5329" s="1297" t="s">
        <v>1118</v>
      </c>
      <c r="H5329" s="1399">
        <v>10</v>
      </c>
      <c r="J5329" s="1399">
        <v>10</v>
      </c>
    </row>
    <row r="5330" spans="2:12">
      <c r="B5330" s="1297"/>
      <c r="C5330" s="1297"/>
      <c r="D5330" s="1400" t="s">
        <v>1373</v>
      </c>
      <c r="E5330" s="1400"/>
      <c r="F5330" s="1401">
        <f>SUM(F5293:F5329)</f>
        <v>2416840.12</v>
      </c>
      <c r="G5330" s="1401">
        <f>SUM(G5293:G5329)</f>
        <v>1789071</v>
      </c>
      <c r="H5330" s="1401">
        <f>SUM(H5293:H5329)-(H5327+H5328)</f>
        <v>578978.1099999994</v>
      </c>
      <c r="I5330" s="1401">
        <f>SUM(I5293:I5329)-I5313</f>
        <v>8623722.129999999</v>
      </c>
      <c r="J5330" s="1401">
        <f>SUM(J5293:J5329)</f>
        <v>26204190.32</v>
      </c>
      <c r="K5330" s="1401">
        <f>SUM(F5330:I5330)</f>
        <v>13408611.359999999</v>
      </c>
      <c r="L5330" s="1408">
        <f>K5330/C5293</f>
        <v>12346.787624309392</v>
      </c>
    </row>
    <row r="5331" spans="2:12">
      <c r="B5331" s="1297" t="s">
        <v>1374</v>
      </c>
      <c r="C5331" s="1297">
        <v>12048</v>
      </c>
      <c r="D5331" s="1297" t="s">
        <v>1375</v>
      </c>
      <c r="E5331" s="1297" t="s">
        <v>906</v>
      </c>
      <c r="G5331" s="1399">
        <v>38252266.219999999</v>
      </c>
      <c r="J5331" s="1399">
        <v>38252266.219999999</v>
      </c>
    </row>
    <row r="5332" spans="2:12">
      <c r="B5332" s="1297"/>
      <c r="C5332" s="1297"/>
      <c r="D5332" s="1297"/>
      <c r="E5332" s="1297" t="s">
        <v>952</v>
      </c>
      <c r="G5332" s="1399">
        <v>338434.35</v>
      </c>
      <c r="J5332" s="1399">
        <v>338434.35</v>
      </c>
    </row>
    <row r="5333" spans="2:12">
      <c r="B5333" s="1297"/>
      <c r="C5333" s="1297"/>
      <c r="D5333" s="1297"/>
      <c r="E5333" s="1297" t="s">
        <v>907</v>
      </c>
      <c r="G5333" s="1399">
        <v>10527832.24</v>
      </c>
      <c r="J5333" s="1399">
        <v>10527832.24</v>
      </c>
    </row>
    <row r="5334" spans="2:12">
      <c r="B5334" s="1297"/>
      <c r="C5334" s="1297"/>
      <c r="D5334" s="1297"/>
      <c r="E5334" s="1297" t="s">
        <v>908</v>
      </c>
      <c r="G5334" s="1399">
        <v>90061.83</v>
      </c>
      <c r="J5334" s="1399">
        <v>90061.83</v>
      </c>
    </row>
    <row r="5335" spans="2:12">
      <c r="B5335" s="1297"/>
      <c r="C5335" s="1297"/>
      <c r="D5335" s="1297"/>
      <c r="E5335" s="1297" t="s">
        <v>909</v>
      </c>
      <c r="H5335" s="1399">
        <v>191258.87999999998</v>
      </c>
      <c r="J5335" s="1399">
        <v>191258.87999999998</v>
      </c>
    </row>
    <row r="5336" spans="2:12">
      <c r="B5336" s="1297"/>
      <c r="C5336" s="1297"/>
      <c r="D5336" s="1297"/>
      <c r="E5336" s="1297" t="s">
        <v>910</v>
      </c>
      <c r="H5336" s="1399">
        <v>447042.8600000001</v>
      </c>
      <c r="J5336" s="1399">
        <v>447042.8600000001</v>
      </c>
    </row>
    <row r="5337" spans="2:12">
      <c r="B5337" s="1297"/>
      <c r="C5337" s="1297"/>
      <c r="D5337" s="1297"/>
      <c r="E5337" s="1297" t="s">
        <v>1034</v>
      </c>
      <c r="H5337" s="1399">
        <v>247662.88</v>
      </c>
      <c r="J5337" s="1399">
        <v>247662.88</v>
      </c>
    </row>
    <row r="5338" spans="2:12">
      <c r="B5338" s="1297"/>
      <c r="C5338" s="1297"/>
      <c r="D5338" s="1297"/>
      <c r="E5338" s="1297" t="s">
        <v>1035</v>
      </c>
      <c r="H5338" s="1399">
        <v>1588946.6900000004</v>
      </c>
      <c r="J5338" s="1399">
        <v>1588946.6900000004</v>
      </c>
    </row>
    <row r="5339" spans="2:12">
      <c r="B5339" s="1297"/>
      <c r="C5339" s="1297"/>
      <c r="D5339" s="1297"/>
      <c r="E5339" s="1297" t="s">
        <v>1036</v>
      </c>
      <c r="H5339" s="1399">
        <v>390351.06000000006</v>
      </c>
      <c r="J5339" s="1399">
        <v>390351.06000000006</v>
      </c>
    </row>
    <row r="5340" spans="2:12">
      <c r="B5340" s="1297"/>
      <c r="C5340" s="1297"/>
      <c r="D5340" s="1297"/>
      <c r="E5340" s="1297" t="s">
        <v>1039</v>
      </c>
      <c r="H5340" s="1399">
        <v>-2732.849999999999</v>
      </c>
      <c r="J5340" s="1399">
        <v>-2732.849999999999</v>
      </c>
    </row>
    <row r="5341" spans="2:12">
      <c r="B5341" s="1297"/>
      <c r="C5341" s="1297"/>
      <c r="D5341" s="1297"/>
      <c r="E5341" s="1297" t="s">
        <v>1040</v>
      </c>
      <c r="H5341" s="1399">
        <v>842808.97</v>
      </c>
      <c r="J5341" s="1399">
        <v>842808.97</v>
      </c>
    </row>
    <row r="5342" spans="2:12">
      <c r="B5342" s="1297"/>
      <c r="C5342" s="1297"/>
      <c r="D5342" s="1297"/>
      <c r="E5342" s="1297" t="s">
        <v>1127</v>
      </c>
      <c r="H5342" s="1399">
        <v>103.79999999999998</v>
      </c>
      <c r="J5342" s="1399">
        <v>103.79999999999998</v>
      </c>
    </row>
    <row r="5343" spans="2:12">
      <c r="B5343" s="1297"/>
      <c r="C5343" s="1297"/>
      <c r="D5343" s="1297"/>
      <c r="E5343" s="1297" t="s">
        <v>1041</v>
      </c>
      <c r="H5343" s="1399">
        <v>26836.3</v>
      </c>
      <c r="J5343" s="1399">
        <v>26836.3</v>
      </c>
    </row>
    <row r="5344" spans="2:12">
      <c r="B5344" s="1297"/>
      <c r="C5344" s="1297"/>
      <c r="D5344" s="1297"/>
      <c r="E5344" s="1297" t="s">
        <v>1042</v>
      </c>
      <c r="H5344" s="1399">
        <v>126921.21000000005</v>
      </c>
      <c r="J5344" s="1399">
        <v>126921.21000000005</v>
      </c>
    </row>
    <row r="5345" spans="5:10" s="1297" customFormat="1">
      <c r="E5345" s="1297" t="s">
        <v>954</v>
      </c>
      <c r="F5345" s="1399"/>
      <c r="G5345" s="1399"/>
      <c r="H5345" s="1399">
        <v>146685.63</v>
      </c>
      <c r="I5345" s="1399"/>
      <c r="J5345" s="1399">
        <v>146685.63</v>
      </c>
    </row>
    <row r="5346" spans="5:10" s="1297" customFormat="1">
      <c r="E5346" s="1297" t="s">
        <v>986</v>
      </c>
      <c r="F5346" s="1399"/>
      <c r="G5346" s="1399"/>
      <c r="H5346" s="1399">
        <v>399342.57</v>
      </c>
      <c r="I5346" s="1399"/>
      <c r="J5346" s="1399">
        <v>399342.57</v>
      </c>
    </row>
    <row r="5347" spans="5:10" s="1297" customFormat="1">
      <c r="E5347" s="1297" t="s">
        <v>1044</v>
      </c>
      <c r="F5347" s="1409">
        <v>197161.36</v>
      </c>
      <c r="G5347" s="1399"/>
      <c r="H5347" s="1399"/>
      <c r="I5347" s="1399"/>
      <c r="J5347" s="1399">
        <v>197161.36</v>
      </c>
    </row>
    <row r="5348" spans="5:10" s="1297" customFormat="1">
      <c r="E5348" s="1297" t="s">
        <v>1045</v>
      </c>
      <c r="F5348" s="1399"/>
      <c r="G5348" s="1399"/>
      <c r="H5348" s="1399">
        <v>1450978.8100000003</v>
      </c>
      <c r="I5348" s="1399"/>
      <c r="J5348" s="1399">
        <v>1450978.8100000003</v>
      </c>
    </row>
    <row r="5349" spans="5:10" s="1297" customFormat="1">
      <c r="E5349" s="1297" t="s">
        <v>1046</v>
      </c>
      <c r="F5349" s="1399"/>
      <c r="G5349" s="1399"/>
      <c r="H5349" s="1399"/>
      <c r="I5349" s="1399">
        <v>62094216</v>
      </c>
      <c r="J5349" s="1399">
        <v>62094216</v>
      </c>
    </row>
    <row r="5350" spans="5:10" s="1297" customFormat="1">
      <c r="E5350" s="1297" t="s">
        <v>1128</v>
      </c>
      <c r="F5350" s="1399"/>
      <c r="G5350" s="1399"/>
      <c r="H5350" s="1399"/>
      <c r="I5350" s="1399">
        <v>5468170</v>
      </c>
      <c r="J5350" s="1399">
        <v>5468170</v>
      </c>
    </row>
    <row r="5351" spans="5:10" s="1297" customFormat="1">
      <c r="E5351" s="1297" t="s">
        <v>1129</v>
      </c>
      <c r="F5351" s="1399"/>
      <c r="G5351" s="1399"/>
      <c r="H5351" s="1399"/>
      <c r="I5351" s="1399">
        <v>-8797166</v>
      </c>
      <c r="J5351" s="1399">
        <v>-8797166</v>
      </c>
    </row>
    <row r="5352" spans="5:10" s="1297" customFormat="1">
      <c r="E5352" s="1297" t="s">
        <v>1047</v>
      </c>
      <c r="F5352" s="1399"/>
      <c r="G5352" s="1399"/>
      <c r="H5352" s="1399"/>
      <c r="I5352" s="1399">
        <v>1679402</v>
      </c>
      <c r="J5352" s="1399">
        <v>1679402</v>
      </c>
    </row>
    <row r="5353" spans="5:10" s="1297" customFormat="1">
      <c r="E5353" s="1297" t="s">
        <v>1048</v>
      </c>
      <c r="F5353" s="1399"/>
      <c r="G5353" s="1399"/>
      <c r="H5353" s="1399"/>
      <c r="I5353" s="1399">
        <v>-9094702</v>
      </c>
      <c r="J5353" s="1399">
        <v>-9094702</v>
      </c>
    </row>
    <row r="5354" spans="5:10" s="1297" customFormat="1">
      <c r="E5354" s="1297" t="s">
        <v>932</v>
      </c>
      <c r="F5354" s="1399"/>
      <c r="G5354" s="1399"/>
      <c r="H5354" s="1399"/>
      <c r="I5354" s="1399">
        <v>6097751</v>
      </c>
      <c r="J5354" s="1399">
        <v>6097751</v>
      </c>
    </row>
    <row r="5355" spans="5:10" s="1297" customFormat="1">
      <c r="E5355" s="1404" t="s">
        <v>955</v>
      </c>
      <c r="F5355" s="1405"/>
      <c r="G5355" s="1405"/>
      <c r="H5355" s="1405"/>
      <c r="I5355" s="1405">
        <v>2076627.16</v>
      </c>
      <c r="J5355" s="1405">
        <v>2076627.16</v>
      </c>
    </row>
    <row r="5356" spans="5:10" s="1297" customFormat="1">
      <c r="E5356" s="1297" t="s">
        <v>934</v>
      </c>
      <c r="F5356" s="1399"/>
      <c r="G5356" s="1399"/>
      <c r="H5356" s="1399"/>
      <c r="I5356" s="1399">
        <v>188812.56</v>
      </c>
      <c r="J5356" s="1399">
        <v>188812.56</v>
      </c>
    </row>
    <row r="5357" spans="5:10" s="1297" customFormat="1">
      <c r="E5357" s="1297" t="s">
        <v>935</v>
      </c>
      <c r="F5357" s="1399"/>
      <c r="G5357" s="1399"/>
      <c r="H5357" s="1399"/>
      <c r="I5357" s="1399">
        <v>952783.35999999999</v>
      </c>
      <c r="J5357" s="1399">
        <v>952783.35999999999</v>
      </c>
    </row>
    <row r="5358" spans="5:10" s="1297" customFormat="1">
      <c r="E5358" s="1297" t="s">
        <v>936</v>
      </c>
      <c r="F5358" s="1399"/>
      <c r="G5358" s="1399"/>
      <c r="H5358" s="1399"/>
      <c r="I5358" s="1399">
        <v>221995.44</v>
      </c>
      <c r="J5358" s="1399">
        <v>221995.44</v>
      </c>
    </row>
    <row r="5359" spans="5:10" s="1297" customFormat="1">
      <c r="E5359" s="1297" t="s">
        <v>937</v>
      </c>
      <c r="F5359" s="1399"/>
      <c r="G5359" s="1399"/>
      <c r="H5359" s="1399"/>
      <c r="I5359" s="1399">
        <v>93971.16</v>
      </c>
      <c r="J5359" s="1399">
        <v>93971.16</v>
      </c>
    </row>
    <row r="5360" spans="5:10" s="1297" customFormat="1">
      <c r="E5360" s="1297" t="s">
        <v>938</v>
      </c>
      <c r="F5360" s="1399"/>
      <c r="G5360" s="1399"/>
      <c r="H5360" s="1399"/>
      <c r="I5360" s="1399">
        <v>78981</v>
      </c>
      <c r="J5360" s="1399">
        <v>78981</v>
      </c>
    </row>
    <row r="5361" spans="2:12">
      <c r="B5361" s="1297"/>
      <c r="C5361" s="1297"/>
      <c r="D5361" s="1297"/>
      <c r="E5361" s="1297" t="s">
        <v>939</v>
      </c>
      <c r="I5361" s="1399">
        <v>39212.04</v>
      </c>
      <c r="J5361" s="1399">
        <v>39212.04</v>
      </c>
    </row>
    <row r="5362" spans="2:12">
      <c r="B5362" s="1297"/>
      <c r="C5362" s="1297"/>
      <c r="D5362" s="1297"/>
      <c r="E5362" s="1297" t="s">
        <v>940</v>
      </c>
      <c r="F5362" s="1399">
        <v>3042097.4199999995</v>
      </c>
      <c r="J5362" s="1399">
        <v>3042097.4199999995</v>
      </c>
    </row>
    <row r="5363" spans="2:12">
      <c r="B5363" s="1297"/>
      <c r="C5363" s="1297"/>
      <c r="D5363" s="1297"/>
      <c r="E5363" s="1297" t="s">
        <v>941</v>
      </c>
      <c r="F5363" s="1399">
        <v>1016209.4999999999</v>
      </c>
      <c r="J5363" s="1399">
        <v>1016209.4999999999</v>
      </c>
    </row>
    <row r="5364" spans="2:12">
      <c r="B5364" s="1297"/>
      <c r="C5364" s="1297"/>
      <c r="D5364" s="1297"/>
      <c r="E5364" s="1297" t="s">
        <v>943</v>
      </c>
      <c r="F5364" s="1399">
        <v>16352.52</v>
      </c>
      <c r="J5364" s="1399">
        <v>16352.52</v>
      </c>
    </row>
    <row r="5365" spans="2:12">
      <c r="B5365" s="1297"/>
      <c r="C5365" s="1297"/>
      <c r="D5365" s="1297"/>
      <c r="E5365" s="1297" t="s">
        <v>944</v>
      </c>
      <c r="F5365" s="1399">
        <v>8179975.1099999994</v>
      </c>
      <c r="J5365" s="1399">
        <v>8179975.1099999994</v>
      </c>
    </row>
    <row r="5366" spans="2:12">
      <c r="B5366" s="1297"/>
      <c r="C5366" s="1297"/>
      <c r="D5366" s="1297"/>
      <c r="E5366" s="1297" t="s">
        <v>945</v>
      </c>
      <c r="F5366" s="1399">
        <v>4696126.71</v>
      </c>
      <c r="J5366" s="1399">
        <v>4696126.71</v>
      </c>
    </row>
    <row r="5367" spans="2:12">
      <c r="B5367" s="1297"/>
      <c r="C5367" s="1297"/>
      <c r="D5367" s="1297"/>
      <c r="E5367" s="1297" t="s">
        <v>978</v>
      </c>
      <c r="F5367" s="1399">
        <v>1611.3899999999999</v>
      </c>
      <c r="J5367" s="1399">
        <v>1611.3899999999999</v>
      </c>
    </row>
    <row r="5368" spans="2:12">
      <c r="B5368" s="1297"/>
      <c r="C5368" s="1297"/>
      <c r="D5368" s="1297"/>
      <c r="E5368" s="1297" t="s">
        <v>947</v>
      </c>
      <c r="F5368" s="1399">
        <v>251310.88999999998</v>
      </c>
      <c r="J5368" s="1399">
        <v>251310.88999999998</v>
      </c>
    </row>
    <row r="5369" spans="2:12">
      <c r="B5369" s="1297"/>
      <c r="C5369" s="1297"/>
      <c r="D5369" s="1297"/>
      <c r="E5369" s="1297" t="s">
        <v>1115</v>
      </c>
      <c r="F5369" s="1399">
        <v>116272.41</v>
      </c>
      <c r="J5369" s="1399">
        <v>116272.41</v>
      </c>
    </row>
    <row r="5370" spans="2:12">
      <c r="B5370" s="1297"/>
      <c r="C5370" s="1297"/>
      <c r="D5370" s="1297"/>
      <c r="E5370" s="1404" t="s">
        <v>948</v>
      </c>
      <c r="F5370" s="1405"/>
      <c r="G5370" s="1405"/>
      <c r="H5370" s="1405">
        <v>2932819.1500000018</v>
      </c>
      <c r="I5370" s="1405"/>
      <c r="J5370" s="1405">
        <v>2932819.1500000018</v>
      </c>
    </row>
    <row r="5371" spans="2:12">
      <c r="B5371" s="1297"/>
      <c r="C5371" s="1297"/>
      <c r="D5371" s="1400" t="s">
        <v>1376</v>
      </c>
      <c r="E5371" s="1400"/>
      <c r="F5371" s="1401">
        <f>SUM(F5331:F5370)</f>
        <v>17517117.309999999</v>
      </c>
      <c r="G5371" s="1401">
        <f>SUM(G5331:G5370)</f>
        <v>49208594.640000001</v>
      </c>
      <c r="H5371" s="1401">
        <f>SUM(H5331:H5370)-H5370</f>
        <v>5856206.8100000005</v>
      </c>
      <c r="I5371" s="1401">
        <f>SUM(I5331:I5370)-I5355</f>
        <v>59023426.559999995</v>
      </c>
      <c r="J5371" s="1401">
        <f>SUM(J5331:J5370)</f>
        <v>136614791.63</v>
      </c>
      <c r="K5371" s="1401">
        <f>SUM(F5371:I5371)</f>
        <v>131605345.31999999</v>
      </c>
      <c r="L5371" s="1408">
        <f>K5371/C5331</f>
        <v>10923.418436254979</v>
      </c>
    </row>
    <row r="5372" spans="2:12">
      <c r="B5372" s="1297" t="s">
        <v>1377</v>
      </c>
      <c r="C5372" s="1297">
        <v>1463</v>
      </c>
      <c r="D5372" s="1297" t="s">
        <v>1378</v>
      </c>
      <c r="E5372" s="1297" t="s">
        <v>906</v>
      </c>
      <c r="G5372" s="1399">
        <v>2969448.63</v>
      </c>
      <c r="J5372" s="1399">
        <v>2969448.63</v>
      </c>
    </row>
    <row r="5373" spans="2:12">
      <c r="B5373" s="1297"/>
      <c r="C5373" s="1297"/>
      <c r="D5373" s="1297"/>
      <c r="E5373" s="1297" t="s">
        <v>952</v>
      </c>
      <c r="G5373" s="1399">
        <v>5052.38</v>
      </c>
      <c r="J5373" s="1399">
        <v>5052.38</v>
      </c>
    </row>
    <row r="5374" spans="2:12">
      <c r="B5374" s="1297"/>
      <c r="C5374" s="1297"/>
      <c r="D5374" s="1297"/>
      <c r="E5374" s="1297" t="s">
        <v>907</v>
      </c>
      <c r="G5374" s="1399">
        <v>891207.75</v>
      </c>
      <c r="J5374" s="1399">
        <v>891207.75</v>
      </c>
    </row>
    <row r="5375" spans="2:12">
      <c r="B5375" s="1297"/>
      <c r="C5375" s="1297"/>
      <c r="D5375" s="1297"/>
      <c r="E5375" s="1297" t="s">
        <v>908</v>
      </c>
      <c r="G5375" s="1399">
        <v>16837.2</v>
      </c>
      <c r="J5375" s="1399">
        <v>16837.2</v>
      </c>
    </row>
    <row r="5376" spans="2:12">
      <c r="B5376" s="1297"/>
      <c r="C5376" s="1297"/>
      <c r="D5376" s="1297"/>
      <c r="E5376" s="1297" t="s">
        <v>909</v>
      </c>
      <c r="H5376" s="1399">
        <v>64839.15</v>
      </c>
      <c r="J5376" s="1399">
        <v>64839.15</v>
      </c>
    </row>
    <row r="5377" spans="5:10" s="1297" customFormat="1">
      <c r="E5377" s="1297" t="s">
        <v>910</v>
      </c>
      <c r="F5377" s="1399"/>
      <c r="G5377" s="1399"/>
      <c r="H5377" s="1399">
        <v>5336.5</v>
      </c>
      <c r="I5377" s="1399"/>
      <c r="J5377" s="1399">
        <v>5336.5</v>
      </c>
    </row>
    <row r="5378" spans="5:10" s="1297" customFormat="1">
      <c r="E5378" s="1297" t="s">
        <v>1034</v>
      </c>
      <c r="F5378" s="1399"/>
      <c r="G5378" s="1399"/>
      <c r="H5378" s="1399">
        <v>26957.26</v>
      </c>
      <c r="I5378" s="1399"/>
      <c r="J5378" s="1399">
        <v>26957.26</v>
      </c>
    </row>
    <row r="5379" spans="5:10" s="1297" customFormat="1">
      <c r="E5379" s="1297" t="s">
        <v>1035</v>
      </c>
      <c r="F5379" s="1399"/>
      <c r="G5379" s="1399"/>
      <c r="H5379" s="1399">
        <v>198356.44999999998</v>
      </c>
      <c r="I5379" s="1399"/>
      <c r="J5379" s="1399">
        <v>198356.44999999998</v>
      </c>
    </row>
    <row r="5380" spans="5:10" s="1297" customFormat="1">
      <c r="E5380" s="1297" t="s">
        <v>1036</v>
      </c>
      <c r="F5380" s="1399"/>
      <c r="G5380" s="1399"/>
      <c r="H5380" s="1399">
        <v>30352.69</v>
      </c>
      <c r="I5380" s="1399"/>
      <c r="J5380" s="1399">
        <v>30352.69</v>
      </c>
    </row>
    <row r="5381" spans="5:10" s="1297" customFormat="1">
      <c r="E5381" s="1297" t="s">
        <v>1039</v>
      </c>
      <c r="F5381" s="1399"/>
      <c r="G5381" s="1399"/>
      <c r="H5381" s="1399">
        <v>9459.75</v>
      </c>
      <c r="I5381" s="1399"/>
      <c r="J5381" s="1399">
        <v>9459.75</v>
      </c>
    </row>
    <row r="5382" spans="5:10" s="1297" customFormat="1">
      <c r="E5382" s="1297" t="s">
        <v>1040</v>
      </c>
      <c r="F5382" s="1399"/>
      <c r="G5382" s="1399"/>
      <c r="H5382" s="1399">
        <v>32268.17</v>
      </c>
      <c r="I5382" s="1399"/>
      <c r="J5382" s="1399">
        <v>32268.17</v>
      </c>
    </row>
    <row r="5383" spans="5:10" s="1297" customFormat="1">
      <c r="E5383" s="1297" t="s">
        <v>1042</v>
      </c>
      <c r="F5383" s="1399"/>
      <c r="G5383" s="1399"/>
      <c r="H5383" s="1399">
        <v>29317.53</v>
      </c>
      <c r="I5383" s="1399"/>
      <c r="J5383" s="1399">
        <v>29317.53</v>
      </c>
    </row>
    <row r="5384" spans="5:10" s="1297" customFormat="1">
      <c r="E5384" s="1297" t="s">
        <v>1043</v>
      </c>
      <c r="F5384" s="1399"/>
      <c r="G5384" s="1399"/>
      <c r="H5384" s="1399">
        <v>8325</v>
      </c>
      <c r="I5384" s="1399"/>
      <c r="J5384" s="1399">
        <v>8325</v>
      </c>
    </row>
    <row r="5385" spans="5:10" s="1297" customFormat="1">
      <c r="E5385" s="1297" t="s">
        <v>986</v>
      </c>
      <c r="F5385" s="1399"/>
      <c r="G5385" s="1399"/>
      <c r="H5385" s="1399">
        <v>70</v>
      </c>
      <c r="I5385" s="1399"/>
      <c r="J5385" s="1399">
        <v>70</v>
      </c>
    </row>
    <row r="5386" spans="5:10" s="1297" customFormat="1">
      <c r="E5386" s="1297" t="s">
        <v>996</v>
      </c>
      <c r="F5386" s="1399"/>
      <c r="G5386" s="1399"/>
      <c r="H5386" s="1399">
        <v>39000</v>
      </c>
      <c r="I5386" s="1399"/>
      <c r="J5386" s="1399">
        <v>39000</v>
      </c>
    </row>
    <row r="5387" spans="5:10" s="1297" customFormat="1">
      <c r="E5387" s="1297" t="s">
        <v>1044</v>
      </c>
      <c r="F5387" s="1399">
        <v>30218.27</v>
      </c>
      <c r="G5387" s="1399"/>
      <c r="H5387" s="1399">
        <v>30218.27</v>
      </c>
      <c r="I5387" s="1399"/>
      <c r="J5387" s="1399">
        <v>30218.27</v>
      </c>
    </row>
    <row r="5388" spans="5:10" s="1297" customFormat="1">
      <c r="E5388" s="1297" t="s">
        <v>1045</v>
      </c>
      <c r="F5388" s="1399"/>
      <c r="G5388" s="1399"/>
      <c r="H5388" s="1399">
        <v>185765.86</v>
      </c>
      <c r="I5388" s="1399"/>
      <c r="J5388" s="1399">
        <v>185765.86</v>
      </c>
    </row>
    <row r="5389" spans="5:10" s="1297" customFormat="1">
      <c r="E5389" s="1297" t="s">
        <v>1046</v>
      </c>
      <c r="F5389" s="1399"/>
      <c r="G5389" s="1399"/>
      <c r="H5389" s="1399"/>
      <c r="I5389" s="1399">
        <v>6927707</v>
      </c>
      <c r="J5389" s="1399">
        <v>6927707</v>
      </c>
    </row>
    <row r="5390" spans="5:10" s="1297" customFormat="1">
      <c r="E5390" s="1297" t="s">
        <v>1128</v>
      </c>
      <c r="F5390" s="1399"/>
      <c r="G5390" s="1399"/>
      <c r="H5390" s="1399"/>
      <c r="I5390" s="1399">
        <v>653603</v>
      </c>
      <c r="J5390" s="1399">
        <v>653603</v>
      </c>
    </row>
    <row r="5391" spans="5:10" s="1297" customFormat="1">
      <c r="E5391" s="1297" t="s">
        <v>1047</v>
      </c>
      <c r="F5391" s="1399"/>
      <c r="G5391" s="1399"/>
      <c r="H5391" s="1399"/>
      <c r="I5391" s="1399">
        <v>291455</v>
      </c>
      <c r="J5391" s="1399">
        <v>291455</v>
      </c>
    </row>
    <row r="5392" spans="5:10" s="1297" customFormat="1">
      <c r="E5392" s="1297" t="s">
        <v>1048</v>
      </c>
      <c r="F5392" s="1399"/>
      <c r="G5392" s="1399"/>
      <c r="H5392" s="1399"/>
      <c r="I5392" s="1399">
        <v>-820130</v>
      </c>
      <c r="J5392" s="1399">
        <v>-820130</v>
      </c>
    </row>
    <row r="5393" spans="5:10" s="1297" customFormat="1">
      <c r="E5393" s="1297" t="s">
        <v>932</v>
      </c>
      <c r="F5393" s="1399"/>
      <c r="G5393" s="1399"/>
      <c r="H5393" s="1399"/>
      <c r="I5393" s="1399">
        <v>757326</v>
      </c>
      <c r="J5393" s="1399">
        <v>757326</v>
      </c>
    </row>
    <row r="5394" spans="5:10" s="1297" customFormat="1">
      <c r="E5394" s="1404" t="s">
        <v>955</v>
      </c>
      <c r="F5394" s="1405"/>
      <c r="G5394" s="1405"/>
      <c r="H5394" s="1405"/>
      <c r="I5394" s="1405">
        <v>575432.44999999995</v>
      </c>
      <c r="J5394" s="1405">
        <v>575432.44999999995</v>
      </c>
    </row>
    <row r="5395" spans="5:10" s="1297" customFormat="1">
      <c r="E5395" s="1297" t="s">
        <v>934</v>
      </c>
      <c r="F5395" s="1399"/>
      <c r="G5395" s="1399"/>
      <c r="H5395" s="1399"/>
      <c r="I5395" s="1399">
        <v>29626</v>
      </c>
      <c r="J5395" s="1399">
        <v>29626</v>
      </c>
    </row>
    <row r="5396" spans="5:10" s="1297" customFormat="1">
      <c r="E5396" s="1297" t="s">
        <v>935</v>
      </c>
      <c r="F5396" s="1399"/>
      <c r="G5396" s="1399"/>
      <c r="H5396" s="1399"/>
      <c r="I5396" s="1399">
        <v>167317.96</v>
      </c>
      <c r="J5396" s="1399">
        <v>167317.96</v>
      </c>
    </row>
    <row r="5397" spans="5:10" s="1297" customFormat="1">
      <c r="E5397" s="1297" t="s">
        <v>936</v>
      </c>
      <c r="F5397" s="1399"/>
      <c r="G5397" s="1399"/>
      <c r="H5397" s="1399"/>
      <c r="I5397" s="1399">
        <v>31163.4</v>
      </c>
      <c r="J5397" s="1399">
        <v>31163.4</v>
      </c>
    </row>
    <row r="5398" spans="5:10" s="1297" customFormat="1">
      <c r="E5398" s="1297" t="s">
        <v>937</v>
      </c>
      <c r="F5398" s="1399"/>
      <c r="G5398" s="1399"/>
      <c r="H5398" s="1399"/>
      <c r="I5398" s="1399">
        <v>4571.97</v>
      </c>
      <c r="J5398" s="1399">
        <v>4571.97</v>
      </c>
    </row>
    <row r="5399" spans="5:10" s="1297" customFormat="1">
      <c r="E5399" s="1297" t="s">
        <v>938</v>
      </c>
      <c r="F5399" s="1399"/>
      <c r="G5399" s="1399"/>
      <c r="H5399" s="1399"/>
      <c r="I5399" s="1399">
        <v>8609</v>
      </c>
      <c r="J5399" s="1399">
        <v>8609</v>
      </c>
    </row>
    <row r="5400" spans="5:10" s="1297" customFormat="1">
      <c r="E5400" s="1297" t="s">
        <v>939</v>
      </c>
      <c r="F5400" s="1399"/>
      <c r="G5400" s="1399"/>
      <c r="H5400" s="1399"/>
      <c r="I5400" s="1399">
        <v>118303.35</v>
      </c>
      <c r="J5400" s="1399">
        <v>118303.35</v>
      </c>
    </row>
    <row r="5401" spans="5:10" s="1297" customFormat="1">
      <c r="E5401" s="1297" t="s">
        <v>940</v>
      </c>
      <c r="F5401" s="1399">
        <v>503144.8</v>
      </c>
      <c r="G5401" s="1399"/>
      <c r="H5401" s="1399"/>
      <c r="I5401" s="1399"/>
      <c r="J5401" s="1399">
        <v>503144.8</v>
      </c>
    </row>
    <row r="5402" spans="5:10" s="1297" customFormat="1">
      <c r="E5402" s="1297" t="s">
        <v>941</v>
      </c>
      <c r="F5402" s="1399">
        <v>202464.92</v>
      </c>
      <c r="G5402" s="1399"/>
      <c r="H5402" s="1399"/>
      <c r="I5402" s="1399"/>
      <c r="J5402" s="1399">
        <v>202464.92</v>
      </c>
    </row>
    <row r="5403" spans="5:10" s="1297" customFormat="1">
      <c r="E5403" s="1297" t="s">
        <v>943</v>
      </c>
      <c r="F5403" s="1399">
        <v>12104.18</v>
      </c>
      <c r="G5403" s="1399"/>
      <c r="H5403" s="1399"/>
      <c r="I5403" s="1399"/>
      <c r="J5403" s="1399">
        <v>12104.18</v>
      </c>
    </row>
    <row r="5404" spans="5:10" s="1297" customFormat="1">
      <c r="E5404" s="1297" t="s">
        <v>944</v>
      </c>
      <c r="F5404" s="1399">
        <v>2065637.5499999998</v>
      </c>
      <c r="G5404" s="1399"/>
      <c r="H5404" s="1399"/>
      <c r="I5404" s="1399"/>
      <c r="J5404" s="1399">
        <v>2065637.5499999998</v>
      </c>
    </row>
    <row r="5405" spans="5:10" s="1297" customFormat="1">
      <c r="E5405" s="1297" t="s">
        <v>945</v>
      </c>
      <c r="F5405" s="1399">
        <v>961273.19</v>
      </c>
      <c r="G5405" s="1399"/>
      <c r="H5405" s="1399"/>
      <c r="I5405" s="1399"/>
      <c r="J5405" s="1399">
        <v>961273.19</v>
      </c>
    </row>
    <row r="5406" spans="5:10" s="1297" customFormat="1">
      <c r="E5406" s="1297" t="s">
        <v>946</v>
      </c>
      <c r="F5406" s="1399">
        <v>668314.22</v>
      </c>
      <c r="G5406" s="1399"/>
      <c r="H5406" s="1399"/>
      <c r="I5406" s="1399"/>
      <c r="J5406" s="1399">
        <v>668314.22</v>
      </c>
    </row>
    <row r="5407" spans="5:10" s="1297" customFormat="1">
      <c r="E5407" s="1297" t="s">
        <v>947</v>
      </c>
      <c r="F5407" s="1399">
        <v>47236.13</v>
      </c>
      <c r="G5407" s="1399"/>
      <c r="H5407" s="1399"/>
      <c r="I5407" s="1399"/>
      <c r="J5407" s="1399">
        <v>47236.13</v>
      </c>
    </row>
    <row r="5408" spans="5:10" s="1297" customFormat="1">
      <c r="E5408" s="1404" t="s">
        <v>948</v>
      </c>
      <c r="F5408" s="1405"/>
      <c r="G5408" s="1405"/>
      <c r="H5408" s="1405">
        <v>1183457.05</v>
      </c>
      <c r="I5408" s="1405"/>
      <c r="J5408" s="1405">
        <v>1183457.05</v>
      </c>
    </row>
    <row r="5409" spans="2:12">
      <c r="B5409" s="1297"/>
      <c r="C5409" s="1297"/>
      <c r="D5409" s="1297"/>
      <c r="E5409" s="1297" t="s">
        <v>956</v>
      </c>
      <c r="H5409" s="1399">
        <v>400</v>
      </c>
      <c r="J5409" s="1399">
        <v>400</v>
      </c>
    </row>
    <row r="5410" spans="2:12">
      <c r="B5410" s="1297"/>
      <c r="C5410" s="1297"/>
      <c r="D5410" s="1400" t="s">
        <v>1379</v>
      </c>
      <c r="E5410" s="1400"/>
      <c r="F5410" s="1401">
        <f>SUM(F5372:F5409)</f>
        <v>4490393.26</v>
      </c>
      <c r="G5410" s="1401">
        <f>SUM(G5372:G5409)</f>
        <v>3882545.96</v>
      </c>
      <c r="H5410" s="1401">
        <f>SUM(H5372:H5409)-H5408</f>
        <v>660666.63000000012</v>
      </c>
      <c r="I5410" s="1401">
        <f>SUM(I5372:I5409)-I5394</f>
        <v>8169552.6800000006</v>
      </c>
      <c r="J5410" s="1401">
        <f>SUM(J5372:J5409)</f>
        <v>18931829.760000002</v>
      </c>
      <c r="K5410" s="1401">
        <f>SUM(F5410:I5410)</f>
        <v>17203158.530000001</v>
      </c>
      <c r="L5410" s="1408">
        <f>K5410/C5372</f>
        <v>11758.823328776487</v>
      </c>
    </row>
    <row r="5411" spans="2:12">
      <c r="B5411" s="1297" t="s">
        <v>1380</v>
      </c>
      <c r="C5411" s="1297">
        <v>931</v>
      </c>
      <c r="D5411" s="1297" t="s">
        <v>1381</v>
      </c>
      <c r="E5411" s="1297" t="s">
        <v>906</v>
      </c>
      <c r="G5411" s="1399">
        <v>3273850.77</v>
      </c>
      <c r="J5411" s="1399">
        <v>3273850.77</v>
      </c>
    </row>
    <row r="5412" spans="2:12">
      <c r="B5412" s="1297"/>
      <c r="C5412" s="1297"/>
      <c r="D5412" s="1297"/>
      <c r="E5412" s="1297" t="s">
        <v>952</v>
      </c>
      <c r="G5412" s="1399">
        <v>22710.15</v>
      </c>
      <c r="J5412" s="1399">
        <v>22710.15</v>
      </c>
    </row>
    <row r="5413" spans="2:12">
      <c r="B5413" s="1297"/>
      <c r="C5413" s="1297"/>
      <c r="D5413" s="1297"/>
      <c r="E5413" s="1297" t="s">
        <v>907</v>
      </c>
      <c r="G5413" s="1399">
        <v>694676.94</v>
      </c>
      <c r="J5413" s="1399">
        <v>694676.94</v>
      </c>
    </row>
    <row r="5414" spans="2:12">
      <c r="B5414" s="1297"/>
      <c r="C5414" s="1297"/>
      <c r="D5414" s="1297"/>
      <c r="E5414" s="1297" t="s">
        <v>908</v>
      </c>
      <c r="G5414" s="1399">
        <v>29526.23</v>
      </c>
      <c r="J5414" s="1399">
        <v>29526.23</v>
      </c>
    </row>
    <row r="5415" spans="2:12">
      <c r="B5415" s="1297"/>
      <c r="C5415" s="1297"/>
      <c r="D5415" s="1297"/>
      <c r="E5415" s="1297" t="s">
        <v>1034</v>
      </c>
      <c r="H5415" s="1399">
        <v>675</v>
      </c>
      <c r="J5415" s="1399">
        <v>675</v>
      </c>
    </row>
    <row r="5416" spans="2:12">
      <c r="B5416" s="1297"/>
      <c r="C5416" s="1297"/>
      <c r="D5416" s="1297"/>
      <c r="E5416" s="1297" t="s">
        <v>1039</v>
      </c>
      <c r="H5416" s="1399">
        <v>12799.269999999999</v>
      </c>
      <c r="J5416" s="1399">
        <v>12799.269999999999</v>
      </c>
    </row>
    <row r="5417" spans="2:12">
      <c r="B5417" s="1297"/>
      <c r="C5417" s="1297"/>
      <c r="D5417" s="1297"/>
      <c r="E5417" s="1297" t="s">
        <v>1041</v>
      </c>
      <c r="H5417" s="1399">
        <v>14768.720000000001</v>
      </c>
      <c r="J5417" s="1399">
        <v>14768.720000000001</v>
      </c>
    </row>
    <row r="5418" spans="2:12">
      <c r="B5418" s="1297"/>
      <c r="C5418" s="1297"/>
      <c r="D5418" s="1297"/>
      <c r="E5418" s="1297" t="s">
        <v>1042</v>
      </c>
      <c r="H5418" s="1399">
        <v>21685.24</v>
      </c>
      <c r="J5418" s="1399">
        <v>21685.24</v>
      </c>
    </row>
    <row r="5419" spans="2:12">
      <c r="B5419" s="1297"/>
      <c r="C5419" s="1297"/>
      <c r="D5419" s="1297"/>
      <c r="E5419" s="1297" t="s">
        <v>953</v>
      </c>
      <c r="H5419" s="1399">
        <v>6693</v>
      </c>
      <c r="J5419" s="1399">
        <v>6693</v>
      </c>
    </row>
    <row r="5420" spans="2:12">
      <c r="B5420" s="1297"/>
      <c r="C5420" s="1297"/>
      <c r="D5420" s="1297"/>
      <c r="E5420" s="1297" t="s">
        <v>1045</v>
      </c>
      <c r="H5420" s="1399">
        <v>309646.26</v>
      </c>
      <c r="J5420" s="1399">
        <v>309646.26</v>
      </c>
    </row>
    <row r="5421" spans="2:12">
      <c r="B5421" s="1297"/>
      <c r="C5421" s="1297"/>
      <c r="D5421" s="1297"/>
      <c r="E5421" s="1297" t="s">
        <v>1046</v>
      </c>
      <c r="I5421" s="1399">
        <v>4815141</v>
      </c>
      <c r="J5421" s="1399">
        <v>4815141</v>
      </c>
    </row>
    <row r="5422" spans="2:12">
      <c r="B5422" s="1297"/>
      <c r="C5422" s="1297"/>
      <c r="D5422" s="1297"/>
      <c r="E5422" s="1297" t="s">
        <v>1047</v>
      </c>
      <c r="I5422" s="1399">
        <v>305239</v>
      </c>
      <c r="J5422" s="1399">
        <v>305239</v>
      </c>
    </row>
    <row r="5423" spans="2:12">
      <c r="B5423" s="1297"/>
      <c r="C5423" s="1297"/>
      <c r="D5423" s="1297"/>
      <c r="E5423" s="1297" t="s">
        <v>1048</v>
      </c>
      <c r="I5423" s="1399">
        <v>-978758</v>
      </c>
      <c r="J5423" s="1399">
        <v>-978758</v>
      </c>
    </row>
    <row r="5424" spans="2:12">
      <c r="B5424" s="1297"/>
      <c r="C5424" s="1297"/>
      <c r="D5424" s="1297"/>
      <c r="E5424" s="1297" t="s">
        <v>932</v>
      </c>
      <c r="I5424" s="1399">
        <v>85652</v>
      </c>
      <c r="J5424" s="1399">
        <v>85652</v>
      </c>
    </row>
    <row r="5425" spans="2:12">
      <c r="B5425" s="1297"/>
      <c r="C5425" s="1297"/>
      <c r="D5425" s="1297"/>
      <c r="E5425" s="1404" t="s">
        <v>955</v>
      </c>
      <c r="F5425" s="1405"/>
      <c r="G5425" s="1405"/>
      <c r="H5425" s="1405"/>
      <c r="I5425" s="1405">
        <v>119618.76</v>
      </c>
      <c r="J5425" s="1405">
        <v>119618.76</v>
      </c>
    </row>
    <row r="5426" spans="2:12">
      <c r="B5426" s="1297"/>
      <c r="C5426" s="1297"/>
      <c r="D5426" s="1297"/>
      <c r="E5426" s="1297" t="s">
        <v>934</v>
      </c>
      <c r="I5426" s="1399">
        <v>24092</v>
      </c>
      <c r="J5426" s="1399">
        <v>24092</v>
      </c>
    </row>
    <row r="5427" spans="2:12">
      <c r="B5427" s="1297"/>
      <c r="C5427" s="1297"/>
      <c r="D5427" s="1297"/>
      <c r="E5427" s="1297" t="s">
        <v>935</v>
      </c>
      <c r="I5427" s="1399">
        <v>231766.39</v>
      </c>
      <c r="J5427" s="1399">
        <v>231766.39</v>
      </c>
    </row>
    <row r="5428" spans="2:12">
      <c r="B5428" s="1297"/>
      <c r="C5428" s="1297"/>
      <c r="D5428" s="1297"/>
      <c r="E5428" s="1297" t="s">
        <v>936</v>
      </c>
      <c r="I5428" s="1399">
        <v>20658.88</v>
      </c>
      <c r="J5428" s="1399">
        <v>20658.88</v>
      </c>
    </row>
    <row r="5429" spans="2:12">
      <c r="B5429" s="1297"/>
      <c r="C5429" s="1297"/>
      <c r="D5429" s="1297"/>
      <c r="E5429" s="1297" t="s">
        <v>937</v>
      </c>
      <c r="I5429" s="1399">
        <v>2772.02</v>
      </c>
      <c r="J5429" s="1399">
        <v>2772.02</v>
      </c>
    </row>
    <row r="5430" spans="2:12">
      <c r="B5430" s="1297"/>
      <c r="C5430" s="1297"/>
      <c r="D5430" s="1297"/>
      <c r="E5430" s="1297" t="s">
        <v>938</v>
      </c>
      <c r="I5430" s="1399">
        <v>7674</v>
      </c>
      <c r="J5430" s="1399">
        <v>7674</v>
      </c>
    </row>
    <row r="5431" spans="2:12">
      <c r="B5431" s="1297"/>
      <c r="C5431" s="1297"/>
      <c r="D5431" s="1297"/>
      <c r="E5431" s="1297" t="s">
        <v>939</v>
      </c>
      <c r="I5431" s="1399">
        <v>11265.81</v>
      </c>
      <c r="J5431" s="1399">
        <v>11265.81</v>
      </c>
    </row>
    <row r="5432" spans="2:12">
      <c r="B5432" s="1297"/>
      <c r="C5432" s="1297"/>
      <c r="D5432" s="1297"/>
      <c r="E5432" s="1297" t="s">
        <v>1131</v>
      </c>
      <c r="F5432" s="1399">
        <v>603006.80000000005</v>
      </c>
      <c r="J5432" s="1399">
        <v>603006.80000000005</v>
      </c>
    </row>
    <row r="5433" spans="2:12">
      <c r="B5433" s="1297"/>
      <c r="C5433" s="1297"/>
      <c r="D5433" s="1297"/>
      <c r="E5433" s="1297" t="s">
        <v>940</v>
      </c>
      <c r="F5433" s="1399">
        <v>463199.48</v>
      </c>
      <c r="J5433" s="1399">
        <v>463199.48</v>
      </c>
    </row>
    <row r="5434" spans="2:12">
      <c r="B5434" s="1297"/>
      <c r="C5434" s="1297"/>
      <c r="D5434" s="1297"/>
      <c r="E5434" s="1297" t="s">
        <v>941</v>
      </c>
      <c r="F5434" s="1399">
        <v>256488.47999999998</v>
      </c>
      <c r="J5434" s="1399">
        <v>256488.47999999998</v>
      </c>
    </row>
    <row r="5435" spans="2:12">
      <c r="B5435" s="1297"/>
      <c r="C5435" s="1297"/>
      <c r="D5435" s="1297"/>
      <c r="E5435" s="1297" t="s">
        <v>943</v>
      </c>
      <c r="F5435" s="1399">
        <v>1382.32</v>
      </c>
      <c r="J5435" s="1399">
        <v>1382.32</v>
      </c>
    </row>
    <row r="5436" spans="2:12">
      <c r="B5436" s="1297"/>
      <c r="C5436" s="1297"/>
      <c r="D5436" s="1297"/>
      <c r="E5436" s="1297" t="s">
        <v>944</v>
      </c>
      <c r="F5436" s="1399">
        <v>1670942.5499999998</v>
      </c>
      <c r="J5436" s="1399">
        <v>1670942.5499999998</v>
      </c>
    </row>
    <row r="5437" spans="2:12">
      <c r="B5437" s="1297"/>
      <c r="C5437" s="1297"/>
      <c r="D5437" s="1297"/>
      <c r="E5437" s="1297" t="s">
        <v>945</v>
      </c>
      <c r="F5437" s="1399">
        <v>476035.48</v>
      </c>
      <c r="J5437" s="1399">
        <v>476035.48</v>
      </c>
    </row>
    <row r="5438" spans="2:12">
      <c r="B5438" s="1297"/>
      <c r="C5438" s="1297"/>
      <c r="D5438" s="1297"/>
      <c r="E5438" s="1297" t="s">
        <v>947</v>
      </c>
      <c r="F5438" s="1399">
        <v>47384.79</v>
      </c>
      <c r="J5438" s="1399">
        <v>47384.79</v>
      </c>
    </row>
    <row r="5439" spans="2:12">
      <c r="B5439" s="1297"/>
      <c r="C5439" s="1297"/>
      <c r="D5439" s="1297"/>
      <c r="E5439" s="1297" t="s">
        <v>956</v>
      </c>
      <c r="H5439" s="1399">
        <v>7447.36</v>
      </c>
      <c r="J5439" s="1399">
        <v>7447.36</v>
      </c>
    </row>
    <row r="5440" spans="2:12">
      <c r="B5440" s="1297"/>
      <c r="C5440" s="1297"/>
      <c r="D5440" s="1400" t="s">
        <v>1382</v>
      </c>
      <c r="E5440" s="1400"/>
      <c r="F5440" s="1401">
        <f>SUM(F5411:F5439)</f>
        <v>3518439.9</v>
      </c>
      <c r="G5440" s="1401">
        <f>SUM(G5411:G5439)</f>
        <v>4020764.09</v>
      </c>
      <c r="H5440" s="1401">
        <f>SUM(H5411:H5439)</f>
        <v>373714.85</v>
      </c>
      <c r="I5440" s="1401">
        <f>SUM(I5411:I5439)-I5425</f>
        <v>4525503.0999999987</v>
      </c>
      <c r="J5440" s="1401">
        <f>SUM(J5411:J5439)</f>
        <v>12558040.700000003</v>
      </c>
      <c r="K5440" s="1401">
        <f>SUM(F5440:I5440)</f>
        <v>12438421.939999998</v>
      </c>
      <c r="L5440" s="1408">
        <f>K5440/C5411</f>
        <v>13360.281353383456</v>
      </c>
    </row>
    <row r="5441" spans="2:10" s="1297" customFormat="1">
      <c r="B5441" s="1297" t="s">
        <v>1383</v>
      </c>
      <c r="C5441" s="1297">
        <v>2533</v>
      </c>
      <c r="D5441" s="1297" t="s">
        <v>1384</v>
      </c>
      <c r="E5441" s="1297" t="s">
        <v>906</v>
      </c>
      <c r="F5441" s="1399"/>
      <c r="G5441" s="1399">
        <v>12294955.970000001</v>
      </c>
      <c r="H5441" s="1399"/>
      <c r="I5441" s="1399"/>
      <c r="J5441" s="1399">
        <v>12294955.970000001</v>
      </c>
    </row>
    <row r="5442" spans="2:10" s="1297" customFormat="1">
      <c r="E5442" s="1297" t="s">
        <v>952</v>
      </c>
      <c r="F5442" s="1399"/>
      <c r="G5442" s="1399">
        <v>228538.55</v>
      </c>
      <c r="H5442" s="1399"/>
      <c r="I5442" s="1399"/>
      <c r="J5442" s="1399">
        <v>228538.55</v>
      </c>
    </row>
    <row r="5443" spans="2:10" s="1297" customFormat="1">
      <c r="E5443" s="1297" t="s">
        <v>907</v>
      </c>
      <c r="F5443" s="1399"/>
      <c r="G5443" s="1399">
        <v>3304962</v>
      </c>
      <c r="H5443" s="1399"/>
      <c r="I5443" s="1399"/>
      <c r="J5443" s="1399">
        <v>3304962</v>
      </c>
    </row>
    <row r="5444" spans="2:10" s="1297" customFormat="1">
      <c r="E5444" s="1297" t="s">
        <v>908</v>
      </c>
      <c r="F5444" s="1399"/>
      <c r="G5444" s="1399">
        <v>0</v>
      </c>
      <c r="H5444" s="1399"/>
      <c r="I5444" s="1399"/>
      <c r="J5444" s="1399">
        <v>0</v>
      </c>
    </row>
    <row r="5445" spans="2:10" s="1297" customFormat="1">
      <c r="E5445" s="1297" t="s">
        <v>1035</v>
      </c>
      <c r="F5445" s="1399"/>
      <c r="G5445" s="1399"/>
      <c r="H5445" s="1399">
        <v>299132.55</v>
      </c>
      <c r="I5445" s="1399"/>
      <c r="J5445" s="1399">
        <v>299132.55</v>
      </c>
    </row>
    <row r="5446" spans="2:10" s="1297" customFormat="1">
      <c r="E5446" s="1297" t="s">
        <v>1036</v>
      </c>
      <c r="F5446" s="1399"/>
      <c r="G5446" s="1399"/>
      <c r="H5446" s="1399">
        <v>85798</v>
      </c>
      <c r="I5446" s="1399"/>
      <c r="J5446" s="1399">
        <v>85798</v>
      </c>
    </row>
    <row r="5447" spans="2:10" s="1297" customFormat="1">
      <c r="E5447" s="1297" t="s">
        <v>1037</v>
      </c>
      <c r="F5447" s="1399"/>
      <c r="G5447" s="1399"/>
      <c r="H5447" s="1399">
        <v>7000</v>
      </c>
      <c r="I5447" s="1399"/>
      <c r="J5447" s="1399">
        <v>7000</v>
      </c>
    </row>
    <row r="5448" spans="2:10" s="1297" customFormat="1">
      <c r="E5448" s="1297" t="s">
        <v>1039</v>
      </c>
      <c r="F5448" s="1399"/>
      <c r="G5448" s="1399"/>
      <c r="H5448" s="1399">
        <v>71351.13</v>
      </c>
      <c r="I5448" s="1399"/>
      <c r="J5448" s="1399">
        <v>71351.13</v>
      </c>
    </row>
    <row r="5449" spans="2:10" s="1297" customFormat="1">
      <c r="E5449" s="1297" t="s">
        <v>1040</v>
      </c>
      <c r="F5449" s="1399"/>
      <c r="G5449" s="1399"/>
      <c r="H5449" s="1399">
        <v>272597.75</v>
      </c>
      <c r="I5449" s="1399"/>
      <c r="J5449" s="1399">
        <v>272597.75</v>
      </c>
    </row>
    <row r="5450" spans="2:10" s="1297" customFormat="1">
      <c r="E5450" s="1297" t="s">
        <v>1041</v>
      </c>
      <c r="F5450" s="1399"/>
      <c r="G5450" s="1399"/>
      <c r="H5450" s="1399">
        <v>44900.1</v>
      </c>
      <c r="I5450" s="1399"/>
      <c r="J5450" s="1399">
        <v>44900.1</v>
      </c>
    </row>
    <row r="5451" spans="2:10" s="1297" customFormat="1">
      <c r="E5451" s="1297" t="s">
        <v>1042</v>
      </c>
      <c r="F5451" s="1399"/>
      <c r="G5451" s="1399"/>
      <c r="H5451" s="1399">
        <v>60994.9</v>
      </c>
      <c r="I5451" s="1399"/>
      <c r="J5451" s="1399">
        <v>60994.9</v>
      </c>
    </row>
    <row r="5452" spans="2:10" s="1297" customFormat="1">
      <c r="E5452" s="1297" t="s">
        <v>954</v>
      </c>
      <c r="F5452" s="1399"/>
      <c r="G5452" s="1399"/>
      <c r="H5452" s="1399">
        <v>145556.37</v>
      </c>
      <c r="I5452" s="1399"/>
      <c r="J5452" s="1399">
        <v>145556.37</v>
      </c>
    </row>
    <row r="5453" spans="2:10" s="1297" customFormat="1">
      <c r="E5453" s="1297" t="s">
        <v>985</v>
      </c>
      <c r="F5453" s="1399"/>
      <c r="G5453" s="1399"/>
      <c r="H5453" s="1399">
        <v>73507.28</v>
      </c>
      <c r="I5453" s="1399"/>
      <c r="J5453" s="1399">
        <v>73507.28</v>
      </c>
    </row>
    <row r="5454" spans="2:10" s="1297" customFormat="1">
      <c r="E5454" s="1297" t="s">
        <v>1043</v>
      </c>
      <c r="F5454" s="1399"/>
      <c r="G5454" s="1399"/>
      <c r="H5454" s="1399">
        <v>485</v>
      </c>
      <c r="I5454" s="1399"/>
      <c r="J5454" s="1399">
        <v>485</v>
      </c>
    </row>
    <row r="5455" spans="2:10" s="1297" customFormat="1">
      <c r="E5455" s="1297" t="s">
        <v>986</v>
      </c>
      <c r="F5455" s="1399"/>
      <c r="G5455" s="1399"/>
      <c r="H5455" s="1399">
        <v>100216.42</v>
      </c>
      <c r="I5455" s="1399"/>
      <c r="J5455" s="1399">
        <v>100216.42</v>
      </c>
    </row>
    <row r="5456" spans="2:10" s="1297" customFormat="1">
      <c r="E5456" s="1297" t="s">
        <v>1045</v>
      </c>
      <c r="F5456" s="1399"/>
      <c r="G5456" s="1399"/>
      <c r="H5456" s="1399">
        <v>314375</v>
      </c>
      <c r="I5456" s="1399"/>
      <c r="J5456" s="1399">
        <v>314375</v>
      </c>
    </row>
    <row r="5457" spans="5:10" s="1297" customFormat="1">
      <c r="E5457" s="1297" t="s">
        <v>1046</v>
      </c>
      <c r="F5457" s="1399"/>
      <c r="G5457" s="1399"/>
      <c r="H5457" s="1399"/>
      <c r="I5457" s="1399">
        <v>12876844</v>
      </c>
      <c r="J5457" s="1399">
        <v>12876844</v>
      </c>
    </row>
    <row r="5458" spans="5:10" s="1297" customFormat="1">
      <c r="E5458" s="1297" t="s">
        <v>1128</v>
      </c>
      <c r="F5458" s="1399"/>
      <c r="G5458" s="1399"/>
      <c r="H5458" s="1399"/>
      <c r="I5458" s="1399">
        <v>1509138</v>
      </c>
      <c r="J5458" s="1399">
        <v>1509138</v>
      </c>
    </row>
    <row r="5459" spans="5:10" s="1297" customFormat="1">
      <c r="E5459" s="1297" t="s">
        <v>1047</v>
      </c>
      <c r="F5459" s="1399"/>
      <c r="G5459" s="1399"/>
      <c r="H5459" s="1399"/>
      <c r="I5459" s="1399">
        <v>694695</v>
      </c>
      <c r="J5459" s="1399">
        <v>694695</v>
      </c>
    </row>
    <row r="5460" spans="5:10" s="1297" customFormat="1">
      <c r="E5460" s="1297" t="s">
        <v>1048</v>
      </c>
      <c r="F5460" s="1399"/>
      <c r="G5460" s="1399"/>
      <c r="H5460" s="1399"/>
      <c r="I5460" s="1399">
        <v>-5594808</v>
      </c>
      <c r="J5460" s="1399">
        <v>-5594808</v>
      </c>
    </row>
    <row r="5461" spans="5:10" s="1297" customFormat="1">
      <c r="E5461" s="1404" t="s">
        <v>955</v>
      </c>
      <c r="F5461" s="1405"/>
      <c r="G5461" s="1405"/>
      <c r="H5461" s="1405"/>
      <c r="I5461" s="1405">
        <v>158117.01999999999</v>
      </c>
      <c r="J5461" s="1405">
        <v>158117.01999999999</v>
      </c>
    </row>
    <row r="5462" spans="5:10" s="1297" customFormat="1">
      <c r="E5462" s="1297" t="s">
        <v>934</v>
      </c>
      <c r="F5462" s="1399"/>
      <c r="G5462" s="1399"/>
      <c r="H5462" s="1399"/>
      <c r="I5462" s="1399">
        <v>44806</v>
      </c>
      <c r="J5462" s="1399">
        <v>44806</v>
      </c>
    </row>
    <row r="5463" spans="5:10" s="1297" customFormat="1">
      <c r="E5463" s="1297" t="s">
        <v>935</v>
      </c>
      <c r="F5463" s="1399"/>
      <c r="G5463" s="1399"/>
      <c r="H5463" s="1399"/>
      <c r="I5463" s="1399">
        <v>97580.25</v>
      </c>
      <c r="J5463" s="1399">
        <v>97580.25</v>
      </c>
    </row>
    <row r="5464" spans="5:10" s="1297" customFormat="1">
      <c r="E5464" s="1297" t="s">
        <v>936</v>
      </c>
      <c r="F5464" s="1399"/>
      <c r="G5464" s="1399"/>
      <c r="H5464" s="1399"/>
      <c r="I5464" s="1399">
        <v>63727.4</v>
      </c>
      <c r="J5464" s="1399">
        <v>63727.4</v>
      </c>
    </row>
    <row r="5465" spans="5:10" s="1297" customFormat="1">
      <c r="E5465" s="1297" t="s">
        <v>937</v>
      </c>
      <c r="F5465" s="1399"/>
      <c r="G5465" s="1399"/>
      <c r="H5465" s="1399"/>
      <c r="I5465" s="1399">
        <v>20699.650000000001</v>
      </c>
      <c r="J5465" s="1399">
        <v>20699.650000000001</v>
      </c>
    </row>
    <row r="5466" spans="5:10" s="1297" customFormat="1">
      <c r="E5466" s="1297" t="s">
        <v>938</v>
      </c>
      <c r="F5466" s="1399"/>
      <c r="G5466" s="1399"/>
      <c r="H5466" s="1399"/>
      <c r="I5466" s="1399">
        <v>16844</v>
      </c>
      <c r="J5466" s="1399">
        <v>16844</v>
      </c>
    </row>
    <row r="5467" spans="5:10" s="1297" customFormat="1">
      <c r="E5467" s="1297" t="s">
        <v>939</v>
      </c>
      <c r="F5467" s="1399"/>
      <c r="G5467" s="1399"/>
      <c r="H5467" s="1399"/>
      <c r="I5467" s="1399">
        <v>341421.33999999997</v>
      </c>
      <c r="J5467" s="1399">
        <v>341421.33999999997</v>
      </c>
    </row>
    <row r="5468" spans="5:10" s="1297" customFormat="1">
      <c r="E5468" s="1297" t="s">
        <v>940</v>
      </c>
      <c r="F5468" s="1399">
        <v>703093.8</v>
      </c>
      <c r="G5468" s="1399"/>
      <c r="H5468" s="1399"/>
      <c r="I5468" s="1399"/>
      <c r="J5468" s="1399">
        <v>703093.8</v>
      </c>
    </row>
    <row r="5469" spans="5:10" s="1297" customFormat="1">
      <c r="E5469" s="1297" t="s">
        <v>941</v>
      </c>
      <c r="F5469" s="1399">
        <v>262195.20000000001</v>
      </c>
      <c r="G5469" s="1399"/>
      <c r="H5469" s="1399"/>
      <c r="I5469" s="1399"/>
      <c r="J5469" s="1399">
        <v>262195.20000000001</v>
      </c>
    </row>
    <row r="5470" spans="5:10" s="1297" customFormat="1">
      <c r="E5470" s="1297" t="s">
        <v>943</v>
      </c>
      <c r="F5470" s="1399">
        <v>17098.439999999999</v>
      </c>
      <c r="G5470" s="1399"/>
      <c r="H5470" s="1399"/>
      <c r="I5470" s="1399"/>
      <c r="J5470" s="1399">
        <v>17098.439999999999</v>
      </c>
    </row>
    <row r="5471" spans="5:10" s="1297" customFormat="1">
      <c r="E5471" s="1297" t="s">
        <v>944</v>
      </c>
      <c r="F5471" s="1399">
        <v>1552330.1700000002</v>
      </c>
      <c r="G5471" s="1399"/>
      <c r="H5471" s="1399"/>
      <c r="I5471" s="1399"/>
      <c r="J5471" s="1399">
        <v>1552330.1700000002</v>
      </c>
    </row>
    <row r="5472" spans="5:10" s="1297" customFormat="1">
      <c r="E5472" s="1297" t="s">
        <v>945</v>
      </c>
      <c r="F5472" s="1399">
        <v>1093781.51</v>
      </c>
      <c r="G5472" s="1399"/>
      <c r="H5472" s="1399"/>
      <c r="I5472" s="1399"/>
      <c r="J5472" s="1399">
        <v>1093781.51</v>
      </c>
    </row>
    <row r="5473" spans="2:12">
      <c r="B5473" s="1297"/>
      <c r="C5473" s="1297"/>
      <c r="D5473" s="1297"/>
      <c r="E5473" s="1297" t="s">
        <v>1214</v>
      </c>
      <c r="F5473" s="1399">
        <v>667795.44999999995</v>
      </c>
      <c r="J5473" s="1399">
        <v>667795.44999999995</v>
      </c>
    </row>
    <row r="5474" spans="2:12">
      <c r="B5474" s="1297"/>
      <c r="C5474" s="1297"/>
      <c r="D5474" s="1297"/>
      <c r="E5474" s="1297" t="s">
        <v>947</v>
      </c>
      <c r="F5474" s="1399">
        <v>117031.9</v>
      </c>
      <c r="J5474" s="1399">
        <v>117031.9</v>
      </c>
    </row>
    <row r="5475" spans="2:12">
      <c r="B5475" s="1297"/>
      <c r="C5475" s="1297"/>
      <c r="D5475" s="1297"/>
      <c r="E5475" s="1297" t="s">
        <v>1115</v>
      </c>
      <c r="F5475" s="1399">
        <v>2873.96</v>
      </c>
      <c r="J5475" s="1399">
        <v>2873.96</v>
      </c>
    </row>
    <row r="5476" spans="2:12">
      <c r="B5476" s="1297"/>
      <c r="C5476" s="1297"/>
      <c r="D5476" s="1297"/>
      <c r="E5476" s="1404" t="s">
        <v>948</v>
      </c>
      <c r="F5476" s="1405"/>
      <c r="G5476" s="1405"/>
      <c r="H5476" s="1405">
        <v>3541752.7199999997</v>
      </c>
      <c r="I5476" s="1405"/>
      <c r="J5476" s="1405">
        <v>3541752.7199999997</v>
      </c>
    </row>
    <row r="5477" spans="2:12">
      <c r="B5477" s="1297"/>
      <c r="C5477" s="1297"/>
      <c r="D5477" s="1297"/>
      <c r="E5477" s="1297" t="s">
        <v>1118</v>
      </c>
      <c r="H5477" s="1399">
        <v>16444.29</v>
      </c>
      <c r="J5477" s="1399">
        <v>16444.29</v>
      </c>
    </row>
    <row r="5478" spans="2:12">
      <c r="B5478" s="1297"/>
      <c r="C5478" s="1297"/>
      <c r="D5478" s="1400" t="s">
        <v>1385</v>
      </c>
      <c r="E5478" s="1400"/>
      <c r="F5478" s="1401">
        <f>SUM(F5441:F5477)</f>
        <v>4416200.4300000006</v>
      </c>
      <c r="G5478" s="1401">
        <f>SUM(G5441:G5477)</f>
        <v>15828456.520000001</v>
      </c>
      <c r="H5478" s="1401">
        <f>SUM(H5441:H5477)-H5476</f>
        <v>1492358.79</v>
      </c>
      <c r="I5478" s="1401">
        <f>SUM(I5441:I5477)-I5461</f>
        <v>10070947.640000001</v>
      </c>
      <c r="J5478" s="1401">
        <f>SUM(J5441:J5477)</f>
        <v>35507833.120000005</v>
      </c>
      <c r="K5478" s="1401">
        <f>SUM(F5478:I5478)</f>
        <v>31807963.380000003</v>
      </c>
      <c r="L5478" s="1408">
        <f>K5478/C5441</f>
        <v>12557.427311488354</v>
      </c>
    </row>
    <row r="5479" spans="2:12">
      <c r="B5479" s="1297" t="s">
        <v>1386</v>
      </c>
      <c r="C5479" s="1297">
        <v>4449</v>
      </c>
      <c r="D5479" s="1297" t="s">
        <v>1387</v>
      </c>
      <c r="E5479" s="1297" t="s">
        <v>906</v>
      </c>
      <c r="G5479" s="1399">
        <v>9188035.5399999991</v>
      </c>
      <c r="J5479" s="1399">
        <v>9188035.5399999991</v>
      </c>
    </row>
    <row r="5480" spans="2:12">
      <c r="B5480" s="1297"/>
      <c r="C5480" s="1297"/>
      <c r="D5480" s="1297"/>
      <c r="E5480" s="1297" t="s">
        <v>952</v>
      </c>
      <c r="G5480" s="1399">
        <v>74922.89</v>
      </c>
      <c r="J5480" s="1399">
        <v>74922.89</v>
      </c>
    </row>
    <row r="5481" spans="2:12">
      <c r="B5481" s="1297"/>
      <c r="C5481" s="1297"/>
      <c r="D5481" s="1297"/>
      <c r="E5481" s="1297" t="s">
        <v>907</v>
      </c>
      <c r="G5481" s="1399">
        <v>3185570.43</v>
      </c>
      <c r="J5481" s="1399">
        <v>3185570.43</v>
      </c>
    </row>
    <row r="5482" spans="2:12">
      <c r="B5482" s="1297"/>
      <c r="C5482" s="1297"/>
      <c r="D5482" s="1297"/>
      <c r="E5482" s="1297" t="s">
        <v>908</v>
      </c>
      <c r="G5482" s="1399">
        <v>9031.49</v>
      </c>
      <c r="J5482" s="1399">
        <v>9031.49</v>
      </c>
    </row>
    <row r="5483" spans="2:12">
      <c r="B5483" s="1297"/>
      <c r="C5483" s="1297"/>
      <c r="D5483" s="1297"/>
      <c r="E5483" s="1297" t="s">
        <v>909</v>
      </c>
      <c r="H5483" s="1399">
        <v>28448.31</v>
      </c>
      <c r="J5483" s="1399">
        <v>28448.31</v>
      </c>
    </row>
    <row r="5484" spans="2:12">
      <c r="B5484" s="1297"/>
      <c r="C5484" s="1297"/>
      <c r="D5484" s="1297"/>
      <c r="E5484" s="1297" t="s">
        <v>910</v>
      </c>
      <c r="H5484" s="1399">
        <v>38275.81</v>
      </c>
      <c r="J5484" s="1399">
        <v>38275.81</v>
      </c>
    </row>
    <row r="5485" spans="2:12">
      <c r="B5485" s="1297"/>
      <c r="C5485" s="1297"/>
      <c r="D5485" s="1297"/>
      <c r="E5485" s="1297" t="s">
        <v>1034</v>
      </c>
      <c r="H5485" s="1399">
        <v>32139.1</v>
      </c>
      <c r="J5485" s="1399">
        <v>32139.1</v>
      </c>
    </row>
    <row r="5486" spans="2:12">
      <c r="B5486" s="1297"/>
      <c r="C5486" s="1297"/>
      <c r="D5486" s="1297"/>
      <c r="E5486" s="1297" t="s">
        <v>1035</v>
      </c>
      <c r="H5486" s="1399">
        <v>244450.08999999997</v>
      </c>
      <c r="J5486" s="1399">
        <v>244450.08999999997</v>
      </c>
    </row>
    <row r="5487" spans="2:12">
      <c r="B5487" s="1297"/>
      <c r="C5487" s="1297"/>
      <c r="D5487" s="1297"/>
      <c r="E5487" s="1297" t="s">
        <v>1036</v>
      </c>
      <c r="H5487" s="1399">
        <v>68232.81</v>
      </c>
      <c r="J5487" s="1399">
        <v>68232.81</v>
      </c>
    </row>
    <row r="5488" spans="2:12">
      <c r="B5488" s="1297"/>
      <c r="C5488" s="1297"/>
      <c r="D5488" s="1297"/>
      <c r="E5488" s="1297" t="s">
        <v>1037</v>
      </c>
      <c r="H5488" s="1399">
        <v>12200</v>
      </c>
      <c r="J5488" s="1399">
        <v>12200</v>
      </c>
    </row>
    <row r="5489" spans="5:10" s="1297" customFormat="1">
      <c r="E5489" s="1297" t="s">
        <v>1039</v>
      </c>
      <c r="F5489" s="1399"/>
      <c r="G5489" s="1399"/>
      <c r="H5489" s="1399">
        <v>28205.23</v>
      </c>
      <c r="I5489" s="1399"/>
      <c r="J5489" s="1399">
        <v>28205.23</v>
      </c>
    </row>
    <row r="5490" spans="5:10" s="1297" customFormat="1">
      <c r="E5490" s="1297" t="s">
        <v>1040</v>
      </c>
      <c r="F5490" s="1399"/>
      <c r="G5490" s="1399"/>
      <c r="H5490" s="1399">
        <v>290859.64999999997</v>
      </c>
      <c r="I5490" s="1399"/>
      <c r="J5490" s="1399">
        <v>290859.64999999997</v>
      </c>
    </row>
    <row r="5491" spans="5:10" s="1297" customFormat="1">
      <c r="E5491" s="1297" t="s">
        <v>1041</v>
      </c>
      <c r="F5491" s="1399"/>
      <c r="G5491" s="1399"/>
      <c r="H5491" s="1399">
        <v>50864.479999999996</v>
      </c>
      <c r="I5491" s="1399"/>
      <c r="J5491" s="1399">
        <v>50864.479999999996</v>
      </c>
    </row>
    <row r="5492" spans="5:10" s="1297" customFormat="1">
      <c r="E5492" s="1297" t="s">
        <v>1042</v>
      </c>
      <c r="F5492" s="1399"/>
      <c r="G5492" s="1399"/>
      <c r="H5492" s="1399">
        <v>53151.51999999999</v>
      </c>
      <c r="I5492" s="1399"/>
      <c r="J5492" s="1399">
        <v>53151.51999999999</v>
      </c>
    </row>
    <row r="5493" spans="5:10" s="1297" customFormat="1">
      <c r="E5493" s="1297" t="s">
        <v>954</v>
      </c>
      <c r="F5493" s="1399"/>
      <c r="G5493" s="1399"/>
      <c r="H5493" s="1399">
        <v>49787.48</v>
      </c>
      <c r="I5493" s="1399"/>
      <c r="J5493" s="1399">
        <v>49787.48</v>
      </c>
    </row>
    <row r="5494" spans="5:10" s="1297" customFormat="1">
      <c r="E5494" s="1297" t="s">
        <v>986</v>
      </c>
      <c r="F5494" s="1399"/>
      <c r="G5494" s="1399"/>
      <c r="H5494" s="1399">
        <v>145395.15</v>
      </c>
      <c r="I5494" s="1399"/>
      <c r="J5494" s="1399">
        <v>145395.15</v>
      </c>
    </row>
    <row r="5495" spans="5:10" s="1297" customFormat="1">
      <c r="E5495" s="1297" t="s">
        <v>996</v>
      </c>
      <c r="F5495" s="1399"/>
      <c r="G5495" s="1399"/>
      <c r="H5495" s="1399">
        <v>4094.75</v>
      </c>
      <c r="I5495" s="1399"/>
      <c r="J5495" s="1399">
        <v>4094.75</v>
      </c>
    </row>
    <row r="5496" spans="5:10" s="1297" customFormat="1">
      <c r="E5496" s="1297" t="s">
        <v>1044</v>
      </c>
      <c r="F5496" s="1409">
        <v>58563.07</v>
      </c>
      <c r="G5496" s="1399"/>
      <c r="H5496" s="1399"/>
      <c r="I5496" s="1399"/>
      <c r="J5496" s="1399">
        <v>58563.07</v>
      </c>
    </row>
    <row r="5497" spans="5:10" s="1297" customFormat="1">
      <c r="E5497" s="1297" t="s">
        <v>1045</v>
      </c>
      <c r="F5497" s="1399"/>
      <c r="G5497" s="1399"/>
      <c r="H5497" s="1399">
        <v>289766.50999999989</v>
      </c>
      <c r="I5497" s="1399"/>
      <c r="J5497" s="1399">
        <v>289766.50999999989</v>
      </c>
    </row>
    <row r="5498" spans="5:10" s="1297" customFormat="1">
      <c r="E5498" s="1297" t="s">
        <v>1046</v>
      </c>
      <c r="F5498" s="1399"/>
      <c r="G5498" s="1399"/>
      <c r="H5498" s="1399"/>
      <c r="I5498" s="1399">
        <v>22797799</v>
      </c>
      <c r="J5498" s="1399">
        <v>22797799</v>
      </c>
    </row>
    <row r="5499" spans="5:10" s="1297" customFormat="1">
      <c r="E5499" s="1297" t="s">
        <v>1128</v>
      </c>
      <c r="F5499" s="1399"/>
      <c r="G5499" s="1399"/>
      <c r="H5499" s="1399"/>
      <c r="I5499" s="1399">
        <v>1945760</v>
      </c>
      <c r="J5499" s="1399">
        <v>1945760</v>
      </c>
    </row>
    <row r="5500" spans="5:10" s="1297" customFormat="1">
      <c r="E5500" s="1297" t="s">
        <v>1129</v>
      </c>
      <c r="F5500" s="1399"/>
      <c r="G5500" s="1399"/>
      <c r="H5500" s="1399"/>
      <c r="I5500" s="1399">
        <v>-3306126</v>
      </c>
      <c r="J5500" s="1399">
        <v>-3306126</v>
      </c>
    </row>
    <row r="5501" spans="5:10" s="1297" customFormat="1">
      <c r="E5501" s="1297" t="s">
        <v>1047</v>
      </c>
      <c r="F5501" s="1399"/>
      <c r="G5501" s="1399"/>
      <c r="H5501" s="1399"/>
      <c r="I5501" s="1399">
        <v>732077</v>
      </c>
      <c r="J5501" s="1399">
        <v>732077</v>
      </c>
    </row>
    <row r="5502" spans="5:10" s="1297" customFormat="1">
      <c r="E5502" s="1297" t="s">
        <v>1048</v>
      </c>
      <c r="F5502" s="1399"/>
      <c r="G5502" s="1399"/>
      <c r="H5502" s="1399"/>
      <c r="I5502" s="1399">
        <v>-3028075</v>
      </c>
      <c r="J5502" s="1399">
        <v>-3028075</v>
      </c>
    </row>
    <row r="5503" spans="5:10" s="1297" customFormat="1">
      <c r="E5503" s="1297" t="s">
        <v>932</v>
      </c>
      <c r="F5503" s="1399"/>
      <c r="G5503" s="1399"/>
      <c r="H5503" s="1399"/>
      <c r="I5503" s="1399">
        <v>2161026</v>
      </c>
      <c r="J5503" s="1399">
        <v>2161026</v>
      </c>
    </row>
    <row r="5504" spans="5:10" s="1297" customFormat="1">
      <c r="E5504" s="1404" t="s">
        <v>955</v>
      </c>
      <c r="F5504" s="1405"/>
      <c r="G5504" s="1405"/>
      <c r="H5504" s="1405"/>
      <c r="I5504" s="1405">
        <v>541300.47999999998</v>
      </c>
      <c r="J5504" s="1405">
        <v>541300.47999999998</v>
      </c>
    </row>
    <row r="5505" spans="2:12">
      <c r="B5505" s="1297"/>
      <c r="C5505" s="1297"/>
      <c r="D5505" s="1297"/>
      <c r="E5505" s="1297" t="s">
        <v>934</v>
      </c>
      <c r="I5505" s="1399">
        <v>78090</v>
      </c>
      <c r="J5505" s="1399">
        <v>78090</v>
      </c>
    </row>
    <row r="5506" spans="2:12">
      <c r="B5506" s="1297"/>
      <c r="C5506" s="1297"/>
      <c r="D5506" s="1297"/>
      <c r="E5506" s="1297" t="s">
        <v>935</v>
      </c>
      <c r="I5506" s="1399">
        <v>135762.71</v>
      </c>
      <c r="J5506" s="1399">
        <v>135762.71</v>
      </c>
    </row>
    <row r="5507" spans="2:12">
      <c r="B5507" s="1297"/>
      <c r="C5507" s="1297"/>
      <c r="D5507" s="1297"/>
      <c r="E5507" s="1297" t="s">
        <v>936</v>
      </c>
      <c r="I5507" s="1399">
        <v>86137.03</v>
      </c>
      <c r="J5507" s="1399">
        <v>86137.03</v>
      </c>
    </row>
    <row r="5508" spans="2:12">
      <c r="B5508" s="1297"/>
      <c r="C5508" s="1297"/>
      <c r="D5508" s="1297"/>
      <c r="E5508" s="1297" t="s">
        <v>938</v>
      </c>
      <c r="I5508" s="1399">
        <v>29758</v>
      </c>
      <c r="J5508" s="1399">
        <v>29758</v>
      </c>
    </row>
    <row r="5509" spans="2:12">
      <c r="B5509" s="1297"/>
      <c r="C5509" s="1297"/>
      <c r="D5509" s="1297"/>
      <c r="E5509" s="1297" t="s">
        <v>1131</v>
      </c>
      <c r="F5509" s="1399">
        <v>140583.64000000001</v>
      </c>
      <c r="J5509" s="1399">
        <v>140583.64000000001</v>
      </c>
    </row>
    <row r="5510" spans="2:12">
      <c r="B5510" s="1297"/>
      <c r="C5510" s="1297"/>
      <c r="D5510" s="1297"/>
      <c r="E5510" s="1297" t="s">
        <v>940</v>
      </c>
      <c r="F5510" s="1399">
        <v>1301968.7400000002</v>
      </c>
      <c r="J5510" s="1399">
        <v>1301968.7400000002</v>
      </c>
    </row>
    <row r="5511" spans="2:12">
      <c r="B5511" s="1297"/>
      <c r="C5511" s="1297"/>
      <c r="D5511" s="1297"/>
      <c r="E5511" s="1297" t="s">
        <v>941</v>
      </c>
      <c r="F5511" s="1399">
        <v>524278.19000000006</v>
      </c>
      <c r="J5511" s="1399">
        <v>524278.19000000006</v>
      </c>
    </row>
    <row r="5512" spans="2:12">
      <c r="B5512" s="1297"/>
      <c r="C5512" s="1297"/>
      <c r="D5512" s="1297"/>
      <c r="E5512" s="1297" t="s">
        <v>943</v>
      </c>
      <c r="F5512" s="1399">
        <v>3669.66</v>
      </c>
      <c r="J5512" s="1399">
        <v>3669.66</v>
      </c>
    </row>
    <row r="5513" spans="2:12">
      <c r="B5513" s="1297"/>
      <c r="C5513" s="1297"/>
      <c r="D5513" s="1297"/>
      <c r="E5513" s="1297" t="s">
        <v>944</v>
      </c>
      <c r="F5513" s="1399">
        <v>3054115.8899999992</v>
      </c>
      <c r="J5513" s="1399">
        <v>3054115.8899999992</v>
      </c>
    </row>
    <row r="5514" spans="2:12">
      <c r="B5514" s="1297"/>
      <c r="C5514" s="1297"/>
      <c r="D5514" s="1297"/>
      <c r="E5514" s="1297" t="s">
        <v>945</v>
      </c>
      <c r="F5514" s="1399">
        <v>1813408.55</v>
      </c>
      <c r="J5514" s="1399">
        <v>1813408.55</v>
      </c>
    </row>
    <row r="5515" spans="2:12">
      <c r="B5515" s="1297"/>
      <c r="C5515" s="1297"/>
      <c r="D5515" s="1297"/>
      <c r="E5515" s="1297" t="s">
        <v>946</v>
      </c>
      <c r="F5515" s="1399">
        <v>208364.2</v>
      </c>
      <c r="J5515" s="1399">
        <v>208364.2</v>
      </c>
    </row>
    <row r="5516" spans="2:12">
      <c r="B5516" s="1297"/>
      <c r="C5516" s="1297"/>
      <c r="D5516" s="1297"/>
      <c r="E5516" s="1297" t="s">
        <v>947</v>
      </c>
      <c r="F5516" s="1399">
        <v>73218.44</v>
      </c>
      <c r="J5516" s="1399">
        <v>73218.44</v>
      </c>
    </row>
    <row r="5517" spans="2:12">
      <c r="B5517" s="1297"/>
      <c r="C5517" s="1297"/>
      <c r="D5517" s="1297"/>
      <c r="E5517" s="1404" t="s">
        <v>948</v>
      </c>
      <c r="F5517" s="1405"/>
      <c r="G5517" s="1405"/>
      <c r="H5517" s="1405">
        <v>42772.97</v>
      </c>
      <c r="I5517" s="1405"/>
      <c r="J5517" s="1405">
        <v>42772.97</v>
      </c>
    </row>
    <row r="5518" spans="2:12">
      <c r="B5518" s="1297"/>
      <c r="C5518" s="1297"/>
      <c r="D5518" s="1297"/>
      <c r="E5518" s="1297" t="s">
        <v>1118</v>
      </c>
      <c r="H5518" s="1399">
        <v>219.51</v>
      </c>
      <c r="J5518" s="1399">
        <v>219.51</v>
      </c>
    </row>
    <row r="5519" spans="2:12">
      <c r="B5519" s="1297"/>
      <c r="C5519" s="1297"/>
      <c r="D5519" s="1400" t="s">
        <v>1388</v>
      </c>
      <c r="E5519" s="1400"/>
      <c r="F5519" s="1401">
        <f>SUM(F5479:F5518)</f>
        <v>7178170.3799999999</v>
      </c>
      <c r="G5519" s="1401">
        <f>SUM(G5479:G5518)</f>
        <v>12457560.35</v>
      </c>
      <c r="H5519" s="1401">
        <f>SUM(H5479:H5518)-H5517</f>
        <v>1336090.3999999997</v>
      </c>
      <c r="I5519" s="1401">
        <f>SUM(I5479:I5518)-I5504</f>
        <v>21632208.740000002</v>
      </c>
      <c r="J5519" s="1401">
        <f>SUM(J5479:J5518)</f>
        <v>43188103.319999993</v>
      </c>
      <c r="K5519" s="1401">
        <f>SUM(F5519:I5519)</f>
        <v>42604029.870000005</v>
      </c>
      <c r="L5519" s="1408">
        <f>K5519/C5479</f>
        <v>9576.0912272420774</v>
      </c>
    </row>
    <row r="5520" spans="2:12">
      <c r="B5520" s="1297" t="s">
        <v>1389</v>
      </c>
      <c r="C5520" s="1297">
        <v>8863</v>
      </c>
      <c r="D5520" s="1297" t="s">
        <v>1390</v>
      </c>
      <c r="E5520" s="1297" t="s">
        <v>906</v>
      </c>
      <c r="G5520" s="1399">
        <v>21009162.129999999</v>
      </c>
      <c r="J5520" s="1399">
        <v>21009162.129999999</v>
      </c>
    </row>
    <row r="5521" spans="5:10" s="1297" customFormat="1">
      <c r="E5521" s="1297" t="s">
        <v>952</v>
      </c>
      <c r="F5521" s="1399"/>
      <c r="G5521" s="1399">
        <v>295910.33</v>
      </c>
      <c r="H5521" s="1399"/>
      <c r="I5521" s="1399"/>
      <c r="J5521" s="1399">
        <v>295910.33</v>
      </c>
    </row>
    <row r="5522" spans="5:10" s="1297" customFormat="1">
      <c r="E5522" s="1297" t="s">
        <v>907</v>
      </c>
      <c r="F5522" s="1399"/>
      <c r="G5522" s="1399">
        <v>4670277.97</v>
      </c>
      <c r="H5522" s="1399"/>
      <c r="I5522" s="1399"/>
      <c r="J5522" s="1399">
        <v>4670277.97</v>
      </c>
    </row>
    <row r="5523" spans="5:10" s="1297" customFormat="1">
      <c r="E5523" s="1297" t="s">
        <v>908</v>
      </c>
      <c r="F5523" s="1399"/>
      <c r="G5523" s="1399">
        <v>568963.83999999997</v>
      </c>
      <c r="H5523" s="1399"/>
      <c r="I5523" s="1399"/>
      <c r="J5523" s="1399">
        <v>568963.83999999997</v>
      </c>
    </row>
    <row r="5524" spans="5:10" s="1297" customFormat="1">
      <c r="E5524" s="1297" t="s">
        <v>909</v>
      </c>
      <c r="F5524" s="1399"/>
      <c r="G5524" s="1399"/>
      <c r="H5524" s="1399">
        <v>155984.49</v>
      </c>
      <c r="I5524" s="1399"/>
      <c r="J5524" s="1399">
        <v>155984.49</v>
      </c>
    </row>
    <row r="5525" spans="5:10" s="1297" customFormat="1">
      <c r="E5525" s="1297" t="s">
        <v>910</v>
      </c>
      <c r="F5525" s="1399"/>
      <c r="G5525" s="1399"/>
      <c r="H5525" s="1399">
        <v>123985.03</v>
      </c>
      <c r="I5525" s="1399"/>
      <c r="J5525" s="1399">
        <v>123985.03</v>
      </c>
    </row>
    <row r="5526" spans="5:10" s="1297" customFormat="1">
      <c r="E5526" s="1297" t="s">
        <v>1034</v>
      </c>
      <c r="F5526" s="1399"/>
      <c r="G5526" s="1399"/>
      <c r="H5526" s="1399">
        <v>389245.95</v>
      </c>
      <c r="I5526" s="1399"/>
      <c r="J5526" s="1399">
        <v>389245.95</v>
      </c>
    </row>
    <row r="5527" spans="5:10" s="1297" customFormat="1">
      <c r="E5527" s="1297" t="s">
        <v>1035</v>
      </c>
      <c r="F5527" s="1399"/>
      <c r="G5527" s="1399"/>
      <c r="H5527" s="1399">
        <v>992025.85</v>
      </c>
      <c r="I5527" s="1399"/>
      <c r="J5527" s="1399">
        <v>992025.85</v>
      </c>
    </row>
    <row r="5528" spans="5:10" s="1297" customFormat="1">
      <c r="E5528" s="1297" t="s">
        <v>1036</v>
      </c>
      <c r="F5528" s="1399"/>
      <c r="G5528" s="1399"/>
      <c r="H5528" s="1399">
        <v>254037.93000000002</v>
      </c>
      <c r="I5528" s="1399"/>
      <c r="J5528" s="1399">
        <v>254037.93000000002</v>
      </c>
    </row>
    <row r="5529" spans="5:10" s="1297" customFormat="1">
      <c r="E5529" s="1297" t="s">
        <v>1038</v>
      </c>
      <c r="F5529" s="1399"/>
      <c r="G5529" s="1399"/>
      <c r="H5529" s="1399">
        <v>4900</v>
      </c>
      <c r="I5529" s="1399"/>
      <c r="J5529" s="1399">
        <v>4900</v>
      </c>
    </row>
    <row r="5530" spans="5:10" s="1297" customFormat="1">
      <c r="E5530" s="1297" t="s">
        <v>1039</v>
      </c>
      <c r="F5530" s="1399"/>
      <c r="G5530" s="1399"/>
      <c r="H5530" s="1399">
        <v>479425.86000000004</v>
      </c>
      <c r="I5530" s="1399"/>
      <c r="J5530" s="1399">
        <v>479425.86000000004</v>
      </c>
    </row>
    <row r="5531" spans="5:10" s="1297" customFormat="1">
      <c r="E5531" s="1297" t="s">
        <v>1040</v>
      </c>
      <c r="F5531" s="1399"/>
      <c r="G5531" s="1399"/>
      <c r="H5531" s="1399">
        <v>670180.19999999995</v>
      </c>
      <c r="I5531" s="1399"/>
      <c r="J5531" s="1399">
        <v>670180.19999999995</v>
      </c>
    </row>
    <row r="5532" spans="5:10" s="1297" customFormat="1">
      <c r="E5532" s="1297" t="s">
        <v>1041</v>
      </c>
      <c r="F5532" s="1399"/>
      <c r="G5532" s="1399"/>
      <c r="H5532" s="1399">
        <v>69754.2</v>
      </c>
      <c r="I5532" s="1399"/>
      <c r="J5532" s="1399">
        <v>69754.2</v>
      </c>
    </row>
    <row r="5533" spans="5:10" s="1297" customFormat="1">
      <c r="E5533" s="1297" t="s">
        <v>1042</v>
      </c>
      <c r="F5533" s="1399"/>
      <c r="G5533" s="1399"/>
      <c r="H5533" s="1399">
        <v>134998.72</v>
      </c>
      <c r="I5533" s="1399"/>
      <c r="J5533" s="1399">
        <v>134998.72</v>
      </c>
    </row>
    <row r="5534" spans="5:10" s="1297" customFormat="1">
      <c r="E5534" s="1297" t="s">
        <v>1044</v>
      </c>
      <c r="F5534" s="1399">
        <v>120168</v>
      </c>
      <c r="G5534" s="1399"/>
      <c r="H5534" s="1399"/>
      <c r="I5534" s="1399"/>
      <c r="J5534" s="1399">
        <v>120168</v>
      </c>
    </row>
    <row r="5535" spans="5:10" s="1297" customFormat="1">
      <c r="E5535" s="1297" t="s">
        <v>1045</v>
      </c>
      <c r="F5535" s="1399"/>
      <c r="G5535" s="1399"/>
      <c r="H5535" s="1399">
        <v>1923095.3600000003</v>
      </c>
      <c r="I5535" s="1399"/>
      <c r="J5535" s="1399">
        <v>1923095.3600000003</v>
      </c>
    </row>
    <row r="5536" spans="5:10" s="1297" customFormat="1">
      <c r="E5536" s="1297" t="s">
        <v>1046</v>
      </c>
      <c r="F5536" s="1399"/>
      <c r="G5536" s="1399"/>
      <c r="H5536" s="1399"/>
      <c r="I5536" s="1399">
        <v>46472244</v>
      </c>
      <c r="J5536" s="1399">
        <v>46472244</v>
      </c>
    </row>
    <row r="5537" spans="5:10" s="1297" customFormat="1">
      <c r="E5537" s="1297" t="s">
        <v>1047</v>
      </c>
      <c r="F5537" s="1399"/>
      <c r="G5537" s="1399"/>
      <c r="H5537" s="1399"/>
      <c r="I5537" s="1399">
        <v>1132668</v>
      </c>
      <c r="J5537" s="1399">
        <v>1132668</v>
      </c>
    </row>
    <row r="5538" spans="5:10" s="1297" customFormat="1">
      <c r="E5538" s="1297" t="s">
        <v>1048</v>
      </c>
      <c r="F5538" s="1399"/>
      <c r="G5538" s="1399"/>
      <c r="H5538" s="1399"/>
      <c r="I5538" s="1399">
        <v>-5921561</v>
      </c>
      <c r="J5538" s="1399">
        <v>-5921561</v>
      </c>
    </row>
    <row r="5539" spans="5:10" s="1297" customFormat="1">
      <c r="E5539" s="1297" t="s">
        <v>932</v>
      </c>
      <c r="F5539" s="1399"/>
      <c r="G5539" s="1399"/>
      <c r="H5539" s="1399"/>
      <c r="I5539" s="1399">
        <v>6922958</v>
      </c>
      <c r="J5539" s="1399">
        <v>6922958</v>
      </c>
    </row>
    <row r="5540" spans="5:10" s="1297" customFormat="1">
      <c r="E5540" s="1404" t="s">
        <v>955</v>
      </c>
      <c r="F5540" s="1405"/>
      <c r="G5540" s="1405"/>
      <c r="H5540" s="1405"/>
      <c r="I5540" s="1405">
        <v>1281047.8700000001</v>
      </c>
      <c r="J5540" s="1405">
        <v>1281047.8700000001</v>
      </c>
    </row>
    <row r="5541" spans="5:10" s="1297" customFormat="1">
      <c r="E5541" s="1297" t="s">
        <v>934</v>
      </c>
      <c r="F5541" s="1399"/>
      <c r="G5541" s="1399"/>
      <c r="H5541" s="1399"/>
      <c r="I5541" s="1399">
        <v>152388</v>
      </c>
      <c r="J5541" s="1399">
        <v>152388</v>
      </c>
    </row>
    <row r="5542" spans="5:10" s="1297" customFormat="1">
      <c r="E5542" s="1297" t="s">
        <v>1130</v>
      </c>
      <c r="F5542" s="1399"/>
      <c r="G5542" s="1399"/>
      <c r="H5542" s="1399"/>
      <c r="I5542" s="1399">
        <v>234436.7</v>
      </c>
      <c r="J5542" s="1399">
        <v>234436.7</v>
      </c>
    </row>
    <row r="5543" spans="5:10" s="1297" customFormat="1">
      <c r="E5543" s="1297" t="s">
        <v>935</v>
      </c>
      <c r="F5543" s="1399"/>
      <c r="G5543" s="1399"/>
      <c r="H5543" s="1399"/>
      <c r="I5543" s="1399">
        <v>505641.43</v>
      </c>
      <c r="J5543" s="1399">
        <v>505641.43</v>
      </c>
    </row>
    <row r="5544" spans="5:10" s="1297" customFormat="1">
      <c r="E5544" s="1297" t="s">
        <v>936</v>
      </c>
      <c r="F5544" s="1399"/>
      <c r="G5544" s="1399"/>
      <c r="H5544" s="1399"/>
      <c r="I5544" s="1399">
        <v>171923.91</v>
      </c>
      <c r="J5544" s="1399">
        <v>171923.91</v>
      </c>
    </row>
    <row r="5545" spans="5:10" s="1297" customFormat="1">
      <c r="E5545" s="1297" t="s">
        <v>937</v>
      </c>
      <c r="F5545" s="1399"/>
      <c r="G5545" s="1399"/>
      <c r="H5545" s="1399"/>
      <c r="I5545" s="1399">
        <v>31608.61</v>
      </c>
      <c r="J5545" s="1399">
        <v>31608.61</v>
      </c>
    </row>
    <row r="5546" spans="5:10" s="1297" customFormat="1">
      <c r="E5546" s="1297" t="s">
        <v>938</v>
      </c>
      <c r="F5546" s="1399"/>
      <c r="G5546" s="1399"/>
      <c r="H5546" s="1399"/>
      <c r="I5546" s="1399">
        <v>54463</v>
      </c>
      <c r="J5546" s="1399">
        <v>54463</v>
      </c>
    </row>
    <row r="5547" spans="5:10" s="1297" customFormat="1">
      <c r="E5547" s="1297" t="s">
        <v>939</v>
      </c>
      <c r="F5547" s="1399"/>
      <c r="G5547" s="1399"/>
      <c r="H5547" s="1399"/>
      <c r="I5547" s="1399">
        <v>3000.72</v>
      </c>
      <c r="J5547" s="1399">
        <v>3000.72</v>
      </c>
    </row>
    <row r="5548" spans="5:10" s="1297" customFormat="1">
      <c r="E5548" s="1297" t="s">
        <v>1131</v>
      </c>
      <c r="F5548" s="1399">
        <v>126536.25</v>
      </c>
      <c r="G5548" s="1399"/>
      <c r="H5548" s="1399"/>
      <c r="I5548" s="1399"/>
      <c r="J5548" s="1399">
        <v>126536.25</v>
      </c>
    </row>
    <row r="5549" spans="5:10" s="1297" customFormat="1">
      <c r="E5549" s="1297" t="s">
        <v>940</v>
      </c>
      <c r="F5549" s="1399">
        <v>2393678.04</v>
      </c>
      <c r="G5549" s="1399"/>
      <c r="H5549" s="1399"/>
      <c r="I5549" s="1399"/>
      <c r="J5549" s="1399">
        <v>2393678.04</v>
      </c>
    </row>
    <row r="5550" spans="5:10" s="1297" customFormat="1">
      <c r="E5550" s="1297" t="s">
        <v>941</v>
      </c>
      <c r="F5550" s="1399">
        <v>978012.86</v>
      </c>
      <c r="G5550" s="1399"/>
      <c r="H5550" s="1399"/>
      <c r="I5550" s="1399"/>
      <c r="J5550" s="1399">
        <v>978012.86</v>
      </c>
    </row>
    <row r="5551" spans="5:10" s="1297" customFormat="1">
      <c r="E5551" s="1297" t="s">
        <v>943</v>
      </c>
      <c r="F5551" s="1399">
        <v>12868.6</v>
      </c>
      <c r="G5551" s="1399"/>
      <c r="H5551" s="1399"/>
      <c r="I5551" s="1399"/>
      <c r="J5551" s="1399">
        <v>12868.6</v>
      </c>
    </row>
    <row r="5552" spans="5:10" s="1297" customFormat="1">
      <c r="E5552" s="1297" t="s">
        <v>944</v>
      </c>
      <c r="F5552" s="1399">
        <v>5541245.3799999999</v>
      </c>
      <c r="G5552" s="1399"/>
      <c r="H5552" s="1399"/>
      <c r="I5552" s="1399"/>
      <c r="J5552" s="1399">
        <v>5541245.3799999999</v>
      </c>
    </row>
    <row r="5553" spans="2:12">
      <c r="B5553" s="1297"/>
      <c r="C5553" s="1297"/>
      <c r="D5553" s="1297"/>
      <c r="E5553" s="1297" t="s">
        <v>945</v>
      </c>
      <c r="F5553" s="1399">
        <v>5894575.6800000006</v>
      </c>
      <c r="J5553" s="1399">
        <v>5894575.6800000006</v>
      </c>
    </row>
    <row r="5554" spans="2:12">
      <c r="B5554" s="1297"/>
      <c r="C5554" s="1297"/>
      <c r="D5554" s="1297"/>
      <c r="E5554" s="1297" t="s">
        <v>978</v>
      </c>
      <c r="F5554" s="1399">
        <v>1200</v>
      </c>
      <c r="J5554" s="1399">
        <v>1200</v>
      </c>
    </row>
    <row r="5555" spans="2:12">
      <c r="B5555" s="1297"/>
      <c r="C5555" s="1297"/>
      <c r="D5555" s="1297"/>
      <c r="E5555" s="1297" t="s">
        <v>947</v>
      </c>
      <c r="F5555" s="1399">
        <v>259333.73</v>
      </c>
      <c r="J5555" s="1399">
        <v>259333.73</v>
      </c>
    </row>
    <row r="5556" spans="2:12">
      <c r="B5556" s="1297"/>
      <c r="C5556" s="1297"/>
      <c r="D5556" s="1297"/>
      <c r="E5556" s="1297" t="s">
        <v>1115</v>
      </c>
      <c r="F5556" s="1399">
        <v>99706.270000000019</v>
      </c>
      <c r="J5556" s="1399">
        <v>99706.270000000019</v>
      </c>
    </row>
    <row r="5557" spans="2:12">
      <c r="B5557" s="1297"/>
      <c r="C5557" s="1297"/>
      <c r="D5557" s="1297"/>
      <c r="E5557" s="1404" t="s">
        <v>948</v>
      </c>
      <c r="F5557" s="1405"/>
      <c r="G5557" s="1405"/>
      <c r="H5557" s="1405">
        <v>6666415.54</v>
      </c>
      <c r="I5557" s="1405"/>
      <c r="J5557" s="1405">
        <v>6666415.54</v>
      </c>
    </row>
    <row r="5558" spans="2:12">
      <c r="B5558" s="1297"/>
      <c r="C5558" s="1297"/>
      <c r="D5558" s="1400" t="s">
        <v>1391</v>
      </c>
      <c r="E5558" s="1400"/>
      <c r="F5558" s="1401">
        <f>SUM(F5520:F5557)</f>
        <v>15427324.809999999</v>
      </c>
      <c r="G5558" s="1401">
        <f>SUM(G5520:G5557)</f>
        <v>26544314.269999996</v>
      </c>
      <c r="H5558" s="1401">
        <f>SUM(H5520:H5557)-H5557</f>
        <v>5197633.5899999989</v>
      </c>
      <c r="I5558" s="1401">
        <f>SUM(I5520:I5557)-I5540</f>
        <v>49759771.369999997</v>
      </c>
      <c r="J5558" s="1401">
        <f>SUM(J5520:J5557)</f>
        <v>104876507.45</v>
      </c>
      <c r="K5558" s="1401">
        <f>SUM(F5558:I5558)</f>
        <v>96929044.039999992</v>
      </c>
      <c r="L5558" s="1408">
        <f>K5558/C5520</f>
        <v>10936.369631050433</v>
      </c>
    </row>
    <row r="5559" spans="2:12">
      <c r="B5559" s="1297" t="s">
        <v>1392</v>
      </c>
      <c r="C5559" s="1297">
        <v>12712</v>
      </c>
      <c r="D5559" s="1297" t="s">
        <v>1578</v>
      </c>
      <c r="E5559" s="1297" t="s">
        <v>906</v>
      </c>
      <c r="G5559" s="1399">
        <v>47193707.059999995</v>
      </c>
      <c r="J5559" s="1399">
        <v>47193707.059999995</v>
      </c>
    </row>
    <row r="5560" spans="2:12">
      <c r="B5560" s="1297"/>
      <c r="C5560" s="1297"/>
      <c r="D5560" s="1297"/>
      <c r="E5560" s="1297" t="s">
        <v>952</v>
      </c>
      <c r="G5560" s="1399">
        <v>583043.81999999995</v>
      </c>
      <c r="J5560" s="1399">
        <v>583043.81999999995</v>
      </c>
    </row>
    <row r="5561" spans="2:12">
      <c r="B5561" s="1297"/>
      <c r="C5561" s="1297"/>
      <c r="D5561" s="1297"/>
      <c r="E5561" s="1297" t="s">
        <v>907</v>
      </c>
      <c r="G5561" s="1399">
        <v>7783471.8899999997</v>
      </c>
      <c r="J5561" s="1399">
        <v>7783471.8899999997</v>
      </c>
    </row>
    <row r="5562" spans="2:12">
      <c r="B5562" s="1297"/>
      <c r="C5562" s="1297"/>
      <c r="D5562" s="1297"/>
      <c r="E5562" s="1297" t="s">
        <v>1145</v>
      </c>
      <c r="G5562" s="1399">
        <v>1041649.8</v>
      </c>
      <c r="J5562" s="1399">
        <v>1041649.8</v>
      </c>
    </row>
    <row r="5563" spans="2:12">
      <c r="B5563" s="1297"/>
      <c r="C5563" s="1297"/>
      <c r="D5563" s="1297"/>
      <c r="E5563" s="1297" t="s">
        <v>908</v>
      </c>
      <c r="G5563" s="1399">
        <v>10467.200000000001</v>
      </c>
      <c r="J5563" s="1399">
        <v>10467.200000000001</v>
      </c>
    </row>
    <row r="5564" spans="2:12">
      <c r="B5564" s="1297"/>
      <c r="C5564" s="1297"/>
      <c r="D5564" s="1297"/>
      <c r="E5564" s="1297" t="s">
        <v>909</v>
      </c>
      <c r="H5564" s="1399">
        <v>102.25</v>
      </c>
      <c r="J5564" s="1399">
        <v>102.25</v>
      </c>
    </row>
    <row r="5565" spans="2:12">
      <c r="B5565" s="1297"/>
      <c r="C5565" s="1297"/>
      <c r="D5565" s="1297"/>
      <c r="E5565" s="1297" t="s">
        <v>910</v>
      </c>
      <c r="H5565" s="1399">
        <v>55627.68</v>
      </c>
      <c r="J5565" s="1399">
        <v>55627.68</v>
      </c>
    </row>
    <row r="5566" spans="2:12">
      <c r="B5566" s="1297"/>
      <c r="C5566" s="1297"/>
      <c r="D5566" s="1297"/>
      <c r="E5566" s="1297" t="s">
        <v>1034</v>
      </c>
      <c r="H5566" s="1399">
        <v>132044.72</v>
      </c>
      <c r="J5566" s="1399">
        <v>132044.72</v>
      </c>
    </row>
    <row r="5567" spans="2:12">
      <c r="B5567" s="1297"/>
      <c r="C5567" s="1297"/>
      <c r="D5567" s="1297"/>
      <c r="E5567" s="1297" t="s">
        <v>1035</v>
      </c>
      <c r="H5567" s="1399">
        <v>1827423.54</v>
      </c>
      <c r="J5567" s="1399">
        <v>1827423.54</v>
      </c>
    </row>
    <row r="5568" spans="2:12">
      <c r="B5568" s="1297"/>
      <c r="C5568" s="1297"/>
      <c r="D5568" s="1297"/>
      <c r="E5568" s="1297" t="s">
        <v>1036</v>
      </c>
      <c r="H5568" s="1399">
        <v>368192.01</v>
      </c>
      <c r="J5568" s="1399">
        <v>368192.01</v>
      </c>
    </row>
    <row r="5569" spans="5:10" s="1297" customFormat="1">
      <c r="E5569" s="1297" t="s">
        <v>1038</v>
      </c>
      <c r="F5569" s="1399"/>
      <c r="G5569" s="1399"/>
      <c r="H5569" s="1399">
        <v>275</v>
      </c>
      <c r="I5569" s="1399"/>
      <c r="J5569" s="1399">
        <v>275</v>
      </c>
    </row>
    <row r="5570" spans="5:10" s="1297" customFormat="1">
      <c r="E5570" s="1297" t="s">
        <v>1039</v>
      </c>
      <c r="F5570" s="1399"/>
      <c r="G5570" s="1399"/>
      <c r="H5570" s="1399">
        <v>149263.1</v>
      </c>
      <c r="I5570" s="1399"/>
      <c r="J5570" s="1399">
        <v>149263.1</v>
      </c>
    </row>
    <row r="5571" spans="5:10" s="1297" customFormat="1">
      <c r="E5571" s="1297" t="s">
        <v>1040</v>
      </c>
      <c r="F5571" s="1399"/>
      <c r="G5571" s="1399"/>
      <c r="H5571" s="1399">
        <v>1237588.19</v>
      </c>
      <c r="I5571" s="1399"/>
      <c r="J5571" s="1399">
        <v>1237588.19</v>
      </c>
    </row>
    <row r="5572" spans="5:10" s="1297" customFormat="1">
      <c r="E5572" s="1297" t="s">
        <v>1041</v>
      </c>
      <c r="F5572" s="1399"/>
      <c r="G5572" s="1399"/>
      <c r="H5572" s="1399">
        <v>59673.69</v>
      </c>
      <c r="I5572" s="1399"/>
      <c r="J5572" s="1399">
        <v>59673.69</v>
      </c>
    </row>
    <row r="5573" spans="5:10" s="1297" customFormat="1">
      <c r="E5573" s="1297" t="s">
        <v>1042</v>
      </c>
      <c r="F5573" s="1399"/>
      <c r="G5573" s="1399"/>
      <c r="H5573" s="1399">
        <v>84889.91</v>
      </c>
      <c r="I5573" s="1399"/>
      <c r="J5573" s="1399">
        <v>84889.91</v>
      </c>
    </row>
    <row r="5574" spans="5:10" s="1297" customFormat="1">
      <c r="E5574" s="1297" t="s">
        <v>1043</v>
      </c>
      <c r="F5574" s="1399"/>
      <c r="G5574" s="1399"/>
      <c r="H5574" s="1399">
        <v>210153.40000000002</v>
      </c>
      <c r="I5574" s="1399"/>
      <c r="J5574" s="1399">
        <v>210153.40000000002</v>
      </c>
    </row>
    <row r="5575" spans="5:10" s="1297" customFormat="1">
      <c r="E5575" s="1297" t="s">
        <v>986</v>
      </c>
      <c r="F5575" s="1399"/>
      <c r="G5575" s="1399"/>
      <c r="H5575" s="1399">
        <v>3200</v>
      </c>
      <c r="I5575" s="1399"/>
      <c r="J5575" s="1399">
        <v>3200</v>
      </c>
    </row>
    <row r="5576" spans="5:10" s="1297" customFormat="1">
      <c r="E5576" s="1297" t="s">
        <v>996</v>
      </c>
      <c r="F5576" s="1399"/>
      <c r="G5576" s="1399"/>
      <c r="H5576" s="1399">
        <v>74122.55</v>
      </c>
      <c r="I5576" s="1399"/>
      <c r="J5576" s="1399">
        <v>74122.55</v>
      </c>
    </row>
    <row r="5577" spans="5:10" s="1297" customFormat="1">
      <c r="E5577" s="1297" t="s">
        <v>1004</v>
      </c>
      <c r="F5577" s="1399"/>
      <c r="G5577" s="1399"/>
      <c r="H5577" s="1399">
        <v>-68949.53</v>
      </c>
      <c r="I5577" s="1399"/>
      <c r="J5577" s="1399">
        <v>-68949.53</v>
      </c>
    </row>
    <row r="5578" spans="5:10" s="1297" customFormat="1">
      <c r="E5578" s="1297" t="s">
        <v>1005</v>
      </c>
      <c r="F5578" s="1399"/>
      <c r="G5578" s="1399"/>
      <c r="H5578" s="1399">
        <v>5711.7</v>
      </c>
      <c r="I5578" s="1399"/>
      <c r="J5578" s="1399">
        <v>5711.7</v>
      </c>
    </row>
    <row r="5579" spans="5:10" s="1297" customFormat="1">
      <c r="E5579" s="1297" t="s">
        <v>1044</v>
      </c>
      <c r="F5579" s="1399">
        <v>330247.42</v>
      </c>
      <c r="G5579" s="1399"/>
      <c r="H5579" s="1399"/>
      <c r="I5579" s="1399"/>
      <c r="J5579" s="1399">
        <v>330247.42</v>
      </c>
    </row>
    <row r="5580" spans="5:10" s="1297" customFormat="1">
      <c r="E5580" s="1297" t="s">
        <v>1045</v>
      </c>
      <c r="F5580" s="1399"/>
      <c r="G5580" s="1399"/>
      <c r="H5580" s="1399">
        <v>232578.6</v>
      </c>
      <c r="I5580" s="1399"/>
      <c r="J5580" s="1399">
        <v>232578.6</v>
      </c>
    </row>
    <row r="5581" spans="5:10" s="1297" customFormat="1">
      <c r="E5581" s="1297" t="s">
        <v>1046</v>
      </c>
      <c r="F5581" s="1399"/>
      <c r="G5581" s="1399"/>
      <c r="H5581" s="1399"/>
      <c r="I5581" s="1399">
        <v>64705465</v>
      </c>
      <c r="J5581" s="1399">
        <v>64705465</v>
      </c>
    </row>
    <row r="5582" spans="5:10" s="1297" customFormat="1">
      <c r="E5582" s="1297" t="s">
        <v>1128</v>
      </c>
      <c r="F5582" s="1399"/>
      <c r="G5582" s="1399"/>
      <c r="H5582" s="1399"/>
      <c r="I5582" s="1399">
        <v>5884220</v>
      </c>
      <c r="J5582" s="1399">
        <v>5884220</v>
      </c>
    </row>
    <row r="5583" spans="5:10" s="1297" customFormat="1">
      <c r="E5583" s="1297" t="s">
        <v>1129</v>
      </c>
      <c r="F5583" s="1399"/>
      <c r="G5583" s="1399"/>
      <c r="H5583" s="1399"/>
      <c r="I5583" s="1399">
        <v>-8613312</v>
      </c>
      <c r="J5583" s="1399">
        <v>-8613312</v>
      </c>
    </row>
    <row r="5584" spans="5:10" s="1297" customFormat="1">
      <c r="E5584" s="1297" t="s">
        <v>1047</v>
      </c>
      <c r="F5584" s="1399"/>
      <c r="G5584" s="1399"/>
      <c r="H5584" s="1399"/>
      <c r="I5584" s="1399">
        <v>1485555</v>
      </c>
      <c r="J5584" s="1399">
        <v>1485555</v>
      </c>
    </row>
    <row r="5585" spans="5:10" s="1297" customFormat="1">
      <c r="E5585" s="1297" t="s">
        <v>1048</v>
      </c>
      <c r="F5585" s="1399"/>
      <c r="G5585" s="1399"/>
      <c r="H5585" s="1399"/>
      <c r="I5585" s="1399">
        <v>-13159735</v>
      </c>
      <c r="J5585" s="1399">
        <v>-13159735</v>
      </c>
    </row>
    <row r="5586" spans="5:10" s="1297" customFormat="1">
      <c r="E5586" s="1404" t="s">
        <v>955</v>
      </c>
      <c r="F5586" s="1405"/>
      <c r="G5586" s="1405"/>
      <c r="H5586" s="1405"/>
      <c r="I5586" s="1405">
        <v>1454047.92</v>
      </c>
      <c r="J5586" s="1405">
        <v>1454047.92</v>
      </c>
    </row>
    <row r="5587" spans="5:10" s="1297" customFormat="1">
      <c r="E5587" s="1297" t="s">
        <v>934</v>
      </c>
      <c r="F5587" s="1399"/>
      <c r="G5587" s="1399"/>
      <c r="H5587" s="1399"/>
      <c r="I5587" s="1399">
        <v>164356</v>
      </c>
      <c r="J5587" s="1399">
        <v>164356</v>
      </c>
    </row>
    <row r="5588" spans="5:10" s="1297" customFormat="1">
      <c r="E5588" s="1297" t="s">
        <v>1130</v>
      </c>
      <c r="F5588" s="1399"/>
      <c r="G5588" s="1399"/>
      <c r="H5588" s="1399"/>
      <c r="I5588" s="1399">
        <v>1099581.8</v>
      </c>
      <c r="J5588" s="1399">
        <v>1099581.8</v>
      </c>
    </row>
    <row r="5589" spans="5:10" s="1297" customFormat="1">
      <c r="E5589" s="1297" t="s">
        <v>935</v>
      </c>
      <c r="F5589" s="1399"/>
      <c r="G5589" s="1399"/>
      <c r="H5589" s="1399"/>
      <c r="I5589" s="1399">
        <v>1088075.25</v>
      </c>
      <c r="J5589" s="1399">
        <v>1088075.25</v>
      </c>
    </row>
    <row r="5590" spans="5:10" s="1297" customFormat="1">
      <c r="E5590" s="1297" t="s">
        <v>936</v>
      </c>
      <c r="F5590" s="1399"/>
      <c r="G5590" s="1399"/>
      <c r="H5590" s="1399"/>
      <c r="I5590" s="1399">
        <v>184179.18</v>
      </c>
      <c r="J5590" s="1399">
        <v>184179.18</v>
      </c>
    </row>
    <row r="5591" spans="5:10" s="1297" customFormat="1">
      <c r="E5591" s="1297" t="s">
        <v>937</v>
      </c>
      <c r="F5591" s="1399"/>
      <c r="G5591" s="1399"/>
      <c r="H5591" s="1399"/>
      <c r="I5591" s="1399">
        <v>72579.990000000005</v>
      </c>
      <c r="J5591" s="1399">
        <v>72579.990000000005</v>
      </c>
    </row>
    <row r="5592" spans="5:10" s="1297" customFormat="1">
      <c r="E5592" s="1297" t="s">
        <v>938</v>
      </c>
      <c r="F5592" s="1399"/>
      <c r="G5592" s="1399"/>
      <c r="H5592" s="1399"/>
      <c r="I5592" s="1399">
        <v>62885</v>
      </c>
      <c r="J5592" s="1399">
        <v>62885</v>
      </c>
    </row>
    <row r="5593" spans="5:10" s="1297" customFormat="1">
      <c r="E5593" s="1297" t="s">
        <v>939</v>
      </c>
      <c r="F5593" s="1399"/>
      <c r="G5593" s="1399"/>
      <c r="H5593" s="1399"/>
      <c r="I5593" s="1399">
        <v>202841.52000000002</v>
      </c>
      <c r="J5593" s="1399">
        <v>202841.52000000002</v>
      </c>
    </row>
    <row r="5594" spans="5:10" s="1297" customFormat="1">
      <c r="E5594" s="1297" t="s">
        <v>1131</v>
      </c>
      <c r="F5594" s="1399">
        <v>813293.58</v>
      </c>
      <c r="G5594" s="1399"/>
      <c r="H5594" s="1399"/>
      <c r="I5594" s="1399"/>
      <c r="J5594" s="1399">
        <v>813293.58</v>
      </c>
    </row>
    <row r="5595" spans="5:10" s="1297" customFormat="1">
      <c r="E5595" s="1297" t="s">
        <v>940</v>
      </c>
      <c r="F5595" s="1399">
        <v>2336536.08</v>
      </c>
      <c r="G5595" s="1399"/>
      <c r="H5595" s="1399"/>
      <c r="I5595" s="1399"/>
      <c r="J5595" s="1399">
        <v>2336536.08</v>
      </c>
    </row>
    <row r="5596" spans="5:10" s="1297" customFormat="1">
      <c r="E5596" s="1297" t="s">
        <v>941</v>
      </c>
      <c r="F5596" s="1399">
        <v>669214.48</v>
      </c>
      <c r="G5596" s="1399"/>
      <c r="H5596" s="1399"/>
      <c r="I5596" s="1399"/>
      <c r="J5596" s="1399">
        <v>669214.48</v>
      </c>
    </row>
    <row r="5597" spans="5:10" s="1297" customFormat="1">
      <c r="E5597" s="1297" t="s">
        <v>943</v>
      </c>
      <c r="F5597" s="1399">
        <v>36464.83</v>
      </c>
      <c r="G5597" s="1399"/>
      <c r="H5597" s="1399"/>
      <c r="I5597" s="1399"/>
      <c r="J5597" s="1399">
        <v>36464.83</v>
      </c>
    </row>
    <row r="5598" spans="5:10" s="1297" customFormat="1">
      <c r="E5598" s="1297" t="s">
        <v>944</v>
      </c>
      <c r="F5598" s="1399">
        <v>7393670</v>
      </c>
      <c r="G5598" s="1399"/>
      <c r="H5598" s="1399"/>
      <c r="I5598" s="1399"/>
      <c r="J5598" s="1399">
        <v>7393670</v>
      </c>
    </row>
    <row r="5599" spans="5:10" s="1297" customFormat="1">
      <c r="E5599" s="1297" t="s">
        <v>945</v>
      </c>
      <c r="F5599" s="1399">
        <v>5384424.8199999994</v>
      </c>
      <c r="G5599" s="1399"/>
      <c r="H5599" s="1399"/>
      <c r="I5599" s="1399"/>
      <c r="J5599" s="1399">
        <v>5384424.8199999994</v>
      </c>
    </row>
    <row r="5600" spans="5:10" s="1297" customFormat="1">
      <c r="E5600" s="1297" t="s">
        <v>946</v>
      </c>
      <c r="F5600" s="1399">
        <v>65732.33</v>
      </c>
      <c r="G5600" s="1399"/>
      <c r="H5600" s="1399"/>
      <c r="I5600" s="1399"/>
      <c r="J5600" s="1399">
        <v>65732.33</v>
      </c>
    </row>
    <row r="5601" spans="2:12">
      <c r="B5601" s="1297"/>
      <c r="C5601" s="1297"/>
      <c r="D5601" s="1297"/>
      <c r="E5601" s="1297" t="s">
        <v>947</v>
      </c>
      <c r="F5601" s="1399">
        <v>531953.46</v>
      </c>
      <c r="J5601" s="1399">
        <v>531953.46</v>
      </c>
    </row>
    <row r="5602" spans="2:12">
      <c r="B5602" s="1297"/>
      <c r="C5602" s="1297"/>
      <c r="D5602" s="1297"/>
      <c r="E5602" s="1297" t="s">
        <v>1115</v>
      </c>
      <c r="F5602" s="1399">
        <v>280.75</v>
      </c>
      <c r="J5602" s="1399">
        <v>280.75</v>
      </c>
    </row>
    <row r="5603" spans="2:12">
      <c r="B5603" s="1297"/>
      <c r="C5603" s="1297"/>
      <c r="D5603" s="1297"/>
      <c r="E5603" s="1404" t="s">
        <v>948</v>
      </c>
      <c r="F5603" s="1405"/>
      <c r="G5603" s="1405"/>
      <c r="H5603" s="1405">
        <v>331340.88</v>
      </c>
      <c r="I5603" s="1405"/>
      <c r="J5603" s="1405">
        <v>331340.88</v>
      </c>
    </row>
    <row r="5604" spans="2:12">
      <c r="B5604" s="1297"/>
      <c r="C5604" s="1297"/>
      <c r="D5604" s="1297"/>
      <c r="E5604" s="1297" t="s">
        <v>956</v>
      </c>
      <c r="H5604" s="1399">
        <v>95992</v>
      </c>
      <c r="J5604" s="1399">
        <v>95992</v>
      </c>
    </row>
    <row r="5605" spans="2:12">
      <c r="B5605" s="1297"/>
      <c r="C5605" s="1297"/>
      <c r="D5605" s="1400" t="s">
        <v>1579</v>
      </c>
      <c r="E5605" s="1400"/>
      <c r="F5605" s="1401">
        <f>SUM(F5559:F5604)</f>
        <v>17561817.75</v>
      </c>
      <c r="G5605" s="1401">
        <f>SUM(G5559:G5604)</f>
        <v>56612339.769999996</v>
      </c>
      <c r="H5605" s="1401">
        <f>SUM(H5559:H5604)-H5603</f>
        <v>4467888.8100000005</v>
      </c>
      <c r="I5605" s="1401">
        <f>SUM(I5559:I5604)-I5586</f>
        <v>53176691.740000002</v>
      </c>
      <c r="J5605" s="1401">
        <f>SUM(J5559:J5604)</f>
        <v>133604126.86999996</v>
      </c>
      <c r="K5605" s="1401">
        <f>SUM(F5605:I5605)</f>
        <v>131818738.06999999</v>
      </c>
      <c r="L5605" s="1408">
        <f>K5605/C5559</f>
        <v>10369.630118785399</v>
      </c>
    </row>
    <row r="5606" spans="2:12">
      <c r="B5606" s="1297" t="s">
        <v>1580</v>
      </c>
      <c r="C5606" s="1297">
        <v>5637</v>
      </c>
      <c r="D5606" s="1297" t="s">
        <v>1581</v>
      </c>
      <c r="E5606" s="1297" t="s">
        <v>906</v>
      </c>
      <c r="G5606" s="1399">
        <v>11242022.18</v>
      </c>
      <c r="J5606" s="1399">
        <v>11242022.18</v>
      </c>
    </row>
    <row r="5607" spans="2:12">
      <c r="B5607" s="1297"/>
      <c r="C5607" s="1297"/>
      <c r="D5607" s="1297"/>
      <c r="E5607" s="1297" t="s">
        <v>952</v>
      </c>
      <c r="G5607" s="1399">
        <v>78616.81</v>
      </c>
      <c r="J5607" s="1399">
        <v>78616.81</v>
      </c>
    </row>
    <row r="5608" spans="2:12">
      <c r="B5608" s="1297"/>
      <c r="C5608" s="1297"/>
      <c r="D5608" s="1297"/>
      <c r="E5608" s="1297" t="s">
        <v>907</v>
      </c>
      <c r="G5608" s="1399">
        <v>6764782.6799999997</v>
      </c>
      <c r="J5608" s="1399">
        <v>6764782.6799999997</v>
      </c>
    </row>
    <row r="5609" spans="2:12">
      <c r="B5609" s="1297"/>
      <c r="C5609" s="1297"/>
      <c r="D5609" s="1297"/>
      <c r="E5609" s="1297" t="s">
        <v>908</v>
      </c>
      <c r="G5609" s="1399">
        <v>133184.76</v>
      </c>
      <c r="J5609" s="1399">
        <v>133184.76</v>
      </c>
    </row>
    <row r="5610" spans="2:12">
      <c r="B5610" s="1297"/>
      <c r="C5610" s="1297"/>
      <c r="D5610" s="1297"/>
      <c r="E5610" s="1297" t="s">
        <v>909</v>
      </c>
      <c r="H5610" s="1399">
        <v>37853.33</v>
      </c>
      <c r="J5610" s="1399">
        <v>37853.33</v>
      </c>
    </row>
    <row r="5611" spans="2:12">
      <c r="B5611" s="1297"/>
      <c r="C5611" s="1297"/>
      <c r="D5611" s="1297"/>
      <c r="E5611" s="1297" t="s">
        <v>910</v>
      </c>
      <c r="H5611" s="1399">
        <v>96989.55</v>
      </c>
      <c r="J5611" s="1399">
        <v>96989.55</v>
      </c>
    </row>
    <row r="5612" spans="2:12">
      <c r="B5612" s="1297"/>
      <c r="C5612" s="1297"/>
      <c r="D5612" s="1297"/>
      <c r="E5612" s="1297" t="s">
        <v>1034</v>
      </c>
      <c r="H5612" s="1399">
        <v>155018.70000000001</v>
      </c>
      <c r="J5612" s="1399">
        <v>155018.70000000001</v>
      </c>
    </row>
    <row r="5613" spans="2:12">
      <c r="B5613" s="1297"/>
      <c r="C5613" s="1297"/>
      <c r="D5613" s="1297"/>
      <c r="E5613" s="1297" t="s">
        <v>1035</v>
      </c>
      <c r="H5613" s="1399">
        <v>347961.51</v>
      </c>
      <c r="J5613" s="1399">
        <v>347961.51</v>
      </c>
    </row>
    <row r="5614" spans="2:12">
      <c r="B5614" s="1297"/>
      <c r="C5614" s="1297"/>
      <c r="D5614" s="1297"/>
      <c r="E5614" s="1297" t="s">
        <v>1036</v>
      </c>
      <c r="H5614" s="1399">
        <v>245409.86</v>
      </c>
      <c r="J5614" s="1399">
        <v>245409.86</v>
      </c>
    </row>
    <row r="5615" spans="2:12">
      <c r="B5615" s="1297"/>
      <c r="C5615" s="1297"/>
      <c r="D5615" s="1297"/>
      <c r="E5615" s="1297" t="s">
        <v>1037</v>
      </c>
      <c r="H5615" s="1399">
        <v>7920</v>
      </c>
      <c r="J5615" s="1399">
        <v>7920</v>
      </c>
    </row>
    <row r="5616" spans="2:12">
      <c r="B5616" s="1297"/>
      <c r="C5616" s="1297"/>
      <c r="D5616" s="1297"/>
      <c r="E5616" s="1297" t="s">
        <v>1038</v>
      </c>
      <c r="H5616" s="1399">
        <v>1250</v>
      </c>
      <c r="J5616" s="1399">
        <v>1250</v>
      </c>
    </row>
    <row r="5617" spans="5:10" s="1297" customFormat="1">
      <c r="E5617" s="1297" t="s">
        <v>1003</v>
      </c>
      <c r="F5617" s="1399"/>
      <c r="G5617" s="1399"/>
      <c r="H5617" s="1399">
        <v>269473.14</v>
      </c>
      <c r="I5617" s="1399"/>
      <c r="J5617" s="1399">
        <v>269473.14</v>
      </c>
    </row>
    <row r="5618" spans="5:10" s="1297" customFormat="1">
      <c r="E5618" s="1297" t="s">
        <v>1039</v>
      </c>
      <c r="F5618" s="1399"/>
      <c r="G5618" s="1399"/>
      <c r="H5618" s="1399">
        <v>38189.79</v>
      </c>
      <c r="I5618" s="1399"/>
      <c r="J5618" s="1399">
        <v>38189.79</v>
      </c>
    </row>
    <row r="5619" spans="5:10" s="1297" customFormat="1">
      <c r="E5619" s="1297" t="s">
        <v>1040</v>
      </c>
      <c r="F5619" s="1399"/>
      <c r="G5619" s="1399"/>
      <c r="H5619" s="1399">
        <v>239086.00000000003</v>
      </c>
      <c r="I5619" s="1399"/>
      <c r="J5619" s="1399">
        <v>239086.00000000003</v>
      </c>
    </row>
    <row r="5620" spans="5:10" s="1297" customFormat="1">
      <c r="E5620" s="1297" t="s">
        <v>1127</v>
      </c>
      <c r="F5620" s="1399"/>
      <c r="G5620" s="1399"/>
      <c r="H5620" s="1399">
        <v>49962.3</v>
      </c>
      <c r="I5620" s="1399"/>
      <c r="J5620" s="1399">
        <v>49962.3</v>
      </c>
    </row>
    <row r="5621" spans="5:10" s="1297" customFormat="1">
      <c r="E5621" s="1297" t="s">
        <v>1041</v>
      </c>
      <c r="F5621" s="1399"/>
      <c r="G5621" s="1399"/>
      <c r="H5621" s="1399">
        <v>130496.15000000001</v>
      </c>
      <c r="I5621" s="1399"/>
      <c r="J5621" s="1399">
        <v>130496.15000000001</v>
      </c>
    </row>
    <row r="5622" spans="5:10" s="1297" customFormat="1">
      <c r="E5622" s="1297" t="s">
        <v>1042</v>
      </c>
      <c r="F5622" s="1399"/>
      <c r="G5622" s="1399"/>
      <c r="H5622" s="1399">
        <v>89785.19</v>
      </c>
      <c r="I5622" s="1399"/>
      <c r="J5622" s="1399">
        <v>89785.19</v>
      </c>
    </row>
    <row r="5623" spans="5:10" s="1297" customFormat="1">
      <c r="E5623" s="1297" t="s">
        <v>954</v>
      </c>
      <c r="F5623" s="1399"/>
      <c r="G5623" s="1399"/>
      <c r="H5623" s="1399">
        <v>185659.3</v>
      </c>
      <c r="I5623" s="1399"/>
      <c r="J5623" s="1399">
        <v>185659.3</v>
      </c>
    </row>
    <row r="5624" spans="5:10" s="1297" customFormat="1">
      <c r="E5624" s="1297" t="s">
        <v>1043</v>
      </c>
      <c r="F5624" s="1399"/>
      <c r="G5624" s="1399"/>
      <c r="H5624" s="1399">
        <v>15010</v>
      </c>
      <c r="I5624" s="1399"/>
      <c r="J5624" s="1399">
        <v>15010</v>
      </c>
    </row>
    <row r="5625" spans="5:10" s="1297" customFormat="1">
      <c r="E5625" s="1297" t="s">
        <v>986</v>
      </c>
      <c r="F5625" s="1399"/>
      <c r="G5625" s="1399"/>
      <c r="H5625" s="1399">
        <v>14520.02</v>
      </c>
      <c r="I5625" s="1399"/>
      <c r="J5625" s="1399">
        <v>14520.02</v>
      </c>
    </row>
    <row r="5626" spans="5:10" s="1297" customFormat="1">
      <c r="E5626" s="1297" t="s">
        <v>996</v>
      </c>
      <c r="F5626" s="1399"/>
      <c r="G5626" s="1399"/>
      <c r="H5626" s="1399">
        <v>89627.89</v>
      </c>
      <c r="I5626" s="1399"/>
      <c r="J5626" s="1399">
        <v>89627.89</v>
      </c>
    </row>
    <row r="5627" spans="5:10" s="1297" customFormat="1">
      <c r="E5627" s="1297" t="s">
        <v>991</v>
      </c>
      <c r="F5627" s="1399"/>
      <c r="G5627" s="1399"/>
      <c r="H5627" s="1399">
        <v>71955.09</v>
      </c>
      <c r="I5627" s="1399"/>
      <c r="J5627" s="1399">
        <v>71955.09</v>
      </c>
    </row>
    <row r="5628" spans="5:10" s="1297" customFormat="1">
      <c r="E5628" s="1297" t="s">
        <v>1044</v>
      </c>
      <c r="F5628" s="1399">
        <v>116909.26</v>
      </c>
      <c r="G5628" s="1399"/>
      <c r="H5628" s="1399"/>
      <c r="I5628" s="1399"/>
      <c r="J5628" s="1399">
        <v>116909.26</v>
      </c>
    </row>
    <row r="5629" spans="5:10" s="1297" customFormat="1">
      <c r="E5629" s="1297" t="s">
        <v>1045</v>
      </c>
      <c r="F5629" s="1399"/>
      <c r="G5629" s="1399"/>
      <c r="H5629" s="1399">
        <v>859370.24000000011</v>
      </c>
      <c r="I5629" s="1399"/>
      <c r="J5629" s="1399">
        <v>859370.24000000011</v>
      </c>
    </row>
    <row r="5630" spans="5:10" s="1297" customFormat="1">
      <c r="E5630" s="1297" t="s">
        <v>1046</v>
      </c>
      <c r="F5630" s="1399"/>
      <c r="G5630" s="1399"/>
      <c r="H5630" s="1399"/>
      <c r="I5630" s="1399">
        <v>31738151</v>
      </c>
      <c r="J5630" s="1399">
        <v>31738151</v>
      </c>
    </row>
    <row r="5631" spans="5:10" s="1297" customFormat="1">
      <c r="E5631" s="1297" t="s">
        <v>1128</v>
      </c>
      <c r="F5631" s="1399"/>
      <c r="G5631" s="1399"/>
      <c r="H5631" s="1399"/>
      <c r="I5631" s="1399">
        <v>2445347</v>
      </c>
      <c r="J5631" s="1399">
        <v>2445347</v>
      </c>
    </row>
    <row r="5632" spans="5:10" s="1297" customFormat="1">
      <c r="E5632" s="1297" t="s">
        <v>1129</v>
      </c>
      <c r="F5632" s="1399"/>
      <c r="G5632" s="1399"/>
      <c r="H5632" s="1399"/>
      <c r="I5632" s="1399">
        <v>-4624997</v>
      </c>
      <c r="J5632" s="1399">
        <v>-4624997</v>
      </c>
    </row>
    <row r="5633" spans="5:10" s="1297" customFormat="1">
      <c r="E5633" s="1297" t="s">
        <v>1047</v>
      </c>
      <c r="F5633" s="1399"/>
      <c r="G5633" s="1399"/>
      <c r="H5633" s="1399"/>
      <c r="I5633" s="1399">
        <v>853837</v>
      </c>
      <c r="J5633" s="1399">
        <v>853837</v>
      </c>
    </row>
    <row r="5634" spans="5:10" s="1297" customFormat="1">
      <c r="E5634" s="1297" t="s">
        <v>1048</v>
      </c>
      <c r="F5634" s="1399"/>
      <c r="G5634" s="1399"/>
      <c r="H5634" s="1399"/>
      <c r="I5634" s="1399">
        <v>-3258221</v>
      </c>
      <c r="J5634" s="1399">
        <v>-3258221</v>
      </c>
    </row>
    <row r="5635" spans="5:10" s="1297" customFormat="1">
      <c r="E5635" s="1297" t="s">
        <v>932</v>
      </c>
      <c r="F5635" s="1399"/>
      <c r="G5635" s="1399"/>
      <c r="H5635" s="1399"/>
      <c r="I5635" s="1399">
        <v>3996307</v>
      </c>
      <c r="J5635" s="1399">
        <v>3996307</v>
      </c>
    </row>
    <row r="5636" spans="5:10" s="1297" customFormat="1">
      <c r="E5636" s="1404" t="s">
        <v>955</v>
      </c>
      <c r="F5636" s="1405"/>
      <c r="G5636" s="1405"/>
      <c r="H5636" s="1405"/>
      <c r="I5636" s="1405">
        <v>1433114.79</v>
      </c>
      <c r="J5636" s="1405">
        <v>1433114.79</v>
      </c>
    </row>
    <row r="5637" spans="5:10" s="1297" customFormat="1">
      <c r="E5637" s="1297" t="s">
        <v>934</v>
      </c>
      <c r="F5637" s="1399"/>
      <c r="G5637" s="1399"/>
      <c r="H5637" s="1399"/>
      <c r="I5637" s="1399">
        <v>96140</v>
      </c>
      <c r="J5637" s="1399">
        <v>96140</v>
      </c>
    </row>
    <row r="5638" spans="5:10" s="1297" customFormat="1">
      <c r="E5638" s="1297" t="s">
        <v>1130</v>
      </c>
      <c r="F5638" s="1399"/>
      <c r="G5638" s="1399"/>
      <c r="H5638" s="1399"/>
      <c r="I5638" s="1399">
        <v>136715.95000000001</v>
      </c>
      <c r="J5638" s="1399">
        <v>136715.95000000001</v>
      </c>
    </row>
    <row r="5639" spans="5:10" s="1297" customFormat="1">
      <c r="E5639" s="1297" t="s">
        <v>935</v>
      </c>
      <c r="F5639" s="1399"/>
      <c r="G5639" s="1399"/>
      <c r="H5639" s="1399"/>
      <c r="I5639" s="1399">
        <v>1089230.55</v>
      </c>
      <c r="J5639" s="1399">
        <v>1089230.55</v>
      </c>
    </row>
    <row r="5640" spans="5:10" s="1297" customFormat="1">
      <c r="E5640" s="1297" t="s">
        <v>936</v>
      </c>
      <c r="F5640" s="1399"/>
      <c r="G5640" s="1399"/>
      <c r="H5640" s="1399"/>
      <c r="I5640" s="1399">
        <v>88938.240000000005</v>
      </c>
      <c r="J5640" s="1399">
        <v>88938.240000000005</v>
      </c>
    </row>
    <row r="5641" spans="5:10" s="1297" customFormat="1">
      <c r="E5641" s="1297" t="s">
        <v>937</v>
      </c>
      <c r="F5641" s="1399"/>
      <c r="G5641" s="1399"/>
      <c r="H5641" s="1399"/>
      <c r="I5641" s="1399">
        <v>43791.93</v>
      </c>
      <c r="J5641" s="1399">
        <v>43791.93</v>
      </c>
    </row>
    <row r="5642" spans="5:10" s="1297" customFormat="1">
      <c r="E5642" s="1297" t="s">
        <v>938</v>
      </c>
      <c r="F5642" s="1399"/>
      <c r="G5642" s="1399"/>
      <c r="H5642" s="1399"/>
      <c r="I5642" s="1399">
        <v>35934</v>
      </c>
      <c r="J5642" s="1399">
        <v>35934</v>
      </c>
    </row>
    <row r="5643" spans="5:10" s="1297" customFormat="1">
      <c r="E5643" s="1297" t="s">
        <v>939</v>
      </c>
      <c r="F5643" s="1399"/>
      <c r="G5643" s="1399"/>
      <c r="H5643" s="1399"/>
      <c r="I5643" s="1399">
        <v>86748.75</v>
      </c>
      <c r="J5643" s="1399">
        <v>86748.75</v>
      </c>
    </row>
    <row r="5644" spans="5:10" s="1297" customFormat="1">
      <c r="E5644" s="1297" t="s">
        <v>1131</v>
      </c>
      <c r="F5644" s="1399">
        <v>54041.760000000002</v>
      </c>
      <c r="G5644" s="1399"/>
      <c r="H5644" s="1399"/>
      <c r="I5644" s="1399"/>
      <c r="J5644" s="1399">
        <v>54041.760000000002</v>
      </c>
    </row>
    <row r="5645" spans="5:10" s="1297" customFormat="1">
      <c r="E5645" s="1297" t="s">
        <v>940</v>
      </c>
      <c r="F5645" s="1399">
        <v>1694696.3599999999</v>
      </c>
      <c r="G5645" s="1399"/>
      <c r="H5645" s="1399"/>
      <c r="I5645" s="1399"/>
      <c r="J5645" s="1399">
        <v>1694696.3599999999</v>
      </c>
    </row>
    <row r="5646" spans="5:10" s="1297" customFormat="1">
      <c r="E5646" s="1297" t="s">
        <v>941</v>
      </c>
      <c r="F5646" s="1399">
        <v>647472.27999999991</v>
      </c>
      <c r="G5646" s="1399"/>
      <c r="H5646" s="1399"/>
      <c r="I5646" s="1399"/>
      <c r="J5646" s="1399">
        <v>647472.27999999991</v>
      </c>
    </row>
    <row r="5647" spans="5:10" s="1297" customFormat="1">
      <c r="E5647" s="1297" t="s">
        <v>942</v>
      </c>
      <c r="F5647" s="1399">
        <v>43893.73</v>
      </c>
      <c r="G5647" s="1399"/>
      <c r="H5647" s="1399"/>
      <c r="I5647" s="1399"/>
      <c r="J5647" s="1399">
        <v>43893.73</v>
      </c>
    </row>
    <row r="5648" spans="5:10" s="1297" customFormat="1">
      <c r="E5648" s="1297" t="s">
        <v>943</v>
      </c>
      <c r="F5648" s="1399">
        <v>4583.5600000000004</v>
      </c>
      <c r="G5648" s="1399"/>
      <c r="H5648" s="1399"/>
      <c r="I5648" s="1399"/>
      <c r="J5648" s="1399">
        <v>4583.5600000000004</v>
      </c>
    </row>
    <row r="5649" spans="2:12">
      <c r="B5649" s="1297"/>
      <c r="C5649" s="1297"/>
      <c r="D5649" s="1297"/>
      <c r="E5649" s="1297" t="s">
        <v>944</v>
      </c>
      <c r="F5649" s="1399">
        <v>4753029.8500000006</v>
      </c>
      <c r="J5649" s="1399">
        <v>4753029.8500000006</v>
      </c>
    </row>
    <row r="5650" spans="2:12">
      <c r="B5650" s="1297"/>
      <c r="C5650" s="1297"/>
      <c r="D5650" s="1297"/>
      <c r="E5650" s="1297" t="s">
        <v>945</v>
      </c>
      <c r="F5650" s="1399">
        <v>2688839.74</v>
      </c>
      <c r="J5650" s="1399">
        <v>2688839.74</v>
      </c>
    </row>
    <row r="5651" spans="2:12">
      <c r="B5651" s="1297"/>
      <c r="C5651" s="1297"/>
      <c r="D5651" s="1297"/>
      <c r="E5651" s="1297" t="s">
        <v>946</v>
      </c>
      <c r="F5651" s="1399">
        <v>232432.88</v>
      </c>
      <c r="J5651" s="1399">
        <v>232432.88</v>
      </c>
    </row>
    <row r="5652" spans="2:12">
      <c r="B5652" s="1297"/>
      <c r="C5652" s="1297"/>
      <c r="D5652" s="1297"/>
      <c r="E5652" s="1297" t="s">
        <v>978</v>
      </c>
      <c r="F5652" s="1399">
        <v>25005.01</v>
      </c>
      <c r="J5652" s="1399">
        <v>25005.01</v>
      </c>
    </row>
    <row r="5653" spans="2:12">
      <c r="B5653" s="1297"/>
      <c r="C5653" s="1297"/>
      <c r="D5653" s="1297"/>
      <c r="E5653" s="1297" t="s">
        <v>1214</v>
      </c>
      <c r="F5653" s="1399">
        <v>209933.95</v>
      </c>
      <c r="J5653" s="1399">
        <v>209933.95</v>
      </c>
    </row>
    <row r="5654" spans="2:12">
      <c r="B5654" s="1297"/>
      <c r="C5654" s="1297"/>
      <c r="D5654" s="1297"/>
      <c r="E5654" s="1297" t="s">
        <v>947</v>
      </c>
      <c r="F5654" s="1399">
        <v>183416.72999999998</v>
      </c>
      <c r="J5654" s="1399">
        <v>183416.72999999998</v>
      </c>
    </row>
    <row r="5655" spans="2:12">
      <c r="B5655" s="1297"/>
      <c r="C5655" s="1297"/>
      <c r="D5655" s="1297"/>
      <c r="E5655" s="1404" t="s">
        <v>948</v>
      </c>
      <c r="F5655" s="1405"/>
      <c r="G5655" s="1405"/>
      <c r="H5655" s="1405">
        <v>39470728.50999999</v>
      </c>
      <c r="I5655" s="1405"/>
      <c r="J5655" s="1405">
        <v>39470728.50999999</v>
      </c>
    </row>
    <row r="5656" spans="2:12">
      <c r="B5656" s="1297"/>
      <c r="C5656" s="1297"/>
      <c r="D5656" s="1297"/>
      <c r="E5656" s="1404" t="s">
        <v>1167</v>
      </c>
      <c r="F5656" s="1405"/>
      <c r="G5656" s="1405"/>
      <c r="H5656" s="1405">
        <v>3000</v>
      </c>
      <c r="I5656" s="1405"/>
      <c r="J5656" s="1405">
        <v>3000</v>
      </c>
    </row>
    <row r="5657" spans="2:12">
      <c r="B5657" s="1297"/>
      <c r="C5657" s="1297"/>
      <c r="D5657" s="1400" t="s">
        <v>1582</v>
      </c>
      <c r="E5657" s="1400"/>
      <c r="F5657" s="1401">
        <f>SUM(F5606:F5656)</f>
        <v>10654255.110000001</v>
      </c>
      <c r="G5657" s="1401">
        <f>SUM(G5606:G5656)</f>
        <v>18218606.430000003</v>
      </c>
      <c r="H5657" s="1401">
        <f>SUM(H5606:H5656)-(H5655+H5656)</f>
        <v>2945538.0600000024</v>
      </c>
      <c r="I5657" s="1401">
        <f>SUM(I5606:I5656)-I5636</f>
        <v>32727923.420000002</v>
      </c>
      <c r="J5657" s="1401">
        <f>SUM(J5606:J5656)</f>
        <v>105453166.31999999</v>
      </c>
      <c r="K5657" s="1401">
        <f>SUM(F5657:I5657)</f>
        <v>64546323.020000011</v>
      </c>
      <c r="L5657" s="1408">
        <f>K5657/C5606</f>
        <v>11450.474191946072</v>
      </c>
    </row>
    <row r="5658" spans="2:12">
      <c r="B5658" s="1297" t="s">
        <v>1583</v>
      </c>
      <c r="C5658" s="1297">
        <v>694</v>
      </c>
      <c r="D5658" s="1297" t="s">
        <v>1584</v>
      </c>
      <c r="E5658" s="1297" t="s">
        <v>906</v>
      </c>
      <c r="G5658" s="1399">
        <v>2944988.6999999997</v>
      </c>
      <c r="J5658" s="1399">
        <v>2944988.6999999997</v>
      </c>
    </row>
    <row r="5659" spans="2:12">
      <c r="B5659" s="1297"/>
      <c r="C5659" s="1297"/>
      <c r="D5659" s="1297"/>
      <c r="E5659" s="1297" t="s">
        <v>952</v>
      </c>
      <c r="G5659" s="1399">
        <v>7530.3899999999994</v>
      </c>
      <c r="J5659" s="1399">
        <v>7530.3899999999994</v>
      </c>
    </row>
    <row r="5660" spans="2:12">
      <c r="B5660" s="1297"/>
      <c r="C5660" s="1297"/>
      <c r="D5660" s="1297"/>
      <c r="E5660" s="1297" t="s">
        <v>907</v>
      </c>
      <c r="G5660" s="1399">
        <v>732014.62</v>
      </c>
      <c r="J5660" s="1399">
        <v>732014.62</v>
      </c>
    </row>
    <row r="5661" spans="2:12">
      <c r="B5661" s="1297"/>
      <c r="C5661" s="1297"/>
      <c r="D5661" s="1297"/>
      <c r="E5661" s="1297" t="s">
        <v>908</v>
      </c>
      <c r="G5661" s="1399">
        <v>34649.550000000003</v>
      </c>
      <c r="J5661" s="1399">
        <v>34649.550000000003</v>
      </c>
    </row>
    <row r="5662" spans="2:12">
      <c r="B5662" s="1297"/>
      <c r="C5662" s="1297"/>
      <c r="D5662" s="1297"/>
      <c r="E5662" s="1297" t="s">
        <v>1034</v>
      </c>
      <c r="H5662" s="1399">
        <v>2156.37</v>
      </c>
      <c r="J5662" s="1399">
        <v>2156.37</v>
      </c>
    </row>
    <row r="5663" spans="2:12">
      <c r="B5663" s="1297"/>
      <c r="C5663" s="1297"/>
      <c r="D5663" s="1297"/>
      <c r="E5663" s="1297" t="s">
        <v>1036</v>
      </c>
      <c r="H5663" s="1399">
        <v>38725.339999999997</v>
      </c>
      <c r="J5663" s="1399">
        <v>38725.339999999997</v>
      </c>
    </row>
    <row r="5664" spans="2:12">
      <c r="B5664" s="1297"/>
      <c r="C5664" s="1297"/>
      <c r="D5664" s="1297"/>
      <c r="E5664" s="1297" t="s">
        <v>1039</v>
      </c>
      <c r="H5664" s="1399">
        <v>4310.63</v>
      </c>
      <c r="J5664" s="1399">
        <v>4310.63</v>
      </c>
    </row>
    <row r="5665" spans="5:10" s="1297" customFormat="1">
      <c r="E5665" s="1297" t="s">
        <v>1041</v>
      </c>
      <c r="F5665" s="1399"/>
      <c r="G5665" s="1399"/>
      <c r="H5665" s="1399">
        <v>18386.3</v>
      </c>
      <c r="I5665" s="1399"/>
      <c r="J5665" s="1399">
        <v>18386.3</v>
      </c>
    </row>
    <row r="5666" spans="5:10" s="1297" customFormat="1">
      <c r="E5666" s="1297" t="s">
        <v>1042</v>
      </c>
      <c r="F5666" s="1399"/>
      <c r="G5666" s="1399"/>
      <c r="H5666" s="1399">
        <v>6695</v>
      </c>
      <c r="I5666" s="1399"/>
      <c r="J5666" s="1399">
        <v>6695</v>
      </c>
    </row>
    <row r="5667" spans="5:10" s="1297" customFormat="1">
      <c r="E5667" s="1297" t="s">
        <v>1043</v>
      </c>
      <c r="F5667" s="1399"/>
      <c r="G5667" s="1399"/>
      <c r="H5667" s="1399">
        <v>300</v>
      </c>
      <c r="I5667" s="1399"/>
      <c r="J5667" s="1399">
        <v>300</v>
      </c>
    </row>
    <row r="5668" spans="5:10" s="1297" customFormat="1">
      <c r="E5668" s="1297" t="s">
        <v>1045</v>
      </c>
      <c r="F5668" s="1399"/>
      <c r="G5668" s="1399"/>
      <c r="H5668" s="1399">
        <v>114950.33</v>
      </c>
      <c r="I5668" s="1399"/>
      <c r="J5668" s="1399">
        <v>114950.33</v>
      </c>
    </row>
    <row r="5669" spans="5:10" s="1297" customFormat="1">
      <c r="E5669" s="1297" t="s">
        <v>1046</v>
      </c>
      <c r="F5669" s="1399"/>
      <c r="G5669" s="1399"/>
      <c r="H5669" s="1399"/>
      <c r="I5669" s="1399">
        <v>3995895</v>
      </c>
      <c r="J5669" s="1399">
        <v>3995895</v>
      </c>
    </row>
    <row r="5670" spans="5:10" s="1297" customFormat="1">
      <c r="E5670" s="1297" t="s">
        <v>1129</v>
      </c>
      <c r="F5670" s="1399"/>
      <c r="G5670" s="1399"/>
      <c r="H5670" s="1399"/>
      <c r="I5670" s="1399">
        <v>-350451</v>
      </c>
      <c r="J5670" s="1399">
        <v>-350451</v>
      </c>
    </row>
    <row r="5671" spans="5:10" s="1297" customFormat="1">
      <c r="E5671" s="1297" t="s">
        <v>1047</v>
      </c>
      <c r="F5671" s="1399"/>
      <c r="G5671" s="1399"/>
      <c r="H5671" s="1399"/>
      <c r="I5671" s="1399">
        <v>375970</v>
      </c>
      <c r="J5671" s="1399">
        <v>375970</v>
      </c>
    </row>
    <row r="5672" spans="5:10" s="1297" customFormat="1">
      <c r="E5672" s="1297" t="s">
        <v>1048</v>
      </c>
      <c r="F5672" s="1399"/>
      <c r="G5672" s="1399"/>
      <c r="H5672" s="1399"/>
      <c r="I5672" s="1399">
        <v>-785060</v>
      </c>
      <c r="J5672" s="1399">
        <v>-785060</v>
      </c>
    </row>
    <row r="5673" spans="5:10" s="1297" customFormat="1">
      <c r="E5673" s="1404" t="s">
        <v>955</v>
      </c>
      <c r="F5673" s="1405"/>
      <c r="G5673" s="1405"/>
      <c r="H5673" s="1405"/>
      <c r="I5673" s="1405">
        <v>143749.68</v>
      </c>
      <c r="J5673" s="1405">
        <v>143749.68</v>
      </c>
    </row>
    <row r="5674" spans="5:10" s="1297" customFormat="1">
      <c r="E5674" s="1297" t="s">
        <v>934</v>
      </c>
      <c r="F5674" s="1399"/>
      <c r="G5674" s="1399"/>
      <c r="H5674" s="1399"/>
      <c r="I5674" s="1399">
        <v>14702</v>
      </c>
      <c r="J5674" s="1399">
        <v>14702</v>
      </c>
    </row>
    <row r="5675" spans="5:10" s="1297" customFormat="1">
      <c r="E5675" s="1297" t="s">
        <v>935</v>
      </c>
      <c r="F5675" s="1399"/>
      <c r="G5675" s="1399"/>
      <c r="H5675" s="1399"/>
      <c r="I5675" s="1399">
        <v>224803.77</v>
      </c>
      <c r="J5675" s="1399">
        <v>224803.77</v>
      </c>
    </row>
    <row r="5676" spans="5:10" s="1297" customFormat="1">
      <c r="E5676" s="1297" t="s">
        <v>936</v>
      </c>
      <c r="F5676" s="1399"/>
      <c r="G5676" s="1399"/>
      <c r="H5676" s="1399"/>
      <c r="I5676" s="1399">
        <v>11554.97</v>
      </c>
      <c r="J5676" s="1399">
        <v>11554.97</v>
      </c>
    </row>
    <row r="5677" spans="5:10" s="1297" customFormat="1">
      <c r="E5677" s="1297" t="s">
        <v>937</v>
      </c>
      <c r="F5677" s="1399"/>
      <c r="G5677" s="1399"/>
      <c r="H5677" s="1399"/>
      <c r="I5677" s="1399">
        <v>2523.85</v>
      </c>
      <c r="J5677" s="1399">
        <v>2523.85</v>
      </c>
    </row>
    <row r="5678" spans="5:10" s="1297" customFormat="1">
      <c r="E5678" s="1297" t="s">
        <v>938</v>
      </c>
      <c r="F5678" s="1399"/>
      <c r="G5678" s="1399"/>
      <c r="H5678" s="1399"/>
      <c r="I5678" s="1399">
        <v>5802</v>
      </c>
      <c r="J5678" s="1399">
        <v>5802</v>
      </c>
    </row>
    <row r="5679" spans="5:10" s="1297" customFormat="1">
      <c r="E5679" s="1297" t="s">
        <v>940</v>
      </c>
      <c r="F5679" s="1399">
        <v>276932.54000000004</v>
      </c>
      <c r="G5679" s="1399"/>
      <c r="H5679" s="1399"/>
      <c r="I5679" s="1399"/>
      <c r="J5679" s="1399">
        <v>276932.54000000004</v>
      </c>
    </row>
    <row r="5680" spans="5:10" s="1297" customFormat="1">
      <c r="E5680" s="1297" t="s">
        <v>941</v>
      </c>
      <c r="F5680" s="1399">
        <v>153494.74</v>
      </c>
      <c r="G5680" s="1399"/>
      <c r="H5680" s="1399"/>
      <c r="I5680" s="1399"/>
      <c r="J5680" s="1399">
        <v>153494.74</v>
      </c>
    </row>
    <row r="5681" spans="2:12">
      <c r="B5681" s="1297"/>
      <c r="C5681" s="1297"/>
      <c r="D5681" s="1297"/>
      <c r="E5681" s="1297" t="s">
        <v>943</v>
      </c>
      <c r="F5681" s="1399">
        <v>12988.42</v>
      </c>
      <c r="J5681" s="1399">
        <v>12988.42</v>
      </c>
    </row>
    <row r="5682" spans="2:12">
      <c r="B5682" s="1297"/>
      <c r="C5682" s="1297"/>
      <c r="D5682" s="1297"/>
      <c r="E5682" s="1297" t="s">
        <v>944</v>
      </c>
      <c r="F5682" s="1399">
        <v>1112281.5999999999</v>
      </c>
      <c r="J5682" s="1399">
        <v>1112281.5999999999</v>
      </c>
    </row>
    <row r="5683" spans="2:12">
      <c r="B5683" s="1297"/>
      <c r="C5683" s="1297"/>
      <c r="D5683" s="1297"/>
      <c r="E5683" s="1297" t="s">
        <v>945</v>
      </c>
      <c r="F5683" s="1399">
        <v>180829.36</v>
      </c>
      <c r="J5683" s="1399">
        <v>180829.36</v>
      </c>
    </row>
    <row r="5684" spans="2:12">
      <c r="B5684" s="1297"/>
      <c r="C5684" s="1297"/>
      <c r="D5684" s="1297"/>
      <c r="E5684" s="1297" t="s">
        <v>947</v>
      </c>
      <c r="F5684" s="1399">
        <v>8230.16</v>
      </c>
      <c r="J5684" s="1399">
        <v>8230.16</v>
      </c>
    </row>
    <row r="5685" spans="2:12">
      <c r="B5685" s="1297"/>
      <c r="C5685" s="1297"/>
      <c r="D5685" s="1297"/>
      <c r="E5685" s="1297" t="s">
        <v>1115</v>
      </c>
      <c r="F5685" s="1399">
        <v>42870.44</v>
      </c>
      <c r="J5685" s="1399">
        <v>42870.44</v>
      </c>
    </row>
    <row r="5686" spans="2:12">
      <c r="B5686" s="1297"/>
      <c r="C5686" s="1297"/>
      <c r="D5686" s="1297"/>
      <c r="E5686" s="1404" t="s">
        <v>948</v>
      </c>
      <c r="F5686" s="1405"/>
      <c r="G5686" s="1405"/>
      <c r="H5686" s="1405">
        <v>25368.55</v>
      </c>
      <c r="I5686" s="1405"/>
      <c r="J5686" s="1405">
        <v>25368.55</v>
      </c>
    </row>
    <row r="5687" spans="2:12">
      <c r="B5687" s="1297"/>
      <c r="C5687" s="1297"/>
      <c r="D5687" s="1297"/>
      <c r="E5687" s="1297" t="s">
        <v>1118</v>
      </c>
      <c r="H5687" s="1399">
        <v>36315.129999999997</v>
      </c>
      <c r="J5687" s="1399">
        <v>36315.129999999997</v>
      </c>
    </row>
    <row r="5688" spans="2:12">
      <c r="B5688" s="1297"/>
      <c r="C5688" s="1297"/>
      <c r="D5688" s="1400" t="s">
        <v>1585</v>
      </c>
      <c r="E5688" s="1400"/>
      <c r="F5688" s="1401">
        <f>SUM(F5658:F5687)</f>
        <v>1787627.2599999995</v>
      </c>
      <c r="G5688" s="1401">
        <f>SUM(G5658:G5687)</f>
        <v>3719183.26</v>
      </c>
      <c r="H5688" s="1401">
        <f>SUM(H5658:H5687)-H5686</f>
        <v>221839.1</v>
      </c>
      <c r="I5688" s="1401">
        <f>SUM(I5658:I5687)-I5673</f>
        <v>3495740.5900000003</v>
      </c>
      <c r="J5688" s="1401">
        <f>SUM(J5658:J5687)</f>
        <v>9393508.4399999995</v>
      </c>
      <c r="K5688" s="1401">
        <f>SUM(F5688:I5688)</f>
        <v>9224390.209999999</v>
      </c>
      <c r="L5688" s="1408">
        <f>K5688/C5658</f>
        <v>13291.628544668587</v>
      </c>
    </row>
    <row r="5689" spans="2:12">
      <c r="B5689" s="1297" t="s">
        <v>1586</v>
      </c>
      <c r="C5689" s="1297">
        <v>3080</v>
      </c>
      <c r="D5689" s="1297" t="s">
        <v>1587</v>
      </c>
      <c r="E5689" s="1297" t="s">
        <v>906</v>
      </c>
      <c r="G5689" s="1399">
        <v>12107414.76</v>
      </c>
      <c r="J5689" s="1399">
        <v>12107414.76</v>
      </c>
    </row>
    <row r="5690" spans="2:12">
      <c r="B5690" s="1297"/>
      <c r="C5690" s="1297"/>
      <c r="D5690" s="1297"/>
      <c r="E5690" s="1297" t="s">
        <v>952</v>
      </c>
      <c r="G5690" s="1399">
        <v>13418.32</v>
      </c>
      <c r="J5690" s="1399">
        <v>13418.32</v>
      </c>
    </row>
    <row r="5691" spans="2:12">
      <c r="B5691" s="1297"/>
      <c r="C5691" s="1297"/>
      <c r="D5691" s="1297"/>
      <c r="E5691" s="1297" t="s">
        <v>907</v>
      </c>
      <c r="G5691" s="1399">
        <v>2863935.14</v>
      </c>
      <c r="J5691" s="1399">
        <v>2863935.14</v>
      </c>
    </row>
    <row r="5692" spans="2:12">
      <c r="B5692" s="1297"/>
      <c r="C5692" s="1297"/>
      <c r="D5692" s="1297"/>
      <c r="E5692" s="1297" t="s">
        <v>908</v>
      </c>
      <c r="G5692" s="1399">
        <v>50245.9</v>
      </c>
      <c r="J5692" s="1399">
        <v>50245.9</v>
      </c>
    </row>
    <row r="5693" spans="2:12">
      <c r="B5693" s="1297"/>
      <c r="C5693" s="1297"/>
      <c r="D5693" s="1297"/>
      <c r="E5693" s="1297" t="s">
        <v>1036</v>
      </c>
      <c r="H5693" s="1399">
        <v>71531</v>
      </c>
      <c r="J5693" s="1399">
        <v>71531</v>
      </c>
    </row>
    <row r="5694" spans="2:12">
      <c r="B5694" s="1297"/>
      <c r="C5694" s="1297"/>
      <c r="D5694" s="1297"/>
      <c r="E5694" s="1297" t="s">
        <v>1039</v>
      </c>
      <c r="H5694" s="1399">
        <v>151087.62</v>
      </c>
      <c r="J5694" s="1399">
        <v>151087.62</v>
      </c>
    </row>
    <row r="5695" spans="2:12">
      <c r="B5695" s="1297"/>
      <c r="C5695" s="1297"/>
      <c r="D5695" s="1297"/>
      <c r="E5695" s="1297" t="s">
        <v>1041</v>
      </c>
      <c r="H5695" s="1399">
        <v>31115.86</v>
      </c>
      <c r="J5695" s="1399">
        <v>31115.86</v>
      </c>
    </row>
    <row r="5696" spans="2:12">
      <c r="B5696" s="1297"/>
      <c r="C5696" s="1297"/>
      <c r="D5696" s="1297"/>
      <c r="E5696" s="1297" t="s">
        <v>1042</v>
      </c>
      <c r="H5696" s="1399">
        <v>55794.15</v>
      </c>
      <c r="J5696" s="1399">
        <v>55794.15</v>
      </c>
    </row>
    <row r="5697" spans="5:10" s="1297" customFormat="1">
      <c r="E5697" s="1297" t="s">
        <v>954</v>
      </c>
      <c r="F5697" s="1399"/>
      <c r="G5697" s="1399"/>
      <c r="H5697" s="1399">
        <v>350834.12</v>
      </c>
      <c r="I5697" s="1399"/>
      <c r="J5697" s="1399">
        <v>350834.12</v>
      </c>
    </row>
    <row r="5698" spans="5:10" s="1297" customFormat="1">
      <c r="E5698" s="1297" t="s">
        <v>986</v>
      </c>
      <c r="F5698" s="1399"/>
      <c r="G5698" s="1399"/>
      <c r="H5698" s="1399">
        <v>31114.570000000003</v>
      </c>
      <c r="I5698" s="1399"/>
      <c r="J5698" s="1399">
        <v>31114.570000000003</v>
      </c>
    </row>
    <row r="5699" spans="5:10" s="1297" customFormat="1">
      <c r="E5699" s="1297" t="s">
        <v>1045</v>
      </c>
      <c r="F5699" s="1399"/>
      <c r="G5699" s="1399"/>
      <c r="H5699" s="1399">
        <v>656357.26000000013</v>
      </c>
      <c r="I5699" s="1399"/>
      <c r="J5699" s="1399">
        <v>656357.26000000013</v>
      </c>
    </row>
    <row r="5700" spans="5:10" s="1297" customFormat="1">
      <c r="E5700" s="1297" t="s">
        <v>1046</v>
      </c>
      <c r="F5700" s="1399"/>
      <c r="G5700" s="1399"/>
      <c r="H5700" s="1399"/>
      <c r="I5700" s="1399">
        <v>15739766</v>
      </c>
      <c r="J5700" s="1399">
        <v>15739766</v>
      </c>
    </row>
    <row r="5701" spans="5:10" s="1297" customFormat="1">
      <c r="E5701" s="1297" t="s">
        <v>1128</v>
      </c>
      <c r="F5701" s="1399"/>
      <c r="G5701" s="1399"/>
      <c r="H5701" s="1399"/>
      <c r="I5701" s="1399">
        <v>1424229</v>
      </c>
      <c r="J5701" s="1399">
        <v>1424229</v>
      </c>
    </row>
    <row r="5702" spans="5:10" s="1297" customFormat="1">
      <c r="E5702" s="1297" t="s">
        <v>1129</v>
      </c>
      <c r="F5702" s="1399"/>
      <c r="G5702" s="1399"/>
      <c r="H5702" s="1399"/>
      <c r="I5702" s="1399">
        <v>-2117800</v>
      </c>
      <c r="J5702" s="1399">
        <v>-2117800</v>
      </c>
    </row>
    <row r="5703" spans="5:10" s="1297" customFormat="1">
      <c r="E5703" s="1297" t="s">
        <v>1047</v>
      </c>
      <c r="F5703" s="1399"/>
      <c r="G5703" s="1399"/>
      <c r="H5703" s="1399"/>
      <c r="I5703" s="1399">
        <v>855415</v>
      </c>
      <c r="J5703" s="1399">
        <v>855415</v>
      </c>
    </row>
    <row r="5704" spans="5:10" s="1297" customFormat="1">
      <c r="E5704" s="1297" t="s">
        <v>1048</v>
      </c>
      <c r="F5704" s="1399"/>
      <c r="G5704" s="1399"/>
      <c r="H5704" s="1399"/>
      <c r="I5704" s="1399">
        <v>-3747202</v>
      </c>
      <c r="J5704" s="1399">
        <v>-3747202</v>
      </c>
    </row>
    <row r="5705" spans="5:10" s="1297" customFormat="1">
      <c r="E5705" s="1404" t="s">
        <v>955</v>
      </c>
      <c r="F5705" s="1405"/>
      <c r="G5705" s="1405"/>
      <c r="H5705" s="1405"/>
      <c r="I5705" s="1405">
        <v>338323.8</v>
      </c>
      <c r="J5705" s="1405">
        <v>338323.8</v>
      </c>
    </row>
    <row r="5706" spans="5:10" s="1297" customFormat="1">
      <c r="E5706" s="1297" t="s">
        <v>934</v>
      </c>
      <c r="F5706" s="1399"/>
      <c r="G5706" s="1399"/>
      <c r="H5706" s="1399"/>
      <c r="I5706" s="1399">
        <v>59310</v>
      </c>
      <c r="J5706" s="1399">
        <v>59310</v>
      </c>
    </row>
    <row r="5707" spans="5:10" s="1297" customFormat="1">
      <c r="E5707" s="1297" t="s">
        <v>935</v>
      </c>
      <c r="F5707" s="1399"/>
      <c r="G5707" s="1399"/>
      <c r="H5707" s="1399"/>
      <c r="I5707" s="1399">
        <v>354610.69</v>
      </c>
      <c r="J5707" s="1399">
        <v>354610.69</v>
      </c>
    </row>
    <row r="5708" spans="5:10" s="1297" customFormat="1">
      <c r="E5708" s="1297" t="s">
        <v>936</v>
      </c>
      <c r="F5708" s="1399"/>
      <c r="G5708" s="1399"/>
      <c r="H5708" s="1399"/>
      <c r="I5708" s="1399">
        <v>44118.97</v>
      </c>
      <c r="J5708" s="1399">
        <v>44118.97</v>
      </c>
    </row>
    <row r="5709" spans="5:10" s="1297" customFormat="1">
      <c r="E5709" s="1297" t="s">
        <v>938</v>
      </c>
      <c r="F5709" s="1399"/>
      <c r="G5709" s="1399"/>
      <c r="H5709" s="1399"/>
      <c r="I5709" s="1399">
        <v>14411</v>
      </c>
      <c r="J5709" s="1399">
        <v>14411</v>
      </c>
    </row>
    <row r="5710" spans="5:10" s="1297" customFormat="1">
      <c r="E5710" s="1297" t="s">
        <v>939</v>
      </c>
      <c r="F5710" s="1399"/>
      <c r="G5710" s="1399"/>
      <c r="H5710" s="1399"/>
      <c r="I5710" s="1399">
        <v>59250</v>
      </c>
      <c r="J5710" s="1399">
        <v>59250</v>
      </c>
    </row>
    <row r="5711" spans="5:10" s="1297" customFormat="1">
      <c r="E5711" s="1297" t="s">
        <v>1131</v>
      </c>
      <c r="F5711" s="1399">
        <v>59690.68</v>
      </c>
      <c r="G5711" s="1399"/>
      <c r="H5711" s="1399"/>
      <c r="I5711" s="1399"/>
      <c r="J5711" s="1399">
        <v>59690.68</v>
      </c>
    </row>
    <row r="5712" spans="5:10" s="1297" customFormat="1">
      <c r="E5712" s="1297" t="s">
        <v>940</v>
      </c>
      <c r="F5712" s="1399">
        <v>938953.54</v>
      </c>
      <c r="G5712" s="1399"/>
      <c r="H5712" s="1399"/>
      <c r="I5712" s="1399"/>
      <c r="J5712" s="1399">
        <v>938953.54</v>
      </c>
    </row>
    <row r="5713" spans="2:12">
      <c r="B5713" s="1297"/>
      <c r="C5713" s="1297"/>
      <c r="D5713" s="1297"/>
      <c r="E5713" s="1297" t="s">
        <v>941</v>
      </c>
      <c r="F5713" s="1399">
        <v>409353.14</v>
      </c>
      <c r="J5713" s="1399">
        <v>409353.14</v>
      </c>
    </row>
    <row r="5714" spans="2:12">
      <c r="B5714" s="1297"/>
      <c r="C5714" s="1297"/>
      <c r="D5714" s="1297"/>
      <c r="E5714" s="1297" t="s">
        <v>943</v>
      </c>
      <c r="F5714" s="1399">
        <v>2675.1</v>
      </c>
      <c r="J5714" s="1399">
        <v>2675.1</v>
      </c>
    </row>
    <row r="5715" spans="2:12">
      <c r="B5715" s="1297"/>
      <c r="C5715" s="1297"/>
      <c r="D5715" s="1297"/>
      <c r="E5715" s="1297" t="s">
        <v>944</v>
      </c>
      <c r="F5715" s="1399">
        <v>2610053.92</v>
      </c>
      <c r="J5715" s="1399">
        <v>2610053.92</v>
      </c>
    </row>
    <row r="5716" spans="2:12">
      <c r="B5716" s="1297"/>
      <c r="C5716" s="1297"/>
      <c r="D5716" s="1297"/>
      <c r="E5716" s="1297" t="s">
        <v>945</v>
      </c>
      <c r="F5716" s="1399">
        <v>2179305.58</v>
      </c>
      <c r="J5716" s="1399">
        <v>2179305.58</v>
      </c>
    </row>
    <row r="5717" spans="2:12">
      <c r="B5717" s="1297"/>
      <c r="C5717" s="1297"/>
      <c r="D5717" s="1297"/>
      <c r="E5717" s="1297" t="s">
        <v>946</v>
      </c>
      <c r="F5717" s="1399">
        <v>38303.760000000002</v>
      </c>
      <c r="J5717" s="1399">
        <v>38303.760000000002</v>
      </c>
    </row>
    <row r="5718" spans="2:12">
      <c r="B5718" s="1297"/>
      <c r="C5718" s="1297"/>
      <c r="D5718" s="1297"/>
      <c r="E5718" s="1297" t="s">
        <v>978</v>
      </c>
      <c r="F5718" s="1399">
        <v>231246.03</v>
      </c>
      <c r="J5718" s="1399">
        <v>231246.03</v>
      </c>
    </row>
    <row r="5719" spans="2:12">
      <c r="B5719" s="1297"/>
      <c r="C5719" s="1297"/>
      <c r="D5719" s="1297"/>
      <c r="E5719" s="1297" t="s">
        <v>947</v>
      </c>
      <c r="F5719" s="1399">
        <v>97371.08</v>
      </c>
      <c r="J5719" s="1399">
        <v>97371.08</v>
      </c>
    </row>
    <row r="5720" spans="2:12">
      <c r="B5720" s="1297"/>
      <c r="C5720" s="1297"/>
      <c r="D5720" s="1297"/>
      <c r="E5720" s="1404" t="s">
        <v>948</v>
      </c>
      <c r="F5720" s="1405"/>
      <c r="G5720" s="1405"/>
      <c r="H5720" s="1405">
        <v>164148.74</v>
      </c>
      <c r="I5720" s="1405"/>
      <c r="J5720" s="1405">
        <v>164148.74</v>
      </c>
    </row>
    <row r="5721" spans="2:12">
      <c r="B5721" s="1297"/>
      <c r="C5721" s="1297"/>
      <c r="D5721" s="1400" t="s">
        <v>1588</v>
      </c>
      <c r="E5721" s="1400"/>
      <c r="F5721" s="1401">
        <f>SUM(F5689:F5720)</f>
        <v>6566952.8300000001</v>
      </c>
      <c r="G5721" s="1401">
        <f>SUM(G5689:G5720)</f>
        <v>15035014.120000001</v>
      </c>
      <c r="H5721" s="1401">
        <f>SUM(H5689:H5720)-H5720</f>
        <v>1347834.58</v>
      </c>
      <c r="I5721" s="1401">
        <f>SUM(I5689:I5720)-I5705</f>
        <v>12686108.66</v>
      </c>
      <c r="J5721" s="1401">
        <f>SUM(J5689:J5720)</f>
        <v>36138382.729999997</v>
      </c>
      <c r="K5721" s="1401">
        <f>SUM(F5721:I5721)</f>
        <v>35635910.189999998</v>
      </c>
      <c r="L5721" s="1408">
        <f>K5721/C5722</f>
        <v>7017.7058270972821</v>
      </c>
    </row>
    <row r="5722" spans="2:12">
      <c r="B5722" s="1297" t="s">
        <v>1589</v>
      </c>
      <c r="C5722" s="1297">
        <v>5078</v>
      </c>
      <c r="D5722" s="1297" t="s">
        <v>1590</v>
      </c>
      <c r="E5722" s="1297" t="s">
        <v>906</v>
      </c>
      <c r="G5722" s="1399">
        <v>11318825.23</v>
      </c>
      <c r="J5722" s="1399">
        <v>11318825.23</v>
      </c>
    </row>
    <row r="5723" spans="2:12">
      <c r="B5723" s="1297"/>
      <c r="C5723" s="1297"/>
      <c r="D5723" s="1297"/>
      <c r="E5723" s="1297" t="s">
        <v>952</v>
      </c>
      <c r="G5723" s="1399">
        <v>84442.18</v>
      </c>
      <c r="J5723" s="1399">
        <v>84442.18</v>
      </c>
    </row>
    <row r="5724" spans="2:12">
      <c r="B5724" s="1297"/>
      <c r="C5724" s="1297"/>
      <c r="D5724" s="1297"/>
      <c r="E5724" s="1297" t="s">
        <v>907</v>
      </c>
      <c r="G5724" s="1399">
        <v>4264619.97</v>
      </c>
      <c r="J5724" s="1399">
        <v>4264619.97</v>
      </c>
    </row>
    <row r="5725" spans="2:12">
      <c r="B5725" s="1297"/>
      <c r="C5725" s="1297"/>
      <c r="D5725" s="1297"/>
      <c r="E5725" s="1297" t="s">
        <v>908</v>
      </c>
      <c r="G5725" s="1399">
        <v>59062.35</v>
      </c>
      <c r="J5725" s="1399">
        <v>59062.35</v>
      </c>
    </row>
    <row r="5726" spans="2:12">
      <c r="B5726" s="1297"/>
      <c r="C5726" s="1297"/>
      <c r="D5726" s="1297"/>
      <c r="E5726" s="1297" t="s">
        <v>909</v>
      </c>
      <c r="H5726" s="1399">
        <v>43084.02</v>
      </c>
      <c r="J5726" s="1399">
        <v>43084.02</v>
      </c>
    </row>
    <row r="5727" spans="2:12">
      <c r="B5727" s="1297"/>
      <c r="C5727" s="1297"/>
      <c r="D5727" s="1297"/>
      <c r="E5727" s="1297" t="s">
        <v>910</v>
      </c>
      <c r="H5727" s="1399">
        <v>49369.47</v>
      </c>
      <c r="J5727" s="1399">
        <v>49369.47</v>
      </c>
    </row>
    <row r="5728" spans="2:12">
      <c r="B5728" s="1297"/>
      <c r="C5728" s="1297"/>
      <c r="D5728" s="1297"/>
      <c r="E5728" s="1297" t="s">
        <v>1034</v>
      </c>
      <c r="H5728" s="1399">
        <v>183648.82</v>
      </c>
      <c r="J5728" s="1399">
        <v>183648.82</v>
      </c>
    </row>
    <row r="5729" spans="5:10" s="1297" customFormat="1">
      <c r="E5729" s="1297" t="s">
        <v>1035</v>
      </c>
      <c r="F5729" s="1399"/>
      <c r="G5729" s="1399"/>
      <c r="H5729" s="1399">
        <v>624024.47</v>
      </c>
      <c r="I5729" s="1399"/>
      <c r="J5729" s="1399">
        <v>624024.47</v>
      </c>
    </row>
    <row r="5730" spans="5:10" s="1297" customFormat="1">
      <c r="E5730" s="1297" t="s">
        <v>1036</v>
      </c>
      <c r="F5730" s="1399"/>
      <c r="G5730" s="1399"/>
      <c r="H5730" s="1399">
        <v>172395.11</v>
      </c>
      <c r="I5730" s="1399"/>
      <c r="J5730" s="1399">
        <v>172395.11</v>
      </c>
    </row>
    <row r="5731" spans="5:10" s="1297" customFormat="1">
      <c r="E5731" s="1297" t="s">
        <v>1037</v>
      </c>
      <c r="F5731" s="1399"/>
      <c r="G5731" s="1399"/>
      <c r="H5731" s="1399">
        <v>607.29999999999995</v>
      </c>
      <c r="I5731" s="1399"/>
      <c r="J5731" s="1399">
        <v>607.29999999999995</v>
      </c>
    </row>
    <row r="5732" spans="5:10" s="1297" customFormat="1">
      <c r="E5732" s="1297" t="s">
        <v>1038</v>
      </c>
      <c r="F5732" s="1399"/>
      <c r="G5732" s="1399"/>
      <c r="H5732" s="1399">
        <v>0</v>
      </c>
      <c r="I5732" s="1399"/>
      <c r="J5732" s="1399">
        <v>0</v>
      </c>
    </row>
    <row r="5733" spans="5:10" s="1297" customFormat="1">
      <c r="E5733" s="1297" t="s">
        <v>1039</v>
      </c>
      <c r="F5733" s="1399"/>
      <c r="G5733" s="1399"/>
      <c r="H5733" s="1399">
        <v>30682.859999999997</v>
      </c>
      <c r="I5733" s="1399"/>
      <c r="J5733" s="1399">
        <v>30682.859999999997</v>
      </c>
    </row>
    <row r="5734" spans="5:10" s="1297" customFormat="1">
      <c r="E5734" s="1297" t="s">
        <v>1040</v>
      </c>
      <c r="F5734" s="1399"/>
      <c r="G5734" s="1399"/>
      <c r="H5734" s="1399">
        <v>484868.84999999992</v>
      </c>
      <c r="I5734" s="1399"/>
      <c r="J5734" s="1399">
        <v>484868.84999999992</v>
      </c>
    </row>
    <row r="5735" spans="5:10" s="1297" customFormat="1">
      <c r="E5735" s="1297" t="s">
        <v>1041</v>
      </c>
      <c r="F5735" s="1399"/>
      <c r="G5735" s="1399"/>
      <c r="H5735" s="1399">
        <v>133814.39999999999</v>
      </c>
      <c r="I5735" s="1399"/>
      <c r="J5735" s="1399">
        <v>133814.39999999999</v>
      </c>
    </row>
    <row r="5736" spans="5:10" s="1297" customFormat="1">
      <c r="E5736" s="1297" t="s">
        <v>1042</v>
      </c>
      <c r="F5736" s="1399"/>
      <c r="G5736" s="1399"/>
      <c r="H5736" s="1399">
        <v>85772.329999999987</v>
      </c>
      <c r="I5736" s="1399"/>
      <c r="J5736" s="1399">
        <v>85772.329999999987</v>
      </c>
    </row>
    <row r="5737" spans="5:10" s="1297" customFormat="1">
      <c r="E5737" s="1297" t="s">
        <v>1043</v>
      </c>
      <c r="F5737" s="1399"/>
      <c r="G5737" s="1399"/>
      <c r="H5737" s="1399">
        <v>8789.3799999999992</v>
      </c>
      <c r="I5737" s="1399"/>
      <c r="J5737" s="1399">
        <v>8789.3799999999992</v>
      </c>
    </row>
    <row r="5738" spans="5:10" s="1297" customFormat="1">
      <c r="E5738" s="1297" t="s">
        <v>986</v>
      </c>
      <c r="F5738" s="1399"/>
      <c r="G5738" s="1399"/>
      <c r="H5738" s="1399">
        <v>9003.7999999999993</v>
      </c>
      <c r="I5738" s="1399"/>
      <c r="J5738" s="1399">
        <v>9003.7999999999993</v>
      </c>
    </row>
    <row r="5739" spans="5:10" s="1297" customFormat="1">
      <c r="E5739" s="1297" t="s">
        <v>1045</v>
      </c>
      <c r="F5739" s="1399"/>
      <c r="G5739" s="1399"/>
      <c r="H5739" s="1399">
        <v>145748.15</v>
      </c>
      <c r="I5739" s="1399"/>
      <c r="J5739" s="1399">
        <v>145748.15</v>
      </c>
    </row>
    <row r="5740" spans="5:10" s="1297" customFormat="1">
      <c r="E5740" s="1297" t="s">
        <v>1046</v>
      </c>
      <c r="F5740" s="1399"/>
      <c r="G5740" s="1399"/>
      <c r="H5740" s="1399"/>
      <c r="I5740" s="1399">
        <v>26084232</v>
      </c>
      <c r="J5740" s="1399">
        <v>26084232</v>
      </c>
    </row>
    <row r="5741" spans="5:10" s="1297" customFormat="1">
      <c r="E5741" s="1297" t="s">
        <v>1128</v>
      </c>
      <c r="F5741" s="1399"/>
      <c r="G5741" s="1399"/>
      <c r="H5741" s="1399"/>
      <c r="I5741" s="1399">
        <v>2356501</v>
      </c>
      <c r="J5741" s="1399">
        <v>2356501</v>
      </c>
    </row>
    <row r="5742" spans="5:10" s="1297" customFormat="1">
      <c r="E5742" s="1297" t="s">
        <v>1129</v>
      </c>
      <c r="F5742" s="1399"/>
      <c r="G5742" s="1399"/>
      <c r="H5742" s="1399"/>
      <c r="I5742" s="1399">
        <v>-3791707</v>
      </c>
      <c r="J5742" s="1399">
        <v>-3791707</v>
      </c>
    </row>
    <row r="5743" spans="5:10" s="1297" customFormat="1">
      <c r="E5743" s="1297" t="s">
        <v>1047</v>
      </c>
      <c r="F5743" s="1399"/>
      <c r="G5743" s="1399"/>
      <c r="H5743" s="1399"/>
      <c r="I5743" s="1399">
        <v>755392</v>
      </c>
      <c r="J5743" s="1399">
        <v>755392</v>
      </c>
    </row>
    <row r="5744" spans="5:10" s="1297" customFormat="1">
      <c r="E5744" s="1297" t="s">
        <v>1048</v>
      </c>
      <c r="F5744" s="1399"/>
      <c r="G5744" s="1399"/>
      <c r="H5744" s="1399"/>
      <c r="I5744" s="1399">
        <v>-3804959</v>
      </c>
      <c r="J5744" s="1399">
        <v>-3804959</v>
      </c>
    </row>
    <row r="5745" spans="5:10" s="1297" customFormat="1">
      <c r="E5745" s="1297" t="s">
        <v>932</v>
      </c>
      <c r="F5745" s="1399"/>
      <c r="G5745" s="1399"/>
      <c r="H5745" s="1399"/>
      <c r="I5745" s="1399">
        <v>1895689</v>
      </c>
      <c r="J5745" s="1399">
        <v>1895689</v>
      </c>
    </row>
    <row r="5746" spans="5:10" s="1297" customFormat="1">
      <c r="E5746" s="1404" t="s">
        <v>955</v>
      </c>
      <c r="F5746" s="1405"/>
      <c r="G5746" s="1405"/>
      <c r="H5746" s="1405"/>
      <c r="I5746" s="1405">
        <v>1658782.25</v>
      </c>
      <c r="J5746" s="1405">
        <v>1658782.25</v>
      </c>
    </row>
    <row r="5747" spans="5:10" s="1297" customFormat="1">
      <c r="E5747" s="1297" t="s">
        <v>934</v>
      </c>
      <c r="F5747" s="1399"/>
      <c r="G5747" s="1399"/>
      <c r="H5747" s="1399"/>
      <c r="I5747" s="1399">
        <v>88940</v>
      </c>
      <c r="J5747" s="1399">
        <v>88940</v>
      </c>
    </row>
    <row r="5748" spans="5:10" s="1297" customFormat="1">
      <c r="E5748" s="1297" t="s">
        <v>1130</v>
      </c>
      <c r="F5748" s="1399"/>
      <c r="G5748" s="1399"/>
      <c r="H5748" s="1399"/>
      <c r="I5748" s="1399">
        <v>3011303.1</v>
      </c>
      <c r="J5748" s="1399">
        <v>3011303.1</v>
      </c>
    </row>
    <row r="5749" spans="5:10" s="1297" customFormat="1">
      <c r="E5749" s="1297" t="s">
        <v>935</v>
      </c>
      <c r="F5749" s="1399"/>
      <c r="G5749" s="1399"/>
      <c r="H5749" s="1399"/>
      <c r="I5749" s="1399">
        <v>513630.05</v>
      </c>
      <c r="J5749" s="1399">
        <v>513630.05</v>
      </c>
    </row>
    <row r="5750" spans="5:10" s="1297" customFormat="1">
      <c r="E5750" s="1297" t="s">
        <v>936</v>
      </c>
      <c r="F5750" s="1399"/>
      <c r="G5750" s="1399"/>
      <c r="H5750" s="1399"/>
      <c r="I5750" s="1399">
        <v>80184.47</v>
      </c>
      <c r="J5750" s="1399">
        <v>80184.47</v>
      </c>
    </row>
    <row r="5751" spans="5:10" s="1297" customFormat="1">
      <c r="E5751" s="1297" t="s">
        <v>937</v>
      </c>
      <c r="F5751" s="1399"/>
      <c r="G5751" s="1399"/>
      <c r="H5751" s="1399"/>
      <c r="I5751" s="1399">
        <v>43887.39</v>
      </c>
      <c r="J5751" s="1399">
        <v>43887.39</v>
      </c>
    </row>
    <row r="5752" spans="5:10" s="1297" customFormat="1">
      <c r="E5752" s="1297" t="s">
        <v>938</v>
      </c>
      <c r="F5752" s="1399"/>
      <c r="G5752" s="1399"/>
      <c r="H5752" s="1399"/>
      <c r="I5752" s="1399">
        <v>30133</v>
      </c>
      <c r="J5752" s="1399">
        <v>30133</v>
      </c>
    </row>
    <row r="5753" spans="5:10" s="1297" customFormat="1">
      <c r="E5753" s="1297" t="s">
        <v>939</v>
      </c>
      <c r="F5753" s="1399"/>
      <c r="G5753" s="1399"/>
      <c r="H5753" s="1399"/>
      <c r="I5753" s="1399">
        <v>52213.52</v>
      </c>
      <c r="J5753" s="1399">
        <v>52213.52</v>
      </c>
    </row>
    <row r="5754" spans="5:10" s="1297" customFormat="1">
      <c r="E5754" s="1297" t="s">
        <v>940</v>
      </c>
      <c r="F5754" s="1399">
        <v>1581180.06</v>
      </c>
      <c r="G5754" s="1399"/>
      <c r="H5754" s="1399"/>
      <c r="I5754" s="1399"/>
      <c r="J5754" s="1399">
        <v>1581180.06</v>
      </c>
    </row>
    <row r="5755" spans="5:10" s="1297" customFormat="1">
      <c r="E5755" s="1297" t="s">
        <v>941</v>
      </c>
      <c r="F5755" s="1399">
        <v>606354.54</v>
      </c>
      <c r="G5755" s="1399"/>
      <c r="H5755" s="1399"/>
      <c r="I5755" s="1399"/>
      <c r="J5755" s="1399">
        <v>606354.54</v>
      </c>
    </row>
    <row r="5756" spans="5:10" s="1297" customFormat="1">
      <c r="E5756" s="1297" t="s">
        <v>943</v>
      </c>
      <c r="F5756" s="1399">
        <v>2643.28</v>
      </c>
      <c r="G5756" s="1399"/>
      <c r="H5756" s="1399"/>
      <c r="I5756" s="1399"/>
      <c r="J5756" s="1399">
        <v>2643.28</v>
      </c>
    </row>
    <row r="5757" spans="5:10" s="1297" customFormat="1">
      <c r="E5757" s="1297" t="s">
        <v>944</v>
      </c>
      <c r="F5757" s="1399">
        <v>3277392.91</v>
      </c>
      <c r="G5757" s="1399"/>
      <c r="H5757" s="1399"/>
      <c r="I5757" s="1399"/>
      <c r="J5757" s="1399">
        <v>3277392.91</v>
      </c>
    </row>
    <row r="5758" spans="5:10" s="1297" customFormat="1">
      <c r="E5758" s="1297" t="s">
        <v>945</v>
      </c>
      <c r="F5758" s="1399">
        <v>1936619.2300000002</v>
      </c>
      <c r="G5758" s="1399"/>
      <c r="H5758" s="1399"/>
      <c r="I5758" s="1399"/>
      <c r="J5758" s="1399">
        <v>1936619.2300000002</v>
      </c>
    </row>
    <row r="5759" spans="5:10" s="1297" customFormat="1">
      <c r="E5759" s="1297" t="s">
        <v>947</v>
      </c>
      <c r="F5759" s="1399">
        <v>131663.67999999999</v>
      </c>
      <c r="G5759" s="1399"/>
      <c r="H5759" s="1399"/>
      <c r="I5759" s="1399"/>
      <c r="J5759" s="1399">
        <v>131663.67999999999</v>
      </c>
    </row>
    <row r="5760" spans="5:10" s="1297" customFormat="1">
      <c r="E5760" s="1404" t="s">
        <v>1116</v>
      </c>
      <c r="F5760" s="1405"/>
      <c r="G5760" s="1405"/>
      <c r="H5760" s="1405">
        <v>6000000</v>
      </c>
      <c r="I5760" s="1405"/>
      <c r="J5760" s="1405">
        <v>6000000</v>
      </c>
    </row>
    <row r="5761" spans="2:12">
      <c r="B5761" s="1297"/>
      <c r="C5761" s="1297"/>
      <c r="D5761" s="1297"/>
      <c r="E5761" s="1404" t="s">
        <v>948</v>
      </c>
      <c r="F5761" s="1405"/>
      <c r="G5761" s="1405"/>
      <c r="H5761" s="1405">
        <v>121295.24</v>
      </c>
      <c r="I5761" s="1405"/>
      <c r="J5761" s="1405">
        <v>121295.24</v>
      </c>
    </row>
    <row r="5762" spans="2:12">
      <c r="B5762" s="1297"/>
      <c r="C5762" s="1297"/>
      <c r="D5762" s="1400" t="s">
        <v>1591</v>
      </c>
      <c r="E5762" s="1400"/>
      <c r="F5762" s="1401">
        <f>SUM(F5722:F5761)</f>
        <v>7535853.7000000002</v>
      </c>
      <c r="G5762" s="1401">
        <f>SUM(G5722:G5761)</f>
        <v>15726949.729999999</v>
      </c>
      <c r="H5762" s="1401">
        <f>SUM(H5722:H5761)-H5760+H5761</f>
        <v>2214399.4400000004</v>
      </c>
      <c r="I5762" s="1401">
        <f>SUM(I5722:I5761)-I5746</f>
        <v>27315439.530000001</v>
      </c>
      <c r="J5762" s="1401">
        <f>SUM(J5722:J5761)</f>
        <v>60330129.410000004</v>
      </c>
      <c r="K5762" s="1401">
        <f>SUM(F5762:I5762)</f>
        <v>52792642.400000006</v>
      </c>
      <c r="L5762" s="1408">
        <f>K5762/C5722</f>
        <v>10396.345490350534</v>
      </c>
    </row>
    <row r="5763" spans="2:12">
      <c r="B5763" s="1297" t="s">
        <v>1592</v>
      </c>
      <c r="C5763" s="1297">
        <v>438</v>
      </c>
      <c r="D5763" s="1297" t="s">
        <v>1593</v>
      </c>
      <c r="E5763" s="1297" t="s">
        <v>906</v>
      </c>
      <c r="G5763" s="1399">
        <v>1348503.63</v>
      </c>
      <c r="J5763" s="1399">
        <v>1348503.63</v>
      </c>
    </row>
    <row r="5764" spans="2:12">
      <c r="B5764" s="1297"/>
      <c r="C5764" s="1297"/>
      <c r="D5764" s="1297"/>
      <c r="E5764" s="1297" t="s">
        <v>952</v>
      </c>
      <c r="G5764" s="1399">
        <v>5977.2300000000005</v>
      </c>
      <c r="J5764" s="1399">
        <v>5977.2300000000005</v>
      </c>
    </row>
    <row r="5765" spans="2:12">
      <c r="B5765" s="1297"/>
      <c r="C5765" s="1297"/>
      <c r="D5765" s="1297"/>
      <c r="E5765" s="1297" t="s">
        <v>907</v>
      </c>
      <c r="G5765" s="1399">
        <v>190087.85</v>
      </c>
      <c r="J5765" s="1399">
        <v>190087.85</v>
      </c>
    </row>
    <row r="5766" spans="2:12">
      <c r="B5766" s="1297"/>
      <c r="C5766" s="1297"/>
      <c r="D5766" s="1297"/>
      <c r="E5766" s="1297" t="s">
        <v>995</v>
      </c>
      <c r="G5766" s="1399">
        <v>82228.240000000005</v>
      </c>
      <c r="J5766" s="1399">
        <v>82228.240000000005</v>
      </c>
    </row>
    <row r="5767" spans="2:12">
      <c r="B5767" s="1297"/>
      <c r="C5767" s="1297"/>
      <c r="D5767" s="1297"/>
      <c r="E5767" s="1297" t="s">
        <v>908</v>
      </c>
      <c r="G5767" s="1399">
        <v>2702.38</v>
      </c>
      <c r="J5767" s="1399">
        <v>2702.38</v>
      </c>
    </row>
    <row r="5768" spans="2:12">
      <c r="B5768" s="1297"/>
      <c r="C5768" s="1297"/>
      <c r="D5768" s="1297"/>
      <c r="E5768" s="1297" t="s">
        <v>910</v>
      </c>
      <c r="H5768" s="1399">
        <v>1377.4</v>
      </c>
      <c r="J5768" s="1399">
        <v>1377.4</v>
      </c>
    </row>
    <row r="5769" spans="2:12">
      <c r="B5769" s="1297"/>
      <c r="C5769" s="1297"/>
      <c r="D5769" s="1297"/>
      <c r="E5769" s="1297" t="s">
        <v>1034</v>
      </c>
      <c r="H5769" s="1399">
        <v>8791.92</v>
      </c>
      <c r="J5769" s="1399">
        <v>8791.92</v>
      </c>
    </row>
    <row r="5770" spans="2:12">
      <c r="B5770" s="1297"/>
      <c r="C5770" s="1297"/>
      <c r="D5770" s="1297"/>
      <c r="E5770" s="1297" t="s">
        <v>1035</v>
      </c>
      <c r="H5770" s="1399">
        <v>46640.56</v>
      </c>
      <c r="J5770" s="1399">
        <v>46640.56</v>
      </c>
    </row>
    <row r="5771" spans="2:12">
      <c r="B5771" s="1297"/>
      <c r="C5771" s="1297"/>
      <c r="D5771" s="1297"/>
      <c r="E5771" s="1297" t="s">
        <v>1036</v>
      </c>
      <c r="H5771" s="1399">
        <v>13201</v>
      </c>
      <c r="J5771" s="1399">
        <v>13201</v>
      </c>
    </row>
    <row r="5772" spans="2:12">
      <c r="B5772" s="1297"/>
      <c r="C5772" s="1297"/>
      <c r="D5772" s="1297"/>
      <c r="E5772" s="1297" t="s">
        <v>1037</v>
      </c>
      <c r="H5772" s="1399">
        <v>64211.83</v>
      </c>
      <c r="J5772" s="1399">
        <v>64211.83</v>
      </c>
    </row>
    <row r="5773" spans="2:12">
      <c r="B5773" s="1297"/>
      <c r="C5773" s="1297"/>
      <c r="D5773" s="1297"/>
      <c r="E5773" s="1297" t="s">
        <v>1039</v>
      </c>
      <c r="H5773" s="1399">
        <v>1174.1500000000001</v>
      </c>
      <c r="J5773" s="1399">
        <v>1174.1500000000001</v>
      </c>
    </row>
    <row r="5774" spans="2:12">
      <c r="B5774" s="1297"/>
      <c r="C5774" s="1297"/>
      <c r="D5774" s="1297"/>
      <c r="E5774" s="1297" t="s">
        <v>1042</v>
      </c>
      <c r="H5774" s="1399">
        <v>8373.7199999999993</v>
      </c>
      <c r="J5774" s="1399">
        <v>8373.7199999999993</v>
      </c>
    </row>
    <row r="5775" spans="2:12">
      <c r="B5775" s="1297"/>
      <c r="C5775" s="1297"/>
      <c r="D5775" s="1297"/>
      <c r="E5775" s="1297" t="s">
        <v>1203</v>
      </c>
      <c r="H5775" s="1399">
        <v>8422</v>
      </c>
      <c r="J5775" s="1399">
        <v>8422</v>
      </c>
    </row>
    <row r="5776" spans="2:12">
      <c r="B5776" s="1297"/>
      <c r="C5776" s="1297"/>
      <c r="D5776" s="1297"/>
      <c r="E5776" s="1297" t="s">
        <v>1045</v>
      </c>
      <c r="H5776" s="1399">
        <v>43939.509999999995</v>
      </c>
      <c r="J5776" s="1399">
        <v>43939.509999999995</v>
      </c>
    </row>
    <row r="5777" spans="5:10" s="1297" customFormat="1">
      <c r="E5777" s="1297" t="s">
        <v>1046</v>
      </c>
      <c r="F5777" s="1399"/>
      <c r="G5777" s="1399"/>
      <c r="H5777" s="1399"/>
      <c r="I5777" s="1399">
        <v>2451057</v>
      </c>
      <c r="J5777" s="1399">
        <v>2451057</v>
      </c>
    </row>
    <row r="5778" spans="5:10" s="1297" customFormat="1">
      <c r="E5778" s="1297" t="s">
        <v>1047</v>
      </c>
      <c r="F5778" s="1399"/>
      <c r="G5778" s="1399"/>
      <c r="H5778" s="1399"/>
      <c r="I5778" s="1399">
        <v>276247</v>
      </c>
      <c r="J5778" s="1399">
        <v>276247</v>
      </c>
    </row>
    <row r="5779" spans="5:10" s="1297" customFormat="1">
      <c r="E5779" s="1297" t="s">
        <v>1048</v>
      </c>
      <c r="F5779" s="1399"/>
      <c r="G5779" s="1399"/>
      <c r="H5779" s="1399"/>
      <c r="I5779" s="1399">
        <v>-389280</v>
      </c>
      <c r="J5779" s="1399">
        <v>-389280</v>
      </c>
    </row>
    <row r="5780" spans="5:10" s="1297" customFormat="1">
      <c r="E5780" s="1297" t="s">
        <v>932</v>
      </c>
      <c r="F5780" s="1399"/>
      <c r="G5780" s="1399"/>
      <c r="H5780" s="1399"/>
      <c r="I5780" s="1399">
        <v>99493</v>
      </c>
      <c r="J5780" s="1399">
        <v>99493</v>
      </c>
    </row>
    <row r="5781" spans="5:10" s="1297" customFormat="1">
      <c r="E5781" s="1297" t="s">
        <v>933</v>
      </c>
      <c r="F5781" s="1399"/>
      <c r="G5781" s="1399"/>
      <c r="H5781" s="1399"/>
      <c r="I5781" s="1399">
        <v>204523.76</v>
      </c>
      <c r="J5781" s="1399">
        <v>204523.76</v>
      </c>
    </row>
    <row r="5782" spans="5:10" s="1297" customFormat="1">
      <c r="E5782" s="1297" t="s">
        <v>934</v>
      </c>
      <c r="F5782" s="1399"/>
      <c r="G5782" s="1399"/>
      <c r="H5782" s="1399"/>
      <c r="I5782" s="1399">
        <v>8612</v>
      </c>
      <c r="J5782" s="1399">
        <v>8612</v>
      </c>
    </row>
    <row r="5783" spans="5:10" s="1297" customFormat="1">
      <c r="E5783" s="1297" t="s">
        <v>935</v>
      </c>
      <c r="F5783" s="1399"/>
      <c r="G5783" s="1399"/>
      <c r="H5783" s="1399"/>
      <c r="I5783" s="1399">
        <v>25314.45</v>
      </c>
      <c r="J5783" s="1399">
        <v>25314.45</v>
      </c>
    </row>
    <row r="5784" spans="5:10" s="1297" customFormat="1">
      <c r="E5784" s="1297" t="s">
        <v>936</v>
      </c>
      <c r="F5784" s="1399"/>
      <c r="G5784" s="1399"/>
      <c r="H5784" s="1399"/>
      <c r="I5784" s="1399">
        <v>8053.46</v>
      </c>
      <c r="J5784" s="1399">
        <v>8053.46</v>
      </c>
    </row>
    <row r="5785" spans="5:10" s="1297" customFormat="1">
      <c r="E5785" s="1297" t="s">
        <v>938</v>
      </c>
      <c r="F5785" s="1399"/>
      <c r="G5785" s="1399"/>
      <c r="H5785" s="1399"/>
      <c r="I5785" s="1399">
        <v>2807</v>
      </c>
      <c r="J5785" s="1399">
        <v>2807</v>
      </c>
    </row>
    <row r="5786" spans="5:10" s="1297" customFormat="1">
      <c r="E5786" s="1297" t="s">
        <v>939</v>
      </c>
      <c r="F5786" s="1399"/>
      <c r="G5786" s="1399"/>
      <c r="H5786" s="1399"/>
      <c r="I5786" s="1399">
        <v>1152.8</v>
      </c>
      <c r="J5786" s="1399">
        <v>1152.8</v>
      </c>
    </row>
    <row r="5787" spans="5:10" s="1297" customFormat="1">
      <c r="E5787" s="1297" t="s">
        <v>940</v>
      </c>
      <c r="F5787" s="1399">
        <v>134757.76000000001</v>
      </c>
      <c r="G5787" s="1399"/>
      <c r="H5787" s="1399"/>
      <c r="I5787" s="1399"/>
      <c r="J5787" s="1399">
        <v>134757.76000000001</v>
      </c>
    </row>
    <row r="5788" spans="5:10" s="1297" customFormat="1">
      <c r="E5788" s="1297" t="s">
        <v>941</v>
      </c>
      <c r="F5788" s="1399">
        <v>58114.68</v>
      </c>
      <c r="G5788" s="1399"/>
      <c r="H5788" s="1399"/>
      <c r="I5788" s="1399"/>
      <c r="J5788" s="1399">
        <v>58114.68</v>
      </c>
    </row>
    <row r="5789" spans="5:10" s="1297" customFormat="1">
      <c r="E5789" s="1297" t="s">
        <v>944</v>
      </c>
      <c r="F5789" s="1399">
        <v>381775.39</v>
      </c>
      <c r="G5789" s="1399"/>
      <c r="H5789" s="1399"/>
      <c r="I5789" s="1399"/>
      <c r="J5789" s="1399">
        <v>381775.39</v>
      </c>
    </row>
    <row r="5790" spans="5:10" s="1297" customFormat="1">
      <c r="E5790" s="1297" t="s">
        <v>945</v>
      </c>
      <c r="F5790" s="1399">
        <v>215820.95</v>
      </c>
      <c r="G5790" s="1399"/>
      <c r="H5790" s="1399"/>
      <c r="I5790" s="1399"/>
      <c r="J5790" s="1399">
        <v>215820.95</v>
      </c>
    </row>
    <row r="5791" spans="5:10" s="1297" customFormat="1">
      <c r="E5791" s="1297" t="s">
        <v>947</v>
      </c>
      <c r="F5791" s="1399">
        <v>11341.89</v>
      </c>
      <c r="G5791" s="1399"/>
      <c r="H5791" s="1399"/>
      <c r="I5791" s="1399"/>
      <c r="J5791" s="1399">
        <v>11341.89</v>
      </c>
    </row>
    <row r="5792" spans="5:10" s="1297" customFormat="1">
      <c r="E5792" s="1404" t="s">
        <v>948</v>
      </c>
      <c r="F5792" s="1405"/>
      <c r="G5792" s="1405"/>
      <c r="H5792" s="1405">
        <v>6190.76</v>
      </c>
      <c r="I5792" s="1405"/>
      <c r="J5792" s="1405">
        <v>6190.76</v>
      </c>
    </row>
    <row r="5793" spans="2:12">
      <c r="B5793" s="1297"/>
      <c r="C5793" s="1297"/>
      <c r="D5793" s="1400" t="s">
        <v>1594</v>
      </c>
      <c r="E5793" s="1400"/>
      <c r="F5793" s="1401">
        <f>SUM(F5763:F5792)</f>
        <v>801810.67</v>
      </c>
      <c r="G5793" s="1401">
        <f>SUM(G5763:G5792)</f>
        <v>1629499.3299999998</v>
      </c>
      <c r="H5793" s="1401">
        <f>SUM(H5763:H5792)-H5792</f>
        <v>196132.09000000003</v>
      </c>
      <c r="I5793" s="1401">
        <f>SUM(I5763:I5792)</f>
        <v>2687980.4699999997</v>
      </c>
      <c r="J5793" s="1401">
        <f>SUM(J5763:J5792)</f>
        <v>5321613.3199999984</v>
      </c>
      <c r="K5793" s="1401">
        <f>SUM(F5793:I5793)</f>
        <v>5315422.5599999996</v>
      </c>
      <c r="L5793" s="1408">
        <f>K5793/C5763</f>
        <v>12135.667945205478</v>
      </c>
    </row>
    <row r="5794" spans="2:12">
      <c r="B5794" s="1297" t="s">
        <v>1595</v>
      </c>
      <c r="C5794" s="1297">
        <v>932</v>
      </c>
      <c r="D5794" s="1297" t="s">
        <v>1596</v>
      </c>
      <c r="E5794" s="1297" t="s">
        <v>906</v>
      </c>
      <c r="G5794" s="1399">
        <v>1670541.09</v>
      </c>
      <c r="J5794" s="1399">
        <v>1670541.09</v>
      </c>
    </row>
    <row r="5795" spans="2:12">
      <c r="B5795" s="1297"/>
      <c r="C5795" s="1297"/>
      <c r="D5795" s="1297"/>
      <c r="E5795" s="1297" t="s">
        <v>952</v>
      </c>
      <c r="G5795" s="1399">
        <v>10721.36</v>
      </c>
      <c r="J5795" s="1399">
        <v>10721.36</v>
      </c>
    </row>
    <row r="5796" spans="2:12">
      <c r="B5796" s="1297"/>
      <c r="C5796" s="1297"/>
      <c r="D5796" s="1297"/>
      <c r="E5796" s="1297" t="s">
        <v>907</v>
      </c>
      <c r="G5796" s="1399">
        <v>513772.21</v>
      </c>
      <c r="J5796" s="1399">
        <v>513772.21</v>
      </c>
    </row>
    <row r="5797" spans="2:12">
      <c r="B5797" s="1297"/>
      <c r="C5797" s="1297"/>
      <c r="D5797" s="1297"/>
      <c r="E5797" s="1297" t="s">
        <v>1035</v>
      </c>
      <c r="H5797" s="1399">
        <v>327322.60000000003</v>
      </c>
      <c r="J5797" s="1399">
        <v>327322.60000000003</v>
      </c>
    </row>
    <row r="5798" spans="2:12">
      <c r="B5798" s="1297"/>
      <c r="C5798" s="1297"/>
      <c r="D5798" s="1297"/>
      <c r="E5798" s="1297" t="s">
        <v>1039</v>
      </c>
      <c r="H5798" s="1399">
        <v>5531.91</v>
      </c>
      <c r="J5798" s="1399">
        <v>5531.91</v>
      </c>
    </row>
    <row r="5799" spans="2:12">
      <c r="B5799" s="1297"/>
      <c r="C5799" s="1297"/>
      <c r="D5799" s="1297"/>
      <c r="E5799" s="1297" t="s">
        <v>1040</v>
      </c>
      <c r="H5799" s="1399">
        <v>39062.699999999997</v>
      </c>
      <c r="J5799" s="1399">
        <v>39062.699999999997</v>
      </c>
    </row>
    <row r="5800" spans="2:12">
      <c r="B5800" s="1297"/>
      <c r="C5800" s="1297"/>
      <c r="D5800" s="1297"/>
      <c r="E5800" s="1297" t="s">
        <v>1041</v>
      </c>
      <c r="H5800" s="1399">
        <v>5452.82</v>
      </c>
      <c r="J5800" s="1399">
        <v>5452.82</v>
      </c>
    </row>
    <row r="5801" spans="2:12">
      <c r="B5801" s="1297"/>
      <c r="C5801" s="1297"/>
      <c r="D5801" s="1297"/>
      <c r="E5801" s="1297" t="s">
        <v>1042</v>
      </c>
      <c r="H5801" s="1399">
        <v>21784.2</v>
      </c>
      <c r="J5801" s="1399">
        <v>21784.2</v>
      </c>
    </row>
    <row r="5802" spans="2:12">
      <c r="B5802" s="1297"/>
      <c r="C5802" s="1297"/>
      <c r="D5802" s="1297"/>
      <c r="E5802" s="1297" t="s">
        <v>1045</v>
      </c>
      <c r="H5802" s="1399">
        <v>238649.02</v>
      </c>
      <c r="J5802" s="1399">
        <v>238649.02</v>
      </c>
    </row>
    <row r="5803" spans="2:12">
      <c r="B5803" s="1297"/>
      <c r="C5803" s="1297"/>
      <c r="D5803" s="1297"/>
      <c r="E5803" s="1297" t="s">
        <v>1046</v>
      </c>
      <c r="I5803" s="1399">
        <v>4805190</v>
      </c>
      <c r="J5803" s="1399">
        <v>4805190</v>
      </c>
    </row>
    <row r="5804" spans="2:12">
      <c r="B5804" s="1297"/>
      <c r="C5804" s="1297"/>
      <c r="D5804" s="1297"/>
      <c r="E5804" s="1297" t="s">
        <v>1047</v>
      </c>
      <c r="I5804" s="1399">
        <v>245615</v>
      </c>
      <c r="J5804" s="1399">
        <v>245615</v>
      </c>
    </row>
    <row r="5805" spans="2:12">
      <c r="B5805" s="1297"/>
      <c r="C5805" s="1297"/>
      <c r="D5805" s="1297"/>
      <c r="E5805" s="1297" t="s">
        <v>1048</v>
      </c>
      <c r="I5805" s="1399">
        <v>-518508</v>
      </c>
      <c r="J5805" s="1399">
        <v>-518508</v>
      </c>
    </row>
    <row r="5806" spans="2:12">
      <c r="B5806" s="1297"/>
      <c r="C5806" s="1297"/>
      <c r="D5806" s="1297"/>
      <c r="E5806" s="1297" t="s">
        <v>932</v>
      </c>
      <c r="I5806" s="1399">
        <v>785700</v>
      </c>
      <c r="J5806" s="1399">
        <v>785700</v>
      </c>
    </row>
    <row r="5807" spans="2:12">
      <c r="B5807" s="1297"/>
      <c r="C5807" s="1297"/>
      <c r="D5807" s="1297"/>
      <c r="E5807" s="1404" t="s">
        <v>955</v>
      </c>
      <c r="F5807" s="1405"/>
      <c r="G5807" s="1405"/>
      <c r="H5807" s="1405"/>
      <c r="I5807" s="1405">
        <v>264878.05</v>
      </c>
      <c r="J5807" s="1405">
        <v>264878.05</v>
      </c>
    </row>
    <row r="5808" spans="2:12">
      <c r="B5808" s="1297"/>
      <c r="C5808" s="1297"/>
      <c r="D5808" s="1297"/>
      <c r="E5808" s="1297" t="s">
        <v>934</v>
      </c>
      <c r="I5808" s="1399">
        <v>17746</v>
      </c>
      <c r="J5808" s="1399">
        <v>17746</v>
      </c>
    </row>
    <row r="5809" spans="2:12">
      <c r="B5809" s="1297"/>
      <c r="C5809" s="1297"/>
      <c r="D5809" s="1297"/>
      <c r="E5809" s="1297" t="s">
        <v>1130</v>
      </c>
      <c r="I5809" s="1399">
        <v>375327</v>
      </c>
      <c r="J5809" s="1399">
        <v>375327</v>
      </c>
    </row>
    <row r="5810" spans="2:12">
      <c r="B5810" s="1297"/>
      <c r="C5810" s="1297"/>
      <c r="D5810" s="1297"/>
      <c r="E5810" s="1297" t="s">
        <v>935</v>
      </c>
      <c r="I5810" s="1399">
        <v>192579.34</v>
      </c>
      <c r="J5810" s="1399">
        <v>192579.34</v>
      </c>
    </row>
    <row r="5811" spans="2:12">
      <c r="B5811" s="1297"/>
      <c r="C5811" s="1297"/>
      <c r="D5811" s="1297"/>
      <c r="E5811" s="1297" t="s">
        <v>936</v>
      </c>
      <c r="I5811" s="1399">
        <v>20308.73</v>
      </c>
      <c r="J5811" s="1399">
        <v>20308.73</v>
      </c>
    </row>
    <row r="5812" spans="2:12">
      <c r="B5812" s="1297"/>
      <c r="C5812" s="1297"/>
      <c r="D5812" s="1297"/>
      <c r="E5812" s="1297" t="s">
        <v>938</v>
      </c>
      <c r="I5812" s="1399">
        <v>5240</v>
      </c>
      <c r="J5812" s="1399">
        <v>5240</v>
      </c>
    </row>
    <row r="5813" spans="2:12">
      <c r="B5813" s="1297"/>
      <c r="C5813" s="1297"/>
      <c r="D5813" s="1297"/>
      <c r="E5813" s="1297" t="s">
        <v>940</v>
      </c>
      <c r="F5813" s="1399">
        <v>314675.96000000002</v>
      </c>
      <c r="J5813" s="1399">
        <v>314675.96000000002</v>
      </c>
    </row>
    <row r="5814" spans="2:12">
      <c r="B5814" s="1297"/>
      <c r="C5814" s="1297"/>
      <c r="D5814" s="1297"/>
      <c r="E5814" s="1297" t="s">
        <v>941</v>
      </c>
      <c r="F5814" s="1399">
        <v>137923.72</v>
      </c>
      <c r="J5814" s="1399">
        <v>137923.72</v>
      </c>
    </row>
    <row r="5815" spans="2:12">
      <c r="B5815" s="1297"/>
      <c r="C5815" s="1297"/>
      <c r="D5815" s="1297"/>
      <c r="E5815" s="1297" t="s">
        <v>944</v>
      </c>
      <c r="F5815" s="1399">
        <v>895500.7</v>
      </c>
      <c r="J5815" s="1399">
        <v>895500.7</v>
      </c>
    </row>
    <row r="5816" spans="2:12">
      <c r="B5816" s="1297"/>
      <c r="C5816" s="1297"/>
      <c r="D5816" s="1297"/>
      <c r="E5816" s="1297" t="s">
        <v>945</v>
      </c>
      <c r="F5816" s="1399">
        <v>492585.72000000003</v>
      </c>
      <c r="J5816" s="1399">
        <v>492585.72000000003</v>
      </c>
    </row>
    <row r="5817" spans="2:12">
      <c r="B5817" s="1297"/>
      <c r="C5817" s="1297"/>
      <c r="D5817" s="1297"/>
      <c r="E5817" s="1297" t="s">
        <v>947</v>
      </c>
      <c r="F5817" s="1399">
        <v>31753.63</v>
      </c>
      <c r="J5817" s="1399">
        <v>31753.63</v>
      </c>
    </row>
    <row r="5818" spans="2:12">
      <c r="B5818" s="1297"/>
      <c r="C5818" s="1297"/>
      <c r="D5818" s="1297"/>
      <c r="E5818" s="1404" t="s">
        <v>1116</v>
      </c>
      <c r="F5818" s="1405"/>
      <c r="G5818" s="1405"/>
      <c r="H5818" s="1405">
        <v>1500000</v>
      </c>
      <c r="I5818" s="1405"/>
      <c r="J5818" s="1405">
        <v>1500000</v>
      </c>
    </row>
    <row r="5819" spans="2:12">
      <c r="B5819" s="1297"/>
      <c r="C5819" s="1297"/>
      <c r="D5819" s="1297"/>
      <c r="E5819" s="1404" t="s">
        <v>948</v>
      </c>
      <c r="F5819" s="1405"/>
      <c r="G5819" s="1405"/>
      <c r="H5819" s="1405">
        <v>295669.05000000005</v>
      </c>
      <c r="I5819" s="1405"/>
      <c r="J5819" s="1405">
        <v>295669.05000000005</v>
      </c>
    </row>
    <row r="5820" spans="2:12">
      <c r="B5820" s="1297"/>
      <c r="C5820" s="1297"/>
      <c r="D5820" s="1297"/>
      <c r="E5820" s="1297" t="s">
        <v>956</v>
      </c>
      <c r="H5820" s="1399">
        <v>9835</v>
      </c>
      <c r="J5820" s="1399">
        <v>9835</v>
      </c>
    </row>
    <row r="5821" spans="2:12">
      <c r="B5821" s="1297"/>
      <c r="C5821" s="1297"/>
      <c r="D5821" s="1400" t="s">
        <v>1597</v>
      </c>
      <c r="E5821" s="1400"/>
      <c r="F5821" s="1401">
        <f>SUM(F5794:F5820)</f>
        <v>1872439.7299999997</v>
      </c>
      <c r="G5821" s="1401">
        <f>SUM(G5794:G5820)</f>
        <v>2195034.66</v>
      </c>
      <c r="H5821" s="1401">
        <f>SUM(H5794:H5820)-(H5818+H5819)</f>
        <v>647638.24999999977</v>
      </c>
      <c r="I5821" s="1401">
        <f>SUM(I5794:I5820)-I5807</f>
        <v>5929198.0700000003</v>
      </c>
      <c r="J5821" s="1401">
        <f>SUM(J5794:J5820)</f>
        <v>12704857.810000004</v>
      </c>
      <c r="K5821" s="1401">
        <f>SUM(F5821:I5821)</f>
        <v>10644310.710000001</v>
      </c>
      <c r="L5821" s="1408">
        <f>K5821/C5794</f>
        <v>11420.934238197426</v>
      </c>
    </row>
    <row r="5822" spans="2:12">
      <c r="B5822" s="1297" t="s">
        <v>1598</v>
      </c>
      <c r="C5822" s="1297">
        <v>3736</v>
      </c>
      <c r="D5822" s="1297" t="s">
        <v>1599</v>
      </c>
      <c r="E5822" s="1297" t="s">
        <v>906</v>
      </c>
      <c r="G5822" s="1399">
        <v>15661082.6</v>
      </c>
      <c r="J5822" s="1399">
        <v>15661082.6</v>
      </c>
    </row>
    <row r="5823" spans="2:12">
      <c r="B5823" s="1297"/>
      <c r="C5823" s="1297"/>
      <c r="D5823" s="1297"/>
      <c r="E5823" s="1297" t="s">
        <v>952</v>
      </c>
      <c r="G5823" s="1399">
        <v>181456.73</v>
      </c>
      <c r="J5823" s="1399">
        <v>181456.73</v>
      </c>
    </row>
    <row r="5824" spans="2:12">
      <c r="B5824" s="1297"/>
      <c r="C5824" s="1297"/>
      <c r="D5824" s="1297"/>
      <c r="E5824" s="1297" t="s">
        <v>907</v>
      </c>
      <c r="G5824" s="1399">
        <v>3186507.11</v>
      </c>
      <c r="J5824" s="1399">
        <v>3186507.11</v>
      </c>
    </row>
    <row r="5825" spans="5:10" s="1297" customFormat="1">
      <c r="E5825" s="1297" t="s">
        <v>909</v>
      </c>
      <c r="F5825" s="1399"/>
      <c r="G5825" s="1399"/>
      <c r="H5825" s="1399">
        <v>93510.56</v>
      </c>
      <c r="I5825" s="1399"/>
      <c r="J5825" s="1399">
        <v>93510.56</v>
      </c>
    </row>
    <row r="5826" spans="5:10" s="1297" customFormat="1">
      <c r="E5826" s="1297" t="s">
        <v>910</v>
      </c>
      <c r="F5826" s="1399"/>
      <c r="G5826" s="1399"/>
      <c r="H5826" s="1399">
        <v>26387</v>
      </c>
      <c r="I5826" s="1399"/>
      <c r="J5826" s="1399">
        <v>26387</v>
      </c>
    </row>
    <row r="5827" spans="5:10" s="1297" customFormat="1">
      <c r="E5827" s="1297" t="s">
        <v>1034</v>
      </c>
      <c r="F5827" s="1399"/>
      <c r="G5827" s="1399"/>
      <c r="H5827" s="1399">
        <v>63067.86</v>
      </c>
      <c r="I5827" s="1399"/>
      <c r="J5827" s="1399">
        <v>63067.86</v>
      </c>
    </row>
    <row r="5828" spans="5:10" s="1297" customFormat="1">
      <c r="E5828" s="1297" t="s">
        <v>1035</v>
      </c>
      <c r="F5828" s="1399"/>
      <c r="G5828" s="1399"/>
      <c r="H5828" s="1399">
        <v>796538.11</v>
      </c>
      <c r="I5828" s="1399"/>
      <c r="J5828" s="1399">
        <v>796538.11</v>
      </c>
    </row>
    <row r="5829" spans="5:10" s="1297" customFormat="1">
      <c r="E5829" s="1297" t="s">
        <v>1036</v>
      </c>
      <c r="F5829" s="1399"/>
      <c r="G5829" s="1399"/>
      <c r="H5829" s="1399">
        <v>164831.42000000001</v>
      </c>
      <c r="I5829" s="1399"/>
      <c r="J5829" s="1399">
        <v>164831.42000000001</v>
      </c>
    </row>
    <row r="5830" spans="5:10" s="1297" customFormat="1">
      <c r="E5830" s="1297" t="s">
        <v>1003</v>
      </c>
      <c r="F5830" s="1399"/>
      <c r="G5830" s="1399"/>
      <c r="H5830" s="1399">
        <v>4519.01</v>
      </c>
      <c r="I5830" s="1399"/>
      <c r="J5830" s="1399">
        <v>4519.01</v>
      </c>
    </row>
    <row r="5831" spans="5:10" s="1297" customFormat="1">
      <c r="E5831" s="1297" t="s">
        <v>1039</v>
      </c>
      <c r="F5831" s="1399"/>
      <c r="G5831" s="1399"/>
      <c r="H5831" s="1399">
        <v>49477.549999999996</v>
      </c>
      <c r="I5831" s="1399"/>
      <c r="J5831" s="1399">
        <v>49477.549999999996</v>
      </c>
    </row>
    <row r="5832" spans="5:10" s="1297" customFormat="1">
      <c r="E5832" s="1297" t="s">
        <v>1040</v>
      </c>
      <c r="F5832" s="1399"/>
      <c r="G5832" s="1399"/>
      <c r="H5832" s="1399">
        <v>407997.95</v>
      </c>
      <c r="I5832" s="1399"/>
      <c r="J5832" s="1399">
        <v>407997.95</v>
      </c>
    </row>
    <row r="5833" spans="5:10" s="1297" customFormat="1">
      <c r="E5833" s="1297" t="s">
        <v>1041</v>
      </c>
      <c r="F5833" s="1399"/>
      <c r="G5833" s="1399"/>
      <c r="H5833" s="1399">
        <v>171659.61000000002</v>
      </c>
      <c r="I5833" s="1399"/>
      <c r="J5833" s="1399">
        <v>171659.61000000002</v>
      </c>
    </row>
    <row r="5834" spans="5:10" s="1297" customFormat="1">
      <c r="E5834" s="1297" t="s">
        <v>1042</v>
      </c>
      <c r="F5834" s="1399"/>
      <c r="G5834" s="1399"/>
      <c r="H5834" s="1399">
        <v>80802.69</v>
      </c>
      <c r="I5834" s="1399"/>
      <c r="J5834" s="1399">
        <v>80802.69</v>
      </c>
    </row>
    <row r="5835" spans="5:10" s="1297" customFormat="1">
      <c r="E5835" s="1297" t="s">
        <v>1043</v>
      </c>
      <c r="F5835" s="1399"/>
      <c r="G5835" s="1399"/>
      <c r="H5835" s="1399">
        <v>37000</v>
      </c>
      <c r="I5835" s="1399"/>
      <c r="J5835" s="1399">
        <v>37000</v>
      </c>
    </row>
    <row r="5836" spans="5:10" s="1297" customFormat="1">
      <c r="E5836" s="1297" t="s">
        <v>986</v>
      </c>
      <c r="F5836" s="1399"/>
      <c r="G5836" s="1399"/>
      <c r="H5836" s="1399">
        <v>100000</v>
      </c>
      <c r="I5836" s="1399"/>
      <c r="J5836" s="1399">
        <v>100000</v>
      </c>
    </row>
    <row r="5837" spans="5:10" s="1297" customFormat="1">
      <c r="E5837" s="1297" t="s">
        <v>990</v>
      </c>
      <c r="F5837" s="1399"/>
      <c r="G5837" s="1399"/>
      <c r="H5837" s="1399">
        <v>2157.2399999999998</v>
      </c>
      <c r="I5837" s="1399"/>
      <c r="J5837" s="1399">
        <v>2157.2399999999998</v>
      </c>
    </row>
    <row r="5838" spans="5:10" s="1297" customFormat="1">
      <c r="E5838" s="1297" t="s">
        <v>996</v>
      </c>
      <c r="F5838" s="1399"/>
      <c r="G5838" s="1399"/>
      <c r="H5838" s="1399">
        <v>24600</v>
      </c>
      <c r="I5838" s="1399"/>
      <c r="J5838" s="1399">
        <v>24600</v>
      </c>
    </row>
    <row r="5839" spans="5:10" s="1297" customFormat="1">
      <c r="E5839" s="1297" t="s">
        <v>1045</v>
      </c>
      <c r="F5839" s="1399"/>
      <c r="G5839" s="1399"/>
      <c r="H5839" s="1399">
        <v>281384.56</v>
      </c>
      <c r="I5839" s="1399"/>
      <c r="J5839" s="1399">
        <v>281384.56</v>
      </c>
    </row>
    <row r="5840" spans="5:10" s="1297" customFormat="1">
      <c r="E5840" s="1297" t="s">
        <v>1046</v>
      </c>
      <c r="F5840" s="1399"/>
      <c r="G5840" s="1399"/>
      <c r="H5840" s="1399"/>
      <c r="I5840" s="1399">
        <v>20983932</v>
      </c>
      <c r="J5840" s="1399">
        <v>20983932</v>
      </c>
    </row>
    <row r="5841" spans="5:10" s="1297" customFormat="1">
      <c r="E5841" s="1297" t="s">
        <v>1128</v>
      </c>
      <c r="F5841" s="1399"/>
      <c r="G5841" s="1399"/>
      <c r="H5841" s="1399"/>
      <c r="I5841" s="1399">
        <v>1743472</v>
      </c>
      <c r="J5841" s="1399">
        <v>1743472</v>
      </c>
    </row>
    <row r="5842" spans="5:10" s="1297" customFormat="1">
      <c r="E5842" s="1297" t="s">
        <v>1129</v>
      </c>
      <c r="F5842" s="1399"/>
      <c r="G5842" s="1399"/>
      <c r="H5842" s="1399"/>
      <c r="I5842" s="1399">
        <v>-2592843</v>
      </c>
      <c r="J5842" s="1399">
        <v>-2592843</v>
      </c>
    </row>
    <row r="5843" spans="5:10" s="1297" customFormat="1">
      <c r="E5843" s="1297" t="s">
        <v>1047</v>
      </c>
      <c r="F5843" s="1399"/>
      <c r="G5843" s="1399"/>
      <c r="H5843" s="1399"/>
      <c r="I5843" s="1399">
        <v>594554</v>
      </c>
      <c r="J5843" s="1399">
        <v>594554</v>
      </c>
    </row>
    <row r="5844" spans="5:10" s="1297" customFormat="1">
      <c r="E5844" s="1297" t="s">
        <v>1048</v>
      </c>
      <c r="F5844" s="1399"/>
      <c r="G5844" s="1399"/>
      <c r="H5844" s="1399"/>
      <c r="I5844" s="1399">
        <v>-4571980</v>
      </c>
      <c r="J5844" s="1399">
        <v>-4571980</v>
      </c>
    </row>
    <row r="5845" spans="5:10" s="1297" customFormat="1">
      <c r="E5845" s="1297" t="s">
        <v>934</v>
      </c>
      <c r="F5845" s="1399"/>
      <c r="G5845" s="1399"/>
      <c r="H5845" s="1399"/>
      <c r="I5845" s="1399">
        <v>64800</v>
      </c>
      <c r="J5845" s="1399">
        <v>64800</v>
      </c>
    </row>
    <row r="5846" spans="5:10" s="1297" customFormat="1">
      <c r="E5846" s="1297" t="s">
        <v>1130</v>
      </c>
      <c r="F5846" s="1399"/>
      <c r="G5846" s="1399"/>
      <c r="H5846" s="1399"/>
      <c r="I5846" s="1399">
        <v>3093723.43</v>
      </c>
      <c r="J5846" s="1399">
        <v>3093723.43</v>
      </c>
    </row>
    <row r="5847" spans="5:10" s="1297" customFormat="1">
      <c r="E5847" s="1297" t="s">
        <v>935</v>
      </c>
      <c r="F5847" s="1399"/>
      <c r="G5847" s="1399"/>
      <c r="H5847" s="1399"/>
      <c r="I5847" s="1399">
        <v>460923.5</v>
      </c>
      <c r="J5847" s="1399">
        <v>460923.5</v>
      </c>
    </row>
    <row r="5848" spans="5:10" s="1297" customFormat="1">
      <c r="E5848" s="1297" t="s">
        <v>936</v>
      </c>
      <c r="F5848" s="1399"/>
      <c r="G5848" s="1399"/>
      <c r="H5848" s="1399"/>
      <c r="I5848" s="1399">
        <v>82985.679999999993</v>
      </c>
      <c r="J5848" s="1399">
        <v>82985.679999999993</v>
      </c>
    </row>
    <row r="5849" spans="5:10" s="1297" customFormat="1">
      <c r="E5849" s="1297" t="s">
        <v>937</v>
      </c>
      <c r="F5849" s="1399"/>
      <c r="G5849" s="1399"/>
      <c r="H5849" s="1399"/>
      <c r="I5849" s="1399">
        <v>26805.01</v>
      </c>
      <c r="J5849" s="1399">
        <v>26805.01</v>
      </c>
    </row>
    <row r="5850" spans="5:10" s="1297" customFormat="1">
      <c r="E5850" s="1297" t="s">
        <v>938</v>
      </c>
      <c r="F5850" s="1399"/>
      <c r="G5850" s="1399"/>
      <c r="H5850" s="1399"/>
      <c r="I5850" s="1399">
        <v>18154</v>
      </c>
      <c r="J5850" s="1399">
        <v>18154</v>
      </c>
    </row>
    <row r="5851" spans="5:10" s="1297" customFormat="1">
      <c r="E5851" s="1297" t="s">
        <v>939</v>
      </c>
      <c r="F5851" s="1399"/>
      <c r="G5851" s="1399"/>
      <c r="H5851" s="1399"/>
      <c r="I5851" s="1399">
        <v>298977.93</v>
      </c>
      <c r="J5851" s="1399">
        <v>298977.93</v>
      </c>
    </row>
    <row r="5852" spans="5:10" s="1297" customFormat="1">
      <c r="E5852" s="1297" t="s">
        <v>940</v>
      </c>
      <c r="F5852" s="1399">
        <v>940829.13</v>
      </c>
      <c r="G5852" s="1399"/>
      <c r="H5852" s="1399"/>
      <c r="I5852" s="1399"/>
      <c r="J5852" s="1399">
        <v>940829.13</v>
      </c>
    </row>
    <row r="5853" spans="5:10" s="1297" customFormat="1">
      <c r="E5853" s="1297" t="s">
        <v>941</v>
      </c>
      <c r="F5853" s="1399">
        <v>295953.08</v>
      </c>
      <c r="G5853" s="1399"/>
      <c r="H5853" s="1399"/>
      <c r="I5853" s="1399"/>
      <c r="J5853" s="1399">
        <v>295953.08</v>
      </c>
    </row>
    <row r="5854" spans="5:10" s="1297" customFormat="1">
      <c r="E5854" s="1297" t="s">
        <v>944</v>
      </c>
      <c r="F5854" s="1399">
        <v>2583769.54</v>
      </c>
      <c r="G5854" s="1399"/>
      <c r="H5854" s="1399"/>
      <c r="I5854" s="1399"/>
      <c r="J5854" s="1399">
        <v>2583769.54</v>
      </c>
    </row>
    <row r="5855" spans="5:10" s="1297" customFormat="1">
      <c r="E5855" s="1297" t="s">
        <v>945</v>
      </c>
      <c r="F5855" s="1399">
        <v>1705059.06</v>
      </c>
      <c r="G5855" s="1399"/>
      <c r="H5855" s="1399"/>
      <c r="I5855" s="1399"/>
      <c r="J5855" s="1399">
        <v>1705059.06</v>
      </c>
    </row>
    <row r="5856" spans="5:10" s="1297" customFormat="1">
      <c r="E5856" s="1297" t="s">
        <v>946</v>
      </c>
      <c r="F5856" s="1399">
        <v>38198.75</v>
      </c>
      <c r="G5856" s="1399"/>
      <c r="H5856" s="1399"/>
      <c r="I5856" s="1399"/>
      <c r="J5856" s="1399">
        <v>38198.75</v>
      </c>
    </row>
    <row r="5857" spans="2:12">
      <c r="B5857" s="1297"/>
      <c r="C5857" s="1297"/>
      <c r="D5857" s="1297"/>
      <c r="E5857" s="1297" t="s">
        <v>947</v>
      </c>
      <c r="F5857" s="1399">
        <v>102053.82999999999</v>
      </c>
      <c r="J5857" s="1399">
        <v>102053.82999999999</v>
      </c>
    </row>
    <row r="5858" spans="2:12">
      <c r="B5858" s="1297"/>
      <c r="C5858" s="1297"/>
      <c r="D5858" s="1297"/>
      <c r="E5858" s="1297" t="s">
        <v>1115</v>
      </c>
      <c r="F5858" s="1399">
        <v>42241.41</v>
      </c>
      <c r="J5858" s="1399">
        <v>42241.41</v>
      </c>
    </row>
    <row r="5859" spans="2:12">
      <c r="B5859" s="1297"/>
      <c r="C5859" s="1297"/>
      <c r="D5859" s="1297"/>
      <c r="E5859" s="1404" t="s">
        <v>948</v>
      </c>
      <c r="F5859" s="1405"/>
      <c r="G5859" s="1405"/>
      <c r="H5859" s="1405">
        <v>7524043.879999998</v>
      </c>
      <c r="I5859" s="1405"/>
      <c r="J5859" s="1405">
        <v>7524043.879999998</v>
      </c>
    </row>
    <row r="5860" spans="2:12">
      <c r="B5860" s="1297"/>
      <c r="C5860" s="1297"/>
      <c r="D5860" s="1297"/>
      <c r="E5860" s="1297" t="s">
        <v>956</v>
      </c>
      <c r="H5860" s="1399">
        <v>-100919.54</v>
      </c>
      <c r="J5860" s="1399">
        <v>-100919.54</v>
      </c>
    </row>
    <row r="5861" spans="2:12">
      <c r="B5861" s="1297"/>
      <c r="C5861" s="1297"/>
      <c r="D5861" s="1297"/>
      <c r="E5861" s="1297" t="s">
        <v>1118</v>
      </c>
      <c r="H5861" s="1399">
        <v>113116</v>
      </c>
      <c r="J5861" s="1399">
        <v>113116</v>
      </c>
    </row>
    <row r="5862" spans="2:12">
      <c r="B5862" s="1297"/>
      <c r="C5862" s="1297"/>
      <c r="D5862" s="1400" t="s">
        <v>1600</v>
      </c>
      <c r="E5862" s="1400"/>
      <c r="F5862" s="1401">
        <f>SUM(F5822:F5861)</f>
        <v>5708104.8000000007</v>
      </c>
      <c r="G5862" s="1401">
        <f>SUM(G5822:G5861)</f>
        <v>19029046.440000001</v>
      </c>
      <c r="H5862" s="1401">
        <f>SUM(H5822:H5861)-H5859</f>
        <v>2316130.0200000005</v>
      </c>
      <c r="I5862" s="1401">
        <f>SUM(I5822:I5861)</f>
        <v>20203504.550000001</v>
      </c>
      <c r="J5862" s="1401">
        <f>SUM(J5822:J5861)</f>
        <v>54780829.68999999</v>
      </c>
      <c r="K5862" s="1401">
        <f>SUM(F5862:I5862)</f>
        <v>47256785.810000002</v>
      </c>
      <c r="L5862" s="1408">
        <f>K5862/C5822</f>
        <v>12649.032604389722</v>
      </c>
    </row>
    <row r="5863" spans="2:12">
      <c r="B5863" s="1297" t="s">
        <v>1601</v>
      </c>
      <c r="C5863" s="1297">
        <v>13047</v>
      </c>
      <c r="D5863" s="1297" t="s">
        <v>1602</v>
      </c>
      <c r="E5863" s="1297" t="s">
        <v>906</v>
      </c>
      <c r="G5863" s="1399">
        <v>24205561.050000001</v>
      </c>
      <c r="J5863" s="1399">
        <v>24205561.050000001</v>
      </c>
    </row>
    <row r="5864" spans="2:12">
      <c r="B5864" s="1297"/>
      <c r="C5864" s="1297"/>
      <c r="D5864" s="1297"/>
      <c r="E5864" s="1297" t="s">
        <v>952</v>
      </c>
      <c r="G5864" s="1399">
        <v>341490.76</v>
      </c>
      <c r="J5864" s="1399">
        <v>341490.76</v>
      </c>
    </row>
    <row r="5865" spans="2:12">
      <c r="B5865" s="1297"/>
      <c r="C5865" s="1297"/>
      <c r="D5865" s="1297"/>
      <c r="E5865" s="1297" t="s">
        <v>907</v>
      </c>
      <c r="G5865" s="1399">
        <v>12520569.23</v>
      </c>
      <c r="J5865" s="1399">
        <v>12520569.23</v>
      </c>
    </row>
    <row r="5866" spans="2:12">
      <c r="B5866" s="1297"/>
      <c r="C5866" s="1297"/>
      <c r="D5866" s="1297"/>
      <c r="E5866" s="1297" t="s">
        <v>908</v>
      </c>
      <c r="G5866" s="1399">
        <v>909609.8</v>
      </c>
      <c r="J5866" s="1399">
        <v>909609.8</v>
      </c>
    </row>
    <row r="5867" spans="2:12">
      <c r="B5867" s="1297"/>
      <c r="C5867" s="1297"/>
      <c r="D5867" s="1297"/>
      <c r="E5867" s="1297" t="s">
        <v>909</v>
      </c>
      <c r="H5867" s="1399">
        <v>92084.500000000015</v>
      </c>
      <c r="J5867" s="1399">
        <v>92084.500000000015</v>
      </c>
    </row>
    <row r="5868" spans="2:12">
      <c r="B5868" s="1297"/>
      <c r="C5868" s="1297"/>
      <c r="D5868" s="1297"/>
      <c r="E5868" s="1297" t="s">
        <v>910</v>
      </c>
      <c r="H5868" s="1399">
        <v>951560.15</v>
      </c>
      <c r="J5868" s="1399">
        <v>951560.15</v>
      </c>
    </row>
    <row r="5869" spans="2:12">
      <c r="B5869" s="1297"/>
      <c r="C5869" s="1297"/>
      <c r="D5869" s="1297"/>
      <c r="E5869" s="1297" t="s">
        <v>1034</v>
      </c>
      <c r="H5869" s="1399">
        <v>227124.18999999997</v>
      </c>
      <c r="J5869" s="1399">
        <v>227124.18999999997</v>
      </c>
    </row>
    <row r="5870" spans="2:12">
      <c r="B5870" s="1297"/>
      <c r="C5870" s="1297"/>
      <c r="D5870" s="1297"/>
      <c r="E5870" s="1297" t="s">
        <v>1035</v>
      </c>
      <c r="H5870" s="1399">
        <v>1060655.56</v>
      </c>
      <c r="J5870" s="1399">
        <v>1060655.56</v>
      </c>
    </row>
    <row r="5871" spans="2:12">
      <c r="B5871" s="1297"/>
      <c r="C5871" s="1297"/>
      <c r="D5871" s="1297"/>
      <c r="E5871" s="1297" t="s">
        <v>1036</v>
      </c>
      <c r="H5871" s="1399">
        <v>250772.81</v>
      </c>
      <c r="J5871" s="1399">
        <v>250772.81</v>
      </c>
    </row>
    <row r="5872" spans="2:12">
      <c r="B5872" s="1297"/>
      <c r="C5872" s="1297"/>
      <c r="D5872" s="1297"/>
      <c r="E5872" s="1297" t="s">
        <v>1037</v>
      </c>
      <c r="H5872" s="1399">
        <v>16109</v>
      </c>
      <c r="J5872" s="1399">
        <v>16109</v>
      </c>
    </row>
    <row r="5873" spans="5:10" s="1297" customFormat="1">
      <c r="E5873" s="1297" t="s">
        <v>1038</v>
      </c>
      <c r="F5873" s="1399"/>
      <c r="G5873" s="1399"/>
      <c r="H5873" s="1399">
        <v>9430</v>
      </c>
      <c r="I5873" s="1399"/>
      <c r="J5873" s="1399">
        <v>9430</v>
      </c>
    </row>
    <row r="5874" spans="5:10" s="1297" customFormat="1">
      <c r="E5874" s="1297" t="s">
        <v>1039</v>
      </c>
      <c r="F5874" s="1399"/>
      <c r="G5874" s="1399"/>
      <c r="H5874" s="1399">
        <v>288771.52</v>
      </c>
      <c r="I5874" s="1399"/>
      <c r="J5874" s="1399">
        <v>288771.52</v>
      </c>
    </row>
    <row r="5875" spans="5:10" s="1297" customFormat="1">
      <c r="E5875" s="1297" t="s">
        <v>1040</v>
      </c>
      <c r="F5875" s="1399"/>
      <c r="G5875" s="1399"/>
      <c r="H5875" s="1399">
        <v>1148635.25</v>
      </c>
      <c r="I5875" s="1399"/>
      <c r="J5875" s="1399">
        <v>1148635.25</v>
      </c>
    </row>
    <row r="5876" spans="5:10" s="1297" customFormat="1">
      <c r="E5876" s="1297" t="s">
        <v>1041</v>
      </c>
      <c r="F5876" s="1399"/>
      <c r="G5876" s="1399"/>
      <c r="H5876" s="1399">
        <v>46147.490000000013</v>
      </c>
      <c r="I5876" s="1399"/>
      <c r="J5876" s="1399">
        <v>46147.490000000013</v>
      </c>
    </row>
    <row r="5877" spans="5:10" s="1297" customFormat="1">
      <c r="E5877" s="1297" t="s">
        <v>1042</v>
      </c>
      <c r="F5877" s="1399"/>
      <c r="G5877" s="1399"/>
      <c r="H5877" s="1399">
        <v>217574.63</v>
      </c>
      <c r="I5877" s="1399"/>
      <c r="J5877" s="1399">
        <v>217574.63</v>
      </c>
    </row>
    <row r="5878" spans="5:10" s="1297" customFormat="1">
      <c r="E5878" s="1297" t="s">
        <v>953</v>
      </c>
      <c r="F5878" s="1399"/>
      <c r="G5878" s="1399"/>
      <c r="H5878" s="1399">
        <v>13920.15</v>
      </c>
      <c r="I5878" s="1399"/>
      <c r="J5878" s="1399">
        <v>13920.15</v>
      </c>
    </row>
    <row r="5879" spans="5:10" s="1297" customFormat="1">
      <c r="E5879" s="1297" t="s">
        <v>1043</v>
      </c>
      <c r="F5879" s="1399"/>
      <c r="G5879" s="1399"/>
      <c r="H5879" s="1399">
        <v>20562.650000000001</v>
      </c>
      <c r="I5879" s="1399"/>
      <c r="J5879" s="1399">
        <v>20562.650000000001</v>
      </c>
    </row>
    <row r="5880" spans="5:10" s="1297" customFormat="1">
      <c r="E5880" s="1297" t="s">
        <v>1044</v>
      </c>
      <c r="F5880" s="1399">
        <v>189162</v>
      </c>
      <c r="G5880" s="1399"/>
      <c r="H5880" s="1399"/>
      <c r="I5880" s="1399"/>
      <c r="J5880" s="1399">
        <v>189162</v>
      </c>
    </row>
    <row r="5881" spans="5:10" s="1297" customFormat="1">
      <c r="E5881" s="1297" t="s">
        <v>1045</v>
      </c>
      <c r="F5881" s="1399"/>
      <c r="G5881" s="1399"/>
      <c r="H5881" s="1399">
        <v>2221765.8500000006</v>
      </c>
      <c r="I5881" s="1399"/>
      <c r="J5881" s="1399">
        <v>2221765.8500000006</v>
      </c>
    </row>
    <row r="5882" spans="5:10" s="1297" customFormat="1">
      <c r="E5882" s="1297" t="s">
        <v>1046</v>
      </c>
      <c r="F5882" s="1399"/>
      <c r="G5882" s="1399"/>
      <c r="H5882" s="1399"/>
      <c r="I5882" s="1399">
        <v>70001591</v>
      </c>
      <c r="J5882" s="1399">
        <v>70001591</v>
      </c>
    </row>
    <row r="5883" spans="5:10" s="1297" customFormat="1">
      <c r="E5883" s="1297" t="s">
        <v>1128</v>
      </c>
      <c r="F5883" s="1399"/>
      <c r="G5883" s="1399"/>
      <c r="H5883" s="1399"/>
      <c r="I5883" s="1399">
        <v>5714565</v>
      </c>
      <c r="J5883" s="1399">
        <v>5714565</v>
      </c>
    </row>
    <row r="5884" spans="5:10" s="1297" customFormat="1">
      <c r="E5884" s="1297" t="s">
        <v>1129</v>
      </c>
      <c r="F5884" s="1399"/>
      <c r="G5884" s="1399"/>
      <c r="H5884" s="1399"/>
      <c r="I5884" s="1399">
        <v>-10094973</v>
      </c>
      <c r="J5884" s="1399">
        <v>-10094973</v>
      </c>
    </row>
    <row r="5885" spans="5:10" s="1297" customFormat="1">
      <c r="E5885" s="1297" t="s">
        <v>1047</v>
      </c>
      <c r="F5885" s="1399"/>
      <c r="G5885" s="1399"/>
      <c r="H5885" s="1399"/>
      <c r="I5885" s="1399">
        <v>1447908</v>
      </c>
      <c r="J5885" s="1399">
        <v>1447908</v>
      </c>
    </row>
    <row r="5886" spans="5:10" s="1297" customFormat="1">
      <c r="E5886" s="1297" t="s">
        <v>1048</v>
      </c>
      <c r="F5886" s="1399"/>
      <c r="G5886" s="1399"/>
      <c r="H5886" s="1399"/>
      <c r="I5886" s="1399">
        <v>-8693582</v>
      </c>
      <c r="J5886" s="1399">
        <v>-8693582</v>
      </c>
    </row>
    <row r="5887" spans="5:10" s="1297" customFormat="1">
      <c r="E5887" s="1297" t="s">
        <v>932</v>
      </c>
      <c r="F5887" s="1399"/>
      <c r="G5887" s="1399"/>
      <c r="H5887" s="1399"/>
      <c r="I5887" s="1399">
        <v>7440441</v>
      </c>
      <c r="J5887" s="1399">
        <v>7440441</v>
      </c>
    </row>
    <row r="5888" spans="5:10" s="1297" customFormat="1">
      <c r="E5888" s="1404" t="s">
        <v>955</v>
      </c>
      <c r="F5888" s="1405"/>
      <c r="G5888" s="1405"/>
      <c r="H5888" s="1405"/>
      <c r="I5888" s="1405">
        <v>1051586</v>
      </c>
      <c r="J5888" s="1405">
        <v>1051586</v>
      </c>
    </row>
    <row r="5889" spans="2:12">
      <c r="B5889" s="1297"/>
      <c r="C5889" s="1297"/>
      <c r="D5889" s="1297"/>
      <c r="E5889" s="1297" t="s">
        <v>934</v>
      </c>
      <c r="I5889" s="1399">
        <v>223730</v>
      </c>
      <c r="J5889" s="1399">
        <v>223730</v>
      </c>
    </row>
    <row r="5890" spans="2:12">
      <c r="B5890" s="1297"/>
      <c r="C5890" s="1297"/>
      <c r="D5890" s="1297"/>
      <c r="E5890" s="1297" t="s">
        <v>1130</v>
      </c>
      <c r="I5890" s="1399">
        <v>-883669.67</v>
      </c>
      <c r="J5890" s="1399">
        <v>-883669.67</v>
      </c>
    </row>
    <row r="5891" spans="2:12">
      <c r="B5891" s="1297"/>
      <c r="C5891" s="1297"/>
      <c r="D5891" s="1297"/>
      <c r="E5891" s="1297" t="s">
        <v>935</v>
      </c>
      <c r="I5891" s="1399">
        <v>914084.66999999993</v>
      </c>
      <c r="J5891" s="1399">
        <v>914084.66999999993</v>
      </c>
    </row>
    <row r="5892" spans="2:12">
      <c r="B5892" s="1297"/>
      <c r="C5892" s="1297"/>
      <c r="D5892" s="1297"/>
      <c r="E5892" s="1297" t="s">
        <v>1131</v>
      </c>
      <c r="F5892" s="1399">
        <v>9436.08</v>
      </c>
      <c r="J5892" s="1399">
        <v>9436.08</v>
      </c>
    </row>
    <row r="5893" spans="2:12">
      <c r="B5893" s="1297"/>
      <c r="C5893" s="1297"/>
      <c r="D5893" s="1297"/>
      <c r="E5893" s="1297" t="s">
        <v>940</v>
      </c>
      <c r="F5893" s="1399">
        <v>4249573.5599999996</v>
      </c>
      <c r="J5893" s="1399">
        <v>4249573.5599999996</v>
      </c>
    </row>
    <row r="5894" spans="2:12">
      <c r="B5894" s="1297"/>
      <c r="C5894" s="1297"/>
      <c r="D5894" s="1297"/>
      <c r="E5894" s="1297" t="s">
        <v>941</v>
      </c>
      <c r="F5894" s="1399">
        <v>1567550.8600000003</v>
      </c>
      <c r="J5894" s="1399">
        <v>1567550.8600000003</v>
      </c>
    </row>
    <row r="5895" spans="2:12">
      <c r="B5895" s="1297"/>
      <c r="C5895" s="1297"/>
      <c r="D5895" s="1297"/>
      <c r="E5895" s="1297" t="s">
        <v>943</v>
      </c>
      <c r="F5895" s="1399">
        <v>67768.460000000006</v>
      </c>
      <c r="J5895" s="1399">
        <v>67768.460000000006</v>
      </c>
    </row>
    <row r="5896" spans="2:12">
      <c r="B5896" s="1297"/>
      <c r="C5896" s="1297"/>
      <c r="D5896" s="1297"/>
      <c r="E5896" s="1297" t="s">
        <v>944</v>
      </c>
      <c r="F5896" s="1399">
        <v>5901565.8399999999</v>
      </c>
      <c r="J5896" s="1399">
        <v>5901565.8399999999</v>
      </c>
    </row>
    <row r="5897" spans="2:12">
      <c r="B5897" s="1297"/>
      <c r="C5897" s="1297"/>
      <c r="D5897" s="1297"/>
      <c r="E5897" s="1297" t="s">
        <v>945</v>
      </c>
      <c r="F5897" s="1399">
        <v>3861901</v>
      </c>
      <c r="J5897" s="1399">
        <v>3861901</v>
      </c>
    </row>
    <row r="5898" spans="2:12">
      <c r="B5898" s="1297"/>
      <c r="C5898" s="1297"/>
      <c r="D5898" s="1297"/>
      <c r="E5898" s="1297" t="s">
        <v>946</v>
      </c>
      <c r="F5898" s="1399">
        <v>159597.45000000001</v>
      </c>
      <c r="J5898" s="1399">
        <v>159597.45000000001</v>
      </c>
    </row>
    <row r="5899" spans="2:12">
      <c r="B5899" s="1297"/>
      <c r="C5899" s="1297"/>
      <c r="D5899" s="1297"/>
      <c r="E5899" s="1297" t="s">
        <v>947</v>
      </c>
      <c r="F5899" s="1399">
        <v>392106.05</v>
      </c>
      <c r="J5899" s="1399">
        <v>392106.05</v>
      </c>
    </row>
    <row r="5900" spans="2:12">
      <c r="B5900" s="1297"/>
      <c r="C5900" s="1297"/>
      <c r="D5900" s="1297"/>
      <c r="E5900" s="1404" t="s">
        <v>948</v>
      </c>
      <c r="F5900" s="1405"/>
      <c r="G5900" s="1405"/>
      <c r="H5900" s="1405">
        <v>14416613.370000001</v>
      </c>
      <c r="I5900" s="1405"/>
      <c r="J5900" s="1405">
        <v>14416613.370000001</v>
      </c>
    </row>
    <row r="5901" spans="2:12">
      <c r="B5901" s="1297"/>
      <c r="C5901" s="1297"/>
      <c r="D5901" s="1400" t="s">
        <v>1603</v>
      </c>
      <c r="E5901" s="1400"/>
      <c r="F5901" s="1401">
        <f>SUM(F5863:F5900)</f>
        <v>16398661.300000001</v>
      </c>
      <c r="G5901" s="1401">
        <f>SUM(G5863:G5900)</f>
        <v>37977230.840000004</v>
      </c>
      <c r="H5901" s="1401">
        <f>SUM(H5863:H5900)-H5900</f>
        <v>6565113.7500000037</v>
      </c>
      <c r="I5901" s="1401">
        <f>SUM(I5863:I5900)-I5888</f>
        <v>66070095</v>
      </c>
      <c r="J5901" s="1401">
        <f>SUM(J5863:J5900)</f>
        <v>142479300.25999999</v>
      </c>
      <c r="K5901" s="1401">
        <f>SUM(F5901:I5901)</f>
        <v>127011100.89</v>
      </c>
      <c r="L5901" s="1408">
        <f>K5901/C5863</f>
        <v>9734.8893147850085</v>
      </c>
    </row>
    <row r="5902" spans="2:12">
      <c r="B5902" s="1297" t="s">
        <v>1604</v>
      </c>
      <c r="C5902" s="1297">
        <v>1264</v>
      </c>
      <c r="D5902" s="1297" t="s">
        <v>1605</v>
      </c>
      <c r="E5902" s="1297" t="s">
        <v>906</v>
      </c>
      <c r="G5902" s="1399">
        <v>2093864.65</v>
      </c>
      <c r="J5902" s="1399">
        <v>2093864.65</v>
      </c>
    </row>
    <row r="5903" spans="2:12">
      <c r="B5903" s="1297"/>
      <c r="C5903" s="1297"/>
      <c r="D5903" s="1297"/>
      <c r="E5903" s="1297" t="s">
        <v>952</v>
      </c>
      <c r="G5903" s="1399">
        <v>4319.26</v>
      </c>
      <c r="J5903" s="1399">
        <v>4319.26</v>
      </c>
    </row>
    <row r="5904" spans="2:12">
      <c r="B5904" s="1297"/>
      <c r="C5904" s="1297"/>
      <c r="D5904" s="1297"/>
      <c r="E5904" s="1297" t="s">
        <v>907</v>
      </c>
      <c r="G5904" s="1399">
        <v>455396.58</v>
      </c>
      <c r="J5904" s="1399">
        <v>455396.58</v>
      </c>
    </row>
    <row r="5905" spans="5:10" s="1297" customFormat="1">
      <c r="E5905" s="1297" t="s">
        <v>908</v>
      </c>
      <c r="F5905" s="1399"/>
      <c r="G5905" s="1399">
        <v>14408.31</v>
      </c>
      <c r="H5905" s="1399"/>
      <c r="I5905" s="1399"/>
      <c r="J5905" s="1399">
        <v>14408.31</v>
      </c>
    </row>
    <row r="5906" spans="5:10" s="1297" customFormat="1">
      <c r="E5906" s="1297" t="s">
        <v>910</v>
      </c>
      <c r="F5906" s="1399"/>
      <c r="G5906" s="1399"/>
      <c r="H5906" s="1399">
        <v>59696.03</v>
      </c>
      <c r="I5906" s="1399"/>
      <c r="J5906" s="1399">
        <v>59696.03</v>
      </c>
    </row>
    <row r="5907" spans="5:10" s="1297" customFormat="1">
      <c r="E5907" s="1297" t="s">
        <v>1034</v>
      </c>
      <c r="F5907" s="1399"/>
      <c r="G5907" s="1399"/>
      <c r="H5907" s="1399">
        <v>700</v>
      </c>
      <c r="I5907" s="1399"/>
      <c r="J5907" s="1399">
        <v>700</v>
      </c>
    </row>
    <row r="5908" spans="5:10" s="1297" customFormat="1">
      <c r="E5908" s="1297" t="s">
        <v>1039</v>
      </c>
      <c r="F5908" s="1399"/>
      <c r="G5908" s="1399"/>
      <c r="H5908" s="1399">
        <v>13360.980000000001</v>
      </c>
      <c r="I5908" s="1399"/>
      <c r="J5908" s="1399">
        <v>13360.980000000001</v>
      </c>
    </row>
    <row r="5909" spans="5:10" s="1297" customFormat="1">
      <c r="E5909" s="1297" t="s">
        <v>1040</v>
      </c>
      <c r="F5909" s="1399"/>
      <c r="G5909" s="1399"/>
      <c r="H5909" s="1399">
        <v>42783.360000000001</v>
      </c>
      <c r="I5909" s="1399"/>
      <c r="J5909" s="1399">
        <v>42783.360000000001</v>
      </c>
    </row>
    <row r="5910" spans="5:10" s="1297" customFormat="1">
      <c r="E5910" s="1297" t="s">
        <v>1127</v>
      </c>
      <c r="F5910" s="1399"/>
      <c r="G5910" s="1399"/>
      <c r="H5910" s="1399">
        <v>7409.56</v>
      </c>
      <c r="I5910" s="1399"/>
      <c r="J5910" s="1399">
        <v>7409.56</v>
      </c>
    </row>
    <row r="5911" spans="5:10" s="1297" customFormat="1">
      <c r="E5911" s="1297" t="s">
        <v>1041</v>
      </c>
      <c r="F5911" s="1399"/>
      <c r="G5911" s="1399"/>
      <c r="H5911" s="1399">
        <v>91.5</v>
      </c>
      <c r="I5911" s="1399"/>
      <c r="J5911" s="1399">
        <v>91.5</v>
      </c>
    </row>
    <row r="5912" spans="5:10" s="1297" customFormat="1">
      <c r="E5912" s="1297" t="s">
        <v>1042</v>
      </c>
      <c r="F5912" s="1399"/>
      <c r="G5912" s="1399"/>
      <c r="H5912" s="1399">
        <v>11203.03</v>
      </c>
      <c r="I5912" s="1399"/>
      <c r="J5912" s="1399">
        <v>11203.03</v>
      </c>
    </row>
    <row r="5913" spans="5:10" s="1297" customFormat="1">
      <c r="E5913" s="1297" t="s">
        <v>986</v>
      </c>
      <c r="F5913" s="1399"/>
      <c r="G5913" s="1399"/>
      <c r="H5913" s="1399">
        <v>365404.74</v>
      </c>
      <c r="I5913" s="1399"/>
      <c r="J5913" s="1399">
        <v>365404.74</v>
      </c>
    </row>
    <row r="5914" spans="5:10" s="1297" customFormat="1">
      <c r="E5914" s="1297" t="s">
        <v>1045</v>
      </c>
      <c r="F5914" s="1399"/>
      <c r="G5914" s="1399"/>
      <c r="H5914" s="1399">
        <v>158245.06999999998</v>
      </c>
      <c r="I5914" s="1399"/>
      <c r="J5914" s="1399">
        <v>158245.06999999998</v>
      </c>
    </row>
    <row r="5915" spans="5:10" s="1297" customFormat="1">
      <c r="E5915" s="1297" t="s">
        <v>1046</v>
      </c>
      <c r="F5915" s="1399"/>
      <c r="G5915" s="1399"/>
      <c r="H5915" s="1399"/>
      <c r="I5915" s="1399">
        <v>6356886.9999999981</v>
      </c>
      <c r="J5915" s="1399">
        <v>6356886.9999999981</v>
      </c>
    </row>
    <row r="5916" spans="5:10" s="1297" customFormat="1">
      <c r="E5916" s="1297" t="s">
        <v>1047</v>
      </c>
      <c r="F5916" s="1399"/>
      <c r="G5916" s="1399"/>
      <c r="H5916" s="1399"/>
      <c r="I5916" s="1399">
        <v>386616.99999999994</v>
      </c>
      <c r="J5916" s="1399">
        <v>386616.99999999994</v>
      </c>
    </row>
    <row r="5917" spans="5:10" s="1297" customFormat="1">
      <c r="E5917" s="1297" t="s">
        <v>1048</v>
      </c>
      <c r="F5917" s="1399"/>
      <c r="G5917" s="1399"/>
      <c r="H5917" s="1399"/>
      <c r="I5917" s="1399">
        <v>-638132</v>
      </c>
      <c r="J5917" s="1399">
        <v>-638132</v>
      </c>
    </row>
    <row r="5918" spans="5:10" s="1297" customFormat="1">
      <c r="E5918" s="359" t="s">
        <v>932</v>
      </c>
      <c r="F5918" s="1411"/>
      <c r="G5918" s="1411"/>
      <c r="H5918" s="1411"/>
      <c r="I5918" s="1411">
        <v>885209</v>
      </c>
      <c r="J5918" s="1399">
        <v>885209</v>
      </c>
    </row>
    <row r="5919" spans="5:10" s="1297" customFormat="1">
      <c r="E5919" s="1404" t="s">
        <v>955</v>
      </c>
      <c r="F5919" s="1405"/>
      <c r="G5919" s="1405"/>
      <c r="H5919" s="1405"/>
      <c r="I5919" s="1405">
        <v>392332.7</v>
      </c>
      <c r="J5919" s="1405">
        <v>392332.7</v>
      </c>
    </row>
    <row r="5920" spans="5:10" s="1297" customFormat="1">
      <c r="E5920" s="1297" t="s">
        <v>934</v>
      </c>
      <c r="F5920" s="1399"/>
      <c r="G5920" s="1399"/>
      <c r="H5920" s="1399"/>
      <c r="I5920" s="1399">
        <v>20281.95</v>
      </c>
      <c r="J5920" s="1399">
        <v>20281.95</v>
      </c>
    </row>
    <row r="5921" spans="2:12">
      <c r="B5921" s="1297"/>
      <c r="C5921" s="1297"/>
      <c r="D5921" s="1297"/>
      <c r="E5921" s="1297" t="s">
        <v>1130</v>
      </c>
      <c r="I5921" s="1399">
        <v>-103953</v>
      </c>
      <c r="J5921" s="1399">
        <v>-103953</v>
      </c>
    </row>
    <row r="5922" spans="2:12">
      <c r="B5922" s="1297"/>
      <c r="C5922" s="1297"/>
      <c r="D5922" s="1297"/>
      <c r="E5922" s="1297" t="s">
        <v>935</v>
      </c>
      <c r="I5922" s="1399">
        <v>208504</v>
      </c>
      <c r="J5922" s="1399">
        <v>208504</v>
      </c>
    </row>
    <row r="5923" spans="2:12">
      <c r="B5923" s="1297"/>
      <c r="C5923" s="1297"/>
      <c r="D5923" s="1297"/>
      <c r="E5923" s="1297" t="s">
        <v>936</v>
      </c>
      <c r="I5923" s="1399">
        <v>21709.33</v>
      </c>
      <c r="J5923" s="1399">
        <v>21709.33</v>
      </c>
    </row>
    <row r="5924" spans="2:12">
      <c r="B5924" s="1297"/>
      <c r="C5924" s="1297"/>
      <c r="D5924" s="1297"/>
      <c r="E5924" s="1297" t="s">
        <v>938</v>
      </c>
      <c r="I5924" s="1399">
        <v>7486</v>
      </c>
      <c r="J5924" s="1399">
        <v>7486</v>
      </c>
    </row>
    <row r="5925" spans="2:12">
      <c r="B5925" s="1297"/>
      <c r="C5925" s="1297"/>
      <c r="D5925" s="1297"/>
      <c r="E5925" s="1297" t="s">
        <v>939</v>
      </c>
      <c r="I5925" s="1399">
        <v>42250</v>
      </c>
      <c r="J5925" s="1399">
        <v>42250</v>
      </c>
    </row>
    <row r="5926" spans="2:12">
      <c r="B5926" s="1297"/>
      <c r="C5926" s="1297"/>
      <c r="D5926" s="1297"/>
      <c r="E5926" s="1297" t="s">
        <v>1131</v>
      </c>
      <c r="F5926" s="1399">
        <v>28407.71</v>
      </c>
      <c r="J5926" s="1399">
        <v>28407.71</v>
      </c>
    </row>
    <row r="5927" spans="2:12">
      <c r="B5927" s="1297"/>
      <c r="C5927" s="1297"/>
      <c r="D5927" s="1297"/>
      <c r="E5927" s="1297" t="s">
        <v>940</v>
      </c>
      <c r="F5927" s="1399">
        <v>339211.59</v>
      </c>
      <c r="J5927" s="1399">
        <v>339211.59</v>
      </c>
    </row>
    <row r="5928" spans="2:12">
      <c r="B5928" s="1297"/>
      <c r="C5928" s="1297"/>
      <c r="D5928" s="1297"/>
      <c r="E5928" s="1297" t="s">
        <v>941</v>
      </c>
      <c r="F5928" s="1399">
        <v>147055.04000000001</v>
      </c>
      <c r="J5928" s="1399">
        <v>147055.04000000001</v>
      </c>
    </row>
    <row r="5929" spans="2:12">
      <c r="B5929" s="1297"/>
      <c r="C5929" s="1297"/>
      <c r="D5929" s="1297"/>
      <c r="E5929" s="1297" t="s">
        <v>943</v>
      </c>
      <c r="F5929" s="1399">
        <v>6995.96</v>
      </c>
      <c r="J5929" s="1399">
        <v>6995.96</v>
      </c>
    </row>
    <row r="5930" spans="2:12">
      <c r="B5930" s="1297"/>
      <c r="C5930" s="1297"/>
      <c r="D5930" s="1297"/>
      <c r="E5930" s="1297" t="s">
        <v>944</v>
      </c>
      <c r="F5930" s="1399">
        <v>1013766.43</v>
      </c>
      <c r="J5930" s="1399">
        <v>1013766.43</v>
      </c>
    </row>
    <row r="5931" spans="2:12">
      <c r="B5931" s="1297"/>
      <c r="C5931" s="1297"/>
      <c r="D5931" s="1297"/>
      <c r="E5931" s="1297" t="s">
        <v>945</v>
      </c>
      <c r="F5931" s="1399">
        <v>617225.31000000006</v>
      </c>
      <c r="J5931" s="1399">
        <v>617225.31000000006</v>
      </c>
    </row>
    <row r="5932" spans="2:12">
      <c r="B5932" s="1297"/>
      <c r="C5932" s="1297"/>
      <c r="D5932" s="1297"/>
      <c r="E5932" s="1297" t="s">
        <v>947</v>
      </c>
      <c r="F5932" s="1399">
        <v>8348.35</v>
      </c>
      <c r="J5932" s="1399">
        <v>8348.35</v>
      </c>
    </row>
    <row r="5933" spans="2:12">
      <c r="B5933" s="1297"/>
      <c r="C5933" s="1297"/>
      <c r="D5933" s="1297"/>
      <c r="E5933" s="1404" t="s">
        <v>948</v>
      </c>
      <c r="F5933" s="1405"/>
      <c r="G5933" s="1405"/>
      <c r="H5933" s="1405">
        <v>5336.75</v>
      </c>
      <c r="I5933" s="1405"/>
      <c r="J5933" s="1405">
        <v>5336.75</v>
      </c>
    </row>
    <row r="5934" spans="2:12">
      <c r="B5934" s="1297"/>
      <c r="C5934" s="1297"/>
      <c r="D5934" s="1297"/>
      <c r="E5934" s="1297" t="s">
        <v>1118</v>
      </c>
      <c r="H5934" s="1399">
        <v>-516.23</v>
      </c>
      <c r="J5934" s="1399">
        <v>-516.23</v>
      </c>
    </row>
    <row r="5935" spans="2:12">
      <c r="B5935" s="1297"/>
      <c r="C5935" s="1297"/>
      <c r="D5935" s="1400" t="s">
        <v>1606</v>
      </c>
      <c r="E5935" s="1400"/>
      <c r="F5935" s="1401">
        <f>SUM(F5902:F5934)</f>
        <v>2161010.39</v>
      </c>
      <c r="G5935" s="1401">
        <f>SUM(G5902:G5934)</f>
        <v>2567988.7999999998</v>
      </c>
      <c r="H5935" s="1401">
        <f>SUM(H5902:H5934)-H5933</f>
        <v>658378.03999999992</v>
      </c>
      <c r="I5935" s="1401">
        <f>SUM(I5902:I5934)-I5919</f>
        <v>7186859.2799999984</v>
      </c>
      <c r="J5935" s="1401">
        <f>SUM(J5902:J5934)</f>
        <v>12971905.959999995</v>
      </c>
      <c r="K5935" s="1401">
        <f>SUM(F5935:I5935)</f>
        <v>12574236.509999998</v>
      </c>
      <c r="L5935" s="1408">
        <f>K5935/C5902</f>
        <v>9947.9719224683522</v>
      </c>
    </row>
    <row r="5936" spans="2:12">
      <c r="B5936" s="1297" t="s">
        <v>1607</v>
      </c>
      <c r="C5936" s="1297">
        <v>1574</v>
      </c>
      <c r="D5936" s="1297" t="s">
        <v>1608</v>
      </c>
      <c r="E5936" s="1297" t="s">
        <v>906</v>
      </c>
      <c r="G5936" s="1399">
        <v>6438230.0899999999</v>
      </c>
      <c r="J5936" s="1399">
        <v>6438230.0899999999</v>
      </c>
    </row>
    <row r="5937" spans="5:10" s="1297" customFormat="1">
      <c r="E5937" s="1297" t="s">
        <v>952</v>
      </c>
      <c r="F5937" s="1399"/>
      <c r="G5937" s="1399">
        <v>43616.2</v>
      </c>
      <c r="H5937" s="1399"/>
      <c r="I5937" s="1399"/>
      <c r="J5937" s="1399">
        <v>43616.2</v>
      </c>
    </row>
    <row r="5938" spans="5:10" s="1297" customFormat="1">
      <c r="E5938" s="1297" t="s">
        <v>907</v>
      </c>
      <c r="F5938" s="1399"/>
      <c r="G5938" s="1399">
        <v>1544533.4</v>
      </c>
      <c r="H5938" s="1399"/>
      <c r="I5938" s="1399"/>
      <c r="J5938" s="1399">
        <v>1544533.4</v>
      </c>
    </row>
    <row r="5939" spans="5:10" s="1297" customFormat="1">
      <c r="E5939" s="1297" t="s">
        <v>908</v>
      </c>
      <c r="F5939" s="1399"/>
      <c r="G5939" s="1399">
        <v>4766.87</v>
      </c>
      <c r="H5939" s="1399"/>
      <c r="I5939" s="1399"/>
      <c r="J5939" s="1399">
        <v>4766.87</v>
      </c>
    </row>
    <row r="5940" spans="5:10" s="1297" customFormat="1">
      <c r="E5940" s="1297" t="s">
        <v>1035</v>
      </c>
      <c r="F5940" s="1399"/>
      <c r="G5940" s="1399"/>
      <c r="H5940" s="1399">
        <v>83709.740000000005</v>
      </c>
      <c r="I5940" s="1399"/>
      <c r="J5940" s="1399">
        <v>83709.740000000005</v>
      </c>
    </row>
    <row r="5941" spans="5:10" s="1297" customFormat="1">
      <c r="E5941" s="1297" t="s">
        <v>1036</v>
      </c>
      <c r="F5941" s="1399"/>
      <c r="G5941" s="1399"/>
      <c r="H5941" s="1399">
        <v>167118.1</v>
      </c>
      <c r="I5941" s="1399"/>
      <c r="J5941" s="1399">
        <v>167118.1</v>
      </c>
    </row>
    <row r="5942" spans="5:10" s="1297" customFormat="1">
      <c r="E5942" s="1297" t="s">
        <v>1039</v>
      </c>
      <c r="F5942" s="1399"/>
      <c r="G5942" s="1399"/>
      <c r="H5942" s="1399">
        <v>11361.009999999998</v>
      </c>
      <c r="I5942" s="1399"/>
      <c r="J5942" s="1399">
        <v>11361.009999999998</v>
      </c>
    </row>
    <row r="5943" spans="5:10" s="1297" customFormat="1">
      <c r="E5943" s="1297" t="s">
        <v>1040</v>
      </c>
      <c r="F5943" s="1399"/>
      <c r="G5943" s="1399"/>
      <c r="H5943" s="1399">
        <v>103919.11</v>
      </c>
      <c r="I5943" s="1399"/>
      <c r="J5943" s="1399">
        <v>103919.11</v>
      </c>
    </row>
    <row r="5944" spans="5:10" s="1297" customFormat="1">
      <c r="E5944" s="1297" t="s">
        <v>1041</v>
      </c>
      <c r="F5944" s="1399"/>
      <c r="G5944" s="1399"/>
      <c r="H5944" s="1399">
        <v>20373.73</v>
      </c>
      <c r="I5944" s="1399"/>
      <c r="J5944" s="1399">
        <v>20373.73</v>
      </c>
    </row>
    <row r="5945" spans="5:10" s="1297" customFormat="1">
      <c r="E5945" s="1297" t="s">
        <v>1042</v>
      </c>
      <c r="F5945" s="1399"/>
      <c r="G5945" s="1399"/>
      <c r="H5945" s="1399">
        <v>32387.88</v>
      </c>
      <c r="I5945" s="1399"/>
      <c r="J5945" s="1399">
        <v>32387.88</v>
      </c>
    </row>
    <row r="5946" spans="5:10" s="1297" customFormat="1">
      <c r="E5946" s="1297" t="s">
        <v>954</v>
      </c>
      <c r="F5946" s="1399"/>
      <c r="G5946" s="1399"/>
      <c r="H5946" s="1399">
        <v>147527.25</v>
      </c>
      <c r="I5946" s="1399"/>
      <c r="J5946" s="1399">
        <v>147527.25</v>
      </c>
    </row>
    <row r="5947" spans="5:10" s="1297" customFormat="1">
      <c r="E5947" s="1297" t="s">
        <v>1045</v>
      </c>
      <c r="F5947" s="1399"/>
      <c r="G5947" s="1399"/>
      <c r="H5947" s="1399">
        <v>125403.46000000002</v>
      </c>
      <c r="I5947" s="1399"/>
      <c r="J5947" s="1399">
        <v>125403.46000000002</v>
      </c>
    </row>
    <row r="5948" spans="5:10" s="1297" customFormat="1">
      <c r="E5948" s="1297" t="s">
        <v>1046</v>
      </c>
      <c r="F5948" s="1399"/>
      <c r="G5948" s="1399"/>
      <c r="H5948" s="1399"/>
      <c r="I5948" s="1399">
        <v>8359576</v>
      </c>
      <c r="J5948" s="1399">
        <v>8359576</v>
      </c>
    </row>
    <row r="5949" spans="5:10" s="1297" customFormat="1">
      <c r="E5949" s="1297" t="s">
        <v>1047</v>
      </c>
      <c r="F5949" s="1399"/>
      <c r="G5949" s="1399"/>
      <c r="H5949" s="1399"/>
      <c r="I5949" s="1399">
        <v>433953</v>
      </c>
      <c r="J5949" s="1399">
        <v>433953</v>
      </c>
    </row>
    <row r="5950" spans="5:10" s="1297" customFormat="1">
      <c r="E5950" s="1297" t="s">
        <v>1048</v>
      </c>
      <c r="F5950" s="1399"/>
      <c r="G5950" s="1399"/>
      <c r="H5950" s="1399"/>
      <c r="I5950" s="1399">
        <v>-1437315</v>
      </c>
      <c r="J5950" s="1399">
        <v>-1437315</v>
      </c>
    </row>
    <row r="5951" spans="5:10" s="1297" customFormat="1">
      <c r="E5951" s="1297" t="s">
        <v>932</v>
      </c>
      <c r="F5951" s="1399"/>
      <c r="G5951" s="1399"/>
      <c r="H5951" s="1399"/>
      <c r="I5951" s="1399">
        <v>288578</v>
      </c>
      <c r="J5951" s="1399">
        <v>288578</v>
      </c>
    </row>
    <row r="5952" spans="5:10" s="1297" customFormat="1">
      <c r="E5952" s="1404" t="s">
        <v>955</v>
      </c>
      <c r="F5952" s="1405"/>
      <c r="G5952" s="1405"/>
      <c r="H5952" s="1405"/>
      <c r="I5952" s="1405">
        <v>460956.82</v>
      </c>
      <c r="J5952" s="1405">
        <v>460956.82</v>
      </c>
    </row>
    <row r="5953" spans="2:12">
      <c r="B5953" s="1297"/>
      <c r="C5953" s="1297"/>
      <c r="D5953" s="1297"/>
      <c r="E5953" s="1297" t="s">
        <v>934</v>
      </c>
      <c r="I5953" s="1399">
        <v>29802</v>
      </c>
      <c r="J5953" s="1399">
        <v>29802</v>
      </c>
    </row>
    <row r="5954" spans="2:12">
      <c r="B5954" s="1297"/>
      <c r="C5954" s="1297"/>
      <c r="D5954" s="1297"/>
      <c r="E5954" s="1297" t="s">
        <v>935</v>
      </c>
      <c r="I5954" s="1399">
        <v>459289.18000000005</v>
      </c>
      <c r="J5954" s="1399">
        <v>459289.18000000005</v>
      </c>
    </row>
    <row r="5955" spans="2:12">
      <c r="B5955" s="1297"/>
      <c r="C5955" s="1297"/>
      <c r="D5955" s="1297"/>
      <c r="E5955" s="1297" t="s">
        <v>936</v>
      </c>
      <c r="I5955" s="1399">
        <v>34314.75</v>
      </c>
      <c r="J5955" s="1399">
        <v>34314.75</v>
      </c>
    </row>
    <row r="5956" spans="2:12">
      <c r="B5956" s="1297"/>
      <c r="C5956" s="1297"/>
      <c r="D5956" s="1297"/>
      <c r="E5956" s="1297" t="s">
        <v>937</v>
      </c>
      <c r="I5956" s="1399">
        <v>7708.87</v>
      </c>
      <c r="J5956" s="1399">
        <v>7708.87</v>
      </c>
    </row>
    <row r="5957" spans="2:12">
      <c r="B5957" s="1297"/>
      <c r="C5957" s="1297"/>
      <c r="D5957" s="1297"/>
      <c r="E5957" s="1297" t="s">
        <v>938</v>
      </c>
      <c r="I5957" s="1399">
        <v>12165</v>
      </c>
      <c r="J5957" s="1399">
        <v>12165</v>
      </c>
    </row>
    <row r="5958" spans="2:12">
      <c r="B5958" s="1297"/>
      <c r="C5958" s="1297"/>
      <c r="D5958" s="1297"/>
      <c r="E5958" s="1297" t="s">
        <v>939</v>
      </c>
      <c r="I5958" s="1399">
        <v>59690.75</v>
      </c>
      <c r="J5958" s="1399">
        <v>59690.75</v>
      </c>
    </row>
    <row r="5959" spans="2:12">
      <c r="B5959" s="1297"/>
      <c r="C5959" s="1297"/>
      <c r="D5959" s="1297"/>
      <c r="E5959" s="1297" t="s">
        <v>940</v>
      </c>
      <c r="F5959" s="1399">
        <v>632113.28</v>
      </c>
      <c r="J5959" s="1399">
        <v>632113.28</v>
      </c>
    </row>
    <row r="5960" spans="2:12">
      <c r="B5960" s="1297"/>
      <c r="C5960" s="1297"/>
      <c r="D5960" s="1297"/>
      <c r="E5960" s="1297" t="s">
        <v>941</v>
      </c>
      <c r="F5960" s="1399">
        <v>226666.9</v>
      </c>
      <c r="J5960" s="1399">
        <v>226666.9</v>
      </c>
    </row>
    <row r="5961" spans="2:12">
      <c r="B5961" s="1297"/>
      <c r="C5961" s="1297"/>
      <c r="D5961" s="1297"/>
      <c r="E5961" s="1297" t="s">
        <v>943</v>
      </c>
      <c r="F5961" s="1399">
        <v>14727.48</v>
      </c>
      <c r="J5961" s="1399">
        <v>14727.48</v>
      </c>
    </row>
    <row r="5962" spans="2:12">
      <c r="B5962" s="1297"/>
      <c r="C5962" s="1297"/>
      <c r="D5962" s="1297"/>
      <c r="E5962" s="1297" t="s">
        <v>944</v>
      </c>
      <c r="F5962" s="1399">
        <v>1747517.91</v>
      </c>
      <c r="J5962" s="1399">
        <v>1747517.91</v>
      </c>
    </row>
    <row r="5963" spans="2:12">
      <c r="B5963" s="1297"/>
      <c r="C5963" s="1297"/>
      <c r="D5963" s="1297"/>
      <c r="E5963" s="1297" t="s">
        <v>945</v>
      </c>
      <c r="F5963" s="1399">
        <v>696049.29</v>
      </c>
      <c r="J5963" s="1399">
        <v>696049.29</v>
      </c>
    </row>
    <row r="5964" spans="2:12">
      <c r="B5964" s="1297"/>
      <c r="C5964" s="1297"/>
      <c r="D5964" s="1297"/>
      <c r="E5964" s="1297" t="s">
        <v>947</v>
      </c>
      <c r="F5964" s="1399">
        <v>58675.37</v>
      </c>
      <c r="J5964" s="1399">
        <v>58675.37</v>
      </c>
    </row>
    <row r="5965" spans="2:12">
      <c r="B5965" s="1297"/>
      <c r="C5965" s="1297"/>
      <c r="D5965" s="1297"/>
      <c r="E5965" s="1404" t="s">
        <v>948</v>
      </c>
      <c r="F5965" s="1405"/>
      <c r="G5965" s="1405"/>
      <c r="H5965" s="1405">
        <v>1503677.63</v>
      </c>
      <c r="I5965" s="1405"/>
      <c r="J5965" s="1405">
        <v>1503677.63</v>
      </c>
    </row>
    <row r="5966" spans="2:12">
      <c r="B5966" s="1297"/>
      <c r="C5966" s="1297"/>
      <c r="D5966" s="1400" t="s">
        <v>1609</v>
      </c>
      <c r="E5966" s="1400"/>
      <c r="F5966" s="1401">
        <f>SUM(F5936:F5965)</f>
        <v>3375750.23</v>
      </c>
      <c r="G5966" s="1401">
        <f>SUM(G5936:G5965)</f>
        <v>8031146.5599999996</v>
      </c>
      <c r="H5966" s="1401">
        <f>SUM(H5936:H5965)-H5965</f>
        <v>691800.28000000026</v>
      </c>
      <c r="I5966" s="1401">
        <f>SUM(I5936:I5965)-I5952</f>
        <v>8247762.5499999989</v>
      </c>
      <c r="J5966" s="1401">
        <f>SUM(J5936:J5965)</f>
        <v>22311094.070000004</v>
      </c>
      <c r="K5966" s="1401">
        <f>SUM(F5966:I5966)</f>
        <v>20346459.619999997</v>
      </c>
      <c r="L5966" s="1408">
        <f>K5966/C5936</f>
        <v>12926.594421855145</v>
      </c>
    </row>
    <row r="5967" spans="2:12">
      <c r="B5967" s="1297" t="s">
        <v>1610</v>
      </c>
      <c r="C5967" s="1297">
        <v>1466</v>
      </c>
      <c r="D5967" s="1297" t="s">
        <v>1426</v>
      </c>
      <c r="E5967" s="1297" t="s">
        <v>906</v>
      </c>
      <c r="G5967" s="1399">
        <v>7091146.1299999999</v>
      </c>
      <c r="J5967" s="1399">
        <v>7091146.1299999999</v>
      </c>
    </row>
    <row r="5968" spans="2:12">
      <c r="B5968" s="1297"/>
      <c r="C5968" s="1297"/>
      <c r="D5968" s="1297"/>
      <c r="E5968" s="1297" t="s">
        <v>952</v>
      </c>
      <c r="G5968" s="1399">
        <v>23477.119999999999</v>
      </c>
      <c r="J5968" s="1399">
        <v>23477.119999999999</v>
      </c>
    </row>
    <row r="5969" spans="5:10" s="1297" customFormat="1">
      <c r="E5969" s="1297" t="s">
        <v>907</v>
      </c>
      <c r="F5969" s="1399"/>
      <c r="G5969" s="1399">
        <v>1848139.26</v>
      </c>
      <c r="H5969" s="1399"/>
      <c r="I5969" s="1399"/>
      <c r="J5969" s="1399">
        <v>1848139.26</v>
      </c>
    </row>
    <row r="5970" spans="5:10" s="1297" customFormat="1">
      <c r="E5970" s="1297" t="s">
        <v>908</v>
      </c>
      <c r="F5970" s="1399"/>
      <c r="G5970" s="1399">
        <v>36413.449999999997</v>
      </c>
      <c r="H5970" s="1399"/>
      <c r="I5970" s="1399"/>
      <c r="J5970" s="1399">
        <v>36413.449999999997</v>
      </c>
    </row>
    <row r="5971" spans="5:10" s="1297" customFormat="1">
      <c r="E5971" s="1297" t="s">
        <v>909</v>
      </c>
      <c r="F5971" s="1399"/>
      <c r="G5971" s="1399"/>
      <c r="H5971" s="1399">
        <v>13680.26</v>
      </c>
      <c r="I5971" s="1399"/>
      <c r="J5971" s="1399">
        <v>13680.26</v>
      </c>
    </row>
    <row r="5972" spans="5:10" s="1297" customFormat="1">
      <c r="E5972" s="1297" t="s">
        <v>910</v>
      </c>
      <c r="F5972" s="1399"/>
      <c r="G5972" s="1399"/>
      <c r="H5972" s="1399">
        <v>96144.34</v>
      </c>
      <c r="I5972" s="1399"/>
      <c r="J5972" s="1399">
        <v>96144.34</v>
      </c>
    </row>
    <row r="5973" spans="5:10" s="1297" customFormat="1">
      <c r="E5973" s="1297" t="s">
        <v>1034</v>
      </c>
      <c r="F5973" s="1399"/>
      <c r="G5973" s="1399"/>
      <c r="H5973" s="1399">
        <v>2797.04</v>
      </c>
      <c r="I5973" s="1399"/>
      <c r="J5973" s="1399">
        <v>2797.04</v>
      </c>
    </row>
    <row r="5974" spans="5:10" s="1297" customFormat="1">
      <c r="E5974" s="1297" t="s">
        <v>1035</v>
      </c>
      <c r="F5974" s="1399"/>
      <c r="G5974" s="1399"/>
      <c r="H5974" s="1399">
        <v>174499.36</v>
      </c>
      <c r="I5974" s="1399"/>
      <c r="J5974" s="1399">
        <v>174499.36</v>
      </c>
    </row>
    <row r="5975" spans="5:10" s="1297" customFormat="1">
      <c r="E5975" s="1297" t="s">
        <v>1036</v>
      </c>
      <c r="F5975" s="1399"/>
      <c r="G5975" s="1399"/>
      <c r="H5975" s="1399">
        <v>156702.25</v>
      </c>
      <c r="I5975" s="1399"/>
      <c r="J5975" s="1399">
        <v>156702.25</v>
      </c>
    </row>
    <row r="5976" spans="5:10" s="1297" customFormat="1">
      <c r="E5976" s="1297" t="s">
        <v>1003</v>
      </c>
      <c r="F5976" s="1399"/>
      <c r="G5976" s="1399"/>
      <c r="H5976" s="1399">
        <v>12404.9</v>
      </c>
      <c r="I5976" s="1399"/>
      <c r="J5976" s="1399">
        <v>12404.9</v>
      </c>
    </row>
    <row r="5977" spans="5:10" s="1297" customFormat="1">
      <c r="E5977" s="1297" t="s">
        <v>1039</v>
      </c>
      <c r="F5977" s="1399"/>
      <c r="G5977" s="1399"/>
      <c r="H5977" s="1399">
        <v>10493.480000000001</v>
      </c>
      <c r="I5977" s="1399"/>
      <c r="J5977" s="1399">
        <v>10493.480000000001</v>
      </c>
    </row>
    <row r="5978" spans="5:10" s="1297" customFormat="1">
      <c r="E5978" s="1297" t="s">
        <v>1040</v>
      </c>
      <c r="F5978" s="1399"/>
      <c r="G5978" s="1399"/>
      <c r="H5978" s="1399">
        <v>57401.02</v>
      </c>
      <c r="I5978" s="1399"/>
      <c r="J5978" s="1399">
        <v>57401.02</v>
      </c>
    </row>
    <row r="5979" spans="5:10" s="1297" customFormat="1">
      <c r="E5979" s="1297" t="s">
        <v>1041</v>
      </c>
      <c r="F5979" s="1399"/>
      <c r="G5979" s="1399"/>
      <c r="H5979" s="1399">
        <v>3183</v>
      </c>
      <c r="I5979" s="1399"/>
      <c r="J5979" s="1399">
        <v>3183</v>
      </c>
    </row>
    <row r="5980" spans="5:10" s="1297" customFormat="1">
      <c r="E5980" s="1297" t="s">
        <v>1042</v>
      </c>
      <c r="F5980" s="1399"/>
      <c r="G5980" s="1399"/>
      <c r="H5980" s="1399">
        <v>21452.5</v>
      </c>
      <c r="I5980" s="1399"/>
      <c r="J5980" s="1399">
        <v>21452.5</v>
      </c>
    </row>
    <row r="5981" spans="5:10" s="1297" customFormat="1">
      <c r="E5981" s="1297" t="s">
        <v>1043</v>
      </c>
      <c r="F5981" s="1399"/>
      <c r="G5981" s="1399"/>
      <c r="H5981" s="1399">
        <v>1770</v>
      </c>
      <c r="I5981" s="1399"/>
      <c r="J5981" s="1399">
        <v>1770</v>
      </c>
    </row>
    <row r="5982" spans="5:10" s="1297" customFormat="1">
      <c r="E5982" s="1297" t="s">
        <v>991</v>
      </c>
      <c r="F5982" s="1399"/>
      <c r="G5982" s="1399"/>
      <c r="H5982" s="1399">
        <v>5281.25</v>
      </c>
      <c r="I5982" s="1399"/>
      <c r="J5982" s="1399">
        <v>5281.25</v>
      </c>
    </row>
    <row r="5983" spans="5:10" s="1297" customFormat="1">
      <c r="E5983" s="1297" t="s">
        <v>1044</v>
      </c>
      <c r="F5983" s="1399">
        <v>18900</v>
      </c>
      <c r="G5983" s="1399"/>
      <c r="H5983" s="1399"/>
      <c r="I5983" s="1399"/>
      <c r="J5983" s="1399">
        <v>18900</v>
      </c>
    </row>
    <row r="5984" spans="5:10" s="1297" customFormat="1">
      <c r="E5984" s="1297" t="s">
        <v>1045</v>
      </c>
      <c r="F5984" s="1399"/>
      <c r="G5984" s="1399"/>
      <c r="H5984" s="1399">
        <v>31229.840000000004</v>
      </c>
      <c r="I5984" s="1399"/>
      <c r="J5984" s="1399">
        <v>31229.840000000004</v>
      </c>
    </row>
    <row r="5985" spans="5:10" s="1297" customFormat="1">
      <c r="E5985" s="1297" t="s">
        <v>1046</v>
      </c>
      <c r="F5985" s="1399"/>
      <c r="G5985" s="1399"/>
      <c r="H5985" s="1399"/>
      <c r="I5985" s="1399">
        <v>7297998</v>
      </c>
      <c r="J5985" s="1399">
        <v>7297998</v>
      </c>
    </row>
    <row r="5986" spans="5:10" s="1297" customFormat="1">
      <c r="E5986" s="1297" t="s">
        <v>1047</v>
      </c>
      <c r="F5986" s="1399"/>
      <c r="G5986" s="1399"/>
      <c r="H5986" s="1399"/>
      <c r="I5986" s="1399">
        <v>446024</v>
      </c>
      <c r="J5986" s="1399">
        <v>446024</v>
      </c>
    </row>
    <row r="5987" spans="5:10" s="1297" customFormat="1">
      <c r="E5987" s="1297" t="s">
        <v>1048</v>
      </c>
      <c r="F5987" s="1399"/>
      <c r="G5987" s="1399"/>
      <c r="H5987" s="1399"/>
      <c r="I5987" s="1399">
        <v>-1897214</v>
      </c>
      <c r="J5987" s="1399">
        <v>-1897214</v>
      </c>
    </row>
    <row r="5988" spans="5:10" s="1297" customFormat="1">
      <c r="E5988" s="1404" t="s">
        <v>955</v>
      </c>
      <c r="F5988" s="1405"/>
      <c r="G5988" s="1405"/>
      <c r="H5988" s="1405"/>
      <c r="I5988" s="1405">
        <v>504223.59</v>
      </c>
      <c r="J5988" s="1405">
        <v>504223.59</v>
      </c>
    </row>
    <row r="5989" spans="5:10" s="1297" customFormat="1">
      <c r="E5989" s="1297" t="s">
        <v>934</v>
      </c>
      <c r="F5989" s="1399"/>
      <c r="G5989" s="1399"/>
      <c r="H5989" s="1399"/>
      <c r="I5989" s="1399">
        <v>27120</v>
      </c>
      <c r="J5989" s="1399">
        <v>27120</v>
      </c>
    </row>
    <row r="5990" spans="5:10" s="1297" customFormat="1">
      <c r="E5990" s="1297" t="s">
        <v>935</v>
      </c>
      <c r="F5990" s="1399"/>
      <c r="G5990" s="1399"/>
      <c r="H5990" s="1399"/>
      <c r="I5990" s="1399">
        <v>310598.19</v>
      </c>
      <c r="J5990" s="1399">
        <v>310598.19</v>
      </c>
    </row>
    <row r="5991" spans="5:10" s="1297" customFormat="1">
      <c r="E5991" s="1297" t="s">
        <v>936</v>
      </c>
      <c r="F5991" s="1399"/>
      <c r="G5991" s="1399"/>
      <c r="H5991" s="1399"/>
      <c r="I5991" s="1399">
        <v>26961.59</v>
      </c>
      <c r="J5991" s="1399">
        <v>26961.59</v>
      </c>
    </row>
    <row r="5992" spans="5:10" s="1297" customFormat="1">
      <c r="E5992" s="1297" t="s">
        <v>938</v>
      </c>
      <c r="F5992" s="1399"/>
      <c r="G5992" s="1399"/>
      <c r="H5992" s="1399"/>
      <c r="I5992" s="1399">
        <v>9732</v>
      </c>
      <c r="J5992" s="1399">
        <v>9732</v>
      </c>
    </row>
    <row r="5993" spans="5:10" s="1297" customFormat="1">
      <c r="E5993" s="1297" t="s">
        <v>939</v>
      </c>
      <c r="F5993" s="1399"/>
      <c r="G5993" s="1399"/>
      <c r="H5993" s="1399"/>
      <c r="I5993" s="1399">
        <v>54038.29</v>
      </c>
      <c r="J5993" s="1399">
        <v>54038.29</v>
      </c>
    </row>
    <row r="5994" spans="5:10" s="1297" customFormat="1">
      <c r="E5994" s="1297" t="s">
        <v>1131</v>
      </c>
      <c r="F5994" s="1399">
        <v>1473508.15</v>
      </c>
      <c r="G5994" s="1399"/>
      <c r="H5994" s="1399"/>
      <c r="I5994" s="1399"/>
      <c r="J5994" s="1399">
        <v>1473508.15</v>
      </c>
    </row>
    <row r="5995" spans="5:10" s="1297" customFormat="1">
      <c r="E5995" s="1297" t="s">
        <v>940</v>
      </c>
      <c r="F5995" s="1399">
        <v>510387.3</v>
      </c>
      <c r="G5995" s="1399"/>
      <c r="H5995" s="1399"/>
      <c r="I5995" s="1399"/>
      <c r="J5995" s="1399">
        <v>510387.3</v>
      </c>
    </row>
    <row r="5996" spans="5:10" s="1297" customFormat="1">
      <c r="E5996" s="1297" t="s">
        <v>941</v>
      </c>
      <c r="F5996" s="1399">
        <v>171697.34</v>
      </c>
      <c r="G5996" s="1399"/>
      <c r="H5996" s="1399"/>
      <c r="I5996" s="1399"/>
      <c r="J5996" s="1399">
        <v>171697.34</v>
      </c>
    </row>
    <row r="5997" spans="5:10" s="1297" customFormat="1">
      <c r="E5997" s="1297" t="s">
        <v>943</v>
      </c>
      <c r="F5997" s="1399">
        <v>27827.7</v>
      </c>
      <c r="G5997" s="1399"/>
      <c r="H5997" s="1399"/>
      <c r="I5997" s="1399"/>
      <c r="J5997" s="1399">
        <v>27827.7</v>
      </c>
    </row>
    <row r="5998" spans="5:10" s="1297" customFormat="1">
      <c r="E5998" s="1297" t="s">
        <v>944</v>
      </c>
      <c r="F5998" s="1399">
        <v>1622060.13</v>
      </c>
      <c r="G5998" s="1399"/>
      <c r="H5998" s="1399"/>
      <c r="I5998" s="1399"/>
      <c r="J5998" s="1399">
        <v>1622060.13</v>
      </c>
    </row>
    <row r="5999" spans="5:10" s="1297" customFormat="1">
      <c r="E5999" s="1297" t="s">
        <v>945</v>
      </c>
      <c r="F5999" s="1399">
        <v>627024.91</v>
      </c>
      <c r="G5999" s="1399"/>
      <c r="H5999" s="1399"/>
      <c r="I5999" s="1399"/>
      <c r="J5999" s="1399">
        <v>627024.91</v>
      </c>
    </row>
    <row r="6000" spans="5:10" s="1297" customFormat="1">
      <c r="E6000" s="1297" t="s">
        <v>947</v>
      </c>
      <c r="F6000" s="1399">
        <v>59158.73</v>
      </c>
      <c r="G6000" s="1399"/>
      <c r="H6000" s="1399"/>
      <c r="I6000" s="1399"/>
      <c r="J6000" s="1399">
        <v>59158.73</v>
      </c>
    </row>
    <row r="6001" spans="2:12">
      <c r="B6001" s="1297"/>
      <c r="C6001" s="1297"/>
      <c r="D6001" s="1297"/>
      <c r="E6001" s="1404" t="s">
        <v>1116</v>
      </c>
      <c r="F6001" s="1405"/>
      <c r="G6001" s="1405"/>
      <c r="H6001" s="1405">
        <v>16500000</v>
      </c>
      <c r="I6001" s="1405"/>
      <c r="J6001" s="1405">
        <v>16500000</v>
      </c>
    </row>
    <row r="6002" spans="2:12">
      <c r="B6002" s="1297"/>
      <c r="C6002" s="1297"/>
      <c r="D6002" s="1297"/>
      <c r="E6002" s="1297" t="s">
        <v>1117</v>
      </c>
      <c r="H6002" s="1399">
        <v>-133742.39000000001</v>
      </c>
      <c r="J6002" s="1399">
        <v>-133742.39000000001</v>
      </c>
    </row>
    <row r="6003" spans="2:12">
      <c r="B6003" s="1297"/>
      <c r="C6003" s="1297"/>
      <c r="D6003" s="1297"/>
      <c r="E6003" s="1404" t="s">
        <v>948</v>
      </c>
      <c r="F6003" s="1405"/>
      <c r="G6003" s="1405"/>
      <c r="H6003" s="1405">
        <v>2017478.1399999997</v>
      </c>
      <c r="I6003" s="1405"/>
      <c r="J6003" s="1405">
        <v>2017478.1399999997</v>
      </c>
    </row>
    <row r="6004" spans="2:12">
      <c r="B6004" s="1297"/>
      <c r="C6004" s="1297"/>
      <c r="D6004" s="1297"/>
      <c r="E6004" s="1297" t="s">
        <v>956</v>
      </c>
      <c r="H6004" s="1399">
        <v>11125</v>
      </c>
      <c r="J6004" s="1399">
        <v>11125</v>
      </c>
    </row>
    <row r="6005" spans="2:12">
      <c r="B6005" s="1297"/>
      <c r="C6005" s="1297"/>
      <c r="D6005" s="1400" t="s">
        <v>1427</v>
      </c>
      <c r="E6005" s="1400"/>
      <c r="F6005" s="1401">
        <f>SUM(F5967:F6004)</f>
        <v>4510564.2600000007</v>
      </c>
      <c r="G6005" s="1401">
        <f>SUM(G5967:G6004)</f>
        <v>8999175.959999999</v>
      </c>
      <c r="H6005" s="1401">
        <f>SUM(H5967:H6004)-(H6001+H6003)</f>
        <v>464421.84999999776</v>
      </c>
      <c r="I6005" s="1401">
        <f>SUM(I5967:I6004)-I5988</f>
        <v>6275258.0700000003</v>
      </c>
      <c r="J6005" s="1401">
        <f>SUM(J5967:J6004)</f>
        <v>39271121.86999999</v>
      </c>
      <c r="K6005" s="1401">
        <f>SUM(F6005:I6005)</f>
        <v>20249420.139999997</v>
      </c>
      <c r="L6005" s="1408">
        <f>K6005/C5967</f>
        <v>13812.701323328783</v>
      </c>
    </row>
    <row r="6006" spans="2:12">
      <c r="B6006" s="1297" t="s">
        <v>1428</v>
      </c>
      <c r="C6006" s="1297">
        <v>3377</v>
      </c>
      <c r="D6006" s="1297" t="s">
        <v>1429</v>
      </c>
      <c r="E6006" s="1297" t="s">
        <v>906</v>
      </c>
      <c r="G6006" s="1399">
        <v>6853329.8099999996</v>
      </c>
      <c r="J6006" s="1399">
        <v>6853329.8099999996</v>
      </c>
    </row>
    <row r="6007" spans="2:12">
      <c r="B6007" s="1297"/>
      <c r="C6007" s="1297"/>
      <c r="D6007" s="1297"/>
      <c r="E6007" s="1297" t="s">
        <v>952</v>
      </c>
      <c r="G6007" s="1399">
        <v>54555.07</v>
      </c>
      <c r="J6007" s="1399">
        <v>54555.07</v>
      </c>
    </row>
    <row r="6008" spans="2:12">
      <c r="B6008" s="1297"/>
      <c r="C6008" s="1297"/>
      <c r="D6008" s="1297"/>
      <c r="E6008" s="1297" t="s">
        <v>907</v>
      </c>
      <c r="G6008" s="1399">
        <v>1696899.15</v>
      </c>
      <c r="J6008" s="1399">
        <v>1696899.15</v>
      </c>
    </row>
    <row r="6009" spans="2:12">
      <c r="B6009" s="1297"/>
      <c r="C6009" s="1297"/>
      <c r="D6009" s="1297"/>
      <c r="E6009" s="1297" t="s">
        <v>908</v>
      </c>
      <c r="G6009" s="1399">
        <v>11502.69</v>
      </c>
      <c r="J6009" s="1399">
        <v>11502.69</v>
      </c>
    </row>
    <row r="6010" spans="2:12">
      <c r="B6010" s="1297"/>
      <c r="C6010" s="1297"/>
      <c r="D6010" s="1297"/>
      <c r="E6010" s="1297" t="s">
        <v>909</v>
      </c>
      <c r="H6010" s="1399">
        <v>22981.759999999998</v>
      </c>
      <c r="J6010" s="1399">
        <v>22981.759999999998</v>
      </c>
    </row>
    <row r="6011" spans="2:12">
      <c r="B6011" s="1297"/>
      <c r="C6011" s="1297"/>
      <c r="D6011" s="1297"/>
      <c r="E6011" s="1297" t="s">
        <v>910</v>
      </c>
      <c r="H6011" s="1399">
        <v>41951.25</v>
      </c>
      <c r="J6011" s="1399">
        <v>41951.25</v>
      </c>
    </row>
    <row r="6012" spans="2:12">
      <c r="B6012" s="1297"/>
      <c r="C6012" s="1297"/>
      <c r="D6012" s="1297"/>
      <c r="E6012" s="1297" t="s">
        <v>1034</v>
      </c>
      <c r="H6012" s="1399">
        <v>22474.66</v>
      </c>
      <c r="J6012" s="1399">
        <v>22474.66</v>
      </c>
    </row>
    <row r="6013" spans="2:12">
      <c r="B6013" s="1297"/>
      <c r="C6013" s="1297"/>
      <c r="D6013" s="1297"/>
      <c r="E6013" s="1297" t="s">
        <v>1035</v>
      </c>
      <c r="H6013" s="1399">
        <v>165581.29</v>
      </c>
      <c r="J6013" s="1399">
        <v>165581.29</v>
      </c>
    </row>
    <row r="6014" spans="2:12">
      <c r="B6014" s="1297"/>
      <c r="C6014" s="1297"/>
      <c r="D6014" s="1297"/>
      <c r="E6014" s="1297" t="s">
        <v>1036</v>
      </c>
      <c r="H6014" s="1399">
        <v>114451.9</v>
      </c>
      <c r="J6014" s="1399">
        <v>114451.9</v>
      </c>
    </row>
    <row r="6015" spans="2:12">
      <c r="B6015" s="1297"/>
      <c r="C6015" s="1297"/>
      <c r="D6015" s="1297"/>
      <c r="E6015" s="1297" t="s">
        <v>1039</v>
      </c>
      <c r="H6015" s="1399">
        <v>13388.199999999997</v>
      </c>
      <c r="J6015" s="1399">
        <v>13388.199999999997</v>
      </c>
    </row>
    <row r="6016" spans="2:12">
      <c r="B6016" s="1297"/>
      <c r="C6016" s="1297"/>
      <c r="D6016" s="1297"/>
      <c r="E6016" s="1297" t="s">
        <v>1040</v>
      </c>
      <c r="H6016" s="1399">
        <v>160361.34</v>
      </c>
      <c r="J6016" s="1399">
        <v>160361.34</v>
      </c>
    </row>
    <row r="6017" spans="5:10" s="1297" customFormat="1">
      <c r="E6017" s="1297" t="s">
        <v>1041</v>
      </c>
      <c r="F6017" s="1399"/>
      <c r="G6017" s="1399"/>
      <c r="H6017" s="1399">
        <v>11309.55</v>
      </c>
      <c r="I6017" s="1399"/>
      <c r="J6017" s="1399">
        <v>11309.55</v>
      </c>
    </row>
    <row r="6018" spans="5:10" s="1297" customFormat="1">
      <c r="E6018" s="1297" t="s">
        <v>1042</v>
      </c>
      <c r="F6018" s="1399"/>
      <c r="G6018" s="1399"/>
      <c r="H6018" s="1399">
        <v>29120.1</v>
      </c>
      <c r="I6018" s="1399"/>
      <c r="J6018" s="1399">
        <v>29120.1</v>
      </c>
    </row>
    <row r="6019" spans="5:10" s="1297" customFormat="1">
      <c r="E6019" s="1297" t="s">
        <v>954</v>
      </c>
      <c r="F6019" s="1399"/>
      <c r="G6019" s="1399"/>
      <c r="H6019" s="1399">
        <v>136340.16999999998</v>
      </c>
      <c r="I6019" s="1399"/>
      <c r="J6019" s="1399">
        <v>136340.16999999998</v>
      </c>
    </row>
    <row r="6020" spans="5:10" s="1297" customFormat="1">
      <c r="E6020" s="1297" t="s">
        <v>991</v>
      </c>
      <c r="F6020" s="1399"/>
      <c r="G6020" s="1399"/>
      <c r="H6020" s="1399">
        <v>610.91</v>
      </c>
      <c r="I6020" s="1399"/>
      <c r="J6020" s="1399">
        <v>610.91</v>
      </c>
    </row>
    <row r="6021" spans="5:10" s="1297" customFormat="1">
      <c r="E6021" s="1297" t="s">
        <v>1044</v>
      </c>
      <c r="F6021" s="1399">
        <v>118529.05</v>
      </c>
      <c r="G6021" s="1399"/>
      <c r="H6021" s="1399"/>
      <c r="I6021" s="1399"/>
      <c r="J6021" s="1399">
        <v>118529.05</v>
      </c>
    </row>
    <row r="6022" spans="5:10" s="1297" customFormat="1">
      <c r="E6022" s="1297" t="s">
        <v>1045</v>
      </c>
      <c r="F6022" s="1399"/>
      <c r="G6022" s="1399"/>
      <c r="H6022" s="1399">
        <v>179703.97999999998</v>
      </c>
      <c r="I6022" s="1399"/>
      <c r="J6022" s="1399">
        <v>179703.97999999998</v>
      </c>
    </row>
    <row r="6023" spans="5:10" s="1297" customFormat="1">
      <c r="E6023" s="1297" t="s">
        <v>1046</v>
      </c>
      <c r="F6023" s="1399"/>
      <c r="G6023" s="1399"/>
      <c r="H6023" s="1399"/>
      <c r="I6023" s="1399">
        <v>17743265</v>
      </c>
      <c r="J6023" s="1399">
        <v>17743265</v>
      </c>
    </row>
    <row r="6024" spans="5:10" s="1297" customFormat="1">
      <c r="E6024" s="1297" t="s">
        <v>1128</v>
      </c>
      <c r="F6024" s="1399"/>
      <c r="G6024" s="1399"/>
      <c r="H6024" s="1399"/>
      <c r="I6024" s="1399">
        <v>1448057</v>
      </c>
      <c r="J6024" s="1399">
        <v>1448057</v>
      </c>
    </row>
    <row r="6025" spans="5:10" s="1297" customFormat="1">
      <c r="E6025" s="1297" t="s">
        <v>1129</v>
      </c>
      <c r="F6025" s="1399"/>
      <c r="G6025" s="1399"/>
      <c r="H6025" s="1399"/>
      <c r="I6025" s="1399">
        <v>-2526337</v>
      </c>
      <c r="J6025" s="1399">
        <v>-2526337</v>
      </c>
    </row>
    <row r="6026" spans="5:10" s="1297" customFormat="1">
      <c r="E6026" s="1297" t="s">
        <v>1047</v>
      </c>
      <c r="F6026" s="1399"/>
      <c r="G6026" s="1399"/>
      <c r="H6026" s="1399"/>
      <c r="I6026" s="1399">
        <v>850423</v>
      </c>
      <c r="J6026" s="1399">
        <v>850423</v>
      </c>
    </row>
    <row r="6027" spans="5:10" s="1297" customFormat="1">
      <c r="E6027" s="1297" t="s">
        <v>1048</v>
      </c>
      <c r="F6027" s="1399"/>
      <c r="G6027" s="1399"/>
      <c r="H6027" s="1399"/>
      <c r="I6027" s="1399">
        <v>-2410622</v>
      </c>
      <c r="J6027" s="1399">
        <v>-2410622</v>
      </c>
    </row>
    <row r="6028" spans="5:10" s="1297" customFormat="1">
      <c r="E6028" s="1297" t="s">
        <v>932</v>
      </c>
      <c r="F6028" s="1399"/>
      <c r="G6028" s="1399"/>
      <c r="H6028" s="1399"/>
      <c r="I6028" s="1399">
        <v>1174326</v>
      </c>
      <c r="J6028" s="1399">
        <v>1174326</v>
      </c>
    </row>
    <row r="6029" spans="5:10" s="1297" customFormat="1">
      <c r="E6029" s="1404" t="s">
        <v>955</v>
      </c>
      <c r="F6029" s="1405"/>
      <c r="G6029" s="1405"/>
      <c r="H6029" s="1405"/>
      <c r="I6029" s="1405">
        <v>656779.4</v>
      </c>
      <c r="J6029" s="1405">
        <v>656779.4</v>
      </c>
    </row>
    <row r="6030" spans="5:10" s="1297" customFormat="1">
      <c r="E6030" s="1297" t="s">
        <v>934</v>
      </c>
      <c r="F6030" s="1399"/>
      <c r="G6030" s="1399"/>
      <c r="H6030" s="1399"/>
      <c r="I6030" s="1399">
        <v>57630</v>
      </c>
      <c r="J6030" s="1399">
        <v>57630</v>
      </c>
    </row>
    <row r="6031" spans="5:10" s="1297" customFormat="1">
      <c r="E6031" s="1297" t="s">
        <v>935</v>
      </c>
      <c r="F6031" s="1399"/>
      <c r="G6031" s="1399"/>
      <c r="H6031" s="1399"/>
      <c r="I6031" s="1399">
        <v>491653.33</v>
      </c>
      <c r="J6031" s="1399">
        <v>491653.33</v>
      </c>
    </row>
    <row r="6032" spans="5:10" s="1297" customFormat="1">
      <c r="E6032" s="1297" t="s">
        <v>936</v>
      </c>
      <c r="F6032" s="1399"/>
      <c r="G6032" s="1399"/>
      <c r="H6032" s="1399"/>
      <c r="I6032" s="1399">
        <v>45519.57</v>
      </c>
      <c r="J6032" s="1399">
        <v>45519.57</v>
      </c>
    </row>
    <row r="6033" spans="2:12">
      <c r="B6033" s="1297"/>
      <c r="C6033" s="1297"/>
      <c r="D6033" s="1297"/>
      <c r="E6033" s="1297" t="s">
        <v>937</v>
      </c>
      <c r="I6033" s="1399">
        <v>7931.64</v>
      </c>
      <c r="J6033" s="1399">
        <v>7931.64</v>
      </c>
    </row>
    <row r="6034" spans="2:12">
      <c r="B6034" s="1297"/>
      <c r="C6034" s="1297"/>
      <c r="D6034" s="1297"/>
      <c r="E6034" s="1297" t="s">
        <v>938</v>
      </c>
      <c r="I6034" s="1399">
        <v>19839</v>
      </c>
      <c r="J6034" s="1399">
        <v>19839</v>
      </c>
    </row>
    <row r="6035" spans="2:12">
      <c r="B6035" s="1297"/>
      <c r="C6035" s="1297"/>
      <c r="D6035" s="1297"/>
      <c r="E6035" s="1297" t="s">
        <v>939</v>
      </c>
      <c r="I6035" s="1399">
        <v>6068.53</v>
      </c>
      <c r="J6035" s="1399">
        <v>6068.53</v>
      </c>
    </row>
    <row r="6036" spans="2:12">
      <c r="B6036" s="1297"/>
      <c r="C6036" s="1297"/>
      <c r="D6036" s="1297"/>
      <c r="E6036" s="1297" t="s">
        <v>1131</v>
      </c>
      <c r="F6036" s="1399">
        <v>68101.31</v>
      </c>
      <c r="J6036" s="1399">
        <v>68101.31</v>
      </c>
    </row>
    <row r="6037" spans="2:12">
      <c r="B6037" s="1297"/>
      <c r="C6037" s="1297"/>
      <c r="D6037" s="1297"/>
      <c r="E6037" s="1297" t="s">
        <v>940</v>
      </c>
      <c r="F6037" s="1399">
        <v>944956.58</v>
      </c>
      <c r="J6037" s="1399">
        <v>944956.58</v>
      </c>
    </row>
    <row r="6038" spans="2:12">
      <c r="B6038" s="1297"/>
      <c r="C6038" s="1297"/>
      <c r="D6038" s="1297"/>
      <c r="E6038" s="1297" t="s">
        <v>941</v>
      </c>
      <c r="F6038" s="1399">
        <v>390365.56</v>
      </c>
      <c r="J6038" s="1399">
        <v>390365.56</v>
      </c>
    </row>
    <row r="6039" spans="2:12">
      <c r="B6039" s="1297"/>
      <c r="C6039" s="1297"/>
      <c r="D6039" s="1297"/>
      <c r="E6039" s="1297" t="s">
        <v>944</v>
      </c>
      <c r="F6039" s="1399">
        <v>2718948.44</v>
      </c>
      <c r="J6039" s="1399">
        <v>2718948.44</v>
      </c>
    </row>
    <row r="6040" spans="2:12">
      <c r="B6040" s="1297"/>
      <c r="C6040" s="1297"/>
      <c r="D6040" s="1297"/>
      <c r="E6040" s="1297" t="s">
        <v>945</v>
      </c>
      <c r="F6040" s="1399">
        <v>1350871.03</v>
      </c>
      <c r="J6040" s="1399">
        <v>1350871.03</v>
      </c>
    </row>
    <row r="6041" spans="2:12">
      <c r="B6041" s="1297"/>
      <c r="C6041" s="1297"/>
      <c r="D6041" s="1297"/>
      <c r="E6041" s="1297" t="s">
        <v>947</v>
      </c>
      <c r="F6041" s="1399">
        <v>129735</v>
      </c>
      <c r="J6041" s="1399">
        <v>129735</v>
      </c>
    </row>
    <row r="6042" spans="2:12">
      <c r="B6042" s="1297"/>
      <c r="C6042" s="1297"/>
      <c r="D6042" s="1297"/>
      <c r="E6042" s="1404" t="s">
        <v>948</v>
      </c>
      <c r="F6042" s="1405"/>
      <c r="G6042" s="1405"/>
      <c r="H6042" s="1405">
        <v>3269898.45</v>
      </c>
      <c r="I6042" s="1405"/>
      <c r="J6042" s="1405">
        <v>3269898.45</v>
      </c>
    </row>
    <row r="6043" spans="2:12">
      <c r="B6043" s="1297"/>
      <c r="C6043" s="1297"/>
      <c r="D6043" s="1297"/>
      <c r="E6043" s="1297" t="s">
        <v>956</v>
      </c>
      <c r="H6043" s="1399">
        <v>1500</v>
      </c>
      <c r="J6043" s="1399">
        <v>1500</v>
      </c>
    </row>
    <row r="6044" spans="2:12">
      <c r="B6044" s="1297"/>
      <c r="C6044" s="1297"/>
      <c r="D6044" s="1400" t="s">
        <v>1430</v>
      </c>
      <c r="E6044" s="1400"/>
      <c r="F6044" s="1401">
        <f>SUM(F6006:F6043)</f>
        <v>5721506.9699999997</v>
      </c>
      <c r="G6044" s="1401">
        <f>SUM(G6006:G6043)</f>
        <v>8616286.7199999988</v>
      </c>
      <c r="H6044" s="1401">
        <f>SUM(H6006:H6043)-H6042</f>
        <v>899775.10999999987</v>
      </c>
      <c r="I6044" s="1401">
        <f>SUM(I6006:I6043)-I6029</f>
        <v>16907754.07</v>
      </c>
      <c r="J6044" s="1401">
        <f>SUM(J6006:J6043)</f>
        <v>36072000.719999999</v>
      </c>
      <c r="K6044" s="1401">
        <f>SUM(F6044:I6044)</f>
        <v>32145322.869999997</v>
      </c>
      <c r="L6044" s="1408">
        <f>K6044/C6006</f>
        <v>9518.8992804264126</v>
      </c>
    </row>
    <row r="6045" spans="2:12">
      <c r="B6045" s="1297" t="s">
        <v>1431</v>
      </c>
      <c r="C6045" s="1297">
        <f>48665-'[2]1$REV-DATA-GAcharterAuditdata'!G30</f>
        <v>44738</v>
      </c>
      <c r="D6045" s="1297" t="s">
        <v>1432</v>
      </c>
      <c r="E6045" s="1297" t="s">
        <v>906</v>
      </c>
      <c r="G6045" s="1399">
        <v>440124387.69</v>
      </c>
      <c r="J6045" s="1399">
        <v>440124387.69</v>
      </c>
    </row>
    <row r="6046" spans="2:12">
      <c r="B6046" s="1297"/>
      <c r="C6046" s="1297"/>
      <c r="D6046" s="1297"/>
      <c r="E6046" s="1297" t="s">
        <v>952</v>
      </c>
      <c r="G6046" s="1399">
        <v>4687976.87</v>
      </c>
      <c r="J6046" s="1399">
        <v>4687976.87</v>
      </c>
    </row>
    <row r="6047" spans="2:12">
      <c r="B6047" s="1297"/>
      <c r="C6047" s="1297"/>
      <c r="D6047" s="1297"/>
      <c r="E6047" s="1297" t="s">
        <v>907</v>
      </c>
      <c r="G6047" s="1399">
        <v>57678243.359999999</v>
      </c>
      <c r="J6047" s="1399">
        <v>57678243.359999999</v>
      </c>
    </row>
    <row r="6048" spans="2:12">
      <c r="B6048" s="1297"/>
      <c r="C6048" s="1297"/>
      <c r="D6048" s="1297"/>
      <c r="E6048" s="1297" t="s">
        <v>1122</v>
      </c>
      <c r="H6048" s="1399">
        <v>-2329444</v>
      </c>
      <c r="J6048" s="1399">
        <v>-2329444</v>
      </c>
    </row>
    <row r="6049" spans="5:10" s="1297" customFormat="1">
      <c r="E6049" s="1297" t="s">
        <v>909</v>
      </c>
      <c r="F6049" s="1399"/>
      <c r="G6049" s="1399"/>
      <c r="H6049" s="1399">
        <v>19164.36</v>
      </c>
      <c r="I6049" s="1399"/>
      <c r="J6049" s="1399">
        <v>19164.36</v>
      </c>
    </row>
    <row r="6050" spans="5:10" s="1297" customFormat="1">
      <c r="E6050" s="1297" t="s">
        <v>910</v>
      </c>
      <c r="F6050" s="1399"/>
      <c r="G6050" s="1399"/>
      <c r="H6050" s="1399">
        <v>1639022.3</v>
      </c>
      <c r="I6050" s="1399"/>
      <c r="J6050" s="1399">
        <v>1639022.3</v>
      </c>
    </row>
    <row r="6051" spans="5:10" s="1297" customFormat="1">
      <c r="E6051" s="1297" t="s">
        <v>1034</v>
      </c>
      <c r="F6051" s="1399"/>
      <c r="G6051" s="1399"/>
      <c r="H6051" s="1399">
        <v>526685.87</v>
      </c>
      <c r="I6051" s="1399"/>
      <c r="J6051" s="1399">
        <v>526685.87</v>
      </c>
    </row>
    <row r="6052" spans="5:10" s="1297" customFormat="1">
      <c r="E6052" s="1297" t="s">
        <v>1035</v>
      </c>
      <c r="F6052" s="1399"/>
      <c r="G6052" s="1399"/>
      <c r="H6052" s="1399">
        <v>1908251.9800000004</v>
      </c>
      <c r="I6052" s="1399"/>
      <c r="J6052" s="1399">
        <v>1908251.9800000004</v>
      </c>
    </row>
    <row r="6053" spans="5:10" s="1297" customFormat="1">
      <c r="E6053" s="1297" t="s">
        <v>1036</v>
      </c>
      <c r="F6053" s="1399"/>
      <c r="G6053" s="1399"/>
      <c r="H6053" s="1399">
        <v>670917.30000000005</v>
      </c>
      <c r="I6053" s="1399"/>
      <c r="J6053" s="1399">
        <v>670917.30000000005</v>
      </c>
    </row>
    <row r="6054" spans="5:10" s="1297" customFormat="1">
      <c r="E6054" s="1297" t="s">
        <v>1037</v>
      </c>
      <c r="F6054" s="1399"/>
      <c r="G6054" s="1399"/>
      <c r="H6054" s="1399">
        <v>25412</v>
      </c>
      <c r="I6054" s="1399"/>
      <c r="J6054" s="1399">
        <v>25412</v>
      </c>
    </row>
    <row r="6055" spans="5:10" s="1297" customFormat="1">
      <c r="E6055" s="1297" t="s">
        <v>1038</v>
      </c>
      <c r="F6055" s="1399"/>
      <c r="G6055" s="1399"/>
      <c r="H6055" s="1399">
        <v>6080</v>
      </c>
      <c r="I6055" s="1399"/>
      <c r="J6055" s="1399">
        <v>6080</v>
      </c>
    </row>
    <row r="6056" spans="5:10" s="1297" customFormat="1">
      <c r="E6056" s="1297" t="s">
        <v>1039</v>
      </c>
      <c r="F6056" s="1399"/>
      <c r="G6056" s="1399"/>
      <c r="H6056" s="1399">
        <v>592098.11</v>
      </c>
      <c r="I6056" s="1399"/>
      <c r="J6056" s="1399">
        <v>592098.11</v>
      </c>
    </row>
    <row r="6057" spans="5:10" s="1297" customFormat="1">
      <c r="E6057" s="1297" t="s">
        <v>1040</v>
      </c>
      <c r="F6057" s="1399"/>
      <c r="G6057" s="1399"/>
      <c r="H6057" s="1399">
        <v>949809.24999999977</v>
      </c>
      <c r="I6057" s="1399"/>
      <c r="J6057" s="1399">
        <v>949809.24999999977</v>
      </c>
    </row>
    <row r="6058" spans="5:10" s="1297" customFormat="1">
      <c r="E6058" s="1297" t="s">
        <v>1127</v>
      </c>
      <c r="F6058" s="1399"/>
      <c r="G6058" s="1399"/>
      <c r="H6058" s="1399">
        <v>52106.609999999986</v>
      </c>
      <c r="I6058" s="1399"/>
      <c r="J6058" s="1399">
        <v>52106.609999999986</v>
      </c>
    </row>
    <row r="6059" spans="5:10" s="1297" customFormat="1">
      <c r="E6059" s="1297" t="s">
        <v>1041</v>
      </c>
      <c r="F6059" s="1399"/>
      <c r="G6059" s="1399"/>
      <c r="H6059" s="1399">
        <v>444646.07999999996</v>
      </c>
      <c r="I6059" s="1399"/>
      <c r="J6059" s="1399">
        <v>444646.07999999996</v>
      </c>
    </row>
    <row r="6060" spans="5:10" s="1297" customFormat="1">
      <c r="E6060" s="1297" t="s">
        <v>1042</v>
      </c>
      <c r="F6060" s="1399"/>
      <c r="G6060" s="1399"/>
      <c r="H6060" s="1399">
        <v>155412.75</v>
      </c>
      <c r="I6060" s="1399"/>
      <c r="J6060" s="1399">
        <v>155412.75</v>
      </c>
    </row>
    <row r="6061" spans="5:10" s="1297" customFormat="1">
      <c r="E6061" s="1297" t="s">
        <v>1043</v>
      </c>
      <c r="F6061" s="1399"/>
      <c r="G6061" s="1399"/>
      <c r="H6061" s="1399">
        <v>783988.98</v>
      </c>
      <c r="I6061" s="1399"/>
      <c r="J6061" s="1399">
        <v>783988.98</v>
      </c>
    </row>
    <row r="6062" spans="5:10" s="1297" customFormat="1">
      <c r="E6062" s="1297" t="s">
        <v>986</v>
      </c>
      <c r="F6062" s="1399"/>
      <c r="G6062" s="1399"/>
      <c r="H6062" s="1399">
        <v>1245150.45</v>
      </c>
      <c r="I6062" s="1399"/>
      <c r="J6062" s="1399">
        <v>1245150.45</v>
      </c>
    </row>
    <row r="6063" spans="5:10" s="1297" customFormat="1">
      <c r="E6063" s="1297" t="s">
        <v>996</v>
      </c>
      <c r="F6063" s="1399"/>
      <c r="G6063" s="1399"/>
      <c r="H6063" s="1399">
        <v>28725.87</v>
      </c>
      <c r="I6063" s="1399"/>
      <c r="J6063" s="1399">
        <v>28725.87</v>
      </c>
    </row>
    <row r="6064" spans="5:10" s="1297" customFormat="1">
      <c r="E6064" s="1297" t="s">
        <v>1044</v>
      </c>
      <c r="F6064" s="1399">
        <v>796059.22</v>
      </c>
      <c r="G6064" s="1399"/>
      <c r="H6064" s="1399"/>
      <c r="I6064" s="1399"/>
      <c r="J6064" s="1399">
        <v>796059.22</v>
      </c>
    </row>
    <row r="6065" spans="5:10" s="1297" customFormat="1">
      <c r="E6065" s="1297" t="s">
        <v>1045</v>
      </c>
      <c r="F6065" s="1399"/>
      <c r="G6065" s="1399"/>
      <c r="H6065" s="1399">
        <v>3395386.75</v>
      </c>
      <c r="I6065" s="1399"/>
      <c r="J6065" s="1399">
        <v>3395386.75</v>
      </c>
    </row>
    <row r="6066" spans="5:10" s="1297" customFormat="1">
      <c r="E6066" s="1297" t="s">
        <v>1046</v>
      </c>
      <c r="F6066" s="1399"/>
      <c r="G6066" s="1399"/>
      <c r="H6066" s="1399"/>
      <c r="I6066" s="1399">
        <v>245147846</v>
      </c>
      <c r="J6066" s="1399">
        <v>245147846</v>
      </c>
    </row>
    <row r="6067" spans="5:10" s="1297" customFormat="1">
      <c r="E6067" s="1297" t="s">
        <v>1128</v>
      </c>
      <c r="F6067" s="1399"/>
      <c r="G6067" s="1399"/>
      <c r="H6067" s="1399"/>
      <c r="I6067" s="1399">
        <v>20491789</v>
      </c>
      <c r="J6067" s="1399">
        <v>20491789</v>
      </c>
    </row>
    <row r="6068" spans="5:10" s="1297" customFormat="1">
      <c r="E6068" s="1297" t="s">
        <v>1129</v>
      </c>
      <c r="F6068" s="1399"/>
      <c r="G6068" s="1399"/>
      <c r="H6068" s="1399"/>
      <c r="I6068" s="1399">
        <v>-21288539</v>
      </c>
      <c r="J6068" s="1399">
        <v>-21288539</v>
      </c>
    </row>
    <row r="6069" spans="5:10" s="1297" customFormat="1">
      <c r="E6069" s="1297" t="s">
        <v>1047</v>
      </c>
      <c r="F6069" s="1399"/>
      <c r="G6069" s="1399"/>
      <c r="H6069" s="1399"/>
      <c r="I6069" s="1399">
        <v>3873936</v>
      </c>
      <c r="J6069" s="1399">
        <v>3873936</v>
      </c>
    </row>
    <row r="6070" spans="5:10" s="1297" customFormat="1">
      <c r="E6070" s="1297" t="s">
        <v>1048</v>
      </c>
      <c r="F6070" s="1399"/>
      <c r="G6070" s="1399"/>
      <c r="H6070" s="1399"/>
      <c r="I6070" s="1399">
        <v>-121572502</v>
      </c>
      <c r="J6070" s="1399">
        <v>-121572502</v>
      </c>
    </row>
    <row r="6071" spans="5:10" s="1297" customFormat="1">
      <c r="E6071" s="1404" t="s">
        <v>955</v>
      </c>
      <c r="F6071" s="1405"/>
      <c r="G6071" s="1405"/>
      <c r="H6071" s="1405"/>
      <c r="I6071" s="1405">
        <v>2637758.36</v>
      </c>
      <c r="J6071" s="1405">
        <v>2637758.36</v>
      </c>
    </row>
    <row r="6072" spans="5:10" s="1297" customFormat="1">
      <c r="E6072" s="1297" t="s">
        <v>934</v>
      </c>
      <c r="F6072" s="1399"/>
      <c r="G6072" s="1399"/>
      <c r="H6072" s="1399"/>
      <c r="I6072" s="1399">
        <v>659002</v>
      </c>
      <c r="J6072" s="1399">
        <v>659002</v>
      </c>
    </row>
    <row r="6073" spans="5:10" s="1297" customFormat="1">
      <c r="E6073" s="1297" t="s">
        <v>1130</v>
      </c>
      <c r="F6073" s="1399"/>
      <c r="G6073" s="1399"/>
      <c r="H6073" s="1399"/>
      <c r="I6073" s="1399">
        <v>1767686.4</v>
      </c>
      <c r="J6073" s="1399">
        <v>1767686.4</v>
      </c>
    </row>
    <row r="6074" spans="5:10" s="1297" customFormat="1">
      <c r="E6074" s="1297" t="s">
        <v>935</v>
      </c>
      <c r="F6074" s="1399"/>
      <c r="G6074" s="1399"/>
      <c r="H6074" s="1399"/>
      <c r="I6074" s="1399">
        <v>3114895.86</v>
      </c>
      <c r="J6074" s="1399">
        <v>3114895.86</v>
      </c>
    </row>
    <row r="6075" spans="5:10" s="1297" customFormat="1">
      <c r="E6075" s="1297" t="s">
        <v>936</v>
      </c>
      <c r="F6075" s="1399"/>
      <c r="G6075" s="1399"/>
      <c r="H6075" s="1399"/>
      <c r="I6075" s="1399">
        <v>623968.25</v>
      </c>
      <c r="J6075" s="1399">
        <v>623968.25</v>
      </c>
    </row>
    <row r="6076" spans="5:10" s="1297" customFormat="1">
      <c r="E6076" s="1297" t="s">
        <v>937</v>
      </c>
      <c r="F6076" s="1399"/>
      <c r="G6076" s="1399"/>
      <c r="H6076" s="1399"/>
      <c r="I6076" s="1399">
        <v>173889.68</v>
      </c>
      <c r="J6076" s="1399">
        <v>173889.68</v>
      </c>
    </row>
    <row r="6077" spans="5:10" s="1297" customFormat="1">
      <c r="E6077" s="1297" t="s">
        <v>1131</v>
      </c>
      <c r="F6077" s="1399">
        <v>971016.27999999991</v>
      </c>
      <c r="G6077" s="1399"/>
      <c r="H6077" s="1399"/>
      <c r="I6077" s="1399"/>
      <c r="J6077" s="1399">
        <v>971016.27999999991</v>
      </c>
    </row>
    <row r="6078" spans="5:10" s="1297" customFormat="1">
      <c r="E6078" s="1297" t="s">
        <v>940</v>
      </c>
      <c r="F6078" s="1399">
        <v>14445417.199999997</v>
      </c>
      <c r="G6078" s="1399"/>
      <c r="H6078" s="1399"/>
      <c r="I6078" s="1399"/>
      <c r="J6078" s="1399">
        <v>14445417.199999997</v>
      </c>
    </row>
    <row r="6079" spans="5:10" s="1297" customFormat="1">
      <c r="E6079" s="1297" t="s">
        <v>941</v>
      </c>
      <c r="F6079" s="1399">
        <v>5655839.9000000004</v>
      </c>
      <c r="G6079" s="1399"/>
      <c r="H6079" s="1399"/>
      <c r="I6079" s="1399"/>
      <c r="J6079" s="1399">
        <v>5655839.9000000004</v>
      </c>
    </row>
    <row r="6080" spans="5:10" s="1297" customFormat="1">
      <c r="E6080" s="1297" t="s">
        <v>943</v>
      </c>
      <c r="F6080" s="1399">
        <v>242511.94999999995</v>
      </c>
      <c r="G6080" s="1399"/>
      <c r="H6080" s="1399"/>
      <c r="I6080" s="1399"/>
      <c r="J6080" s="1399">
        <v>242511.94999999995</v>
      </c>
    </row>
    <row r="6081" spans="2:16">
      <c r="B6081" s="1297"/>
      <c r="C6081" s="1297"/>
      <c r="D6081" s="1297"/>
      <c r="E6081" s="1297" t="s">
        <v>944</v>
      </c>
      <c r="F6081" s="1399">
        <v>52258608.980000004</v>
      </c>
      <c r="J6081" s="1399">
        <v>52258608.980000004</v>
      </c>
    </row>
    <row r="6082" spans="2:16">
      <c r="B6082" s="1297"/>
      <c r="C6082" s="1297"/>
      <c r="D6082" s="1297"/>
      <c r="E6082" s="1297" t="s">
        <v>945</v>
      </c>
      <c r="F6082" s="1399">
        <v>27272087.890000001</v>
      </c>
      <c r="J6082" s="1399">
        <v>27272087.890000001</v>
      </c>
    </row>
    <row r="6083" spans="2:16">
      <c r="B6083" s="1297"/>
      <c r="C6083" s="1297"/>
      <c r="D6083" s="1297"/>
      <c r="E6083" s="1297" t="s">
        <v>946</v>
      </c>
      <c r="F6083" s="1399">
        <v>1415715.77</v>
      </c>
      <c r="J6083" s="1399">
        <v>1415715.77</v>
      </c>
    </row>
    <row r="6084" spans="2:16">
      <c r="B6084" s="1297"/>
      <c r="C6084" s="1297"/>
      <c r="D6084" s="1297"/>
      <c r="E6084" s="1297" t="s">
        <v>978</v>
      </c>
      <c r="F6084" s="1399">
        <v>192854.53999999998</v>
      </c>
      <c r="J6084" s="1399">
        <v>192854.53999999998</v>
      </c>
    </row>
    <row r="6085" spans="2:16">
      <c r="B6085" s="1297"/>
      <c r="C6085" s="1297"/>
      <c r="D6085" s="1297"/>
      <c r="E6085" s="1297" t="s">
        <v>1006</v>
      </c>
      <c r="F6085" s="1399">
        <v>51408.94</v>
      </c>
      <c r="J6085" s="1399">
        <v>51408.94</v>
      </c>
    </row>
    <row r="6086" spans="2:16">
      <c r="B6086" s="1297"/>
      <c r="C6086" s="1297"/>
      <c r="D6086" s="1297"/>
      <c r="E6086" s="1297" t="s">
        <v>1214</v>
      </c>
      <c r="F6086" s="1399">
        <v>1259031.76</v>
      </c>
      <c r="J6086" s="1399">
        <v>1259031.76</v>
      </c>
    </row>
    <row r="6087" spans="2:16">
      <c r="B6087" s="1297"/>
      <c r="C6087" s="1297"/>
      <c r="D6087" s="1297"/>
      <c r="E6087" s="1297" t="s">
        <v>947</v>
      </c>
      <c r="F6087" s="1399">
        <v>1230788.9500000002</v>
      </c>
      <c r="J6087" s="1399">
        <v>1230788.9500000002</v>
      </c>
    </row>
    <row r="6088" spans="2:16">
      <c r="B6088" s="1297"/>
      <c r="C6088" s="1297"/>
      <c r="D6088" s="1297"/>
      <c r="E6088" s="1404" t="s">
        <v>1116</v>
      </c>
      <c r="F6088" s="1405"/>
      <c r="G6088" s="1405"/>
      <c r="H6088" s="1405">
        <v>104415000</v>
      </c>
      <c r="I6088" s="1405"/>
      <c r="J6088" s="1405">
        <v>104415000</v>
      </c>
    </row>
    <row r="6089" spans="2:16">
      <c r="B6089" s="1297"/>
      <c r="C6089" s="1297"/>
      <c r="D6089" s="1297"/>
      <c r="E6089" s="1297" t="s">
        <v>1117</v>
      </c>
      <c r="H6089" s="1399">
        <v>3097709.35</v>
      </c>
      <c r="J6089" s="1399">
        <v>3097709.35</v>
      </c>
    </row>
    <row r="6090" spans="2:16">
      <c r="B6090" s="1297"/>
      <c r="C6090" s="1297"/>
      <c r="D6090" s="1297"/>
      <c r="E6090" s="1404" t="s">
        <v>948</v>
      </c>
      <c r="F6090" s="1405"/>
      <c r="G6090" s="1405"/>
      <c r="H6090" s="1405">
        <v>31085311.740000002</v>
      </c>
      <c r="I6090" s="1405"/>
      <c r="J6090" s="1405">
        <v>31085311.740000002</v>
      </c>
    </row>
    <row r="6091" spans="2:16">
      <c r="B6091" s="1297"/>
      <c r="C6091" s="1297"/>
      <c r="D6091" s="1297"/>
      <c r="E6091" s="1297" t="s">
        <v>956</v>
      </c>
      <c r="H6091" s="1399">
        <v>134009971.53</v>
      </c>
      <c r="J6091" s="1399">
        <v>134009971.53</v>
      </c>
    </row>
    <row r="6092" spans="2:16">
      <c r="B6092" s="1297"/>
      <c r="C6092" s="1297"/>
      <c r="D6092" s="1297"/>
      <c r="E6092" s="1297" t="s">
        <v>1118</v>
      </c>
      <c r="H6092" s="1399">
        <v>4524383.49</v>
      </c>
      <c r="J6092" s="1399">
        <v>4524383.49</v>
      </c>
    </row>
    <row r="6093" spans="2:16">
      <c r="B6093" s="1297"/>
      <c r="C6093" s="1297"/>
      <c r="D6093" s="1400" t="s">
        <v>1433</v>
      </c>
      <c r="E6093" s="1400" t="s">
        <v>1644</v>
      </c>
      <c r="F6093" s="1401">
        <f>SUM(F6045:F6092)-'1$REV-CharterAuditData'!BM30</f>
        <v>102172098.02000001</v>
      </c>
      <c r="G6093" s="1401">
        <f>SUM(G6045:G6092)-'1$REV-CharterAuditData'!Q30</f>
        <v>481458463.28000003</v>
      </c>
      <c r="H6093" s="1412">
        <f>SUM(H6045:H6092)-(H6088+H6090)</f>
        <v>151745479.02999997</v>
      </c>
      <c r="I6093" s="1401">
        <f>SUM(I6045:I6092)-('1$REV-CharterAuditData'!AZ30+I6071)</f>
        <v>113767349.19000001</v>
      </c>
      <c r="J6093" s="1401">
        <f>SUM(J6045:J6092)</f>
        <v>1031157470.6200002</v>
      </c>
      <c r="K6093" s="1401">
        <f>SUM(F6093:I6093)</f>
        <v>849143389.5200001</v>
      </c>
      <c r="L6093" s="1407">
        <f>K6093/C6045</f>
        <v>18980.36097992758</v>
      </c>
      <c r="M6093" s="1407">
        <f>F6093/C6045</f>
        <v>2283.7877871160986</v>
      </c>
      <c r="N6093" s="1400">
        <f>F6093/K6093</f>
        <v>0.12032372774844939</v>
      </c>
      <c r="O6093" s="1400"/>
      <c r="P6093" s="1400"/>
    </row>
    <row r="6094" spans="2:16">
      <c r="B6094" s="1297" t="s">
        <v>1434</v>
      </c>
      <c r="C6094" s="1297">
        <v>2057</v>
      </c>
      <c r="D6094" s="1297" t="s">
        <v>1435</v>
      </c>
      <c r="E6094" s="1297" t="s">
        <v>906</v>
      </c>
      <c r="G6094" s="1399">
        <v>211254.6</v>
      </c>
      <c r="J6094" s="1399">
        <v>211254.6</v>
      </c>
    </row>
    <row r="6095" spans="2:16">
      <c r="B6095" s="1297"/>
      <c r="C6095" s="1297"/>
      <c r="D6095" s="1297"/>
      <c r="E6095" s="1297" t="s">
        <v>952</v>
      </c>
      <c r="G6095" s="1399">
        <v>24654.45</v>
      </c>
      <c r="J6095" s="1399">
        <v>24654.45</v>
      </c>
    </row>
    <row r="6096" spans="2:16">
      <c r="B6096" s="1297"/>
      <c r="C6096" s="1297"/>
      <c r="D6096" s="1297"/>
      <c r="E6096" s="1297" t="s">
        <v>907</v>
      </c>
      <c r="G6096" s="1399">
        <v>1565513.08</v>
      </c>
      <c r="J6096" s="1399">
        <v>1565513.08</v>
      </c>
    </row>
    <row r="6097" spans="2:11">
      <c r="B6097" s="1297"/>
      <c r="C6097" s="1297"/>
      <c r="D6097" s="1297"/>
      <c r="E6097" s="1297" t="s">
        <v>1145</v>
      </c>
      <c r="G6097" s="1399">
        <v>2952746.91</v>
      </c>
      <c r="J6097" s="1399">
        <v>2952746.91</v>
      </c>
      <c r="K6097" s="1297"/>
    </row>
    <row r="6098" spans="2:11">
      <c r="B6098" s="1297"/>
      <c r="C6098" s="1297"/>
      <c r="D6098" s="1297"/>
      <c r="E6098" s="1297" t="s">
        <v>909</v>
      </c>
      <c r="H6098" s="1399">
        <v>35033.19</v>
      </c>
      <c r="J6098" s="1399">
        <v>35033.19</v>
      </c>
      <c r="K6098" s="1297"/>
    </row>
    <row r="6099" spans="2:11">
      <c r="B6099" s="1297"/>
      <c r="C6099" s="1297"/>
      <c r="D6099" s="1297"/>
      <c r="E6099" s="1297" t="s">
        <v>910</v>
      </c>
      <c r="H6099" s="1399">
        <v>377075.35</v>
      </c>
      <c r="J6099" s="1399">
        <v>377075.35</v>
      </c>
      <c r="K6099" s="1297"/>
    </row>
    <row r="6100" spans="2:11">
      <c r="B6100" s="1297"/>
      <c r="C6100" s="1297"/>
      <c r="D6100" s="1297"/>
      <c r="E6100" s="1297" t="s">
        <v>1034</v>
      </c>
      <c r="H6100" s="1399">
        <v>44865.16</v>
      </c>
      <c r="J6100" s="1399">
        <v>44865.16</v>
      </c>
      <c r="K6100" s="1297"/>
    </row>
    <row r="6101" spans="2:11">
      <c r="B6101" s="1297"/>
      <c r="C6101" s="1297"/>
      <c r="D6101" s="1297"/>
      <c r="E6101" s="1297" t="s">
        <v>1035</v>
      </c>
      <c r="H6101" s="1399">
        <v>411064.51</v>
      </c>
      <c r="J6101" s="1399">
        <v>411064.51</v>
      </c>
      <c r="K6101" s="1297"/>
    </row>
    <row r="6102" spans="2:11">
      <c r="B6102" s="1297"/>
      <c r="C6102" s="1297"/>
      <c r="D6102" s="1297"/>
      <c r="E6102" s="1297" t="s">
        <v>1036</v>
      </c>
      <c r="H6102" s="1399">
        <v>120997.48</v>
      </c>
      <c r="J6102" s="1399">
        <v>120997.48</v>
      </c>
      <c r="K6102" s="1297"/>
    </row>
    <row r="6103" spans="2:11">
      <c r="B6103" s="1297"/>
      <c r="C6103" s="1297"/>
      <c r="D6103" s="1297"/>
      <c r="E6103" s="1297" t="s">
        <v>1037</v>
      </c>
      <c r="H6103" s="1399">
        <v>816644.88</v>
      </c>
      <c r="J6103" s="1399">
        <v>816644.88</v>
      </c>
      <c r="K6103" s="1297"/>
    </row>
    <row r="6104" spans="2:11">
      <c r="B6104" s="1297"/>
      <c r="C6104" s="1297"/>
      <c r="D6104" s="1297"/>
      <c r="E6104" s="1297" t="s">
        <v>1039</v>
      </c>
      <c r="H6104" s="1399">
        <v>34392.14</v>
      </c>
      <c r="J6104" s="1399">
        <v>34392.14</v>
      </c>
      <c r="K6104" s="1297"/>
    </row>
    <row r="6105" spans="2:11">
      <c r="B6105" s="1297"/>
      <c r="C6105" s="1297"/>
      <c r="D6105" s="1297"/>
      <c r="E6105" s="1297" t="s">
        <v>1040</v>
      </c>
      <c r="H6105" s="1399">
        <v>353039.31</v>
      </c>
      <c r="J6105" s="1399">
        <v>353039.31</v>
      </c>
      <c r="K6105" s="1297"/>
    </row>
    <row r="6106" spans="2:11">
      <c r="B6106" s="1297"/>
      <c r="C6106" s="1297"/>
      <c r="D6106" s="1297"/>
      <c r="E6106" s="1297" t="s">
        <v>1207</v>
      </c>
      <c r="H6106" s="1399">
        <v>19390.23</v>
      </c>
      <c r="J6106" s="1399">
        <v>19390.23</v>
      </c>
      <c r="K6106" s="1297"/>
    </row>
    <row r="6107" spans="2:11">
      <c r="B6107" s="1297"/>
      <c r="C6107" s="1297"/>
      <c r="D6107" s="1297"/>
      <c r="E6107" s="1297" t="s">
        <v>1041</v>
      </c>
      <c r="H6107" s="1399">
        <v>3414.9300000000003</v>
      </c>
      <c r="J6107" s="1399">
        <v>3414.9300000000003</v>
      </c>
      <c r="K6107" s="1297"/>
    </row>
    <row r="6108" spans="2:11">
      <c r="B6108" s="1297"/>
      <c r="C6108" s="1297"/>
      <c r="D6108" s="1297"/>
      <c r="E6108" s="1297" t="s">
        <v>1042</v>
      </c>
      <c r="H6108" s="1399">
        <v>15618</v>
      </c>
      <c r="J6108" s="1399">
        <v>15618</v>
      </c>
      <c r="K6108" s="1297"/>
    </row>
    <row r="6109" spans="2:11">
      <c r="B6109" s="1297"/>
      <c r="C6109" s="1297"/>
      <c r="D6109" s="1297"/>
      <c r="E6109" s="1297" t="s">
        <v>985</v>
      </c>
      <c r="H6109" s="1399">
        <v>82000.820000000007</v>
      </c>
      <c r="J6109" s="1399">
        <v>82000.820000000007</v>
      </c>
      <c r="K6109" s="1297"/>
    </row>
    <row r="6110" spans="2:11">
      <c r="B6110" s="1297"/>
      <c r="C6110" s="1297"/>
      <c r="D6110" s="1297"/>
      <c r="E6110" s="1297" t="s">
        <v>986</v>
      </c>
      <c r="H6110" s="1399">
        <v>253633.79</v>
      </c>
      <c r="J6110" s="1399">
        <v>253633.79</v>
      </c>
      <c r="K6110" s="1297"/>
    </row>
    <row r="6111" spans="2:11">
      <c r="B6111" s="1297"/>
      <c r="C6111" s="1297"/>
      <c r="D6111" s="1297"/>
      <c r="E6111" s="1297" t="s">
        <v>1004</v>
      </c>
      <c r="H6111" s="1399">
        <v>-31042.95</v>
      </c>
      <c r="J6111" s="1399">
        <v>-31042.95</v>
      </c>
      <c r="K6111" s="1297"/>
    </row>
    <row r="6112" spans="2:11">
      <c r="B6112" s="1297"/>
      <c r="C6112" s="1297"/>
      <c r="D6112" s="1297"/>
      <c r="E6112" s="1297" t="s">
        <v>1045</v>
      </c>
      <c r="H6112" s="1399">
        <v>467078.93</v>
      </c>
      <c r="J6112" s="1399">
        <v>467078.93</v>
      </c>
      <c r="K6112" s="1297"/>
    </row>
    <row r="6113" spans="2:11">
      <c r="B6113" s="1297"/>
      <c r="C6113" s="1297"/>
      <c r="D6113" s="1297"/>
      <c r="E6113" s="1297" t="s">
        <v>1046</v>
      </c>
      <c r="I6113" s="1399">
        <v>10555476</v>
      </c>
      <c r="J6113" s="1399">
        <v>10555476</v>
      </c>
      <c r="K6113" s="1297"/>
    </row>
    <row r="6114" spans="2:11">
      <c r="B6114" s="1297"/>
      <c r="C6114" s="1297"/>
      <c r="D6114" s="1297"/>
      <c r="E6114" s="1297" t="s">
        <v>1128</v>
      </c>
      <c r="I6114" s="1399">
        <v>870481</v>
      </c>
      <c r="J6114" s="1399">
        <v>870481</v>
      </c>
      <c r="K6114" s="1297"/>
    </row>
    <row r="6115" spans="2:11">
      <c r="B6115" s="1297"/>
      <c r="C6115" s="1297"/>
      <c r="D6115" s="1297"/>
      <c r="E6115" s="1297" t="s">
        <v>1129</v>
      </c>
      <c r="I6115" s="1399">
        <v>-1390287</v>
      </c>
      <c r="J6115" s="1399">
        <v>-1390287</v>
      </c>
      <c r="K6115" s="1297"/>
    </row>
    <row r="6116" spans="2:11">
      <c r="B6116" s="1297"/>
      <c r="C6116" s="1297"/>
      <c r="D6116" s="1297"/>
      <c r="E6116" s="1297" t="s">
        <v>1047</v>
      </c>
      <c r="I6116" s="1399">
        <v>59736</v>
      </c>
      <c r="J6116" s="1399">
        <v>59736</v>
      </c>
      <c r="K6116" s="1297"/>
    </row>
    <row r="6117" spans="2:11">
      <c r="B6117" s="1297"/>
      <c r="C6117" s="1297"/>
      <c r="D6117" s="1297"/>
      <c r="E6117" s="1297" t="s">
        <v>1048</v>
      </c>
      <c r="I6117" s="1399">
        <v>-1051179</v>
      </c>
      <c r="J6117" s="1399">
        <v>-1051179</v>
      </c>
      <c r="K6117" s="1297"/>
    </row>
    <row r="6118" spans="2:11">
      <c r="B6118" s="1297"/>
      <c r="C6118" s="1297"/>
      <c r="D6118" s="1297"/>
      <c r="E6118" s="359" t="s">
        <v>932</v>
      </c>
      <c r="F6118" s="1411"/>
      <c r="G6118" s="1411"/>
      <c r="H6118" s="1411"/>
      <c r="I6118" s="1411">
        <v>1126557</v>
      </c>
      <c r="J6118" s="1399">
        <v>1126557</v>
      </c>
      <c r="K6118" s="1297"/>
    </row>
    <row r="6119" spans="2:11">
      <c r="B6119" s="1297"/>
      <c r="C6119" s="1297"/>
      <c r="D6119" s="1297"/>
      <c r="E6119" s="1404" t="s">
        <v>955</v>
      </c>
      <c r="F6119" s="1405"/>
      <c r="G6119" s="1405"/>
      <c r="H6119" s="1405"/>
      <c r="I6119" s="1405">
        <v>471469.73</v>
      </c>
      <c r="J6119" s="1405">
        <v>471469.73</v>
      </c>
      <c r="K6119" s="1297"/>
    </row>
    <row r="6120" spans="2:11">
      <c r="B6120" s="1297"/>
      <c r="C6120" s="1297"/>
      <c r="D6120" s="1297"/>
      <c r="E6120" s="1297" t="s">
        <v>934</v>
      </c>
      <c r="I6120" s="1399">
        <v>25876</v>
      </c>
      <c r="J6120" s="1399">
        <v>25876</v>
      </c>
      <c r="K6120" s="1297"/>
    </row>
    <row r="6121" spans="2:11">
      <c r="B6121" s="1297"/>
      <c r="C6121" s="1297"/>
      <c r="D6121" s="1297"/>
      <c r="E6121" s="1297" t="s">
        <v>935</v>
      </c>
      <c r="I6121" s="1399">
        <v>94784.68</v>
      </c>
      <c r="J6121" s="1399">
        <v>94784.68</v>
      </c>
      <c r="K6121" s="1297"/>
    </row>
    <row r="6122" spans="2:11">
      <c r="B6122" s="1297"/>
      <c r="C6122" s="1297"/>
      <c r="D6122" s="1297"/>
      <c r="E6122" s="1297" t="s">
        <v>936</v>
      </c>
      <c r="I6122" s="1399">
        <v>31163.4</v>
      </c>
      <c r="J6122" s="1399">
        <v>31163.4</v>
      </c>
      <c r="K6122" s="1297"/>
    </row>
    <row r="6123" spans="2:11">
      <c r="B6123" s="1297"/>
      <c r="C6123" s="1297"/>
      <c r="D6123" s="1297"/>
      <c r="E6123" s="1297" t="s">
        <v>938</v>
      </c>
      <c r="I6123" s="1399">
        <v>5240</v>
      </c>
      <c r="J6123" s="1399">
        <v>5240</v>
      </c>
      <c r="K6123" s="1297"/>
    </row>
    <row r="6124" spans="2:11">
      <c r="B6124" s="1297"/>
      <c r="C6124" s="1297"/>
      <c r="D6124" s="1297"/>
      <c r="E6124" s="1297" t="s">
        <v>939</v>
      </c>
      <c r="I6124" s="1399">
        <v>42250</v>
      </c>
      <c r="J6124" s="1399">
        <v>42250</v>
      </c>
      <c r="K6124" s="1297"/>
    </row>
    <row r="6125" spans="2:11">
      <c r="B6125" s="1297"/>
      <c r="C6125" s="1297"/>
      <c r="D6125" s="1297"/>
      <c r="E6125" s="1297" t="s">
        <v>940</v>
      </c>
      <c r="F6125" s="1399">
        <v>242184.52</v>
      </c>
      <c r="J6125" s="1399">
        <v>242184.52</v>
      </c>
      <c r="K6125" s="1297"/>
    </row>
    <row r="6126" spans="2:11">
      <c r="B6126" s="1297"/>
      <c r="C6126" s="1297"/>
      <c r="D6126" s="1297"/>
      <c r="E6126" s="1297" t="s">
        <v>941</v>
      </c>
      <c r="F6126" s="1399">
        <v>52488.619999999995</v>
      </c>
      <c r="J6126" s="1399">
        <v>52488.619999999995</v>
      </c>
      <c r="K6126" s="1297"/>
    </row>
    <row r="6127" spans="2:11">
      <c r="B6127" s="1297"/>
      <c r="C6127" s="1297"/>
      <c r="D6127" s="1297"/>
      <c r="E6127" s="1297" t="s">
        <v>944</v>
      </c>
      <c r="F6127" s="1399">
        <v>750529.24</v>
      </c>
      <c r="J6127" s="1399">
        <v>750529.24</v>
      </c>
      <c r="K6127" s="1297"/>
    </row>
    <row r="6128" spans="2:11">
      <c r="B6128" s="1297"/>
      <c r="C6128" s="1297"/>
      <c r="D6128" s="1297"/>
      <c r="E6128" s="1297" t="s">
        <v>945</v>
      </c>
      <c r="F6128" s="1399">
        <v>575843.44999999995</v>
      </c>
      <c r="J6128" s="1399">
        <v>575843.44999999995</v>
      </c>
      <c r="K6128" s="1297"/>
    </row>
    <row r="6129" spans="2:12">
      <c r="B6129" s="1297"/>
      <c r="C6129" s="1297"/>
      <c r="D6129" s="1297"/>
      <c r="E6129" s="1297" t="s">
        <v>946</v>
      </c>
      <c r="F6129" s="1399">
        <v>14653.92</v>
      </c>
      <c r="J6129" s="1399">
        <v>14653.92</v>
      </c>
    </row>
    <row r="6130" spans="2:12">
      <c r="B6130" s="1297"/>
      <c r="C6130" s="1297"/>
      <c r="D6130" s="1297"/>
      <c r="E6130" s="1297" t="s">
        <v>947</v>
      </c>
      <c r="F6130" s="1399">
        <v>45782.12</v>
      </c>
      <c r="J6130" s="1399">
        <v>45782.12</v>
      </c>
    </row>
    <row r="6131" spans="2:12">
      <c r="B6131" s="1297"/>
      <c r="C6131" s="1297"/>
      <c r="D6131" s="1297"/>
      <c r="E6131" s="1404" t="s">
        <v>1116</v>
      </c>
      <c r="F6131" s="1405"/>
      <c r="G6131" s="1405"/>
      <c r="H6131" s="1405">
        <v>2940000</v>
      </c>
      <c r="I6131" s="1405"/>
      <c r="J6131" s="1405">
        <v>2940000</v>
      </c>
    </row>
    <row r="6132" spans="2:12">
      <c r="B6132" s="1297"/>
      <c r="C6132" s="1297"/>
      <c r="D6132" s="1297"/>
      <c r="E6132" s="1404" t="s">
        <v>948</v>
      </c>
      <c r="F6132" s="1405"/>
      <c r="G6132" s="1405"/>
      <c r="H6132" s="1405">
        <v>1960975.54</v>
      </c>
      <c r="I6132" s="1405"/>
      <c r="J6132" s="1405">
        <v>1960975.54</v>
      </c>
    </row>
    <row r="6133" spans="2:12">
      <c r="B6133" s="1297"/>
      <c r="C6133" s="1297"/>
      <c r="D6133" s="1400" t="s">
        <v>1436</v>
      </c>
      <c r="E6133" s="1400"/>
      <c r="F6133" s="1401">
        <f>SUM(F6094:F6132)</f>
        <v>1681481.87</v>
      </c>
      <c r="G6133" s="1401">
        <f>SUM(G6094:G6132)</f>
        <v>4754169.04</v>
      </c>
      <c r="H6133" s="1401">
        <f>SUM(H6094:H6132)-(H6131+H6132)</f>
        <v>3003205.7699999996</v>
      </c>
      <c r="I6133" s="1401">
        <f>SUM(I6094:I6132)-I6119</f>
        <v>10370098.08</v>
      </c>
      <c r="J6133" s="1401">
        <f>SUM(J6094:J6132)</f>
        <v>25181400.029999997</v>
      </c>
      <c r="K6133" s="1401">
        <f>SUM(F6133:I6133)</f>
        <v>19808954.759999998</v>
      </c>
      <c r="L6133" s="1408">
        <f>K6133/C6094</f>
        <v>9630.0217598444324</v>
      </c>
    </row>
    <row r="6134" spans="2:12">
      <c r="B6134" s="1297" t="s">
        <v>1437</v>
      </c>
      <c r="C6134" s="1297">
        <v>3183</v>
      </c>
      <c r="D6134" s="1297" t="s">
        <v>1438</v>
      </c>
      <c r="E6134" s="1297" t="s">
        <v>907</v>
      </c>
      <c r="G6134" s="1399">
        <v>2869784.14</v>
      </c>
      <c r="J6134" s="1399">
        <v>2869784.14</v>
      </c>
    </row>
    <row r="6135" spans="2:12">
      <c r="B6135" s="1297"/>
      <c r="C6135" s="1297"/>
      <c r="D6135" s="1297"/>
      <c r="E6135" s="1297" t="s">
        <v>1145</v>
      </c>
      <c r="G6135" s="1399">
        <v>17304552.02</v>
      </c>
      <c r="J6135" s="1399">
        <v>17304552.02</v>
      </c>
    </row>
    <row r="6136" spans="2:12">
      <c r="B6136" s="1297"/>
      <c r="C6136" s="1297"/>
      <c r="D6136" s="1297"/>
      <c r="E6136" s="1297" t="s">
        <v>1037</v>
      </c>
      <c r="H6136" s="1399">
        <v>1311992.1299999999</v>
      </c>
      <c r="J6136" s="1399">
        <v>1311992.1299999999</v>
      </c>
    </row>
    <row r="6137" spans="2:12">
      <c r="B6137" s="1297"/>
      <c r="C6137" s="1297"/>
      <c r="D6137" s="1297"/>
      <c r="E6137" s="1297" t="s">
        <v>1039</v>
      </c>
      <c r="H6137" s="1399">
        <v>3490.62</v>
      </c>
      <c r="J6137" s="1399">
        <v>3490.62</v>
      </c>
    </row>
    <row r="6138" spans="2:12">
      <c r="B6138" s="1297"/>
      <c r="C6138" s="1297"/>
      <c r="D6138" s="1297"/>
      <c r="E6138" s="1297" t="s">
        <v>1040</v>
      </c>
      <c r="H6138" s="1399">
        <v>374430.81</v>
      </c>
      <c r="J6138" s="1399">
        <v>374430.81</v>
      </c>
    </row>
    <row r="6139" spans="2:12">
      <c r="B6139" s="1297"/>
      <c r="C6139" s="1297"/>
      <c r="D6139" s="1297"/>
      <c r="E6139" s="1297" t="s">
        <v>1041</v>
      </c>
      <c r="H6139" s="1399">
        <v>85103.42</v>
      </c>
      <c r="J6139" s="1399">
        <v>85103.42</v>
      </c>
    </row>
    <row r="6140" spans="2:12">
      <c r="B6140" s="1297"/>
      <c r="C6140" s="1297"/>
      <c r="D6140" s="1297"/>
      <c r="E6140" s="1297" t="s">
        <v>1045</v>
      </c>
      <c r="H6140" s="1399">
        <v>397724.05999999994</v>
      </c>
      <c r="J6140" s="1399">
        <v>397724.05999999994</v>
      </c>
    </row>
    <row r="6141" spans="2:12">
      <c r="B6141" s="1297"/>
      <c r="C6141" s="1297"/>
      <c r="D6141" s="1297"/>
      <c r="E6141" s="1297" t="s">
        <v>1046</v>
      </c>
      <c r="I6141" s="1399">
        <v>18191973</v>
      </c>
      <c r="J6141" s="1399">
        <v>18191973</v>
      </c>
    </row>
    <row r="6142" spans="2:12">
      <c r="B6142" s="1297"/>
      <c r="C6142" s="1297"/>
      <c r="D6142" s="1297"/>
      <c r="E6142" s="1297" t="s">
        <v>1047</v>
      </c>
      <c r="I6142" s="1399">
        <v>-1790273</v>
      </c>
      <c r="J6142" s="1399">
        <v>-1790273</v>
      </c>
    </row>
    <row r="6143" spans="2:12">
      <c r="B6143" s="1297"/>
      <c r="C6143" s="1297"/>
      <c r="D6143" s="1297"/>
      <c r="E6143" s="1297" t="s">
        <v>1048</v>
      </c>
      <c r="I6143" s="1399">
        <v>-4556825</v>
      </c>
      <c r="J6143" s="1399">
        <v>-4556825</v>
      </c>
    </row>
    <row r="6144" spans="2:12">
      <c r="B6144" s="1297"/>
      <c r="C6144" s="1297"/>
      <c r="D6144" s="1297"/>
      <c r="E6144" s="1297" t="s">
        <v>934</v>
      </c>
      <c r="I6144" s="1399">
        <v>45792.94</v>
      </c>
      <c r="J6144" s="1399">
        <v>45792.94</v>
      </c>
    </row>
    <row r="6145" spans="2:12">
      <c r="B6145" s="1297"/>
      <c r="C6145" s="1297"/>
      <c r="D6145" s="1297"/>
      <c r="E6145" s="1297" t="s">
        <v>935</v>
      </c>
      <c r="I6145" s="1399">
        <v>69927.56</v>
      </c>
      <c r="J6145" s="1399">
        <v>69927.56</v>
      </c>
    </row>
    <row r="6146" spans="2:12">
      <c r="B6146" s="1297"/>
      <c r="C6146" s="1297"/>
      <c r="D6146" s="1297"/>
      <c r="E6146" s="1297" t="s">
        <v>940</v>
      </c>
      <c r="F6146" s="1399">
        <v>902579.4800000001</v>
      </c>
      <c r="J6146" s="1399">
        <v>902579.4800000001</v>
      </c>
    </row>
    <row r="6147" spans="2:12">
      <c r="B6147" s="1297"/>
      <c r="C6147" s="1297"/>
      <c r="D6147" s="1297"/>
      <c r="E6147" s="1297" t="s">
        <v>944</v>
      </c>
      <c r="F6147" s="1399">
        <v>873036.82000000007</v>
      </c>
      <c r="J6147" s="1399">
        <v>873036.82000000007</v>
      </c>
    </row>
    <row r="6148" spans="2:12">
      <c r="B6148" s="1297"/>
      <c r="C6148" s="1297"/>
      <c r="D6148" s="1297"/>
      <c r="E6148" s="1297" t="s">
        <v>945</v>
      </c>
      <c r="F6148" s="1399">
        <v>887958.95</v>
      </c>
      <c r="J6148" s="1399">
        <v>887958.95</v>
      </c>
    </row>
    <row r="6149" spans="2:12">
      <c r="B6149" s="1297"/>
      <c r="C6149" s="1297"/>
      <c r="D6149" s="1297"/>
      <c r="E6149" s="1297" t="s">
        <v>947</v>
      </c>
      <c r="F6149" s="1399">
        <v>57102.990000000005</v>
      </c>
      <c r="J6149" s="1399">
        <v>57102.990000000005</v>
      </c>
    </row>
    <row r="6150" spans="2:12">
      <c r="B6150" s="1297"/>
      <c r="C6150" s="1297"/>
      <c r="D6150" s="1297"/>
      <c r="E6150" s="1404" t="s">
        <v>948</v>
      </c>
      <c r="F6150" s="1405"/>
      <c r="G6150" s="1405"/>
      <c r="H6150" s="1405">
        <v>300082.48</v>
      </c>
      <c r="I6150" s="1405"/>
      <c r="J6150" s="1405">
        <v>300082.48</v>
      </c>
    </row>
    <row r="6151" spans="2:12">
      <c r="B6151" s="1297"/>
      <c r="C6151" s="1297"/>
      <c r="D6151" s="1400" t="s">
        <v>1439</v>
      </c>
      <c r="E6151" s="1400"/>
      <c r="F6151" s="1401">
        <f>SUM(F6134:F6150)</f>
        <v>2720678.24</v>
      </c>
      <c r="G6151" s="1401">
        <f>SUM(G6134:G6150)</f>
        <v>20174336.16</v>
      </c>
      <c r="H6151" s="1401">
        <f>SUM(H6134:H6150)-H6150</f>
        <v>2172741.04</v>
      </c>
      <c r="I6151" s="1401">
        <f>SUM(I6134:I6150)</f>
        <v>11960595.5</v>
      </c>
      <c r="J6151" s="1401">
        <f>SUM(J6134:J6150)</f>
        <v>37328433.420000002</v>
      </c>
      <c r="K6151" s="1401">
        <f>SUM(F6151:I6151)</f>
        <v>37028350.939999998</v>
      </c>
      <c r="L6151" s="1408">
        <f>K6151/C6134</f>
        <v>11633.160835689599</v>
      </c>
    </row>
    <row r="6152" spans="2:12">
      <c r="B6152" s="1297" t="s">
        <v>1440</v>
      </c>
      <c r="C6152" s="1297">
        <v>3536</v>
      </c>
      <c r="D6152" s="1297" t="s">
        <v>1441</v>
      </c>
      <c r="E6152" s="1297" t="s">
        <v>907</v>
      </c>
      <c r="G6152" s="1399">
        <v>2515624.5699999998</v>
      </c>
      <c r="J6152" s="1399">
        <v>2515624.5699999998</v>
      </c>
    </row>
    <row r="6153" spans="2:12">
      <c r="B6153" s="1297"/>
      <c r="C6153" s="1297"/>
      <c r="D6153" s="1297"/>
      <c r="E6153" s="1297" t="s">
        <v>1145</v>
      </c>
      <c r="G6153" s="1399">
        <v>10074116.34</v>
      </c>
      <c r="J6153" s="1399">
        <v>10074116.34</v>
      </c>
    </row>
    <row r="6154" spans="2:12">
      <c r="B6154" s="1297"/>
      <c r="C6154" s="1297"/>
      <c r="D6154" s="1297"/>
      <c r="E6154" s="1297" t="s">
        <v>909</v>
      </c>
      <c r="H6154" s="1399">
        <v>82191.62</v>
      </c>
      <c r="J6154" s="1399">
        <v>82191.62</v>
      </c>
    </row>
    <row r="6155" spans="2:12">
      <c r="B6155" s="1297"/>
      <c r="C6155" s="1297"/>
      <c r="D6155" s="1297"/>
      <c r="E6155" s="1297" t="s">
        <v>1034</v>
      </c>
      <c r="H6155" s="1399">
        <v>69303.929999999993</v>
      </c>
      <c r="J6155" s="1399">
        <v>69303.929999999993</v>
      </c>
    </row>
    <row r="6156" spans="2:12">
      <c r="B6156" s="1297"/>
      <c r="C6156" s="1297"/>
      <c r="D6156" s="1297"/>
      <c r="E6156" s="1297" t="s">
        <v>1035</v>
      </c>
      <c r="H6156" s="1399">
        <v>64637.86</v>
      </c>
      <c r="J6156" s="1399">
        <v>64637.86</v>
      </c>
    </row>
    <row r="6157" spans="2:12">
      <c r="B6157" s="1297"/>
      <c r="C6157" s="1297"/>
      <c r="D6157" s="1297"/>
      <c r="E6157" s="1297" t="s">
        <v>1036</v>
      </c>
      <c r="H6157" s="1399">
        <v>406407.15</v>
      </c>
      <c r="J6157" s="1399">
        <v>406407.15</v>
      </c>
    </row>
    <row r="6158" spans="2:12">
      <c r="B6158" s="1297"/>
      <c r="C6158" s="1297"/>
      <c r="D6158" s="1297"/>
      <c r="E6158" s="1297" t="s">
        <v>1039</v>
      </c>
      <c r="H6158" s="1399">
        <v>27210.350000000002</v>
      </c>
      <c r="J6158" s="1399">
        <v>27210.350000000002</v>
      </c>
    </row>
    <row r="6159" spans="2:12">
      <c r="B6159" s="1297"/>
      <c r="C6159" s="1297"/>
      <c r="D6159" s="1297"/>
      <c r="E6159" s="1297" t="s">
        <v>1040</v>
      </c>
      <c r="H6159" s="1399">
        <v>304057.14</v>
      </c>
      <c r="J6159" s="1399">
        <v>304057.14</v>
      </c>
    </row>
    <row r="6160" spans="2:12">
      <c r="B6160" s="1297"/>
      <c r="C6160" s="1297"/>
      <c r="D6160" s="1297"/>
      <c r="E6160" s="1297" t="s">
        <v>1127</v>
      </c>
      <c r="H6160" s="1399">
        <v>153698.22</v>
      </c>
      <c r="J6160" s="1399">
        <v>153698.22</v>
      </c>
    </row>
    <row r="6161" spans="2:11">
      <c r="B6161" s="1297"/>
      <c r="C6161" s="1297"/>
      <c r="D6161" s="1297"/>
      <c r="E6161" s="1297" t="s">
        <v>1041</v>
      </c>
      <c r="H6161" s="1399">
        <v>31367.78</v>
      </c>
      <c r="J6161" s="1399">
        <v>31367.78</v>
      </c>
      <c r="K6161" s="1297"/>
    </row>
    <row r="6162" spans="2:11">
      <c r="B6162" s="1297"/>
      <c r="C6162" s="1297"/>
      <c r="D6162" s="1297"/>
      <c r="E6162" s="1297" t="s">
        <v>1042</v>
      </c>
      <c r="H6162" s="1399">
        <v>53046.29</v>
      </c>
      <c r="J6162" s="1399">
        <v>53046.29</v>
      </c>
      <c r="K6162" s="1297"/>
    </row>
    <row r="6163" spans="2:11">
      <c r="B6163" s="1297"/>
      <c r="C6163" s="1297"/>
      <c r="D6163" s="1297"/>
      <c r="E6163" s="1297" t="s">
        <v>954</v>
      </c>
      <c r="H6163" s="1399">
        <v>108332.62</v>
      </c>
      <c r="J6163" s="1399">
        <v>108332.62</v>
      </c>
      <c r="K6163" s="1297"/>
    </row>
    <row r="6164" spans="2:11">
      <c r="B6164" s="1297"/>
      <c r="C6164" s="1297"/>
      <c r="D6164" s="1297"/>
      <c r="E6164" s="1297" t="s">
        <v>985</v>
      </c>
      <c r="H6164" s="1399">
        <v>450260.97</v>
      </c>
      <c r="J6164" s="1399">
        <v>450260.97</v>
      </c>
      <c r="K6164" s="1297"/>
    </row>
    <row r="6165" spans="2:11">
      <c r="B6165" s="1297"/>
      <c r="C6165" s="1297"/>
      <c r="D6165" s="1297"/>
      <c r="E6165" s="1297" t="s">
        <v>986</v>
      </c>
      <c r="H6165" s="1399">
        <v>34910.159999999996</v>
      </c>
      <c r="J6165" s="1399">
        <v>34910.159999999996</v>
      </c>
      <c r="K6165" s="1297"/>
    </row>
    <row r="6166" spans="2:11">
      <c r="B6166" s="1297"/>
      <c r="C6166" s="1297"/>
      <c r="D6166" s="1297"/>
      <c r="E6166" s="1297" t="s">
        <v>1045</v>
      </c>
      <c r="H6166" s="1399">
        <v>1374550.9500000002</v>
      </c>
      <c r="J6166" s="1399">
        <v>1374550.9500000002</v>
      </c>
      <c r="K6166" s="1297"/>
    </row>
    <row r="6167" spans="2:11">
      <c r="B6167" s="1297"/>
      <c r="C6167" s="1297"/>
      <c r="D6167" s="1297"/>
      <c r="E6167" s="1297" t="s">
        <v>1046</v>
      </c>
      <c r="I6167" s="1399">
        <v>17170666</v>
      </c>
      <c r="J6167" s="1399">
        <v>17170666</v>
      </c>
      <c r="K6167" s="1297"/>
    </row>
    <row r="6168" spans="2:11">
      <c r="B6168" s="1297"/>
      <c r="C6168" s="1297"/>
      <c r="D6168" s="1297"/>
      <c r="E6168" s="1297" t="s">
        <v>1128</v>
      </c>
      <c r="I6168" s="1399">
        <v>1561152</v>
      </c>
      <c r="J6168" s="1399">
        <v>1561152</v>
      </c>
      <c r="K6168" s="1297"/>
    </row>
    <row r="6169" spans="2:11">
      <c r="B6169" s="1297"/>
      <c r="C6169" s="1297"/>
      <c r="D6169" s="1297"/>
      <c r="E6169" s="1297" t="s">
        <v>1129</v>
      </c>
      <c r="I6169" s="1399">
        <v>-2152853</v>
      </c>
      <c r="J6169" s="1399">
        <v>-2152853</v>
      </c>
      <c r="K6169" s="1297"/>
    </row>
    <row r="6170" spans="2:11">
      <c r="B6170" s="1297"/>
      <c r="C6170" s="1297"/>
      <c r="D6170" s="1297"/>
      <c r="E6170" s="1297" t="s">
        <v>1047</v>
      </c>
      <c r="I6170" s="1399">
        <v>162191</v>
      </c>
      <c r="J6170" s="1399">
        <v>162191</v>
      </c>
      <c r="K6170" s="1297"/>
    </row>
    <row r="6171" spans="2:11">
      <c r="B6171" s="1297"/>
      <c r="C6171" s="1297"/>
      <c r="D6171" s="1297"/>
      <c r="E6171" s="1297" t="s">
        <v>1048</v>
      </c>
      <c r="I6171" s="1399">
        <v>-3895561</v>
      </c>
      <c r="J6171" s="1399">
        <v>-3895561</v>
      </c>
      <c r="K6171" s="1297"/>
    </row>
    <row r="6172" spans="2:11">
      <c r="B6172" s="1297"/>
      <c r="C6172" s="1297"/>
      <c r="D6172" s="1297"/>
      <c r="E6172" s="1404" t="s">
        <v>955</v>
      </c>
      <c r="F6172" s="1405"/>
      <c r="G6172" s="1405"/>
      <c r="H6172" s="1405"/>
      <c r="I6172" s="1405">
        <v>900642.47</v>
      </c>
      <c r="J6172" s="1405">
        <v>900642.47</v>
      </c>
      <c r="K6172" s="1297"/>
    </row>
    <row r="6173" spans="2:11">
      <c r="B6173" s="1297"/>
      <c r="C6173" s="1297"/>
      <c r="D6173" s="1297"/>
      <c r="E6173" s="1297" t="s">
        <v>934</v>
      </c>
      <c r="I6173" s="1399">
        <v>54610</v>
      </c>
      <c r="J6173" s="1399">
        <v>54610</v>
      </c>
      <c r="K6173" s="1297"/>
    </row>
    <row r="6174" spans="2:11">
      <c r="B6174" s="1297"/>
      <c r="C6174" s="1297"/>
      <c r="D6174" s="1297"/>
      <c r="E6174" s="1297" t="s">
        <v>935</v>
      </c>
      <c r="I6174" s="1399">
        <v>104183.63</v>
      </c>
      <c r="J6174" s="1399">
        <v>104183.63</v>
      </c>
      <c r="K6174" s="1297"/>
    </row>
    <row r="6175" spans="2:11">
      <c r="B6175" s="1297"/>
      <c r="C6175" s="1297"/>
      <c r="D6175" s="1297"/>
      <c r="E6175" s="1297" t="s">
        <v>936</v>
      </c>
      <c r="I6175" s="1399">
        <v>43068.52</v>
      </c>
      <c r="J6175" s="1399">
        <v>43068.52</v>
      </c>
      <c r="K6175" s="1297"/>
    </row>
    <row r="6176" spans="2:11">
      <c r="B6176" s="1297"/>
      <c r="C6176" s="1297"/>
      <c r="D6176" s="1297"/>
      <c r="E6176" s="1297" t="s">
        <v>937</v>
      </c>
      <c r="I6176" s="1399">
        <v>33258.480000000003</v>
      </c>
      <c r="J6176" s="1399">
        <v>33258.480000000003</v>
      </c>
      <c r="K6176" s="1297"/>
    </row>
    <row r="6177" spans="2:12">
      <c r="B6177" s="1297"/>
      <c r="C6177" s="1297"/>
      <c r="D6177" s="1297"/>
      <c r="E6177" s="1297" t="s">
        <v>938</v>
      </c>
      <c r="I6177" s="1399">
        <v>14037</v>
      </c>
      <c r="J6177" s="1399">
        <v>14037</v>
      </c>
    </row>
    <row r="6178" spans="2:12">
      <c r="B6178" s="1297"/>
      <c r="C6178" s="1297"/>
      <c r="D6178" s="1297"/>
      <c r="E6178" s="1297" t="s">
        <v>939</v>
      </c>
      <c r="I6178" s="1399">
        <v>62752.160000000003</v>
      </c>
      <c r="J6178" s="1399">
        <v>62752.160000000003</v>
      </c>
    </row>
    <row r="6179" spans="2:12">
      <c r="B6179" s="1297"/>
      <c r="C6179" s="1297"/>
      <c r="D6179" s="1297"/>
      <c r="E6179" s="1297" t="s">
        <v>940</v>
      </c>
      <c r="F6179" s="1399">
        <v>1104439.18</v>
      </c>
      <c r="J6179" s="1399">
        <v>1104439.18</v>
      </c>
    </row>
    <row r="6180" spans="2:12">
      <c r="B6180" s="1297"/>
      <c r="C6180" s="1297"/>
      <c r="D6180" s="1297"/>
      <c r="E6180" s="1297" t="s">
        <v>941</v>
      </c>
      <c r="F6180" s="1399">
        <v>427187.02</v>
      </c>
      <c r="J6180" s="1399">
        <v>427187.02</v>
      </c>
    </row>
    <row r="6181" spans="2:12">
      <c r="B6181" s="1297"/>
      <c r="C6181" s="1297"/>
      <c r="D6181" s="1297"/>
      <c r="E6181" s="1297" t="s">
        <v>943</v>
      </c>
      <c r="F6181" s="1399">
        <v>44286.78</v>
      </c>
      <c r="J6181" s="1399">
        <v>44286.78</v>
      </c>
    </row>
    <row r="6182" spans="2:12">
      <c r="B6182" s="1297"/>
      <c r="C6182" s="1297"/>
      <c r="D6182" s="1297"/>
      <c r="E6182" s="1297" t="s">
        <v>944</v>
      </c>
      <c r="F6182" s="1399">
        <v>1399463.7699999998</v>
      </c>
      <c r="J6182" s="1399">
        <v>1399463.7699999998</v>
      </c>
    </row>
    <row r="6183" spans="2:12">
      <c r="B6183" s="1297"/>
      <c r="C6183" s="1297"/>
      <c r="D6183" s="1297"/>
      <c r="E6183" s="1297" t="s">
        <v>945</v>
      </c>
      <c r="F6183" s="1399">
        <v>1277474.6599999999</v>
      </c>
      <c r="J6183" s="1399">
        <v>1277474.6599999999</v>
      </c>
    </row>
    <row r="6184" spans="2:12">
      <c r="B6184" s="1297"/>
      <c r="C6184" s="1297"/>
      <c r="D6184" s="1297"/>
      <c r="E6184" s="1297" t="s">
        <v>947</v>
      </c>
      <c r="F6184" s="1399">
        <v>101903.96</v>
      </c>
      <c r="J6184" s="1399">
        <v>101903.96</v>
      </c>
    </row>
    <row r="6185" spans="2:12">
      <c r="B6185" s="1297"/>
      <c r="C6185" s="1297"/>
      <c r="D6185" s="1297"/>
      <c r="E6185" s="1297" t="s">
        <v>1115</v>
      </c>
      <c r="F6185" s="1399">
        <v>3681.02</v>
      </c>
      <c r="J6185" s="1399">
        <v>3681.02</v>
      </c>
    </row>
    <row r="6186" spans="2:12">
      <c r="B6186" s="1297"/>
      <c r="C6186" s="1297"/>
      <c r="D6186" s="1297"/>
      <c r="E6186" s="1404" t="s">
        <v>948</v>
      </c>
      <c r="F6186" s="1405"/>
      <c r="G6186" s="1405"/>
      <c r="H6186" s="1405">
        <v>66175.59</v>
      </c>
      <c r="I6186" s="1405"/>
      <c r="J6186" s="1405">
        <v>66175.59</v>
      </c>
    </row>
    <row r="6187" spans="2:12">
      <c r="B6187" s="1297"/>
      <c r="C6187" s="1297"/>
      <c r="D6187" s="1400" t="s">
        <v>1442</v>
      </c>
      <c r="E6187" s="1400"/>
      <c r="F6187" s="1401">
        <f>SUM(F6152:F6186)</f>
        <v>4358436.3899999997</v>
      </c>
      <c r="G6187" s="1401">
        <f>SUM(G6152:G6186)</f>
        <v>12589740.91</v>
      </c>
      <c r="H6187" s="1401">
        <f>SUM(H6152:H6186)-H6186</f>
        <v>3159975.04</v>
      </c>
      <c r="I6187" s="1401">
        <f>SUM(I6152:I6186)-I6172</f>
        <v>13157504.790000001</v>
      </c>
      <c r="J6187" s="1401">
        <f>SUM(J6152:J6186)</f>
        <v>34232475.190000005</v>
      </c>
      <c r="K6187" s="1401">
        <f>SUM(F6187:I6187)</f>
        <v>33265657.130000003</v>
      </c>
      <c r="L6187" s="1408">
        <f>K6187/C6152</f>
        <v>9407.7084643665166</v>
      </c>
    </row>
    <row r="6188" spans="2:12">
      <c r="B6188" s="1297" t="s">
        <v>1443</v>
      </c>
      <c r="C6188" s="1297">
        <v>4601</v>
      </c>
      <c r="D6188" s="1297" t="s">
        <v>1444</v>
      </c>
      <c r="E6188" s="1297" t="s">
        <v>907</v>
      </c>
      <c r="G6188" s="1399">
        <v>3171602.09</v>
      </c>
      <c r="J6188" s="1399">
        <v>3171602.09</v>
      </c>
    </row>
    <row r="6189" spans="2:12">
      <c r="B6189" s="1297"/>
      <c r="C6189" s="1297"/>
      <c r="D6189" s="1297"/>
      <c r="E6189" s="1297" t="s">
        <v>1145</v>
      </c>
      <c r="G6189" s="1399">
        <v>12768101.73</v>
      </c>
      <c r="J6189" s="1399">
        <v>12768101.73</v>
      </c>
    </row>
    <row r="6190" spans="2:12">
      <c r="B6190" s="1297"/>
      <c r="C6190" s="1297"/>
      <c r="D6190" s="1297"/>
      <c r="E6190" s="1297" t="s">
        <v>909</v>
      </c>
      <c r="H6190" s="1399">
        <v>8777.82</v>
      </c>
      <c r="J6190" s="1399">
        <v>8777.82</v>
      </c>
    </row>
    <row r="6191" spans="2:12">
      <c r="B6191" s="1297"/>
      <c r="C6191" s="1297"/>
      <c r="D6191" s="1297"/>
      <c r="E6191" s="1297" t="s">
        <v>910</v>
      </c>
      <c r="H6191" s="1399">
        <v>555985.80000000005</v>
      </c>
      <c r="J6191" s="1399">
        <v>555985.80000000005</v>
      </c>
    </row>
    <row r="6192" spans="2:12">
      <c r="B6192" s="1297"/>
      <c r="C6192" s="1297"/>
      <c r="D6192" s="1297"/>
      <c r="E6192" s="1297" t="s">
        <v>1035</v>
      </c>
      <c r="H6192" s="1399">
        <v>136513.29999999999</v>
      </c>
      <c r="J6192" s="1399">
        <v>136513.29999999999</v>
      </c>
    </row>
    <row r="6193" spans="2:11">
      <c r="B6193" s="1297"/>
      <c r="C6193" s="1297"/>
      <c r="D6193" s="1297"/>
      <c r="E6193" s="1297" t="s">
        <v>1036</v>
      </c>
      <c r="H6193" s="1399">
        <v>509868.53</v>
      </c>
      <c r="J6193" s="1399">
        <v>509868.53</v>
      </c>
      <c r="K6193" s="1297"/>
    </row>
    <row r="6194" spans="2:11">
      <c r="B6194" s="1297"/>
      <c r="C6194" s="1297"/>
      <c r="D6194" s="1297"/>
      <c r="E6194" s="1297" t="s">
        <v>1037</v>
      </c>
      <c r="H6194" s="1399">
        <v>222905.9</v>
      </c>
      <c r="J6194" s="1399">
        <v>222905.9</v>
      </c>
      <c r="K6194" s="1297"/>
    </row>
    <row r="6195" spans="2:11">
      <c r="B6195" s="1297"/>
      <c r="C6195" s="1297"/>
      <c r="D6195" s="1297"/>
      <c r="E6195" s="1297" t="s">
        <v>1039</v>
      </c>
      <c r="H6195" s="1399">
        <v>75391.829999999987</v>
      </c>
      <c r="J6195" s="1399">
        <v>75391.829999999987</v>
      </c>
      <c r="K6195" s="1297"/>
    </row>
    <row r="6196" spans="2:11">
      <c r="B6196" s="1297"/>
      <c r="C6196" s="1297"/>
      <c r="D6196" s="1297"/>
      <c r="E6196" s="1297" t="s">
        <v>1040</v>
      </c>
      <c r="H6196" s="1399">
        <v>611869.54</v>
      </c>
      <c r="J6196" s="1399">
        <v>611869.54</v>
      </c>
      <c r="K6196" s="1297"/>
    </row>
    <row r="6197" spans="2:11">
      <c r="B6197" s="1297"/>
      <c r="C6197" s="1297"/>
      <c r="D6197" s="1297"/>
      <c r="E6197" s="1297" t="s">
        <v>1041</v>
      </c>
      <c r="H6197" s="1399">
        <v>40286.629999999997</v>
      </c>
      <c r="J6197" s="1399">
        <v>40286.629999999997</v>
      </c>
      <c r="K6197" s="1297"/>
    </row>
    <row r="6198" spans="2:11">
      <c r="B6198" s="1297"/>
      <c r="C6198" s="1297"/>
      <c r="D6198" s="1297"/>
      <c r="E6198" s="1297" t="s">
        <v>1042</v>
      </c>
      <c r="H6198" s="1399">
        <v>58598.3</v>
      </c>
      <c r="J6198" s="1399">
        <v>58598.3</v>
      </c>
      <c r="K6198" s="1297"/>
    </row>
    <row r="6199" spans="2:11">
      <c r="B6199" s="1297"/>
      <c r="C6199" s="1297"/>
      <c r="D6199" s="1297"/>
      <c r="E6199" s="1297" t="s">
        <v>986</v>
      </c>
      <c r="H6199" s="1399">
        <v>97506.08</v>
      </c>
      <c r="J6199" s="1399">
        <v>97506.08</v>
      </c>
      <c r="K6199" s="1297"/>
    </row>
    <row r="6200" spans="2:11">
      <c r="B6200" s="1297"/>
      <c r="C6200" s="1297"/>
      <c r="D6200" s="1297"/>
      <c r="E6200" s="1297" t="s">
        <v>1045</v>
      </c>
      <c r="H6200" s="1399">
        <v>4600826.0200000005</v>
      </c>
      <c r="J6200" s="1399">
        <v>4600826.0200000005</v>
      </c>
      <c r="K6200" s="1297"/>
    </row>
    <row r="6201" spans="2:11">
      <c r="B6201" s="1297"/>
      <c r="C6201" s="1297"/>
      <c r="D6201" s="1297"/>
      <c r="E6201" s="1297" t="s">
        <v>1046</v>
      </c>
      <c r="I6201" s="1399">
        <v>20855737</v>
      </c>
      <c r="J6201" s="1399">
        <v>20855737</v>
      </c>
      <c r="K6201" s="1297"/>
    </row>
    <row r="6202" spans="2:11">
      <c r="B6202" s="1297"/>
      <c r="C6202" s="1297"/>
      <c r="D6202" s="1297"/>
      <c r="E6202" s="1297" t="s">
        <v>1128</v>
      </c>
      <c r="I6202" s="1399">
        <v>1988766</v>
      </c>
      <c r="J6202" s="1399">
        <v>1988766</v>
      </c>
      <c r="K6202" s="1297"/>
    </row>
    <row r="6203" spans="2:11">
      <c r="B6203" s="1297"/>
      <c r="C6203" s="1297"/>
      <c r="D6203" s="1297"/>
      <c r="E6203" s="1297" t="s">
        <v>1129</v>
      </c>
      <c r="I6203" s="1399">
        <v>-3148363</v>
      </c>
      <c r="J6203" s="1399">
        <v>-3148363</v>
      </c>
      <c r="K6203" s="1297"/>
    </row>
    <row r="6204" spans="2:11">
      <c r="B6204" s="1297"/>
      <c r="C6204" s="1297"/>
      <c r="D6204" s="1297"/>
      <c r="E6204" s="1297" t="s">
        <v>1047</v>
      </c>
      <c r="I6204" s="1399">
        <v>336661</v>
      </c>
      <c r="J6204" s="1399">
        <v>336661</v>
      </c>
      <c r="K6204" s="1297"/>
    </row>
    <row r="6205" spans="2:11">
      <c r="B6205" s="1297"/>
      <c r="C6205" s="1297"/>
      <c r="D6205" s="1297"/>
      <c r="E6205" s="1297" t="s">
        <v>1048</v>
      </c>
      <c r="I6205" s="1399">
        <v>-3660107</v>
      </c>
      <c r="J6205" s="1399">
        <v>-3660107</v>
      </c>
      <c r="K6205" s="1297"/>
    </row>
    <row r="6206" spans="2:11">
      <c r="B6206" s="1297"/>
      <c r="C6206" s="1297"/>
      <c r="D6206" s="1297"/>
      <c r="E6206" s="1297" t="s">
        <v>932</v>
      </c>
      <c r="I6206" s="1399">
        <v>846536</v>
      </c>
      <c r="J6206" s="1399">
        <v>846536</v>
      </c>
      <c r="K6206" s="1297"/>
    </row>
    <row r="6207" spans="2:11">
      <c r="B6207" s="1297"/>
      <c r="C6207" s="1297"/>
      <c r="D6207" s="1297"/>
      <c r="E6207" s="1404" t="s">
        <v>955</v>
      </c>
      <c r="F6207" s="1405"/>
      <c r="G6207" s="1405"/>
      <c r="H6207" s="1405"/>
      <c r="I6207" s="1405">
        <v>819745.86</v>
      </c>
      <c r="J6207" s="1405">
        <v>819745.86</v>
      </c>
      <c r="K6207" s="1297"/>
    </row>
    <row r="6208" spans="2:11">
      <c r="B6208" s="1297"/>
      <c r="C6208" s="1297"/>
      <c r="D6208" s="1297"/>
      <c r="E6208" s="1297" t="s">
        <v>934</v>
      </c>
      <c r="I6208" s="1399">
        <v>70028</v>
      </c>
      <c r="J6208" s="1399">
        <v>70028</v>
      </c>
      <c r="K6208" s="1297"/>
    </row>
    <row r="6209" spans="2:12">
      <c r="B6209" s="1297"/>
      <c r="C6209" s="1297"/>
      <c r="D6209" s="1297"/>
      <c r="E6209" s="1297" t="s">
        <v>935</v>
      </c>
      <c r="I6209" s="1399">
        <v>147617.14000000001</v>
      </c>
      <c r="J6209" s="1399">
        <v>147617.14000000001</v>
      </c>
    </row>
    <row r="6210" spans="2:12">
      <c r="B6210" s="1297"/>
      <c r="C6210" s="1297"/>
      <c r="D6210" s="1297"/>
      <c r="E6210" s="1297" t="s">
        <v>936</v>
      </c>
      <c r="I6210" s="1399">
        <v>60576.04</v>
      </c>
      <c r="J6210" s="1399">
        <v>60576.04</v>
      </c>
    </row>
    <row r="6211" spans="2:12">
      <c r="B6211" s="1297"/>
      <c r="C6211" s="1297"/>
      <c r="D6211" s="1297"/>
      <c r="E6211" s="1297" t="s">
        <v>937</v>
      </c>
      <c r="I6211" s="1399">
        <v>19601.38</v>
      </c>
      <c r="J6211" s="1399">
        <v>19601.38</v>
      </c>
    </row>
    <row r="6212" spans="2:12">
      <c r="B6212" s="1297"/>
      <c r="C6212" s="1297"/>
      <c r="D6212" s="1297"/>
      <c r="E6212" s="1297" t="s">
        <v>938</v>
      </c>
      <c r="I6212" s="1399">
        <v>23769</v>
      </c>
      <c r="J6212" s="1399">
        <v>23769</v>
      </c>
    </row>
    <row r="6213" spans="2:12">
      <c r="B6213" s="1297"/>
      <c r="C6213" s="1297"/>
      <c r="D6213" s="1297"/>
      <c r="E6213" s="1297" t="s">
        <v>940</v>
      </c>
      <c r="F6213" s="1399">
        <v>1108466.1000000001</v>
      </c>
      <c r="J6213" s="1399">
        <v>1108466.1000000001</v>
      </c>
    </row>
    <row r="6214" spans="2:12">
      <c r="B6214" s="1297"/>
      <c r="C6214" s="1297"/>
      <c r="D6214" s="1297"/>
      <c r="E6214" s="1297" t="s">
        <v>941</v>
      </c>
      <c r="F6214" s="1399">
        <v>416870.96</v>
      </c>
      <c r="J6214" s="1399">
        <v>416870.96</v>
      </c>
    </row>
    <row r="6215" spans="2:12">
      <c r="B6215" s="1297"/>
      <c r="C6215" s="1297"/>
      <c r="D6215" s="1297"/>
      <c r="E6215" s="1297" t="s">
        <v>943</v>
      </c>
      <c r="F6215" s="1399">
        <v>22953.32</v>
      </c>
      <c r="J6215" s="1399">
        <v>22953.32</v>
      </c>
    </row>
    <row r="6216" spans="2:12">
      <c r="B6216" s="1297"/>
      <c r="C6216" s="1297"/>
      <c r="D6216" s="1297"/>
      <c r="E6216" s="1297" t="s">
        <v>944</v>
      </c>
      <c r="F6216" s="1399">
        <v>5991745.29</v>
      </c>
      <c r="J6216" s="1399">
        <v>5991745.29</v>
      </c>
    </row>
    <row r="6217" spans="2:12">
      <c r="B6217" s="1297"/>
      <c r="C6217" s="1297"/>
      <c r="D6217" s="1297"/>
      <c r="E6217" s="1297" t="s">
        <v>947</v>
      </c>
      <c r="F6217" s="1399">
        <v>146088.32999999999</v>
      </c>
      <c r="J6217" s="1399">
        <v>146088.32999999999</v>
      </c>
    </row>
    <row r="6218" spans="2:12">
      <c r="B6218" s="1297"/>
      <c r="C6218" s="1297"/>
      <c r="D6218" s="1297"/>
      <c r="E6218" s="1297" t="s">
        <v>1115</v>
      </c>
      <c r="F6218" s="1399">
        <v>65201.7</v>
      </c>
      <c r="J6218" s="1399">
        <v>65201.7</v>
      </c>
    </row>
    <row r="6219" spans="2:12">
      <c r="B6219" s="1297"/>
      <c r="C6219" s="1297"/>
      <c r="D6219" s="1297"/>
      <c r="E6219" s="1404" t="s">
        <v>948</v>
      </c>
      <c r="F6219" s="1405"/>
      <c r="G6219" s="1405"/>
      <c r="H6219" s="1405">
        <v>744325.11</v>
      </c>
      <c r="I6219" s="1405"/>
      <c r="J6219" s="1405">
        <v>744325.11</v>
      </c>
    </row>
    <row r="6220" spans="2:12">
      <c r="B6220" s="1297"/>
      <c r="C6220" s="1297"/>
      <c r="D6220" s="1400" t="s">
        <v>1445</v>
      </c>
      <c r="E6220" s="1400"/>
      <c r="F6220" s="1401">
        <f>SUM(F6188:F6219)</f>
        <v>7751325.7000000002</v>
      </c>
      <c r="G6220" s="1401">
        <f>SUM(G6188:G6219)</f>
        <v>15939703.82</v>
      </c>
      <c r="H6220" s="1401">
        <f>SUM(H6188:H6219)-H6219</f>
        <v>6918529.75</v>
      </c>
      <c r="I6220" s="1401">
        <f>SUM(I6188:I6219)-I6207</f>
        <v>17540821.559999999</v>
      </c>
      <c r="J6220" s="1401">
        <f>SUM(J6188:J6219)</f>
        <v>49714451.799999997</v>
      </c>
      <c r="K6220" s="1401">
        <f>SUM(F6220:I6220)</f>
        <v>48150380.829999998</v>
      </c>
      <c r="L6220" s="1408">
        <f>K6220/C6188</f>
        <v>10465.199050206476</v>
      </c>
    </row>
    <row r="6221" spans="2:12">
      <c r="B6221" s="1297" t="s">
        <v>1446</v>
      </c>
      <c r="C6221" s="1297">
        <v>4078</v>
      </c>
      <c r="D6221" s="1413" t="s">
        <v>1728</v>
      </c>
      <c r="E6221" s="1297" t="s">
        <v>907</v>
      </c>
      <c r="G6221" s="1399">
        <v>4904103.8099999996</v>
      </c>
      <c r="J6221" s="1399">
        <v>4904103.8099999996</v>
      </c>
    </row>
    <row r="6222" spans="2:12">
      <c r="B6222" s="1297"/>
      <c r="C6222" s="1297"/>
      <c r="D6222" s="1297"/>
      <c r="E6222" s="1297" t="s">
        <v>1145</v>
      </c>
      <c r="G6222" s="1399">
        <v>16377139.390000001</v>
      </c>
      <c r="J6222" s="1399">
        <v>16377139.390000001</v>
      </c>
    </row>
    <row r="6223" spans="2:12">
      <c r="B6223" s="1297"/>
      <c r="C6223" s="1297"/>
      <c r="D6223" s="1297"/>
      <c r="E6223" s="1297" t="s">
        <v>909</v>
      </c>
      <c r="H6223" s="1399">
        <v>46287.88</v>
      </c>
      <c r="J6223" s="1399">
        <v>46287.88</v>
      </c>
    </row>
    <row r="6224" spans="2:12">
      <c r="B6224" s="1297"/>
      <c r="C6224" s="1297"/>
      <c r="D6224" s="1297"/>
      <c r="E6224" s="1297" t="s">
        <v>910</v>
      </c>
      <c r="H6224" s="1399">
        <v>197948.63</v>
      </c>
      <c r="J6224" s="1399">
        <v>197948.63</v>
      </c>
    </row>
    <row r="6225" spans="2:11">
      <c r="B6225" s="1297"/>
      <c r="C6225" s="1297"/>
      <c r="D6225" s="1297"/>
      <c r="E6225" s="1297" t="s">
        <v>1034</v>
      </c>
      <c r="H6225" s="1399">
        <v>92565.170000000013</v>
      </c>
      <c r="J6225" s="1399">
        <v>92565.170000000013</v>
      </c>
      <c r="K6225" s="1297"/>
    </row>
    <row r="6226" spans="2:11">
      <c r="B6226" s="1297"/>
      <c r="C6226" s="1297"/>
      <c r="D6226" s="1297"/>
      <c r="E6226" s="1297" t="s">
        <v>1035</v>
      </c>
      <c r="H6226" s="1399">
        <v>390822.77</v>
      </c>
      <c r="J6226" s="1399">
        <v>390822.77</v>
      </c>
      <c r="K6226" s="1297"/>
    </row>
    <row r="6227" spans="2:11">
      <c r="B6227" s="1297"/>
      <c r="C6227" s="1297"/>
      <c r="D6227" s="1297"/>
      <c r="E6227" s="1297" t="s">
        <v>1036</v>
      </c>
      <c r="H6227" s="1399">
        <v>128881.93000000001</v>
      </c>
      <c r="J6227" s="1399">
        <v>128881.93000000001</v>
      </c>
      <c r="K6227" s="1297"/>
    </row>
    <row r="6228" spans="2:11">
      <c r="B6228" s="1297"/>
      <c r="C6228" s="1297"/>
      <c r="D6228" s="1297"/>
      <c r="E6228" s="1297" t="s">
        <v>1037</v>
      </c>
      <c r="H6228" s="1399">
        <v>50150</v>
      </c>
      <c r="J6228" s="1399">
        <v>50150</v>
      </c>
      <c r="K6228" s="1297"/>
    </row>
    <row r="6229" spans="2:11">
      <c r="B6229" s="1297"/>
      <c r="C6229" s="1297"/>
      <c r="D6229" s="1297"/>
      <c r="E6229" s="1297" t="s">
        <v>1039</v>
      </c>
      <c r="H6229" s="1399">
        <v>40328.58</v>
      </c>
      <c r="J6229" s="1399">
        <v>40328.58</v>
      </c>
      <c r="K6229" s="1297"/>
    </row>
    <row r="6230" spans="2:11">
      <c r="B6230" s="1297"/>
      <c r="C6230" s="1297"/>
      <c r="D6230" s="1297"/>
      <c r="E6230" s="1297" t="s">
        <v>1040</v>
      </c>
      <c r="H6230" s="1399">
        <v>412082.02999999997</v>
      </c>
      <c r="J6230" s="1399">
        <v>412082.02999999997</v>
      </c>
      <c r="K6230" s="1297"/>
    </row>
    <row r="6231" spans="2:11">
      <c r="B6231" s="1297"/>
      <c r="C6231" s="1297"/>
      <c r="D6231" s="1297"/>
      <c r="E6231" s="1297" t="s">
        <v>1041</v>
      </c>
      <c r="H6231" s="1399">
        <v>416827.18</v>
      </c>
      <c r="J6231" s="1399">
        <v>416827.18</v>
      </c>
      <c r="K6231" s="1297"/>
    </row>
    <row r="6232" spans="2:11">
      <c r="B6232" s="1297"/>
      <c r="C6232" s="1297"/>
      <c r="D6232" s="1297"/>
      <c r="E6232" s="1297" t="s">
        <v>1042</v>
      </c>
      <c r="H6232" s="1399">
        <v>78189.56</v>
      </c>
      <c r="J6232" s="1399">
        <v>78189.56</v>
      </c>
      <c r="K6232" s="1297"/>
    </row>
    <row r="6233" spans="2:11">
      <c r="B6233" s="1297"/>
      <c r="C6233" s="1297"/>
      <c r="D6233" s="1297"/>
      <c r="E6233" s="1297" t="s">
        <v>985</v>
      </c>
      <c r="H6233" s="1399">
        <v>261069.08000000002</v>
      </c>
      <c r="J6233" s="1399">
        <v>261069.08000000002</v>
      </c>
      <c r="K6233" s="1297"/>
    </row>
    <row r="6234" spans="2:11">
      <c r="B6234" s="1297"/>
      <c r="C6234" s="1297"/>
      <c r="D6234" s="1297"/>
      <c r="E6234" s="1297" t="s">
        <v>1043</v>
      </c>
      <c r="H6234" s="1399">
        <v>33872.720000000001</v>
      </c>
      <c r="J6234" s="1399">
        <v>33872.720000000001</v>
      </c>
      <c r="K6234" s="1297"/>
    </row>
    <row r="6235" spans="2:11">
      <c r="B6235" s="1297"/>
      <c r="C6235" s="1297"/>
      <c r="D6235" s="1297"/>
      <c r="E6235" s="1297" t="s">
        <v>1044</v>
      </c>
      <c r="F6235" s="1399">
        <v>97338.27</v>
      </c>
      <c r="J6235" s="1399">
        <v>97338.27</v>
      </c>
      <c r="K6235" s="1297"/>
    </row>
    <row r="6236" spans="2:11">
      <c r="B6236" s="1297"/>
      <c r="C6236" s="1297"/>
      <c r="D6236" s="1297"/>
      <c r="E6236" s="1297" t="s">
        <v>1045</v>
      </c>
      <c r="H6236" s="1399">
        <v>295252.53999999998</v>
      </c>
      <c r="J6236" s="1399">
        <v>295252.53999999998</v>
      </c>
      <c r="K6236" s="1297"/>
    </row>
    <row r="6237" spans="2:11">
      <c r="B6237" s="1297"/>
      <c r="C6237" s="1297"/>
      <c r="D6237" s="1297"/>
      <c r="E6237" s="1297" t="s">
        <v>1046</v>
      </c>
      <c r="I6237" s="1399">
        <v>21717359</v>
      </c>
      <c r="J6237" s="1399">
        <v>21717359</v>
      </c>
      <c r="K6237" s="1297"/>
    </row>
    <row r="6238" spans="2:11">
      <c r="B6238" s="1297"/>
      <c r="C6238" s="1297"/>
      <c r="D6238" s="1297"/>
      <c r="E6238" s="1297" t="s">
        <v>1128</v>
      </c>
      <c r="I6238" s="1399">
        <v>1830811</v>
      </c>
      <c r="J6238" s="1399">
        <v>1830811</v>
      </c>
      <c r="K6238" s="1297"/>
    </row>
    <row r="6239" spans="2:11">
      <c r="B6239" s="1297"/>
      <c r="C6239" s="1297"/>
      <c r="D6239" s="1297"/>
      <c r="E6239" s="1297" t="s">
        <v>1129</v>
      </c>
      <c r="I6239" s="1399">
        <v>-2644878</v>
      </c>
      <c r="J6239" s="1399">
        <v>-2644878</v>
      </c>
      <c r="K6239" s="1297"/>
    </row>
    <row r="6240" spans="2:11">
      <c r="B6240" s="1297"/>
      <c r="C6240" s="1297"/>
      <c r="D6240" s="1297"/>
      <c r="E6240" s="1297" t="s">
        <v>1047</v>
      </c>
      <c r="I6240" s="1399">
        <v>296558</v>
      </c>
      <c r="J6240" s="1399">
        <v>296558</v>
      </c>
      <c r="K6240" s="1297"/>
    </row>
    <row r="6241" spans="2:12">
      <c r="B6241" s="1297"/>
      <c r="C6241" s="1297"/>
      <c r="D6241" s="1297"/>
      <c r="E6241" s="1297" t="s">
        <v>1048</v>
      </c>
      <c r="I6241" s="1399">
        <v>-4451342</v>
      </c>
      <c r="J6241" s="1399">
        <v>-4451342</v>
      </c>
    </row>
    <row r="6242" spans="2:12">
      <c r="B6242" s="1297"/>
      <c r="C6242" s="1297"/>
      <c r="D6242" s="1297"/>
      <c r="E6242" s="1404" t="s">
        <v>955</v>
      </c>
      <c r="F6242" s="1405"/>
      <c r="G6242" s="1405"/>
      <c r="H6242" s="1405"/>
      <c r="I6242" s="1405">
        <v>537473.03</v>
      </c>
      <c r="J6242" s="1405">
        <v>537473.03</v>
      </c>
    </row>
    <row r="6243" spans="2:12">
      <c r="B6243" s="1297"/>
      <c r="C6243" s="1297"/>
      <c r="D6243" s="1297"/>
      <c r="E6243" s="1297" t="s">
        <v>934</v>
      </c>
      <c r="I6243" s="1399">
        <v>61802</v>
      </c>
      <c r="J6243" s="1399">
        <v>61802</v>
      </c>
    </row>
    <row r="6244" spans="2:12">
      <c r="B6244" s="1297"/>
      <c r="C6244" s="1297"/>
      <c r="D6244" s="1297"/>
      <c r="E6244" s="1297" t="s">
        <v>935</v>
      </c>
      <c r="I6244" s="1399">
        <v>259682.86</v>
      </c>
      <c r="J6244" s="1399">
        <v>259682.86</v>
      </c>
    </row>
    <row r="6245" spans="2:12">
      <c r="B6245" s="1297"/>
      <c r="C6245" s="1297"/>
      <c r="D6245" s="1297"/>
      <c r="E6245" s="1297" t="s">
        <v>936</v>
      </c>
      <c r="I6245" s="1399">
        <v>46570.02</v>
      </c>
      <c r="J6245" s="1399">
        <v>46570.02</v>
      </c>
    </row>
    <row r="6246" spans="2:12">
      <c r="B6246" s="1297"/>
      <c r="C6246" s="1297"/>
      <c r="D6246" s="1297"/>
      <c r="E6246" s="1297" t="s">
        <v>937</v>
      </c>
      <c r="I6246" s="1399">
        <v>27243.279999999999</v>
      </c>
      <c r="J6246" s="1399">
        <v>27243.279999999999</v>
      </c>
    </row>
    <row r="6247" spans="2:12">
      <c r="B6247" s="1297"/>
      <c r="C6247" s="1297"/>
      <c r="D6247" s="1297"/>
      <c r="E6247" s="1297" t="s">
        <v>938</v>
      </c>
      <c r="I6247" s="1399">
        <v>15534</v>
      </c>
      <c r="J6247" s="1399">
        <v>15534</v>
      </c>
    </row>
    <row r="6248" spans="2:12">
      <c r="B6248" s="1297"/>
      <c r="C6248" s="1297"/>
      <c r="D6248" s="1297"/>
      <c r="E6248" s="1297" t="s">
        <v>940</v>
      </c>
      <c r="F6248" s="1399">
        <v>1352968.28</v>
      </c>
      <c r="J6248" s="1399">
        <v>1352968.28</v>
      </c>
    </row>
    <row r="6249" spans="2:12">
      <c r="B6249" s="1297"/>
      <c r="C6249" s="1297"/>
      <c r="D6249" s="1297"/>
      <c r="E6249" s="1297" t="s">
        <v>941</v>
      </c>
      <c r="F6249" s="1399">
        <v>507487.13999999996</v>
      </c>
      <c r="J6249" s="1399">
        <v>507487.13999999996</v>
      </c>
    </row>
    <row r="6250" spans="2:12">
      <c r="B6250" s="1297"/>
      <c r="C6250" s="1297"/>
      <c r="D6250" s="1297"/>
      <c r="E6250" s="1297" t="s">
        <v>943</v>
      </c>
      <c r="F6250" s="1399">
        <v>42468.6</v>
      </c>
      <c r="J6250" s="1399">
        <v>42468.6</v>
      </c>
    </row>
    <row r="6251" spans="2:12">
      <c r="B6251" s="1297"/>
      <c r="C6251" s="1297"/>
      <c r="D6251" s="1297"/>
      <c r="E6251" s="1297" t="s">
        <v>944</v>
      </c>
      <c r="F6251" s="1399">
        <v>1974757.1799999997</v>
      </c>
      <c r="J6251" s="1399">
        <v>1974757.1799999997</v>
      </c>
    </row>
    <row r="6252" spans="2:12">
      <c r="B6252" s="1297"/>
      <c r="C6252" s="1297"/>
      <c r="D6252" s="1297"/>
      <c r="E6252" s="1297" t="s">
        <v>945</v>
      </c>
      <c r="F6252" s="1399">
        <v>1417682.64</v>
      </c>
      <c r="J6252" s="1399">
        <v>1417682.64</v>
      </c>
    </row>
    <row r="6253" spans="2:12">
      <c r="B6253" s="1297"/>
      <c r="C6253" s="1297"/>
      <c r="D6253" s="1297"/>
      <c r="E6253" s="1297" t="s">
        <v>1006</v>
      </c>
      <c r="F6253" s="1399">
        <v>3757.93</v>
      </c>
      <c r="J6253" s="1399">
        <v>3757.93</v>
      </c>
    </row>
    <row r="6254" spans="2:12">
      <c r="B6254" s="1297"/>
      <c r="C6254" s="1297"/>
      <c r="D6254" s="1297"/>
      <c r="E6254" s="1297" t="s">
        <v>947</v>
      </c>
      <c r="F6254" s="1399">
        <v>229996.29</v>
      </c>
      <c r="J6254" s="1399">
        <v>229996.29</v>
      </c>
    </row>
    <row r="6255" spans="2:12">
      <c r="B6255" s="1297"/>
      <c r="C6255" s="1297"/>
      <c r="D6255" s="1297"/>
      <c r="E6255" s="1404" t="s">
        <v>948</v>
      </c>
      <c r="F6255" s="1405"/>
      <c r="G6255" s="1405"/>
      <c r="H6255" s="1405">
        <v>7797196.7199999997</v>
      </c>
      <c r="I6255" s="1405"/>
      <c r="J6255" s="1405">
        <v>7797196.7199999997</v>
      </c>
    </row>
    <row r="6256" spans="2:12">
      <c r="B6256" s="1297"/>
      <c r="C6256" s="1297"/>
      <c r="D6256" s="1400" t="s">
        <v>1448</v>
      </c>
      <c r="E6256" s="1400"/>
      <c r="F6256" s="1401">
        <f>SUM(F6221:F6255)</f>
        <v>5626456.3299999991</v>
      </c>
      <c r="G6256" s="1401">
        <f>SUM(G6221:G6255)</f>
        <v>21281243.199999999</v>
      </c>
      <c r="H6256" s="1401">
        <f>SUM(H6221:H6255)-H6255</f>
        <v>2444278.0699999994</v>
      </c>
      <c r="I6256" s="1401">
        <f>SUM(I6221:I6255)-I6242</f>
        <v>17159340.16</v>
      </c>
      <c r="J6256" s="1401">
        <f>SUM(J6221:J6255)</f>
        <v>54845987.509999998</v>
      </c>
      <c r="K6256" s="1401">
        <f>SUM(F6256:I6256)</f>
        <v>46511317.759999998</v>
      </c>
      <c r="L6256" s="1408">
        <f>K6256/C6221</f>
        <v>11405.423678273663</v>
      </c>
    </row>
    <row r="6257" spans="2:11">
      <c r="B6257" s="1297" t="s">
        <v>1449</v>
      </c>
      <c r="C6257" s="1297">
        <v>1378</v>
      </c>
      <c r="D6257" s="1297" t="s">
        <v>1450</v>
      </c>
      <c r="E6257" s="1297" t="s">
        <v>907</v>
      </c>
      <c r="G6257" s="1399">
        <v>701556.5</v>
      </c>
      <c r="J6257" s="1399">
        <v>701556.5</v>
      </c>
      <c r="K6257" s="1297"/>
    </row>
    <row r="6258" spans="2:11">
      <c r="B6258" s="1297"/>
      <c r="C6258" s="1297"/>
      <c r="D6258" s="1297"/>
      <c r="E6258" s="1297" t="s">
        <v>1145</v>
      </c>
      <c r="G6258" s="1399">
        <v>1419073.2</v>
      </c>
      <c r="J6258" s="1399">
        <v>1419073.2</v>
      </c>
      <c r="K6258" s="1297"/>
    </row>
    <row r="6259" spans="2:11">
      <c r="B6259" s="1297"/>
      <c r="C6259" s="1297"/>
      <c r="D6259" s="1297"/>
      <c r="E6259" s="1297" t="s">
        <v>909</v>
      </c>
      <c r="H6259" s="1399">
        <v>27348.92</v>
      </c>
      <c r="J6259" s="1399">
        <v>27348.92</v>
      </c>
      <c r="K6259" s="1297"/>
    </row>
    <row r="6260" spans="2:11">
      <c r="B6260" s="1297"/>
      <c r="C6260" s="1297"/>
      <c r="D6260" s="1297"/>
      <c r="E6260" s="1297" t="s">
        <v>910</v>
      </c>
      <c r="H6260" s="1399">
        <v>167402.16</v>
      </c>
      <c r="J6260" s="1399">
        <v>167402.16</v>
      </c>
      <c r="K6260" s="1297"/>
    </row>
    <row r="6261" spans="2:11">
      <c r="B6261" s="1297"/>
      <c r="C6261" s="1297"/>
      <c r="D6261" s="1297"/>
      <c r="E6261" s="1297" t="s">
        <v>1034</v>
      </c>
      <c r="H6261" s="1399">
        <v>42922.98</v>
      </c>
      <c r="J6261" s="1399">
        <v>42922.98</v>
      </c>
      <c r="K6261" s="1297"/>
    </row>
    <row r="6262" spans="2:11">
      <c r="B6262" s="1297"/>
      <c r="C6262" s="1297"/>
      <c r="D6262" s="1297"/>
      <c r="E6262" s="1297" t="s">
        <v>1035</v>
      </c>
      <c r="H6262" s="1399">
        <v>290631.2</v>
      </c>
      <c r="J6262" s="1399">
        <v>290631.2</v>
      </c>
      <c r="K6262" s="1297"/>
    </row>
    <row r="6263" spans="2:11">
      <c r="B6263" s="1297"/>
      <c r="C6263" s="1297"/>
      <c r="D6263" s="1297"/>
      <c r="E6263" s="1297" t="s">
        <v>1036</v>
      </c>
      <c r="H6263" s="1399">
        <v>108781.86</v>
      </c>
      <c r="J6263" s="1399">
        <v>108781.86</v>
      </c>
      <c r="K6263" s="1297"/>
    </row>
    <row r="6264" spans="2:11">
      <c r="B6264" s="1297"/>
      <c r="C6264" s="1297"/>
      <c r="D6264" s="1297"/>
      <c r="E6264" s="1297" t="s">
        <v>1037</v>
      </c>
      <c r="H6264" s="1399">
        <v>375500</v>
      </c>
      <c r="J6264" s="1399">
        <v>375500</v>
      </c>
      <c r="K6264" s="1297"/>
    </row>
    <row r="6265" spans="2:11">
      <c r="B6265" s="1297"/>
      <c r="C6265" s="1297"/>
      <c r="D6265" s="1297"/>
      <c r="E6265" s="1297" t="s">
        <v>1039</v>
      </c>
      <c r="H6265" s="1399">
        <v>20035.75</v>
      </c>
      <c r="J6265" s="1399">
        <v>20035.75</v>
      </c>
      <c r="K6265" s="1297"/>
    </row>
    <row r="6266" spans="2:11">
      <c r="B6266" s="1297"/>
      <c r="C6266" s="1297"/>
      <c r="D6266" s="1297"/>
      <c r="E6266" s="1297" t="s">
        <v>1040</v>
      </c>
      <c r="H6266" s="1399">
        <v>216513.99</v>
      </c>
      <c r="J6266" s="1399">
        <v>216513.99</v>
      </c>
      <c r="K6266" s="1297"/>
    </row>
    <row r="6267" spans="2:11">
      <c r="B6267" s="1297"/>
      <c r="C6267" s="1297"/>
      <c r="D6267" s="1297"/>
      <c r="E6267" s="1297" t="s">
        <v>1127</v>
      </c>
      <c r="H6267" s="1399">
        <v>8164.34</v>
      </c>
      <c r="J6267" s="1399">
        <v>8164.34</v>
      </c>
      <c r="K6267" s="1297"/>
    </row>
    <row r="6268" spans="2:11">
      <c r="B6268" s="1297"/>
      <c r="C6268" s="1297"/>
      <c r="D6268" s="1297"/>
      <c r="E6268" s="1297" t="s">
        <v>1041</v>
      </c>
      <c r="H6268" s="1399">
        <v>171839.97</v>
      </c>
      <c r="J6268" s="1399">
        <v>171839.97</v>
      </c>
      <c r="K6268" s="1297"/>
    </row>
    <row r="6269" spans="2:11">
      <c r="B6269" s="1297"/>
      <c r="C6269" s="1297"/>
      <c r="D6269" s="1297"/>
      <c r="E6269" s="1297" t="s">
        <v>1042</v>
      </c>
      <c r="H6269" s="1399">
        <v>15608.05</v>
      </c>
      <c r="J6269" s="1399">
        <v>15608.05</v>
      </c>
      <c r="K6269" s="1297"/>
    </row>
    <row r="6270" spans="2:11">
      <c r="B6270" s="1297"/>
      <c r="C6270" s="1297"/>
      <c r="D6270" s="1297"/>
      <c r="E6270" s="1297" t="s">
        <v>986</v>
      </c>
      <c r="H6270" s="1399">
        <v>207718.24</v>
      </c>
      <c r="J6270" s="1399">
        <v>207718.24</v>
      </c>
      <c r="K6270" s="1297"/>
    </row>
    <row r="6271" spans="2:11">
      <c r="B6271" s="1297"/>
      <c r="C6271" s="1297"/>
      <c r="D6271" s="1297"/>
      <c r="E6271" s="1297" t="s">
        <v>990</v>
      </c>
      <c r="H6271" s="1399">
        <v>37.119999999999997</v>
      </c>
      <c r="J6271" s="1399">
        <v>37.119999999999997</v>
      </c>
      <c r="K6271" s="1297"/>
    </row>
    <row r="6272" spans="2:11">
      <c r="B6272" s="1297"/>
      <c r="C6272" s="1297"/>
      <c r="D6272" s="1297"/>
      <c r="E6272" s="1297" t="s">
        <v>1045</v>
      </c>
      <c r="H6272" s="1399">
        <v>251056.2</v>
      </c>
      <c r="J6272" s="1399">
        <v>251056.2</v>
      </c>
      <c r="K6272" s="1297"/>
    </row>
    <row r="6273" spans="2:11">
      <c r="B6273" s="1297"/>
      <c r="C6273" s="1297"/>
      <c r="D6273" s="1297"/>
      <c r="E6273" s="1297" t="s">
        <v>1046</v>
      </c>
      <c r="I6273" s="1399">
        <v>7322442</v>
      </c>
      <c r="J6273" s="1399">
        <v>7322442</v>
      </c>
      <c r="K6273" s="1297"/>
    </row>
    <row r="6274" spans="2:11">
      <c r="B6274" s="1297"/>
      <c r="C6274" s="1297"/>
      <c r="D6274" s="1297"/>
      <c r="E6274" s="1297" t="s">
        <v>1129</v>
      </c>
      <c r="I6274" s="1399">
        <v>-940291</v>
      </c>
      <c r="J6274" s="1399">
        <v>-940291</v>
      </c>
      <c r="K6274" s="1297"/>
    </row>
    <row r="6275" spans="2:11">
      <c r="B6275" s="1297"/>
      <c r="C6275" s="1297"/>
      <c r="D6275" s="1297"/>
      <c r="E6275" s="1297" t="s">
        <v>1047</v>
      </c>
      <c r="I6275" s="1399">
        <v>39014</v>
      </c>
      <c r="J6275" s="1399">
        <v>39014</v>
      </c>
      <c r="K6275" s="1297"/>
    </row>
    <row r="6276" spans="2:11">
      <c r="B6276" s="1297"/>
      <c r="C6276" s="1297"/>
      <c r="D6276" s="1297"/>
      <c r="E6276" s="1297" t="s">
        <v>1048</v>
      </c>
      <c r="I6276" s="1399">
        <v>-563715</v>
      </c>
      <c r="J6276" s="1399">
        <v>-563715</v>
      </c>
      <c r="K6276" s="1297"/>
    </row>
    <row r="6277" spans="2:11">
      <c r="B6277" s="1297"/>
      <c r="C6277" s="1297"/>
      <c r="D6277" s="1297"/>
      <c r="E6277" s="1297" t="s">
        <v>932</v>
      </c>
      <c r="I6277" s="1399">
        <v>452139</v>
      </c>
      <c r="J6277" s="1399">
        <v>452139</v>
      </c>
      <c r="K6277" s="1297"/>
    </row>
    <row r="6278" spans="2:11">
      <c r="B6278" s="1297"/>
      <c r="C6278" s="1297"/>
      <c r="D6278" s="1297"/>
      <c r="E6278" s="1297" t="s">
        <v>934</v>
      </c>
      <c r="I6278" s="1399">
        <v>17746</v>
      </c>
      <c r="J6278" s="1399">
        <v>17746</v>
      </c>
      <c r="K6278" s="1297"/>
    </row>
    <row r="6279" spans="2:11">
      <c r="B6279" s="1297"/>
      <c r="C6279" s="1297"/>
      <c r="D6279" s="1297"/>
      <c r="E6279" s="1297" t="s">
        <v>935</v>
      </c>
      <c r="I6279" s="1399">
        <v>43424.44</v>
      </c>
      <c r="J6279" s="1399">
        <v>43424.44</v>
      </c>
      <c r="K6279" s="1297"/>
    </row>
    <row r="6280" spans="2:11">
      <c r="B6280" s="1297"/>
      <c r="C6280" s="1297"/>
      <c r="D6280" s="1297"/>
      <c r="E6280" s="1297" t="s">
        <v>936</v>
      </c>
      <c r="I6280" s="1399">
        <v>12605.42</v>
      </c>
      <c r="J6280" s="1399">
        <v>12605.42</v>
      </c>
      <c r="K6280" s="1297"/>
    </row>
    <row r="6281" spans="2:11">
      <c r="B6281" s="1297"/>
      <c r="C6281" s="1297"/>
      <c r="D6281" s="1297"/>
      <c r="E6281" s="1297" t="s">
        <v>937</v>
      </c>
      <c r="I6281" s="1399">
        <v>5927.88</v>
      </c>
      <c r="J6281" s="1399">
        <v>5927.88</v>
      </c>
      <c r="K6281" s="1297"/>
    </row>
    <row r="6282" spans="2:11">
      <c r="B6282" s="1297"/>
      <c r="C6282" s="1297"/>
      <c r="D6282" s="1297"/>
      <c r="E6282" s="1297" t="s">
        <v>938</v>
      </c>
      <c r="I6282" s="1399">
        <v>3743</v>
      </c>
      <c r="J6282" s="1399">
        <v>3743</v>
      </c>
      <c r="K6282" s="1297"/>
    </row>
    <row r="6283" spans="2:11">
      <c r="B6283" s="1297"/>
      <c r="C6283" s="1297"/>
      <c r="D6283" s="1297"/>
      <c r="E6283" s="1297" t="s">
        <v>939</v>
      </c>
      <c r="I6283" s="1399">
        <v>0.01</v>
      </c>
      <c r="J6283" s="1399">
        <v>0.01</v>
      </c>
      <c r="K6283" s="1297"/>
    </row>
    <row r="6284" spans="2:11">
      <c r="B6284" s="1297"/>
      <c r="C6284" s="1297"/>
      <c r="D6284" s="1297"/>
      <c r="E6284" s="1297" t="s">
        <v>940</v>
      </c>
      <c r="F6284" s="1399">
        <v>132586.78</v>
      </c>
      <c r="J6284" s="1399">
        <v>132586.78</v>
      </c>
      <c r="K6284" s="1297"/>
    </row>
    <row r="6285" spans="2:11">
      <c r="B6285" s="1297"/>
      <c r="C6285" s="1297"/>
      <c r="D6285" s="1297"/>
      <c r="E6285" s="1297" t="s">
        <v>941</v>
      </c>
      <c r="F6285" s="1399">
        <v>20651.78</v>
      </c>
      <c r="J6285" s="1399">
        <v>20651.78</v>
      </c>
      <c r="K6285" s="1297"/>
    </row>
    <row r="6286" spans="2:11">
      <c r="B6286" s="1297"/>
      <c r="C6286" s="1297"/>
      <c r="D6286" s="1297"/>
      <c r="E6286" s="1297" t="s">
        <v>944</v>
      </c>
      <c r="F6286" s="1399">
        <v>269044.12</v>
      </c>
      <c r="J6286" s="1399">
        <v>269044.12</v>
      </c>
      <c r="K6286" s="1297"/>
    </row>
    <row r="6287" spans="2:11">
      <c r="B6287" s="1297"/>
      <c r="C6287" s="1297"/>
      <c r="D6287" s="1297"/>
      <c r="E6287" s="1297" t="s">
        <v>945</v>
      </c>
      <c r="F6287" s="1399">
        <v>378531.03</v>
      </c>
      <c r="J6287" s="1399">
        <v>378531.03</v>
      </c>
      <c r="K6287" s="1297"/>
    </row>
    <row r="6288" spans="2:11">
      <c r="B6288" s="1297"/>
      <c r="C6288" s="1297"/>
      <c r="D6288" s="1297"/>
      <c r="E6288" s="1297" t="s">
        <v>947</v>
      </c>
      <c r="F6288" s="1399">
        <v>15148.35</v>
      </c>
      <c r="J6288" s="1399">
        <v>15148.35</v>
      </c>
      <c r="K6288" s="1297"/>
    </row>
    <row r="6289" spans="2:12">
      <c r="B6289" s="1297"/>
      <c r="C6289" s="1297"/>
      <c r="D6289" s="1297"/>
      <c r="E6289" s="1297" t="s">
        <v>1115</v>
      </c>
      <c r="F6289" s="1399">
        <v>0</v>
      </c>
      <c r="J6289" s="1399">
        <v>0</v>
      </c>
    </row>
    <row r="6290" spans="2:12">
      <c r="B6290" s="1297"/>
      <c r="C6290" s="1297"/>
      <c r="D6290" s="1297"/>
      <c r="E6290" s="1404" t="s">
        <v>948</v>
      </c>
      <c r="F6290" s="1405"/>
      <c r="G6290" s="1405"/>
      <c r="H6290" s="1405">
        <v>120972.89</v>
      </c>
      <c r="I6290" s="1405"/>
      <c r="J6290" s="1405">
        <v>120972.89</v>
      </c>
    </row>
    <row r="6291" spans="2:12">
      <c r="B6291" s="1297"/>
      <c r="C6291" s="1297"/>
      <c r="D6291" s="1400" t="s">
        <v>1451</v>
      </c>
      <c r="E6291" s="1400"/>
      <c r="F6291" s="1401">
        <f>SUM(F6257:F6290)</f>
        <v>815962.05999999994</v>
      </c>
      <c r="G6291" s="1401">
        <f>SUM(G6257:G6290)</f>
        <v>2120629.7000000002</v>
      </c>
      <c r="H6291" s="1401">
        <f>SUM(H6257:H6290)-H6290</f>
        <v>1903560.78</v>
      </c>
      <c r="I6291" s="1401">
        <f>SUM(I6257:I6290)</f>
        <v>6393035.75</v>
      </c>
      <c r="J6291" s="1401">
        <f>SUM(J6257:J6290)</f>
        <v>11354161.179999998</v>
      </c>
      <c r="K6291" s="1401">
        <f>SUM(F6291:I6291)</f>
        <v>11233188.289999999</v>
      </c>
      <c r="L6291" s="1408">
        <f>K6291/C6257</f>
        <v>8151.8057256894044</v>
      </c>
    </row>
    <row r="6292" spans="2:12">
      <c r="B6292" s="1297" t="s">
        <v>1452</v>
      </c>
      <c r="C6292" s="1297">
        <v>1455</v>
      </c>
      <c r="D6292" s="1297" t="s">
        <v>1453</v>
      </c>
      <c r="E6292" s="1297" t="s">
        <v>906</v>
      </c>
      <c r="G6292" s="1399">
        <v>3033181.56</v>
      </c>
      <c r="J6292" s="1399">
        <v>3033181.56</v>
      </c>
    </row>
    <row r="6293" spans="2:12">
      <c r="B6293" s="1297"/>
      <c r="C6293" s="1297"/>
      <c r="D6293" s="1297"/>
      <c r="E6293" s="1297" t="s">
        <v>952</v>
      </c>
      <c r="G6293" s="1399">
        <v>34112.370000000003</v>
      </c>
      <c r="J6293" s="1399">
        <v>34112.370000000003</v>
      </c>
    </row>
    <row r="6294" spans="2:12">
      <c r="B6294" s="1297"/>
      <c r="C6294" s="1297"/>
      <c r="D6294" s="1297"/>
      <c r="E6294" s="1297" t="s">
        <v>907</v>
      </c>
      <c r="G6294" s="1399">
        <v>1215641.32</v>
      </c>
      <c r="J6294" s="1399">
        <v>1215641.32</v>
      </c>
    </row>
    <row r="6295" spans="2:12">
      <c r="B6295" s="1297"/>
      <c r="C6295" s="1297"/>
      <c r="D6295" s="1297"/>
      <c r="E6295" s="1297" t="s">
        <v>909</v>
      </c>
      <c r="H6295" s="1399">
        <v>16528.879999999997</v>
      </c>
      <c r="J6295" s="1399">
        <v>16528.879999999997</v>
      </c>
    </row>
    <row r="6296" spans="2:12">
      <c r="B6296" s="1297"/>
      <c r="C6296" s="1297"/>
      <c r="D6296" s="1297"/>
      <c r="E6296" s="1297" t="s">
        <v>910</v>
      </c>
      <c r="H6296" s="1399">
        <v>1737.75</v>
      </c>
      <c r="J6296" s="1399">
        <v>1737.75</v>
      </c>
    </row>
    <row r="6297" spans="2:12">
      <c r="B6297" s="1297"/>
      <c r="C6297" s="1297"/>
      <c r="D6297" s="1297"/>
      <c r="E6297" s="1297" t="s">
        <v>1034</v>
      </c>
      <c r="H6297" s="1399">
        <v>17665.009999999998</v>
      </c>
      <c r="J6297" s="1399">
        <v>17665.009999999998</v>
      </c>
    </row>
    <row r="6298" spans="2:12">
      <c r="B6298" s="1297"/>
      <c r="C6298" s="1297"/>
      <c r="D6298" s="1297"/>
      <c r="E6298" s="1297" t="s">
        <v>1035</v>
      </c>
      <c r="H6298" s="1399">
        <v>169960.37</v>
      </c>
      <c r="J6298" s="1399">
        <v>169960.37</v>
      </c>
    </row>
    <row r="6299" spans="2:12">
      <c r="B6299" s="1297"/>
      <c r="C6299" s="1297"/>
      <c r="D6299" s="1297"/>
      <c r="E6299" s="1297" t="s">
        <v>1036</v>
      </c>
      <c r="H6299" s="1399">
        <v>77270.930000000008</v>
      </c>
      <c r="J6299" s="1399">
        <v>77270.930000000008</v>
      </c>
    </row>
    <row r="6300" spans="2:12">
      <c r="B6300" s="1297"/>
      <c r="C6300" s="1297"/>
      <c r="D6300" s="1297"/>
      <c r="E6300" s="1297" t="s">
        <v>1037</v>
      </c>
      <c r="H6300" s="1399">
        <v>81176.88</v>
      </c>
      <c r="J6300" s="1399">
        <v>81176.88</v>
      </c>
    </row>
    <row r="6301" spans="2:12">
      <c r="B6301" s="1297"/>
      <c r="C6301" s="1297"/>
      <c r="D6301" s="1297"/>
      <c r="E6301" s="1297" t="s">
        <v>1039</v>
      </c>
      <c r="H6301" s="1399">
        <v>14591.810000000001</v>
      </c>
      <c r="J6301" s="1399">
        <v>14591.810000000001</v>
      </c>
    </row>
    <row r="6302" spans="2:12">
      <c r="B6302" s="1297"/>
      <c r="C6302" s="1297"/>
      <c r="D6302" s="1297"/>
      <c r="E6302" s="1297" t="s">
        <v>1040</v>
      </c>
      <c r="H6302" s="1399">
        <v>148543.81</v>
      </c>
      <c r="J6302" s="1399">
        <v>148543.81</v>
      </c>
    </row>
    <row r="6303" spans="2:12">
      <c r="B6303" s="1297"/>
      <c r="C6303" s="1297"/>
      <c r="D6303" s="1297"/>
      <c r="E6303" s="1297" t="s">
        <v>1041</v>
      </c>
      <c r="H6303" s="1399">
        <v>30028.400000000001</v>
      </c>
      <c r="J6303" s="1399">
        <v>30028.400000000001</v>
      </c>
    </row>
    <row r="6304" spans="2:12">
      <c r="B6304" s="1297"/>
      <c r="C6304" s="1297"/>
      <c r="D6304" s="1297"/>
      <c r="E6304" s="1297" t="s">
        <v>1042</v>
      </c>
      <c r="H6304" s="1399">
        <v>17554.309999999998</v>
      </c>
      <c r="J6304" s="1399">
        <v>17554.309999999998</v>
      </c>
    </row>
    <row r="6305" spans="2:11">
      <c r="B6305" s="1297"/>
      <c r="C6305" s="1297"/>
      <c r="D6305" s="1297"/>
      <c r="E6305" s="1297" t="s">
        <v>996</v>
      </c>
      <c r="H6305" s="1399">
        <v>60</v>
      </c>
      <c r="J6305" s="1399">
        <v>60</v>
      </c>
      <c r="K6305" s="1297"/>
    </row>
    <row r="6306" spans="2:11">
      <c r="B6306" s="1297"/>
      <c r="C6306" s="1297"/>
      <c r="D6306" s="1297"/>
      <c r="E6306" s="1297" t="s">
        <v>1045</v>
      </c>
      <c r="H6306" s="1399">
        <v>165011.78999999998</v>
      </c>
      <c r="J6306" s="1399">
        <v>165011.78999999998</v>
      </c>
      <c r="K6306" s="1297"/>
    </row>
    <row r="6307" spans="2:11">
      <c r="B6307" s="1297"/>
      <c r="C6307" s="1297"/>
      <c r="D6307" s="1297"/>
      <c r="E6307" s="1297" t="s">
        <v>1046</v>
      </c>
      <c r="I6307" s="1399">
        <v>8028802</v>
      </c>
      <c r="J6307" s="1399">
        <v>8028802</v>
      </c>
      <c r="K6307" s="1297"/>
    </row>
    <row r="6308" spans="2:11">
      <c r="B6308" s="1297"/>
      <c r="C6308" s="1297"/>
      <c r="D6308" s="1297"/>
      <c r="E6308" s="1297" t="s">
        <v>1128</v>
      </c>
      <c r="I6308" s="1399">
        <v>729941</v>
      </c>
      <c r="J6308" s="1399">
        <v>729941</v>
      </c>
      <c r="K6308" s="1297"/>
    </row>
    <row r="6309" spans="2:11">
      <c r="B6309" s="1297"/>
      <c r="C6309" s="1297"/>
      <c r="D6309" s="1297"/>
      <c r="E6309" s="1297" t="s">
        <v>1129</v>
      </c>
      <c r="I6309" s="1399">
        <v>-1202806</v>
      </c>
      <c r="J6309" s="1399">
        <v>-1202806</v>
      </c>
      <c r="K6309" s="1297"/>
    </row>
    <row r="6310" spans="2:11">
      <c r="B6310" s="1297"/>
      <c r="C6310" s="1297"/>
      <c r="D6310" s="1297"/>
      <c r="E6310" s="1297" t="s">
        <v>1047</v>
      </c>
      <c r="I6310" s="1399">
        <v>124720</v>
      </c>
      <c r="J6310" s="1399">
        <v>124720</v>
      </c>
      <c r="K6310" s="1297"/>
    </row>
    <row r="6311" spans="2:11">
      <c r="B6311" s="1297"/>
      <c r="C6311" s="1297"/>
      <c r="D6311" s="1297"/>
      <c r="E6311" s="1297" t="s">
        <v>1048</v>
      </c>
      <c r="I6311" s="1399">
        <v>-911580</v>
      </c>
      <c r="J6311" s="1399">
        <v>-911580</v>
      </c>
      <c r="K6311" s="1297"/>
    </row>
    <row r="6312" spans="2:11">
      <c r="B6312" s="1297"/>
      <c r="C6312" s="1297"/>
      <c r="D6312" s="1297"/>
      <c r="E6312" s="1297" t="s">
        <v>932</v>
      </c>
      <c r="I6312" s="1399">
        <v>847833</v>
      </c>
      <c r="J6312" s="1399">
        <v>847833</v>
      </c>
      <c r="K6312" s="1297"/>
    </row>
    <row r="6313" spans="2:11">
      <c r="B6313" s="1297"/>
      <c r="C6313" s="1297"/>
      <c r="D6313" s="1297"/>
      <c r="E6313" s="1404" t="s">
        <v>955</v>
      </c>
      <c r="F6313" s="1405"/>
      <c r="G6313" s="1405"/>
      <c r="H6313" s="1405"/>
      <c r="I6313" s="1405">
        <v>140417.03</v>
      </c>
      <c r="J6313" s="1405">
        <v>140417.03</v>
      </c>
      <c r="K6313" s="1297"/>
    </row>
    <row r="6314" spans="2:11">
      <c r="B6314" s="1297"/>
      <c r="C6314" s="1297"/>
      <c r="D6314" s="1297"/>
      <c r="E6314" s="1297" t="s">
        <v>934</v>
      </c>
      <c r="I6314" s="1399">
        <v>26868</v>
      </c>
      <c r="J6314" s="1399">
        <v>26868</v>
      </c>
      <c r="K6314" s="1297"/>
    </row>
    <row r="6315" spans="2:11">
      <c r="B6315" s="1297"/>
      <c r="C6315" s="1297"/>
      <c r="D6315" s="1297"/>
      <c r="E6315" s="1297" t="s">
        <v>935</v>
      </c>
      <c r="I6315" s="1399">
        <v>134871.87999999998</v>
      </c>
      <c r="J6315" s="1399">
        <v>134871.87999999998</v>
      </c>
      <c r="K6315" s="1297"/>
    </row>
    <row r="6316" spans="2:11">
      <c r="B6316" s="1297"/>
      <c r="C6316" s="1297"/>
      <c r="D6316" s="1297"/>
      <c r="E6316" s="1297" t="s">
        <v>936</v>
      </c>
      <c r="I6316" s="1399">
        <v>24860.69</v>
      </c>
      <c r="J6316" s="1399">
        <v>24860.69</v>
      </c>
      <c r="K6316" s="1297"/>
    </row>
    <row r="6317" spans="2:11">
      <c r="B6317" s="1297"/>
      <c r="C6317" s="1297"/>
      <c r="D6317" s="1297"/>
      <c r="E6317" s="1297" t="s">
        <v>937</v>
      </c>
      <c r="I6317" s="1399">
        <v>17670.740000000002</v>
      </c>
      <c r="J6317" s="1399">
        <v>17670.740000000002</v>
      </c>
      <c r="K6317" s="1297"/>
    </row>
    <row r="6318" spans="2:11">
      <c r="B6318" s="1297"/>
      <c r="C6318" s="1297"/>
      <c r="D6318" s="1297"/>
      <c r="E6318" s="1297" t="s">
        <v>938</v>
      </c>
      <c r="I6318" s="1399">
        <v>7299</v>
      </c>
      <c r="J6318" s="1399">
        <v>7299</v>
      </c>
      <c r="K6318" s="1297"/>
    </row>
    <row r="6319" spans="2:11">
      <c r="B6319" s="1297"/>
      <c r="C6319" s="1297"/>
      <c r="D6319" s="1297"/>
      <c r="E6319" s="1297" t="s">
        <v>940</v>
      </c>
      <c r="F6319" s="1399">
        <v>354213.45999999996</v>
      </c>
      <c r="J6319" s="1399">
        <v>354213.45999999996</v>
      </c>
      <c r="K6319" s="1297"/>
    </row>
    <row r="6320" spans="2:11">
      <c r="B6320" s="1297"/>
      <c r="C6320" s="1297"/>
      <c r="D6320" s="1297"/>
      <c r="E6320" s="1297" t="s">
        <v>941</v>
      </c>
      <c r="F6320" s="1399">
        <v>139243.26</v>
      </c>
      <c r="J6320" s="1399">
        <v>139243.26</v>
      </c>
      <c r="K6320" s="1297"/>
    </row>
    <row r="6321" spans="2:12">
      <c r="B6321" s="1297"/>
      <c r="C6321" s="1297"/>
      <c r="D6321" s="1297"/>
      <c r="E6321" s="1297" t="s">
        <v>943</v>
      </c>
      <c r="F6321" s="1399">
        <v>6463.9000000000005</v>
      </c>
      <c r="J6321" s="1399">
        <v>6463.9000000000005</v>
      </c>
    </row>
    <row r="6322" spans="2:12">
      <c r="B6322" s="1297"/>
      <c r="C6322" s="1297"/>
      <c r="D6322" s="1297"/>
      <c r="E6322" s="1297" t="s">
        <v>944</v>
      </c>
      <c r="F6322" s="1399">
        <v>659919.8600000001</v>
      </c>
      <c r="J6322" s="1399">
        <v>659919.8600000001</v>
      </c>
    </row>
    <row r="6323" spans="2:12">
      <c r="B6323" s="1297"/>
      <c r="C6323" s="1297"/>
      <c r="D6323" s="1297"/>
      <c r="E6323" s="1297" t="s">
        <v>945</v>
      </c>
      <c r="F6323" s="1399">
        <v>355587.83</v>
      </c>
      <c r="J6323" s="1399">
        <v>355587.83</v>
      </c>
    </row>
    <row r="6324" spans="2:12">
      <c r="B6324" s="1297"/>
      <c r="C6324" s="1297"/>
      <c r="D6324" s="1297"/>
      <c r="E6324" s="1297" t="s">
        <v>947</v>
      </c>
      <c r="F6324" s="1399">
        <v>31765.300000000003</v>
      </c>
      <c r="J6324" s="1399">
        <v>31765.300000000003</v>
      </c>
    </row>
    <row r="6325" spans="2:12">
      <c r="B6325" s="1297"/>
      <c r="C6325" s="1297"/>
      <c r="D6325" s="1297"/>
      <c r="E6325" s="1404" t="s">
        <v>948</v>
      </c>
      <c r="F6325" s="1405"/>
      <c r="G6325" s="1405"/>
      <c r="H6325" s="1405">
        <v>1617158.53</v>
      </c>
      <c r="I6325" s="1405"/>
      <c r="J6325" s="1405">
        <v>1617158.53</v>
      </c>
    </row>
    <row r="6326" spans="2:12">
      <c r="B6326" s="1297"/>
      <c r="C6326" s="1297"/>
      <c r="D6326" s="1297"/>
      <c r="E6326" s="1297" t="s">
        <v>1118</v>
      </c>
      <c r="H6326" s="1399">
        <v>480</v>
      </c>
      <c r="J6326" s="1399">
        <v>480</v>
      </c>
    </row>
    <row r="6327" spans="2:12">
      <c r="B6327" s="1297"/>
      <c r="C6327" s="1297"/>
      <c r="D6327" s="1400" t="s">
        <v>1454</v>
      </c>
      <c r="E6327" s="1400"/>
      <c r="F6327" s="1401">
        <f>SUM(F6292:F6326)</f>
        <v>1547193.61</v>
      </c>
      <c r="G6327" s="1401">
        <f>SUM(G6292:G6326)</f>
        <v>4282935.25</v>
      </c>
      <c r="H6327" s="1401">
        <f>SUM(H6292:H6326)-H6325</f>
        <v>740609.93999999971</v>
      </c>
      <c r="I6327" s="1401">
        <f>SUM(I6292:I6326)-I6313</f>
        <v>7828480.3100000005</v>
      </c>
      <c r="J6327" s="1401">
        <f>SUM(J6292:J6326)</f>
        <v>16156794.669999998</v>
      </c>
      <c r="K6327" s="1401">
        <f>SUM(F6327:I6327)</f>
        <v>14399219.109999999</v>
      </c>
      <c r="L6327" s="1408">
        <f>K6327/C6292</f>
        <v>9896.3705223367688</v>
      </c>
    </row>
    <row r="6328" spans="2:12">
      <c r="B6328" s="1297" t="s">
        <v>1455</v>
      </c>
      <c r="C6328" s="1297">
        <v>7010</v>
      </c>
      <c r="D6328" s="1297" t="s">
        <v>1456</v>
      </c>
      <c r="E6328" s="1297" t="s">
        <v>907</v>
      </c>
      <c r="G6328" s="1399">
        <v>5487423.5499999998</v>
      </c>
      <c r="J6328" s="1399">
        <v>5487423.5499999998</v>
      </c>
    </row>
    <row r="6329" spans="2:12">
      <c r="B6329" s="1297"/>
      <c r="C6329" s="1297"/>
      <c r="D6329" s="1297"/>
      <c r="E6329" s="1297" t="s">
        <v>1145</v>
      </c>
      <c r="G6329" s="1399">
        <v>26345629.850000001</v>
      </c>
      <c r="J6329" s="1399">
        <v>26345629.850000001</v>
      </c>
    </row>
    <row r="6330" spans="2:12">
      <c r="B6330" s="1297"/>
      <c r="C6330" s="1297"/>
      <c r="D6330" s="1297"/>
      <c r="E6330" s="1297" t="s">
        <v>908</v>
      </c>
      <c r="G6330" s="1399">
        <v>117592.57</v>
      </c>
      <c r="J6330" s="1399">
        <v>117592.57</v>
      </c>
    </row>
    <row r="6331" spans="2:12">
      <c r="B6331" s="1297"/>
      <c r="C6331" s="1297"/>
      <c r="D6331" s="1297"/>
      <c r="E6331" s="1297" t="s">
        <v>909</v>
      </c>
      <c r="H6331" s="1399">
        <v>21758.92</v>
      </c>
      <c r="J6331" s="1399">
        <v>21758.92</v>
      </c>
    </row>
    <row r="6332" spans="2:12">
      <c r="B6332" s="1297"/>
      <c r="C6332" s="1297"/>
      <c r="D6332" s="1297"/>
      <c r="E6332" s="1297" t="s">
        <v>910</v>
      </c>
      <c r="H6332" s="1399">
        <v>49796.979999999996</v>
      </c>
      <c r="J6332" s="1399">
        <v>49796.979999999996</v>
      </c>
    </row>
    <row r="6333" spans="2:12">
      <c r="B6333" s="1297"/>
      <c r="C6333" s="1297"/>
      <c r="D6333" s="1297"/>
      <c r="E6333" s="1297" t="s">
        <v>1034</v>
      </c>
      <c r="H6333" s="1399">
        <v>35859.759999999995</v>
      </c>
      <c r="J6333" s="1399">
        <v>35859.759999999995</v>
      </c>
    </row>
    <row r="6334" spans="2:12">
      <c r="B6334" s="1297"/>
      <c r="C6334" s="1297"/>
      <c r="D6334" s="1297"/>
      <c r="E6334" s="1297" t="s">
        <v>1035</v>
      </c>
      <c r="H6334" s="1399">
        <v>361253.25000000006</v>
      </c>
      <c r="J6334" s="1399">
        <v>361253.25000000006</v>
      </c>
    </row>
    <row r="6335" spans="2:12">
      <c r="B6335" s="1297"/>
      <c r="C6335" s="1297"/>
      <c r="D6335" s="1297"/>
      <c r="E6335" s="1297" t="s">
        <v>1036</v>
      </c>
      <c r="H6335" s="1399">
        <v>183098.71</v>
      </c>
      <c r="J6335" s="1399">
        <v>183098.71</v>
      </c>
    </row>
    <row r="6336" spans="2:12">
      <c r="B6336" s="1297"/>
      <c r="C6336" s="1297"/>
      <c r="D6336" s="1297"/>
      <c r="E6336" s="1297" t="s">
        <v>1037</v>
      </c>
      <c r="H6336" s="1399">
        <v>252064.92</v>
      </c>
      <c r="J6336" s="1399">
        <v>252064.92</v>
      </c>
    </row>
    <row r="6337" spans="2:11">
      <c r="B6337" s="1297"/>
      <c r="C6337" s="1297"/>
      <c r="D6337" s="1297"/>
      <c r="E6337" s="1297" t="s">
        <v>1039</v>
      </c>
      <c r="H6337" s="1399">
        <v>186231.49000000002</v>
      </c>
      <c r="J6337" s="1399">
        <v>186231.49000000002</v>
      </c>
      <c r="K6337" s="1297"/>
    </row>
    <row r="6338" spans="2:11">
      <c r="B6338" s="1297"/>
      <c r="C6338" s="1297"/>
      <c r="D6338" s="1297"/>
      <c r="E6338" s="1297" t="s">
        <v>1040</v>
      </c>
      <c r="H6338" s="1399">
        <v>270325.28000000003</v>
      </c>
      <c r="J6338" s="1399">
        <v>270325.28000000003</v>
      </c>
      <c r="K6338" s="1297"/>
    </row>
    <row r="6339" spans="2:11">
      <c r="B6339" s="1297"/>
      <c r="C6339" s="1297"/>
      <c r="D6339" s="1297"/>
      <c r="E6339" s="1297" t="s">
        <v>1041</v>
      </c>
      <c r="H6339" s="1399">
        <v>21519.370000000003</v>
      </c>
      <c r="J6339" s="1399">
        <v>21519.370000000003</v>
      </c>
      <c r="K6339" s="1297"/>
    </row>
    <row r="6340" spans="2:11">
      <c r="B6340" s="1297"/>
      <c r="C6340" s="1297"/>
      <c r="D6340" s="1297"/>
      <c r="E6340" s="1297" t="s">
        <v>1042</v>
      </c>
      <c r="H6340" s="1399">
        <v>90018.76</v>
      </c>
      <c r="J6340" s="1399">
        <v>90018.76</v>
      </c>
      <c r="K6340" s="1297"/>
    </row>
    <row r="6341" spans="2:11">
      <c r="B6341" s="1297"/>
      <c r="C6341" s="1297"/>
      <c r="D6341" s="1297"/>
      <c r="E6341" s="1297" t="s">
        <v>953</v>
      </c>
      <c r="H6341" s="1399">
        <v>29968.71</v>
      </c>
      <c r="J6341" s="1399">
        <v>29968.71</v>
      </c>
      <c r="K6341" s="1297"/>
    </row>
    <row r="6342" spans="2:11">
      <c r="B6342" s="1297"/>
      <c r="C6342" s="1297"/>
      <c r="D6342" s="1297"/>
      <c r="E6342" s="1297" t="s">
        <v>985</v>
      </c>
      <c r="H6342" s="1399">
        <v>170664.08</v>
      </c>
      <c r="J6342" s="1399">
        <v>170664.08</v>
      </c>
      <c r="K6342" s="1297"/>
    </row>
    <row r="6343" spans="2:11">
      <c r="B6343" s="1297"/>
      <c r="C6343" s="1297"/>
      <c r="D6343" s="1297"/>
      <c r="E6343" s="1297" t="s">
        <v>1043</v>
      </c>
      <c r="H6343" s="1399">
        <v>5277.5</v>
      </c>
      <c r="J6343" s="1399">
        <v>5277.5</v>
      </c>
      <c r="K6343" s="1297"/>
    </row>
    <row r="6344" spans="2:11">
      <c r="B6344" s="1297"/>
      <c r="C6344" s="1297"/>
      <c r="D6344" s="1297"/>
      <c r="E6344" s="1297" t="s">
        <v>986</v>
      </c>
      <c r="H6344" s="1399">
        <v>10310</v>
      </c>
      <c r="J6344" s="1399">
        <v>10310</v>
      </c>
      <c r="K6344" s="1297"/>
    </row>
    <row r="6345" spans="2:11">
      <c r="B6345" s="1297"/>
      <c r="C6345" s="1297"/>
      <c r="D6345" s="1297"/>
      <c r="E6345" s="1297" t="s">
        <v>1044</v>
      </c>
      <c r="F6345" s="1409">
        <v>470833.21</v>
      </c>
      <c r="J6345" s="1399">
        <v>470833.21</v>
      </c>
      <c r="K6345" s="1297"/>
    </row>
    <row r="6346" spans="2:11">
      <c r="B6346" s="1297"/>
      <c r="C6346" s="1297"/>
      <c r="D6346" s="1297"/>
      <c r="E6346" s="1297" t="s">
        <v>1045</v>
      </c>
      <c r="H6346" s="1399">
        <v>948407.45000000019</v>
      </c>
      <c r="J6346" s="1399">
        <v>948407.45000000019</v>
      </c>
      <c r="K6346" s="1297"/>
    </row>
    <row r="6347" spans="2:11">
      <c r="B6347" s="1297"/>
      <c r="C6347" s="1297"/>
      <c r="D6347" s="1297"/>
      <c r="E6347" s="1297" t="s">
        <v>1046</v>
      </c>
      <c r="I6347" s="1399">
        <v>37734881</v>
      </c>
      <c r="J6347" s="1399">
        <v>37734881</v>
      </c>
      <c r="K6347" s="1297"/>
    </row>
    <row r="6348" spans="2:11">
      <c r="B6348" s="1297"/>
      <c r="C6348" s="1297"/>
      <c r="D6348" s="1297"/>
      <c r="E6348" s="1297" t="s">
        <v>1128</v>
      </c>
      <c r="I6348" s="1399">
        <v>3107688</v>
      </c>
      <c r="J6348" s="1399">
        <v>3107688</v>
      </c>
      <c r="K6348" s="1297"/>
    </row>
    <row r="6349" spans="2:11">
      <c r="B6349" s="1297"/>
      <c r="C6349" s="1297"/>
      <c r="D6349" s="1297"/>
      <c r="E6349" s="1297" t="s">
        <v>1129</v>
      </c>
      <c r="I6349" s="1399">
        <v>-4930693</v>
      </c>
      <c r="J6349" s="1399">
        <v>-4930693</v>
      </c>
      <c r="K6349" s="1297"/>
    </row>
    <row r="6350" spans="2:11">
      <c r="B6350" s="1297"/>
      <c r="C6350" s="1297"/>
      <c r="D6350" s="1297"/>
      <c r="E6350" s="1297" t="s">
        <v>1047</v>
      </c>
      <c r="I6350" s="1399">
        <v>372035</v>
      </c>
      <c r="J6350" s="1399">
        <v>372035</v>
      </c>
      <c r="K6350" s="1297"/>
    </row>
    <row r="6351" spans="2:11">
      <c r="B6351" s="1297"/>
      <c r="C6351" s="1297"/>
      <c r="D6351" s="1297"/>
      <c r="E6351" s="1297" t="s">
        <v>1048</v>
      </c>
      <c r="I6351" s="1399">
        <v>-6775062</v>
      </c>
      <c r="J6351" s="1399">
        <v>-6775062</v>
      </c>
      <c r="K6351" s="1297"/>
    </row>
    <row r="6352" spans="2:11">
      <c r="B6352" s="1297"/>
      <c r="C6352" s="1297"/>
      <c r="D6352" s="1297"/>
      <c r="E6352" s="1297" t="s">
        <v>932</v>
      </c>
      <c r="I6352" s="1399">
        <v>600445</v>
      </c>
      <c r="J6352" s="1399">
        <v>600445</v>
      </c>
      <c r="K6352" s="1297"/>
    </row>
    <row r="6353" spans="2:11">
      <c r="B6353" s="1297"/>
      <c r="C6353" s="1297"/>
      <c r="D6353" s="1297"/>
      <c r="E6353" s="1404" t="s">
        <v>955</v>
      </c>
      <c r="F6353" s="1405"/>
      <c r="G6353" s="1405"/>
      <c r="H6353" s="1405"/>
      <c r="I6353" s="1405">
        <v>1255404.1599999999</v>
      </c>
      <c r="J6353" s="1405">
        <v>1255404.1599999999</v>
      </c>
      <c r="K6353" s="1297"/>
    </row>
    <row r="6354" spans="2:11">
      <c r="B6354" s="1297"/>
      <c r="C6354" s="1297"/>
      <c r="D6354" s="1297"/>
      <c r="E6354" s="1297" t="s">
        <v>934</v>
      </c>
      <c r="I6354" s="1399">
        <v>126500</v>
      </c>
      <c r="J6354" s="1399">
        <v>126500</v>
      </c>
      <c r="K6354" s="1297"/>
    </row>
    <row r="6355" spans="2:11">
      <c r="B6355" s="1297"/>
      <c r="C6355" s="1297"/>
      <c r="D6355" s="1297"/>
      <c r="E6355" s="1297" t="s">
        <v>1130</v>
      </c>
      <c r="I6355" s="1399">
        <v>72465.100000000006</v>
      </c>
      <c r="J6355" s="1399">
        <v>72465.100000000006</v>
      </c>
      <c r="K6355" s="1297"/>
    </row>
    <row r="6356" spans="2:11">
      <c r="B6356" s="1297"/>
      <c r="C6356" s="1297"/>
      <c r="D6356" s="1297"/>
      <c r="E6356" s="1297" t="s">
        <v>935</v>
      </c>
      <c r="I6356" s="1399">
        <v>162187.59</v>
      </c>
      <c r="J6356" s="1399">
        <v>162187.59</v>
      </c>
      <c r="K6356" s="1297"/>
    </row>
    <row r="6357" spans="2:11">
      <c r="B6357" s="1297"/>
      <c r="C6357" s="1297"/>
      <c r="D6357" s="1297"/>
      <c r="E6357" s="1297" t="s">
        <v>936</v>
      </c>
      <c r="I6357" s="1399">
        <v>79834.320000000007</v>
      </c>
      <c r="J6357" s="1399">
        <v>79834.320000000007</v>
      </c>
      <c r="K6357" s="1297"/>
    </row>
    <row r="6358" spans="2:11">
      <c r="B6358" s="1297"/>
      <c r="C6358" s="1297"/>
      <c r="D6358" s="1297"/>
      <c r="E6358" s="1297" t="s">
        <v>937</v>
      </c>
      <c r="I6358" s="1399">
        <v>27319.11</v>
      </c>
      <c r="J6358" s="1399">
        <v>27319.11</v>
      </c>
      <c r="K6358" s="1297"/>
    </row>
    <row r="6359" spans="2:11">
      <c r="B6359" s="1297"/>
      <c r="C6359" s="1297"/>
      <c r="D6359" s="1297"/>
      <c r="E6359" s="1297" t="s">
        <v>938</v>
      </c>
      <c r="I6359" s="1399">
        <v>21336</v>
      </c>
      <c r="J6359" s="1399">
        <v>21336</v>
      </c>
      <c r="K6359" s="1297"/>
    </row>
    <row r="6360" spans="2:11">
      <c r="B6360" s="1297"/>
      <c r="C6360" s="1297"/>
      <c r="D6360" s="1297"/>
      <c r="E6360" s="1297" t="s">
        <v>940</v>
      </c>
      <c r="F6360" s="1399">
        <v>2698547.02</v>
      </c>
      <c r="J6360" s="1399">
        <v>2698547.02</v>
      </c>
      <c r="K6360" s="1297"/>
    </row>
    <row r="6361" spans="2:11">
      <c r="B6361" s="1297"/>
      <c r="C6361" s="1297"/>
      <c r="D6361" s="1297"/>
      <c r="E6361" s="1297" t="s">
        <v>941</v>
      </c>
      <c r="F6361" s="1399">
        <v>897065.08</v>
      </c>
      <c r="J6361" s="1399">
        <v>897065.08</v>
      </c>
      <c r="K6361" s="1297"/>
    </row>
    <row r="6362" spans="2:11">
      <c r="B6362" s="1297"/>
      <c r="C6362" s="1297"/>
      <c r="D6362" s="1297"/>
      <c r="E6362" s="1297" t="s">
        <v>943</v>
      </c>
      <c r="F6362" s="1399">
        <v>64610.14</v>
      </c>
      <c r="J6362" s="1399">
        <v>64610.14</v>
      </c>
      <c r="K6362" s="1297"/>
    </row>
    <row r="6363" spans="2:11">
      <c r="B6363" s="1297"/>
      <c r="C6363" s="1297"/>
      <c r="D6363" s="1297"/>
      <c r="E6363" s="1297" t="s">
        <v>944</v>
      </c>
      <c r="F6363" s="1399">
        <v>3860441.6699999995</v>
      </c>
      <c r="J6363" s="1399">
        <v>3860441.6699999995</v>
      </c>
      <c r="K6363" s="1297"/>
    </row>
    <row r="6364" spans="2:11">
      <c r="B6364" s="1297"/>
      <c r="C6364" s="1297"/>
      <c r="D6364" s="1297"/>
      <c r="E6364" s="1297" t="s">
        <v>945</v>
      </c>
      <c r="F6364" s="1399">
        <v>2764865.9800000004</v>
      </c>
      <c r="J6364" s="1399">
        <v>2764865.9800000004</v>
      </c>
      <c r="K6364" s="1297"/>
    </row>
    <row r="6365" spans="2:11">
      <c r="B6365" s="1297"/>
      <c r="C6365" s="1297"/>
      <c r="D6365" s="1297"/>
      <c r="E6365" s="1297" t="s">
        <v>946</v>
      </c>
      <c r="F6365" s="1399">
        <v>387781.26999999996</v>
      </c>
      <c r="J6365" s="1399">
        <v>387781.26999999996</v>
      </c>
      <c r="K6365" s="1297"/>
    </row>
    <row r="6366" spans="2:11">
      <c r="B6366" s="1297"/>
      <c r="C6366" s="1297"/>
      <c r="D6366" s="1297"/>
      <c r="E6366" s="1297" t="s">
        <v>978</v>
      </c>
      <c r="F6366" s="1399">
        <v>18283.34</v>
      </c>
      <c r="J6366" s="1399">
        <v>18283.34</v>
      </c>
      <c r="K6366" s="1297"/>
    </row>
    <row r="6367" spans="2:11">
      <c r="B6367" s="1297"/>
      <c r="C6367" s="1297"/>
      <c r="D6367" s="1297"/>
      <c r="E6367" s="1297" t="s">
        <v>947</v>
      </c>
      <c r="F6367" s="1399">
        <v>217524.91</v>
      </c>
      <c r="J6367" s="1399">
        <v>217524.91</v>
      </c>
      <c r="K6367" s="1297"/>
    </row>
    <row r="6368" spans="2:11">
      <c r="B6368" s="1297"/>
      <c r="C6368" s="1297"/>
      <c r="D6368" s="1297"/>
      <c r="E6368" s="1404" t="s">
        <v>948</v>
      </c>
      <c r="F6368" s="1405"/>
      <c r="G6368" s="1405"/>
      <c r="H6368" s="1405">
        <v>8380214.7599999998</v>
      </c>
      <c r="I6368" s="1405"/>
      <c r="J6368" s="1405">
        <v>8380214.7599999998</v>
      </c>
      <c r="K6368" s="1297"/>
    </row>
    <row r="6369" spans="2:12">
      <c r="B6369" s="1297"/>
      <c r="C6369" s="1297"/>
      <c r="D6369" s="1400" t="s">
        <v>1457</v>
      </c>
      <c r="E6369" s="1400"/>
      <c r="F6369" s="1401">
        <f>SUM(F6328:F6368)</f>
        <v>11379952.619999999</v>
      </c>
      <c r="G6369" s="1401">
        <f>SUM(G6328:G6368)</f>
        <v>31950645.970000003</v>
      </c>
      <c r="H6369" s="1401">
        <f>SUM(H6328:H6368)-H6368</f>
        <v>2636555.1800000016</v>
      </c>
      <c r="I6369" s="1401">
        <f>SUM(I6328:I6368)-I6353</f>
        <v>30598936.120000001</v>
      </c>
      <c r="J6369" s="1401">
        <f>SUM(J6328:J6368)</f>
        <v>86201708.810000017</v>
      </c>
      <c r="K6369" s="1401">
        <f>SUM(F6369:I6369)</f>
        <v>76566089.890000001</v>
      </c>
      <c r="L6369" s="1408">
        <f>K6369/C6328</f>
        <v>10922.409399429387</v>
      </c>
    </row>
    <row r="6370" spans="2:12">
      <c r="B6370" s="1297" t="s">
        <v>1458</v>
      </c>
      <c r="C6370" s="1297">
        <v>2916</v>
      </c>
      <c r="D6370" s="1413" t="s">
        <v>1729</v>
      </c>
      <c r="E6370" s="1297" t="s">
        <v>907</v>
      </c>
      <c r="G6370" s="1399">
        <v>2181531.69</v>
      </c>
      <c r="J6370" s="1399">
        <v>2181531.69</v>
      </c>
    </row>
    <row r="6371" spans="2:12">
      <c r="B6371" s="1297"/>
      <c r="C6371" s="1297"/>
      <c r="D6371" s="1297"/>
      <c r="E6371" s="1297" t="s">
        <v>1145</v>
      </c>
      <c r="G6371" s="1399">
        <v>24100666.140000001</v>
      </c>
      <c r="J6371" s="1399">
        <v>24100666.140000001</v>
      </c>
    </row>
    <row r="6372" spans="2:12">
      <c r="B6372" s="1297"/>
      <c r="C6372" s="1297"/>
      <c r="D6372" s="1297"/>
      <c r="E6372" s="1297" t="s">
        <v>1037</v>
      </c>
      <c r="H6372" s="1399">
        <v>707807.57</v>
      </c>
      <c r="J6372" s="1399">
        <v>707807.57</v>
      </c>
    </row>
    <row r="6373" spans="2:12">
      <c r="B6373" s="1297"/>
      <c r="C6373" s="1297"/>
      <c r="D6373" s="1297"/>
      <c r="E6373" s="1297" t="s">
        <v>1064</v>
      </c>
      <c r="H6373" s="1399">
        <v>920071.3</v>
      </c>
      <c r="J6373" s="1399">
        <v>920071.3</v>
      </c>
    </row>
    <row r="6374" spans="2:12">
      <c r="B6374" s="1297"/>
      <c r="C6374" s="1297"/>
      <c r="D6374" s="1297"/>
      <c r="E6374" s="1297" t="s">
        <v>1039</v>
      </c>
      <c r="H6374" s="1399">
        <v>38835.29</v>
      </c>
      <c r="J6374" s="1399">
        <v>38835.29</v>
      </c>
    </row>
    <row r="6375" spans="2:12">
      <c r="B6375" s="1297"/>
      <c r="C6375" s="1297"/>
      <c r="D6375" s="1297"/>
      <c r="E6375" s="1297" t="s">
        <v>1040</v>
      </c>
      <c r="H6375" s="1399">
        <v>457715.59</v>
      </c>
      <c r="J6375" s="1399">
        <v>457715.59</v>
      </c>
    </row>
    <row r="6376" spans="2:12">
      <c r="B6376" s="1297"/>
      <c r="C6376" s="1297"/>
      <c r="D6376" s="1297"/>
      <c r="E6376" s="1297" t="s">
        <v>1207</v>
      </c>
      <c r="H6376" s="1399">
        <v>49370.86</v>
      </c>
      <c r="J6376" s="1399">
        <v>49370.86</v>
      </c>
    </row>
    <row r="6377" spans="2:12">
      <c r="B6377" s="1297"/>
      <c r="C6377" s="1297"/>
      <c r="D6377" s="1297"/>
      <c r="E6377" s="1297" t="s">
        <v>1041</v>
      </c>
      <c r="H6377" s="1399">
        <v>63420.959999999999</v>
      </c>
      <c r="J6377" s="1399">
        <v>63420.959999999999</v>
      </c>
    </row>
    <row r="6378" spans="2:12">
      <c r="B6378" s="1297"/>
      <c r="C6378" s="1297"/>
      <c r="D6378" s="1297"/>
      <c r="E6378" s="1297" t="s">
        <v>1042</v>
      </c>
      <c r="H6378" s="1399">
        <v>57049.11</v>
      </c>
      <c r="J6378" s="1399">
        <v>57049.11</v>
      </c>
    </row>
    <row r="6379" spans="2:12">
      <c r="B6379" s="1297"/>
      <c r="C6379" s="1297"/>
      <c r="D6379" s="1297"/>
      <c r="E6379" s="1297" t="s">
        <v>953</v>
      </c>
      <c r="H6379" s="1399">
        <v>618</v>
      </c>
      <c r="J6379" s="1399">
        <v>618</v>
      </c>
    </row>
    <row r="6380" spans="2:12">
      <c r="B6380" s="1297"/>
      <c r="C6380" s="1297"/>
      <c r="D6380" s="1297"/>
      <c r="E6380" s="1297" t="s">
        <v>954</v>
      </c>
      <c r="H6380" s="1399">
        <v>496485.77999999997</v>
      </c>
      <c r="J6380" s="1399">
        <v>496485.77999999997</v>
      </c>
    </row>
    <row r="6381" spans="2:12">
      <c r="B6381" s="1297"/>
      <c r="C6381" s="1297"/>
      <c r="D6381" s="1297"/>
      <c r="E6381" s="1297" t="s">
        <v>985</v>
      </c>
      <c r="H6381" s="1399">
        <v>50000</v>
      </c>
      <c r="J6381" s="1399">
        <v>50000</v>
      </c>
    </row>
    <row r="6382" spans="2:12">
      <c r="B6382" s="1297"/>
      <c r="C6382" s="1297"/>
      <c r="D6382" s="1297"/>
      <c r="E6382" s="1297" t="s">
        <v>986</v>
      </c>
      <c r="H6382" s="1399">
        <v>65928.759999999995</v>
      </c>
      <c r="J6382" s="1399">
        <v>65928.759999999995</v>
      </c>
    </row>
    <row r="6383" spans="2:12">
      <c r="B6383" s="1297"/>
      <c r="C6383" s="1297"/>
      <c r="D6383" s="1297"/>
      <c r="E6383" s="1297" t="s">
        <v>1045</v>
      </c>
      <c r="H6383" s="1399">
        <v>3344104.12</v>
      </c>
      <c r="J6383" s="1399">
        <v>3344104.12</v>
      </c>
    </row>
    <row r="6384" spans="2:12">
      <c r="B6384" s="1297"/>
      <c r="C6384" s="1297"/>
      <c r="D6384" s="1297"/>
      <c r="E6384" s="1297" t="s">
        <v>1046</v>
      </c>
      <c r="I6384" s="1399">
        <v>16677824</v>
      </c>
      <c r="J6384" s="1399">
        <v>16677824</v>
      </c>
    </row>
    <row r="6385" spans="2:11">
      <c r="B6385" s="1297"/>
      <c r="C6385" s="1297"/>
      <c r="D6385" s="1297"/>
      <c r="E6385" s="1297" t="s">
        <v>1128</v>
      </c>
      <c r="I6385" s="1399">
        <v>1248035</v>
      </c>
      <c r="J6385" s="1399">
        <v>1248035</v>
      </c>
      <c r="K6385" s="1297"/>
    </row>
    <row r="6386" spans="2:11">
      <c r="B6386" s="1297"/>
      <c r="C6386" s="1297"/>
      <c r="D6386" s="1297"/>
      <c r="E6386" s="1297" t="s">
        <v>1129</v>
      </c>
      <c r="I6386" s="1399">
        <v>-1741481</v>
      </c>
      <c r="J6386" s="1399">
        <v>-1741481</v>
      </c>
      <c r="K6386" s="1297"/>
    </row>
    <row r="6387" spans="2:11">
      <c r="B6387" s="1297"/>
      <c r="C6387" s="1297"/>
      <c r="D6387" s="1297"/>
      <c r="E6387" s="1297" t="s">
        <v>1047</v>
      </c>
      <c r="I6387" s="1399">
        <v>141093</v>
      </c>
      <c r="J6387" s="1399">
        <v>141093</v>
      </c>
      <c r="K6387" s="1297"/>
    </row>
    <row r="6388" spans="2:11">
      <c r="B6388" s="1297"/>
      <c r="C6388" s="1297"/>
      <c r="D6388" s="1297"/>
      <c r="E6388" s="1297" t="s">
        <v>1048</v>
      </c>
      <c r="I6388" s="1399">
        <v>-4739336</v>
      </c>
      <c r="J6388" s="1399">
        <v>-4739336</v>
      </c>
      <c r="K6388" s="1297"/>
    </row>
    <row r="6389" spans="2:11">
      <c r="B6389" s="1297"/>
      <c r="C6389" s="1297"/>
      <c r="D6389" s="1297"/>
      <c r="E6389" s="1404" t="s">
        <v>955</v>
      </c>
      <c r="F6389" s="1405"/>
      <c r="G6389" s="1405"/>
      <c r="H6389" s="1405"/>
      <c r="I6389" s="1405">
        <v>923773.75</v>
      </c>
      <c r="J6389" s="1405">
        <v>923773.75</v>
      </c>
      <c r="K6389" s="1297"/>
    </row>
    <row r="6390" spans="2:11">
      <c r="B6390" s="1297"/>
      <c r="C6390" s="1297"/>
      <c r="D6390" s="1297"/>
      <c r="E6390" s="1297" t="s">
        <v>934</v>
      </c>
      <c r="I6390" s="1399">
        <v>32476</v>
      </c>
      <c r="J6390" s="1399">
        <v>32476</v>
      </c>
      <c r="K6390" s="1297"/>
    </row>
    <row r="6391" spans="2:11">
      <c r="B6391" s="1297"/>
      <c r="C6391" s="1297"/>
      <c r="D6391" s="1297"/>
      <c r="E6391" s="1297" t="s">
        <v>935</v>
      </c>
      <c r="I6391" s="1399">
        <v>199551.83000000002</v>
      </c>
      <c r="J6391" s="1399">
        <v>199551.83000000002</v>
      </c>
      <c r="K6391" s="1297"/>
    </row>
    <row r="6392" spans="2:11">
      <c r="B6392" s="1297"/>
      <c r="C6392" s="1297"/>
      <c r="D6392" s="1297"/>
      <c r="E6392" s="1297" t="s">
        <v>936</v>
      </c>
      <c r="I6392" s="1399">
        <v>62676.95</v>
      </c>
      <c r="J6392" s="1399">
        <v>62676.95</v>
      </c>
      <c r="K6392" s="1297"/>
    </row>
    <row r="6393" spans="2:11">
      <c r="B6393" s="1297"/>
      <c r="C6393" s="1297"/>
      <c r="D6393" s="1297"/>
      <c r="E6393" s="1297" t="s">
        <v>937</v>
      </c>
      <c r="I6393" s="1399">
        <v>22926.83</v>
      </c>
      <c r="J6393" s="1399">
        <v>22926.83</v>
      </c>
      <c r="K6393" s="1297"/>
    </row>
    <row r="6394" spans="2:11">
      <c r="B6394" s="1297"/>
      <c r="C6394" s="1297"/>
      <c r="D6394" s="1297"/>
      <c r="E6394" s="1297" t="s">
        <v>938</v>
      </c>
      <c r="I6394" s="1399">
        <v>10668</v>
      </c>
      <c r="J6394" s="1399">
        <v>10668</v>
      </c>
      <c r="K6394" s="1297"/>
    </row>
    <row r="6395" spans="2:11">
      <c r="B6395" s="1297"/>
      <c r="C6395" s="1297"/>
      <c r="D6395" s="1297"/>
      <c r="E6395" s="1297" t="s">
        <v>939</v>
      </c>
      <c r="I6395" s="1399">
        <v>135267.33000000002</v>
      </c>
      <c r="J6395" s="1399">
        <v>135267.33000000002</v>
      </c>
      <c r="K6395" s="1297"/>
    </row>
    <row r="6396" spans="2:11">
      <c r="B6396" s="1297"/>
      <c r="C6396" s="1297"/>
      <c r="D6396" s="1297"/>
      <c r="E6396" s="1297" t="s">
        <v>1131</v>
      </c>
      <c r="F6396" s="1399">
        <v>86518.71</v>
      </c>
      <c r="J6396" s="1399">
        <v>86518.71</v>
      </c>
      <c r="K6396" s="1297"/>
    </row>
    <row r="6397" spans="2:11">
      <c r="B6397" s="1297"/>
      <c r="C6397" s="1297"/>
      <c r="D6397" s="1297"/>
      <c r="E6397" s="1297" t="s">
        <v>940</v>
      </c>
      <c r="F6397" s="1399">
        <v>361944.92</v>
      </c>
      <c r="J6397" s="1399">
        <v>361944.92</v>
      </c>
      <c r="K6397" s="1297"/>
    </row>
    <row r="6398" spans="2:11">
      <c r="B6398" s="1297"/>
      <c r="C6398" s="1297"/>
      <c r="D6398" s="1297"/>
      <c r="E6398" s="1297" t="s">
        <v>941</v>
      </c>
      <c r="F6398" s="1399">
        <v>113200.86</v>
      </c>
      <c r="J6398" s="1399">
        <v>113200.86</v>
      </c>
      <c r="K6398" s="1297"/>
    </row>
    <row r="6399" spans="2:11">
      <c r="B6399" s="1297"/>
      <c r="C6399" s="1297"/>
      <c r="D6399" s="1297"/>
      <c r="E6399" s="1297" t="s">
        <v>943</v>
      </c>
      <c r="F6399" s="1399">
        <v>15250.6</v>
      </c>
      <c r="J6399" s="1399">
        <v>15250.6</v>
      </c>
      <c r="K6399" s="1297"/>
    </row>
    <row r="6400" spans="2:11">
      <c r="B6400" s="1297"/>
      <c r="C6400" s="1297"/>
      <c r="D6400" s="1297"/>
      <c r="E6400" s="1297" t="s">
        <v>944</v>
      </c>
      <c r="F6400" s="1399">
        <v>1726564.2</v>
      </c>
      <c r="J6400" s="1399">
        <v>1726564.2</v>
      </c>
      <c r="K6400" s="1297"/>
    </row>
    <row r="6401" spans="2:12">
      <c r="B6401" s="1297"/>
      <c r="C6401" s="1297"/>
      <c r="D6401" s="1297"/>
      <c r="E6401" s="1297" t="s">
        <v>945</v>
      </c>
      <c r="F6401" s="1399">
        <v>884509.63</v>
      </c>
      <c r="J6401" s="1399">
        <v>884509.63</v>
      </c>
    </row>
    <row r="6402" spans="2:12">
      <c r="B6402" s="1297"/>
      <c r="C6402" s="1297"/>
      <c r="D6402" s="1297"/>
      <c r="E6402" s="1297" t="s">
        <v>978</v>
      </c>
      <c r="F6402" s="1399">
        <v>31997.200000000001</v>
      </c>
      <c r="J6402" s="1399">
        <v>31997.200000000001</v>
      </c>
    </row>
    <row r="6403" spans="2:12">
      <c r="B6403" s="1297"/>
      <c r="C6403" s="1297"/>
      <c r="D6403" s="1297"/>
      <c r="E6403" s="1297" t="s">
        <v>947</v>
      </c>
      <c r="F6403" s="1399">
        <v>28321.200000000001</v>
      </c>
      <c r="J6403" s="1399">
        <v>28321.200000000001</v>
      </c>
    </row>
    <row r="6404" spans="2:12">
      <c r="B6404" s="1297"/>
      <c r="C6404" s="1297"/>
      <c r="D6404" s="1297"/>
      <c r="E6404" s="1404" t="s">
        <v>948</v>
      </c>
      <c r="F6404" s="1405"/>
      <c r="G6404" s="1405"/>
      <c r="H6404" s="1405">
        <v>2282839.8699999996</v>
      </c>
      <c r="I6404" s="1405"/>
      <c r="J6404" s="1405">
        <v>2282839.8699999996</v>
      </c>
    </row>
    <row r="6405" spans="2:12">
      <c r="B6405" s="1297"/>
      <c r="C6405" s="1297"/>
      <c r="D6405" s="1400" t="s">
        <v>1460</v>
      </c>
      <c r="E6405" s="1400"/>
      <c r="F6405" s="1401">
        <f>SUM(F6370:F6404)</f>
        <v>3248307.3200000003</v>
      </c>
      <c r="G6405" s="1401">
        <f>SUM(G6370:G6404)</f>
        <v>26282197.830000002</v>
      </c>
      <c r="H6405" s="1401">
        <f>SUM(H6370:H6404)-H6404</f>
        <v>6251407.3399999999</v>
      </c>
      <c r="I6405" s="1401">
        <f>SUM(I6370:I6404)-I6389</f>
        <v>12049701.939999999</v>
      </c>
      <c r="J6405" s="1401">
        <f>SUM(J6370:J6404)</f>
        <v>51038228.050000012</v>
      </c>
      <c r="K6405" s="1401">
        <f>SUM(F6405:I6405)</f>
        <v>47831614.43</v>
      </c>
      <c r="L6405" s="1408">
        <f>K6405/C6370</f>
        <v>16403.159955418381</v>
      </c>
    </row>
    <row r="6406" spans="2:12">
      <c r="B6406" s="1297" t="s">
        <v>1461</v>
      </c>
      <c r="C6406" s="1297">
        <v>2755</v>
      </c>
      <c r="D6406" s="1297" t="s">
        <v>1462</v>
      </c>
      <c r="E6406" s="1297" t="s">
        <v>906</v>
      </c>
      <c r="G6406" s="1399">
        <v>223497.32</v>
      </c>
      <c r="J6406" s="1399">
        <v>223497.32</v>
      </c>
    </row>
    <row r="6407" spans="2:12">
      <c r="B6407" s="1297"/>
      <c r="C6407" s="1297"/>
      <c r="D6407" s="1297"/>
      <c r="E6407" s="1297" t="s">
        <v>907</v>
      </c>
      <c r="G6407" s="1399">
        <v>2517157.4300000002</v>
      </c>
      <c r="J6407" s="1399">
        <v>2517157.4300000002</v>
      </c>
    </row>
    <row r="6408" spans="2:12">
      <c r="B6408" s="1297"/>
      <c r="C6408" s="1297"/>
      <c r="D6408" s="1297"/>
      <c r="E6408" s="1297" t="s">
        <v>1145</v>
      </c>
      <c r="G6408" s="1399">
        <v>7921528.8700000001</v>
      </c>
      <c r="J6408" s="1399">
        <v>7921528.8700000001</v>
      </c>
    </row>
    <row r="6409" spans="2:12">
      <c r="B6409" s="1297"/>
      <c r="C6409" s="1297"/>
      <c r="D6409" s="1297"/>
      <c r="E6409" s="1297" t="s">
        <v>909</v>
      </c>
      <c r="H6409" s="1399">
        <v>5329.55</v>
      </c>
      <c r="J6409" s="1399">
        <v>5329.55</v>
      </c>
    </row>
    <row r="6410" spans="2:12">
      <c r="B6410" s="1297"/>
      <c r="C6410" s="1297"/>
      <c r="D6410" s="1297"/>
      <c r="E6410" s="1297" t="s">
        <v>910</v>
      </c>
      <c r="H6410" s="1399">
        <v>52797.220000000008</v>
      </c>
      <c r="J6410" s="1399">
        <v>52797.220000000008</v>
      </c>
    </row>
    <row r="6411" spans="2:12">
      <c r="B6411" s="1297"/>
      <c r="C6411" s="1297"/>
      <c r="D6411" s="1297"/>
      <c r="E6411" s="1297" t="s">
        <v>1035</v>
      </c>
      <c r="H6411" s="1399">
        <v>114677.79000000001</v>
      </c>
      <c r="J6411" s="1399">
        <v>114677.79000000001</v>
      </c>
    </row>
    <row r="6412" spans="2:12">
      <c r="B6412" s="1297"/>
      <c r="C6412" s="1297"/>
      <c r="D6412" s="1297"/>
      <c r="E6412" s="1297" t="s">
        <v>1036</v>
      </c>
      <c r="H6412" s="1399">
        <v>134655.47</v>
      </c>
      <c r="J6412" s="1399">
        <v>134655.47</v>
      </c>
    </row>
    <row r="6413" spans="2:12">
      <c r="B6413" s="1297"/>
      <c r="C6413" s="1297"/>
      <c r="D6413" s="1297"/>
      <c r="E6413" s="1297" t="s">
        <v>1039</v>
      </c>
      <c r="H6413" s="1399">
        <v>21524.650000000005</v>
      </c>
      <c r="J6413" s="1399">
        <v>21524.650000000005</v>
      </c>
    </row>
    <row r="6414" spans="2:12">
      <c r="B6414" s="1297"/>
      <c r="C6414" s="1297"/>
      <c r="D6414" s="1297"/>
      <c r="E6414" s="1297" t="s">
        <v>1040</v>
      </c>
      <c r="H6414" s="1399">
        <v>44333.98</v>
      </c>
      <c r="J6414" s="1399">
        <v>44333.98</v>
      </c>
    </row>
    <row r="6415" spans="2:12">
      <c r="B6415" s="1297"/>
      <c r="C6415" s="1297"/>
      <c r="D6415" s="1297"/>
      <c r="E6415" s="1297" t="s">
        <v>1041</v>
      </c>
      <c r="H6415" s="1399">
        <v>7777.42</v>
      </c>
      <c r="J6415" s="1399">
        <v>7777.42</v>
      </c>
    </row>
    <row r="6416" spans="2:12">
      <c r="B6416" s="1297"/>
      <c r="C6416" s="1297"/>
      <c r="D6416" s="1297"/>
      <c r="E6416" s="1297" t="s">
        <v>1042</v>
      </c>
      <c r="H6416" s="1399">
        <v>33379.199999999997</v>
      </c>
      <c r="J6416" s="1399">
        <v>33379.199999999997</v>
      </c>
    </row>
    <row r="6417" spans="2:11">
      <c r="B6417" s="1297"/>
      <c r="C6417" s="1297"/>
      <c r="D6417" s="1297"/>
      <c r="E6417" s="1297" t="s">
        <v>954</v>
      </c>
      <c r="H6417" s="1399">
        <v>102952.04999999999</v>
      </c>
      <c r="J6417" s="1399">
        <v>102952.04999999999</v>
      </c>
      <c r="K6417" s="1297"/>
    </row>
    <row r="6418" spans="2:11">
      <c r="B6418" s="1297"/>
      <c r="C6418" s="1297"/>
      <c r="D6418" s="1297"/>
      <c r="E6418" s="1297" t="s">
        <v>985</v>
      </c>
      <c r="H6418" s="1399">
        <v>4586.3500000000004</v>
      </c>
      <c r="J6418" s="1399">
        <v>4586.3500000000004</v>
      </c>
      <c r="K6418" s="1297"/>
    </row>
    <row r="6419" spans="2:11">
      <c r="B6419" s="1297"/>
      <c r="C6419" s="1297"/>
      <c r="D6419" s="1297"/>
      <c r="E6419" s="1297" t="s">
        <v>986</v>
      </c>
      <c r="H6419" s="1399">
        <v>42445.549999999996</v>
      </c>
      <c r="J6419" s="1399">
        <v>42445.549999999996</v>
      </c>
      <c r="K6419" s="1297"/>
    </row>
    <row r="6420" spans="2:11">
      <c r="B6420" s="1297"/>
      <c r="C6420" s="1297"/>
      <c r="D6420" s="1297"/>
      <c r="E6420" s="1297" t="s">
        <v>1045</v>
      </c>
      <c r="H6420" s="1399">
        <v>237120.52999999997</v>
      </c>
      <c r="J6420" s="1399">
        <v>237120.52999999997</v>
      </c>
      <c r="K6420" s="1297"/>
    </row>
    <row r="6421" spans="2:11">
      <c r="B6421" s="1297"/>
      <c r="C6421" s="1297"/>
      <c r="D6421" s="1297"/>
      <c r="E6421" s="1297" t="s">
        <v>1046</v>
      </c>
      <c r="I6421" s="1399">
        <v>13761526</v>
      </c>
      <c r="J6421" s="1399">
        <v>13761526</v>
      </c>
      <c r="K6421" s="1297"/>
    </row>
    <row r="6422" spans="2:11">
      <c r="B6422" s="1297"/>
      <c r="C6422" s="1297"/>
      <c r="D6422" s="1297"/>
      <c r="E6422" s="1297" t="s">
        <v>1128</v>
      </c>
      <c r="I6422" s="1399">
        <v>1111525</v>
      </c>
      <c r="J6422" s="1399">
        <v>1111525</v>
      </c>
      <c r="K6422" s="1297"/>
    </row>
    <row r="6423" spans="2:11">
      <c r="B6423" s="1297"/>
      <c r="C6423" s="1297"/>
      <c r="D6423" s="1297"/>
      <c r="E6423" s="1297" t="s">
        <v>1129</v>
      </c>
      <c r="I6423" s="1399">
        <v>-1917489</v>
      </c>
      <c r="J6423" s="1399">
        <v>-1917489</v>
      </c>
      <c r="K6423" s="1297"/>
    </row>
    <row r="6424" spans="2:11">
      <c r="B6424" s="1297"/>
      <c r="C6424" s="1297"/>
      <c r="D6424" s="1297"/>
      <c r="E6424" s="1297" t="s">
        <v>1047</v>
      </c>
      <c r="I6424" s="1399">
        <v>214651</v>
      </c>
      <c r="J6424" s="1399">
        <v>214651</v>
      </c>
      <c r="K6424" s="1297"/>
    </row>
    <row r="6425" spans="2:11">
      <c r="B6425" s="1297"/>
      <c r="C6425" s="1297"/>
      <c r="D6425" s="1297"/>
      <c r="E6425" s="1297" t="s">
        <v>1048</v>
      </c>
      <c r="I6425" s="1399">
        <v>-2519388</v>
      </c>
      <c r="J6425" s="1399">
        <v>-2519388</v>
      </c>
      <c r="K6425" s="1297"/>
    </row>
    <row r="6426" spans="2:11">
      <c r="B6426" s="1297"/>
      <c r="C6426" s="1297"/>
      <c r="D6426" s="1297"/>
      <c r="E6426" s="1297" t="s">
        <v>932</v>
      </c>
      <c r="I6426" s="1399">
        <v>285344</v>
      </c>
      <c r="J6426" s="1399">
        <v>285344</v>
      </c>
      <c r="K6426" s="1297"/>
    </row>
    <row r="6427" spans="2:11">
      <c r="B6427" s="1297"/>
      <c r="C6427" s="1297"/>
      <c r="D6427" s="1297"/>
      <c r="E6427" s="1404" t="s">
        <v>955</v>
      </c>
      <c r="F6427" s="1405"/>
      <c r="G6427" s="1405"/>
      <c r="H6427" s="1405"/>
      <c r="I6427" s="1405">
        <v>738584.75</v>
      </c>
      <c r="J6427" s="1405">
        <v>738584.75</v>
      </c>
      <c r="K6427" s="1297"/>
    </row>
    <row r="6428" spans="2:11">
      <c r="B6428" s="1297"/>
      <c r="C6428" s="1297"/>
      <c r="D6428" s="1297"/>
      <c r="E6428" s="1297" t="s">
        <v>934</v>
      </c>
      <c r="I6428" s="1399">
        <v>48881.82</v>
      </c>
      <c r="J6428" s="1399">
        <v>48881.82</v>
      </c>
      <c r="K6428" s="1297"/>
    </row>
    <row r="6429" spans="2:11">
      <c r="B6429" s="1297"/>
      <c r="C6429" s="1297"/>
      <c r="D6429" s="1297"/>
      <c r="E6429" s="1297" t="s">
        <v>1130</v>
      </c>
      <c r="I6429" s="1399">
        <v>832520.2</v>
      </c>
      <c r="J6429" s="1399">
        <v>832520.2</v>
      </c>
      <c r="K6429" s="1297"/>
    </row>
    <row r="6430" spans="2:11">
      <c r="B6430" s="1297"/>
      <c r="C6430" s="1297"/>
      <c r="D6430" s="1297"/>
      <c r="E6430" s="1297" t="s">
        <v>935</v>
      </c>
      <c r="I6430" s="1399">
        <v>624184.65</v>
      </c>
      <c r="J6430" s="1399">
        <v>624184.65</v>
      </c>
      <c r="K6430" s="1297"/>
    </row>
    <row r="6431" spans="2:11">
      <c r="B6431" s="1297"/>
      <c r="C6431" s="1297"/>
      <c r="D6431" s="1297"/>
      <c r="E6431" s="1297" t="s">
        <v>936</v>
      </c>
      <c r="I6431" s="1399">
        <v>38866.71</v>
      </c>
      <c r="J6431" s="1399">
        <v>38866.71</v>
      </c>
      <c r="K6431" s="1297"/>
    </row>
    <row r="6432" spans="2:11">
      <c r="B6432" s="1297"/>
      <c r="C6432" s="1297"/>
      <c r="D6432" s="1297"/>
      <c r="E6432" s="1297" t="s">
        <v>937</v>
      </c>
      <c r="I6432" s="1399">
        <v>14252.18</v>
      </c>
      <c r="J6432" s="1399">
        <v>14252.18</v>
      </c>
      <c r="K6432" s="1297"/>
    </row>
    <row r="6433" spans="2:12">
      <c r="B6433" s="1297"/>
      <c r="C6433" s="1297"/>
      <c r="D6433" s="1297"/>
      <c r="E6433" s="1297" t="s">
        <v>938</v>
      </c>
      <c r="I6433" s="1399">
        <v>10481</v>
      </c>
      <c r="J6433" s="1399">
        <v>10481</v>
      </c>
    </row>
    <row r="6434" spans="2:12">
      <c r="B6434" s="1297"/>
      <c r="C6434" s="1297"/>
      <c r="D6434" s="1297"/>
      <c r="E6434" s="1297" t="s">
        <v>939</v>
      </c>
      <c r="I6434" s="1399">
        <v>265607.61</v>
      </c>
      <c r="J6434" s="1399">
        <v>265607.61</v>
      </c>
    </row>
    <row r="6435" spans="2:12">
      <c r="B6435" s="1297"/>
      <c r="C6435" s="1297"/>
      <c r="D6435" s="1297"/>
      <c r="E6435" s="1297" t="s">
        <v>1131</v>
      </c>
      <c r="F6435" s="1399">
        <v>58202.66</v>
      </c>
      <c r="J6435" s="1399">
        <v>58202.66</v>
      </c>
    </row>
    <row r="6436" spans="2:12">
      <c r="B6436" s="1297"/>
      <c r="C6436" s="1297"/>
      <c r="D6436" s="1297"/>
      <c r="E6436" s="1297" t="s">
        <v>940</v>
      </c>
      <c r="F6436" s="1399">
        <v>985138.86</v>
      </c>
      <c r="J6436" s="1399">
        <v>985138.86</v>
      </c>
    </row>
    <row r="6437" spans="2:12">
      <c r="B6437" s="1297"/>
      <c r="C6437" s="1297"/>
      <c r="D6437" s="1297"/>
      <c r="E6437" s="1297" t="s">
        <v>941</v>
      </c>
      <c r="F6437" s="1399">
        <v>426664.82</v>
      </c>
      <c r="J6437" s="1399">
        <v>426664.82</v>
      </c>
    </row>
    <row r="6438" spans="2:12">
      <c r="B6438" s="1297"/>
      <c r="C6438" s="1297"/>
      <c r="D6438" s="1297"/>
      <c r="E6438" s="1297" t="s">
        <v>943</v>
      </c>
      <c r="F6438" s="1399">
        <v>15010.9</v>
      </c>
      <c r="J6438" s="1399">
        <v>15010.9</v>
      </c>
    </row>
    <row r="6439" spans="2:12">
      <c r="B6439" s="1297"/>
      <c r="C6439" s="1297"/>
      <c r="D6439" s="1297"/>
      <c r="E6439" s="1297" t="s">
        <v>944</v>
      </c>
      <c r="F6439" s="1399">
        <v>4154845.5799999996</v>
      </c>
      <c r="J6439" s="1399">
        <v>4154845.5799999996</v>
      </c>
    </row>
    <row r="6440" spans="2:12">
      <c r="B6440" s="1297"/>
      <c r="C6440" s="1297"/>
      <c r="D6440" s="1297"/>
      <c r="E6440" s="1297" t="s">
        <v>945</v>
      </c>
      <c r="F6440" s="1399">
        <v>1402681.2</v>
      </c>
      <c r="J6440" s="1399">
        <v>1402681.2</v>
      </c>
    </row>
    <row r="6441" spans="2:12">
      <c r="B6441" s="1297"/>
      <c r="C6441" s="1297"/>
      <c r="D6441" s="1297"/>
      <c r="E6441" s="1297" t="s">
        <v>946</v>
      </c>
      <c r="F6441" s="1399">
        <v>458746.17</v>
      </c>
      <c r="J6441" s="1399">
        <v>458746.17</v>
      </c>
    </row>
    <row r="6442" spans="2:12">
      <c r="B6442" s="1297"/>
      <c r="C6442" s="1297"/>
      <c r="D6442" s="1297"/>
      <c r="E6442" s="1297" t="s">
        <v>947</v>
      </c>
      <c r="F6442" s="1399">
        <v>71539.009999999995</v>
      </c>
      <c r="J6442" s="1399">
        <v>71539.009999999995</v>
      </c>
    </row>
    <row r="6443" spans="2:12">
      <c r="B6443" s="1297"/>
      <c r="C6443" s="1297"/>
      <c r="D6443" s="1297"/>
      <c r="E6443" s="1297" t="s">
        <v>1115</v>
      </c>
      <c r="F6443" s="1399">
        <v>10024.629999999999</v>
      </c>
      <c r="J6443" s="1399">
        <v>10024.629999999999</v>
      </c>
    </row>
    <row r="6444" spans="2:12">
      <c r="B6444" s="1297"/>
      <c r="C6444" s="1297"/>
      <c r="D6444" s="1297"/>
      <c r="E6444" s="1404" t="s">
        <v>948</v>
      </c>
      <c r="F6444" s="1405"/>
      <c r="G6444" s="1405"/>
      <c r="H6444" s="1405">
        <v>4783743.1400000006</v>
      </c>
      <c r="I6444" s="1405"/>
      <c r="J6444" s="1405">
        <v>4783743.1400000006</v>
      </c>
    </row>
    <row r="6445" spans="2:12">
      <c r="B6445" s="1297"/>
      <c r="C6445" s="1297"/>
      <c r="D6445" s="1400" t="s">
        <v>1463</v>
      </c>
      <c r="E6445" s="1400"/>
      <c r="F6445" s="1401">
        <f>SUM(F6406:F6444)</f>
        <v>7582853.8299999991</v>
      </c>
      <c r="G6445" s="1401">
        <f>SUM(G6406:G6444)</f>
        <v>10662183.620000001</v>
      </c>
      <c r="H6445" s="1401">
        <f>SUM(H6406:H6444)-H6444</f>
        <v>801579.75999999978</v>
      </c>
      <c r="I6445" s="1401">
        <f>SUM(I6406:I6444)-I6427</f>
        <v>12770963.17</v>
      </c>
      <c r="J6445" s="1401">
        <f>SUM(J6406:J6444)</f>
        <v>37339908.269999996</v>
      </c>
      <c r="K6445" s="1401">
        <f>SUM(F6445:I6445)</f>
        <v>31817580.380000003</v>
      </c>
      <c r="L6445" s="1408">
        <f>K6445/C6406</f>
        <v>11549.03099092559</v>
      </c>
    </row>
    <row r="6446" spans="2:12">
      <c r="B6446" s="1297" t="s">
        <v>1464</v>
      </c>
      <c r="C6446" s="1297">
        <v>6893</v>
      </c>
      <c r="D6446" s="1413" t="s">
        <v>1730</v>
      </c>
      <c r="E6446" s="1297" t="s">
        <v>906</v>
      </c>
      <c r="G6446" s="1399">
        <v>25900783.93</v>
      </c>
      <c r="J6446" s="1399">
        <v>25900783.93</v>
      </c>
    </row>
    <row r="6447" spans="2:12">
      <c r="B6447" s="1297"/>
      <c r="C6447" s="1297"/>
      <c r="D6447" s="1297"/>
      <c r="E6447" s="1297" t="s">
        <v>907</v>
      </c>
      <c r="G6447" s="1399">
        <v>4391107.5199999996</v>
      </c>
      <c r="J6447" s="1399">
        <v>4391107.5199999996</v>
      </c>
    </row>
    <row r="6448" spans="2:12">
      <c r="B6448" s="1297"/>
      <c r="C6448" s="1297"/>
      <c r="D6448" s="1297"/>
      <c r="E6448" s="1297" t="s">
        <v>908</v>
      </c>
      <c r="G6448" s="1399">
        <v>105363.15</v>
      </c>
      <c r="J6448" s="1399">
        <v>105363.15</v>
      </c>
    </row>
    <row r="6449" spans="2:11">
      <c r="B6449" s="1297"/>
      <c r="C6449" s="1297"/>
      <c r="D6449" s="1297"/>
      <c r="E6449" s="1297" t="s">
        <v>1034</v>
      </c>
      <c r="H6449" s="1399">
        <v>82174.259999999995</v>
      </c>
      <c r="J6449" s="1399">
        <v>82174.259999999995</v>
      </c>
      <c r="K6449" s="1297"/>
    </row>
    <row r="6450" spans="2:11">
      <c r="B6450" s="1297"/>
      <c r="C6450" s="1297"/>
      <c r="D6450" s="1297"/>
      <c r="E6450" s="1297" t="s">
        <v>1035</v>
      </c>
      <c r="H6450" s="1399">
        <v>455324.7</v>
      </c>
      <c r="J6450" s="1399">
        <v>455324.7</v>
      </c>
      <c r="K6450" s="1297"/>
    </row>
    <row r="6451" spans="2:11">
      <c r="B6451" s="1297"/>
      <c r="C6451" s="1297"/>
      <c r="D6451" s="1297"/>
      <c r="E6451" s="1297" t="s">
        <v>1037</v>
      </c>
      <c r="H6451" s="1399">
        <v>186115.6</v>
      </c>
      <c r="J6451" s="1399">
        <v>186115.6</v>
      </c>
      <c r="K6451" s="1297"/>
    </row>
    <row r="6452" spans="2:11">
      <c r="B6452" s="1297"/>
      <c r="C6452" s="1297"/>
      <c r="D6452" s="1297"/>
      <c r="E6452" s="1297" t="s">
        <v>1039</v>
      </c>
      <c r="H6452" s="1399">
        <v>29795.82</v>
      </c>
      <c r="J6452" s="1399">
        <v>29795.82</v>
      </c>
      <c r="K6452" s="1297"/>
    </row>
    <row r="6453" spans="2:11">
      <c r="B6453" s="1297"/>
      <c r="C6453" s="1297"/>
      <c r="D6453" s="1297"/>
      <c r="E6453" s="1297" t="s">
        <v>1040</v>
      </c>
      <c r="H6453" s="1399">
        <v>113539.91</v>
      </c>
      <c r="J6453" s="1399">
        <v>113539.91</v>
      </c>
      <c r="K6453" s="1297"/>
    </row>
    <row r="6454" spans="2:11">
      <c r="B6454" s="1297"/>
      <c r="C6454" s="1297"/>
      <c r="D6454" s="1297"/>
      <c r="E6454" s="1297" t="s">
        <v>1041</v>
      </c>
      <c r="H6454" s="1399">
        <v>80933.08</v>
      </c>
      <c r="J6454" s="1399">
        <v>80933.08</v>
      </c>
      <c r="K6454" s="1297"/>
    </row>
    <row r="6455" spans="2:11">
      <c r="B6455" s="1297"/>
      <c r="C6455" s="1297"/>
      <c r="D6455" s="1297"/>
      <c r="E6455" s="1297" t="s">
        <v>1042</v>
      </c>
      <c r="H6455" s="1399">
        <v>41508.6</v>
      </c>
      <c r="J6455" s="1399">
        <v>41508.6</v>
      </c>
      <c r="K6455" s="1297"/>
    </row>
    <row r="6456" spans="2:11">
      <c r="B6456" s="1297"/>
      <c r="C6456" s="1297"/>
      <c r="D6456" s="1297"/>
      <c r="E6456" s="1297" t="s">
        <v>1043</v>
      </c>
      <c r="H6456" s="1399">
        <v>144502.56</v>
      </c>
      <c r="J6456" s="1399">
        <v>144502.56</v>
      </c>
      <c r="K6456" s="1297"/>
    </row>
    <row r="6457" spans="2:11">
      <c r="B6457" s="1297"/>
      <c r="C6457" s="1297"/>
      <c r="D6457" s="1297"/>
      <c r="E6457" s="1297" t="s">
        <v>986</v>
      </c>
      <c r="H6457" s="1399">
        <v>2000</v>
      </c>
      <c r="J6457" s="1399">
        <v>2000</v>
      </c>
      <c r="K6457" s="1297"/>
    </row>
    <row r="6458" spans="2:11">
      <c r="B6458" s="1297"/>
      <c r="C6458" s="1297"/>
      <c r="D6458" s="1297"/>
      <c r="E6458" s="1297" t="s">
        <v>1044</v>
      </c>
      <c r="F6458" s="1399">
        <v>62978.27</v>
      </c>
      <c r="J6458" s="1399">
        <v>62978.27</v>
      </c>
      <c r="K6458" s="1297"/>
    </row>
    <row r="6459" spans="2:11">
      <c r="B6459" s="1297"/>
      <c r="C6459" s="1297"/>
      <c r="D6459" s="1297"/>
      <c r="E6459" s="1297" t="s">
        <v>1045</v>
      </c>
      <c r="H6459" s="1399">
        <v>529988.98</v>
      </c>
      <c r="J6459" s="1399">
        <v>529988.98</v>
      </c>
      <c r="K6459" s="1297"/>
    </row>
    <row r="6460" spans="2:11">
      <c r="B6460" s="1297"/>
      <c r="C6460" s="1297"/>
      <c r="D6460" s="1297"/>
      <c r="E6460" s="1297" t="s">
        <v>1046</v>
      </c>
      <c r="I6460" s="1399">
        <v>36044797</v>
      </c>
      <c r="J6460" s="1399">
        <v>36044797</v>
      </c>
      <c r="K6460" s="1297"/>
    </row>
    <row r="6461" spans="2:11">
      <c r="B6461" s="1297"/>
      <c r="C6461" s="1297"/>
      <c r="D6461" s="1297"/>
      <c r="E6461" s="1297" t="s">
        <v>1128</v>
      </c>
      <c r="I6461" s="1399">
        <v>2996261</v>
      </c>
      <c r="J6461" s="1399">
        <v>2996261</v>
      </c>
      <c r="K6461" s="1297"/>
    </row>
    <row r="6462" spans="2:11">
      <c r="B6462" s="1297"/>
      <c r="C6462" s="1297"/>
      <c r="D6462" s="1297"/>
      <c r="E6462" s="1297" t="s">
        <v>1129</v>
      </c>
      <c r="I6462" s="1399">
        <v>-4367842</v>
      </c>
      <c r="J6462" s="1399">
        <v>-4367842</v>
      </c>
      <c r="K6462" s="1297"/>
    </row>
    <row r="6463" spans="2:11">
      <c r="B6463" s="1297"/>
      <c r="C6463" s="1297"/>
      <c r="D6463" s="1297"/>
      <c r="E6463" s="1297" t="s">
        <v>1047</v>
      </c>
      <c r="I6463" s="1399">
        <v>412329</v>
      </c>
      <c r="J6463" s="1399">
        <v>412329</v>
      </c>
      <c r="K6463" s="1297"/>
    </row>
    <row r="6464" spans="2:11">
      <c r="B6464" s="1297"/>
      <c r="C6464" s="1297"/>
      <c r="D6464" s="1297"/>
      <c r="E6464" s="1297" t="s">
        <v>1048</v>
      </c>
      <c r="I6464" s="1399">
        <v>-7440049</v>
      </c>
      <c r="J6464" s="1399">
        <v>-7440049</v>
      </c>
      <c r="K6464" s="1297"/>
    </row>
    <row r="6465" spans="2:11">
      <c r="B6465" s="1297"/>
      <c r="C6465" s="1297"/>
      <c r="D6465" s="1297"/>
      <c r="E6465" s="1404" t="s">
        <v>955</v>
      </c>
      <c r="F6465" s="1405"/>
      <c r="G6465" s="1405"/>
      <c r="H6465" s="1405"/>
      <c r="I6465" s="1405">
        <v>728148.65</v>
      </c>
      <c r="J6465" s="1405">
        <v>728148.65</v>
      </c>
      <c r="K6465" s="1297"/>
    </row>
    <row r="6466" spans="2:11">
      <c r="B6466" s="1297"/>
      <c r="C6466" s="1297"/>
      <c r="D6466" s="1297"/>
      <c r="E6466" s="1297" t="s">
        <v>934</v>
      </c>
      <c r="I6466" s="1399">
        <v>104783</v>
      </c>
      <c r="J6466" s="1399">
        <v>104783</v>
      </c>
      <c r="K6466" s="1297"/>
    </row>
    <row r="6467" spans="2:11">
      <c r="B6467" s="1297"/>
      <c r="C6467" s="1297"/>
      <c r="D6467" s="1297"/>
      <c r="E6467" s="1297" t="s">
        <v>935</v>
      </c>
      <c r="I6467" s="1399">
        <v>186823.31</v>
      </c>
      <c r="J6467" s="1399">
        <v>186823.31</v>
      </c>
      <c r="K6467" s="1297"/>
    </row>
    <row r="6468" spans="2:11">
      <c r="B6468" s="1297"/>
      <c r="C6468" s="1297"/>
      <c r="D6468" s="1297"/>
      <c r="E6468" s="1297" t="s">
        <v>936</v>
      </c>
      <c r="I6468" s="1399">
        <v>81935.23</v>
      </c>
      <c r="J6468" s="1399">
        <v>81935.23</v>
      </c>
      <c r="K6468" s="1297"/>
    </row>
    <row r="6469" spans="2:11">
      <c r="B6469" s="1297"/>
      <c r="C6469" s="1297"/>
      <c r="D6469" s="1297"/>
      <c r="E6469" s="1297" t="s">
        <v>937</v>
      </c>
      <c r="I6469" s="1399">
        <v>45744.62</v>
      </c>
      <c r="J6469" s="1399">
        <v>45744.62</v>
      </c>
      <c r="K6469" s="1297"/>
    </row>
    <row r="6470" spans="2:11">
      <c r="B6470" s="1297"/>
      <c r="C6470" s="1297"/>
      <c r="D6470" s="1297"/>
      <c r="E6470" s="1297" t="s">
        <v>938</v>
      </c>
      <c r="I6470" s="1399">
        <v>21523</v>
      </c>
      <c r="J6470" s="1399">
        <v>21523</v>
      </c>
      <c r="K6470" s="1297"/>
    </row>
    <row r="6471" spans="2:11">
      <c r="B6471" s="1297"/>
      <c r="C6471" s="1297"/>
      <c r="D6471" s="1297"/>
      <c r="E6471" s="1297" t="s">
        <v>940</v>
      </c>
      <c r="F6471" s="1399">
        <v>2078404.82</v>
      </c>
      <c r="J6471" s="1399">
        <v>2078404.82</v>
      </c>
      <c r="K6471" s="1297"/>
    </row>
    <row r="6472" spans="2:11">
      <c r="B6472" s="1297"/>
      <c r="C6472" s="1297"/>
      <c r="D6472" s="1297"/>
      <c r="E6472" s="1297" t="s">
        <v>941</v>
      </c>
      <c r="F6472" s="1399">
        <v>743133.96</v>
      </c>
      <c r="J6472" s="1399">
        <v>743133.96</v>
      </c>
      <c r="K6472" s="1297"/>
    </row>
    <row r="6473" spans="2:11">
      <c r="B6473" s="1297"/>
      <c r="C6473" s="1297"/>
      <c r="D6473" s="1297"/>
      <c r="E6473" s="1297" t="s">
        <v>943</v>
      </c>
      <c r="F6473" s="1399">
        <v>39014.28</v>
      </c>
      <c r="J6473" s="1399">
        <v>39014.28</v>
      </c>
      <c r="K6473" s="1297"/>
    </row>
    <row r="6474" spans="2:11">
      <c r="B6474" s="1297"/>
      <c r="C6474" s="1297"/>
      <c r="D6474" s="1297"/>
      <c r="E6474" s="1297" t="s">
        <v>944</v>
      </c>
      <c r="F6474" s="1399">
        <v>5037591.4899999984</v>
      </c>
      <c r="J6474" s="1399">
        <v>5037591.4899999984</v>
      </c>
      <c r="K6474" s="1297"/>
    </row>
    <row r="6475" spans="2:11">
      <c r="B6475" s="1297"/>
      <c r="C6475" s="1297"/>
      <c r="D6475" s="1297"/>
      <c r="E6475" s="1297" t="s">
        <v>945</v>
      </c>
      <c r="F6475" s="1399">
        <v>2726427.3</v>
      </c>
      <c r="J6475" s="1399">
        <v>2726427.3</v>
      </c>
      <c r="K6475" s="1297"/>
    </row>
    <row r="6476" spans="2:11">
      <c r="B6476" s="1297"/>
      <c r="C6476" s="1297"/>
      <c r="D6476" s="1297"/>
      <c r="E6476" s="1297" t="s">
        <v>947</v>
      </c>
      <c r="F6476" s="1399">
        <v>158977.35999999999</v>
      </c>
      <c r="J6476" s="1399">
        <v>158977.35999999999</v>
      </c>
      <c r="K6476" s="1297"/>
    </row>
    <row r="6477" spans="2:11">
      <c r="B6477" s="1297"/>
      <c r="C6477" s="1297"/>
      <c r="D6477" s="1297"/>
      <c r="E6477" s="1297" t="s">
        <v>1115</v>
      </c>
      <c r="F6477" s="1399">
        <v>12376.82</v>
      </c>
      <c r="J6477" s="1399">
        <v>12376.82</v>
      </c>
      <c r="K6477" s="1297"/>
    </row>
    <row r="6478" spans="2:11">
      <c r="B6478" s="1297"/>
      <c r="C6478" s="1297"/>
      <c r="D6478" s="1297"/>
      <c r="E6478" s="1404" t="s">
        <v>948</v>
      </c>
      <c r="F6478" s="1405"/>
      <c r="G6478" s="1405"/>
      <c r="H6478" s="1405">
        <v>8285362.3899999997</v>
      </c>
      <c r="I6478" s="1405"/>
      <c r="J6478" s="1405">
        <v>8285362.3899999997</v>
      </c>
      <c r="K6478" s="1297"/>
    </row>
    <row r="6479" spans="2:11">
      <c r="B6479" s="1297"/>
      <c r="C6479" s="1297"/>
      <c r="D6479" s="1297"/>
      <c r="E6479" s="1297" t="s">
        <v>956</v>
      </c>
      <c r="H6479" s="1399">
        <v>2893.02</v>
      </c>
      <c r="J6479" s="1399">
        <v>2893.02</v>
      </c>
      <c r="K6479" s="1297"/>
    </row>
    <row r="6480" spans="2:11">
      <c r="B6480" s="1297"/>
      <c r="C6480" s="1297"/>
      <c r="D6480" s="1297"/>
      <c r="E6480" s="1297" t="s">
        <v>1118</v>
      </c>
      <c r="H6480" s="1399">
        <v>919987.26</v>
      </c>
      <c r="J6480" s="1399">
        <v>919987.26</v>
      </c>
      <c r="K6480" s="1297"/>
    </row>
    <row r="6481" spans="2:12">
      <c r="B6481" s="1297"/>
      <c r="C6481" s="1297"/>
      <c r="D6481" s="1400" t="s">
        <v>1466</v>
      </c>
      <c r="E6481" s="1400"/>
      <c r="F6481" s="1401">
        <f>SUM(F6446:F6480)</f>
        <v>10858904.299999997</v>
      </c>
      <c r="G6481" s="1401">
        <f>SUM(G6446:G6480)</f>
        <v>30397254.599999998</v>
      </c>
      <c r="H6481" s="1401">
        <f>SUM(H6446:H6480)-H6478</f>
        <v>2588763.7899999982</v>
      </c>
      <c r="I6481" s="1401">
        <f>SUM(I6446:I6480)-I6465</f>
        <v>28086305.16</v>
      </c>
      <c r="J6481" s="1401">
        <f>SUM(J6446:J6480)</f>
        <v>80944738.889999986</v>
      </c>
      <c r="K6481" s="1401">
        <f>SUM(F6481:I6481)</f>
        <v>71931227.849999994</v>
      </c>
      <c r="L6481" s="1408">
        <f>K6481/C6446</f>
        <v>10435.402270419265</v>
      </c>
    </row>
    <row r="6482" spans="2:12">
      <c r="B6482" s="1297" t="s">
        <v>1467</v>
      </c>
      <c r="C6482" s="1297">
        <v>2786</v>
      </c>
      <c r="D6482" s="1297" t="s">
        <v>1468</v>
      </c>
      <c r="E6482" s="1297" t="s">
        <v>906</v>
      </c>
      <c r="G6482" s="1399">
        <v>7585141.3499999996</v>
      </c>
      <c r="J6482" s="1399">
        <v>7585141.3499999996</v>
      </c>
    </row>
    <row r="6483" spans="2:12">
      <c r="B6483" s="1297"/>
      <c r="C6483" s="1297"/>
      <c r="D6483" s="1297"/>
      <c r="E6483" s="1297" t="s">
        <v>907</v>
      </c>
      <c r="G6483" s="1399">
        <v>1852417.96</v>
      </c>
      <c r="J6483" s="1399">
        <v>1852417.96</v>
      </c>
    </row>
    <row r="6484" spans="2:12">
      <c r="B6484" s="1297"/>
      <c r="C6484" s="1297"/>
      <c r="D6484" s="1297"/>
      <c r="E6484" s="1297" t="s">
        <v>908</v>
      </c>
      <c r="G6484" s="1399">
        <v>29051.4</v>
      </c>
      <c r="J6484" s="1399">
        <v>29051.4</v>
      </c>
    </row>
    <row r="6485" spans="2:12">
      <c r="B6485" s="1297"/>
      <c r="C6485" s="1297"/>
      <c r="D6485" s="1297"/>
      <c r="E6485" s="1297" t="s">
        <v>909</v>
      </c>
      <c r="H6485" s="1399">
        <v>12678.85</v>
      </c>
      <c r="J6485" s="1399">
        <v>12678.85</v>
      </c>
    </row>
    <row r="6486" spans="2:12">
      <c r="B6486" s="1297"/>
      <c r="C6486" s="1297"/>
      <c r="D6486" s="1297"/>
      <c r="E6486" s="1297" t="s">
        <v>910</v>
      </c>
      <c r="H6486" s="1399">
        <v>699241.07</v>
      </c>
      <c r="J6486" s="1399">
        <v>699241.07</v>
      </c>
    </row>
    <row r="6487" spans="2:12">
      <c r="B6487" s="1297"/>
      <c r="C6487" s="1297"/>
      <c r="D6487" s="1297"/>
      <c r="E6487" s="1297" t="s">
        <v>1034</v>
      </c>
      <c r="H6487" s="1399">
        <v>177324.03</v>
      </c>
      <c r="J6487" s="1399">
        <v>177324.03</v>
      </c>
    </row>
    <row r="6488" spans="2:12">
      <c r="B6488" s="1297"/>
      <c r="C6488" s="1297"/>
      <c r="D6488" s="1297"/>
      <c r="E6488" s="1297" t="s">
        <v>1035</v>
      </c>
      <c r="H6488" s="1399">
        <v>354405.82</v>
      </c>
      <c r="J6488" s="1399">
        <v>354405.82</v>
      </c>
    </row>
    <row r="6489" spans="2:12">
      <c r="B6489" s="1297"/>
      <c r="C6489" s="1297"/>
      <c r="D6489" s="1297"/>
      <c r="E6489" s="1297" t="s">
        <v>1036</v>
      </c>
      <c r="H6489" s="1399">
        <v>136970.60999999999</v>
      </c>
      <c r="J6489" s="1399">
        <v>136970.60999999999</v>
      </c>
    </row>
    <row r="6490" spans="2:12">
      <c r="B6490" s="1297"/>
      <c r="C6490" s="1297"/>
      <c r="D6490" s="1297"/>
      <c r="E6490" s="1297" t="s">
        <v>1037</v>
      </c>
      <c r="H6490" s="1399">
        <v>138337.07</v>
      </c>
      <c r="J6490" s="1399">
        <v>138337.07</v>
      </c>
    </row>
    <row r="6491" spans="2:12">
      <c r="B6491" s="1297"/>
      <c r="C6491" s="1297"/>
      <c r="D6491" s="1297"/>
      <c r="E6491" s="1297" t="s">
        <v>1039</v>
      </c>
      <c r="H6491" s="1399">
        <v>36281.230000000003</v>
      </c>
      <c r="J6491" s="1399">
        <v>36281.230000000003</v>
      </c>
    </row>
    <row r="6492" spans="2:12">
      <c r="B6492" s="1297"/>
      <c r="C6492" s="1297"/>
      <c r="D6492" s="1297"/>
      <c r="E6492" s="1297" t="s">
        <v>1040</v>
      </c>
      <c r="H6492" s="1399">
        <v>302928.25</v>
      </c>
      <c r="J6492" s="1399">
        <v>302928.25</v>
      </c>
    </row>
    <row r="6493" spans="2:12">
      <c r="B6493" s="1297"/>
      <c r="C6493" s="1297"/>
      <c r="D6493" s="1297"/>
      <c r="E6493" s="1297" t="s">
        <v>1041</v>
      </c>
      <c r="H6493" s="1399">
        <v>27553.69</v>
      </c>
      <c r="J6493" s="1399">
        <v>27553.69</v>
      </c>
    </row>
    <row r="6494" spans="2:12">
      <c r="B6494" s="1297"/>
      <c r="C6494" s="1297"/>
      <c r="D6494" s="1297"/>
      <c r="E6494" s="1297" t="s">
        <v>1042</v>
      </c>
      <c r="H6494" s="1399">
        <v>31814.35</v>
      </c>
      <c r="J6494" s="1399">
        <v>31814.35</v>
      </c>
    </row>
    <row r="6495" spans="2:12">
      <c r="B6495" s="1297"/>
      <c r="C6495" s="1297"/>
      <c r="D6495" s="1297"/>
      <c r="E6495" s="1297" t="s">
        <v>985</v>
      </c>
      <c r="H6495" s="1399">
        <v>93096.68</v>
      </c>
      <c r="J6495" s="1399">
        <v>93096.68</v>
      </c>
    </row>
    <row r="6496" spans="2:12">
      <c r="B6496" s="1297"/>
      <c r="C6496" s="1297"/>
      <c r="D6496" s="1297"/>
      <c r="E6496" s="1297" t="s">
        <v>986</v>
      </c>
      <c r="H6496" s="1399">
        <v>22735.75</v>
      </c>
      <c r="J6496" s="1399">
        <v>22735.75</v>
      </c>
    </row>
    <row r="6497" spans="2:11">
      <c r="B6497" s="1297"/>
      <c r="C6497" s="1297"/>
      <c r="D6497" s="1297"/>
      <c r="E6497" s="1297" t="s">
        <v>996</v>
      </c>
      <c r="H6497" s="1399">
        <v>114277.12</v>
      </c>
      <c r="J6497" s="1399">
        <v>114277.12</v>
      </c>
      <c r="K6497" s="1297"/>
    </row>
    <row r="6498" spans="2:11">
      <c r="B6498" s="1297"/>
      <c r="C6498" s="1297"/>
      <c r="D6498" s="1297"/>
      <c r="E6498" s="1297" t="s">
        <v>1045</v>
      </c>
      <c r="H6498" s="1399">
        <v>219764.87000000002</v>
      </c>
      <c r="J6498" s="1399">
        <v>219764.87000000002</v>
      </c>
      <c r="K6498" s="1297"/>
    </row>
    <row r="6499" spans="2:11">
      <c r="B6499" s="1297"/>
      <c r="C6499" s="1297"/>
      <c r="D6499" s="1297"/>
      <c r="E6499" s="1297" t="s">
        <v>1046</v>
      </c>
      <c r="I6499" s="1399">
        <v>13061248</v>
      </c>
      <c r="J6499" s="1399">
        <v>13061248</v>
      </c>
      <c r="K6499" s="1297"/>
    </row>
    <row r="6500" spans="2:11">
      <c r="B6500" s="1297"/>
      <c r="C6500" s="1297"/>
      <c r="D6500" s="1297"/>
      <c r="E6500" s="1297" t="s">
        <v>1047</v>
      </c>
      <c r="I6500" s="1399">
        <v>118920</v>
      </c>
      <c r="J6500" s="1399">
        <v>118920</v>
      </c>
      <c r="K6500" s="1297"/>
    </row>
    <row r="6501" spans="2:11">
      <c r="B6501" s="1297"/>
      <c r="C6501" s="1297"/>
      <c r="D6501" s="1297"/>
      <c r="E6501" s="1297" t="s">
        <v>1048</v>
      </c>
      <c r="I6501" s="1399">
        <v>-2447471</v>
      </c>
      <c r="J6501" s="1399">
        <v>-2447471</v>
      </c>
      <c r="K6501" s="1297"/>
    </row>
    <row r="6502" spans="2:11">
      <c r="B6502" s="1297"/>
      <c r="C6502" s="1297"/>
      <c r="D6502" s="1297"/>
      <c r="E6502" s="1297" t="s">
        <v>932</v>
      </c>
      <c r="I6502" s="1399">
        <v>160455</v>
      </c>
      <c r="J6502" s="1399">
        <v>160455</v>
      </c>
      <c r="K6502" s="1297"/>
    </row>
    <row r="6503" spans="2:11">
      <c r="B6503" s="1297"/>
      <c r="C6503" s="1297"/>
      <c r="D6503" s="1297"/>
      <c r="E6503" s="1297" t="s">
        <v>933</v>
      </c>
      <c r="I6503" s="1399">
        <v>377126.85</v>
      </c>
      <c r="J6503" s="1399">
        <v>377126.85</v>
      </c>
      <c r="K6503" s="1297"/>
    </row>
    <row r="6504" spans="2:11">
      <c r="B6504" s="1297"/>
      <c r="C6504" s="1297"/>
      <c r="D6504" s="1297"/>
      <c r="E6504" s="1297" t="s">
        <v>934</v>
      </c>
      <c r="I6504" s="1399">
        <v>31896</v>
      </c>
      <c r="J6504" s="1399">
        <v>31896</v>
      </c>
      <c r="K6504" s="1297"/>
    </row>
    <row r="6505" spans="2:11">
      <c r="B6505" s="1297"/>
      <c r="C6505" s="1297"/>
      <c r="D6505" s="1297"/>
      <c r="E6505" s="1297" t="s">
        <v>935</v>
      </c>
      <c r="I6505" s="1399">
        <v>174959.54</v>
      </c>
      <c r="J6505" s="1399">
        <v>174959.54</v>
      </c>
      <c r="K6505" s="1297"/>
    </row>
    <row r="6506" spans="2:11">
      <c r="B6506" s="1297"/>
      <c r="C6506" s="1297"/>
      <c r="D6506" s="1297"/>
      <c r="E6506" s="1297" t="s">
        <v>936</v>
      </c>
      <c r="I6506" s="1399">
        <v>35715.35</v>
      </c>
      <c r="J6506" s="1399">
        <v>35715.35</v>
      </c>
      <c r="K6506" s="1297"/>
    </row>
    <row r="6507" spans="2:11">
      <c r="B6507" s="1297"/>
      <c r="C6507" s="1297"/>
      <c r="D6507" s="1297"/>
      <c r="E6507" s="1297" t="s">
        <v>937</v>
      </c>
      <c r="I6507" s="1399">
        <v>8644.56</v>
      </c>
      <c r="J6507" s="1399">
        <v>8644.56</v>
      </c>
      <c r="K6507" s="1297"/>
    </row>
    <row r="6508" spans="2:11">
      <c r="B6508" s="1297"/>
      <c r="C6508" s="1297"/>
      <c r="D6508" s="1297"/>
      <c r="E6508" s="1297" t="s">
        <v>938</v>
      </c>
      <c r="I6508" s="1399">
        <v>11978</v>
      </c>
      <c r="J6508" s="1399">
        <v>11978</v>
      </c>
      <c r="K6508" s="1297"/>
    </row>
    <row r="6509" spans="2:11">
      <c r="B6509" s="1297"/>
      <c r="C6509" s="1297"/>
      <c r="D6509" s="1297"/>
      <c r="E6509" s="1297" t="s">
        <v>940</v>
      </c>
      <c r="F6509" s="1399">
        <v>377384.8</v>
      </c>
      <c r="J6509" s="1399">
        <v>377384.8</v>
      </c>
      <c r="K6509" s="1297"/>
    </row>
    <row r="6510" spans="2:11">
      <c r="B6510" s="1297"/>
      <c r="C6510" s="1297"/>
      <c r="D6510" s="1297"/>
      <c r="E6510" s="1297" t="s">
        <v>941</v>
      </c>
      <c r="F6510" s="1399">
        <v>103772.34</v>
      </c>
      <c r="J6510" s="1399">
        <v>103772.34</v>
      </c>
      <c r="K6510" s="1297"/>
    </row>
    <row r="6511" spans="2:11">
      <c r="B6511" s="1297"/>
      <c r="C6511" s="1297"/>
      <c r="D6511" s="1297"/>
      <c r="E6511" s="1297" t="s">
        <v>944</v>
      </c>
      <c r="F6511" s="1399">
        <v>766238.22</v>
      </c>
      <c r="J6511" s="1399">
        <v>766238.22</v>
      </c>
      <c r="K6511" s="1297"/>
    </row>
    <row r="6512" spans="2:11">
      <c r="B6512" s="1297"/>
      <c r="C6512" s="1297"/>
      <c r="D6512" s="1297"/>
      <c r="E6512" s="1297" t="s">
        <v>945</v>
      </c>
      <c r="F6512" s="1399">
        <v>734850</v>
      </c>
      <c r="J6512" s="1399">
        <v>734850</v>
      </c>
      <c r="K6512" s="1297"/>
    </row>
    <row r="6513" spans="2:12">
      <c r="B6513" s="1297"/>
      <c r="C6513" s="1297"/>
      <c r="D6513" s="1297"/>
      <c r="E6513" s="1297" t="s">
        <v>978</v>
      </c>
      <c r="F6513" s="1399">
        <v>1200</v>
      </c>
      <c r="J6513" s="1399">
        <v>1200</v>
      </c>
    </row>
    <row r="6514" spans="2:12">
      <c r="B6514" s="1297"/>
      <c r="C6514" s="1297"/>
      <c r="D6514" s="1297"/>
      <c r="E6514" s="1297" t="s">
        <v>947</v>
      </c>
      <c r="F6514" s="1399">
        <v>39084.97</v>
      </c>
      <c r="J6514" s="1399">
        <v>39084.97</v>
      </c>
    </row>
    <row r="6515" spans="2:12">
      <c r="B6515" s="1297"/>
      <c r="C6515" s="1297"/>
      <c r="D6515" s="1297"/>
      <c r="E6515" s="1297" t="s">
        <v>1115</v>
      </c>
      <c r="F6515" s="1399">
        <v>68633.64</v>
      </c>
      <c r="J6515" s="1399">
        <v>68633.64</v>
      </c>
    </row>
    <row r="6516" spans="2:12">
      <c r="B6516" s="1297"/>
      <c r="C6516" s="1297"/>
      <c r="D6516" s="1297"/>
      <c r="E6516" s="1404" t="s">
        <v>948</v>
      </c>
      <c r="F6516" s="1405"/>
      <c r="G6516" s="1405"/>
      <c r="H6516" s="1405">
        <v>1455126.7599999998</v>
      </c>
      <c r="I6516" s="1405"/>
      <c r="J6516" s="1405">
        <v>1455126.7599999998</v>
      </c>
    </row>
    <row r="6517" spans="2:12">
      <c r="B6517" s="1297"/>
      <c r="C6517" s="1297"/>
      <c r="D6517" s="1400" t="s">
        <v>1469</v>
      </c>
      <c r="E6517" s="1400"/>
      <c r="F6517" s="1401">
        <f>SUM(F6482:F6516)</f>
        <v>2091163.9699999997</v>
      </c>
      <c r="G6517" s="1401">
        <f>SUM(G6482:G6516)</f>
        <v>9466610.709999999</v>
      </c>
      <c r="H6517" s="1401">
        <f>SUM(H6482:H6516)-H6516</f>
        <v>2367409.39</v>
      </c>
      <c r="I6517" s="1401">
        <f>SUM(I6482:I6516)</f>
        <v>11533472.299999999</v>
      </c>
      <c r="J6517" s="1401">
        <f>SUM(J6482:J6516)</f>
        <v>26913783.129999995</v>
      </c>
      <c r="K6517" s="1401">
        <f>SUM(F6517:I6517)</f>
        <v>25458656.369999997</v>
      </c>
      <c r="L6517" s="1408">
        <f>K6517/C6482</f>
        <v>9138.0676130653264</v>
      </c>
    </row>
    <row r="6518" spans="2:12">
      <c r="B6518" s="1297" t="s">
        <v>1470</v>
      </c>
      <c r="C6518" s="1297">
        <f>7966-'[2]1$REV-DATA-GAcharterAuditdata'!G71</f>
        <v>7771</v>
      </c>
      <c r="D6518" s="1413" t="s">
        <v>1731</v>
      </c>
      <c r="E6518" s="1297" t="s">
        <v>906</v>
      </c>
      <c r="G6518" s="1399">
        <v>43242785.25</v>
      </c>
      <c r="J6518" s="1399">
        <v>43242785.25</v>
      </c>
    </row>
    <row r="6519" spans="2:12">
      <c r="B6519" s="1297"/>
      <c r="C6519" s="1297"/>
      <c r="D6519" s="1297"/>
      <c r="E6519" s="1297" t="s">
        <v>952</v>
      </c>
      <c r="G6519" s="1399">
        <v>457127.69</v>
      </c>
      <c r="J6519" s="1399">
        <v>457127.69</v>
      </c>
    </row>
    <row r="6520" spans="2:12">
      <c r="B6520" s="1297"/>
      <c r="C6520" s="1297"/>
      <c r="D6520" s="1297"/>
      <c r="E6520" s="1297" t="s">
        <v>907</v>
      </c>
      <c r="G6520" s="1399">
        <v>7636931.7300000004</v>
      </c>
      <c r="J6520" s="1399">
        <v>7636931.7300000004</v>
      </c>
    </row>
    <row r="6521" spans="2:12">
      <c r="B6521" s="1297"/>
      <c r="C6521" s="1297"/>
      <c r="D6521" s="1297"/>
      <c r="E6521" s="1297" t="s">
        <v>908</v>
      </c>
      <c r="G6521" s="1399">
        <v>1079173.3</v>
      </c>
      <c r="J6521" s="1399">
        <v>1079173.3</v>
      </c>
    </row>
    <row r="6522" spans="2:12">
      <c r="B6522" s="1297"/>
      <c r="C6522" s="1297"/>
      <c r="D6522" s="1297"/>
      <c r="E6522" s="1297" t="s">
        <v>1035</v>
      </c>
      <c r="H6522" s="1399">
        <v>42849.34</v>
      </c>
      <c r="J6522" s="1399">
        <v>42849.34</v>
      </c>
    </row>
    <row r="6523" spans="2:12">
      <c r="B6523" s="1297"/>
      <c r="C6523" s="1297"/>
      <c r="D6523" s="1297"/>
      <c r="E6523" s="1297" t="s">
        <v>1037</v>
      </c>
      <c r="H6523" s="1399">
        <v>504657</v>
      </c>
      <c r="J6523" s="1399">
        <v>504657</v>
      </c>
    </row>
    <row r="6524" spans="2:12">
      <c r="B6524" s="1297"/>
      <c r="C6524" s="1297"/>
      <c r="D6524" s="1297"/>
      <c r="E6524" s="1297" t="s">
        <v>1038</v>
      </c>
      <c r="H6524" s="1399">
        <v>26800</v>
      </c>
      <c r="J6524" s="1399">
        <v>26800</v>
      </c>
    </row>
    <row r="6525" spans="2:12">
      <c r="B6525" s="1297"/>
      <c r="C6525" s="1297"/>
      <c r="D6525" s="1297"/>
      <c r="E6525" s="1297" t="s">
        <v>1003</v>
      </c>
      <c r="H6525" s="1399">
        <v>258665.92</v>
      </c>
      <c r="J6525" s="1399">
        <v>258665.92</v>
      </c>
    </row>
    <row r="6526" spans="2:12">
      <c r="B6526" s="1297"/>
      <c r="C6526" s="1297"/>
      <c r="D6526" s="1297"/>
      <c r="E6526" s="1297" t="s">
        <v>1039</v>
      </c>
      <c r="H6526" s="1399">
        <v>82880.060000000012</v>
      </c>
      <c r="J6526" s="1399">
        <v>82880.060000000012</v>
      </c>
    </row>
    <row r="6527" spans="2:12">
      <c r="B6527" s="1297"/>
      <c r="C6527" s="1297"/>
      <c r="D6527" s="1297"/>
      <c r="E6527" s="1297" t="s">
        <v>1040</v>
      </c>
      <c r="H6527" s="1399">
        <v>251345.07000000004</v>
      </c>
      <c r="J6527" s="1399">
        <v>251345.07000000004</v>
      </c>
    </row>
    <row r="6528" spans="2:12">
      <c r="B6528" s="1297"/>
      <c r="C6528" s="1297"/>
      <c r="D6528" s="1297"/>
      <c r="E6528" s="1297" t="s">
        <v>1041</v>
      </c>
      <c r="H6528" s="1399">
        <v>168079.97999999998</v>
      </c>
      <c r="J6528" s="1399">
        <v>168079.97999999998</v>
      </c>
    </row>
    <row r="6529" spans="2:11">
      <c r="B6529" s="1297"/>
      <c r="C6529" s="1297"/>
      <c r="D6529" s="1297"/>
      <c r="E6529" s="1297" t="s">
        <v>1042</v>
      </c>
      <c r="H6529" s="1399">
        <v>13026.24</v>
      </c>
      <c r="J6529" s="1399">
        <v>13026.24</v>
      </c>
      <c r="K6529" s="1297"/>
    </row>
    <row r="6530" spans="2:11">
      <c r="B6530" s="1297"/>
      <c r="C6530" s="1297"/>
      <c r="D6530" s="1297"/>
      <c r="E6530" s="1297" t="s">
        <v>953</v>
      </c>
      <c r="H6530" s="1399">
        <v>191320.58000000005</v>
      </c>
      <c r="J6530" s="1399">
        <v>191320.58000000005</v>
      </c>
      <c r="K6530" s="1297"/>
    </row>
    <row r="6531" spans="2:11">
      <c r="B6531" s="1297"/>
      <c r="C6531" s="1297"/>
      <c r="D6531" s="1297"/>
      <c r="E6531" s="1297" t="s">
        <v>954</v>
      </c>
      <c r="H6531" s="1399">
        <v>123897.58</v>
      </c>
      <c r="J6531" s="1399">
        <v>123897.58</v>
      </c>
      <c r="K6531" s="1297"/>
    </row>
    <row r="6532" spans="2:11">
      <c r="B6532" s="1297"/>
      <c r="C6532" s="1297"/>
      <c r="D6532" s="1297"/>
      <c r="E6532" s="1297" t="s">
        <v>985</v>
      </c>
      <c r="H6532" s="1399">
        <v>1407869.11</v>
      </c>
      <c r="J6532" s="1399">
        <v>1407869.11</v>
      </c>
      <c r="K6532" s="1297"/>
    </row>
    <row r="6533" spans="2:11">
      <c r="B6533" s="1297"/>
      <c r="C6533" s="1297"/>
      <c r="D6533" s="1297"/>
      <c r="E6533" s="1297" t="s">
        <v>986</v>
      </c>
      <c r="H6533" s="1399">
        <v>49905.64</v>
      </c>
      <c r="J6533" s="1399">
        <v>49905.64</v>
      </c>
      <c r="K6533" s="1297"/>
    </row>
    <row r="6534" spans="2:11">
      <c r="B6534" s="1297"/>
      <c r="C6534" s="1297"/>
      <c r="D6534" s="1297"/>
      <c r="E6534" s="1297" t="s">
        <v>996</v>
      </c>
      <c r="H6534" s="1399">
        <v>3522.05</v>
      </c>
      <c r="J6534" s="1399">
        <v>3522.05</v>
      </c>
      <c r="K6534" s="1297"/>
    </row>
    <row r="6535" spans="2:11">
      <c r="B6535" s="1297"/>
      <c r="C6535" s="1297"/>
      <c r="D6535" s="1297"/>
      <c r="E6535" s="359" t="s">
        <v>1044</v>
      </c>
      <c r="F6535" s="1411">
        <v>202271</v>
      </c>
      <c r="G6535" s="1411"/>
      <c r="H6535" s="1411"/>
      <c r="I6535" s="1411"/>
      <c r="J6535" s="1411">
        <v>202271</v>
      </c>
      <c r="K6535" s="1297"/>
    </row>
    <row r="6536" spans="2:11">
      <c r="B6536" s="1297"/>
      <c r="C6536" s="1297"/>
      <c r="D6536" s="1297"/>
      <c r="E6536" s="1297" t="s">
        <v>1045</v>
      </c>
      <c r="H6536" s="1399">
        <v>1647941.4300000002</v>
      </c>
      <c r="J6536" s="1399">
        <v>1647941.4300000002</v>
      </c>
      <c r="K6536" s="1297"/>
    </row>
    <row r="6537" spans="2:11">
      <c r="B6537" s="1297"/>
      <c r="C6537" s="1297"/>
      <c r="D6537" s="1297"/>
      <c r="E6537" s="1297" t="s">
        <v>1046</v>
      </c>
      <c r="I6537" s="1399">
        <v>43894865</v>
      </c>
      <c r="J6537" s="1399">
        <v>43894865</v>
      </c>
      <c r="K6537" s="1297"/>
    </row>
    <row r="6538" spans="2:11">
      <c r="B6538" s="1297"/>
      <c r="C6538" s="1297"/>
      <c r="D6538" s="1297"/>
      <c r="E6538" s="1297" t="s">
        <v>1128</v>
      </c>
      <c r="I6538" s="1399">
        <v>3447964</v>
      </c>
      <c r="J6538" s="1399">
        <v>3447964</v>
      </c>
      <c r="K6538" s="1297"/>
    </row>
    <row r="6539" spans="2:11">
      <c r="B6539" s="1297"/>
      <c r="C6539" s="1297"/>
      <c r="D6539" s="1297"/>
      <c r="E6539" s="1297" t="s">
        <v>1129</v>
      </c>
      <c r="I6539" s="1399">
        <v>-4992085</v>
      </c>
      <c r="J6539" s="1399">
        <v>-4992085</v>
      </c>
      <c r="K6539" s="1297"/>
    </row>
    <row r="6540" spans="2:11">
      <c r="B6540" s="1297"/>
      <c r="C6540" s="1297"/>
      <c r="D6540" s="1297"/>
      <c r="E6540" s="1297" t="s">
        <v>1047</v>
      </c>
      <c r="I6540" s="1399">
        <v>535855</v>
      </c>
      <c r="J6540" s="1399">
        <v>535855</v>
      </c>
      <c r="K6540" s="1297"/>
    </row>
    <row r="6541" spans="2:11">
      <c r="B6541" s="1297"/>
      <c r="C6541" s="1297"/>
      <c r="D6541" s="1297"/>
      <c r="E6541" s="1297" t="s">
        <v>1048</v>
      </c>
      <c r="I6541" s="1399">
        <v>-13586773</v>
      </c>
      <c r="J6541" s="1399">
        <v>-13586773</v>
      </c>
      <c r="K6541" s="1297"/>
    </row>
    <row r="6542" spans="2:11">
      <c r="B6542" s="1297"/>
      <c r="C6542" s="1297"/>
      <c r="D6542" s="1297"/>
      <c r="E6542" s="1297" t="s">
        <v>934</v>
      </c>
      <c r="I6542" s="1399">
        <v>112668</v>
      </c>
      <c r="J6542" s="1399">
        <v>112668</v>
      </c>
      <c r="K6542" s="1297"/>
    </row>
    <row r="6543" spans="2:11">
      <c r="B6543" s="1297"/>
      <c r="C6543" s="1297"/>
      <c r="D6543" s="1297"/>
      <c r="E6543" s="1297" t="s">
        <v>1130</v>
      </c>
      <c r="I6543" s="1399">
        <v>112152.5</v>
      </c>
      <c r="J6543" s="1399">
        <v>112152.5</v>
      </c>
      <c r="K6543" s="1297"/>
    </row>
    <row r="6544" spans="2:11">
      <c r="B6544" s="1297"/>
      <c r="C6544" s="1297"/>
      <c r="D6544" s="1297"/>
      <c r="E6544" s="1297" t="s">
        <v>935</v>
      </c>
      <c r="I6544" s="1399">
        <v>552655.56000000006</v>
      </c>
      <c r="J6544" s="1399">
        <v>552655.56000000006</v>
      </c>
      <c r="K6544" s="1297"/>
    </row>
    <row r="6545" spans="2:16">
      <c r="B6545" s="1297"/>
      <c r="C6545" s="1297"/>
      <c r="D6545" s="1297"/>
      <c r="E6545" s="1297" t="s">
        <v>936</v>
      </c>
      <c r="I6545" s="1399">
        <v>128155.1</v>
      </c>
      <c r="J6545" s="1399">
        <v>128155.1</v>
      </c>
    </row>
    <row r="6546" spans="2:16">
      <c r="B6546" s="1297"/>
      <c r="C6546" s="1297"/>
      <c r="D6546" s="1297"/>
      <c r="E6546" s="1297" t="s">
        <v>937</v>
      </c>
      <c r="I6546" s="1399">
        <v>94806.69</v>
      </c>
      <c r="J6546" s="1399">
        <v>94806.69</v>
      </c>
    </row>
    <row r="6547" spans="2:16">
      <c r="B6547" s="1297"/>
      <c r="C6547" s="1297"/>
      <c r="D6547" s="1297"/>
      <c r="E6547" s="1297" t="s">
        <v>938</v>
      </c>
      <c r="I6547" s="1399">
        <v>42111</v>
      </c>
      <c r="J6547" s="1399">
        <v>42111</v>
      </c>
    </row>
    <row r="6548" spans="2:16">
      <c r="B6548" s="1297"/>
      <c r="C6548" s="1297"/>
      <c r="D6548" s="1297"/>
      <c r="E6548" s="1297" t="s">
        <v>1131</v>
      </c>
      <c r="F6548" s="1399">
        <v>8848.98</v>
      </c>
      <c r="J6548" s="1399">
        <v>8848.98</v>
      </c>
    </row>
    <row r="6549" spans="2:16">
      <c r="B6549" s="1297"/>
      <c r="C6549" s="1297"/>
      <c r="D6549" s="1297"/>
      <c r="E6549" s="1297" t="s">
        <v>940</v>
      </c>
      <c r="F6549" s="1399">
        <v>2108966.7599999998</v>
      </c>
      <c r="J6549" s="1399">
        <v>2108966.7599999998</v>
      </c>
    </row>
    <row r="6550" spans="2:16">
      <c r="B6550" s="1297"/>
      <c r="C6550" s="1297"/>
      <c r="D6550" s="1297"/>
      <c r="E6550" s="1297" t="s">
        <v>941</v>
      </c>
      <c r="F6550" s="1399">
        <v>1061679.6399999999</v>
      </c>
      <c r="J6550" s="1399">
        <v>1061679.6399999999</v>
      </c>
    </row>
    <row r="6551" spans="2:16">
      <c r="B6551" s="1297"/>
      <c r="C6551" s="1297"/>
      <c r="D6551" s="1297"/>
      <c r="E6551" s="1297" t="s">
        <v>943</v>
      </c>
      <c r="F6551" s="1399">
        <v>67658.94</v>
      </c>
      <c r="J6551" s="1399">
        <v>67658.94</v>
      </c>
    </row>
    <row r="6552" spans="2:16">
      <c r="B6552" s="1297"/>
      <c r="C6552" s="1297"/>
      <c r="D6552" s="1297"/>
      <c r="E6552" s="1297" t="s">
        <v>944</v>
      </c>
      <c r="F6552" s="1399">
        <v>6227375.0799999991</v>
      </c>
      <c r="J6552" s="1399">
        <v>6227375.0799999991</v>
      </c>
    </row>
    <row r="6553" spans="2:16">
      <c r="B6553" s="1297"/>
      <c r="C6553" s="1297"/>
      <c r="D6553" s="1297"/>
      <c r="E6553" s="1297" t="s">
        <v>945</v>
      </c>
      <c r="F6553" s="1399">
        <v>3923793.01</v>
      </c>
      <c r="J6553" s="1399">
        <v>3923793.01</v>
      </c>
    </row>
    <row r="6554" spans="2:16">
      <c r="B6554" s="1297"/>
      <c r="C6554" s="1297"/>
      <c r="D6554" s="1297"/>
      <c r="E6554" s="1297" t="s">
        <v>946</v>
      </c>
      <c r="F6554" s="1399">
        <v>104871.4</v>
      </c>
      <c r="J6554" s="1399">
        <v>104871.4</v>
      </c>
    </row>
    <row r="6555" spans="2:16">
      <c r="B6555" s="1297"/>
      <c r="C6555" s="1297"/>
      <c r="D6555" s="1297"/>
      <c r="E6555" s="1297" t="s">
        <v>947</v>
      </c>
      <c r="F6555" s="1399">
        <v>316483.74999999994</v>
      </c>
      <c r="J6555" s="1399">
        <v>316483.74999999994</v>
      </c>
    </row>
    <row r="6556" spans="2:16">
      <c r="B6556" s="1297"/>
      <c r="C6556" s="1297"/>
      <c r="D6556" s="1297"/>
      <c r="E6556" s="1297" t="s">
        <v>1115</v>
      </c>
      <c r="F6556" s="1399">
        <v>20695.86</v>
      </c>
      <c r="J6556" s="1399">
        <v>20695.86</v>
      </c>
    </row>
    <row r="6557" spans="2:16">
      <c r="B6557" s="1297"/>
      <c r="C6557" s="1297"/>
      <c r="D6557" s="1297"/>
      <c r="E6557" s="1404" t="s">
        <v>948</v>
      </c>
      <c r="F6557" s="1405"/>
      <c r="G6557" s="1405"/>
      <c r="H6557" s="1405">
        <v>949828.45</v>
      </c>
      <c r="I6557" s="1405"/>
      <c r="J6557" s="1405">
        <v>949828.45</v>
      </c>
    </row>
    <row r="6558" spans="2:16">
      <c r="B6558" s="1297"/>
      <c r="C6558" s="1297"/>
      <c r="D6558" s="1297"/>
      <c r="E6558" s="1297" t="s">
        <v>956</v>
      </c>
      <c r="H6558" s="1399">
        <v>13389.490000000002</v>
      </c>
      <c r="J6558" s="1399">
        <v>13389.490000000002</v>
      </c>
    </row>
    <row r="6559" spans="2:16">
      <c r="B6559" s="1297"/>
      <c r="C6559" s="1297"/>
      <c r="D6559" s="1400" t="s">
        <v>1472</v>
      </c>
      <c r="E6559" s="1400" t="s">
        <v>1645</v>
      </c>
      <c r="F6559" s="1401">
        <f>SUM(F6518:F6558)-'1$REV-CharterAuditData'!BM71</f>
        <v>13948700.419999998</v>
      </c>
      <c r="G6559" s="1401">
        <f>SUM(G6518:G6558)-'1$REV-CharterAuditData'!Q71</f>
        <v>51681562.969999999</v>
      </c>
      <c r="H6559" s="1401">
        <f>SUM(H6518:H6558)-H6557</f>
        <v>4786149.49</v>
      </c>
      <c r="I6559" s="1401">
        <f>SUM(I6518:I6558)-'1$REV-CharterAuditData'!AZ71</f>
        <v>29288468.850000001</v>
      </c>
      <c r="J6559" s="1401">
        <f>SUM(J6518:J6558)</f>
        <v>102537015.18000001</v>
      </c>
      <c r="K6559" s="1401">
        <f>SUM(F6559:I6559)</f>
        <v>99704881.729999989</v>
      </c>
      <c r="L6559" s="1407">
        <f>K6559/C6518</f>
        <v>12830.37983914554</v>
      </c>
      <c r="M6559" s="1400"/>
      <c r="N6559" s="1400"/>
      <c r="O6559" s="1400"/>
      <c r="P6559" s="1400"/>
    </row>
    <row r="6560" spans="2:16">
      <c r="B6560" s="1297" t="s">
        <v>1518</v>
      </c>
      <c r="C6560" s="1297">
        <v>1479</v>
      </c>
      <c r="D6560" s="1297" t="s">
        <v>1519</v>
      </c>
      <c r="E6560" s="1297" t="s">
        <v>906</v>
      </c>
      <c r="G6560" s="1399">
        <v>390543.13</v>
      </c>
      <c r="J6560" s="1399">
        <v>390543.13</v>
      </c>
    </row>
    <row r="6561" spans="2:11">
      <c r="B6561" s="1297"/>
      <c r="C6561" s="1297"/>
      <c r="D6561" s="1297"/>
      <c r="E6561" s="1297" t="s">
        <v>1126</v>
      </c>
      <c r="G6561" s="1399">
        <v>466569.83</v>
      </c>
      <c r="J6561" s="1399">
        <v>466569.83</v>
      </c>
      <c r="K6561" s="1297"/>
    </row>
    <row r="6562" spans="2:11">
      <c r="B6562" s="1297"/>
      <c r="C6562" s="1297"/>
      <c r="D6562" s="1297"/>
      <c r="E6562" s="1297" t="s">
        <v>907</v>
      </c>
      <c r="G6562" s="1399">
        <v>945308.73</v>
      </c>
      <c r="J6562" s="1399">
        <v>945308.73</v>
      </c>
      <c r="K6562" s="1297"/>
    </row>
    <row r="6563" spans="2:11">
      <c r="B6563" s="1297"/>
      <c r="C6563" s="1297"/>
      <c r="D6563" s="1297"/>
      <c r="E6563" s="1297" t="s">
        <v>909</v>
      </c>
      <c r="H6563" s="1399">
        <v>57195.33</v>
      </c>
      <c r="J6563" s="1399">
        <v>57195.33</v>
      </c>
      <c r="K6563" s="1297"/>
    </row>
    <row r="6564" spans="2:11">
      <c r="B6564" s="1297"/>
      <c r="C6564" s="1297"/>
      <c r="D6564" s="1297"/>
      <c r="E6564" s="1297" t="s">
        <v>910</v>
      </c>
      <c r="H6564" s="1399">
        <v>5574</v>
      </c>
      <c r="J6564" s="1399">
        <v>5574</v>
      </c>
      <c r="K6564" s="1297"/>
    </row>
    <row r="6565" spans="2:11">
      <c r="B6565" s="1297"/>
      <c r="C6565" s="1297"/>
      <c r="D6565" s="1297"/>
      <c r="E6565" s="1297" t="s">
        <v>1034</v>
      </c>
      <c r="H6565" s="1399">
        <v>44376.44</v>
      </c>
      <c r="J6565" s="1399">
        <v>44376.44</v>
      </c>
      <c r="K6565" s="1297"/>
    </row>
    <row r="6566" spans="2:11">
      <c r="B6566" s="1297"/>
      <c r="C6566" s="1297"/>
      <c r="D6566" s="1297"/>
      <c r="E6566" s="1297" t="s">
        <v>1035</v>
      </c>
      <c r="H6566" s="1399">
        <v>101905.4</v>
      </c>
      <c r="J6566" s="1399">
        <v>101905.4</v>
      </c>
      <c r="K6566" s="1297"/>
    </row>
    <row r="6567" spans="2:11">
      <c r="B6567" s="1297"/>
      <c r="C6567" s="1297"/>
      <c r="D6567" s="1297"/>
      <c r="E6567" s="1297" t="s">
        <v>1036</v>
      </c>
      <c r="H6567" s="1399">
        <v>79377.960000000006</v>
      </c>
      <c r="J6567" s="1399">
        <v>79377.960000000006</v>
      </c>
      <c r="K6567" s="1297"/>
    </row>
    <row r="6568" spans="2:11">
      <c r="B6568" s="1297"/>
      <c r="C6568" s="1297"/>
      <c r="D6568" s="1297"/>
      <c r="E6568" s="1297" t="s">
        <v>1039</v>
      </c>
      <c r="H6568" s="1399">
        <v>31938.260000000002</v>
      </c>
      <c r="J6568" s="1399">
        <v>31938.260000000002</v>
      </c>
      <c r="K6568" s="1297"/>
    </row>
    <row r="6569" spans="2:11">
      <c r="B6569" s="1297"/>
      <c r="C6569" s="1297"/>
      <c r="D6569" s="1297"/>
      <c r="E6569" s="1297" t="s">
        <v>1040</v>
      </c>
      <c r="H6569" s="1399">
        <v>47479.72</v>
      </c>
      <c r="J6569" s="1399">
        <v>47479.72</v>
      </c>
      <c r="K6569" s="1297"/>
    </row>
    <row r="6570" spans="2:11">
      <c r="B6570" s="1297"/>
      <c r="C6570" s="1297"/>
      <c r="D6570" s="1297"/>
      <c r="E6570" s="1297" t="s">
        <v>1041</v>
      </c>
      <c r="H6570" s="1399">
        <v>41661.9</v>
      </c>
      <c r="J6570" s="1399">
        <v>41661.9</v>
      </c>
      <c r="K6570" s="1297"/>
    </row>
    <row r="6571" spans="2:11">
      <c r="B6571" s="1297"/>
      <c r="C6571" s="1297"/>
      <c r="D6571" s="1297"/>
      <c r="E6571" s="1297" t="s">
        <v>1042</v>
      </c>
      <c r="H6571" s="1399">
        <v>21896</v>
      </c>
      <c r="J6571" s="1399">
        <v>21896</v>
      </c>
      <c r="K6571" s="1297"/>
    </row>
    <row r="6572" spans="2:11">
      <c r="B6572" s="1297"/>
      <c r="C6572" s="1297"/>
      <c r="D6572" s="1297"/>
      <c r="E6572" s="1297" t="s">
        <v>954</v>
      </c>
      <c r="H6572" s="1399">
        <v>900</v>
      </c>
      <c r="J6572" s="1399">
        <v>900</v>
      </c>
      <c r="K6572" s="1297"/>
    </row>
    <row r="6573" spans="2:11">
      <c r="B6573" s="1297"/>
      <c r="C6573" s="1297"/>
      <c r="D6573" s="1297"/>
      <c r="E6573" s="1297" t="s">
        <v>1043</v>
      </c>
      <c r="H6573" s="1399">
        <v>19660</v>
      </c>
      <c r="J6573" s="1399">
        <v>19660</v>
      </c>
      <c r="K6573" s="1297"/>
    </row>
    <row r="6574" spans="2:11">
      <c r="B6574" s="1297"/>
      <c r="C6574" s="1297"/>
      <c r="D6574" s="1297"/>
      <c r="E6574" s="1297" t="s">
        <v>986</v>
      </c>
      <c r="H6574" s="1399">
        <v>1000</v>
      </c>
      <c r="J6574" s="1399">
        <v>1000</v>
      </c>
      <c r="K6574" s="1297"/>
    </row>
    <row r="6575" spans="2:11">
      <c r="B6575" s="1297"/>
      <c r="C6575" s="1297"/>
      <c r="D6575" s="1297"/>
      <c r="E6575" s="1297" t="s">
        <v>991</v>
      </c>
      <c r="H6575" s="1399">
        <v>1851.5</v>
      </c>
      <c r="J6575" s="1399">
        <v>1851.5</v>
      </c>
      <c r="K6575" s="1297"/>
    </row>
    <row r="6576" spans="2:11">
      <c r="B6576" s="1297"/>
      <c r="C6576" s="1297"/>
      <c r="D6576" s="1297"/>
      <c r="E6576" s="1297" t="s">
        <v>1044</v>
      </c>
      <c r="F6576" s="1399">
        <v>19386</v>
      </c>
      <c r="J6576" s="1399">
        <v>19386</v>
      </c>
      <c r="K6576" s="1297"/>
    </row>
    <row r="6577" spans="2:11">
      <c r="B6577" s="1297"/>
      <c r="C6577" s="1297"/>
      <c r="D6577" s="1297"/>
      <c r="E6577" s="1297" t="s">
        <v>1045</v>
      </c>
      <c r="H6577" s="1399">
        <v>86219.6</v>
      </c>
      <c r="J6577" s="1399">
        <v>86219.6</v>
      </c>
      <c r="K6577" s="1297"/>
    </row>
    <row r="6578" spans="2:11">
      <c r="B6578" s="1297"/>
      <c r="C6578" s="1297"/>
      <c r="D6578" s="1297"/>
      <c r="E6578" s="1297" t="s">
        <v>1046</v>
      </c>
      <c r="I6578" s="1399">
        <v>7376719</v>
      </c>
      <c r="J6578" s="1399">
        <v>7376719</v>
      </c>
      <c r="K6578" s="1297"/>
    </row>
    <row r="6579" spans="2:11">
      <c r="B6579" s="1297"/>
      <c r="C6579" s="1297"/>
      <c r="D6579" s="1297"/>
      <c r="E6579" s="1297" t="s">
        <v>1047</v>
      </c>
      <c r="I6579" s="1399">
        <v>70398</v>
      </c>
      <c r="J6579" s="1399">
        <v>70398</v>
      </c>
      <c r="K6579" s="1297"/>
    </row>
    <row r="6580" spans="2:11">
      <c r="B6580" s="1297"/>
      <c r="C6580" s="1297"/>
      <c r="D6580" s="1297"/>
      <c r="E6580" s="1297" t="s">
        <v>1048</v>
      </c>
      <c r="I6580" s="1399">
        <v>-197652</v>
      </c>
      <c r="J6580" s="1399">
        <v>-197652</v>
      </c>
      <c r="K6580" s="1297"/>
    </row>
    <row r="6581" spans="2:11">
      <c r="B6581" s="1297"/>
      <c r="C6581" s="1297"/>
      <c r="D6581" s="1297"/>
      <c r="E6581" s="1297" t="s">
        <v>932</v>
      </c>
      <c r="I6581" s="1399">
        <v>2747693</v>
      </c>
      <c r="J6581" s="1399">
        <v>2747693</v>
      </c>
      <c r="K6581" s="1297"/>
    </row>
    <row r="6582" spans="2:11">
      <c r="B6582" s="1297"/>
      <c r="C6582" s="1297"/>
      <c r="D6582" s="1297"/>
      <c r="E6582" s="1404" t="s">
        <v>955</v>
      </c>
      <c r="F6582" s="1405"/>
      <c r="G6582" s="1405"/>
      <c r="H6582" s="1405"/>
      <c r="I6582" s="1405">
        <v>337475.9</v>
      </c>
      <c r="J6582" s="1405">
        <v>337475.9</v>
      </c>
      <c r="K6582" s="1297"/>
    </row>
    <row r="6583" spans="2:11">
      <c r="B6583" s="1297"/>
      <c r="C6583" s="1297"/>
      <c r="D6583" s="1297"/>
      <c r="E6583" s="1297" t="s">
        <v>934</v>
      </c>
      <c r="I6583" s="1399">
        <v>25768</v>
      </c>
      <c r="J6583" s="1399">
        <v>25768</v>
      </c>
      <c r="K6583" s="1297"/>
    </row>
    <row r="6584" spans="2:11">
      <c r="B6584" s="1297"/>
      <c r="C6584" s="1297"/>
      <c r="D6584" s="1297"/>
      <c r="E6584" s="1297" t="s">
        <v>935</v>
      </c>
      <c r="I6584" s="1399">
        <v>358186.44</v>
      </c>
      <c r="J6584" s="1399">
        <v>358186.44</v>
      </c>
      <c r="K6584" s="1297"/>
    </row>
    <row r="6585" spans="2:11">
      <c r="B6585" s="1297"/>
      <c r="C6585" s="1297"/>
      <c r="D6585" s="1297"/>
      <c r="E6585" s="1297" t="s">
        <v>936</v>
      </c>
      <c r="I6585" s="1399">
        <v>20308.73</v>
      </c>
      <c r="J6585" s="1399">
        <v>20308.73</v>
      </c>
      <c r="K6585" s="1297"/>
    </row>
    <row r="6586" spans="2:11">
      <c r="B6586" s="1297"/>
      <c r="C6586" s="1297"/>
      <c r="D6586" s="1297"/>
      <c r="E6586" s="1297" t="s">
        <v>937</v>
      </c>
      <c r="I6586" s="1399">
        <v>10582.57</v>
      </c>
      <c r="J6586" s="1399">
        <v>10582.57</v>
      </c>
      <c r="K6586" s="1297"/>
    </row>
    <row r="6587" spans="2:11">
      <c r="B6587" s="1297"/>
      <c r="C6587" s="1297"/>
      <c r="D6587" s="1297"/>
      <c r="E6587" s="1297" t="s">
        <v>938</v>
      </c>
      <c r="I6587" s="1399">
        <v>4866</v>
      </c>
      <c r="J6587" s="1399">
        <v>4866</v>
      </c>
      <c r="K6587" s="1297"/>
    </row>
    <row r="6588" spans="2:11">
      <c r="B6588" s="1297"/>
      <c r="C6588" s="1297"/>
      <c r="D6588" s="1297"/>
      <c r="E6588" s="1297" t="s">
        <v>939</v>
      </c>
      <c r="I6588" s="1399">
        <v>935.2</v>
      </c>
      <c r="J6588" s="1399">
        <v>935.2</v>
      </c>
      <c r="K6588" s="1297"/>
    </row>
    <row r="6589" spans="2:11">
      <c r="B6589" s="1297"/>
      <c r="C6589" s="1297"/>
      <c r="D6589" s="1297"/>
      <c r="E6589" s="1297" t="s">
        <v>940</v>
      </c>
      <c r="F6589" s="1399">
        <v>495673.26</v>
      </c>
      <c r="J6589" s="1399">
        <v>495673.26</v>
      </c>
      <c r="K6589" s="1297"/>
    </row>
    <row r="6590" spans="2:11">
      <c r="B6590" s="1297"/>
      <c r="C6590" s="1297"/>
      <c r="D6590" s="1297"/>
      <c r="E6590" s="1297" t="s">
        <v>941</v>
      </c>
      <c r="F6590" s="1399">
        <v>176408.02</v>
      </c>
      <c r="J6590" s="1399">
        <v>176408.02</v>
      </c>
      <c r="K6590" s="1297"/>
    </row>
    <row r="6591" spans="2:11">
      <c r="B6591" s="1297"/>
      <c r="C6591" s="1297"/>
      <c r="D6591" s="1297"/>
      <c r="E6591" s="1297" t="s">
        <v>944</v>
      </c>
      <c r="F6591" s="1399">
        <v>1366348.9200000002</v>
      </c>
      <c r="J6591" s="1399">
        <v>1366348.9200000002</v>
      </c>
      <c r="K6591" s="1297"/>
    </row>
    <row r="6592" spans="2:11">
      <c r="B6592" s="1297"/>
      <c r="C6592" s="1297"/>
      <c r="D6592" s="1297"/>
      <c r="E6592" s="1297" t="s">
        <v>945</v>
      </c>
      <c r="F6592" s="1399">
        <v>574891.91999999993</v>
      </c>
      <c r="J6592" s="1399">
        <v>574891.91999999993</v>
      </c>
      <c r="K6592" s="1297"/>
    </row>
    <row r="6593" spans="2:12">
      <c r="B6593" s="1297"/>
      <c r="C6593" s="1297"/>
      <c r="D6593" s="1297"/>
      <c r="E6593" s="1297" t="s">
        <v>1006</v>
      </c>
      <c r="F6593" s="1399">
        <v>10122.49</v>
      </c>
      <c r="J6593" s="1399">
        <v>10122.49</v>
      </c>
    </row>
    <row r="6594" spans="2:12">
      <c r="B6594" s="1297"/>
      <c r="C6594" s="1297"/>
      <c r="D6594" s="1297"/>
      <c r="E6594" s="1297" t="s">
        <v>947</v>
      </c>
      <c r="F6594" s="1399">
        <v>65326.26</v>
      </c>
      <c r="J6594" s="1399">
        <v>65326.26</v>
      </c>
    </row>
    <row r="6595" spans="2:12">
      <c r="B6595" s="1297"/>
      <c r="C6595" s="1297"/>
      <c r="D6595" s="1297"/>
      <c r="E6595" s="1404" t="s">
        <v>948</v>
      </c>
      <c r="F6595" s="1405"/>
      <c r="G6595" s="1405"/>
      <c r="H6595" s="1405">
        <v>406946.41000000009</v>
      </c>
      <c r="I6595" s="1405"/>
      <c r="J6595" s="1405">
        <v>406946.41000000009</v>
      </c>
    </row>
    <row r="6596" spans="2:12">
      <c r="B6596" s="1297"/>
      <c r="C6596" s="1297"/>
      <c r="D6596" s="1400" t="s">
        <v>1520</v>
      </c>
      <c r="E6596" s="1400"/>
      <c r="F6596" s="1401">
        <f>SUM(F6560:F6595)</f>
        <v>2708156.87</v>
      </c>
      <c r="G6596" s="1401">
        <f>SUM(G6560:G6595)</f>
        <v>1802421.69</v>
      </c>
      <c r="H6596" s="1401">
        <f>SUM(H6560:H6595)-H6595</f>
        <v>541036.10999999987</v>
      </c>
      <c r="I6596" s="1401">
        <f>SUM(I6560:I6595)-I6582</f>
        <v>10417804.939999999</v>
      </c>
      <c r="J6596" s="1401">
        <f>SUM(J6560:J6595)</f>
        <v>16213841.92</v>
      </c>
      <c r="K6596" s="1401">
        <f>SUM(F6596:I6596)</f>
        <v>15469419.609999999</v>
      </c>
      <c r="L6596" s="1408">
        <f>K6596/C6560</f>
        <v>10459.3776943881</v>
      </c>
    </row>
    <row r="6597" spans="2:12">
      <c r="B6597" s="1297" t="s">
        <v>1521</v>
      </c>
      <c r="C6597" s="1297">
        <v>5601</v>
      </c>
      <c r="D6597" s="1297" t="s">
        <v>1522</v>
      </c>
      <c r="E6597" s="1297" t="s">
        <v>907</v>
      </c>
      <c r="G6597" s="1399">
        <v>4995937.03</v>
      </c>
      <c r="J6597" s="1399">
        <v>4995937.03</v>
      </c>
    </row>
    <row r="6598" spans="2:12">
      <c r="B6598" s="1297"/>
      <c r="C6598" s="1297"/>
      <c r="D6598" s="1297"/>
      <c r="E6598" s="1297" t="s">
        <v>1145</v>
      </c>
      <c r="G6598" s="1399">
        <v>17438888.210000001</v>
      </c>
      <c r="J6598" s="1399">
        <v>17438888.210000001</v>
      </c>
    </row>
    <row r="6599" spans="2:12">
      <c r="B6599" s="1297"/>
      <c r="C6599" s="1297"/>
      <c r="D6599" s="1297"/>
      <c r="E6599" s="1297" t="s">
        <v>1035</v>
      </c>
      <c r="H6599" s="1399">
        <v>521922.41</v>
      </c>
      <c r="J6599" s="1399">
        <v>521922.41</v>
      </c>
    </row>
    <row r="6600" spans="2:12">
      <c r="B6600" s="1297"/>
      <c r="C6600" s="1297"/>
      <c r="D6600" s="1297"/>
      <c r="E6600" s="1297" t="s">
        <v>1036</v>
      </c>
      <c r="H6600" s="1399">
        <v>591247.35</v>
      </c>
      <c r="J6600" s="1399">
        <v>591247.35</v>
      </c>
    </row>
    <row r="6601" spans="2:12">
      <c r="B6601" s="1297"/>
      <c r="C6601" s="1297"/>
      <c r="D6601" s="1297"/>
      <c r="E6601" s="1297" t="s">
        <v>1037</v>
      </c>
      <c r="H6601" s="1399">
        <v>85548</v>
      </c>
      <c r="J6601" s="1399">
        <v>85548</v>
      </c>
    </row>
    <row r="6602" spans="2:12">
      <c r="B6602" s="1297"/>
      <c r="C6602" s="1297"/>
      <c r="D6602" s="1297"/>
      <c r="E6602" s="1297" t="s">
        <v>1038</v>
      </c>
      <c r="H6602" s="1399">
        <v>0</v>
      </c>
      <c r="J6602" s="1399">
        <v>0</v>
      </c>
    </row>
    <row r="6603" spans="2:12">
      <c r="B6603" s="1297"/>
      <c r="C6603" s="1297"/>
      <c r="D6603" s="1297"/>
      <c r="E6603" s="1297" t="s">
        <v>1039</v>
      </c>
      <c r="H6603" s="1399">
        <v>147947.93</v>
      </c>
      <c r="J6603" s="1399">
        <v>147947.93</v>
      </c>
    </row>
    <row r="6604" spans="2:12">
      <c r="B6604" s="1297"/>
      <c r="C6604" s="1297"/>
      <c r="D6604" s="1297"/>
      <c r="E6604" s="1297" t="s">
        <v>1040</v>
      </c>
      <c r="H6604" s="1399">
        <v>231575.72999999998</v>
      </c>
      <c r="J6604" s="1399">
        <v>231575.72999999998</v>
      </c>
    </row>
    <row r="6605" spans="2:12">
      <c r="B6605" s="1297"/>
      <c r="C6605" s="1297"/>
      <c r="D6605" s="1297"/>
      <c r="E6605" s="1297" t="s">
        <v>1127</v>
      </c>
      <c r="H6605" s="1399">
        <v>5618.5999999999995</v>
      </c>
      <c r="J6605" s="1399">
        <v>5618.5999999999995</v>
      </c>
    </row>
    <row r="6606" spans="2:12">
      <c r="B6606" s="1297"/>
      <c r="C6606" s="1297"/>
      <c r="D6606" s="1297"/>
      <c r="E6606" s="1297" t="s">
        <v>1041</v>
      </c>
      <c r="H6606" s="1399">
        <v>8535.9</v>
      </c>
      <c r="J6606" s="1399">
        <v>8535.9</v>
      </c>
    </row>
    <row r="6607" spans="2:12">
      <c r="B6607" s="1297"/>
      <c r="C6607" s="1297"/>
      <c r="D6607" s="1297"/>
      <c r="E6607" s="1297" t="s">
        <v>1042</v>
      </c>
      <c r="H6607" s="1399">
        <v>74965.539999999994</v>
      </c>
      <c r="J6607" s="1399">
        <v>74965.539999999994</v>
      </c>
    </row>
    <row r="6608" spans="2:12">
      <c r="B6608" s="1297"/>
      <c r="C6608" s="1297"/>
      <c r="D6608" s="1297"/>
      <c r="E6608" s="1297" t="s">
        <v>986</v>
      </c>
      <c r="H6608" s="1399">
        <v>206326.87</v>
      </c>
      <c r="J6608" s="1399">
        <v>206326.87</v>
      </c>
    </row>
    <row r="6609" spans="2:11">
      <c r="B6609" s="1297"/>
      <c r="C6609" s="1297"/>
      <c r="D6609" s="1297"/>
      <c r="E6609" s="1297" t="s">
        <v>996</v>
      </c>
      <c r="H6609" s="1399">
        <v>0</v>
      </c>
      <c r="J6609" s="1399">
        <v>0</v>
      </c>
      <c r="K6609" s="1297"/>
    </row>
    <row r="6610" spans="2:11">
      <c r="B6610" s="1297"/>
      <c r="C6610" s="1297"/>
      <c r="D6610" s="1297"/>
      <c r="E6610" s="1297" t="s">
        <v>1044</v>
      </c>
      <c r="F6610" s="1399">
        <v>198324.75</v>
      </c>
      <c r="J6610" s="1399">
        <v>198324.75</v>
      </c>
      <c r="K6610" s="1297"/>
    </row>
    <row r="6611" spans="2:11">
      <c r="B6611" s="1297"/>
      <c r="C6611" s="1297"/>
      <c r="D6611" s="1297"/>
      <c r="E6611" s="1297" t="s">
        <v>1045</v>
      </c>
      <c r="H6611" s="1399">
        <v>664679.76</v>
      </c>
      <c r="J6611" s="1399">
        <v>664679.76</v>
      </c>
      <c r="K6611" s="1297"/>
    </row>
    <row r="6612" spans="2:11">
      <c r="B6612" s="1297"/>
      <c r="C6612" s="1297"/>
      <c r="D6612" s="1297"/>
      <c r="E6612" s="1297" t="s">
        <v>1046</v>
      </c>
      <c r="I6612" s="1399">
        <v>27983900</v>
      </c>
      <c r="J6612" s="1399">
        <v>27983900</v>
      </c>
      <c r="K6612" s="1297"/>
    </row>
    <row r="6613" spans="2:11">
      <c r="B6613" s="1297"/>
      <c r="C6613" s="1297"/>
      <c r="D6613" s="1297"/>
      <c r="E6613" s="1297" t="s">
        <v>1047</v>
      </c>
      <c r="I6613" s="1399">
        <v>355240</v>
      </c>
      <c r="J6613" s="1399">
        <v>355240</v>
      </c>
      <c r="K6613" s="1297"/>
    </row>
    <row r="6614" spans="2:11">
      <c r="B6614" s="1297"/>
      <c r="C6614" s="1297"/>
      <c r="D6614" s="1297"/>
      <c r="E6614" s="1297" t="s">
        <v>1048</v>
      </c>
      <c r="I6614" s="1399">
        <v>-4953813</v>
      </c>
      <c r="J6614" s="1399">
        <v>-4953813</v>
      </c>
      <c r="K6614" s="1297"/>
    </row>
    <row r="6615" spans="2:11">
      <c r="B6615" s="1297"/>
      <c r="C6615" s="1297"/>
      <c r="D6615" s="1297"/>
      <c r="E6615" s="1297" t="s">
        <v>932</v>
      </c>
      <c r="I6615" s="1399">
        <v>1461005</v>
      </c>
      <c r="J6615" s="1399">
        <v>1461005</v>
      </c>
      <c r="K6615" s="1297"/>
    </row>
    <row r="6616" spans="2:11">
      <c r="B6616" s="1297"/>
      <c r="C6616" s="1297"/>
      <c r="D6616" s="1297"/>
      <c r="E6616" s="1404" t="s">
        <v>955</v>
      </c>
      <c r="F6616" s="1405"/>
      <c r="G6616" s="1405"/>
      <c r="H6616" s="1405"/>
      <c r="I6616" s="1405">
        <v>632210.15</v>
      </c>
      <c r="J6616" s="1405">
        <v>632210.15</v>
      </c>
      <c r="K6616" s="1297"/>
    </row>
    <row r="6617" spans="2:11">
      <c r="B6617" s="1297"/>
      <c r="C6617" s="1297"/>
      <c r="D6617" s="1297"/>
      <c r="E6617" s="1297" t="s">
        <v>934</v>
      </c>
      <c r="I6617" s="1399">
        <v>110702</v>
      </c>
      <c r="J6617" s="1399">
        <v>110702</v>
      </c>
      <c r="K6617" s="1297"/>
    </row>
    <row r="6618" spans="2:11">
      <c r="B6618" s="1297"/>
      <c r="C6618" s="1297"/>
      <c r="D6618" s="1297"/>
      <c r="E6618" s="1297" t="s">
        <v>935</v>
      </c>
      <c r="I6618" s="1399">
        <v>478867.27</v>
      </c>
      <c r="J6618" s="1399">
        <v>478867.27</v>
      </c>
      <c r="K6618" s="1297"/>
    </row>
    <row r="6619" spans="2:11">
      <c r="B6619" s="1297"/>
      <c r="C6619" s="1297"/>
      <c r="D6619" s="1297"/>
      <c r="E6619" s="1297" t="s">
        <v>936</v>
      </c>
      <c r="I6619" s="1399">
        <v>59525.59</v>
      </c>
      <c r="J6619" s="1399">
        <v>59525.59</v>
      </c>
      <c r="K6619" s="1297"/>
    </row>
    <row r="6620" spans="2:11">
      <c r="B6620" s="1297"/>
      <c r="C6620" s="1297"/>
      <c r="D6620" s="1297"/>
      <c r="E6620" s="1297" t="s">
        <v>937</v>
      </c>
      <c r="I6620" s="1399">
        <v>32480.560000000001</v>
      </c>
      <c r="J6620" s="1399">
        <v>32480.560000000001</v>
      </c>
      <c r="K6620" s="1297"/>
    </row>
    <row r="6621" spans="2:11">
      <c r="B6621" s="1297"/>
      <c r="C6621" s="1297"/>
      <c r="D6621" s="1297"/>
      <c r="E6621" s="1297" t="s">
        <v>938</v>
      </c>
      <c r="I6621" s="1399">
        <v>17031</v>
      </c>
      <c r="J6621" s="1399">
        <v>17031</v>
      </c>
      <c r="K6621" s="1297"/>
    </row>
    <row r="6622" spans="2:11">
      <c r="B6622" s="1297"/>
      <c r="C6622" s="1297"/>
      <c r="D6622" s="1297"/>
      <c r="E6622" s="1297" t="s">
        <v>940</v>
      </c>
      <c r="F6622" s="1399">
        <v>1935946.8200000003</v>
      </c>
      <c r="J6622" s="1399">
        <v>1935946.8200000003</v>
      </c>
      <c r="K6622" s="1297"/>
    </row>
    <row r="6623" spans="2:11">
      <c r="B6623" s="1297"/>
      <c r="C6623" s="1297"/>
      <c r="D6623" s="1297"/>
      <c r="E6623" s="1297" t="s">
        <v>941</v>
      </c>
      <c r="F6623" s="1399">
        <v>869952.55999999994</v>
      </c>
      <c r="J6623" s="1399">
        <v>869952.55999999994</v>
      </c>
      <c r="K6623" s="1297"/>
    </row>
    <row r="6624" spans="2:11">
      <c r="B6624" s="1297"/>
      <c r="C6624" s="1297"/>
      <c r="D6624" s="1297"/>
      <c r="E6624" s="1297" t="s">
        <v>943</v>
      </c>
      <c r="F6624" s="1399">
        <v>36150.94</v>
      </c>
      <c r="J6624" s="1399">
        <v>36150.94</v>
      </c>
      <c r="K6624" s="1297"/>
    </row>
    <row r="6625" spans="2:12">
      <c r="B6625" s="1297"/>
      <c r="C6625" s="1297"/>
      <c r="D6625" s="1297"/>
      <c r="E6625" s="1297" t="s">
        <v>944</v>
      </c>
      <c r="F6625" s="1399">
        <v>4556808.830000001</v>
      </c>
      <c r="J6625" s="1399">
        <v>4556808.830000001</v>
      </c>
    </row>
    <row r="6626" spans="2:12">
      <c r="B6626" s="1297"/>
      <c r="C6626" s="1297"/>
      <c r="D6626" s="1297"/>
      <c r="E6626" s="1297" t="s">
        <v>945</v>
      </c>
      <c r="F6626" s="1399">
        <v>1537258.55</v>
      </c>
      <c r="J6626" s="1399">
        <v>1537258.55</v>
      </c>
    </row>
    <row r="6627" spans="2:12">
      <c r="B6627" s="1297"/>
      <c r="C6627" s="1297"/>
      <c r="D6627" s="1297"/>
      <c r="E6627" s="1297" t="s">
        <v>946</v>
      </c>
      <c r="F6627" s="1399">
        <v>31414.57</v>
      </c>
      <c r="J6627" s="1399">
        <v>31414.57</v>
      </c>
    </row>
    <row r="6628" spans="2:12">
      <c r="B6628" s="1297"/>
      <c r="C6628" s="1297"/>
      <c r="D6628" s="1297"/>
      <c r="E6628" s="1297" t="s">
        <v>947</v>
      </c>
      <c r="F6628" s="1399">
        <v>195512.43</v>
      </c>
      <c r="J6628" s="1399">
        <v>195512.43</v>
      </c>
    </row>
    <row r="6629" spans="2:12">
      <c r="B6629" s="1297"/>
      <c r="C6629" s="1297"/>
      <c r="D6629" s="1297"/>
      <c r="E6629" s="1404" t="s">
        <v>948</v>
      </c>
      <c r="F6629" s="1405"/>
      <c r="G6629" s="1405"/>
      <c r="H6629" s="1405">
        <v>6055972.1299999999</v>
      </c>
      <c r="I6629" s="1405"/>
      <c r="J6629" s="1405">
        <v>6055972.1299999999</v>
      </c>
    </row>
    <row r="6630" spans="2:12">
      <c r="B6630" s="1297"/>
      <c r="C6630" s="1297"/>
      <c r="D6630" s="1297"/>
      <c r="E6630" s="1297" t="s">
        <v>956</v>
      </c>
      <c r="H6630" s="1399">
        <v>1219.97</v>
      </c>
      <c r="J6630" s="1399">
        <v>1219.97</v>
      </c>
    </row>
    <row r="6631" spans="2:12">
      <c r="B6631" s="1297"/>
      <c r="C6631" s="1297"/>
      <c r="D6631" s="1400" t="s">
        <v>1523</v>
      </c>
      <c r="E6631" s="1400"/>
      <c r="F6631" s="1401">
        <f>SUM(F6597:F6630)</f>
        <v>9361369.4500000011</v>
      </c>
      <c r="G6631" s="1401">
        <f>SUM(G6597:G6630)</f>
        <v>22434825.240000002</v>
      </c>
      <c r="H6631" s="1401">
        <f>SUM(H6597:H6630)-H6629</f>
        <v>2539588.0599999996</v>
      </c>
      <c r="I6631" s="1401">
        <f>SUM(I6597:I6630)-I6616</f>
        <v>25544938.419999998</v>
      </c>
      <c r="J6631" s="1401">
        <f>SUM(J6597:J6630)</f>
        <v>66568903.45000001</v>
      </c>
      <c r="K6631" s="1401">
        <f>SUM(F6631:I6631)</f>
        <v>59880721.170000002</v>
      </c>
      <c r="L6631" s="1408">
        <f>K6631/C6597</f>
        <v>10691.076802356722</v>
      </c>
    </row>
    <row r="6632" spans="2:12">
      <c r="B6632" s="1297" t="s">
        <v>1524</v>
      </c>
      <c r="C6632" s="1297">
        <v>1729</v>
      </c>
      <c r="D6632" s="1297" t="s">
        <v>1525</v>
      </c>
      <c r="E6632" s="1297" t="s">
        <v>907</v>
      </c>
      <c r="G6632" s="1399">
        <v>1147484.81</v>
      </c>
      <c r="J6632" s="1399">
        <v>1147484.81</v>
      </c>
    </row>
    <row r="6633" spans="2:12">
      <c r="B6633" s="1297"/>
      <c r="C6633" s="1297"/>
      <c r="D6633" s="1297"/>
      <c r="E6633" s="1297" t="s">
        <v>1145</v>
      </c>
      <c r="G6633" s="1399">
        <v>2388828.89</v>
      </c>
      <c r="J6633" s="1399">
        <v>2388828.89</v>
      </c>
    </row>
    <row r="6634" spans="2:12">
      <c r="B6634" s="1297"/>
      <c r="C6634" s="1297"/>
      <c r="D6634" s="1297"/>
      <c r="E6634" s="1297" t="s">
        <v>1034</v>
      </c>
      <c r="H6634" s="1399">
        <v>13726.14</v>
      </c>
      <c r="J6634" s="1399">
        <v>13726.14</v>
      </c>
    </row>
    <row r="6635" spans="2:12">
      <c r="B6635" s="1297"/>
      <c r="C6635" s="1297"/>
      <c r="D6635" s="1297"/>
      <c r="E6635" s="1297" t="s">
        <v>1035</v>
      </c>
      <c r="H6635" s="1399">
        <v>282379.23</v>
      </c>
      <c r="J6635" s="1399">
        <v>282379.23</v>
      </c>
    </row>
    <row r="6636" spans="2:12">
      <c r="B6636" s="1297"/>
      <c r="C6636" s="1297"/>
      <c r="D6636" s="1297"/>
      <c r="E6636" s="1297" t="s">
        <v>1036</v>
      </c>
      <c r="H6636" s="1399">
        <v>57753.67</v>
      </c>
      <c r="J6636" s="1399">
        <v>57753.67</v>
      </c>
    </row>
    <row r="6637" spans="2:12">
      <c r="B6637" s="1297"/>
      <c r="C6637" s="1297"/>
      <c r="D6637" s="1297"/>
      <c r="E6637" s="1297" t="s">
        <v>1037</v>
      </c>
      <c r="H6637" s="1399">
        <v>1797324.65</v>
      </c>
      <c r="J6637" s="1399">
        <v>1797324.65</v>
      </c>
    </row>
    <row r="6638" spans="2:12">
      <c r="B6638" s="1297"/>
      <c r="C6638" s="1297"/>
      <c r="D6638" s="1297"/>
      <c r="E6638" s="1297" t="s">
        <v>1105</v>
      </c>
      <c r="H6638" s="1399">
        <v>98818.58</v>
      </c>
      <c r="J6638" s="1399">
        <v>98818.58</v>
      </c>
    </row>
    <row r="6639" spans="2:12">
      <c r="B6639" s="1297"/>
      <c r="C6639" s="1297"/>
      <c r="D6639" s="1297"/>
      <c r="E6639" s="1297" t="s">
        <v>1039</v>
      </c>
      <c r="H6639" s="1399">
        <v>81019.87999999999</v>
      </c>
      <c r="J6639" s="1399">
        <v>81019.87999999999</v>
      </c>
    </row>
    <row r="6640" spans="2:12">
      <c r="B6640" s="1297"/>
      <c r="C6640" s="1297"/>
      <c r="D6640" s="1297"/>
      <c r="E6640" s="1297" t="s">
        <v>1040</v>
      </c>
      <c r="H6640" s="1399">
        <v>171956.53</v>
      </c>
      <c r="J6640" s="1399">
        <v>171956.53</v>
      </c>
    </row>
    <row r="6641" spans="2:11">
      <c r="B6641" s="1297"/>
      <c r="C6641" s="1297"/>
      <c r="D6641" s="1297"/>
      <c r="E6641" s="1297" t="s">
        <v>1041</v>
      </c>
      <c r="H6641" s="1399">
        <v>5460.16</v>
      </c>
      <c r="J6641" s="1399">
        <v>5460.16</v>
      </c>
      <c r="K6641" s="1297"/>
    </row>
    <row r="6642" spans="2:11">
      <c r="B6642" s="1297"/>
      <c r="C6642" s="1297"/>
      <c r="D6642" s="1297"/>
      <c r="E6642" s="1297" t="s">
        <v>1042</v>
      </c>
      <c r="H6642" s="1399">
        <v>28181.45</v>
      </c>
      <c r="J6642" s="1399">
        <v>28181.45</v>
      </c>
      <c r="K6642" s="1297"/>
    </row>
    <row r="6643" spans="2:11">
      <c r="B6643" s="1297"/>
      <c r="C6643" s="1297"/>
      <c r="D6643" s="1297"/>
      <c r="E6643" s="1297" t="s">
        <v>953</v>
      </c>
      <c r="H6643" s="1399">
        <v>18713.150000000001</v>
      </c>
      <c r="J6643" s="1399">
        <v>18713.150000000001</v>
      </c>
      <c r="K6643" s="1297"/>
    </row>
    <row r="6644" spans="2:11">
      <c r="B6644" s="1297"/>
      <c r="C6644" s="1297"/>
      <c r="D6644" s="1297"/>
      <c r="E6644" s="1297" t="s">
        <v>1043</v>
      </c>
      <c r="H6644" s="1399">
        <v>2317</v>
      </c>
      <c r="J6644" s="1399">
        <v>2317</v>
      </c>
      <c r="K6644" s="1297"/>
    </row>
    <row r="6645" spans="2:11">
      <c r="B6645" s="1297"/>
      <c r="C6645" s="1297"/>
      <c r="D6645" s="1297"/>
      <c r="E6645" s="1297" t="s">
        <v>1203</v>
      </c>
      <c r="H6645" s="1399">
        <v>2900</v>
      </c>
      <c r="J6645" s="1399">
        <v>2900</v>
      </c>
      <c r="K6645" s="1297"/>
    </row>
    <row r="6646" spans="2:11">
      <c r="B6646" s="1297"/>
      <c r="C6646" s="1297"/>
      <c r="D6646" s="1297"/>
      <c r="E6646" s="1297" t="s">
        <v>1045</v>
      </c>
      <c r="H6646" s="1399">
        <v>131654.66</v>
      </c>
      <c r="J6646" s="1399">
        <v>131654.66</v>
      </c>
      <c r="K6646" s="1297"/>
    </row>
    <row r="6647" spans="2:11">
      <c r="B6647" s="1297"/>
      <c r="C6647" s="1297"/>
      <c r="D6647" s="1297"/>
      <c r="E6647" s="1297" t="s">
        <v>1046</v>
      </c>
      <c r="I6647" s="1399">
        <v>8378341</v>
      </c>
      <c r="J6647" s="1399">
        <v>8378341</v>
      </c>
      <c r="K6647" s="1297"/>
    </row>
    <row r="6648" spans="2:11">
      <c r="B6648" s="1297"/>
      <c r="C6648" s="1297"/>
      <c r="D6648" s="1297"/>
      <c r="E6648" s="1297" t="s">
        <v>1047</v>
      </c>
      <c r="I6648" s="1399">
        <v>170610</v>
      </c>
      <c r="J6648" s="1399">
        <v>170610</v>
      </c>
      <c r="K6648" s="1297"/>
    </row>
    <row r="6649" spans="2:11">
      <c r="B6649" s="1297"/>
      <c r="C6649" s="1297"/>
      <c r="D6649" s="1297"/>
      <c r="E6649" s="1297" t="s">
        <v>1048</v>
      </c>
      <c r="I6649" s="1399">
        <v>-775645</v>
      </c>
      <c r="J6649" s="1399">
        <v>-775645</v>
      </c>
      <c r="K6649" s="1297"/>
    </row>
    <row r="6650" spans="2:11">
      <c r="B6650" s="1297"/>
      <c r="C6650" s="1297"/>
      <c r="D6650" s="1297"/>
      <c r="E6650" s="1297" t="s">
        <v>932</v>
      </c>
      <c r="I6650" s="1399">
        <v>1159320</v>
      </c>
      <c r="J6650" s="1399">
        <v>1159320</v>
      </c>
      <c r="K6650" s="1297"/>
    </row>
    <row r="6651" spans="2:11">
      <c r="B6651" s="1297"/>
      <c r="C6651" s="1297"/>
      <c r="D6651" s="1297"/>
      <c r="E6651" s="1404" t="s">
        <v>955</v>
      </c>
      <c r="F6651" s="1405"/>
      <c r="G6651" s="1405"/>
      <c r="H6651" s="1405"/>
      <c r="I6651" s="1405">
        <v>452429.07</v>
      </c>
      <c r="J6651" s="1405">
        <v>452429.07</v>
      </c>
      <c r="K6651" s="1297"/>
    </row>
    <row r="6652" spans="2:11">
      <c r="B6652" s="1297"/>
      <c r="C6652" s="1297"/>
      <c r="D6652" s="1297"/>
      <c r="E6652" s="1297" t="s">
        <v>934</v>
      </c>
      <c r="I6652" s="1399">
        <v>27560</v>
      </c>
      <c r="J6652" s="1399">
        <v>27560</v>
      </c>
      <c r="K6652" s="1297"/>
    </row>
    <row r="6653" spans="2:11">
      <c r="B6653" s="1297"/>
      <c r="C6653" s="1297"/>
      <c r="D6653" s="1297"/>
      <c r="E6653" s="1297" t="s">
        <v>935</v>
      </c>
      <c r="I6653" s="1399">
        <v>125571.38</v>
      </c>
      <c r="J6653" s="1399">
        <v>125571.38</v>
      </c>
      <c r="K6653" s="1297"/>
    </row>
    <row r="6654" spans="2:11">
      <c r="B6654" s="1297"/>
      <c r="C6654" s="1297"/>
      <c r="D6654" s="1297"/>
      <c r="E6654" s="1297" t="s">
        <v>936</v>
      </c>
      <c r="I6654" s="1399">
        <v>21359.18</v>
      </c>
      <c r="J6654" s="1399">
        <v>21359.18</v>
      </c>
      <c r="K6654" s="1297"/>
    </row>
    <row r="6655" spans="2:11">
      <c r="B6655" s="1297"/>
      <c r="C6655" s="1297"/>
      <c r="D6655" s="1297"/>
      <c r="E6655" s="1297" t="s">
        <v>937</v>
      </c>
      <c r="I6655" s="1399">
        <v>6499.47</v>
      </c>
      <c r="J6655" s="1399">
        <v>6499.47</v>
      </c>
      <c r="K6655" s="1297"/>
    </row>
    <row r="6656" spans="2:11">
      <c r="B6656" s="1297"/>
      <c r="C6656" s="1297"/>
      <c r="D6656" s="1297"/>
      <c r="E6656" s="1297" t="s">
        <v>938</v>
      </c>
      <c r="I6656" s="1399">
        <v>8048</v>
      </c>
      <c r="J6656" s="1399">
        <v>8048</v>
      </c>
      <c r="K6656" s="1297"/>
    </row>
    <row r="6657" spans="2:12">
      <c r="B6657" s="1297"/>
      <c r="C6657" s="1297"/>
      <c r="D6657" s="1297"/>
      <c r="E6657" s="1297" t="s">
        <v>939</v>
      </c>
      <c r="I6657" s="1399">
        <v>56226.84</v>
      </c>
      <c r="J6657" s="1399">
        <v>56226.84</v>
      </c>
    </row>
    <row r="6658" spans="2:12">
      <c r="B6658" s="1297"/>
      <c r="C6658" s="1297"/>
      <c r="D6658" s="1297"/>
      <c r="E6658" s="1297" t="s">
        <v>1131</v>
      </c>
      <c r="F6658" s="1399">
        <v>56236.800000000003</v>
      </c>
      <c r="J6658" s="1399">
        <v>56236.800000000003</v>
      </c>
    </row>
    <row r="6659" spans="2:12">
      <c r="B6659" s="1297"/>
      <c r="C6659" s="1297"/>
      <c r="D6659" s="1297"/>
      <c r="E6659" s="1297" t="s">
        <v>940</v>
      </c>
      <c r="F6659" s="1399">
        <v>374946.51</v>
      </c>
      <c r="J6659" s="1399">
        <v>374946.51</v>
      </c>
    </row>
    <row r="6660" spans="2:12">
      <c r="B6660" s="1297"/>
      <c r="C6660" s="1297"/>
      <c r="D6660" s="1297"/>
      <c r="E6660" s="1297" t="s">
        <v>941</v>
      </c>
      <c r="F6660" s="1399">
        <v>131615.56</v>
      </c>
      <c r="J6660" s="1399">
        <v>131615.56</v>
      </c>
    </row>
    <row r="6661" spans="2:12">
      <c r="B6661" s="1297"/>
      <c r="C6661" s="1297"/>
      <c r="D6661" s="1297"/>
      <c r="E6661" s="1297" t="s">
        <v>943</v>
      </c>
      <c r="F6661" s="1399">
        <v>9866.42</v>
      </c>
      <c r="J6661" s="1399">
        <v>9866.42</v>
      </c>
    </row>
    <row r="6662" spans="2:12">
      <c r="B6662" s="1297"/>
      <c r="C6662" s="1297"/>
      <c r="D6662" s="1297"/>
      <c r="E6662" s="1297" t="s">
        <v>944</v>
      </c>
      <c r="F6662" s="1399">
        <v>726818.03000000014</v>
      </c>
      <c r="J6662" s="1399">
        <v>726818.03000000014</v>
      </c>
    </row>
    <row r="6663" spans="2:12">
      <c r="B6663" s="1297"/>
      <c r="C6663" s="1297"/>
      <c r="D6663" s="1297"/>
      <c r="E6663" s="1297" t="s">
        <v>945</v>
      </c>
      <c r="F6663" s="1399">
        <v>1523352.26</v>
      </c>
      <c r="J6663" s="1399">
        <v>1523352.26</v>
      </c>
    </row>
    <row r="6664" spans="2:12">
      <c r="B6664" s="1297"/>
      <c r="C6664" s="1297"/>
      <c r="D6664" s="1297"/>
      <c r="E6664" s="1297" t="s">
        <v>947</v>
      </c>
      <c r="F6664" s="1399">
        <v>35248.85</v>
      </c>
      <c r="J6664" s="1399">
        <v>35248.85</v>
      </c>
    </row>
    <row r="6665" spans="2:12">
      <c r="B6665" s="1297"/>
      <c r="C6665" s="1297"/>
      <c r="D6665" s="1297"/>
      <c r="E6665" s="1404" t="s">
        <v>948</v>
      </c>
      <c r="F6665" s="1405"/>
      <c r="G6665" s="1405"/>
      <c r="H6665" s="1405">
        <v>32046.92</v>
      </c>
      <c r="I6665" s="1405"/>
      <c r="J6665" s="1405">
        <v>32046.92</v>
      </c>
    </row>
    <row r="6666" spans="2:12">
      <c r="B6666" s="1297"/>
      <c r="C6666" s="1297"/>
      <c r="D6666" s="1297"/>
      <c r="E6666" s="1297" t="s">
        <v>956</v>
      </c>
      <c r="H6666" s="1399">
        <v>2758.88</v>
      </c>
      <c r="J6666" s="1399">
        <v>2758.88</v>
      </c>
    </row>
    <row r="6667" spans="2:12">
      <c r="B6667" s="1297"/>
      <c r="C6667" s="1297"/>
      <c r="D6667" s="1400" t="s">
        <v>1526</v>
      </c>
      <c r="E6667" s="1400"/>
      <c r="F6667" s="1401">
        <f>SUM(F6632:F6666)</f>
        <v>2858084.43</v>
      </c>
      <c r="G6667" s="1401">
        <f>SUM(G6632:G6666)</f>
        <v>3536313.7</v>
      </c>
      <c r="H6667" s="1401">
        <f>SUM(H6632:H6666)-H6665</f>
        <v>2694963.98</v>
      </c>
      <c r="I6667" s="1401">
        <f>SUM(I6632:I6666)-I6651</f>
        <v>9177890.870000001</v>
      </c>
      <c r="J6667" s="1401">
        <f>SUM(J6632:J6666)</f>
        <v>18751728.970000006</v>
      </c>
      <c r="K6667" s="1401">
        <f>SUM(F6667:I6667)</f>
        <v>18267252.980000004</v>
      </c>
      <c r="L6667" s="1408">
        <f>K6667/C6632</f>
        <v>10565.21282822441</v>
      </c>
    </row>
    <row r="6668" spans="2:12">
      <c r="B6668" s="1297" t="s">
        <v>1527</v>
      </c>
      <c r="C6668" s="1297">
        <v>3070</v>
      </c>
      <c r="D6668" s="1297" t="s">
        <v>1528</v>
      </c>
      <c r="E6668" s="1297" t="s">
        <v>952</v>
      </c>
      <c r="G6668" s="1399">
        <v>111642.55</v>
      </c>
      <c r="J6668" s="1399">
        <v>111642.55</v>
      </c>
    </row>
    <row r="6669" spans="2:12">
      <c r="B6669" s="1297"/>
      <c r="C6669" s="1297"/>
      <c r="D6669" s="1297"/>
      <c r="E6669" s="1297" t="s">
        <v>907</v>
      </c>
      <c r="G6669" s="1399">
        <v>2225328.33</v>
      </c>
      <c r="J6669" s="1399">
        <v>2225328.33</v>
      </c>
    </row>
    <row r="6670" spans="2:12">
      <c r="B6670" s="1297"/>
      <c r="C6670" s="1297"/>
      <c r="D6670" s="1297"/>
      <c r="E6670" s="1297" t="s">
        <v>1145</v>
      </c>
      <c r="G6670" s="1399">
        <v>11211312.810000001</v>
      </c>
      <c r="J6670" s="1399">
        <v>11211312.810000001</v>
      </c>
    </row>
    <row r="6671" spans="2:12">
      <c r="B6671" s="1297"/>
      <c r="C6671" s="1297"/>
      <c r="D6671" s="1297"/>
      <c r="E6671" s="1297" t="s">
        <v>908</v>
      </c>
      <c r="G6671" s="1399">
        <v>15867.94</v>
      </c>
      <c r="J6671" s="1399">
        <v>15867.94</v>
      </c>
    </row>
    <row r="6672" spans="2:12">
      <c r="B6672" s="1297"/>
      <c r="C6672" s="1297"/>
      <c r="D6672" s="1297"/>
      <c r="E6672" s="1297" t="s">
        <v>909</v>
      </c>
      <c r="H6672" s="1399">
        <v>478.97</v>
      </c>
      <c r="J6672" s="1399">
        <v>478.97</v>
      </c>
    </row>
    <row r="6673" spans="2:11">
      <c r="B6673" s="1297"/>
      <c r="C6673" s="1297"/>
      <c r="D6673" s="1297"/>
      <c r="E6673" s="1297" t="s">
        <v>910</v>
      </c>
      <c r="H6673" s="1399">
        <v>213750.62</v>
      </c>
      <c r="J6673" s="1399">
        <v>213750.62</v>
      </c>
      <c r="K6673" s="1297"/>
    </row>
    <row r="6674" spans="2:11">
      <c r="B6674" s="1297"/>
      <c r="C6674" s="1297"/>
      <c r="D6674" s="1297"/>
      <c r="E6674" s="1297" t="s">
        <v>1034</v>
      </c>
      <c r="H6674" s="1399">
        <v>9953.86</v>
      </c>
      <c r="J6674" s="1399">
        <v>9953.86</v>
      </c>
      <c r="K6674" s="1297"/>
    </row>
    <row r="6675" spans="2:11">
      <c r="B6675" s="1297"/>
      <c r="C6675" s="1297"/>
      <c r="D6675" s="1297"/>
      <c r="E6675" s="1297" t="s">
        <v>1035</v>
      </c>
      <c r="H6675" s="1399">
        <v>133263.76999999999</v>
      </c>
      <c r="J6675" s="1399">
        <v>133263.76999999999</v>
      </c>
      <c r="K6675" s="1297"/>
    </row>
    <row r="6676" spans="2:11">
      <c r="B6676" s="1297"/>
      <c r="C6676" s="1297"/>
      <c r="D6676" s="1297"/>
      <c r="E6676" s="1297" t="s">
        <v>1036</v>
      </c>
      <c r="H6676" s="1399">
        <v>191595.94</v>
      </c>
      <c r="J6676" s="1399">
        <v>191595.94</v>
      </c>
      <c r="K6676" s="1297"/>
    </row>
    <row r="6677" spans="2:11">
      <c r="B6677" s="1297"/>
      <c r="C6677" s="1297"/>
      <c r="D6677" s="1297"/>
      <c r="E6677" s="1297" t="s">
        <v>1039</v>
      </c>
      <c r="H6677" s="1399">
        <v>124688.79000000001</v>
      </c>
      <c r="J6677" s="1399">
        <v>124688.79000000001</v>
      </c>
      <c r="K6677" s="1297"/>
    </row>
    <row r="6678" spans="2:11">
      <c r="B6678" s="1297"/>
      <c r="C6678" s="1297"/>
      <c r="D6678" s="1297"/>
      <c r="E6678" s="1297" t="s">
        <v>1040</v>
      </c>
      <c r="H6678" s="1399">
        <v>102150.15</v>
      </c>
      <c r="J6678" s="1399">
        <v>102150.15</v>
      </c>
      <c r="K6678" s="1297"/>
    </row>
    <row r="6679" spans="2:11">
      <c r="B6679" s="1297"/>
      <c r="C6679" s="1297"/>
      <c r="D6679" s="1297"/>
      <c r="E6679" s="1297" t="s">
        <v>1127</v>
      </c>
      <c r="H6679" s="1399">
        <v>15747.6</v>
      </c>
      <c r="J6679" s="1399">
        <v>15747.6</v>
      </c>
      <c r="K6679" s="1297"/>
    </row>
    <row r="6680" spans="2:11">
      <c r="B6680" s="1297"/>
      <c r="C6680" s="1297"/>
      <c r="D6680" s="1297"/>
      <c r="E6680" s="1297" t="s">
        <v>1041</v>
      </c>
      <c r="H6680" s="1399">
        <v>41437.31</v>
      </c>
      <c r="J6680" s="1399">
        <v>41437.31</v>
      </c>
      <c r="K6680" s="1297"/>
    </row>
    <row r="6681" spans="2:11">
      <c r="B6681" s="1297"/>
      <c r="C6681" s="1297"/>
      <c r="D6681" s="1297"/>
      <c r="E6681" s="1297" t="s">
        <v>1042</v>
      </c>
      <c r="H6681" s="1399">
        <v>49818.75</v>
      </c>
      <c r="J6681" s="1399">
        <v>49818.75</v>
      </c>
      <c r="K6681" s="1297"/>
    </row>
    <row r="6682" spans="2:11">
      <c r="B6682" s="1297"/>
      <c r="C6682" s="1297"/>
      <c r="D6682" s="1297"/>
      <c r="E6682" s="1297" t="s">
        <v>954</v>
      </c>
      <c r="H6682" s="1399">
        <v>173996.99</v>
      </c>
      <c r="J6682" s="1399">
        <v>173996.99</v>
      </c>
      <c r="K6682" s="1297"/>
    </row>
    <row r="6683" spans="2:11">
      <c r="B6683" s="1297"/>
      <c r="C6683" s="1297"/>
      <c r="D6683" s="1297"/>
      <c r="E6683" s="1297" t="s">
        <v>986</v>
      </c>
      <c r="H6683" s="1399">
        <v>33726.14</v>
      </c>
      <c r="J6683" s="1399">
        <v>33726.14</v>
      </c>
      <c r="K6683" s="1297"/>
    </row>
    <row r="6684" spans="2:11">
      <c r="B6684" s="1297"/>
      <c r="C6684" s="1297"/>
      <c r="D6684" s="1297"/>
      <c r="E6684" s="1297" t="s">
        <v>991</v>
      </c>
      <c r="H6684" s="1399">
        <v>9043.1</v>
      </c>
      <c r="J6684" s="1399">
        <v>9043.1</v>
      </c>
      <c r="K6684" s="1297"/>
    </row>
    <row r="6685" spans="2:11">
      <c r="B6685" s="1297"/>
      <c r="C6685" s="1297"/>
      <c r="D6685" s="1297"/>
      <c r="E6685" s="1297" t="s">
        <v>1044</v>
      </c>
      <c r="F6685" s="1399">
        <v>45048.45</v>
      </c>
      <c r="J6685" s="1399">
        <v>45048.45</v>
      </c>
      <c r="K6685" s="1297"/>
    </row>
    <row r="6686" spans="2:11">
      <c r="B6686" s="1297"/>
      <c r="C6686" s="1297"/>
      <c r="D6686" s="1297"/>
      <c r="E6686" s="1297" t="s">
        <v>1045</v>
      </c>
      <c r="H6686" s="1399">
        <v>426253.22</v>
      </c>
      <c r="J6686" s="1399">
        <v>426253.22</v>
      </c>
      <c r="K6686" s="1297"/>
    </row>
    <row r="6687" spans="2:11">
      <c r="B6687" s="1297"/>
      <c r="C6687" s="1297"/>
      <c r="D6687" s="1297"/>
      <c r="E6687" s="1297" t="s">
        <v>1046</v>
      </c>
      <c r="I6687" s="1399">
        <v>14839113</v>
      </c>
      <c r="J6687" s="1399">
        <v>14839113</v>
      </c>
      <c r="K6687" s="1297"/>
    </row>
    <row r="6688" spans="2:11">
      <c r="B6688" s="1297"/>
      <c r="C6688" s="1297"/>
      <c r="D6688" s="1297"/>
      <c r="E6688" s="1297" t="s">
        <v>1128</v>
      </c>
      <c r="I6688" s="1399">
        <v>1206706</v>
      </c>
      <c r="J6688" s="1399">
        <v>1206706</v>
      </c>
      <c r="K6688" s="1297"/>
    </row>
    <row r="6689" spans="2:11">
      <c r="B6689" s="1297"/>
      <c r="C6689" s="1297"/>
      <c r="D6689" s="1297"/>
      <c r="E6689" s="1297" t="s">
        <v>1129</v>
      </c>
      <c r="I6689" s="1399">
        <v>-1844355</v>
      </c>
      <c r="J6689" s="1399">
        <v>-1844355</v>
      </c>
      <c r="K6689" s="1297"/>
    </row>
    <row r="6690" spans="2:11">
      <c r="B6690" s="1297"/>
      <c r="C6690" s="1297"/>
      <c r="D6690" s="1297"/>
      <c r="E6690" s="1297" t="s">
        <v>1047</v>
      </c>
      <c r="I6690" s="1399">
        <v>98284</v>
      </c>
      <c r="J6690" s="1399">
        <v>98284</v>
      </c>
      <c r="K6690" s="1297"/>
    </row>
    <row r="6691" spans="2:11">
      <c r="B6691" s="1297"/>
      <c r="C6691" s="1297"/>
      <c r="D6691" s="1297"/>
      <c r="E6691" s="1297" t="s">
        <v>1048</v>
      </c>
      <c r="I6691" s="1399">
        <v>-2978871</v>
      </c>
      <c r="J6691" s="1399">
        <v>-2978871</v>
      </c>
      <c r="K6691" s="1297"/>
    </row>
    <row r="6692" spans="2:11">
      <c r="B6692" s="1297"/>
      <c r="C6692" s="1297"/>
      <c r="D6692" s="1297"/>
      <c r="E6692" s="1404" t="s">
        <v>955</v>
      </c>
      <c r="F6692" s="1405"/>
      <c r="G6692" s="1405"/>
      <c r="H6692" s="1405"/>
      <c r="I6692" s="1405">
        <v>979587.37</v>
      </c>
      <c r="J6692" s="1405">
        <v>979587.37</v>
      </c>
      <c r="K6692" s="1297"/>
    </row>
    <row r="6693" spans="2:11">
      <c r="B6693" s="1297"/>
      <c r="C6693" s="1297"/>
      <c r="D6693" s="1297"/>
      <c r="E6693" s="1297" t="s">
        <v>934</v>
      </c>
      <c r="I6693" s="1399">
        <v>45606</v>
      </c>
      <c r="J6693" s="1399">
        <v>45606</v>
      </c>
      <c r="K6693" s="1297"/>
    </row>
    <row r="6694" spans="2:11">
      <c r="B6694" s="1297"/>
      <c r="C6694" s="1297"/>
      <c r="D6694" s="1297"/>
      <c r="E6694" s="1297" t="s">
        <v>935</v>
      </c>
      <c r="I6694" s="1399">
        <v>103180.07</v>
      </c>
      <c r="J6694" s="1399">
        <v>103180.07</v>
      </c>
      <c r="K6694" s="1297"/>
    </row>
    <row r="6695" spans="2:11">
      <c r="B6695" s="1297"/>
      <c r="C6695" s="1297"/>
      <c r="D6695" s="1297"/>
      <c r="E6695" s="1297" t="s">
        <v>936</v>
      </c>
      <c r="I6695" s="1399">
        <v>40967.61</v>
      </c>
      <c r="J6695" s="1399">
        <v>40967.61</v>
      </c>
      <c r="K6695" s="1297"/>
    </row>
    <row r="6696" spans="2:11">
      <c r="B6696" s="1297"/>
      <c r="C6696" s="1297"/>
      <c r="D6696" s="1297"/>
      <c r="E6696" s="1297" t="s">
        <v>937</v>
      </c>
      <c r="I6696" s="1399">
        <v>25193.72</v>
      </c>
      <c r="J6696" s="1399">
        <v>25193.72</v>
      </c>
      <c r="K6696" s="1297"/>
    </row>
    <row r="6697" spans="2:11">
      <c r="B6697" s="1297"/>
      <c r="C6697" s="1297"/>
      <c r="D6697" s="1297"/>
      <c r="E6697" s="1297" t="s">
        <v>938</v>
      </c>
      <c r="I6697" s="1399">
        <v>8984</v>
      </c>
      <c r="J6697" s="1399">
        <v>8984</v>
      </c>
      <c r="K6697" s="1297"/>
    </row>
    <row r="6698" spans="2:11">
      <c r="B6698" s="1297"/>
      <c r="C6698" s="1297"/>
      <c r="D6698" s="1297"/>
      <c r="E6698" s="1297" t="s">
        <v>939</v>
      </c>
      <c r="I6698" s="1399">
        <v>0</v>
      </c>
      <c r="J6698" s="1399">
        <v>0</v>
      </c>
      <c r="K6698" s="1297"/>
    </row>
    <row r="6699" spans="2:11">
      <c r="B6699" s="1297"/>
      <c r="C6699" s="1297"/>
      <c r="D6699" s="1297"/>
      <c r="E6699" s="1297" t="s">
        <v>1131</v>
      </c>
      <c r="F6699" s="1399">
        <v>49299.18</v>
      </c>
      <c r="J6699" s="1399">
        <v>49299.18</v>
      </c>
      <c r="K6699" s="1297"/>
    </row>
    <row r="6700" spans="2:11">
      <c r="B6700" s="1297"/>
      <c r="C6700" s="1297"/>
      <c r="D6700" s="1297"/>
      <c r="E6700" s="1297" t="s">
        <v>940</v>
      </c>
      <c r="F6700" s="1399">
        <v>898739.79999999993</v>
      </c>
      <c r="J6700" s="1399">
        <v>898739.79999999993</v>
      </c>
      <c r="K6700" s="1297"/>
    </row>
    <row r="6701" spans="2:11">
      <c r="B6701" s="1297"/>
      <c r="C6701" s="1297"/>
      <c r="D6701" s="1297"/>
      <c r="E6701" s="1297" t="s">
        <v>941</v>
      </c>
      <c r="F6701" s="1399">
        <v>398383.86</v>
      </c>
      <c r="J6701" s="1399">
        <v>398383.86</v>
      </c>
      <c r="K6701" s="1297"/>
    </row>
    <row r="6702" spans="2:11">
      <c r="B6702" s="1297"/>
      <c r="C6702" s="1297"/>
      <c r="D6702" s="1297"/>
      <c r="E6702" s="1297" t="s">
        <v>943</v>
      </c>
      <c r="F6702" s="1399">
        <v>3677.06</v>
      </c>
      <c r="J6702" s="1399">
        <v>3677.06</v>
      </c>
      <c r="K6702" s="1297"/>
    </row>
    <row r="6703" spans="2:11">
      <c r="B6703" s="1297"/>
      <c r="C6703" s="1297"/>
      <c r="D6703" s="1297"/>
      <c r="E6703" s="1297" t="s">
        <v>944</v>
      </c>
      <c r="F6703" s="1399">
        <v>2880629.4000000008</v>
      </c>
      <c r="J6703" s="1399">
        <v>2880629.4000000008</v>
      </c>
      <c r="K6703" s="1297"/>
    </row>
    <row r="6704" spans="2:11">
      <c r="B6704" s="1297"/>
      <c r="C6704" s="1297"/>
      <c r="D6704" s="1297"/>
      <c r="E6704" s="1297" t="s">
        <v>945</v>
      </c>
      <c r="F6704" s="1399">
        <v>2118569.23</v>
      </c>
      <c r="J6704" s="1399">
        <v>2118569.23</v>
      </c>
      <c r="K6704" s="1297"/>
    </row>
    <row r="6705" spans="2:12">
      <c r="B6705" s="1297"/>
      <c r="C6705" s="1297"/>
      <c r="D6705" s="1297"/>
      <c r="E6705" s="1297" t="s">
        <v>947</v>
      </c>
      <c r="F6705" s="1399">
        <v>102496.47</v>
      </c>
      <c r="J6705" s="1399">
        <v>102496.47</v>
      </c>
    </row>
    <row r="6706" spans="2:12">
      <c r="B6706" s="1297"/>
      <c r="C6706" s="1297"/>
      <c r="D6706" s="1297"/>
      <c r="E6706" s="1404" t="s">
        <v>1116</v>
      </c>
      <c r="F6706" s="1405"/>
      <c r="G6706" s="1405"/>
      <c r="H6706" s="1405">
        <v>2000000</v>
      </c>
      <c r="I6706" s="1405"/>
      <c r="J6706" s="1405">
        <v>2000000</v>
      </c>
    </row>
    <row r="6707" spans="2:12">
      <c r="B6707" s="1297"/>
      <c r="C6707" s="1297"/>
      <c r="D6707" s="1297"/>
      <c r="E6707" s="1404" t="s">
        <v>948</v>
      </c>
      <c r="F6707" s="1405"/>
      <c r="G6707" s="1405"/>
      <c r="H6707" s="1405">
        <v>5003330.47</v>
      </c>
      <c r="I6707" s="1405"/>
      <c r="J6707" s="1405">
        <v>5003330.47</v>
      </c>
    </row>
    <row r="6708" spans="2:12">
      <c r="B6708" s="1297"/>
      <c r="C6708" s="1297"/>
      <c r="D6708" s="1400" t="s">
        <v>1529</v>
      </c>
      <c r="E6708" s="1400"/>
      <c r="F6708" s="1401">
        <f>SUM(F6668:F6707)</f>
        <v>6496843.4500000002</v>
      </c>
      <c r="G6708" s="1401">
        <f>SUM(G6668:G6707)</f>
        <v>13564151.630000001</v>
      </c>
      <c r="H6708" s="1401">
        <f>SUM(H6668:H6707)-(H6706+H6707)</f>
        <v>1525905.21</v>
      </c>
      <c r="I6708" s="1401">
        <f>SUM(I6668:I6707)-I6692</f>
        <v>11544808.4</v>
      </c>
      <c r="J6708" s="1401">
        <f>SUM(J6668:J6707)</f>
        <v>41114626.529999994</v>
      </c>
      <c r="K6708" s="1401">
        <f>SUM(F6708:I6708)</f>
        <v>33131708.690000005</v>
      </c>
      <c r="L6708" s="1408">
        <f>K6708/C6668</f>
        <v>10792.08752117264</v>
      </c>
    </row>
    <row r="6709" spans="2:12">
      <c r="B6709" s="1297" t="s">
        <v>1530</v>
      </c>
      <c r="C6709" s="1297">
        <v>1404</v>
      </c>
      <c r="D6709" s="1297" t="s">
        <v>1531</v>
      </c>
      <c r="E6709" s="1297" t="s">
        <v>907</v>
      </c>
      <c r="G6709" s="1399">
        <v>709001.57</v>
      </c>
      <c r="J6709" s="1399">
        <v>709001.57</v>
      </c>
    </row>
    <row r="6710" spans="2:12">
      <c r="B6710" s="1297"/>
      <c r="C6710" s="1297"/>
      <c r="D6710" s="1297"/>
      <c r="E6710" s="1297" t="s">
        <v>1145</v>
      </c>
      <c r="G6710" s="1399">
        <v>1096371.77</v>
      </c>
      <c r="J6710" s="1399">
        <v>1096371.77</v>
      </c>
    </row>
    <row r="6711" spans="2:12">
      <c r="B6711" s="1297"/>
      <c r="C6711" s="1297"/>
      <c r="D6711" s="1297"/>
      <c r="E6711" s="1297" t="s">
        <v>1037</v>
      </c>
      <c r="H6711" s="1399">
        <v>120270</v>
      </c>
      <c r="J6711" s="1399">
        <v>120270</v>
      </c>
    </row>
    <row r="6712" spans="2:12">
      <c r="B6712" s="1297"/>
      <c r="C6712" s="1297"/>
      <c r="D6712" s="1297"/>
      <c r="E6712" s="1297" t="s">
        <v>1039</v>
      </c>
      <c r="H6712" s="1399">
        <v>39733.57</v>
      </c>
      <c r="J6712" s="1399">
        <v>39733.57</v>
      </c>
    </row>
    <row r="6713" spans="2:12">
      <c r="B6713" s="1297"/>
      <c r="C6713" s="1297"/>
      <c r="D6713" s="1297"/>
      <c r="E6713" s="1297" t="s">
        <v>1040</v>
      </c>
      <c r="H6713" s="1399">
        <v>196097.8</v>
      </c>
      <c r="J6713" s="1399">
        <v>196097.8</v>
      </c>
    </row>
    <row r="6714" spans="2:12">
      <c r="B6714" s="1297"/>
      <c r="C6714" s="1297"/>
      <c r="D6714" s="1297"/>
      <c r="E6714" s="1297" t="s">
        <v>1041</v>
      </c>
      <c r="H6714" s="1399">
        <v>82724.72</v>
      </c>
      <c r="J6714" s="1399">
        <v>82724.72</v>
      </c>
    </row>
    <row r="6715" spans="2:12">
      <c r="B6715" s="1297"/>
      <c r="C6715" s="1297"/>
      <c r="D6715" s="1297"/>
      <c r="E6715" s="1297" t="s">
        <v>1042</v>
      </c>
      <c r="H6715" s="1399">
        <v>18234.849999999999</v>
      </c>
      <c r="J6715" s="1399">
        <v>18234.849999999999</v>
      </c>
    </row>
    <row r="6716" spans="2:12">
      <c r="B6716" s="1297"/>
      <c r="C6716" s="1297"/>
      <c r="D6716" s="1297"/>
      <c r="E6716" s="1297" t="s">
        <v>954</v>
      </c>
      <c r="H6716" s="1399">
        <v>61857.42</v>
      </c>
      <c r="J6716" s="1399">
        <v>61857.42</v>
      </c>
    </row>
    <row r="6717" spans="2:12">
      <c r="B6717" s="1297"/>
      <c r="C6717" s="1297"/>
      <c r="D6717" s="1297"/>
      <c r="E6717" s="1297" t="s">
        <v>1045</v>
      </c>
      <c r="H6717" s="1399">
        <v>1110</v>
      </c>
      <c r="J6717" s="1399">
        <v>1110</v>
      </c>
    </row>
    <row r="6718" spans="2:12">
      <c r="B6718" s="1297"/>
      <c r="C6718" s="1297"/>
      <c r="D6718" s="1297"/>
      <c r="E6718" s="1297" t="s">
        <v>1046</v>
      </c>
      <c r="I6718" s="1399">
        <v>7023736</v>
      </c>
      <c r="J6718" s="1399">
        <v>7023736</v>
      </c>
    </row>
    <row r="6719" spans="2:12">
      <c r="B6719" s="1297"/>
      <c r="C6719" s="1297"/>
      <c r="D6719" s="1297"/>
      <c r="E6719" s="1297" t="s">
        <v>1047</v>
      </c>
      <c r="I6719" s="1399">
        <v>38368</v>
      </c>
      <c r="J6719" s="1399">
        <v>38368</v>
      </c>
    </row>
    <row r="6720" spans="2:12">
      <c r="B6720" s="1297"/>
      <c r="C6720" s="1297"/>
      <c r="D6720" s="1297"/>
      <c r="E6720" s="1297" t="s">
        <v>1048</v>
      </c>
      <c r="I6720" s="1399">
        <v>-422642</v>
      </c>
      <c r="J6720" s="1399">
        <v>-422642</v>
      </c>
    </row>
    <row r="6721" spans="2:12">
      <c r="B6721" s="1297"/>
      <c r="C6721" s="1297"/>
      <c r="D6721" s="1297"/>
      <c r="E6721" s="1297" t="s">
        <v>932</v>
      </c>
      <c r="I6721" s="1399">
        <v>1173685</v>
      </c>
      <c r="J6721" s="1399">
        <v>1173685</v>
      </c>
    </row>
    <row r="6722" spans="2:12">
      <c r="B6722" s="1297"/>
      <c r="C6722" s="1297"/>
      <c r="D6722" s="1297"/>
      <c r="E6722" s="1404" t="s">
        <v>955</v>
      </c>
      <c r="F6722" s="1405"/>
      <c r="G6722" s="1405"/>
      <c r="H6722" s="1405"/>
      <c r="I6722" s="1405">
        <v>431923.06</v>
      </c>
      <c r="J6722" s="1405">
        <v>431923.06</v>
      </c>
    </row>
    <row r="6723" spans="2:12">
      <c r="B6723" s="1297"/>
      <c r="C6723" s="1297"/>
      <c r="D6723" s="1297"/>
      <c r="E6723" s="1297" t="s">
        <v>934</v>
      </c>
      <c r="I6723" s="1399">
        <v>20118</v>
      </c>
      <c r="J6723" s="1399">
        <v>20118</v>
      </c>
    </row>
    <row r="6724" spans="2:12">
      <c r="B6724" s="1297"/>
      <c r="C6724" s="1297"/>
      <c r="D6724" s="1297"/>
      <c r="E6724" s="1297" t="s">
        <v>935</v>
      </c>
      <c r="I6724" s="1399">
        <v>57253.17</v>
      </c>
      <c r="J6724" s="1399">
        <v>57253.17</v>
      </c>
    </row>
    <row r="6725" spans="2:12">
      <c r="B6725" s="1297"/>
      <c r="C6725" s="1297"/>
      <c r="D6725" s="1297"/>
      <c r="E6725" s="1297" t="s">
        <v>936</v>
      </c>
      <c r="I6725" s="1399">
        <v>17507.53</v>
      </c>
      <c r="J6725" s="1399">
        <v>17507.53</v>
      </c>
    </row>
    <row r="6726" spans="2:12">
      <c r="B6726" s="1297"/>
      <c r="C6726" s="1297"/>
      <c r="D6726" s="1297"/>
      <c r="E6726" s="1297" t="s">
        <v>938</v>
      </c>
      <c r="I6726" s="1399">
        <v>4492</v>
      </c>
      <c r="J6726" s="1399">
        <v>4492</v>
      </c>
    </row>
    <row r="6727" spans="2:12">
      <c r="B6727" s="1297"/>
      <c r="C6727" s="1297"/>
      <c r="D6727" s="1297"/>
      <c r="E6727" s="1297" t="s">
        <v>940</v>
      </c>
      <c r="F6727" s="1399">
        <v>227077.32</v>
      </c>
      <c r="J6727" s="1399">
        <v>227077.32</v>
      </c>
    </row>
    <row r="6728" spans="2:12">
      <c r="B6728" s="1297"/>
      <c r="C6728" s="1297"/>
      <c r="D6728" s="1297"/>
      <c r="E6728" s="1297" t="s">
        <v>941</v>
      </c>
      <c r="F6728" s="1399">
        <v>33730.1</v>
      </c>
      <c r="J6728" s="1399">
        <v>33730.1</v>
      </c>
    </row>
    <row r="6729" spans="2:12">
      <c r="B6729" s="1297"/>
      <c r="C6729" s="1297"/>
      <c r="D6729" s="1297"/>
      <c r="E6729" s="1297" t="s">
        <v>944</v>
      </c>
      <c r="F6729" s="1399">
        <v>428357</v>
      </c>
      <c r="J6729" s="1399">
        <v>428357</v>
      </c>
    </row>
    <row r="6730" spans="2:12">
      <c r="B6730" s="1297"/>
      <c r="C6730" s="1297"/>
      <c r="D6730" s="1297"/>
      <c r="E6730" s="1297" t="s">
        <v>945</v>
      </c>
      <c r="F6730" s="1399">
        <v>582944.73</v>
      </c>
      <c r="J6730" s="1399">
        <v>582944.73</v>
      </c>
    </row>
    <row r="6731" spans="2:12">
      <c r="B6731" s="1297"/>
      <c r="C6731" s="1297"/>
      <c r="D6731" s="1297"/>
      <c r="E6731" s="1404" t="s">
        <v>948</v>
      </c>
      <c r="F6731" s="1405"/>
      <c r="G6731" s="1405"/>
      <c r="H6731" s="1405">
        <v>690515</v>
      </c>
      <c r="I6731" s="1405"/>
      <c r="J6731" s="1405">
        <v>690515</v>
      </c>
    </row>
    <row r="6732" spans="2:12">
      <c r="B6732" s="1297"/>
      <c r="C6732" s="1297"/>
      <c r="D6732" s="1400" t="s">
        <v>1532</v>
      </c>
      <c r="E6732" s="1400"/>
      <c r="F6732" s="1401">
        <f>SUM(F6709:F6731)</f>
        <v>1272109.1499999999</v>
      </c>
      <c r="G6732" s="1401">
        <f>SUM(G6709:G6731)</f>
        <v>1805373.3399999999</v>
      </c>
      <c r="H6732" s="1401">
        <f>SUM(H6709:H6731)-H6731</f>
        <v>520028.35999999987</v>
      </c>
      <c r="I6732" s="1401">
        <f>SUM(I6709:I6731)-I6722</f>
        <v>7912517.7000000002</v>
      </c>
      <c r="J6732" s="1401">
        <f>SUM(J6709:J6731)</f>
        <v>12632466.609999999</v>
      </c>
      <c r="K6732" s="1401">
        <f>SUM(F6732:I6732)</f>
        <v>11510028.550000001</v>
      </c>
      <c r="L6732" s="1408">
        <f>K6732/C6709</f>
        <v>8198.0260327635333</v>
      </c>
    </row>
    <row r="6733" spans="2:12">
      <c r="B6733" s="1297" t="s">
        <v>1533</v>
      </c>
      <c r="C6733" s="1297">
        <v>7334</v>
      </c>
      <c r="D6733" s="1297" t="s">
        <v>1534</v>
      </c>
      <c r="E6733" s="1297" t="s">
        <v>906</v>
      </c>
      <c r="G6733" s="1399">
        <v>24585028.239999998</v>
      </c>
      <c r="J6733" s="1399">
        <v>24585028.239999998</v>
      </c>
    </row>
    <row r="6734" spans="2:12">
      <c r="B6734" s="1297"/>
      <c r="C6734" s="1297"/>
      <c r="D6734" s="1297"/>
      <c r="E6734" s="1297" t="s">
        <v>952</v>
      </c>
      <c r="G6734" s="1399">
        <v>247368.77</v>
      </c>
      <c r="J6734" s="1399">
        <v>247368.77</v>
      </c>
    </row>
    <row r="6735" spans="2:12">
      <c r="B6735" s="1297"/>
      <c r="C6735" s="1297"/>
      <c r="D6735" s="1297"/>
      <c r="E6735" s="1297" t="s">
        <v>907</v>
      </c>
      <c r="G6735" s="1399">
        <v>9527596.0500000007</v>
      </c>
      <c r="J6735" s="1399">
        <v>9527596.0500000007</v>
      </c>
    </row>
    <row r="6736" spans="2:12">
      <c r="B6736" s="1297"/>
      <c r="C6736" s="1297"/>
      <c r="D6736" s="1297"/>
      <c r="E6736" s="1297" t="s">
        <v>908</v>
      </c>
      <c r="G6736" s="1399">
        <v>0</v>
      </c>
      <c r="J6736" s="1399">
        <v>0</v>
      </c>
    </row>
    <row r="6737" spans="2:11">
      <c r="B6737" s="1297"/>
      <c r="C6737" s="1297"/>
      <c r="D6737" s="1297"/>
      <c r="E6737" s="1297" t="s">
        <v>1034</v>
      </c>
      <c r="H6737" s="1399">
        <v>487605.09</v>
      </c>
      <c r="J6737" s="1399">
        <v>487605.09</v>
      </c>
      <c r="K6737" s="1297"/>
    </row>
    <row r="6738" spans="2:11">
      <c r="B6738" s="1297"/>
      <c r="C6738" s="1297"/>
      <c r="D6738" s="1297"/>
      <c r="E6738" s="1297" t="s">
        <v>1035</v>
      </c>
      <c r="H6738" s="1399">
        <v>400774.34</v>
      </c>
      <c r="J6738" s="1399">
        <v>400774.34</v>
      </c>
      <c r="K6738" s="1297"/>
    </row>
    <row r="6739" spans="2:11">
      <c r="B6739" s="1297"/>
      <c r="C6739" s="1297"/>
      <c r="D6739" s="1297"/>
      <c r="E6739" s="1297" t="s">
        <v>1037</v>
      </c>
      <c r="H6739" s="1399">
        <v>0</v>
      </c>
      <c r="J6739" s="1399">
        <v>0</v>
      </c>
      <c r="K6739" s="1297"/>
    </row>
    <row r="6740" spans="2:11">
      <c r="B6740" s="1297"/>
      <c r="C6740" s="1297"/>
      <c r="D6740" s="1297"/>
      <c r="E6740" s="1297" t="s">
        <v>1038</v>
      </c>
      <c r="H6740" s="1399">
        <v>12875</v>
      </c>
      <c r="J6740" s="1399">
        <v>12875</v>
      </c>
      <c r="K6740" s="1297"/>
    </row>
    <row r="6741" spans="2:11">
      <c r="B6741" s="1297"/>
      <c r="C6741" s="1297"/>
      <c r="D6741" s="1297"/>
      <c r="E6741" s="1297" t="s">
        <v>1039</v>
      </c>
      <c r="H6741" s="1399">
        <v>65458.720000000001</v>
      </c>
      <c r="J6741" s="1399">
        <v>65458.720000000001</v>
      </c>
      <c r="K6741" s="1297"/>
    </row>
    <row r="6742" spans="2:11">
      <c r="B6742" s="1297"/>
      <c r="C6742" s="1297"/>
      <c r="D6742" s="1297"/>
      <c r="E6742" s="1297" t="s">
        <v>1040</v>
      </c>
      <c r="H6742" s="1399">
        <v>211943.8</v>
      </c>
      <c r="J6742" s="1399">
        <v>211943.8</v>
      </c>
      <c r="K6742" s="1297"/>
    </row>
    <row r="6743" spans="2:11">
      <c r="B6743" s="1297"/>
      <c r="C6743" s="1297"/>
      <c r="D6743" s="1297"/>
      <c r="E6743" s="1297" t="s">
        <v>1207</v>
      </c>
      <c r="H6743" s="1399">
        <v>0</v>
      </c>
      <c r="J6743" s="1399">
        <v>0</v>
      </c>
      <c r="K6743" s="1297"/>
    </row>
    <row r="6744" spans="2:11">
      <c r="B6744" s="1297"/>
      <c r="C6744" s="1297"/>
      <c r="D6744" s="1297"/>
      <c r="E6744" s="1297" t="s">
        <v>1041</v>
      </c>
      <c r="H6744" s="1399">
        <v>19900.53</v>
      </c>
      <c r="J6744" s="1399">
        <v>19900.53</v>
      </c>
      <c r="K6744" s="1297"/>
    </row>
    <row r="6745" spans="2:11">
      <c r="B6745" s="1297"/>
      <c r="C6745" s="1297"/>
      <c r="D6745" s="1297"/>
      <c r="E6745" s="1297" t="s">
        <v>1042</v>
      </c>
      <c r="H6745" s="1399">
        <v>71426.53</v>
      </c>
      <c r="J6745" s="1399">
        <v>71426.53</v>
      </c>
      <c r="K6745" s="1297"/>
    </row>
    <row r="6746" spans="2:11">
      <c r="B6746" s="1297"/>
      <c r="C6746" s="1297"/>
      <c r="D6746" s="1297"/>
      <c r="E6746" s="1297" t="s">
        <v>954</v>
      </c>
      <c r="H6746" s="1399">
        <v>436732.29</v>
      </c>
      <c r="J6746" s="1399">
        <v>436732.29</v>
      </c>
      <c r="K6746" s="1297"/>
    </row>
    <row r="6747" spans="2:11">
      <c r="B6747" s="1297"/>
      <c r="C6747" s="1297"/>
      <c r="D6747" s="1297"/>
      <c r="E6747" s="1297" t="s">
        <v>1044</v>
      </c>
      <c r="F6747" s="1399">
        <v>92918.45</v>
      </c>
      <c r="J6747" s="1399">
        <v>92918.45</v>
      </c>
      <c r="K6747" s="1297"/>
    </row>
    <row r="6748" spans="2:11">
      <c r="B6748" s="1297"/>
      <c r="C6748" s="1297"/>
      <c r="D6748" s="1297"/>
      <c r="E6748" s="1297" t="s">
        <v>1045</v>
      </c>
      <c r="H6748" s="1399">
        <v>782170.81</v>
      </c>
      <c r="J6748" s="1399">
        <v>782170.81</v>
      </c>
      <c r="K6748" s="1297"/>
    </row>
    <row r="6749" spans="2:11">
      <c r="B6749" s="1297"/>
      <c r="C6749" s="1297"/>
      <c r="D6749" s="1297"/>
      <c r="E6749" s="1297" t="s">
        <v>1046</v>
      </c>
      <c r="I6749" s="1399">
        <v>41484086</v>
      </c>
      <c r="J6749" s="1399">
        <v>41484086</v>
      </c>
      <c r="K6749" s="1297"/>
    </row>
    <row r="6750" spans="2:11">
      <c r="B6750" s="1297"/>
      <c r="C6750" s="1297"/>
      <c r="D6750" s="1297"/>
      <c r="E6750" s="1297" t="s">
        <v>1129</v>
      </c>
      <c r="I6750" s="1399">
        <v>-5134999</v>
      </c>
      <c r="J6750" s="1399">
        <v>-5134999</v>
      </c>
      <c r="K6750" s="1297"/>
    </row>
    <row r="6751" spans="2:11">
      <c r="B6751" s="1297"/>
      <c r="C6751" s="1297"/>
      <c r="D6751" s="1297"/>
      <c r="E6751" s="1297" t="s">
        <v>1047</v>
      </c>
      <c r="I6751" s="1399">
        <v>651349</v>
      </c>
      <c r="J6751" s="1399">
        <v>651349</v>
      </c>
      <c r="K6751" s="1297"/>
    </row>
    <row r="6752" spans="2:11">
      <c r="B6752" s="1297"/>
      <c r="C6752" s="1297"/>
      <c r="D6752" s="1297"/>
      <c r="E6752" s="1297" t="s">
        <v>1048</v>
      </c>
      <c r="I6752" s="1399">
        <v>-7228341</v>
      </c>
      <c r="J6752" s="1399">
        <v>-7228341</v>
      </c>
      <c r="K6752" s="1297"/>
    </row>
    <row r="6753" spans="2:11">
      <c r="B6753" s="1297"/>
      <c r="C6753" s="1297"/>
      <c r="D6753" s="1297"/>
      <c r="E6753" s="1297" t="s">
        <v>932</v>
      </c>
      <c r="I6753" s="1399">
        <v>693436</v>
      </c>
      <c r="J6753" s="1399">
        <v>693436</v>
      </c>
      <c r="K6753" s="1297"/>
    </row>
    <row r="6754" spans="2:11">
      <c r="B6754" s="1297"/>
      <c r="C6754" s="1297"/>
      <c r="D6754" s="1297"/>
      <c r="E6754" s="1297" t="s">
        <v>934</v>
      </c>
      <c r="I6754" s="1399">
        <v>118338</v>
      </c>
      <c r="J6754" s="1399">
        <v>118338</v>
      </c>
      <c r="K6754" s="1297"/>
    </row>
    <row r="6755" spans="2:11">
      <c r="B6755" s="1297"/>
      <c r="C6755" s="1297"/>
      <c r="D6755" s="1297"/>
      <c r="E6755" s="1297" t="s">
        <v>1130</v>
      </c>
      <c r="I6755" s="1399">
        <v>0</v>
      </c>
      <c r="J6755" s="1399">
        <v>0</v>
      </c>
      <c r="K6755" s="1297"/>
    </row>
    <row r="6756" spans="2:11">
      <c r="B6756" s="1297"/>
      <c r="C6756" s="1297"/>
      <c r="D6756" s="1297"/>
      <c r="E6756" s="1297" t="s">
        <v>935</v>
      </c>
      <c r="I6756" s="1399">
        <v>610095.79</v>
      </c>
      <c r="J6756" s="1399">
        <v>610095.79</v>
      </c>
      <c r="K6756" s="1297"/>
    </row>
    <row r="6757" spans="2:11">
      <c r="B6757" s="1297"/>
      <c r="C6757" s="1297"/>
      <c r="D6757" s="1297"/>
      <c r="E6757" s="1297" t="s">
        <v>936</v>
      </c>
      <c r="I6757" s="1399">
        <v>91739.44</v>
      </c>
      <c r="J6757" s="1399">
        <v>91739.44</v>
      </c>
      <c r="K6757" s="1297"/>
    </row>
    <row r="6758" spans="2:11">
      <c r="B6758" s="1297"/>
      <c r="C6758" s="1297"/>
      <c r="D6758" s="1297"/>
      <c r="E6758" s="1297" t="s">
        <v>937</v>
      </c>
      <c r="I6758" s="1399">
        <v>29468.560000000001</v>
      </c>
      <c r="J6758" s="1399">
        <v>29468.560000000001</v>
      </c>
      <c r="K6758" s="1297"/>
    </row>
    <row r="6759" spans="2:11">
      <c r="B6759" s="1297"/>
      <c r="C6759" s="1297"/>
      <c r="D6759" s="1297"/>
      <c r="E6759" s="1297" t="s">
        <v>938</v>
      </c>
      <c r="I6759" s="1399">
        <v>41736</v>
      </c>
      <c r="J6759" s="1399">
        <v>41736</v>
      </c>
      <c r="K6759" s="1297"/>
    </row>
    <row r="6760" spans="2:11">
      <c r="B6760" s="1297"/>
      <c r="C6760" s="1297"/>
      <c r="D6760" s="1297"/>
      <c r="E6760" s="1297" t="s">
        <v>939</v>
      </c>
      <c r="I6760" s="1399">
        <v>446743.99</v>
      </c>
      <c r="J6760" s="1399">
        <v>446743.99</v>
      </c>
      <c r="K6760" s="1297"/>
    </row>
    <row r="6761" spans="2:11">
      <c r="B6761" s="1297"/>
      <c r="C6761" s="1297"/>
      <c r="D6761" s="1297"/>
      <c r="E6761" s="1297" t="s">
        <v>1131</v>
      </c>
      <c r="F6761" s="1399">
        <v>44870.81</v>
      </c>
      <c r="J6761" s="1399">
        <v>44870.81</v>
      </c>
      <c r="K6761" s="1297"/>
    </row>
    <row r="6762" spans="2:11">
      <c r="B6762" s="1297"/>
      <c r="C6762" s="1297"/>
      <c r="D6762" s="1297"/>
      <c r="E6762" s="1297" t="s">
        <v>940</v>
      </c>
      <c r="F6762" s="1399">
        <v>2430066.6800000002</v>
      </c>
      <c r="J6762" s="1399">
        <v>2430066.6800000002</v>
      </c>
      <c r="K6762" s="1297"/>
    </row>
    <row r="6763" spans="2:11">
      <c r="B6763" s="1297"/>
      <c r="C6763" s="1297"/>
      <c r="D6763" s="1297"/>
      <c r="E6763" s="1297" t="s">
        <v>941</v>
      </c>
      <c r="F6763" s="1399">
        <v>931662.18</v>
      </c>
      <c r="J6763" s="1399">
        <v>931662.18</v>
      </c>
      <c r="K6763" s="1297"/>
    </row>
    <row r="6764" spans="2:11">
      <c r="B6764" s="1297"/>
      <c r="C6764" s="1297"/>
      <c r="D6764" s="1297"/>
      <c r="E6764" s="1297" t="s">
        <v>943</v>
      </c>
      <c r="F6764" s="1399">
        <v>1318.68</v>
      </c>
      <c r="J6764" s="1399">
        <v>1318.68</v>
      </c>
      <c r="K6764" s="1297"/>
    </row>
    <row r="6765" spans="2:11">
      <c r="B6765" s="1297"/>
      <c r="C6765" s="1297"/>
      <c r="D6765" s="1297"/>
      <c r="E6765" s="1297" t="s">
        <v>944</v>
      </c>
      <c r="F6765" s="1399">
        <v>10798002.93</v>
      </c>
      <c r="J6765" s="1399">
        <v>10798002.93</v>
      </c>
      <c r="K6765" s="1297"/>
    </row>
    <row r="6766" spans="2:11">
      <c r="B6766" s="1297"/>
      <c r="C6766" s="1297"/>
      <c r="D6766" s="1297"/>
      <c r="E6766" s="1297" t="s">
        <v>946</v>
      </c>
      <c r="F6766" s="1399">
        <v>0</v>
      </c>
      <c r="J6766" s="1399">
        <v>0</v>
      </c>
      <c r="K6766" s="1297"/>
    </row>
    <row r="6767" spans="2:11">
      <c r="B6767" s="1297"/>
      <c r="C6767" s="1297"/>
      <c r="D6767" s="1297"/>
      <c r="E6767" s="1297" t="s">
        <v>1006</v>
      </c>
      <c r="F6767" s="1399">
        <v>17636</v>
      </c>
      <c r="J6767" s="1399">
        <v>17636</v>
      </c>
      <c r="K6767" s="1297"/>
    </row>
    <row r="6768" spans="2:11">
      <c r="B6768" s="1297"/>
      <c r="C6768" s="1297"/>
      <c r="D6768" s="1297"/>
      <c r="E6768" s="1297" t="s">
        <v>947</v>
      </c>
      <c r="F6768" s="1399">
        <v>209478.12</v>
      </c>
      <c r="J6768" s="1399">
        <v>209478.12</v>
      </c>
      <c r="K6768" s="1297"/>
    </row>
    <row r="6769" spans="2:12">
      <c r="B6769" s="1297"/>
      <c r="C6769" s="1297"/>
      <c r="D6769" s="1297"/>
      <c r="E6769" s="1297" t="s">
        <v>1115</v>
      </c>
      <c r="F6769" s="1399">
        <v>0</v>
      </c>
      <c r="J6769" s="1399">
        <v>0</v>
      </c>
    </row>
    <row r="6770" spans="2:12">
      <c r="B6770" s="1297"/>
      <c r="C6770" s="1297"/>
      <c r="D6770" s="1297"/>
      <c r="E6770" s="1404" t="s">
        <v>1116</v>
      </c>
      <c r="F6770" s="1405"/>
      <c r="G6770" s="1405"/>
      <c r="H6770" s="1405">
        <v>0</v>
      </c>
      <c r="I6770" s="1405"/>
      <c r="J6770" s="1405">
        <v>0</v>
      </c>
    </row>
    <row r="6771" spans="2:12">
      <c r="B6771" s="1297"/>
      <c r="C6771" s="1297"/>
      <c r="D6771" s="1297"/>
      <c r="E6771" s="1297" t="s">
        <v>1535</v>
      </c>
      <c r="H6771" s="1399">
        <v>0</v>
      </c>
      <c r="J6771" s="1399">
        <v>0</v>
      </c>
    </row>
    <row r="6772" spans="2:12">
      <c r="B6772" s="1297"/>
      <c r="C6772" s="1297"/>
      <c r="D6772" s="1297"/>
      <c r="E6772" s="1404" t="s">
        <v>948</v>
      </c>
      <c r="F6772" s="1405"/>
      <c r="G6772" s="1405"/>
      <c r="H6772" s="1405">
        <v>7625001</v>
      </c>
      <c r="I6772" s="1405"/>
      <c r="J6772" s="1405">
        <v>7625001</v>
      </c>
    </row>
    <row r="6773" spans="2:12">
      <c r="B6773" s="1297"/>
      <c r="C6773" s="1297"/>
      <c r="D6773" s="1297"/>
      <c r="E6773" s="1297" t="s">
        <v>956</v>
      </c>
      <c r="H6773" s="1399">
        <v>0</v>
      </c>
      <c r="J6773" s="1399">
        <v>0</v>
      </c>
    </row>
    <row r="6774" spans="2:12">
      <c r="B6774" s="1297"/>
      <c r="C6774" s="1297"/>
      <c r="D6774" s="1297"/>
      <c r="E6774" s="1297" t="s">
        <v>1118</v>
      </c>
      <c r="H6774" s="1399">
        <v>0</v>
      </c>
      <c r="J6774" s="1399">
        <v>0</v>
      </c>
    </row>
    <row r="6775" spans="2:12">
      <c r="B6775" s="1297"/>
      <c r="C6775" s="1297"/>
      <c r="D6775" s="1400" t="s">
        <v>1536</v>
      </c>
      <c r="E6775" s="1400"/>
      <c r="F6775" s="1401">
        <f>SUM(F6733:F6774)</f>
        <v>14525953.85</v>
      </c>
      <c r="G6775" s="1401">
        <f>SUM(G6733:G6774)</f>
        <v>34359993.060000002</v>
      </c>
      <c r="H6775" s="1401">
        <f>SUM(H6733:H6774)-H6772</f>
        <v>2488887.1099999994</v>
      </c>
      <c r="I6775" s="1401">
        <f>SUM(I6733:I6774)</f>
        <v>31803652.779999997</v>
      </c>
      <c r="J6775" s="1401">
        <f>SUM(J6733:J6774)</f>
        <v>90803487.800000042</v>
      </c>
      <c r="K6775" s="1401">
        <f>SUM(F6775:I6775)</f>
        <v>83178486.799999997</v>
      </c>
      <c r="L6775" s="1408">
        <f>K6775/C6733</f>
        <v>11341.489882737933</v>
      </c>
    </row>
    <row r="6776" spans="2:12">
      <c r="B6776" s="1297" t="s">
        <v>1537</v>
      </c>
      <c r="C6776" s="1297">
        <v>2567</v>
      </c>
      <c r="D6776" s="1297" t="s">
        <v>1538</v>
      </c>
      <c r="E6776" s="1297" t="s">
        <v>907</v>
      </c>
      <c r="G6776" s="1399">
        <v>2153804.0299999998</v>
      </c>
      <c r="J6776" s="1399">
        <v>2153804.0299999998</v>
      </c>
    </row>
    <row r="6777" spans="2:12">
      <c r="B6777" s="1297"/>
      <c r="C6777" s="1297"/>
      <c r="D6777" s="1297"/>
      <c r="E6777" s="1297" t="s">
        <v>1145</v>
      </c>
      <c r="G6777" s="1399">
        <v>3717055.05</v>
      </c>
      <c r="J6777" s="1399">
        <v>3717055.05</v>
      </c>
    </row>
    <row r="6778" spans="2:12">
      <c r="B6778" s="1297"/>
      <c r="C6778" s="1297"/>
      <c r="D6778" s="1297"/>
      <c r="E6778" s="1297" t="s">
        <v>909</v>
      </c>
      <c r="H6778" s="1399">
        <v>36890.230000000003</v>
      </c>
      <c r="J6778" s="1399">
        <v>36890.230000000003</v>
      </c>
    </row>
    <row r="6779" spans="2:12">
      <c r="B6779" s="1297"/>
      <c r="C6779" s="1297"/>
      <c r="D6779" s="1297"/>
      <c r="E6779" s="1297" t="s">
        <v>910</v>
      </c>
      <c r="H6779" s="1399">
        <v>12343.32</v>
      </c>
      <c r="J6779" s="1399">
        <v>12343.32</v>
      </c>
    </row>
    <row r="6780" spans="2:12">
      <c r="B6780" s="1297"/>
      <c r="C6780" s="1297"/>
      <c r="D6780" s="1297"/>
      <c r="E6780" s="1297" t="s">
        <v>1034</v>
      </c>
      <c r="H6780" s="1399">
        <v>89144.1</v>
      </c>
      <c r="J6780" s="1399">
        <v>89144.1</v>
      </c>
    </row>
    <row r="6781" spans="2:12">
      <c r="B6781" s="1297"/>
      <c r="C6781" s="1297"/>
      <c r="D6781" s="1297"/>
      <c r="E6781" s="1297" t="s">
        <v>1035</v>
      </c>
      <c r="H6781" s="1399">
        <v>239361.86</v>
      </c>
      <c r="J6781" s="1399">
        <v>239361.86</v>
      </c>
    </row>
    <row r="6782" spans="2:12">
      <c r="B6782" s="1297"/>
      <c r="C6782" s="1297"/>
      <c r="D6782" s="1297"/>
      <c r="E6782" s="1297" t="s">
        <v>1036</v>
      </c>
      <c r="H6782" s="1399">
        <v>131440.53</v>
      </c>
      <c r="J6782" s="1399">
        <v>131440.53</v>
      </c>
    </row>
    <row r="6783" spans="2:12">
      <c r="B6783" s="1297"/>
      <c r="C6783" s="1297"/>
      <c r="D6783" s="1297"/>
      <c r="E6783" s="1297" t="s">
        <v>1037</v>
      </c>
      <c r="H6783" s="1399">
        <v>159854.58000000002</v>
      </c>
      <c r="J6783" s="1399">
        <v>159854.58000000002</v>
      </c>
    </row>
    <row r="6784" spans="2:12">
      <c r="B6784" s="1297"/>
      <c r="C6784" s="1297"/>
      <c r="D6784" s="1297"/>
      <c r="E6784" s="1297" t="s">
        <v>1038</v>
      </c>
      <c r="H6784" s="1399">
        <v>9747.9</v>
      </c>
      <c r="J6784" s="1399">
        <v>9747.9</v>
      </c>
    </row>
    <row r="6785" spans="2:11">
      <c r="B6785" s="1297"/>
      <c r="C6785" s="1297"/>
      <c r="D6785" s="1297"/>
      <c r="E6785" s="1297" t="s">
        <v>1039</v>
      </c>
      <c r="H6785" s="1399">
        <v>45675.25</v>
      </c>
      <c r="J6785" s="1399">
        <v>45675.25</v>
      </c>
      <c r="K6785" s="1297"/>
    </row>
    <row r="6786" spans="2:11">
      <c r="B6786" s="1297"/>
      <c r="C6786" s="1297"/>
      <c r="D6786" s="1297"/>
      <c r="E6786" s="1297" t="s">
        <v>1040</v>
      </c>
      <c r="H6786" s="1399">
        <v>210614.04</v>
      </c>
      <c r="J6786" s="1399">
        <v>210614.04</v>
      </c>
      <c r="K6786" s="1297"/>
    </row>
    <row r="6787" spans="2:11">
      <c r="B6787" s="1297"/>
      <c r="C6787" s="1297"/>
      <c r="D6787" s="1297"/>
      <c r="E6787" s="1297" t="s">
        <v>1041</v>
      </c>
      <c r="H6787" s="1399">
        <v>33545.019999999997</v>
      </c>
      <c r="J6787" s="1399">
        <v>33545.019999999997</v>
      </c>
      <c r="K6787" s="1297"/>
    </row>
    <row r="6788" spans="2:11">
      <c r="B6788" s="1297"/>
      <c r="C6788" s="1297"/>
      <c r="D6788" s="1297"/>
      <c r="E6788" s="1297" t="s">
        <v>1042</v>
      </c>
      <c r="H6788" s="1399">
        <v>23480.73</v>
      </c>
      <c r="J6788" s="1399">
        <v>23480.73</v>
      </c>
      <c r="K6788" s="1297"/>
    </row>
    <row r="6789" spans="2:11">
      <c r="B6789" s="1297"/>
      <c r="C6789" s="1297"/>
      <c r="D6789" s="1297"/>
      <c r="E6789" s="1297" t="s">
        <v>954</v>
      </c>
      <c r="H6789" s="1399">
        <v>27109.07</v>
      </c>
      <c r="J6789" s="1399">
        <v>27109.07</v>
      </c>
      <c r="K6789" s="1297"/>
    </row>
    <row r="6790" spans="2:11">
      <c r="B6790" s="1297"/>
      <c r="C6790" s="1297"/>
      <c r="D6790" s="1297"/>
      <c r="E6790" s="1297" t="s">
        <v>985</v>
      </c>
      <c r="H6790" s="1399">
        <v>148412</v>
      </c>
      <c r="J6790" s="1399">
        <v>148412</v>
      </c>
      <c r="K6790" s="1297"/>
    </row>
    <row r="6791" spans="2:11">
      <c r="B6791" s="1297"/>
      <c r="C6791" s="1297"/>
      <c r="D6791" s="1297"/>
      <c r="E6791" s="1297" t="s">
        <v>1043</v>
      </c>
      <c r="H6791" s="1399">
        <v>63403.31</v>
      </c>
      <c r="J6791" s="1399">
        <v>63403.31</v>
      </c>
      <c r="K6791" s="1297"/>
    </row>
    <row r="6792" spans="2:11">
      <c r="B6792" s="1297"/>
      <c r="C6792" s="1297"/>
      <c r="D6792" s="1297"/>
      <c r="E6792" s="1297" t="s">
        <v>986</v>
      </c>
      <c r="H6792" s="1399">
        <v>505</v>
      </c>
      <c r="J6792" s="1399">
        <v>505</v>
      </c>
      <c r="K6792" s="1297"/>
    </row>
    <row r="6793" spans="2:11">
      <c r="B6793" s="1297"/>
      <c r="C6793" s="1297"/>
      <c r="D6793" s="1297"/>
      <c r="E6793" s="1297" t="s">
        <v>996</v>
      </c>
      <c r="H6793" s="1399">
        <v>15000</v>
      </c>
      <c r="J6793" s="1399">
        <v>15000</v>
      </c>
      <c r="K6793" s="1297"/>
    </row>
    <row r="6794" spans="2:11">
      <c r="B6794" s="1297"/>
      <c r="C6794" s="1297"/>
      <c r="D6794" s="1297"/>
      <c r="E6794" s="1297" t="s">
        <v>1045</v>
      </c>
      <c r="H6794" s="1399">
        <v>289940.26</v>
      </c>
      <c r="J6794" s="1399">
        <v>289940.26</v>
      </c>
      <c r="K6794" s="1297"/>
    </row>
    <row r="6795" spans="2:11">
      <c r="B6795" s="1297"/>
      <c r="C6795" s="1297"/>
      <c r="D6795" s="1297"/>
      <c r="E6795" s="1297" t="s">
        <v>1046</v>
      </c>
      <c r="I6795" s="1399">
        <v>11027777</v>
      </c>
      <c r="J6795" s="1399">
        <v>11027777</v>
      </c>
      <c r="K6795" s="1297"/>
    </row>
    <row r="6796" spans="2:11">
      <c r="B6796" s="1297"/>
      <c r="C6796" s="1297"/>
      <c r="D6796" s="1297"/>
      <c r="E6796" s="1297" t="s">
        <v>1047</v>
      </c>
      <c r="I6796" s="1399">
        <v>202149</v>
      </c>
      <c r="J6796" s="1399">
        <v>202149</v>
      </c>
      <c r="K6796" s="1297"/>
    </row>
    <row r="6797" spans="2:11">
      <c r="B6797" s="1297"/>
      <c r="C6797" s="1297"/>
      <c r="D6797" s="1297"/>
      <c r="E6797" s="1297" t="s">
        <v>1048</v>
      </c>
      <c r="I6797" s="1399">
        <v>-1358507</v>
      </c>
      <c r="J6797" s="1399">
        <v>-1358507</v>
      </c>
      <c r="K6797" s="1297"/>
    </row>
    <row r="6798" spans="2:11">
      <c r="B6798" s="1297"/>
      <c r="C6798" s="1297"/>
      <c r="D6798" s="1297"/>
      <c r="E6798" s="1297" t="s">
        <v>932</v>
      </c>
      <c r="I6798" s="1399">
        <v>932697</v>
      </c>
      <c r="J6798" s="1399">
        <v>932697</v>
      </c>
      <c r="K6798" s="1297"/>
    </row>
    <row r="6799" spans="2:11">
      <c r="B6799" s="1297"/>
      <c r="C6799" s="1297"/>
      <c r="D6799" s="1297"/>
      <c r="E6799" s="1404" t="s">
        <v>933</v>
      </c>
      <c r="F6799" s="1405"/>
      <c r="G6799" s="1405"/>
      <c r="H6799" s="1405"/>
      <c r="I6799" s="1405">
        <v>601871.22</v>
      </c>
      <c r="J6799" s="1405">
        <v>601871.22</v>
      </c>
      <c r="K6799" s="1297"/>
    </row>
    <row r="6800" spans="2:11">
      <c r="B6800" s="1297"/>
      <c r="C6800" s="1297"/>
      <c r="D6800" s="1297"/>
      <c r="E6800" s="1297" t="s">
        <v>934</v>
      </c>
      <c r="I6800" s="1399">
        <v>40208</v>
      </c>
      <c r="J6800" s="1399">
        <v>40208</v>
      </c>
      <c r="K6800" s="1297"/>
    </row>
    <row r="6801" spans="2:12">
      <c r="B6801" s="1297"/>
      <c r="C6801" s="1297"/>
      <c r="D6801" s="1297"/>
      <c r="E6801" s="1297" t="s">
        <v>1130</v>
      </c>
      <c r="I6801" s="1399">
        <v>258712.1</v>
      </c>
      <c r="J6801" s="1399">
        <v>258712.1</v>
      </c>
    </row>
    <row r="6802" spans="2:12">
      <c r="B6802" s="1297"/>
      <c r="C6802" s="1297"/>
      <c r="D6802" s="1297"/>
      <c r="E6802" s="1297" t="s">
        <v>935</v>
      </c>
      <c r="I6802" s="1399">
        <v>76103.59</v>
      </c>
      <c r="J6802" s="1399">
        <v>76103.59</v>
      </c>
    </row>
    <row r="6803" spans="2:12">
      <c r="B6803" s="1297"/>
      <c r="C6803" s="1297"/>
      <c r="D6803" s="1297"/>
      <c r="E6803" s="1297" t="s">
        <v>936</v>
      </c>
      <c r="I6803" s="1399">
        <v>29412.639999999999</v>
      </c>
      <c r="J6803" s="1399">
        <v>29412.639999999999</v>
      </c>
    </row>
    <row r="6804" spans="2:12">
      <c r="B6804" s="1297"/>
      <c r="C6804" s="1297"/>
      <c r="D6804" s="1297"/>
      <c r="E6804" s="1297" t="s">
        <v>937</v>
      </c>
      <c r="I6804" s="1399">
        <v>12302.25</v>
      </c>
      <c r="J6804" s="1399">
        <v>12302.25</v>
      </c>
    </row>
    <row r="6805" spans="2:12">
      <c r="B6805" s="1297"/>
      <c r="C6805" s="1297"/>
      <c r="D6805" s="1297"/>
      <c r="E6805" s="1297" t="s">
        <v>938</v>
      </c>
      <c r="I6805" s="1399">
        <v>8984</v>
      </c>
      <c r="J6805" s="1399">
        <v>8984</v>
      </c>
    </row>
    <row r="6806" spans="2:12">
      <c r="B6806" s="1297"/>
      <c r="C6806" s="1297"/>
      <c r="D6806" s="1297"/>
      <c r="E6806" s="1297" t="s">
        <v>939</v>
      </c>
      <c r="I6806" s="1399">
        <v>20000</v>
      </c>
      <c r="J6806" s="1399">
        <v>20000</v>
      </c>
    </row>
    <row r="6807" spans="2:12">
      <c r="B6807" s="1297"/>
      <c r="C6807" s="1297"/>
      <c r="D6807" s="1297"/>
      <c r="E6807" s="1297" t="s">
        <v>940</v>
      </c>
      <c r="F6807" s="1399">
        <v>671639.98</v>
      </c>
      <c r="J6807" s="1399">
        <v>671639.98</v>
      </c>
    </row>
    <row r="6808" spans="2:12">
      <c r="B6808" s="1297"/>
      <c r="C6808" s="1297"/>
      <c r="D6808" s="1297"/>
      <c r="E6808" s="1297" t="s">
        <v>941</v>
      </c>
      <c r="F6808" s="1399">
        <v>218797.6</v>
      </c>
      <c r="J6808" s="1399">
        <v>218797.6</v>
      </c>
    </row>
    <row r="6809" spans="2:12">
      <c r="B6809" s="1297"/>
      <c r="C6809" s="1297"/>
      <c r="D6809" s="1297"/>
      <c r="E6809" s="1297" t="s">
        <v>943</v>
      </c>
      <c r="F6809" s="1399">
        <v>11766</v>
      </c>
      <c r="J6809" s="1399">
        <v>11766</v>
      </c>
    </row>
    <row r="6810" spans="2:12">
      <c r="B6810" s="1297"/>
      <c r="C6810" s="1297"/>
      <c r="D6810" s="1297"/>
      <c r="E6810" s="1297" t="s">
        <v>944</v>
      </c>
      <c r="F6810" s="1399">
        <v>1527827.3699999999</v>
      </c>
      <c r="J6810" s="1399">
        <v>1527827.3699999999</v>
      </c>
    </row>
    <row r="6811" spans="2:12">
      <c r="B6811" s="1297"/>
      <c r="C6811" s="1297"/>
      <c r="D6811" s="1297"/>
      <c r="E6811" s="1297" t="s">
        <v>945</v>
      </c>
      <c r="F6811" s="1399">
        <v>1237464.7499999998</v>
      </c>
      <c r="J6811" s="1399">
        <v>1237464.7499999998</v>
      </c>
    </row>
    <row r="6812" spans="2:12">
      <c r="B6812" s="1297"/>
      <c r="C6812" s="1297"/>
      <c r="D6812" s="1297"/>
      <c r="E6812" s="1297" t="s">
        <v>947</v>
      </c>
      <c r="F6812" s="1399">
        <v>80915.100000000006</v>
      </c>
      <c r="J6812" s="1399">
        <v>80915.100000000006</v>
      </c>
    </row>
    <row r="6813" spans="2:12">
      <c r="B6813" s="1297"/>
      <c r="C6813" s="1297"/>
      <c r="D6813" s="1297"/>
      <c r="E6813" s="1404" t="s">
        <v>948</v>
      </c>
      <c r="F6813" s="1405"/>
      <c r="G6813" s="1405"/>
      <c r="H6813" s="1405">
        <v>229.32999999998719</v>
      </c>
      <c r="I6813" s="1405"/>
      <c r="J6813" s="1405">
        <v>229.32999999998719</v>
      </c>
    </row>
    <row r="6814" spans="2:12">
      <c r="B6814" s="1297"/>
      <c r="C6814" s="1297"/>
      <c r="D6814" s="1400" t="s">
        <v>1539</v>
      </c>
      <c r="E6814" s="1400"/>
      <c r="F6814" s="1401">
        <f>SUM(F6776:F6813)</f>
        <v>3748410.7999999993</v>
      </c>
      <c r="G6814" s="1401">
        <f>SUM(G6776:G6813)</f>
        <v>5870859.0800000001</v>
      </c>
      <c r="H6814" s="1401">
        <f>SUM(H6776:H6813)-H6813</f>
        <v>1536467.2000000002</v>
      </c>
      <c r="I6814" s="1401">
        <f>SUM(I6776:I6813)-I6799</f>
        <v>11249838.58</v>
      </c>
      <c r="J6814" s="1401">
        <f>SUM(J6776:J6813)</f>
        <v>23007676.210000005</v>
      </c>
      <c r="K6814" s="1401">
        <f>SUM(F6814:I6814)</f>
        <v>22405575.659999996</v>
      </c>
      <c r="L6814" s="1408">
        <f>K6814/C6776</f>
        <v>8728.3115153876115</v>
      </c>
    </row>
    <row r="6815" spans="2:12">
      <c r="B6815" s="1297"/>
      <c r="C6815" s="1297"/>
      <c r="D6815" s="1297"/>
      <c r="E6815" s="1297"/>
      <c r="F6815" s="1297"/>
      <c r="G6815" s="1297"/>
      <c r="H6815" s="1297"/>
      <c r="I6815" s="1297"/>
      <c r="J6815" s="1297"/>
      <c r="K6815" s="1297"/>
    </row>
    <row r="6816" spans="2:12" s="1386" customFormat="1">
      <c r="B6816" s="1386" t="s">
        <v>1732</v>
      </c>
      <c r="C6816" s="1414">
        <f>SUM(C4:C6185)</f>
        <v>1534300</v>
      </c>
      <c r="F6816" s="1415">
        <f t="shared" ref="F6816:K6816" si="0">SUM(F6814,F6775,F6732,F6708,F6667,F6631,F6596,F6559,F6517,F6481,F6445,F6405,F6369,F6327,F6291,F6256,F6220,F6187,F6151,F6133,F6093,F6044,F6005,F5966,F5935,F5901,F5862,F5821,F5793,F5762,F5721,F5688,F5657,F5605,F5558,F5519,F5478,F5440,F5410,F5371,F5330,F5292,F5256,F5223,F5180,F5141,F5104,F5070,F5036,F4999,F4970,F4941,F4902,F4869,F4829,F4788,F4752,F4717,F4682,F4647,F4604,F4567,F4532,F4498,F4459,F4425,F4386,F4353,F4317,F4279,F4242,F4205,F4166,F4131,F4090,F4037,F4004,F3972,F3938,F3902,F3863,F3834,F3798,F3769,F3729,F3692,F3654,F3618,F3577,F3537,F3498,F3459,F3418,F3382,F3346,F3310,F3266,F3222,F3193,F3152,F3119,F3081,F3042,F2999,F2957,F2907,F2868,F2835,F2799,F2760,F2724,F2696,F2646,F2600,F2547,F2510,F2472,F2428,F2388,F2351,F2314,F2272,F2233,F2200,F2155,F2127,F2094,F2061,F2022,F1990,F1951,F1918,F1880,F1838,F1791,F1755,F1722,F1679,F1642,F1608,F1575,F1534,F1498,F1460,F1422,F1377,F1332,F1293,F1250,F1214,F1173,F1143,F1097,F1055,F1018,F986,F948,F909,F866,F818,F772,F730,F698,F655,F618,F576,F539,F504,F465,F429,F378,F343,F301,F254,F214,F182,F138,F113,F75,F41,)</f>
        <v>2309847075.6000004</v>
      </c>
      <c r="G6816" s="1415">
        <f t="shared" si="0"/>
        <v>7397378170.6699991</v>
      </c>
      <c r="H6816" s="1415">
        <f t="shared" si="0"/>
        <v>1059418442.5899998</v>
      </c>
      <c r="I6816" s="1415">
        <f t="shared" si="0"/>
        <v>7242614076.8899965</v>
      </c>
      <c r="J6816" s="1415">
        <f t="shared" si="0"/>
        <v>20347908146.049988</v>
      </c>
      <c r="K6816" s="1415">
        <f t="shared" si="0"/>
        <v>18009257765.750004</v>
      </c>
      <c r="L6816" s="1415">
        <f>K6816/C6816</f>
        <v>11737.768210747574</v>
      </c>
    </row>
    <row r="6817" spans="2:16">
      <c r="B6817" s="1297"/>
      <c r="C6817" s="1297"/>
      <c r="D6817" s="1297"/>
      <c r="E6817" s="1297"/>
      <c r="F6817" s="1297"/>
      <c r="G6817" s="1297"/>
      <c r="H6817" s="1297"/>
      <c r="I6817" s="1297"/>
      <c r="J6817" s="1297"/>
      <c r="K6817" s="1297"/>
    </row>
    <row r="6818" spans="2:16">
      <c r="B6818" s="1297"/>
      <c r="C6818" s="1297">
        <v>44738</v>
      </c>
      <c r="D6818" s="1400" t="s">
        <v>1433</v>
      </c>
      <c r="E6818" s="1400" t="s">
        <v>1644</v>
      </c>
      <c r="F6818" s="1401">
        <v>102172098.02000001</v>
      </c>
      <c r="G6818" s="1401">
        <v>481458463.28000003</v>
      </c>
      <c r="H6818" s="1401">
        <v>151745479.02999997</v>
      </c>
      <c r="I6818" s="1401">
        <v>113767349.19000001</v>
      </c>
      <c r="J6818" s="1401">
        <v>1031157470.6200002</v>
      </c>
      <c r="K6818" s="1401">
        <v>849143389.5200001</v>
      </c>
      <c r="L6818" s="1408">
        <v>18980.36097992758</v>
      </c>
      <c r="M6818" s="1408">
        <v>2283.7877871160986</v>
      </c>
      <c r="N6818" s="1297">
        <v>0.12032372774844939</v>
      </c>
    </row>
    <row r="6819" spans="2:16">
      <c r="B6819" s="1297"/>
      <c r="C6819" s="1297">
        <v>85844</v>
      </c>
      <c r="D6819" s="1400" t="s">
        <v>1139</v>
      </c>
      <c r="E6819" s="1400" t="s">
        <v>1642</v>
      </c>
      <c r="F6819" s="1401">
        <v>95153963.870000005</v>
      </c>
      <c r="G6819" s="1401">
        <v>654059954.54000008</v>
      </c>
      <c r="H6819" s="1412">
        <v>62793503.859999999</v>
      </c>
      <c r="I6819" s="1401">
        <v>286137409.51000005</v>
      </c>
      <c r="J6819" s="1401">
        <v>1161305797.6300001</v>
      </c>
      <c r="K6819" s="1401">
        <v>1098144831.7800002</v>
      </c>
      <c r="L6819" s="1407">
        <v>12792.330643725831</v>
      </c>
      <c r="M6819" s="1407">
        <v>1108.4521209403104</v>
      </c>
      <c r="N6819" s="1400">
        <v>8.6649739739487225E-2</v>
      </c>
      <c r="O6819" s="1400"/>
      <c r="P6819" s="1400"/>
    </row>
    <row r="6820" spans="2:16">
      <c r="B6820" s="1297"/>
      <c r="C6820" s="1297"/>
      <c r="D6820" s="1297"/>
      <c r="E6820" s="1297"/>
      <c r="F6820" s="1297"/>
      <c r="G6820" s="1297"/>
      <c r="H6820" s="1297"/>
      <c r="I6820" s="1297"/>
      <c r="J6820" s="1297"/>
      <c r="K6820" s="1297"/>
    </row>
    <row r="6821" spans="2:16">
      <c r="B6821" s="1297"/>
      <c r="C6821" s="1408">
        <f>C6816-(C6818+C6819)</f>
        <v>1403718</v>
      </c>
      <c r="D6821" s="1297"/>
      <c r="E6821" s="1297" t="s">
        <v>1834</v>
      </c>
      <c r="F6821" s="1408">
        <f>F6816-(F6818+F6819)</f>
        <v>2112521013.7100003</v>
      </c>
      <c r="G6821" s="1408">
        <f>G6816-(G6818+G6819)</f>
        <v>6261859752.8499985</v>
      </c>
      <c r="H6821" s="1408">
        <f>H6816-(H6818+H6819)</f>
        <v>844879459.69999981</v>
      </c>
      <c r="I6821" s="1408">
        <f>I6816-(I6818+I6819)</f>
        <v>6842709318.1899967</v>
      </c>
      <c r="J6821" s="1408">
        <f>J6816-(J6818+J6819)</f>
        <v>18155444877.799988</v>
      </c>
      <c r="K6821" s="1297"/>
    </row>
    <row r="6822" spans="2:16">
      <c r="B6822" s="1297"/>
      <c r="C6822" s="1297"/>
      <c r="D6822" s="1297"/>
      <c r="E6822" s="1297"/>
      <c r="F6822" s="1297"/>
      <c r="G6822" s="1297"/>
      <c r="H6822" s="1297"/>
      <c r="I6822" s="1297"/>
      <c r="J6822" s="1297"/>
      <c r="K6822" s="1297"/>
    </row>
    <row r="6823" spans="2:16">
      <c r="B6823" s="1297"/>
      <c r="C6823" s="1297"/>
      <c r="D6823" s="1297"/>
      <c r="E6823" s="1297"/>
      <c r="F6823" s="1297"/>
      <c r="G6823" s="1297"/>
      <c r="H6823" s="1297"/>
      <c r="I6823" s="1297"/>
      <c r="J6823" s="1297"/>
      <c r="K6823" s="1297"/>
    </row>
    <row r="6824" spans="2:16">
      <c r="B6824" s="1297"/>
      <c r="C6824" s="1297"/>
      <c r="D6824" s="1297"/>
      <c r="E6824" s="1297"/>
      <c r="F6824" s="1297"/>
      <c r="G6824" s="1297"/>
      <c r="H6824" s="1297"/>
      <c r="I6824" s="1297"/>
      <c r="J6824" s="1297"/>
      <c r="K6824" s="1297"/>
    </row>
    <row r="6825" spans="2:16">
      <c r="B6825" s="1297"/>
      <c r="C6825" s="1297"/>
      <c r="D6825" s="1297"/>
      <c r="E6825" s="1297"/>
      <c r="F6825" s="1297"/>
      <c r="G6825" s="1297"/>
      <c r="H6825" s="1297"/>
      <c r="I6825" s="1297"/>
      <c r="J6825" s="1297"/>
      <c r="K6825" s="1297"/>
    </row>
    <row r="6826" spans="2:16">
      <c r="B6826" s="1297"/>
      <c r="C6826" s="1297"/>
      <c r="D6826" s="1297"/>
      <c r="E6826" s="1297"/>
      <c r="F6826" s="1297"/>
      <c r="G6826" s="1297"/>
      <c r="H6826" s="1297"/>
      <c r="I6826" s="1297"/>
      <c r="J6826" s="1297"/>
      <c r="K6826" s="1297"/>
    </row>
    <row r="6827" spans="2:16">
      <c r="B6827" s="1297"/>
      <c r="C6827" s="1297"/>
      <c r="D6827" s="1297"/>
      <c r="E6827" s="1297"/>
      <c r="F6827" s="1297"/>
      <c r="G6827" s="1297"/>
      <c r="H6827" s="1297"/>
      <c r="I6827" s="1297"/>
      <c r="J6827" s="1297"/>
      <c r="K6827" s="1297"/>
    </row>
    <row r="6828" spans="2:16">
      <c r="B6828" s="1297"/>
      <c r="C6828" s="1297"/>
      <c r="D6828" s="1297"/>
      <c r="E6828" s="1297"/>
      <c r="F6828" s="1297"/>
      <c r="G6828" s="1297"/>
      <c r="H6828" s="1297"/>
      <c r="I6828" s="1297"/>
      <c r="J6828" s="1297"/>
      <c r="K6828" s="1297"/>
    </row>
    <row r="6829" spans="2:16">
      <c r="B6829" s="1297"/>
      <c r="C6829" s="1297"/>
      <c r="D6829" s="1297"/>
      <c r="E6829" s="1297"/>
      <c r="F6829" s="1297"/>
      <c r="G6829" s="1297"/>
      <c r="H6829" s="1297"/>
      <c r="I6829" s="1297"/>
      <c r="J6829" s="1297"/>
      <c r="K6829" s="1297"/>
    </row>
    <row r="6830" spans="2:16">
      <c r="B6830" s="1297"/>
      <c r="C6830" s="1297"/>
      <c r="D6830" s="1297"/>
      <c r="E6830" s="1297"/>
      <c r="F6830" s="1297"/>
      <c r="G6830" s="1297"/>
      <c r="H6830" s="1297"/>
      <c r="I6830" s="1297"/>
      <c r="J6830" s="1297"/>
      <c r="K6830" s="1297"/>
    </row>
    <row r="6831" spans="2:16">
      <c r="B6831" s="1297"/>
      <c r="C6831" s="1297"/>
      <c r="D6831" s="1297"/>
      <c r="E6831" s="1297"/>
      <c r="F6831" s="1297"/>
      <c r="G6831" s="1297"/>
      <c r="H6831" s="1297"/>
      <c r="I6831" s="1297"/>
      <c r="J6831" s="1297"/>
      <c r="K6831" s="1297"/>
    </row>
    <row r="6832" spans="2:16">
      <c r="B6832" s="1297"/>
      <c r="C6832" s="1297"/>
      <c r="D6832" s="1297"/>
      <c r="E6832" s="1297"/>
      <c r="F6832" s="1297"/>
      <c r="G6832" s="1297"/>
      <c r="H6832" s="1297"/>
      <c r="I6832" s="1297"/>
      <c r="J6832" s="1297"/>
      <c r="K6832" s="1297"/>
    </row>
    <row r="6833" spans="2:11">
      <c r="B6833" s="1297"/>
      <c r="C6833" s="1297"/>
      <c r="D6833" s="1297"/>
      <c r="E6833" s="1297"/>
      <c r="F6833" s="1297"/>
      <c r="G6833" s="1297"/>
      <c r="H6833" s="1297"/>
      <c r="I6833" s="1297"/>
      <c r="J6833" s="1297"/>
      <c r="K6833" s="1297"/>
    </row>
    <row r="6834" spans="2:11">
      <c r="B6834" s="1297"/>
      <c r="C6834" s="1297"/>
      <c r="D6834" s="1297"/>
      <c r="E6834" s="1297"/>
      <c r="F6834" s="1297"/>
      <c r="G6834" s="1297"/>
      <c r="H6834" s="1297"/>
      <c r="I6834" s="1297"/>
      <c r="J6834" s="1297"/>
      <c r="K6834" s="1297"/>
    </row>
    <row r="6835" spans="2:11">
      <c r="B6835" s="1297"/>
      <c r="C6835" s="1297"/>
      <c r="D6835" s="1297"/>
      <c r="E6835" s="1297"/>
      <c r="F6835" s="1297"/>
      <c r="G6835" s="1297"/>
      <c r="H6835" s="1297"/>
      <c r="I6835" s="1297"/>
      <c r="J6835" s="1297"/>
      <c r="K6835" s="1297"/>
    </row>
    <row r="6836" spans="2:11">
      <c r="B6836" s="1297"/>
      <c r="C6836" s="1297"/>
      <c r="D6836" s="1297"/>
      <c r="E6836" s="1297"/>
      <c r="F6836" s="1297"/>
      <c r="G6836" s="1297"/>
      <c r="H6836" s="1297"/>
      <c r="I6836" s="1297"/>
      <c r="J6836" s="1297"/>
      <c r="K6836" s="1297"/>
    </row>
    <row r="6837" spans="2:11">
      <c r="B6837" s="1297"/>
      <c r="C6837" s="1297"/>
      <c r="D6837" s="1297"/>
      <c r="E6837" s="1297"/>
      <c r="F6837" s="1297"/>
      <c r="G6837" s="1297"/>
      <c r="H6837" s="1297"/>
      <c r="I6837" s="1297"/>
      <c r="J6837" s="1297"/>
      <c r="K6837" s="1297"/>
    </row>
    <row r="6838" spans="2:11">
      <c r="B6838" s="1297"/>
      <c r="C6838" s="1297"/>
      <c r="D6838" s="1297"/>
      <c r="E6838" s="1297"/>
      <c r="F6838" s="1297"/>
      <c r="G6838" s="1297"/>
      <c r="H6838" s="1297"/>
      <c r="I6838" s="1297"/>
      <c r="J6838" s="1297"/>
      <c r="K6838" s="1297"/>
    </row>
    <row r="6839" spans="2:11">
      <c r="B6839" s="1297"/>
      <c r="C6839" s="1297"/>
      <c r="D6839" s="1297"/>
      <c r="E6839" s="1297"/>
      <c r="F6839" s="1297"/>
      <c r="G6839" s="1297"/>
      <c r="H6839" s="1297"/>
      <c r="I6839" s="1297"/>
      <c r="J6839" s="1297"/>
      <c r="K6839" s="1297"/>
    </row>
    <row r="6840" spans="2:11">
      <c r="B6840" s="1297"/>
      <c r="C6840" s="1297"/>
      <c r="D6840" s="1297"/>
      <c r="E6840" s="1297"/>
      <c r="F6840" s="1297"/>
      <c r="G6840" s="1297"/>
      <c r="H6840" s="1297"/>
      <c r="I6840" s="1297"/>
      <c r="J6840" s="1297"/>
      <c r="K6840" s="1297"/>
    </row>
    <row r="6841" spans="2:11">
      <c r="B6841" s="1297"/>
      <c r="C6841" s="1297"/>
      <c r="D6841" s="1297"/>
      <c r="E6841" s="1297"/>
      <c r="F6841" s="1297"/>
      <c r="G6841" s="1297"/>
      <c r="H6841" s="1297"/>
      <c r="I6841" s="1297"/>
      <c r="J6841" s="1297"/>
      <c r="K6841" s="1297"/>
    </row>
    <row r="6842" spans="2:11">
      <c r="B6842" s="1297"/>
      <c r="C6842" s="1297"/>
      <c r="D6842" s="1297"/>
      <c r="E6842" s="1297"/>
      <c r="F6842" s="1297"/>
      <c r="G6842" s="1297"/>
      <c r="H6842" s="1297"/>
      <c r="I6842" s="1297"/>
      <c r="J6842" s="1297"/>
      <c r="K6842" s="1297"/>
    </row>
    <row r="6843" spans="2:11">
      <c r="B6843" s="1297"/>
      <c r="C6843" s="1297"/>
      <c r="D6843" s="1297"/>
      <c r="E6843" s="1297"/>
      <c r="F6843" s="1297"/>
      <c r="G6843" s="1297"/>
      <c r="H6843" s="1297"/>
      <c r="I6843" s="1297"/>
      <c r="J6843" s="1297"/>
      <c r="K6843" s="1297"/>
    </row>
    <row r="6844" spans="2:11">
      <c r="B6844" s="1297"/>
      <c r="C6844" s="1297"/>
      <c r="D6844" s="1297"/>
      <c r="E6844" s="1297"/>
      <c r="F6844" s="1297"/>
      <c r="G6844" s="1297"/>
      <c r="H6844" s="1297"/>
      <c r="I6844" s="1297"/>
      <c r="J6844" s="1297"/>
      <c r="K6844" s="1297"/>
    </row>
    <row r="6845" spans="2:11">
      <c r="B6845" s="1297"/>
      <c r="C6845" s="1297"/>
      <c r="D6845" s="1297"/>
      <c r="E6845" s="1297"/>
      <c r="F6845" s="1297"/>
      <c r="G6845" s="1297"/>
      <c r="H6845" s="1297"/>
      <c r="I6845" s="1297"/>
      <c r="J6845" s="1297"/>
      <c r="K6845" s="1297"/>
    </row>
    <row r="6846" spans="2:11">
      <c r="B6846" s="1297"/>
      <c r="C6846" s="1297"/>
      <c r="D6846" s="1297"/>
      <c r="E6846" s="1297"/>
      <c r="F6846" s="1297"/>
      <c r="G6846" s="1297"/>
      <c r="H6846" s="1297"/>
      <c r="I6846" s="1297"/>
      <c r="J6846" s="1297"/>
      <c r="K6846" s="1297"/>
    </row>
    <row r="6847" spans="2:11">
      <c r="B6847" s="1297"/>
      <c r="C6847" s="1297"/>
      <c r="D6847" s="1297"/>
      <c r="E6847" s="1297"/>
      <c r="F6847" s="1297"/>
      <c r="G6847" s="1297"/>
      <c r="H6847" s="1297"/>
      <c r="I6847" s="1297"/>
      <c r="J6847" s="1297"/>
      <c r="K6847" s="1297"/>
    </row>
    <row r="6848" spans="2:11">
      <c r="B6848" s="1297"/>
      <c r="C6848" s="1297"/>
      <c r="D6848" s="1297"/>
      <c r="E6848" s="1297"/>
      <c r="F6848" s="1297"/>
      <c r="G6848" s="1297"/>
      <c r="H6848" s="1297"/>
      <c r="I6848" s="1297"/>
      <c r="J6848" s="1297"/>
      <c r="K6848" s="1297"/>
    </row>
    <row r="6849" spans="2:11">
      <c r="B6849" s="1297"/>
      <c r="C6849" s="1297"/>
      <c r="D6849" s="1297"/>
      <c r="E6849" s="1297"/>
      <c r="F6849" s="1297"/>
      <c r="G6849" s="1297"/>
      <c r="H6849" s="1297"/>
      <c r="I6849" s="1297"/>
      <c r="J6849" s="1297"/>
      <c r="K6849" s="1297"/>
    </row>
    <row r="6850" spans="2:11">
      <c r="B6850" s="1297"/>
      <c r="C6850" s="1297"/>
      <c r="D6850" s="1297"/>
      <c r="E6850" s="1297"/>
      <c r="F6850" s="1297"/>
      <c r="G6850" s="1297"/>
      <c r="H6850" s="1297"/>
      <c r="I6850" s="1297"/>
      <c r="J6850" s="1297"/>
      <c r="K6850" s="1297"/>
    </row>
    <row r="6851" spans="2:11">
      <c r="B6851" s="1297"/>
      <c r="C6851" s="1297"/>
      <c r="D6851" s="1297"/>
      <c r="E6851" s="1297"/>
      <c r="F6851" s="1297"/>
      <c r="G6851" s="1297"/>
      <c r="H6851" s="1297"/>
      <c r="I6851" s="1297"/>
      <c r="J6851" s="1297"/>
      <c r="K6851" s="1297"/>
    </row>
    <row r="6852" spans="2:11">
      <c r="B6852" s="1297"/>
      <c r="C6852" s="1297"/>
      <c r="D6852" s="1297"/>
      <c r="E6852" s="1297"/>
      <c r="F6852" s="1297"/>
      <c r="G6852" s="1297"/>
      <c r="H6852" s="1297"/>
      <c r="I6852" s="1297"/>
      <c r="J6852" s="1297"/>
      <c r="K6852" s="1297"/>
    </row>
    <row r="6853" spans="2:11">
      <c r="B6853" s="1297"/>
      <c r="C6853" s="1297"/>
      <c r="D6853" s="1297"/>
      <c r="E6853" s="1297"/>
      <c r="F6853" s="1297"/>
      <c r="G6853" s="1297"/>
      <c r="H6853" s="1297"/>
      <c r="I6853" s="1297"/>
      <c r="J6853" s="1297"/>
      <c r="K6853" s="1297"/>
    </row>
    <row r="6854" spans="2:11">
      <c r="B6854" s="1297"/>
      <c r="C6854" s="1297"/>
      <c r="D6854" s="1297"/>
      <c r="E6854" s="1297"/>
      <c r="F6854" s="1297"/>
      <c r="G6854" s="1297"/>
      <c r="H6854" s="1297"/>
      <c r="I6854" s="1297"/>
      <c r="J6854" s="1297"/>
      <c r="K6854" s="1297"/>
    </row>
    <row r="6855" spans="2:11">
      <c r="B6855" s="1297"/>
      <c r="C6855" s="1297"/>
      <c r="D6855" s="1297"/>
      <c r="E6855" s="1297"/>
      <c r="F6855" s="1297"/>
      <c r="G6855" s="1297"/>
      <c r="H6855" s="1297"/>
      <c r="I6855" s="1297"/>
      <c r="J6855" s="1297"/>
      <c r="K6855" s="1297"/>
    </row>
    <row r="6856" spans="2:11">
      <c r="B6856" s="1297"/>
      <c r="C6856" s="1297"/>
      <c r="D6856" s="1297"/>
      <c r="E6856" s="1297"/>
      <c r="F6856" s="1297"/>
      <c r="G6856" s="1297"/>
      <c r="H6856" s="1297"/>
      <c r="I6856" s="1297"/>
      <c r="J6856" s="1297"/>
      <c r="K6856" s="1297"/>
    </row>
    <row r="6857" spans="2:11">
      <c r="B6857" s="1297"/>
      <c r="C6857" s="1297"/>
      <c r="D6857" s="1297"/>
      <c r="E6857" s="1297"/>
      <c r="F6857" s="1297"/>
      <c r="G6857" s="1297"/>
      <c r="H6857" s="1297"/>
      <c r="I6857" s="1297"/>
      <c r="J6857" s="1297"/>
      <c r="K6857" s="1297"/>
    </row>
    <row r="6858" spans="2:11">
      <c r="B6858" s="1297"/>
      <c r="C6858" s="1297"/>
      <c r="D6858" s="1297"/>
      <c r="E6858" s="1297"/>
      <c r="F6858" s="1297"/>
      <c r="G6858" s="1297"/>
      <c r="H6858" s="1297"/>
      <c r="I6858" s="1297"/>
      <c r="J6858" s="1297"/>
      <c r="K6858" s="1297"/>
    </row>
    <row r="6859" spans="2:11">
      <c r="B6859" s="1297"/>
      <c r="C6859" s="1297"/>
      <c r="D6859" s="1297"/>
      <c r="E6859" s="1297"/>
      <c r="F6859" s="1297"/>
      <c r="G6859" s="1297"/>
      <c r="H6859" s="1297"/>
      <c r="I6859" s="1297"/>
      <c r="J6859" s="1297"/>
      <c r="K6859" s="1297"/>
    </row>
    <row r="6860" spans="2:11">
      <c r="B6860" s="1297"/>
      <c r="C6860" s="1297"/>
      <c r="D6860" s="1297"/>
      <c r="E6860" s="1297"/>
      <c r="F6860" s="1297"/>
      <c r="G6860" s="1297"/>
      <c r="H6860" s="1297"/>
      <c r="I6860" s="1297"/>
      <c r="J6860" s="1297"/>
      <c r="K6860" s="1297"/>
    </row>
    <row r="6861" spans="2:11">
      <c r="B6861" s="1297"/>
      <c r="C6861" s="1297"/>
      <c r="D6861" s="1297"/>
      <c r="E6861" s="1297"/>
      <c r="F6861" s="1297"/>
      <c r="G6861" s="1297"/>
      <c r="H6861" s="1297"/>
      <c r="I6861" s="1297"/>
      <c r="J6861" s="1297"/>
      <c r="K6861" s="1297"/>
    </row>
    <row r="6862" spans="2:11">
      <c r="B6862" s="1297"/>
      <c r="C6862" s="1297"/>
      <c r="D6862" s="1297"/>
      <c r="E6862" s="1297"/>
      <c r="F6862" s="1297"/>
      <c r="G6862" s="1297"/>
      <c r="H6862" s="1297"/>
      <c r="I6862" s="1297"/>
      <c r="J6862" s="1297"/>
      <c r="K6862" s="1297"/>
    </row>
    <row r="6863" spans="2:11">
      <c r="B6863" s="1297"/>
      <c r="C6863" s="1297"/>
      <c r="D6863" s="1297"/>
      <c r="E6863" s="1297"/>
      <c r="F6863" s="1297"/>
      <c r="G6863" s="1297"/>
      <c r="H6863" s="1297"/>
      <c r="I6863" s="1297"/>
      <c r="J6863" s="1297"/>
      <c r="K6863" s="1297"/>
    </row>
    <row r="6864" spans="2:11">
      <c r="B6864" s="1297"/>
      <c r="C6864" s="1297"/>
      <c r="D6864" s="1297"/>
      <c r="E6864" s="1297"/>
      <c r="F6864" s="1297"/>
      <c r="G6864" s="1297"/>
      <c r="H6864" s="1297"/>
      <c r="I6864" s="1297"/>
      <c r="J6864" s="1297"/>
      <c r="K6864" s="1297"/>
    </row>
    <row r="6865" spans="2:11">
      <c r="B6865" s="1297"/>
      <c r="C6865" s="1297"/>
      <c r="D6865" s="1297"/>
      <c r="E6865" s="1297"/>
      <c r="F6865" s="1297"/>
      <c r="G6865" s="1297"/>
      <c r="H6865" s="1297"/>
      <c r="I6865" s="1297"/>
      <c r="J6865" s="1297"/>
      <c r="K6865" s="1297"/>
    </row>
    <row r="6866" spans="2:11">
      <c r="B6866" s="1297"/>
      <c r="C6866" s="1297"/>
      <c r="D6866" s="1297"/>
      <c r="E6866" s="1297"/>
      <c r="F6866" s="1297"/>
      <c r="G6866" s="1297"/>
      <c r="H6866" s="1297"/>
      <c r="I6866" s="1297"/>
      <c r="J6866" s="1297"/>
      <c r="K6866" s="1297"/>
    </row>
    <row r="6867" spans="2:11">
      <c r="B6867" s="1297"/>
      <c r="C6867" s="1297"/>
      <c r="D6867" s="1297"/>
      <c r="E6867" s="1297"/>
      <c r="F6867" s="1297"/>
      <c r="G6867" s="1297"/>
      <c r="H6867" s="1297"/>
      <c r="I6867" s="1297"/>
      <c r="J6867" s="1297"/>
      <c r="K6867" s="1297"/>
    </row>
    <row r="6868" spans="2:11">
      <c r="B6868" s="1297"/>
      <c r="C6868" s="1297"/>
      <c r="D6868" s="1297"/>
      <c r="E6868" s="1297"/>
      <c r="F6868" s="1297"/>
      <c r="G6868" s="1297"/>
      <c r="H6868" s="1297"/>
      <c r="I6868" s="1297"/>
      <c r="J6868" s="1297"/>
      <c r="K6868" s="1297"/>
    </row>
    <row r="6869" spans="2:11">
      <c r="B6869" s="1297"/>
      <c r="C6869" s="1297"/>
      <c r="D6869" s="1297"/>
      <c r="E6869" s="1297"/>
      <c r="F6869" s="1297"/>
      <c r="G6869" s="1297"/>
      <c r="H6869" s="1297"/>
      <c r="I6869" s="1297"/>
      <c r="J6869" s="1297"/>
      <c r="K6869" s="1297"/>
    </row>
    <row r="6870" spans="2:11">
      <c r="B6870" s="1297"/>
      <c r="C6870" s="1297"/>
      <c r="D6870" s="1297"/>
      <c r="E6870" s="1297"/>
      <c r="F6870" s="1297"/>
      <c r="G6870" s="1297"/>
      <c r="H6870" s="1297"/>
      <c r="I6870" s="1297"/>
      <c r="J6870" s="1297"/>
      <c r="K6870" s="1297"/>
    </row>
    <row r="6871" spans="2:11">
      <c r="B6871" s="1297"/>
      <c r="C6871" s="1297"/>
      <c r="D6871" s="1297"/>
      <c r="E6871" s="1297"/>
      <c r="F6871" s="1297"/>
      <c r="G6871" s="1297"/>
      <c r="H6871" s="1297"/>
      <c r="I6871" s="1297"/>
      <c r="J6871" s="1297"/>
      <c r="K6871" s="1297"/>
    </row>
    <row r="6872" spans="2:11">
      <c r="B6872" s="1297"/>
      <c r="C6872" s="1297"/>
      <c r="D6872" s="1297"/>
      <c r="E6872" s="1297"/>
      <c r="F6872" s="1297"/>
      <c r="G6872" s="1297"/>
      <c r="H6872" s="1297"/>
      <c r="I6872" s="1297"/>
      <c r="J6872" s="1297"/>
      <c r="K6872" s="1297"/>
    </row>
    <row r="6873" spans="2:11">
      <c r="B6873" s="1297"/>
      <c r="C6873" s="1297"/>
      <c r="D6873" s="1297"/>
      <c r="E6873" s="1297"/>
      <c r="F6873" s="1297"/>
      <c r="G6873" s="1297"/>
      <c r="H6873" s="1297"/>
      <c r="I6873" s="1297"/>
      <c r="J6873" s="1297"/>
      <c r="K6873" s="1297"/>
    </row>
    <row r="6874" spans="2:11">
      <c r="B6874" s="1297"/>
      <c r="C6874" s="1297"/>
      <c r="D6874" s="1297"/>
      <c r="E6874" s="1297"/>
      <c r="F6874" s="1297"/>
      <c r="G6874" s="1297"/>
      <c r="H6874" s="1297"/>
      <c r="I6874" s="1297"/>
      <c r="J6874" s="1297"/>
      <c r="K6874" s="1297"/>
    </row>
    <row r="6875" spans="2:11">
      <c r="B6875" s="1297"/>
      <c r="C6875" s="1297"/>
      <c r="D6875" s="1297"/>
      <c r="E6875" s="1297"/>
      <c r="F6875" s="1297"/>
      <c r="G6875" s="1297"/>
      <c r="H6875" s="1297"/>
      <c r="I6875" s="1297"/>
      <c r="J6875" s="1297"/>
      <c r="K6875" s="1297"/>
    </row>
    <row r="6876" spans="2:11">
      <c r="B6876" s="1297"/>
      <c r="C6876" s="1297"/>
      <c r="D6876" s="1297"/>
      <c r="E6876" s="1297"/>
      <c r="F6876" s="1297"/>
      <c r="G6876" s="1297"/>
      <c r="H6876" s="1297"/>
      <c r="I6876" s="1297"/>
      <c r="J6876" s="1297"/>
      <c r="K6876" s="1297"/>
    </row>
    <row r="6877" spans="2:11">
      <c r="B6877" s="1297"/>
      <c r="C6877" s="1297"/>
      <c r="D6877" s="1297"/>
      <c r="E6877" s="1297"/>
      <c r="F6877" s="1297"/>
      <c r="G6877" s="1297"/>
      <c r="H6877" s="1297"/>
      <c r="I6877" s="1297"/>
      <c r="J6877" s="1297"/>
      <c r="K6877" s="1297"/>
    </row>
    <row r="6878" spans="2:11">
      <c r="B6878" s="1297"/>
      <c r="C6878" s="1297"/>
      <c r="D6878" s="1297"/>
      <c r="E6878" s="1297"/>
      <c r="F6878" s="1297"/>
      <c r="G6878" s="1297"/>
      <c r="H6878" s="1297"/>
      <c r="I6878" s="1297"/>
      <c r="J6878" s="1297"/>
      <c r="K6878" s="1297"/>
    </row>
    <row r="6879" spans="2:11">
      <c r="B6879" s="1297"/>
      <c r="C6879" s="1297"/>
      <c r="D6879" s="1297"/>
      <c r="E6879" s="1297"/>
      <c r="F6879" s="1297"/>
      <c r="G6879" s="1297"/>
      <c r="H6879" s="1297"/>
      <c r="I6879" s="1297"/>
      <c r="J6879" s="1297"/>
      <c r="K6879" s="1297"/>
    </row>
    <row r="6880" spans="2:11">
      <c r="B6880" s="1297"/>
      <c r="C6880" s="1297"/>
      <c r="D6880" s="1297"/>
      <c r="E6880" s="1297"/>
      <c r="F6880" s="1297"/>
      <c r="G6880" s="1297"/>
      <c r="H6880" s="1297"/>
      <c r="I6880" s="1297"/>
      <c r="J6880" s="1297"/>
      <c r="K6880" s="1297"/>
    </row>
    <row r="6881" spans="2:11">
      <c r="B6881" s="1297"/>
      <c r="C6881" s="1297"/>
      <c r="D6881" s="1297"/>
      <c r="E6881" s="1297"/>
      <c r="F6881" s="1297"/>
      <c r="G6881" s="1297"/>
      <c r="H6881" s="1297"/>
      <c r="I6881" s="1297"/>
      <c r="J6881" s="1297"/>
      <c r="K6881" s="1297"/>
    </row>
    <row r="6882" spans="2:11">
      <c r="B6882" s="1297"/>
      <c r="C6882" s="1297"/>
      <c r="D6882" s="1297"/>
      <c r="E6882" s="1297"/>
      <c r="F6882" s="1297"/>
      <c r="G6882" s="1297"/>
      <c r="H6882" s="1297"/>
      <c r="I6882" s="1297"/>
      <c r="J6882" s="1297"/>
      <c r="K6882" s="1297"/>
    </row>
    <row r="6883" spans="2:11">
      <c r="B6883" s="1297"/>
      <c r="C6883" s="1297"/>
      <c r="D6883" s="1297"/>
      <c r="E6883" s="1297"/>
      <c r="F6883" s="1297"/>
      <c r="G6883" s="1297"/>
      <c r="H6883" s="1297"/>
      <c r="I6883" s="1297"/>
      <c r="J6883" s="1297"/>
      <c r="K6883" s="1297"/>
    </row>
    <row r="6884" spans="2:11">
      <c r="B6884" s="1297"/>
      <c r="C6884" s="1297"/>
      <c r="D6884" s="1297"/>
      <c r="E6884" s="1297"/>
      <c r="F6884" s="1297"/>
      <c r="G6884" s="1297"/>
      <c r="H6884" s="1297"/>
      <c r="I6884" s="1297"/>
      <c r="J6884" s="1297"/>
      <c r="K6884" s="1297"/>
    </row>
    <row r="6885" spans="2:11">
      <c r="B6885" s="1297"/>
      <c r="C6885" s="1297"/>
      <c r="D6885" s="1297"/>
      <c r="E6885" s="1297"/>
      <c r="F6885" s="1297"/>
      <c r="G6885" s="1297"/>
      <c r="H6885" s="1297"/>
      <c r="I6885" s="1297"/>
      <c r="J6885" s="1297"/>
      <c r="K6885" s="1297"/>
    </row>
    <row r="6886" spans="2:11">
      <c r="B6886" s="1297"/>
      <c r="C6886" s="1297"/>
      <c r="D6886" s="1297"/>
      <c r="E6886" s="1297"/>
      <c r="F6886" s="1297"/>
      <c r="G6886" s="1297"/>
      <c r="H6886" s="1297"/>
      <c r="I6886" s="1297"/>
      <c r="J6886" s="1297"/>
      <c r="K6886" s="1297"/>
    </row>
    <row r="6887" spans="2:11">
      <c r="B6887" s="1297"/>
      <c r="C6887" s="1297"/>
      <c r="D6887" s="1297"/>
      <c r="E6887" s="1297"/>
      <c r="F6887" s="1297"/>
      <c r="G6887" s="1297"/>
      <c r="H6887" s="1297"/>
      <c r="I6887" s="1297"/>
      <c r="J6887" s="1297"/>
      <c r="K6887" s="1297"/>
    </row>
    <row r="6888" spans="2:11">
      <c r="B6888" s="1297"/>
      <c r="C6888" s="1297"/>
      <c r="D6888" s="1297"/>
      <c r="E6888" s="1297"/>
      <c r="F6888" s="1297"/>
      <c r="G6888" s="1297"/>
      <c r="H6888" s="1297"/>
      <c r="I6888" s="1297"/>
      <c r="J6888" s="1297"/>
      <c r="K6888" s="1297"/>
    </row>
    <row r="6889" spans="2:11">
      <c r="B6889" s="1297"/>
      <c r="C6889" s="1297"/>
      <c r="D6889" s="1297"/>
      <c r="E6889" s="1297"/>
      <c r="F6889" s="1297"/>
      <c r="G6889" s="1297"/>
      <c r="H6889" s="1297"/>
      <c r="I6889" s="1297"/>
      <c r="J6889" s="1297"/>
      <c r="K6889" s="1297"/>
    </row>
    <row r="6890" spans="2:11">
      <c r="B6890" s="1297"/>
      <c r="C6890" s="1297"/>
      <c r="D6890" s="1297"/>
      <c r="E6890" s="1297"/>
      <c r="F6890" s="1297"/>
      <c r="G6890" s="1297"/>
      <c r="H6890" s="1297"/>
      <c r="I6890" s="1297"/>
      <c r="J6890" s="1297"/>
      <c r="K6890" s="1297"/>
    </row>
    <row r="6891" spans="2:11">
      <c r="B6891" s="1297"/>
      <c r="C6891" s="1297"/>
      <c r="D6891" s="1297"/>
      <c r="E6891" s="1297"/>
      <c r="F6891" s="1297"/>
      <c r="G6891" s="1297"/>
      <c r="H6891" s="1297"/>
      <c r="I6891" s="1297"/>
      <c r="J6891" s="1297"/>
      <c r="K6891" s="1297"/>
    </row>
    <row r="6892" spans="2:11">
      <c r="B6892" s="1297"/>
      <c r="C6892" s="1297"/>
      <c r="D6892" s="1297"/>
      <c r="E6892" s="1297"/>
      <c r="F6892" s="1297"/>
      <c r="G6892" s="1297"/>
      <c r="H6892" s="1297"/>
      <c r="I6892" s="1297"/>
      <c r="J6892" s="1297"/>
      <c r="K6892" s="1297"/>
    </row>
    <row r="6893" spans="2:11">
      <c r="B6893" s="1297"/>
      <c r="C6893" s="1297"/>
      <c r="D6893" s="1297"/>
      <c r="E6893" s="1297"/>
      <c r="F6893" s="1297"/>
      <c r="G6893" s="1297"/>
      <c r="H6893" s="1297"/>
      <c r="I6893" s="1297"/>
      <c r="J6893" s="1297"/>
      <c r="K6893" s="1297"/>
    </row>
    <row r="6894" spans="2:11">
      <c r="B6894" s="1297"/>
      <c r="C6894" s="1297"/>
      <c r="D6894" s="1297"/>
      <c r="E6894" s="1297"/>
      <c r="F6894" s="1297"/>
      <c r="G6894" s="1297"/>
      <c r="H6894" s="1297"/>
      <c r="I6894" s="1297"/>
      <c r="J6894" s="1297"/>
      <c r="K6894" s="1297"/>
    </row>
    <row r="6895" spans="2:11">
      <c r="B6895" s="1297"/>
      <c r="C6895" s="1297"/>
      <c r="D6895" s="1297"/>
      <c r="E6895" s="1297"/>
      <c r="F6895" s="1297"/>
      <c r="G6895" s="1297"/>
      <c r="H6895" s="1297"/>
      <c r="I6895" s="1297"/>
      <c r="J6895" s="1297"/>
      <c r="K6895" s="1297"/>
    </row>
    <row r="6896" spans="2:11">
      <c r="B6896" s="1297"/>
      <c r="C6896" s="1297"/>
      <c r="D6896" s="1297"/>
      <c r="E6896" s="1297"/>
      <c r="F6896" s="1297"/>
      <c r="G6896" s="1297"/>
      <c r="H6896" s="1297"/>
      <c r="I6896" s="1297"/>
      <c r="J6896" s="1297"/>
      <c r="K6896" s="1297"/>
    </row>
    <row r="6897" spans="2:11">
      <c r="B6897" s="1297"/>
      <c r="C6897" s="1297"/>
      <c r="D6897" s="1297"/>
      <c r="E6897" s="1297"/>
      <c r="F6897" s="1297"/>
      <c r="G6897" s="1297"/>
      <c r="H6897" s="1297"/>
      <c r="I6897" s="1297"/>
      <c r="J6897" s="1297"/>
      <c r="K6897" s="1297"/>
    </row>
    <row r="6898" spans="2:11">
      <c r="B6898" s="1297"/>
      <c r="C6898" s="1297"/>
      <c r="D6898" s="1297"/>
      <c r="E6898" s="1297"/>
      <c r="F6898" s="1297"/>
      <c r="G6898" s="1297"/>
      <c r="H6898" s="1297"/>
      <c r="I6898" s="1297"/>
      <c r="J6898" s="1297"/>
      <c r="K6898" s="1297"/>
    </row>
    <row r="6899" spans="2:11">
      <c r="B6899" s="1297"/>
      <c r="C6899" s="1297"/>
      <c r="D6899" s="1297"/>
      <c r="E6899" s="1297"/>
      <c r="F6899" s="1297"/>
      <c r="G6899" s="1297"/>
      <c r="H6899" s="1297"/>
      <c r="I6899" s="1297"/>
      <c r="J6899" s="1297"/>
      <c r="K6899" s="1297"/>
    </row>
    <row r="6900" spans="2:11">
      <c r="B6900" s="1297"/>
      <c r="C6900" s="1297"/>
      <c r="D6900" s="1297"/>
      <c r="E6900" s="1297"/>
      <c r="F6900" s="1297"/>
      <c r="G6900" s="1297"/>
      <c r="H6900" s="1297"/>
      <c r="I6900" s="1297"/>
      <c r="J6900" s="1297"/>
      <c r="K6900" s="1297"/>
    </row>
    <row r="6901" spans="2:11">
      <c r="B6901" s="1297"/>
      <c r="C6901" s="1297"/>
      <c r="D6901" s="1297"/>
      <c r="E6901" s="1297"/>
      <c r="F6901" s="1297"/>
      <c r="G6901" s="1297"/>
      <c r="H6901" s="1297"/>
      <c r="I6901" s="1297"/>
      <c r="J6901" s="1297"/>
      <c r="K6901" s="1297"/>
    </row>
    <row r="6902" spans="2:11">
      <c r="B6902" s="1297"/>
      <c r="C6902" s="1297"/>
      <c r="D6902" s="1297"/>
      <c r="E6902" s="1297"/>
      <c r="F6902" s="1297"/>
      <c r="G6902" s="1297"/>
      <c r="H6902" s="1297"/>
      <c r="I6902" s="1297"/>
      <c r="J6902" s="1297"/>
      <c r="K6902" s="1297"/>
    </row>
    <row r="6903" spans="2:11">
      <c r="B6903" s="1297"/>
      <c r="C6903" s="1297"/>
      <c r="D6903" s="1297"/>
      <c r="E6903" s="1297"/>
      <c r="F6903" s="1297"/>
      <c r="G6903" s="1297"/>
      <c r="H6903" s="1297"/>
      <c r="I6903" s="1297"/>
      <c r="J6903" s="1297"/>
      <c r="K6903" s="1297"/>
    </row>
    <row r="6904" spans="2:11">
      <c r="B6904" s="1297"/>
      <c r="C6904" s="1297"/>
      <c r="D6904" s="1297"/>
      <c r="E6904" s="1297"/>
      <c r="F6904" s="1297"/>
      <c r="G6904" s="1297"/>
      <c r="H6904" s="1297"/>
      <c r="I6904" s="1297"/>
      <c r="J6904" s="1297"/>
      <c r="K6904" s="1297"/>
    </row>
    <row r="6905" spans="2:11">
      <c r="B6905" s="1297"/>
      <c r="C6905" s="1297"/>
      <c r="D6905" s="1297"/>
      <c r="E6905" s="1297"/>
      <c r="F6905" s="1297"/>
      <c r="G6905" s="1297"/>
      <c r="H6905" s="1297"/>
      <c r="I6905" s="1297"/>
      <c r="J6905" s="1297"/>
      <c r="K6905" s="1297"/>
    </row>
    <row r="6906" spans="2:11">
      <c r="B6906" s="1297"/>
      <c r="C6906" s="1297"/>
      <c r="D6906" s="1297"/>
      <c r="E6906" s="1297"/>
      <c r="F6906" s="1297"/>
      <c r="G6906" s="1297"/>
      <c r="H6906" s="1297"/>
      <c r="I6906" s="1297"/>
      <c r="J6906" s="1297"/>
      <c r="K6906" s="1297"/>
    </row>
    <row r="6907" spans="2:11">
      <c r="B6907" s="1297"/>
      <c r="C6907" s="1297"/>
      <c r="D6907" s="1297"/>
      <c r="E6907" s="1297"/>
      <c r="F6907" s="1297"/>
      <c r="G6907" s="1297"/>
      <c r="H6907" s="1297"/>
      <c r="I6907" s="1297"/>
      <c r="J6907" s="1297"/>
      <c r="K6907" s="1297"/>
    </row>
    <row r="6908" spans="2:11">
      <c r="B6908" s="1297"/>
      <c r="C6908" s="1297"/>
      <c r="D6908" s="1297"/>
      <c r="E6908" s="1297"/>
      <c r="F6908" s="1297"/>
      <c r="G6908" s="1297"/>
      <c r="H6908" s="1297"/>
      <c r="I6908" s="1297"/>
      <c r="J6908" s="1297"/>
      <c r="K6908" s="1297"/>
    </row>
    <row r="6909" spans="2:11">
      <c r="B6909" s="1297"/>
      <c r="C6909" s="1297"/>
      <c r="D6909" s="1297"/>
      <c r="E6909" s="1297"/>
      <c r="F6909" s="1297"/>
      <c r="G6909" s="1297"/>
      <c r="H6909" s="1297"/>
      <c r="I6909" s="1297"/>
      <c r="J6909" s="1297"/>
      <c r="K6909" s="1297"/>
    </row>
    <row r="6910" spans="2:11">
      <c r="B6910" s="1297"/>
      <c r="C6910" s="1297"/>
      <c r="D6910" s="1297"/>
      <c r="E6910" s="1297"/>
      <c r="F6910" s="1297"/>
      <c r="G6910" s="1297"/>
      <c r="H6910" s="1297"/>
      <c r="I6910" s="1297"/>
      <c r="J6910" s="1297"/>
      <c r="K6910" s="1297"/>
    </row>
    <row r="6911" spans="2:11">
      <c r="B6911" s="1297"/>
      <c r="C6911" s="1297"/>
      <c r="D6911" s="1297"/>
      <c r="E6911" s="1297"/>
      <c r="F6911" s="1297"/>
      <c r="G6911" s="1297"/>
      <c r="H6911" s="1297"/>
      <c r="I6911" s="1297"/>
      <c r="J6911" s="1297"/>
      <c r="K6911" s="1297"/>
    </row>
    <row r="6912" spans="2:11">
      <c r="B6912" s="1297"/>
      <c r="C6912" s="1297"/>
      <c r="D6912" s="1297"/>
      <c r="E6912" s="1297"/>
      <c r="F6912" s="1297"/>
      <c r="G6912" s="1297"/>
      <c r="H6912" s="1297"/>
      <c r="I6912" s="1297"/>
      <c r="J6912" s="1297"/>
      <c r="K6912" s="1297"/>
    </row>
    <row r="6913" spans="2:11">
      <c r="B6913" s="1297"/>
      <c r="C6913" s="1297"/>
      <c r="D6913" s="1297"/>
      <c r="E6913" s="1297"/>
      <c r="F6913" s="1297"/>
      <c r="G6913" s="1297"/>
      <c r="H6913" s="1297"/>
      <c r="I6913" s="1297"/>
      <c r="J6913" s="1297"/>
      <c r="K6913" s="1297"/>
    </row>
    <row r="6914" spans="2:11">
      <c r="B6914" s="1297"/>
      <c r="C6914" s="1297"/>
      <c r="D6914" s="1297"/>
      <c r="E6914" s="1297"/>
      <c r="F6914" s="1297"/>
      <c r="G6914" s="1297"/>
      <c r="H6914" s="1297"/>
      <c r="I6914" s="1297"/>
      <c r="J6914" s="1297"/>
      <c r="K6914" s="1297"/>
    </row>
    <row r="6915" spans="2:11">
      <c r="B6915" s="1297"/>
      <c r="C6915" s="1297"/>
      <c r="D6915" s="1297"/>
      <c r="E6915" s="1297"/>
      <c r="F6915" s="1297"/>
      <c r="G6915" s="1297"/>
      <c r="H6915" s="1297"/>
      <c r="I6915" s="1297"/>
      <c r="J6915" s="1297"/>
      <c r="K6915" s="1297"/>
    </row>
    <row r="6916" spans="2:11">
      <c r="B6916" s="1297"/>
      <c r="C6916" s="1297"/>
      <c r="D6916" s="1297"/>
      <c r="E6916" s="1297"/>
      <c r="F6916" s="1297"/>
      <c r="G6916" s="1297"/>
      <c r="H6916" s="1297"/>
      <c r="I6916" s="1297"/>
      <c r="J6916" s="1297"/>
      <c r="K6916" s="1297"/>
    </row>
    <row r="6917" spans="2:11">
      <c r="B6917" s="1297"/>
      <c r="C6917" s="1297"/>
      <c r="D6917" s="1297"/>
      <c r="E6917" s="1297"/>
      <c r="F6917" s="1297"/>
      <c r="G6917" s="1297"/>
      <c r="H6917" s="1297"/>
      <c r="I6917" s="1297"/>
      <c r="J6917" s="1297"/>
      <c r="K6917" s="1297"/>
    </row>
    <row r="6918" spans="2:11">
      <c r="B6918" s="1297"/>
      <c r="C6918" s="1297"/>
      <c r="D6918" s="1297"/>
      <c r="E6918" s="1297"/>
      <c r="F6918" s="1297"/>
      <c r="G6918" s="1297"/>
      <c r="H6918" s="1297"/>
      <c r="I6918" s="1297"/>
      <c r="J6918" s="1297"/>
      <c r="K6918" s="1297"/>
    </row>
    <row r="6919" spans="2:11">
      <c r="B6919" s="1297"/>
      <c r="C6919" s="1297"/>
      <c r="D6919" s="1297"/>
      <c r="E6919" s="1297"/>
      <c r="F6919" s="1297"/>
      <c r="G6919" s="1297"/>
      <c r="H6919" s="1297"/>
      <c r="I6919" s="1297"/>
      <c r="J6919" s="1297"/>
      <c r="K6919" s="1297"/>
    </row>
    <row r="6920" spans="2:11">
      <c r="B6920" s="1297"/>
      <c r="C6920" s="1297"/>
      <c r="D6920" s="1297"/>
      <c r="E6920" s="1297"/>
      <c r="F6920" s="1297"/>
      <c r="G6920" s="1297"/>
      <c r="H6920" s="1297"/>
      <c r="I6920" s="1297"/>
      <c r="J6920" s="1297"/>
      <c r="K6920" s="1297"/>
    </row>
    <row r="6921" spans="2:11">
      <c r="B6921" s="1297"/>
      <c r="C6921" s="1297"/>
      <c r="D6921" s="1297"/>
      <c r="E6921" s="1297"/>
      <c r="F6921" s="1297"/>
      <c r="G6921" s="1297"/>
      <c r="H6921" s="1297"/>
      <c r="I6921" s="1297"/>
      <c r="J6921" s="1297"/>
      <c r="K6921" s="1297"/>
    </row>
    <row r="6922" spans="2:11">
      <c r="B6922" s="1297"/>
      <c r="C6922" s="1297"/>
      <c r="D6922" s="1297"/>
      <c r="E6922" s="1297"/>
      <c r="F6922" s="1297"/>
      <c r="G6922" s="1297"/>
      <c r="H6922" s="1297"/>
      <c r="I6922" s="1297"/>
      <c r="J6922" s="1297"/>
      <c r="K6922" s="1297"/>
    </row>
    <row r="6923" spans="2:11">
      <c r="B6923" s="1297"/>
      <c r="C6923" s="1297"/>
      <c r="D6923" s="1297"/>
      <c r="E6923" s="1297"/>
      <c r="F6923" s="1297"/>
      <c r="G6923" s="1297"/>
      <c r="H6923" s="1297"/>
      <c r="I6923" s="1297"/>
      <c r="J6923" s="1297"/>
      <c r="K6923" s="1297"/>
    </row>
    <row r="6924" spans="2:11">
      <c r="B6924" s="1297"/>
      <c r="C6924" s="1297"/>
      <c r="D6924" s="1297"/>
      <c r="E6924" s="1297"/>
      <c r="F6924" s="1297"/>
      <c r="G6924" s="1297"/>
      <c r="H6924" s="1297"/>
      <c r="I6924" s="1297"/>
      <c r="J6924" s="1297"/>
      <c r="K6924" s="1297"/>
    </row>
    <row r="6925" spans="2:11">
      <c r="B6925" s="1297"/>
      <c r="C6925" s="1297"/>
      <c r="D6925" s="1297"/>
      <c r="E6925" s="1297"/>
      <c r="F6925" s="1297"/>
      <c r="G6925" s="1297"/>
      <c r="H6925" s="1297"/>
      <c r="I6925" s="1297"/>
      <c r="J6925" s="1297"/>
      <c r="K6925" s="1297"/>
    </row>
    <row r="6926" spans="2:11">
      <c r="B6926" s="1297"/>
      <c r="C6926" s="1297"/>
      <c r="D6926" s="1297"/>
      <c r="E6926" s="1297"/>
      <c r="F6926" s="1297"/>
      <c r="G6926" s="1297"/>
      <c r="H6926" s="1297"/>
      <c r="I6926" s="1297"/>
      <c r="J6926" s="1297"/>
      <c r="K6926" s="1297"/>
    </row>
    <row r="6927" spans="2:11">
      <c r="B6927" s="1297"/>
      <c r="C6927" s="1297"/>
      <c r="D6927" s="1297"/>
      <c r="E6927" s="1297"/>
      <c r="F6927" s="1297"/>
      <c r="G6927" s="1297"/>
      <c r="H6927" s="1297"/>
      <c r="I6927" s="1297"/>
      <c r="J6927" s="1297"/>
      <c r="K6927" s="1297"/>
    </row>
    <row r="6928" spans="2:11">
      <c r="B6928" s="1297"/>
      <c r="C6928" s="1297"/>
      <c r="D6928" s="1297"/>
      <c r="E6928" s="1297"/>
      <c r="F6928" s="1297"/>
      <c r="G6928" s="1297"/>
      <c r="H6928" s="1297"/>
      <c r="I6928" s="1297"/>
      <c r="J6928" s="1297"/>
      <c r="K6928" s="1297"/>
    </row>
    <row r="6929" spans="2:11">
      <c r="B6929" s="1297"/>
      <c r="C6929" s="1297"/>
      <c r="D6929" s="1297"/>
      <c r="E6929" s="1297"/>
      <c r="F6929" s="1297"/>
      <c r="G6929" s="1297"/>
      <c r="H6929" s="1297"/>
      <c r="I6929" s="1297"/>
      <c r="J6929" s="1297"/>
      <c r="K6929" s="1297"/>
    </row>
    <row r="6930" spans="2:11">
      <c r="B6930" s="1297"/>
      <c r="C6930" s="1297"/>
      <c r="D6930" s="1297"/>
      <c r="E6930" s="1297"/>
      <c r="F6930" s="1297"/>
      <c r="G6930" s="1297"/>
      <c r="H6930" s="1297"/>
      <c r="I6930" s="1297"/>
      <c r="J6930" s="1297"/>
      <c r="K6930" s="1297"/>
    </row>
    <row r="6931" spans="2:11">
      <c r="B6931" s="1297"/>
      <c r="C6931" s="1297"/>
      <c r="D6931" s="1297"/>
      <c r="E6931" s="1297"/>
      <c r="F6931" s="1297"/>
      <c r="G6931" s="1297"/>
      <c r="H6931" s="1297"/>
      <c r="I6931" s="1297"/>
      <c r="J6931" s="1297"/>
      <c r="K6931" s="1297"/>
    </row>
    <row r="6932" spans="2:11">
      <c r="B6932" s="1297"/>
      <c r="C6932" s="1297"/>
      <c r="D6932" s="1297"/>
      <c r="E6932" s="1297"/>
      <c r="F6932" s="1297"/>
      <c r="G6932" s="1297"/>
      <c r="H6932" s="1297"/>
      <c r="I6932" s="1297"/>
      <c r="J6932" s="1297"/>
      <c r="K6932" s="1297"/>
    </row>
    <row r="6933" spans="2:11">
      <c r="B6933" s="1297"/>
      <c r="C6933" s="1297"/>
      <c r="D6933" s="1297"/>
      <c r="E6933" s="1297"/>
      <c r="F6933" s="1297"/>
      <c r="G6933" s="1297"/>
      <c r="H6933" s="1297"/>
      <c r="I6933" s="1297"/>
      <c r="J6933" s="1297"/>
      <c r="K6933" s="1297"/>
    </row>
    <row r="6934" spans="2:11">
      <c r="B6934" s="1297"/>
      <c r="C6934" s="1297"/>
      <c r="D6934" s="1297"/>
      <c r="E6934" s="1297"/>
      <c r="F6934" s="1297"/>
      <c r="G6934" s="1297"/>
      <c r="H6934" s="1297"/>
      <c r="I6934" s="1297"/>
      <c r="J6934" s="1297"/>
      <c r="K6934" s="1297"/>
    </row>
    <row r="6935" spans="2:11">
      <c r="B6935" s="1297"/>
      <c r="C6935" s="1297"/>
      <c r="D6935" s="1297"/>
      <c r="E6935" s="1297"/>
      <c r="F6935" s="1297"/>
      <c r="G6935" s="1297"/>
      <c r="H6935" s="1297"/>
      <c r="I6935" s="1297"/>
      <c r="J6935" s="1297"/>
      <c r="K6935" s="1297"/>
    </row>
    <row r="6936" spans="2:11">
      <c r="B6936" s="1297"/>
      <c r="C6936" s="1297"/>
      <c r="D6936" s="1297"/>
      <c r="E6936" s="1297"/>
      <c r="F6936" s="1297"/>
      <c r="G6936" s="1297"/>
      <c r="H6936" s="1297"/>
      <c r="I6936" s="1297"/>
      <c r="J6936" s="1297"/>
      <c r="K6936" s="1297"/>
    </row>
    <row r="6937" spans="2:11">
      <c r="B6937" s="1297"/>
      <c r="C6937" s="1297"/>
      <c r="D6937" s="1297"/>
      <c r="E6937" s="1297"/>
      <c r="F6937" s="1297"/>
      <c r="G6937" s="1297"/>
      <c r="H6937" s="1297"/>
      <c r="I6937" s="1297"/>
      <c r="J6937" s="1297"/>
      <c r="K6937" s="1297"/>
    </row>
    <row r="6938" spans="2:11">
      <c r="B6938" s="1297"/>
      <c r="C6938" s="1297"/>
      <c r="D6938" s="1297"/>
      <c r="E6938" s="1297"/>
      <c r="F6938" s="1297"/>
      <c r="G6938" s="1297"/>
      <c r="H6938" s="1297"/>
      <c r="I6938" s="1297"/>
      <c r="J6938" s="1297"/>
      <c r="K6938" s="1297"/>
    </row>
    <row r="6939" spans="2:11">
      <c r="B6939" s="1297"/>
      <c r="C6939" s="1297"/>
      <c r="D6939" s="1297"/>
      <c r="E6939" s="1297"/>
      <c r="F6939" s="1297"/>
      <c r="G6939" s="1297"/>
      <c r="H6939" s="1297"/>
      <c r="I6939" s="1297"/>
      <c r="J6939" s="1297"/>
      <c r="K6939" s="1297"/>
    </row>
    <row r="6940" spans="2:11">
      <c r="B6940" s="1297"/>
      <c r="C6940" s="1297"/>
      <c r="D6940" s="1297"/>
      <c r="E6940" s="1297"/>
      <c r="F6940" s="1297"/>
      <c r="G6940" s="1297"/>
      <c r="H6940" s="1297"/>
      <c r="I6940" s="1297"/>
      <c r="J6940" s="1297"/>
      <c r="K6940" s="1297"/>
    </row>
    <row r="6941" spans="2:11">
      <c r="B6941" s="1297"/>
      <c r="C6941" s="1297"/>
      <c r="D6941" s="1297"/>
      <c r="E6941" s="1297"/>
      <c r="F6941" s="1297"/>
      <c r="G6941" s="1297"/>
      <c r="H6941" s="1297"/>
      <c r="I6941" s="1297"/>
      <c r="J6941" s="1297"/>
      <c r="K6941" s="1297"/>
    </row>
    <row r="6942" spans="2:11">
      <c r="B6942" s="1297"/>
      <c r="C6942" s="1297"/>
      <c r="D6942" s="1297"/>
      <c r="E6942" s="1297"/>
      <c r="F6942" s="1297"/>
      <c r="G6942" s="1297"/>
      <c r="H6942" s="1297"/>
      <c r="I6942" s="1297"/>
      <c r="J6942" s="1297"/>
      <c r="K6942" s="1297"/>
    </row>
    <row r="6943" spans="2:11">
      <c r="B6943" s="1297"/>
      <c r="C6943" s="1297"/>
      <c r="D6943" s="1297"/>
      <c r="E6943" s="1297"/>
      <c r="F6943" s="1297"/>
      <c r="G6943" s="1297"/>
      <c r="H6943" s="1297"/>
      <c r="I6943" s="1297"/>
      <c r="J6943" s="1297"/>
      <c r="K6943" s="1297"/>
    </row>
    <row r="6944" spans="2:11">
      <c r="B6944" s="1297"/>
      <c r="C6944" s="1297"/>
      <c r="D6944" s="1297"/>
      <c r="E6944" s="1297"/>
      <c r="F6944" s="1297"/>
      <c r="G6944" s="1297"/>
      <c r="H6944" s="1297"/>
      <c r="I6944" s="1297"/>
      <c r="J6944" s="1297"/>
      <c r="K6944" s="1297"/>
    </row>
    <row r="6945" spans="2:11">
      <c r="B6945" s="1297"/>
      <c r="C6945" s="1297"/>
      <c r="D6945" s="1297"/>
      <c r="E6945" s="1297"/>
      <c r="F6945" s="1297"/>
      <c r="G6945" s="1297"/>
      <c r="H6945" s="1297"/>
      <c r="I6945" s="1297"/>
      <c r="J6945" s="1297"/>
      <c r="K6945" s="1297"/>
    </row>
    <row r="6946" spans="2:11">
      <c r="B6946" s="1297"/>
      <c r="C6946" s="1297"/>
      <c r="D6946" s="1297"/>
      <c r="E6946" s="1297"/>
      <c r="F6946" s="1297"/>
      <c r="G6946" s="1297"/>
      <c r="H6946" s="1297"/>
      <c r="I6946" s="1297"/>
      <c r="J6946" s="1297"/>
      <c r="K6946" s="1297"/>
    </row>
    <row r="6947" spans="2:11">
      <c r="B6947" s="1297"/>
      <c r="C6947" s="1297"/>
      <c r="D6947" s="1297"/>
      <c r="E6947" s="1297"/>
      <c r="F6947" s="1297"/>
      <c r="G6947" s="1297"/>
      <c r="H6947" s="1297"/>
      <c r="I6947" s="1297"/>
      <c r="J6947" s="1297"/>
      <c r="K6947" s="1297"/>
    </row>
    <row r="6948" spans="2:11">
      <c r="B6948" s="1297"/>
      <c r="C6948" s="1297"/>
      <c r="D6948" s="1297"/>
      <c r="E6948" s="1297"/>
      <c r="F6948" s="1297"/>
      <c r="G6948" s="1297"/>
      <c r="H6948" s="1297"/>
      <c r="I6948" s="1297"/>
      <c r="J6948" s="1297"/>
      <c r="K6948" s="1297"/>
    </row>
    <row r="6949" spans="2:11">
      <c r="B6949" s="1297"/>
      <c r="C6949" s="1297"/>
      <c r="D6949" s="1297"/>
      <c r="E6949" s="1297"/>
      <c r="F6949" s="1297"/>
      <c r="G6949" s="1297"/>
      <c r="H6949" s="1297"/>
      <c r="I6949" s="1297"/>
      <c r="J6949" s="1297"/>
      <c r="K6949" s="1297"/>
    </row>
    <row r="6950" spans="2:11">
      <c r="B6950" s="1297"/>
      <c r="C6950" s="1297"/>
      <c r="D6950" s="1297"/>
      <c r="E6950" s="1297"/>
      <c r="F6950" s="1297"/>
      <c r="G6950" s="1297"/>
      <c r="H6950" s="1297"/>
      <c r="I6950" s="1297"/>
      <c r="J6950" s="1297"/>
      <c r="K6950" s="1297"/>
    </row>
    <row r="6951" spans="2:11">
      <c r="B6951" s="1297"/>
      <c r="C6951" s="1297"/>
      <c r="D6951" s="1297"/>
      <c r="E6951" s="1297"/>
      <c r="F6951" s="1297"/>
      <c r="G6951" s="1297"/>
      <c r="H6951" s="1297"/>
      <c r="I6951" s="1297"/>
      <c r="J6951" s="1297"/>
      <c r="K6951" s="1297"/>
    </row>
    <row r="6952" spans="2:11">
      <c r="B6952" s="1297"/>
      <c r="C6952" s="1297"/>
      <c r="D6952" s="1297"/>
      <c r="E6952" s="1297"/>
      <c r="F6952" s="1297"/>
      <c r="G6952" s="1297"/>
      <c r="H6952" s="1297"/>
      <c r="I6952" s="1297"/>
      <c r="J6952" s="1297"/>
      <c r="K6952" s="1297"/>
    </row>
    <row r="6953" spans="2:11">
      <c r="B6953" s="1297"/>
      <c r="C6953" s="1297"/>
      <c r="D6953" s="1297"/>
      <c r="E6953" s="1297"/>
      <c r="F6953" s="1297"/>
      <c r="G6953" s="1297"/>
      <c r="H6953" s="1297"/>
      <c r="I6953" s="1297"/>
      <c r="J6953" s="1297"/>
      <c r="K6953" s="1297"/>
    </row>
    <row r="6954" spans="2:11">
      <c r="B6954" s="1297"/>
      <c r="C6954" s="1297"/>
      <c r="D6954" s="1297"/>
      <c r="E6954" s="1297"/>
      <c r="F6954" s="1297"/>
      <c r="G6954" s="1297"/>
      <c r="H6954" s="1297"/>
      <c r="I6954" s="1297"/>
      <c r="J6954" s="1297"/>
      <c r="K6954" s="1297"/>
    </row>
    <row r="6955" spans="2:11">
      <c r="B6955" s="1297"/>
      <c r="C6955" s="1297"/>
      <c r="D6955" s="1297"/>
      <c r="E6955" s="1297"/>
      <c r="F6955" s="1297"/>
      <c r="G6955" s="1297"/>
      <c r="H6955" s="1297"/>
      <c r="I6955" s="1297"/>
      <c r="J6955" s="1297"/>
      <c r="K6955" s="1297"/>
    </row>
    <row r="6956" spans="2:11">
      <c r="B6956" s="1297"/>
      <c r="C6956" s="1297"/>
      <c r="D6956" s="1297"/>
      <c r="E6956" s="1297"/>
      <c r="F6956" s="1297"/>
      <c r="G6956" s="1297"/>
      <c r="H6956" s="1297"/>
      <c r="I6956" s="1297"/>
      <c r="J6956" s="1297"/>
      <c r="K6956" s="1297"/>
    </row>
    <row r="6957" spans="2:11">
      <c r="B6957" s="1297"/>
      <c r="C6957" s="1297"/>
      <c r="D6957" s="1297"/>
      <c r="E6957" s="1297"/>
      <c r="F6957" s="1297"/>
      <c r="G6957" s="1297"/>
      <c r="H6957" s="1297"/>
      <c r="I6957" s="1297"/>
      <c r="J6957" s="1297"/>
      <c r="K6957" s="1297"/>
    </row>
    <row r="6958" spans="2:11">
      <c r="B6958" s="1297"/>
      <c r="C6958" s="1297"/>
      <c r="D6958" s="1297"/>
      <c r="E6958" s="1297"/>
      <c r="F6958" s="1297"/>
      <c r="G6958" s="1297"/>
      <c r="H6958" s="1297"/>
      <c r="I6958" s="1297"/>
      <c r="J6958" s="1297"/>
      <c r="K6958" s="1297"/>
    </row>
    <row r="6959" spans="2:11">
      <c r="B6959" s="1297"/>
      <c r="C6959" s="1297"/>
      <c r="D6959" s="1297"/>
      <c r="E6959" s="1297"/>
      <c r="F6959" s="1297"/>
      <c r="G6959" s="1297"/>
      <c r="H6959" s="1297"/>
      <c r="I6959" s="1297"/>
      <c r="J6959" s="1297"/>
      <c r="K6959" s="1297"/>
    </row>
    <row r="6960" spans="2:11">
      <c r="B6960" s="1297"/>
      <c r="C6960" s="1297"/>
      <c r="D6960" s="1297"/>
      <c r="E6960" s="1297"/>
      <c r="F6960" s="1297"/>
      <c r="G6960" s="1297"/>
      <c r="H6960" s="1297"/>
      <c r="I6960" s="1297"/>
      <c r="J6960" s="1297"/>
      <c r="K6960" s="1297"/>
    </row>
    <row r="6961" spans="2:11">
      <c r="B6961" s="1297"/>
      <c r="C6961" s="1297"/>
      <c r="D6961" s="1297"/>
      <c r="E6961" s="1297"/>
      <c r="F6961" s="1297"/>
      <c r="G6961" s="1297"/>
      <c r="H6961" s="1297"/>
      <c r="I6961" s="1297"/>
      <c r="J6961" s="1297"/>
      <c r="K6961" s="1297"/>
    </row>
    <row r="6962" spans="2:11">
      <c r="B6962" s="1297"/>
      <c r="C6962" s="1297"/>
      <c r="D6962" s="1297"/>
      <c r="E6962" s="1297"/>
      <c r="F6962" s="1297"/>
      <c r="G6962" s="1297"/>
      <c r="H6962" s="1297"/>
      <c r="I6962" s="1297"/>
      <c r="J6962" s="1297"/>
      <c r="K6962" s="1297"/>
    </row>
    <row r="6963" spans="2:11">
      <c r="B6963" s="1297"/>
      <c r="C6963" s="1297"/>
      <c r="D6963" s="1297"/>
      <c r="E6963" s="1297"/>
      <c r="F6963" s="1297"/>
      <c r="G6963" s="1297"/>
      <c r="H6963" s="1297"/>
      <c r="I6963" s="1297"/>
      <c r="J6963" s="1297"/>
      <c r="K6963" s="1297"/>
    </row>
    <row r="6964" spans="2:11">
      <c r="B6964" s="1297"/>
      <c r="C6964" s="1297"/>
      <c r="D6964" s="1297"/>
      <c r="E6964" s="1297"/>
      <c r="F6964" s="1297"/>
      <c r="G6964" s="1297"/>
      <c r="H6964" s="1297"/>
      <c r="I6964" s="1297"/>
      <c r="J6964" s="1297"/>
      <c r="K6964" s="1297"/>
    </row>
    <row r="6965" spans="2:11">
      <c r="B6965" s="1297"/>
      <c r="C6965" s="1297"/>
      <c r="D6965" s="1297"/>
      <c r="E6965" s="1297"/>
      <c r="F6965" s="1297"/>
      <c r="G6965" s="1297"/>
      <c r="H6965" s="1297"/>
      <c r="I6965" s="1297"/>
      <c r="J6965" s="1297"/>
      <c r="K6965" s="1297"/>
    </row>
    <row r="6966" spans="2:11">
      <c r="B6966" s="1297"/>
      <c r="C6966" s="1297"/>
      <c r="D6966" s="1297"/>
      <c r="E6966" s="1297"/>
      <c r="F6966" s="1297"/>
      <c r="G6966" s="1297"/>
      <c r="H6966" s="1297"/>
      <c r="I6966" s="1297"/>
      <c r="J6966" s="1297"/>
      <c r="K6966" s="1297"/>
    </row>
    <row r="6967" spans="2:11">
      <c r="B6967" s="1297"/>
      <c r="C6967" s="1297"/>
      <c r="D6967" s="1297"/>
      <c r="E6967" s="1297"/>
      <c r="F6967" s="1297"/>
      <c r="G6967" s="1297"/>
      <c r="H6967" s="1297"/>
      <c r="I6967" s="1297"/>
      <c r="J6967" s="1297"/>
      <c r="K6967" s="1297"/>
    </row>
    <row r="6968" spans="2:11">
      <c r="B6968" s="1297"/>
      <c r="C6968" s="1297"/>
      <c r="D6968" s="1297"/>
      <c r="E6968" s="1297"/>
      <c r="F6968" s="1297"/>
      <c r="G6968" s="1297"/>
      <c r="H6968" s="1297"/>
      <c r="I6968" s="1297"/>
      <c r="J6968" s="1297"/>
      <c r="K6968" s="1297"/>
    </row>
    <row r="6969" spans="2:11">
      <c r="B6969" s="1297"/>
      <c r="C6969" s="1297"/>
      <c r="D6969" s="1297"/>
      <c r="E6969" s="1297"/>
      <c r="F6969" s="1297"/>
      <c r="G6969" s="1297"/>
      <c r="H6969" s="1297"/>
      <c r="I6969" s="1297"/>
      <c r="J6969" s="1297"/>
      <c r="K6969" s="1297"/>
    </row>
    <row r="6970" spans="2:11">
      <c r="B6970" s="1297"/>
      <c r="C6970" s="1297"/>
      <c r="D6970" s="1297"/>
      <c r="E6970" s="1297"/>
      <c r="F6970" s="1297"/>
      <c r="G6970" s="1297"/>
      <c r="H6970" s="1297"/>
      <c r="I6970" s="1297"/>
      <c r="J6970" s="1297"/>
      <c r="K6970" s="1297"/>
    </row>
    <row r="6971" spans="2:11">
      <c r="B6971" s="1297"/>
      <c r="C6971" s="1297"/>
      <c r="D6971" s="1297"/>
      <c r="E6971" s="1297"/>
      <c r="F6971" s="1297"/>
      <c r="G6971" s="1297"/>
      <c r="H6971" s="1297"/>
      <c r="I6971" s="1297"/>
      <c r="J6971" s="1297"/>
      <c r="K6971" s="1297"/>
    </row>
    <row r="6972" spans="2:11">
      <c r="B6972" s="1297"/>
      <c r="C6972" s="1297"/>
      <c r="D6972" s="1297"/>
      <c r="E6972" s="1297"/>
      <c r="F6972" s="1297"/>
      <c r="G6972" s="1297"/>
      <c r="H6972" s="1297"/>
      <c r="I6972" s="1297"/>
      <c r="J6972" s="1297"/>
      <c r="K6972" s="1297"/>
    </row>
    <row r="6973" spans="2:11">
      <c r="B6973" s="1297"/>
      <c r="C6973" s="1297"/>
      <c r="D6973" s="1297"/>
      <c r="E6973" s="1297"/>
      <c r="F6973" s="1297"/>
      <c r="G6973" s="1297"/>
      <c r="H6973" s="1297"/>
      <c r="I6973" s="1297"/>
      <c r="J6973" s="1297"/>
      <c r="K6973" s="1297"/>
    </row>
    <row r="6974" spans="2:11">
      <c r="B6974" s="1297"/>
      <c r="C6974" s="1297"/>
      <c r="D6974" s="1297"/>
      <c r="E6974" s="1297"/>
      <c r="F6974" s="1297"/>
      <c r="G6974" s="1297"/>
      <c r="H6974" s="1297"/>
      <c r="I6974" s="1297"/>
      <c r="J6974" s="1297"/>
      <c r="K6974" s="1297"/>
    </row>
    <row r="6975" spans="2:11">
      <c r="B6975" s="1297"/>
      <c r="C6975" s="1297"/>
      <c r="D6975" s="1297"/>
      <c r="E6975" s="1297"/>
      <c r="F6975" s="1297"/>
      <c r="G6975" s="1297"/>
      <c r="H6975" s="1297"/>
      <c r="I6975" s="1297"/>
      <c r="J6975" s="1297"/>
      <c r="K6975" s="1297"/>
    </row>
    <row r="6976" spans="2:11">
      <c r="B6976" s="1297"/>
      <c r="C6976" s="1297"/>
      <c r="D6976" s="1297"/>
      <c r="E6976" s="1297"/>
      <c r="F6976" s="1297"/>
      <c r="G6976" s="1297"/>
      <c r="H6976" s="1297"/>
      <c r="I6976" s="1297"/>
      <c r="J6976" s="1297"/>
      <c r="K6976" s="1297"/>
    </row>
    <row r="6977" spans="2:11">
      <c r="B6977" s="1297"/>
      <c r="C6977" s="1297"/>
      <c r="D6977" s="1297"/>
      <c r="E6977" s="1297"/>
      <c r="F6977" s="1297"/>
      <c r="G6977" s="1297"/>
      <c r="H6977" s="1297"/>
      <c r="I6977" s="1297"/>
      <c r="J6977" s="1297"/>
      <c r="K6977" s="1297"/>
    </row>
    <row r="6978" spans="2:11">
      <c r="B6978" s="1297"/>
      <c r="C6978" s="1297"/>
      <c r="D6978" s="1297"/>
      <c r="E6978" s="1297"/>
      <c r="F6978" s="1297"/>
      <c r="G6978" s="1297"/>
      <c r="H6978" s="1297"/>
      <c r="I6978" s="1297"/>
      <c r="J6978" s="1297"/>
      <c r="K6978" s="1297"/>
    </row>
    <row r="6979" spans="2:11">
      <c r="B6979" s="1297"/>
      <c r="C6979" s="1297"/>
      <c r="D6979" s="1297"/>
      <c r="E6979" s="1297"/>
      <c r="F6979" s="1297"/>
      <c r="G6979" s="1297"/>
      <c r="H6979" s="1297"/>
      <c r="I6979" s="1297"/>
      <c r="J6979" s="1297"/>
      <c r="K6979" s="1297"/>
    </row>
    <row r="6980" spans="2:11">
      <c r="B6980" s="1297"/>
      <c r="C6980" s="1297"/>
      <c r="D6980" s="1297"/>
      <c r="E6980" s="1297"/>
      <c r="F6980" s="1297"/>
      <c r="G6980" s="1297"/>
      <c r="H6980" s="1297"/>
      <c r="I6980" s="1297"/>
      <c r="J6980" s="1297"/>
      <c r="K6980" s="1297"/>
    </row>
    <row r="6981" spans="2:11">
      <c r="B6981" s="1297"/>
      <c r="C6981" s="1297"/>
      <c r="D6981" s="1297"/>
      <c r="E6981" s="1297"/>
      <c r="F6981" s="1297"/>
      <c r="G6981" s="1297"/>
      <c r="H6981" s="1297"/>
      <c r="I6981" s="1297"/>
      <c r="J6981" s="1297"/>
      <c r="K6981" s="1297"/>
    </row>
    <row r="6982" spans="2:11">
      <c r="B6982" s="1297"/>
      <c r="C6982" s="1297"/>
      <c r="D6982" s="1297"/>
      <c r="E6982" s="1297"/>
      <c r="F6982" s="1297"/>
      <c r="G6982" s="1297"/>
      <c r="H6982" s="1297"/>
      <c r="I6982" s="1297"/>
      <c r="J6982" s="1297"/>
    </row>
    <row r="6983" spans="2:11">
      <c r="B6983" s="1297"/>
      <c r="C6983" s="1297"/>
      <c r="D6983" s="1297"/>
      <c r="E6983" s="1297"/>
      <c r="F6983" s="1297"/>
      <c r="G6983" s="1297"/>
      <c r="H6983" s="1297"/>
      <c r="I6983" s="1297"/>
      <c r="J6983" s="1297"/>
    </row>
    <row r="6984" spans="2:11">
      <c r="B6984" s="1297"/>
      <c r="C6984" s="1297"/>
      <c r="D6984" s="1297"/>
      <c r="E6984" s="1297"/>
      <c r="F6984" s="1297"/>
      <c r="G6984" s="1297"/>
      <c r="H6984" s="1297"/>
      <c r="I6984" s="1297"/>
      <c r="J6984" s="1297"/>
    </row>
    <row r="6985" spans="2:11">
      <c r="B6985" s="1297"/>
      <c r="C6985" s="1297"/>
      <c r="D6985" s="1297"/>
      <c r="E6985" s="1297"/>
    </row>
    <row r="6986" spans="2:11">
      <c r="B6986" s="1297"/>
      <c r="C6986" s="1297"/>
      <c r="D6986" s="1297"/>
      <c r="E6986" s="1297"/>
    </row>
    <row r="6987" spans="2:11">
      <c r="B6987" s="1297"/>
      <c r="C6987" s="1297"/>
      <c r="D6987" s="1297"/>
      <c r="E6987" s="1297"/>
    </row>
    <row r="6988" spans="2:11">
      <c r="B6988" s="1297"/>
      <c r="C6988" s="1297"/>
      <c r="D6988" s="1297"/>
      <c r="E6988" s="1297"/>
    </row>
    <row r="6989" spans="2:11">
      <c r="B6989" s="1297"/>
      <c r="C6989" s="1297"/>
      <c r="D6989" s="1297"/>
      <c r="E6989" s="1297"/>
    </row>
    <row r="6990" spans="2:11">
      <c r="B6990" s="1297"/>
      <c r="C6990" s="1297"/>
      <c r="D6990" s="1297"/>
      <c r="E6990" s="1297"/>
      <c r="F6990" s="1297"/>
      <c r="G6990" s="1297"/>
      <c r="H6990" s="1297"/>
      <c r="I6990" s="1297"/>
      <c r="J6990" s="1297"/>
      <c r="K6990" s="1297"/>
    </row>
    <row r="6991" spans="2:11">
      <c r="B6991" s="1297"/>
      <c r="C6991" s="1297"/>
      <c r="D6991" s="1297"/>
      <c r="E6991" s="1297"/>
      <c r="F6991" s="1297"/>
      <c r="G6991" s="1297"/>
      <c r="H6991" s="1297"/>
      <c r="I6991" s="1297"/>
      <c r="J6991" s="1297"/>
      <c r="K6991" s="1297"/>
    </row>
    <row r="6992" spans="2:11">
      <c r="B6992" s="1297"/>
      <c r="C6992" s="1297"/>
      <c r="D6992" s="1297"/>
      <c r="E6992" s="1297"/>
      <c r="F6992" s="1297"/>
      <c r="G6992" s="1297"/>
      <c r="H6992" s="1297"/>
      <c r="I6992" s="1297"/>
      <c r="J6992" s="1297"/>
      <c r="K6992" s="1297"/>
    </row>
    <row r="6993" spans="2:11">
      <c r="B6993" s="1297"/>
      <c r="C6993" s="1297"/>
      <c r="D6993" s="1297"/>
      <c r="E6993" s="1297"/>
      <c r="F6993" s="1297"/>
      <c r="G6993" s="1297"/>
      <c r="H6993" s="1297"/>
      <c r="I6993" s="1297"/>
      <c r="J6993" s="1297"/>
      <c r="K6993" s="1297"/>
    </row>
    <row r="6994" spans="2:11">
      <c r="B6994" s="1297"/>
      <c r="C6994" s="1297"/>
      <c r="D6994" s="1297"/>
      <c r="E6994" s="1297"/>
      <c r="F6994" s="1297"/>
      <c r="G6994" s="1297"/>
      <c r="H6994" s="1297"/>
      <c r="I6994" s="1297"/>
      <c r="J6994" s="1297"/>
      <c r="K6994" s="1297"/>
    </row>
    <row r="6995" spans="2:11">
      <c r="B6995" s="1297"/>
      <c r="C6995" s="1297"/>
      <c r="D6995" s="1297"/>
      <c r="E6995" s="1297"/>
      <c r="F6995" s="1297"/>
      <c r="G6995" s="1297"/>
      <c r="H6995" s="1297"/>
      <c r="I6995" s="1297"/>
      <c r="J6995" s="1297"/>
      <c r="K6995" s="1297"/>
    </row>
    <row r="6996" spans="2:11">
      <c r="B6996" s="1297"/>
      <c r="C6996" s="1297"/>
      <c r="D6996" s="1297"/>
      <c r="E6996" s="1297"/>
      <c r="F6996" s="1297"/>
      <c r="G6996" s="1297"/>
      <c r="H6996" s="1297"/>
      <c r="I6996" s="1297"/>
      <c r="J6996" s="1297"/>
      <c r="K6996" s="1297"/>
    </row>
    <row r="6997" spans="2:11">
      <c r="B6997" s="1297"/>
      <c r="C6997" s="1297"/>
      <c r="D6997" s="1297"/>
      <c r="E6997" s="1297"/>
      <c r="F6997" s="1297"/>
      <c r="G6997" s="1297"/>
      <c r="H6997" s="1297"/>
      <c r="I6997" s="1297"/>
      <c r="J6997" s="1297"/>
      <c r="K6997" s="1297"/>
    </row>
    <row r="6998" spans="2:11">
      <c r="B6998" s="1297"/>
      <c r="C6998" s="1297"/>
      <c r="D6998" s="1297"/>
      <c r="E6998" s="1297"/>
      <c r="F6998" s="1297"/>
      <c r="G6998" s="1297"/>
      <c r="H6998" s="1297"/>
      <c r="I6998" s="1297"/>
      <c r="J6998" s="1297"/>
      <c r="K6998" s="1297"/>
    </row>
    <row r="6999" spans="2:11">
      <c r="B6999" s="1297"/>
      <c r="C6999" s="1297"/>
      <c r="D6999" s="1297"/>
      <c r="E6999" s="1297"/>
      <c r="F6999" s="1297"/>
      <c r="G6999" s="1297"/>
      <c r="H6999" s="1297"/>
      <c r="I6999" s="1297"/>
      <c r="J6999" s="1297"/>
      <c r="K6999" s="1297"/>
    </row>
    <row r="7000" spans="2:11">
      <c r="B7000" s="1297"/>
      <c r="C7000" s="1297"/>
      <c r="D7000" s="1297"/>
      <c r="E7000" s="1297"/>
      <c r="F7000" s="1297"/>
      <c r="G7000" s="1297"/>
      <c r="H7000" s="1297"/>
      <c r="I7000" s="1297"/>
      <c r="J7000" s="1297"/>
      <c r="K7000" s="1297"/>
    </row>
    <row r="7001" spans="2:11">
      <c r="B7001" s="1297"/>
      <c r="C7001" s="1297"/>
      <c r="D7001" s="1297"/>
      <c r="E7001" s="1297"/>
      <c r="F7001" s="1297"/>
      <c r="G7001" s="1297"/>
      <c r="H7001" s="1297"/>
      <c r="I7001" s="1297"/>
      <c r="J7001" s="1297"/>
      <c r="K7001" s="1297"/>
    </row>
    <row r="7002" spans="2:11">
      <c r="B7002" s="1297"/>
      <c r="C7002" s="1297"/>
      <c r="D7002" s="1297"/>
      <c r="E7002" s="1297"/>
      <c r="F7002" s="1297"/>
      <c r="G7002" s="1297"/>
      <c r="H7002" s="1297"/>
      <c r="I7002" s="1297"/>
      <c r="J7002" s="1297"/>
      <c r="K7002" s="1297"/>
    </row>
    <row r="7003" spans="2:11">
      <c r="B7003" s="1297"/>
      <c r="C7003" s="1297"/>
      <c r="D7003" s="1297"/>
      <c r="E7003" s="1297"/>
      <c r="F7003" s="1297"/>
      <c r="G7003" s="1297"/>
      <c r="H7003" s="1297"/>
      <c r="I7003" s="1297"/>
      <c r="J7003" s="1297"/>
      <c r="K7003" s="1297"/>
    </row>
    <row r="7004" spans="2:11">
      <c r="B7004" s="1297"/>
      <c r="C7004" s="1297"/>
      <c r="D7004" s="1297"/>
      <c r="E7004" s="1297"/>
      <c r="F7004" s="1297"/>
      <c r="G7004" s="1297"/>
      <c r="H7004" s="1297"/>
      <c r="I7004" s="1297"/>
      <c r="J7004" s="1297"/>
      <c r="K7004" s="1297"/>
    </row>
    <row r="7005" spans="2:11">
      <c r="B7005" s="1297"/>
      <c r="C7005" s="1297"/>
      <c r="D7005" s="1297"/>
      <c r="E7005" s="1297"/>
      <c r="F7005" s="1297"/>
      <c r="G7005" s="1297"/>
      <c r="H7005" s="1297"/>
      <c r="I7005" s="1297"/>
      <c r="J7005" s="1297"/>
      <c r="K7005" s="1297"/>
    </row>
    <row r="7006" spans="2:11">
      <c r="B7006" s="1297"/>
      <c r="C7006" s="1297"/>
      <c r="D7006" s="1297"/>
      <c r="E7006" s="1297"/>
      <c r="F7006" s="1297"/>
      <c r="G7006" s="1297"/>
      <c r="H7006" s="1297"/>
      <c r="I7006" s="1297"/>
      <c r="J7006" s="1297"/>
      <c r="K7006" s="1297"/>
    </row>
    <row r="7007" spans="2:11">
      <c r="B7007" s="1297"/>
      <c r="C7007" s="1297"/>
      <c r="D7007" s="1297"/>
      <c r="E7007" s="1297"/>
      <c r="F7007" s="1297"/>
      <c r="G7007" s="1297"/>
      <c r="H7007" s="1297"/>
      <c r="I7007" s="1297"/>
      <c r="J7007" s="1297"/>
      <c r="K7007" s="1297"/>
    </row>
    <row r="7008" spans="2:11">
      <c r="B7008" s="1297"/>
      <c r="C7008" s="1297"/>
      <c r="D7008" s="1297"/>
      <c r="E7008" s="1297"/>
      <c r="F7008" s="1297"/>
      <c r="G7008" s="1297"/>
      <c r="H7008" s="1297"/>
      <c r="I7008" s="1297"/>
      <c r="J7008" s="1297"/>
      <c r="K7008" s="1297"/>
    </row>
    <row r="7009" spans="2:11">
      <c r="B7009" s="1297"/>
      <c r="C7009" s="1297"/>
      <c r="D7009" s="1297"/>
      <c r="E7009" s="1297"/>
      <c r="F7009" s="1297"/>
      <c r="G7009" s="1297"/>
      <c r="H7009" s="1297"/>
      <c r="I7009" s="1297"/>
      <c r="J7009" s="1297"/>
      <c r="K7009" s="1297"/>
    </row>
    <row r="7010" spans="2:11">
      <c r="B7010" s="1297"/>
      <c r="C7010" s="1297"/>
      <c r="D7010" s="1297"/>
      <c r="E7010" s="1297"/>
      <c r="F7010" s="1297"/>
      <c r="G7010" s="1297"/>
      <c r="H7010" s="1297"/>
      <c r="I7010" s="1297"/>
      <c r="J7010" s="1297"/>
      <c r="K7010" s="1297"/>
    </row>
    <row r="7011" spans="2:11">
      <c r="B7011" s="1297"/>
      <c r="C7011" s="1297"/>
      <c r="D7011" s="1297"/>
      <c r="E7011" s="1297"/>
      <c r="F7011" s="1297"/>
      <c r="G7011" s="1297"/>
      <c r="H7011" s="1297"/>
      <c r="I7011" s="1297"/>
      <c r="J7011" s="1297"/>
      <c r="K7011" s="1297"/>
    </row>
    <row r="7012" spans="2:11">
      <c r="B7012" s="1297"/>
      <c r="C7012" s="1297"/>
      <c r="D7012" s="1297"/>
      <c r="E7012" s="1297"/>
      <c r="F7012" s="1297"/>
      <c r="G7012" s="1297"/>
      <c r="H7012" s="1297"/>
      <c r="I7012" s="1297"/>
      <c r="J7012" s="1297"/>
      <c r="K7012" s="1297"/>
    </row>
    <row r="7013" spans="2:11">
      <c r="B7013" s="1297"/>
      <c r="C7013" s="1297"/>
      <c r="D7013" s="1297"/>
      <c r="E7013" s="1297"/>
      <c r="F7013" s="1297"/>
      <c r="G7013" s="1297"/>
      <c r="H7013" s="1297"/>
      <c r="I7013" s="1297"/>
      <c r="J7013" s="1297"/>
      <c r="K7013" s="1297"/>
    </row>
    <row r="7014" spans="2:11">
      <c r="B7014" s="1297"/>
      <c r="C7014" s="1297"/>
      <c r="D7014" s="1297"/>
      <c r="E7014" s="1297"/>
      <c r="F7014" s="1297"/>
      <c r="G7014" s="1297"/>
      <c r="H7014" s="1297"/>
      <c r="I7014" s="1297"/>
      <c r="J7014" s="1297"/>
      <c r="K7014" s="1297"/>
    </row>
    <row r="7015" spans="2:11">
      <c r="B7015" s="1297"/>
      <c r="C7015" s="1297"/>
      <c r="D7015" s="1297"/>
      <c r="E7015" s="1297"/>
      <c r="F7015" s="1297"/>
      <c r="G7015" s="1297"/>
      <c r="H7015" s="1297"/>
      <c r="I7015" s="1297"/>
      <c r="J7015" s="1297"/>
      <c r="K7015" s="1297"/>
    </row>
    <row r="7016" spans="2:11">
      <c r="B7016" s="1297"/>
      <c r="C7016" s="1297"/>
      <c r="D7016" s="1297"/>
      <c r="E7016" s="1297"/>
      <c r="F7016" s="1297"/>
      <c r="G7016" s="1297"/>
      <c r="H7016" s="1297"/>
      <c r="I7016" s="1297"/>
      <c r="J7016" s="1297"/>
      <c r="K7016" s="1297"/>
    </row>
    <row r="7017" spans="2:11">
      <c r="B7017" s="1297"/>
      <c r="C7017" s="1297"/>
      <c r="D7017" s="1297"/>
      <c r="E7017" s="1297"/>
      <c r="F7017" s="1297"/>
      <c r="G7017" s="1297"/>
      <c r="H7017" s="1297"/>
      <c r="I7017" s="1297"/>
      <c r="J7017" s="1297"/>
      <c r="K7017" s="1297"/>
    </row>
    <row r="7018" spans="2:11">
      <c r="B7018" s="1297"/>
      <c r="C7018" s="1297"/>
      <c r="D7018" s="1297"/>
      <c r="E7018" s="1297"/>
      <c r="F7018" s="1297"/>
      <c r="G7018" s="1297"/>
      <c r="H7018" s="1297"/>
      <c r="I7018" s="1297"/>
      <c r="J7018" s="1297"/>
      <c r="K7018" s="1297"/>
    </row>
    <row r="7019" spans="2:11">
      <c r="B7019" s="1297"/>
      <c r="C7019" s="1297"/>
      <c r="D7019" s="1297"/>
      <c r="E7019" s="1297"/>
      <c r="F7019" s="1297"/>
      <c r="G7019" s="1297"/>
      <c r="H7019" s="1297"/>
      <c r="I7019" s="1297"/>
      <c r="J7019" s="1297"/>
      <c r="K7019" s="1297"/>
    </row>
    <row r="7020" spans="2:11">
      <c r="B7020" s="1297"/>
      <c r="C7020" s="1297"/>
      <c r="D7020" s="1297"/>
      <c r="E7020" s="1297"/>
      <c r="F7020" s="1297"/>
      <c r="G7020" s="1297"/>
      <c r="H7020" s="1297"/>
      <c r="I7020" s="1297"/>
      <c r="J7020" s="1297"/>
      <c r="K7020" s="1297"/>
    </row>
    <row r="7021" spans="2:11">
      <c r="B7021" s="1297"/>
      <c r="C7021" s="1297"/>
      <c r="D7021" s="1297"/>
      <c r="E7021" s="1297"/>
      <c r="F7021" s="1297"/>
      <c r="G7021" s="1297"/>
      <c r="H7021" s="1297"/>
      <c r="I7021" s="1297"/>
      <c r="J7021" s="1297"/>
      <c r="K7021" s="1297"/>
    </row>
    <row r="7022" spans="2:11">
      <c r="B7022" s="1297"/>
      <c r="C7022" s="1297"/>
      <c r="D7022" s="1297"/>
      <c r="E7022" s="1297"/>
      <c r="F7022" s="1297"/>
      <c r="G7022" s="1297"/>
      <c r="H7022" s="1297"/>
      <c r="I7022" s="1297"/>
      <c r="J7022" s="1297"/>
      <c r="K7022" s="1297"/>
    </row>
    <row r="7023" spans="2:11">
      <c r="B7023" s="1297"/>
      <c r="C7023" s="1297"/>
      <c r="D7023" s="1297"/>
      <c r="E7023" s="1297"/>
      <c r="F7023" s="1297"/>
      <c r="G7023" s="1297"/>
      <c r="H7023" s="1297"/>
      <c r="I7023" s="1297"/>
      <c r="J7023" s="1297"/>
      <c r="K7023" s="1297"/>
    </row>
    <row r="7024" spans="2:11">
      <c r="B7024" s="1297"/>
      <c r="C7024" s="1297"/>
      <c r="D7024" s="1297"/>
      <c r="E7024" s="1297"/>
      <c r="F7024" s="1297"/>
      <c r="G7024" s="1297"/>
      <c r="H7024" s="1297"/>
      <c r="I7024" s="1297"/>
      <c r="J7024" s="1297"/>
      <c r="K7024" s="1297"/>
    </row>
    <row r="7025" spans="2:11">
      <c r="B7025" s="1297"/>
      <c r="C7025" s="1297"/>
      <c r="D7025" s="1297"/>
      <c r="E7025" s="1297"/>
      <c r="F7025" s="1297"/>
      <c r="G7025" s="1297"/>
      <c r="H7025" s="1297"/>
      <c r="I7025" s="1297"/>
      <c r="J7025" s="1297"/>
      <c r="K7025" s="1297"/>
    </row>
    <row r="7026" spans="2:11">
      <c r="B7026" s="1297"/>
      <c r="C7026" s="1297"/>
      <c r="D7026" s="1297"/>
      <c r="E7026" s="1297"/>
      <c r="F7026" s="1297"/>
      <c r="G7026" s="1297"/>
      <c r="H7026" s="1297"/>
      <c r="I7026" s="1297"/>
      <c r="J7026" s="1297"/>
      <c r="K7026" s="1297"/>
    </row>
    <row r="7027" spans="2:11">
      <c r="B7027" s="1297"/>
      <c r="C7027" s="1297"/>
      <c r="D7027" s="1297"/>
      <c r="E7027" s="1297"/>
      <c r="F7027" s="1297"/>
      <c r="G7027" s="1297"/>
      <c r="H7027" s="1297"/>
      <c r="I7027" s="1297"/>
      <c r="J7027" s="1297"/>
      <c r="K7027" s="1297"/>
    </row>
    <row r="7028" spans="2:11">
      <c r="B7028" s="1297"/>
      <c r="C7028" s="1297"/>
      <c r="D7028" s="1297"/>
      <c r="E7028" s="1297"/>
      <c r="F7028" s="1297"/>
      <c r="G7028" s="1297"/>
      <c r="H7028" s="1297"/>
      <c r="I7028" s="1297"/>
      <c r="J7028" s="1297"/>
      <c r="K7028" s="1297"/>
    </row>
    <row r="7029" spans="2:11">
      <c r="B7029" s="1297"/>
      <c r="C7029" s="1297"/>
      <c r="D7029" s="1297"/>
      <c r="E7029" s="1297"/>
      <c r="F7029" s="1297"/>
      <c r="G7029" s="1297"/>
      <c r="H7029" s="1297"/>
      <c r="I7029" s="1297"/>
      <c r="J7029" s="1297"/>
      <c r="K7029" s="1297"/>
    </row>
    <row r="7030" spans="2:11">
      <c r="B7030" s="1297"/>
      <c r="C7030" s="1297"/>
      <c r="D7030" s="1297"/>
      <c r="E7030" s="1297"/>
      <c r="F7030" s="1297"/>
      <c r="G7030" s="1297"/>
      <c r="H7030" s="1297"/>
      <c r="I7030" s="1297"/>
      <c r="J7030" s="1297"/>
      <c r="K7030" s="1297"/>
    </row>
    <row r="7031" spans="2:11">
      <c r="B7031" s="1297"/>
      <c r="C7031" s="1297"/>
      <c r="D7031" s="1297"/>
      <c r="E7031" s="1297"/>
      <c r="F7031" s="1297"/>
      <c r="G7031" s="1297"/>
      <c r="H7031" s="1297"/>
      <c r="I7031" s="1297"/>
      <c r="J7031" s="1297"/>
      <c r="K7031" s="1297"/>
    </row>
    <row r="7032" spans="2:11">
      <c r="B7032" s="1297"/>
      <c r="C7032" s="1297"/>
      <c r="D7032" s="1297"/>
      <c r="E7032" s="1297"/>
      <c r="F7032" s="1297"/>
      <c r="G7032" s="1297"/>
      <c r="H7032" s="1297"/>
      <c r="I7032" s="1297"/>
      <c r="J7032" s="1297"/>
      <c r="K7032" s="1297"/>
    </row>
    <row r="7033" spans="2:11">
      <c r="B7033" s="1297"/>
      <c r="C7033" s="1297"/>
      <c r="D7033" s="1297"/>
      <c r="E7033" s="1297"/>
      <c r="F7033" s="1297"/>
      <c r="G7033" s="1297"/>
      <c r="H7033" s="1297"/>
      <c r="I7033" s="1297"/>
      <c r="J7033" s="1297"/>
      <c r="K7033" s="1297"/>
    </row>
    <row r="7034" spans="2:11">
      <c r="B7034" s="1297"/>
      <c r="C7034" s="1297"/>
      <c r="D7034" s="1297"/>
      <c r="E7034" s="1297"/>
      <c r="F7034" s="1297"/>
      <c r="G7034" s="1297"/>
      <c r="H7034" s="1297"/>
      <c r="I7034" s="1297"/>
      <c r="J7034" s="1297"/>
      <c r="K7034" s="1297"/>
    </row>
    <row r="7035" spans="2:11">
      <c r="B7035" s="1297"/>
      <c r="C7035" s="1297"/>
      <c r="D7035" s="1297"/>
      <c r="E7035" s="1297"/>
      <c r="F7035" s="1297"/>
      <c r="G7035" s="1297"/>
      <c r="H7035" s="1297"/>
      <c r="I7035" s="1297"/>
      <c r="J7035" s="1297"/>
      <c r="K7035" s="1297"/>
    </row>
    <row r="7036" spans="2:11">
      <c r="B7036" s="1297"/>
      <c r="C7036" s="1297"/>
      <c r="D7036" s="1297"/>
      <c r="E7036" s="1297"/>
      <c r="F7036" s="1297"/>
      <c r="G7036" s="1297"/>
      <c r="H7036" s="1297"/>
      <c r="I7036" s="1297"/>
      <c r="J7036" s="1297"/>
      <c r="K7036" s="1297"/>
    </row>
    <row r="7037" spans="2:11">
      <c r="B7037" s="1297"/>
      <c r="C7037" s="1297"/>
      <c r="D7037" s="1297"/>
      <c r="E7037" s="1297"/>
      <c r="F7037" s="1297"/>
      <c r="G7037" s="1297"/>
      <c r="H7037" s="1297"/>
      <c r="I7037" s="1297"/>
      <c r="J7037" s="1297"/>
      <c r="K7037" s="1297"/>
    </row>
    <row r="7038" spans="2:11">
      <c r="B7038" s="1297"/>
      <c r="C7038" s="1297"/>
      <c r="D7038" s="1297"/>
      <c r="E7038" s="1297"/>
      <c r="F7038" s="1297"/>
      <c r="G7038" s="1297"/>
      <c r="H7038" s="1297"/>
      <c r="I7038" s="1297"/>
      <c r="J7038" s="1297"/>
      <c r="K7038" s="1297"/>
    </row>
    <row r="7039" spans="2:11">
      <c r="B7039" s="1297"/>
      <c r="C7039" s="1297"/>
      <c r="D7039" s="1297"/>
      <c r="E7039" s="1297"/>
      <c r="F7039" s="1297"/>
      <c r="G7039" s="1297"/>
      <c r="H7039" s="1297"/>
      <c r="I7039" s="1297"/>
      <c r="J7039" s="1297"/>
      <c r="K7039" s="1297"/>
    </row>
    <row r="7040" spans="2:11">
      <c r="B7040" s="1297"/>
      <c r="C7040" s="1297"/>
      <c r="D7040" s="1297"/>
      <c r="E7040" s="1297"/>
      <c r="F7040" s="1297"/>
      <c r="G7040" s="1297"/>
      <c r="H7040" s="1297"/>
      <c r="I7040" s="1297"/>
      <c r="J7040" s="1297"/>
      <c r="K7040" s="1297"/>
    </row>
    <row r="7041" spans="2:11">
      <c r="B7041" s="1297"/>
      <c r="C7041" s="1297"/>
      <c r="D7041" s="1297"/>
      <c r="E7041" s="1297"/>
      <c r="F7041" s="1297"/>
      <c r="G7041" s="1297"/>
      <c r="H7041" s="1297"/>
      <c r="I7041" s="1297"/>
      <c r="J7041" s="1297"/>
      <c r="K7041" s="1297"/>
    </row>
    <row r="7042" spans="2:11">
      <c r="B7042" s="1297"/>
      <c r="C7042" s="1297"/>
      <c r="D7042" s="1297"/>
      <c r="E7042" s="1297"/>
      <c r="F7042" s="1297"/>
      <c r="G7042" s="1297"/>
      <c r="H7042" s="1297"/>
      <c r="I7042" s="1297"/>
      <c r="J7042" s="1297"/>
      <c r="K7042" s="1297"/>
    </row>
    <row r="7043" spans="2:11">
      <c r="B7043" s="1297"/>
      <c r="C7043" s="1297"/>
      <c r="D7043" s="1297"/>
      <c r="E7043" s="1297"/>
      <c r="F7043" s="1297"/>
      <c r="G7043" s="1297"/>
      <c r="H7043" s="1297"/>
      <c r="I7043" s="1297"/>
      <c r="J7043" s="1297"/>
      <c r="K7043" s="1297"/>
    </row>
    <row r="7044" spans="2:11">
      <c r="B7044" s="1297"/>
      <c r="C7044" s="1297"/>
      <c r="D7044" s="1297"/>
      <c r="E7044" s="1297"/>
      <c r="F7044" s="1297"/>
      <c r="G7044" s="1297"/>
      <c r="H7044" s="1297"/>
      <c r="I7044" s="1297"/>
      <c r="J7044" s="1297"/>
      <c r="K7044" s="1297"/>
    </row>
    <row r="7045" spans="2:11">
      <c r="B7045" s="1297"/>
      <c r="C7045" s="1297"/>
      <c r="D7045" s="1297"/>
      <c r="E7045" s="1297"/>
      <c r="F7045" s="1297"/>
      <c r="G7045" s="1297"/>
      <c r="H7045" s="1297"/>
      <c r="I7045" s="1297"/>
      <c r="J7045" s="1297"/>
      <c r="K7045" s="1297"/>
    </row>
    <row r="7046" spans="2:11">
      <c r="B7046" s="1297"/>
      <c r="C7046" s="1297"/>
      <c r="D7046" s="1297"/>
      <c r="E7046" s="1297"/>
      <c r="F7046" s="1297"/>
      <c r="G7046" s="1297"/>
      <c r="H7046" s="1297"/>
      <c r="I7046" s="1297"/>
      <c r="J7046" s="1297"/>
      <c r="K7046" s="1297"/>
    </row>
    <row r="7047" spans="2:11">
      <c r="B7047" s="1297"/>
      <c r="C7047" s="1297"/>
      <c r="D7047" s="1297"/>
      <c r="E7047" s="1297"/>
      <c r="F7047" s="1297"/>
      <c r="G7047" s="1297"/>
      <c r="H7047" s="1297"/>
      <c r="I7047" s="1297"/>
      <c r="J7047" s="1297"/>
      <c r="K7047" s="1297"/>
    </row>
    <row r="7048" spans="2:11">
      <c r="B7048" s="1297"/>
      <c r="C7048" s="1297"/>
      <c r="D7048" s="1297"/>
      <c r="E7048" s="1297"/>
      <c r="F7048" s="1297"/>
      <c r="G7048" s="1297"/>
      <c r="H7048" s="1297"/>
      <c r="I7048" s="1297"/>
      <c r="J7048" s="1297"/>
      <c r="K7048" s="1297"/>
    </row>
    <row r="7049" spans="2:11">
      <c r="B7049" s="1297"/>
      <c r="C7049" s="1297"/>
      <c r="D7049" s="1297"/>
      <c r="E7049" s="1297"/>
      <c r="F7049" s="1297"/>
      <c r="G7049" s="1297"/>
      <c r="H7049" s="1297"/>
      <c r="I7049" s="1297"/>
      <c r="J7049" s="1297"/>
      <c r="K7049" s="1297"/>
    </row>
    <row r="7050" spans="2:11">
      <c r="B7050" s="1297"/>
      <c r="C7050" s="1297"/>
      <c r="D7050" s="1297"/>
      <c r="E7050" s="1297"/>
      <c r="F7050" s="1297"/>
      <c r="G7050" s="1297"/>
      <c r="H7050" s="1297"/>
      <c r="I7050" s="1297"/>
      <c r="J7050" s="1297"/>
      <c r="K7050" s="1297"/>
    </row>
    <row r="7051" spans="2:11">
      <c r="B7051" s="1297"/>
      <c r="C7051" s="1297"/>
      <c r="D7051" s="1297"/>
      <c r="E7051" s="1297"/>
      <c r="F7051" s="1297"/>
      <c r="G7051" s="1297"/>
      <c r="H7051" s="1297"/>
      <c r="I7051" s="1297"/>
      <c r="J7051" s="1297"/>
      <c r="K7051" s="1297"/>
    </row>
    <row r="7052" spans="2:11">
      <c r="B7052" s="1297"/>
      <c r="C7052" s="1297"/>
      <c r="D7052" s="1297"/>
      <c r="E7052" s="1297"/>
      <c r="F7052" s="1297"/>
      <c r="G7052" s="1297"/>
      <c r="H7052" s="1297"/>
      <c r="I7052" s="1297"/>
      <c r="J7052" s="1297"/>
      <c r="K7052" s="1297"/>
    </row>
    <row r="7053" spans="2:11">
      <c r="B7053" s="1297"/>
      <c r="C7053" s="1297"/>
      <c r="D7053" s="1297"/>
      <c r="E7053" s="1297"/>
      <c r="F7053" s="1297"/>
      <c r="G7053" s="1297"/>
      <c r="H7053" s="1297"/>
      <c r="I7053" s="1297"/>
      <c r="J7053" s="1297"/>
      <c r="K7053" s="1297"/>
    </row>
    <row r="7054" spans="2:11">
      <c r="B7054" s="1297"/>
      <c r="C7054" s="1297"/>
      <c r="D7054" s="1297"/>
      <c r="E7054" s="1297"/>
      <c r="F7054" s="1297"/>
      <c r="G7054" s="1297"/>
      <c r="H7054" s="1297"/>
      <c r="I7054" s="1297"/>
      <c r="J7054" s="1297"/>
      <c r="K7054" s="1297"/>
    </row>
    <row r="7055" spans="2:11">
      <c r="B7055" s="1297"/>
      <c r="C7055" s="1297"/>
      <c r="D7055" s="1297"/>
      <c r="E7055" s="1297"/>
      <c r="F7055" s="1297"/>
      <c r="G7055" s="1297"/>
      <c r="H7055" s="1297"/>
      <c r="I7055" s="1297"/>
      <c r="J7055" s="1297"/>
      <c r="K7055" s="1297"/>
    </row>
    <row r="7056" spans="2:11">
      <c r="B7056" s="1297"/>
      <c r="C7056" s="1297"/>
      <c r="D7056" s="1297"/>
      <c r="E7056" s="1297"/>
      <c r="F7056" s="1297"/>
      <c r="G7056" s="1297"/>
      <c r="H7056" s="1297"/>
      <c r="I7056" s="1297"/>
      <c r="J7056" s="1297"/>
      <c r="K7056" s="1297"/>
    </row>
    <row r="7057" spans="2:11">
      <c r="B7057" s="1297"/>
      <c r="C7057" s="1297"/>
      <c r="D7057" s="1297"/>
      <c r="E7057" s="1297"/>
      <c r="F7057" s="1297"/>
      <c r="G7057" s="1297"/>
      <c r="H7057" s="1297"/>
      <c r="I7057" s="1297"/>
      <c r="J7057" s="1297"/>
      <c r="K7057" s="1297"/>
    </row>
    <row r="7058" spans="2:11">
      <c r="B7058" s="1297"/>
      <c r="C7058" s="1297"/>
      <c r="D7058" s="1297"/>
      <c r="E7058" s="1297"/>
      <c r="F7058" s="1297"/>
      <c r="G7058" s="1297"/>
      <c r="H7058" s="1297"/>
      <c r="I7058" s="1297"/>
      <c r="J7058" s="1297"/>
      <c r="K7058" s="1297"/>
    </row>
    <row r="7059" spans="2:11">
      <c r="B7059" s="1297"/>
      <c r="C7059" s="1297"/>
      <c r="D7059" s="1297"/>
      <c r="E7059" s="1297"/>
      <c r="F7059" s="1297"/>
      <c r="G7059" s="1297"/>
      <c r="H7059" s="1297"/>
      <c r="I7059" s="1297"/>
      <c r="J7059" s="1297"/>
      <c r="K7059" s="1297"/>
    </row>
    <row r="7060" spans="2:11">
      <c r="B7060" s="1297"/>
      <c r="C7060" s="1297"/>
      <c r="D7060" s="1297"/>
      <c r="E7060" s="1297"/>
      <c r="F7060" s="1297"/>
      <c r="G7060" s="1297"/>
      <c r="H7060" s="1297"/>
      <c r="I7060" s="1297"/>
      <c r="J7060" s="1297"/>
      <c r="K7060" s="1297"/>
    </row>
    <row r="7061" spans="2:11">
      <c r="B7061" s="1297"/>
      <c r="C7061" s="1297"/>
      <c r="D7061" s="1297"/>
      <c r="E7061" s="1297"/>
      <c r="F7061" s="1297"/>
      <c r="G7061" s="1297"/>
      <c r="H7061" s="1297"/>
      <c r="I7061" s="1297"/>
      <c r="J7061" s="1297"/>
      <c r="K7061" s="1297"/>
    </row>
    <row r="7062" spans="2:11">
      <c r="B7062" s="1297"/>
      <c r="C7062" s="1297"/>
      <c r="D7062" s="1297"/>
      <c r="E7062" s="1297"/>
      <c r="F7062" s="1297"/>
      <c r="G7062" s="1297"/>
      <c r="H7062" s="1297"/>
      <c r="I7062" s="1297"/>
      <c r="J7062" s="1297"/>
      <c r="K7062" s="1297"/>
    </row>
    <row r="7063" spans="2:11">
      <c r="B7063" s="1297"/>
      <c r="C7063" s="1297"/>
      <c r="D7063" s="1297"/>
      <c r="E7063" s="1297"/>
      <c r="F7063" s="1297"/>
      <c r="G7063" s="1297"/>
      <c r="H7063" s="1297"/>
      <c r="I7063" s="1297"/>
      <c r="J7063" s="1297"/>
      <c r="K7063" s="1297"/>
    </row>
    <row r="7064" spans="2:11">
      <c r="B7064" s="1297"/>
      <c r="C7064" s="1297"/>
      <c r="D7064" s="1297"/>
      <c r="E7064" s="1297"/>
      <c r="F7064" s="1297"/>
      <c r="G7064" s="1297"/>
      <c r="H7064" s="1297"/>
      <c r="I7064" s="1297"/>
      <c r="J7064" s="1297"/>
      <c r="K7064" s="1297"/>
    </row>
    <row r="7065" spans="2:11">
      <c r="B7065" s="1297"/>
      <c r="C7065" s="1297"/>
      <c r="D7065" s="1297"/>
      <c r="E7065" s="1297"/>
      <c r="F7065" s="1297"/>
      <c r="G7065" s="1297"/>
      <c r="H7065" s="1297"/>
      <c r="I7065" s="1297"/>
      <c r="J7065" s="1297"/>
      <c r="K7065" s="1297"/>
    </row>
    <row r="7066" spans="2:11">
      <c r="B7066" s="1297"/>
      <c r="C7066" s="1297"/>
      <c r="D7066" s="1297"/>
      <c r="E7066" s="1297"/>
      <c r="F7066" s="1297"/>
      <c r="G7066" s="1297"/>
      <c r="H7066" s="1297"/>
      <c r="I7066" s="1297"/>
      <c r="J7066" s="1297"/>
      <c r="K7066" s="1297"/>
    </row>
    <row r="7067" spans="2:11">
      <c r="B7067" s="1297"/>
      <c r="C7067" s="1297"/>
      <c r="D7067" s="1297"/>
      <c r="E7067" s="1297"/>
      <c r="F7067" s="1297"/>
      <c r="G7067" s="1297"/>
      <c r="H7067" s="1297"/>
      <c r="I7067" s="1297"/>
      <c r="J7067" s="1297"/>
      <c r="K7067" s="1297"/>
    </row>
    <row r="7068" spans="2:11">
      <c r="B7068" s="1297"/>
      <c r="C7068" s="1297"/>
      <c r="D7068" s="1297"/>
      <c r="E7068" s="1297"/>
      <c r="F7068" s="1297"/>
      <c r="G7068" s="1297"/>
      <c r="H7068" s="1297"/>
      <c r="I7068" s="1297"/>
      <c r="J7068" s="1297"/>
      <c r="K7068" s="1297"/>
    </row>
    <row r="7069" spans="2:11">
      <c r="B7069" s="1297"/>
      <c r="C7069" s="1297"/>
      <c r="D7069" s="1297"/>
      <c r="E7069" s="1297"/>
      <c r="F7069" s="1297"/>
      <c r="G7069" s="1297"/>
      <c r="H7069" s="1297"/>
      <c r="I7069" s="1297"/>
      <c r="J7069" s="1297"/>
      <c r="K7069" s="1297"/>
    </row>
    <row r="7070" spans="2:11">
      <c r="B7070" s="1297"/>
      <c r="C7070" s="1297"/>
      <c r="D7070" s="1297"/>
      <c r="E7070" s="1297"/>
      <c r="F7070" s="1297"/>
      <c r="G7070" s="1297"/>
      <c r="H7070" s="1297"/>
      <c r="I7070" s="1297"/>
      <c r="J7070" s="1297"/>
      <c r="K7070" s="1297"/>
    </row>
    <row r="7071" spans="2:11">
      <c r="B7071" s="1297"/>
      <c r="C7071" s="1297"/>
      <c r="D7071" s="1297"/>
      <c r="E7071" s="1297"/>
      <c r="F7071" s="1297"/>
      <c r="G7071" s="1297"/>
      <c r="H7071" s="1297"/>
      <c r="I7071" s="1297"/>
      <c r="J7071" s="1297"/>
      <c r="K7071" s="1297"/>
    </row>
    <row r="7072" spans="2:11">
      <c r="B7072" s="1297"/>
      <c r="C7072" s="1297"/>
      <c r="D7072" s="1297"/>
      <c r="E7072" s="1297"/>
      <c r="F7072" s="1297"/>
      <c r="G7072" s="1297"/>
      <c r="H7072" s="1297"/>
      <c r="I7072" s="1297"/>
      <c r="J7072" s="1297"/>
      <c r="K7072" s="1297"/>
    </row>
    <row r="7073" spans="2:11">
      <c r="B7073" s="1297"/>
      <c r="C7073" s="1297"/>
      <c r="D7073" s="1297"/>
      <c r="E7073" s="1297"/>
      <c r="F7073" s="1297"/>
      <c r="G7073" s="1297"/>
      <c r="H7073" s="1297"/>
      <c r="I7073" s="1297"/>
      <c r="J7073" s="1297"/>
      <c r="K7073" s="1297"/>
    </row>
    <row r="7074" spans="2:11">
      <c r="B7074" s="1297"/>
      <c r="C7074" s="1297"/>
      <c r="D7074" s="1297"/>
      <c r="E7074" s="1297"/>
      <c r="F7074" s="1297"/>
      <c r="G7074" s="1297"/>
      <c r="H7074" s="1297"/>
      <c r="I7074" s="1297"/>
      <c r="J7074" s="1297"/>
      <c r="K7074" s="1297"/>
    </row>
    <row r="7075" spans="2:11">
      <c r="B7075" s="1297"/>
      <c r="C7075" s="1297"/>
      <c r="D7075" s="1297"/>
      <c r="E7075" s="1297"/>
      <c r="F7075" s="1297"/>
      <c r="G7075" s="1297"/>
      <c r="H7075" s="1297"/>
      <c r="I7075" s="1297"/>
      <c r="J7075" s="1297"/>
      <c r="K7075" s="1297"/>
    </row>
    <row r="7076" spans="2:11">
      <c r="B7076" s="1297"/>
      <c r="C7076" s="1297"/>
      <c r="D7076" s="1297"/>
      <c r="E7076" s="1297"/>
      <c r="F7076" s="1297"/>
      <c r="G7076" s="1297"/>
      <c r="H7076" s="1297"/>
      <c r="I7076" s="1297"/>
      <c r="J7076" s="1297"/>
      <c r="K7076" s="1297"/>
    </row>
    <row r="7077" spans="2:11">
      <c r="B7077" s="1297"/>
      <c r="C7077" s="1297"/>
      <c r="D7077" s="1297"/>
      <c r="E7077" s="1297"/>
      <c r="F7077" s="1297"/>
      <c r="G7077" s="1297"/>
      <c r="H7077" s="1297"/>
      <c r="I7077" s="1297"/>
      <c r="J7077" s="1297"/>
      <c r="K7077" s="1297"/>
    </row>
    <row r="7078" spans="2:11">
      <c r="B7078" s="1297"/>
      <c r="C7078" s="1297"/>
      <c r="D7078" s="1297"/>
      <c r="E7078" s="1297"/>
      <c r="F7078" s="1297"/>
      <c r="G7078" s="1297"/>
      <c r="H7078" s="1297"/>
      <c r="I7078" s="1297"/>
      <c r="J7078" s="1297"/>
      <c r="K7078" s="1297"/>
    </row>
    <row r="7079" spans="2:11">
      <c r="B7079" s="1297"/>
      <c r="C7079" s="1297"/>
      <c r="D7079" s="1297"/>
      <c r="E7079" s="1297"/>
      <c r="F7079" s="1297"/>
      <c r="G7079" s="1297"/>
      <c r="H7079" s="1297"/>
      <c r="I7079" s="1297"/>
      <c r="J7079" s="1297"/>
      <c r="K7079" s="1297"/>
    </row>
    <row r="7080" spans="2:11">
      <c r="B7080" s="1297"/>
      <c r="C7080" s="1297"/>
      <c r="D7080" s="1297"/>
      <c r="E7080" s="1297"/>
      <c r="F7080" s="1297"/>
      <c r="G7080" s="1297"/>
      <c r="H7080" s="1297"/>
      <c r="I7080" s="1297"/>
      <c r="J7080" s="1297"/>
      <c r="K7080" s="1297"/>
    </row>
    <row r="7081" spans="2:11">
      <c r="B7081" s="1297"/>
      <c r="C7081" s="1297"/>
      <c r="D7081" s="1297"/>
      <c r="E7081" s="1297"/>
      <c r="F7081" s="1297"/>
      <c r="G7081" s="1297"/>
      <c r="H7081" s="1297"/>
      <c r="I7081" s="1297"/>
      <c r="J7081" s="1297"/>
      <c r="K7081" s="1297"/>
    </row>
    <row r="7082" spans="2:11">
      <c r="B7082" s="1297"/>
      <c r="C7082" s="1297"/>
      <c r="D7082" s="1297"/>
      <c r="E7082" s="1297"/>
      <c r="F7082" s="1297"/>
      <c r="G7082" s="1297"/>
      <c r="H7082" s="1297"/>
      <c r="I7082" s="1297"/>
      <c r="J7082" s="1297"/>
      <c r="K7082" s="1297"/>
    </row>
    <row r="7083" spans="2:11">
      <c r="B7083" s="1297"/>
      <c r="C7083" s="1297"/>
      <c r="D7083" s="1297"/>
      <c r="E7083" s="1297"/>
      <c r="F7083" s="1297"/>
      <c r="G7083" s="1297"/>
      <c r="H7083" s="1297"/>
      <c r="I7083" s="1297"/>
      <c r="J7083" s="1297"/>
      <c r="K7083" s="1297"/>
    </row>
    <row r="7084" spans="2:11">
      <c r="B7084" s="1297"/>
      <c r="C7084" s="1297"/>
      <c r="D7084" s="1297"/>
      <c r="E7084" s="1297"/>
      <c r="F7084" s="1297"/>
      <c r="G7084" s="1297"/>
      <c r="H7084" s="1297"/>
      <c r="I7084" s="1297"/>
      <c r="J7084" s="1297"/>
      <c r="K7084" s="1297"/>
    </row>
    <row r="7085" spans="2:11">
      <c r="B7085" s="1297"/>
      <c r="C7085" s="1297"/>
      <c r="D7085" s="1297"/>
      <c r="E7085" s="1297"/>
      <c r="F7085" s="1297"/>
      <c r="G7085" s="1297"/>
      <c r="H7085" s="1297"/>
      <c r="I7085" s="1297"/>
      <c r="J7085" s="1297"/>
      <c r="K7085" s="1297"/>
    </row>
    <row r="7086" spans="2:11">
      <c r="B7086" s="1297"/>
      <c r="C7086" s="1297"/>
      <c r="D7086" s="1297"/>
      <c r="E7086" s="1297"/>
      <c r="F7086" s="1297"/>
      <c r="G7086" s="1297"/>
      <c r="H7086" s="1297"/>
      <c r="I7086" s="1297"/>
      <c r="J7086" s="1297"/>
      <c r="K7086" s="1297"/>
    </row>
    <row r="7087" spans="2:11">
      <c r="B7087" s="1297"/>
      <c r="C7087" s="1297"/>
      <c r="D7087" s="1297"/>
      <c r="E7087" s="1297"/>
      <c r="F7087" s="1297"/>
      <c r="G7087" s="1297"/>
      <c r="H7087" s="1297"/>
      <c r="I7087" s="1297"/>
      <c r="J7087" s="1297"/>
      <c r="K7087" s="1297"/>
    </row>
    <row r="7088" spans="2:11">
      <c r="B7088" s="1297"/>
      <c r="C7088" s="1297"/>
      <c r="D7088" s="1297"/>
      <c r="E7088" s="1297"/>
      <c r="F7088" s="1297"/>
      <c r="G7088" s="1297"/>
      <c r="H7088" s="1297"/>
      <c r="I7088" s="1297"/>
      <c r="J7088" s="1297"/>
      <c r="K7088" s="1297"/>
    </row>
    <row r="7089" spans="2:11">
      <c r="B7089" s="1297"/>
      <c r="C7089" s="1297"/>
      <c r="D7089" s="1297"/>
      <c r="E7089" s="1297"/>
      <c r="F7089" s="1297"/>
      <c r="G7089" s="1297"/>
      <c r="H7089" s="1297"/>
      <c r="I7089" s="1297"/>
      <c r="J7089" s="1297"/>
      <c r="K7089" s="1297"/>
    </row>
    <row r="7090" spans="2:11">
      <c r="B7090" s="1297"/>
      <c r="C7090" s="1297"/>
      <c r="D7090" s="1297"/>
      <c r="E7090" s="1297"/>
      <c r="F7090" s="1297"/>
      <c r="G7090" s="1297"/>
      <c r="H7090" s="1297"/>
      <c r="I7090" s="1297"/>
      <c r="J7090" s="1297"/>
      <c r="K7090" s="1297"/>
    </row>
    <row r="7091" spans="2:11">
      <c r="B7091" s="1297"/>
      <c r="C7091" s="1297"/>
      <c r="D7091" s="1297"/>
      <c r="E7091" s="1297"/>
      <c r="F7091" s="1297"/>
      <c r="G7091" s="1297"/>
      <c r="H7091" s="1297"/>
      <c r="I7091" s="1297"/>
      <c r="J7091" s="1297"/>
      <c r="K7091" s="1297"/>
    </row>
    <row r="7092" spans="2:11">
      <c r="B7092" s="1297"/>
      <c r="C7092" s="1297"/>
      <c r="D7092" s="1297"/>
      <c r="E7092" s="1297"/>
      <c r="F7092" s="1297"/>
      <c r="G7092" s="1297"/>
      <c r="H7092" s="1297"/>
      <c r="I7092" s="1297"/>
      <c r="J7092" s="1297"/>
      <c r="K7092" s="1297"/>
    </row>
    <row r="7093" spans="2:11">
      <c r="B7093" s="1297"/>
      <c r="C7093" s="1297"/>
      <c r="D7093" s="1297"/>
      <c r="E7093" s="1297"/>
      <c r="F7093" s="1297"/>
      <c r="G7093" s="1297"/>
      <c r="H7093" s="1297"/>
      <c r="I7093" s="1297"/>
      <c r="J7093" s="1297"/>
      <c r="K7093" s="1297"/>
    </row>
    <row r="7094" spans="2:11">
      <c r="B7094" s="1297"/>
      <c r="C7094" s="1297"/>
      <c r="D7094" s="1297"/>
      <c r="E7094" s="1297"/>
      <c r="F7094" s="1297"/>
      <c r="G7094" s="1297"/>
      <c r="H7094" s="1297"/>
      <c r="I7094" s="1297"/>
      <c r="J7094" s="1297"/>
      <c r="K7094" s="1297"/>
    </row>
    <row r="7095" spans="2:11">
      <c r="B7095" s="1297"/>
      <c r="C7095" s="1297"/>
      <c r="D7095" s="1297"/>
      <c r="E7095" s="1297"/>
      <c r="F7095" s="1297"/>
      <c r="G7095" s="1297"/>
      <c r="H7095" s="1297"/>
      <c r="I7095" s="1297"/>
      <c r="J7095" s="1297"/>
      <c r="K7095" s="1297"/>
    </row>
    <row r="7096" spans="2:11">
      <c r="B7096" s="1297"/>
      <c r="C7096" s="1297"/>
      <c r="D7096" s="1297"/>
      <c r="E7096" s="1297"/>
      <c r="F7096" s="1297"/>
      <c r="G7096" s="1297"/>
      <c r="H7096" s="1297"/>
      <c r="I7096" s="1297"/>
      <c r="J7096" s="1297"/>
      <c r="K7096" s="1297"/>
    </row>
    <row r="7097" spans="2:11">
      <c r="B7097" s="1297"/>
      <c r="C7097" s="1297"/>
      <c r="D7097" s="1297"/>
      <c r="E7097" s="1297"/>
      <c r="F7097" s="1297"/>
      <c r="G7097" s="1297"/>
      <c r="H7097" s="1297"/>
      <c r="I7097" s="1297"/>
      <c r="J7097" s="1297"/>
      <c r="K7097" s="1297"/>
    </row>
    <row r="7098" spans="2:11">
      <c r="B7098" s="1297"/>
      <c r="C7098" s="1297"/>
      <c r="D7098" s="1297"/>
      <c r="E7098" s="1297"/>
      <c r="F7098" s="1297"/>
      <c r="G7098" s="1297"/>
      <c r="H7098" s="1297"/>
      <c r="I7098" s="1297"/>
      <c r="J7098" s="1297"/>
      <c r="K7098" s="1297"/>
    </row>
    <row r="7099" spans="2:11">
      <c r="B7099" s="1297"/>
      <c r="C7099" s="1297"/>
      <c r="D7099" s="1297"/>
      <c r="E7099" s="1297"/>
      <c r="F7099" s="1297"/>
      <c r="G7099" s="1297"/>
      <c r="H7099" s="1297"/>
      <c r="I7099" s="1297"/>
      <c r="J7099" s="1297"/>
      <c r="K7099" s="1297"/>
    </row>
    <row r="7100" spans="2:11">
      <c r="B7100" s="1297"/>
      <c r="C7100" s="1297"/>
      <c r="D7100" s="1297"/>
      <c r="E7100" s="1297"/>
      <c r="F7100" s="1297"/>
      <c r="G7100" s="1297"/>
      <c r="H7100" s="1297"/>
      <c r="I7100" s="1297"/>
      <c r="J7100" s="1297"/>
      <c r="K7100" s="1297"/>
    </row>
    <row r="7101" spans="2:11">
      <c r="B7101" s="1297"/>
      <c r="C7101" s="1297"/>
      <c r="D7101" s="1297"/>
      <c r="E7101" s="1297"/>
      <c r="F7101" s="1297"/>
      <c r="G7101" s="1297"/>
      <c r="H7101" s="1297"/>
      <c r="I7101" s="1297"/>
      <c r="J7101" s="1297"/>
      <c r="K7101" s="1297"/>
    </row>
    <row r="7102" spans="2:11">
      <c r="B7102" s="1297"/>
      <c r="C7102" s="1297"/>
      <c r="D7102" s="1297"/>
      <c r="E7102" s="1297"/>
      <c r="F7102" s="1297"/>
      <c r="G7102" s="1297"/>
      <c r="H7102" s="1297"/>
      <c r="I7102" s="1297"/>
      <c r="J7102" s="1297"/>
      <c r="K7102" s="1297"/>
    </row>
    <row r="7103" spans="2:11">
      <c r="B7103" s="1297"/>
      <c r="C7103" s="1297"/>
      <c r="D7103" s="1297"/>
      <c r="E7103" s="1297"/>
      <c r="F7103" s="1297"/>
      <c r="G7103" s="1297"/>
      <c r="H7103" s="1297"/>
      <c r="I7103" s="1297"/>
      <c r="J7103" s="1297"/>
      <c r="K7103" s="1297"/>
    </row>
    <row r="7104" spans="2:11">
      <c r="B7104" s="1297"/>
      <c r="C7104" s="1297"/>
      <c r="D7104" s="1297"/>
      <c r="E7104" s="1297"/>
      <c r="F7104" s="1297"/>
      <c r="G7104" s="1297"/>
      <c r="H7104" s="1297"/>
      <c r="I7104" s="1297"/>
      <c r="J7104" s="1297"/>
      <c r="K7104" s="1297"/>
    </row>
    <row r="7105" spans="2:11">
      <c r="B7105" s="1297"/>
      <c r="C7105" s="1297"/>
      <c r="D7105" s="1297"/>
      <c r="E7105" s="1297"/>
      <c r="F7105" s="1297"/>
      <c r="G7105" s="1297"/>
      <c r="H7105" s="1297"/>
      <c r="I7105" s="1297"/>
      <c r="J7105" s="1297"/>
      <c r="K7105" s="1297"/>
    </row>
    <row r="7106" spans="2:11">
      <c r="B7106" s="1297"/>
      <c r="C7106" s="1297"/>
      <c r="D7106" s="1297"/>
      <c r="E7106" s="1297"/>
      <c r="F7106" s="1297"/>
      <c r="G7106" s="1297"/>
      <c r="H7106" s="1297"/>
      <c r="I7106" s="1297"/>
      <c r="J7106" s="1297"/>
      <c r="K7106" s="1297"/>
    </row>
    <row r="7107" spans="2:11">
      <c r="B7107" s="1297"/>
      <c r="C7107" s="1297"/>
      <c r="D7107" s="1297"/>
      <c r="E7107" s="1297"/>
      <c r="F7107" s="1297"/>
      <c r="G7107" s="1297"/>
      <c r="H7107" s="1297"/>
      <c r="I7107" s="1297"/>
      <c r="J7107" s="1297"/>
      <c r="K7107" s="1297"/>
    </row>
    <row r="7108" spans="2:11">
      <c r="B7108" s="1297"/>
      <c r="C7108" s="1297"/>
      <c r="D7108" s="1297"/>
      <c r="E7108" s="1297"/>
      <c r="F7108" s="1297"/>
      <c r="G7108" s="1297"/>
      <c r="H7108" s="1297"/>
      <c r="I7108" s="1297"/>
      <c r="J7108" s="1297"/>
      <c r="K7108" s="1297"/>
    </row>
    <row r="7109" spans="2:11">
      <c r="B7109" s="1297"/>
      <c r="C7109" s="1297"/>
      <c r="D7109" s="1297"/>
      <c r="E7109" s="1297"/>
      <c r="F7109" s="1297"/>
      <c r="G7109" s="1297"/>
      <c r="H7109" s="1297"/>
      <c r="I7109" s="1297"/>
      <c r="J7109" s="1297"/>
      <c r="K7109" s="1297"/>
    </row>
    <row r="7110" spans="2:11">
      <c r="B7110" s="1297"/>
      <c r="C7110" s="1297"/>
      <c r="D7110" s="1297"/>
      <c r="E7110" s="1297"/>
      <c r="F7110" s="1297"/>
      <c r="G7110" s="1297"/>
      <c r="H7110" s="1297"/>
      <c r="I7110" s="1297"/>
      <c r="J7110" s="1297"/>
      <c r="K7110" s="1297"/>
    </row>
    <row r="7111" spans="2:11">
      <c r="B7111" s="1297"/>
      <c r="C7111" s="1297"/>
      <c r="D7111" s="1297"/>
      <c r="E7111" s="1297"/>
      <c r="F7111" s="1297"/>
      <c r="G7111" s="1297"/>
      <c r="H7111" s="1297"/>
      <c r="I7111" s="1297"/>
      <c r="J7111" s="1297"/>
      <c r="K7111" s="1297"/>
    </row>
    <row r="7112" spans="2:11">
      <c r="B7112" s="1297"/>
      <c r="C7112" s="1297"/>
      <c r="D7112" s="1297"/>
      <c r="E7112" s="1297"/>
      <c r="F7112" s="1297"/>
      <c r="G7112" s="1297"/>
      <c r="H7112" s="1297"/>
      <c r="I7112" s="1297"/>
      <c r="J7112" s="1297"/>
      <c r="K7112" s="1297"/>
    </row>
    <row r="7113" spans="2:11">
      <c r="B7113" s="1297"/>
      <c r="C7113" s="1297"/>
      <c r="D7113" s="1297"/>
      <c r="E7113" s="1297"/>
      <c r="F7113" s="1297"/>
      <c r="G7113" s="1297"/>
      <c r="H7113" s="1297"/>
      <c r="I7113" s="1297"/>
      <c r="J7113" s="1297"/>
      <c r="K7113" s="1297"/>
    </row>
    <row r="7114" spans="2:11">
      <c r="B7114" s="1297"/>
      <c r="C7114" s="1297"/>
      <c r="D7114" s="1297"/>
      <c r="E7114" s="1297"/>
      <c r="F7114" s="1297"/>
      <c r="G7114" s="1297"/>
      <c r="H7114" s="1297"/>
      <c r="I7114" s="1297"/>
      <c r="J7114" s="1297"/>
      <c r="K7114" s="1297"/>
    </row>
    <row r="7115" spans="2:11">
      <c r="B7115" s="1297"/>
      <c r="C7115" s="1297"/>
      <c r="D7115" s="1297"/>
      <c r="E7115" s="1297"/>
      <c r="F7115" s="1297"/>
      <c r="G7115" s="1297"/>
      <c r="H7115" s="1297"/>
      <c r="I7115" s="1297"/>
      <c r="J7115" s="1297"/>
      <c r="K7115" s="1297"/>
    </row>
    <row r="7116" spans="2:11">
      <c r="B7116" s="1297"/>
      <c r="C7116" s="1297"/>
      <c r="D7116" s="1297"/>
      <c r="E7116" s="1297"/>
      <c r="F7116" s="1297"/>
      <c r="G7116" s="1297"/>
      <c r="H7116" s="1297"/>
      <c r="I7116" s="1297"/>
      <c r="J7116" s="1297"/>
      <c r="K7116" s="1297"/>
    </row>
    <row r="7117" spans="2:11">
      <c r="B7117" s="1297"/>
      <c r="C7117" s="1297"/>
      <c r="D7117" s="1297"/>
      <c r="E7117" s="1297"/>
      <c r="F7117" s="1297"/>
      <c r="G7117" s="1297"/>
      <c r="H7117" s="1297"/>
      <c r="I7117" s="1297"/>
      <c r="J7117" s="1297"/>
      <c r="K7117" s="1297"/>
    </row>
    <row r="7118" spans="2:11">
      <c r="B7118" s="1297"/>
      <c r="C7118" s="1297"/>
      <c r="D7118" s="1297"/>
      <c r="E7118" s="1297"/>
      <c r="F7118" s="1297"/>
      <c r="G7118" s="1297"/>
      <c r="H7118" s="1297"/>
      <c r="I7118" s="1297"/>
      <c r="J7118" s="1297"/>
      <c r="K7118" s="1297"/>
    </row>
    <row r="7119" spans="2:11">
      <c r="B7119" s="1297"/>
      <c r="C7119" s="1297"/>
      <c r="D7119" s="1297"/>
      <c r="E7119" s="1297"/>
      <c r="F7119" s="1297"/>
      <c r="G7119" s="1297"/>
      <c r="H7119" s="1297"/>
      <c r="I7119" s="1297"/>
      <c r="J7119" s="1297"/>
      <c r="K7119" s="1297"/>
    </row>
    <row r="7120" spans="2:11">
      <c r="B7120" s="1297"/>
      <c r="C7120" s="1297"/>
      <c r="D7120" s="1297"/>
      <c r="E7120" s="1297"/>
      <c r="F7120" s="1297"/>
      <c r="G7120" s="1297"/>
      <c r="H7120" s="1297"/>
      <c r="I7120" s="1297"/>
      <c r="J7120" s="1297"/>
      <c r="K7120" s="1297"/>
    </row>
    <row r="7121" spans="2:11">
      <c r="B7121" s="1297"/>
      <c r="C7121" s="1297"/>
      <c r="D7121" s="1297"/>
      <c r="E7121" s="1297"/>
      <c r="F7121" s="1297"/>
      <c r="G7121" s="1297"/>
      <c r="H7121" s="1297"/>
      <c r="I7121" s="1297"/>
      <c r="J7121" s="1297"/>
      <c r="K7121" s="1297"/>
    </row>
    <row r="7122" spans="2:11">
      <c r="B7122" s="1297"/>
      <c r="C7122" s="1297"/>
      <c r="D7122" s="1297"/>
      <c r="E7122" s="1297"/>
      <c r="F7122" s="1297"/>
      <c r="G7122" s="1297"/>
      <c r="H7122" s="1297"/>
      <c r="I7122" s="1297"/>
      <c r="J7122" s="1297"/>
      <c r="K7122" s="1297"/>
    </row>
    <row r="7123" spans="2:11">
      <c r="B7123" s="1297"/>
      <c r="C7123" s="1297"/>
      <c r="D7123" s="1297"/>
      <c r="E7123" s="1297"/>
      <c r="F7123" s="1297"/>
      <c r="G7123" s="1297"/>
      <c r="H7123" s="1297"/>
      <c r="I7123" s="1297"/>
      <c r="J7123" s="1297"/>
      <c r="K7123" s="1297"/>
    </row>
    <row r="7124" spans="2:11">
      <c r="B7124" s="1297"/>
      <c r="C7124" s="1297"/>
      <c r="D7124" s="1297"/>
      <c r="E7124" s="1297"/>
      <c r="F7124" s="1297"/>
      <c r="G7124" s="1297"/>
      <c r="H7124" s="1297"/>
      <c r="I7124" s="1297"/>
      <c r="J7124" s="1297"/>
      <c r="K7124" s="1297"/>
    </row>
    <row r="7125" spans="2:11">
      <c r="B7125" s="1297"/>
      <c r="C7125" s="1297"/>
      <c r="D7125" s="1297"/>
      <c r="E7125" s="1297"/>
      <c r="F7125" s="1297"/>
      <c r="G7125" s="1297"/>
      <c r="H7125" s="1297"/>
      <c r="I7125" s="1297"/>
      <c r="J7125" s="1297"/>
      <c r="K7125" s="1297"/>
    </row>
    <row r="7126" spans="2:11">
      <c r="B7126" s="1297"/>
      <c r="C7126" s="1297"/>
      <c r="D7126" s="1297"/>
      <c r="E7126" s="1297"/>
      <c r="F7126" s="1297"/>
      <c r="G7126" s="1297"/>
      <c r="H7126" s="1297"/>
      <c r="I7126" s="1297"/>
      <c r="J7126" s="1297"/>
      <c r="K7126" s="1297"/>
    </row>
    <row r="7127" spans="2:11">
      <c r="B7127" s="1297"/>
      <c r="C7127" s="1297"/>
      <c r="D7127" s="1297"/>
      <c r="E7127" s="1297"/>
      <c r="F7127" s="1297"/>
      <c r="G7127" s="1297"/>
      <c r="H7127" s="1297"/>
      <c r="I7127" s="1297"/>
      <c r="J7127" s="1297"/>
      <c r="K7127" s="1297"/>
    </row>
    <row r="7128" spans="2:11">
      <c r="B7128" s="1297"/>
      <c r="C7128" s="1297"/>
      <c r="D7128" s="1297"/>
      <c r="E7128" s="1297"/>
      <c r="F7128" s="1297"/>
      <c r="G7128" s="1297"/>
      <c r="H7128" s="1297"/>
      <c r="I7128" s="1297"/>
      <c r="J7128" s="1297"/>
      <c r="K7128" s="1297"/>
    </row>
    <row r="7129" spans="2:11">
      <c r="B7129" s="1297"/>
      <c r="C7129" s="1297"/>
      <c r="D7129" s="1297"/>
      <c r="E7129" s="1297"/>
      <c r="F7129" s="1297"/>
      <c r="G7129" s="1297"/>
      <c r="H7129" s="1297"/>
      <c r="I7129" s="1297"/>
      <c r="J7129" s="1297"/>
      <c r="K7129" s="1297"/>
    </row>
    <row r="7130" spans="2:11">
      <c r="B7130" s="1297"/>
      <c r="C7130" s="1297"/>
      <c r="D7130" s="1297"/>
      <c r="E7130" s="1297"/>
      <c r="F7130" s="1297"/>
      <c r="G7130" s="1297"/>
      <c r="H7130" s="1297"/>
      <c r="I7130" s="1297"/>
      <c r="J7130" s="1297"/>
      <c r="K7130" s="1297"/>
    </row>
    <row r="7131" spans="2:11">
      <c r="B7131" s="1297"/>
      <c r="C7131" s="1297"/>
      <c r="D7131" s="1297"/>
      <c r="E7131" s="1297"/>
      <c r="F7131" s="1297"/>
      <c r="G7131" s="1297"/>
      <c r="H7131" s="1297"/>
      <c r="I7131" s="1297"/>
      <c r="J7131" s="1297"/>
      <c r="K7131" s="1297"/>
    </row>
    <row r="7132" spans="2:11">
      <c r="B7132" s="1297"/>
      <c r="C7132" s="1297"/>
      <c r="D7132" s="1297"/>
      <c r="E7132" s="1297"/>
      <c r="F7132" s="1297"/>
      <c r="G7132" s="1297"/>
      <c r="H7132" s="1297"/>
      <c r="I7132" s="1297"/>
      <c r="J7132" s="1297"/>
      <c r="K7132" s="1297"/>
    </row>
    <row r="7133" spans="2:11">
      <c r="B7133" s="1297"/>
      <c r="C7133" s="1297"/>
      <c r="D7133" s="1297"/>
      <c r="E7133" s="1297"/>
      <c r="F7133" s="1297"/>
      <c r="G7133" s="1297"/>
      <c r="H7133" s="1297"/>
      <c r="I7133" s="1297"/>
      <c r="J7133" s="1297"/>
      <c r="K7133" s="1297"/>
    </row>
    <row r="7134" spans="2:11">
      <c r="B7134" s="1297"/>
      <c r="C7134" s="1297"/>
      <c r="D7134" s="1297"/>
      <c r="E7134" s="1297"/>
      <c r="F7134" s="1297"/>
      <c r="G7134" s="1297"/>
      <c r="H7134" s="1297"/>
      <c r="I7134" s="1297"/>
      <c r="J7134" s="1297"/>
      <c r="K7134" s="1297"/>
    </row>
    <row r="7135" spans="2:11">
      <c r="B7135" s="1297"/>
      <c r="C7135" s="1297"/>
      <c r="D7135" s="1297"/>
      <c r="E7135" s="1297"/>
      <c r="F7135" s="1297"/>
      <c r="G7135" s="1297"/>
      <c r="H7135" s="1297"/>
      <c r="I7135" s="1297"/>
      <c r="J7135" s="1297"/>
      <c r="K7135" s="1297"/>
    </row>
    <row r="7136" spans="2:11">
      <c r="B7136" s="1297"/>
      <c r="C7136" s="1297"/>
      <c r="D7136" s="1297"/>
      <c r="E7136" s="1297"/>
      <c r="F7136" s="1297"/>
      <c r="G7136" s="1297"/>
      <c r="H7136" s="1297"/>
      <c r="I7136" s="1297"/>
      <c r="J7136" s="1297"/>
      <c r="K7136" s="1297"/>
    </row>
    <row r="7137" spans="2:11">
      <c r="B7137" s="1297"/>
      <c r="C7137" s="1297"/>
      <c r="D7137" s="1297"/>
      <c r="E7137" s="1297"/>
      <c r="F7137" s="1297"/>
      <c r="G7137" s="1297"/>
      <c r="H7137" s="1297"/>
      <c r="I7137" s="1297"/>
      <c r="J7137" s="1297"/>
      <c r="K7137" s="1297"/>
    </row>
    <row r="7138" spans="2:11">
      <c r="B7138" s="1297"/>
      <c r="C7138" s="1297"/>
      <c r="D7138" s="1297"/>
      <c r="E7138" s="1297"/>
      <c r="F7138" s="1297"/>
      <c r="G7138" s="1297"/>
      <c r="H7138" s="1297"/>
      <c r="I7138" s="1297"/>
      <c r="J7138" s="1297"/>
      <c r="K7138" s="1297"/>
    </row>
    <row r="7139" spans="2:11">
      <c r="B7139" s="1297"/>
      <c r="C7139" s="1297"/>
      <c r="D7139" s="1297"/>
      <c r="E7139" s="1297"/>
      <c r="F7139" s="1297"/>
      <c r="G7139" s="1297"/>
      <c r="H7139" s="1297"/>
      <c r="I7139" s="1297"/>
      <c r="J7139" s="1297"/>
      <c r="K7139" s="1297"/>
    </row>
    <row r="7140" spans="2:11">
      <c r="B7140" s="1297"/>
      <c r="C7140" s="1297"/>
      <c r="D7140" s="1297"/>
      <c r="E7140" s="1297"/>
      <c r="F7140" s="1297"/>
      <c r="G7140" s="1297"/>
      <c r="H7140" s="1297"/>
      <c r="I7140" s="1297"/>
      <c r="J7140" s="1297"/>
      <c r="K7140" s="1297"/>
    </row>
    <row r="7141" spans="2:11">
      <c r="B7141" s="1297"/>
      <c r="C7141" s="1297"/>
      <c r="D7141" s="1297"/>
      <c r="E7141" s="1297"/>
      <c r="F7141" s="1297"/>
      <c r="G7141" s="1297"/>
      <c r="H7141" s="1297"/>
      <c r="I7141" s="1297"/>
      <c r="J7141" s="1297"/>
      <c r="K7141" s="1297"/>
    </row>
    <row r="7142" spans="2:11">
      <c r="B7142" s="1297"/>
      <c r="C7142" s="1297"/>
      <c r="D7142" s="1297"/>
      <c r="E7142" s="1297"/>
      <c r="F7142" s="1297"/>
      <c r="G7142" s="1297"/>
      <c r="H7142" s="1297"/>
      <c r="I7142" s="1297"/>
      <c r="J7142" s="1297"/>
      <c r="K7142" s="1297"/>
    </row>
    <row r="7143" spans="2:11">
      <c r="B7143" s="1297"/>
      <c r="C7143" s="1297"/>
      <c r="D7143" s="1297"/>
      <c r="E7143" s="1297"/>
      <c r="F7143" s="1297"/>
      <c r="G7143" s="1297"/>
      <c r="H7143" s="1297"/>
      <c r="I7143" s="1297"/>
      <c r="J7143" s="1297"/>
      <c r="K7143" s="1297"/>
    </row>
    <row r="7144" spans="2:11">
      <c r="B7144" s="1297"/>
      <c r="C7144" s="1297"/>
      <c r="D7144" s="1297"/>
      <c r="E7144" s="1297"/>
      <c r="F7144" s="1297"/>
      <c r="G7144" s="1297"/>
      <c r="H7144" s="1297"/>
      <c r="I7144" s="1297"/>
      <c r="J7144" s="1297"/>
      <c r="K7144" s="1297"/>
    </row>
    <row r="7145" spans="2:11">
      <c r="B7145" s="1297"/>
      <c r="C7145" s="1297"/>
      <c r="D7145" s="1297"/>
      <c r="E7145" s="1297"/>
      <c r="F7145" s="1297"/>
      <c r="G7145" s="1297"/>
      <c r="H7145" s="1297"/>
      <c r="I7145" s="1297"/>
      <c r="J7145" s="1297"/>
      <c r="K7145" s="1297"/>
    </row>
    <row r="7146" spans="2:11">
      <c r="B7146" s="1297"/>
      <c r="C7146" s="1297"/>
      <c r="D7146" s="1297"/>
      <c r="E7146" s="1297"/>
      <c r="F7146" s="1297"/>
      <c r="G7146" s="1297"/>
      <c r="H7146" s="1297"/>
      <c r="I7146" s="1297"/>
      <c r="J7146" s="1297"/>
      <c r="K7146" s="1297"/>
    </row>
    <row r="7147" spans="2:11">
      <c r="B7147" s="1297"/>
      <c r="C7147" s="1297"/>
      <c r="D7147" s="1297"/>
      <c r="E7147" s="1297"/>
      <c r="F7147" s="1297"/>
      <c r="G7147" s="1297"/>
      <c r="H7147" s="1297"/>
      <c r="I7147" s="1297"/>
      <c r="J7147" s="1297"/>
      <c r="K7147" s="1297"/>
    </row>
    <row r="7148" spans="2:11">
      <c r="B7148" s="1297"/>
      <c r="C7148" s="1297"/>
      <c r="D7148" s="1297"/>
      <c r="E7148" s="1297"/>
      <c r="F7148" s="1297"/>
      <c r="G7148" s="1297"/>
      <c r="H7148" s="1297"/>
      <c r="I7148" s="1297"/>
      <c r="J7148" s="1297"/>
      <c r="K7148" s="1297"/>
    </row>
    <row r="7149" spans="2:11">
      <c r="B7149" s="1297"/>
      <c r="C7149" s="1297"/>
      <c r="D7149" s="1297"/>
      <c r="E7149" s="1297"/>
      <c r="F7149" s="1297"/>
      <c r="G7149" s="1297"/>
      <c r="H7149" s="1297"/>
      <c r="I7149" s="1297"/>
      <c r="J7149" s="1297"/>
      <c r="K7149" s="1297"/>
    </row>
    <row r="7150" spans="2:11">
      <c r="B7150" s="1297"/>
      <c r="C7150" s="1297"/>
      <c r="D7150" s="1297"/>
      <c r="E7150" s="1297"/>
      <c r="F7150" s="1297"/>
      <c r="G7150" s="1297"/>
      <c r="H7150" s="1297"/>
      <c r="I7150" s="1297"/>
      <c r="J7150" s="1297"/>
      <c r="K7150" s="1297"/>
    </row>
    <row r="7151" spans="2:11">
      <c r="B7151" s="1297"/>
      <c r="C7151" s="1297"/>
      <c r="D7151" s="1297"/>
      <c r="E7151" s="1297"/>
      <c r="F7151" s="1297"/>
      <c r="G7151" s="1297"/>
      <c r="H7151" s="1297"/>
      <c r="I7151" s="1297"/>
      <c r="J7151" s="1297"/>
      <c r="K7151" s="1297"/>
    </row>
    <row r="7152" spans="2:11">
      <c r="B7152" s="1297"/>
      <c r="C7152" s="1297"/>
      <c r="D7152" s="1297"/>
      <c r="E7152" s="1297"/>
      <c r="F7152" s="1297"/>
      <c r="G7152" s="1297"/>
      <c r="H7152" s="1297"/>
      <c r="I7152" s="1297"/>
      <c r="J7152" s="1297"/>
      <c r="K7152" s="1297"/>
    </row>
    <row r="7153" spans="2:11">
      <c r="B7153" s="1297"/>
      <c r="C7153" s="1297"/>
      <c r="D7153" s="1297"/>
      <c r="E7153" s="1297"/>
      <c r="F7153" s="1297"/>
      <c r="G7153" s="1297"/>
      <c r="H7153" s="1297"/>
      <c r="I7153" s="1297"/>
      <c r="J7153" s="1297"/>
      <c r="K7153" s="1297"/>
    </row>
    <row r="7154" spans="2:11">
      <c r="B7154" s="1297"/>
      <c r="C7154" s="1297"/>
      <c r="D7154" s="1297"/>
      <c r="E7154" s="1297"/>
      <c r="F7154" s="1297"/>
      <c r="G7154" s="1297"/>
      <c r="H7154" s="1297"/>
      <c r="I7154" s="1297"/>
      <c r="J7154" s="1297"/>
      <c r="K7154" s="1297"/>
    </row>
    <row r="7155" spans="2:11">
      <c r="B7155" s="1297"/>
      <c r="C7155" s="1297"/>
      <c r="D7155" s="1297"/>
      <c r="E7155" s="1297"/>
      <c r="F7155" s="1297"/>
      <c r="G7155" s="1297"/>
      <c r="H7155" s="1297"/>
      <c r="I7155" s="1297"/>
      <c r="J7155" s="1297"/>
      <c r="K7155" s="1297"/>
    </row>
    <row r="7156" spans="2:11">
      <c r="B7156" s="1297"/>
      <c r="C7156" s="1297"/>
      <c r="D7156" s="1297"/>
      <c r="E7156" s="1297"/>
      <c r="F7156" s="1297"/>
      <c r="G7156" s="1297"/>
      <c r="H7156" s="1297"/>
      <c r="I7156" s="1297"/>
      <c r="J7156" s="1297"/>
      <c r="K7156" s="1297"/>
    </row>
    <row r="7157" spans="2:11">
      <c r="B7157" s="1297"/>
      <c r="C7157" s="1297"/>
      <c r="D7157" s="1297"/>
      <c r="E7157" s="1297"/>
      <c r="F7157" s="1297"/>
      <c r="G7157" s="1297"/>
      <c r="H7157" s="1297"/>
      <c r="I7157" s="1297"/>
      <c r="J7157" s="1297"/>
      <c r="K7157" s="1297"/>
    </row>
    <row r="7158" spans="2:11">
      <c r="B7158" s="1297"/>
      <c r="C7158" s="1297"/>
      <c r="D7158" s="1297"/>
      <c r="E7158" s="1297"/>
      <c r="F7158" s="1297"/>
      <c r="G7158" s="1297"/>
      <c r="H7158" s="1297"/>
      <c r="I7158" s="1297"/>
      <c r="J7158" s="1297"/>
      <c r="K7158" s="1297"/>
    </row>
    <row r="7159" spans="2:11">
      <c r="B7159" s="1297"/>
      <c r="C7159" s="1297"/>
      <c r="D7159" s="1297"/>
      <c r="E7159" s="1297"/>
      <c r="F7159" s="1297"/>
      <c r="G7159" s="1297"/>
      <c r="H7159" s="1297"/>
      <c r="I7159" s="1297"/>
      <c r="J7159" s="1297"/>
      <c r="K7159" s="1297"/>
    </row>
    <row r="7160" spans="2:11">
      <c r="B7160" s="1297"/>
      <c r="C7160" s="1297"/>
      <c r="D7160" s="1297"/>
      <c r="E7160" s="1297"/>
      <c r="F7160" s="1297"/>
      <c r="G7160" s="1297"/>
      <c r="H7160" s="1297"/>
      <c r="I7160" s="1297"/>
      <c r="J7160" s="1297"/>
      <c r="K7160" s="1297"/>
    </row>
    <row r="7161" spans="2:11">
      <c r="B7161" s="1297"/>
      <c r="C7161" s="1297"/>
      <c r="D7161" s="1297"/>
      <c r="E7161" s="1297"/>
      <c r="F7161" s="1297"/>
      <c r="G7161" s="1297"/>
      <c r="H7161" s="1297"/>
      <c r="I7161" s="1297"/>
      <c r="J7161" s="1297"/>
      <c r="K7161" s="1297"/>
    </row>
    <row r="7162" spans="2:11">
      <c r="B7162" s="1297"/>
      <c r="C7162" s="1297"/>
      <c r="D7162" s="1297"/>
      <c r="E7162" s="1297"/>
      <c r="F7162" s="1297"/>
      <c r="G7162" s="1297"/>
      <c r="H7162" s="1297"/>
      <c r="I7162" s="1297"/>
      <c r="J7162" s="1297"/>
      <c r="K7162" s="1297"/>
    </row>
    <row r="7163" spans="2:11">
      <c r="B7163" s="1297"/>
      <c r="C7163" s="1297"/>
      <c r="D7163" s="1297"/>
      <c r="E7163" s="1297"/>
      <c r="F7163" s="1297"/>
      <c r="G7163" s="1297"/>
      <c r="H7163" s="1297"/>
      <c r="I7163" s="1297"/>
      <c r="J7163" s="1297"/>
      <c r="K7163" s="1297"/>
    </row>
    <row r="7164" spans="2:11">
      <c r="B7164" s="1297"/>
      <c r="C7164" s="1297"/>
      <c r="D7164" s="1297"/>
      <c r="E7164" s="1297"/>
      <c r="F7164" s="1297"/>
      <c r="G7164" s="1297"/>
      <c r="H7164" s="1297"/>
      <c r="I7164" s="1297"/>
      <c r="J7164" s="1297"/>
      <c r="K7164" s="1297"/>
    </row>
    <row r="7165" spans="2:11">
      <c r="B7165" s="1297"/>
      <c r="C7165" s="1297"/>
      <c r="D7165" s="1297"/>
      <c r="E7165" s="1297"/>
      <c r="F7165" s="1297"/>
      <c r="G7165" s="1297"/>
      <c r="H7165" s="1297"/>
      <c r="I7165" s="1297"/>
      <c r="J7165" s="1297"/>
      <c r="K7165" s="1297"/>
    </row>
    <row r="7166" spans="2:11">
      <c r="B7166" s="1297"/>
      <c r="C7166" s="1297"/>
      <c r="D7166" s="1297"/>
      <c r="E7166" s="1297"/>
      <c r="F7166" s="1297"/>
      <c r="G7166" s="1297"/>
      <c r="H7166" s="1297"/>
      <c r="I7166" s="1297"/>
      <c r="J7166" s="1297"/>
      <c r="K7166" s="1297"/>
    </row>
    <row r="7167" spans="2:11">
      <c r="B7167" s="1297"/>
      <c r="C7167" s="1297"/>
      <c r="D7167" s="1297"/>
      <c r="E7167" s="1297"/>
      <c r="F7167" s="1297"/>
      <c r="G7167" s="1297"/>
      <c r="H7167" s="1297"/>
      <c r="I7167" s="1297"/>
      <c r="J7167" s="1297"/>
      <c r="K7167" s="1297"/>
    </row>
    <row r="7168" spans="2:11">
      <c r="B7168" s="1297"/>
      <c r="C7168" s="1297"/>
      <c r="D7168" s="1297"/>
      <c r="E7168" s="1297"/>
      <c r="F7168" s="1297"/>
      <c r="G7168" s="1297"/>
      <c r="H7168" s="1297"/>
      <c r="I7168" s="1297"/>
      <c r="J7168" s="1297"/>
      <c r="K7168" s="1297"/>
    </row>
    <row r="7169" spans="2:11">
      <c r="B7169" s="1297"/>
      <c r="C7169" s="1297"/>
      <c r="D7169" s="1297"/>
      <c r="E7169" s="1297"/>
      <c r="F7169" s="1297"/>
      <c r="G7169" s="1297"/>
      <c r="H7169" s="1297"/>
      <c r="I7169" s="1297"/>
      <c r="J7169" s="1297"/>
      <c r="K7169" s="1297"/>
    </row>
    <row r="7170" spans="2:11">
      <c r="B7170" s="1297"/>
      <c r="C7170" s="1297"/>
      <c r="D7170" s="1297"/>
      <c r="E7170" s="1297"/>
      <c r="F7170" s="1297"/>
      <c r="G7170" s="1297"/>
      <c r="H7170" s="1297"/>
      <c r="I7170" s="1297"/>
      <c r="J7170" s="1297"/>
      <c r="K7170" s="1297"/>
    </row>
    <row r="7171" spans="2:11">
      <c r="B7171" s="1297"/>
      <c r="C7171" s="1297"/>
      <c r="D7171" s="1297"/>
      <c r="E7171" s="1297"/>
      <c r="F7171" s="1297"/>
      <c r="G7171" s="1297"/>
      <c r="H7171" s="1297"/>
      <c r="I7171" s="1297"/>
      <c r="J7171" s="1297"/>
      <c r="K7171" s="1297"/>
    </row>
    <row r="7172" spans="2:11">
      <c r="B7172" s="1297"/>
      <c r="C7172" s="1297"/>
      <c r="D7172" s="1297"/>
      <c r="E7172" s="1297"/>
      <c r="F7172" s="1297"/>
      <c r="G7172" s="1297"/>
      <c r="H7172" s="1297"/>
      <c r="I7172" s="1297"/>
      <c r="J7172" s="1297"/>
      <c r="K7172" s="1297"/>
    </row>
    <row r="7173" spans="2:11">
      <c r="B7173" s="1297"/>
      <c r="C7173" s="1297"/>
      <c r="D7173" s="1297"/>
      <c r="E7173" s="1297"/>
      <c r="F7173" s="1297"/>
      <c r="G7173" s="1297"/>
      <c r="H7173" s="1297"/>
      <c r="I7173" s="1297"/>
      <c r="J7173" s="1297"/>
      <c r="K7173" s="1297"/>
    </row>
    <row r="7174" spans="2:11">
      <c r="B7174" s="1297"/>
      <c r="C7174" s="1297"/>
      <c r="D7174" s="1297"/>
      <c r="E7174" s="1297"/>
      <c r="F7174" s="1297"/>
      <c r="G7174" s="1297"/>
      <c r="H7174" s="1297"/>
      <c r="I7174" s="1297"/>
      <c r="J7174" s="1297"/>
      <c r="K7174" s="1297"/>
    </row>
    <row r="7175" spans="2:11">
      <c r="B7175" s="1297"/>
      <c r="C7175" s="1297"/>
      <c r="D7175" s="1297"/>
      <c r="E7175" s="1297"/>
      <c r="F7175" s="1297"/>
      <c r="G7175" s="1297"/>
      <c r="H7175" s="1297"/>
      <c r="I7175" s="1297"/>
      <c r="J7175" s="1297"/>
      <c r="K7175" s="1297"/>
    </row>
    <row r="7176" spans="2:11">
      <c r="B7176" s="1297"/>
      <c r="C7176" s="1297"/>
      <c r="D7176" s="1297"/>
      <c r="E7176" s="1297"/>
      <c r="F7176" s="1297"/>
      <c r="G7176" s="1297"/>
      <c r="H7176" s="1297"/>
      <c r="I7176" s="1297"/>
      <c r="J7176" s="1297"/>
      <c r="K7176" s="1297"/>
    </row>
    <row r="7177" spans="2:11">
      <c r="B7177" s="1297"/>
      <c r="C7177" s="1297"/>
      <c r="D7177" s="1297"/>
      <c r="E7177" s="1297"/>
      <c r="F7177" s="1297"/>
      <c r="G7177" s="1297"/>
      <c r="H7177" s="1297"/>
      <c r="I7177" s="1297"/>
      <c r="J7177" s="1297"/>
      <c r="K7177" s="1297"/>
    </row>
    <row r="7178" spans="2:11">
      <c r="B7178" s="1297"/>
      <c r="C7178" s="1297"/>
      <c r="D7178" s="1297"/>
      <c r="E7178" s="1297"/>
      <c r="F7178" s="1297"/>
      <c r="G7178" s="1297"/>
      <c r="H7178" s="1297"/>
      <c r="I7178" s="1297"/>
      <c r="J7178" s="1297"/>
      <c r="K7178" s="1297"/>
    </row>
    <row r="7179" spans="2:11">
      <c r="B7179" s="1297"/>
      <c r="C7179" s="1297"/>
      <c r="D7179" s="1297"/>
      <c r="E7179" s="1297"/>
      <c r="F7179" s="1297"/>
      <c r="G7179" s="1297"/>
      <c r="H7179" s="1297"/>
      <c r="I7179" s="1297"/>
      <c r="J7179" s="1297"/>
      <c r="K7179" s="1297"/>
    </row>
    <row r="7180" spans="2:11">
      <c r="B7180" s="1297"/>
      <c r="C7180" s="1297"/>
      <c r="D7180" s="1297"/>
      <c r="E7180" s="1297"/>
      <c r="F7180" s="1297"/>
      <c r="G7180" s="1297"/>
      <c r="H7180" s="1297"/>
      <c r="I7180" s="1297"/>
      <c r="J7180" s="1297"/>
      <c r="K7180" s="1297"/>
    </row>
    <row r="7181" spans="2:11">
      <c r="B7181" s="1297"/>
      <c r="C7181" s="1297"/>
      <c r="D7181" s="1297"/>
      <c r="E7181" s="1297"/>
      <c r="F7181" s="1297"/>
      <c r="G7181" s="1297"/>
      <c r="H7181" s="1297"/>
      <c r="I7181" s="1297"/>
      <c r="J7181" s="1297"/>
      <c r="K7181" s="1297"/>
    </row>
    <row r="7182" spans="2:11">
      <c r="B7182" s="1297"/>
      <c r="C7182" s="1297"/>
      <c r="D7182" s="1297"/>
      <c r="E7182" s="1297"/>
      <c r="F7182" s="1297"/>
      <c r="G7182" s="1297"/>
      <c r="H7182" s="1297"/>
      <c r="I7182" s="1297"/>
      <c r="J7182" s="1297"/>
      <c r="K7182" s="1297"/>
    </row>
    <row r="7183" spans="2:11">
      <c r="B7183" s="1297"/>
      <c r="C7183" s="1297"/>
      <c r="D7183" s="1297"/>
      <c r="E7183" s="1297"/>
      <c r="F7183" s="1297"/>
      <c r="G7183" s="1297"/>
      <c r="H7183" s="1297"/>
      <c r="I7183" s="1297"/>
      <c r="J7183" s="1297"/>
      <c r="K7183" s="1297"/>
    </row>
    <row r="7184" spans="2:11">
      <c r="B7184" s="1297"/>
      <c r="C7184" s="1297"/>
      <c r="D7184" s="1297"/>
      <c r="E7184" s="1297"/>
      <c r="F7184" s="1297"/>
      <c r="G7184" s="1297"/>
      <c r="H7184" s="1297"/>
      <c r="I7184" s="1297"/>
      <c r="J7184" s="1297"/>
      <c r="K7184" s="1297"/>
    </row>
    <row r="7185" spans="2:11">
      <c r="B7185" s="1297"/>
      <c r="C7185" s="1297"/>
      <c r="D7185" s="1297"/>
      <c r="E7185" s="1297"/>
      <c r="F7185" s="1297"/>
      <c r="G7185" s="1297"/>
      <c r="H7185" s="1297"/>
      <c r="I7185" s="1297"/>
      <c r="J7185" s="1297"/>
      <c r="K7185" s="1297"/>
    </row>
    <row r="7186" spans="2:11">
      <c r="B7186" s="1297"/>
      <c r="C7186" s="1297"/>
      <c r="D7186" s="1297"/>
      <c r="E7186" s="1297"/>
      <c r="F7186" s="1297"/>
      <c r="G7186" s="1297"/>
      <c r="H7186" s="1297"/>
      <c r="I7186" s="1297"/>
      <c r="J7186" s="1297"/>
      <c r="K7186" s="1297"/>
    </row>
    <row r="7187" spans="2:11">
      <c r="B7187" s="1297"/>
      <c r="C7187" s="1297"/>
      <c r="D7187" s="1297"/>
      <c r="E7187" s="1297"/>
      <c r="F7187" s="1297"/>
      <c r="G7187" s="1297"/>
      <c r="H7187" s="1297"/>
      <c r="I7187" s="1297"/>
      <c r="J7187" s="1297"/>
      <c r="K7187" s="1297"/>
    </row>
    <row r="7188" spans="2:11">
      <c r="B7188" s="1297"/>
      <c r="C7188" s="1297"/>
      <c r="D7188" s="1297"/>
      <c r="F7188" s="1297"/>
      <c r="G7188" s="1297"/>
      <c r="H7188" s="1297"/>
      <c r="I7188" s="1297"/>
      <c r="J7188" s="1297"/>
      <c r="K7188" s="1297"/>
    </row>
    <row r="7189" spans="2:11">
      <c r="B7189" s="1297"/>
      <c r="C7189" s="1297"/>
      <c r="D7189" s="1297"/>
      <c r="F7189" s="1297"/>
      <c r="G7189" s="1297"/>
      <c r="H7189" s="1297"/>
      <c r="I7189" s="1297"/>
      <c r="J7189" s="1297"/>
      <c r="K7189" s="1297"/>
    </row>
    <row r="7190" spans="2:11">
      <c r="B7190" s="1297"/>
      <c r="C7190" s="1297"/>
      <c r="D7190" s="1297"/>
      <c r="F7190" s="1297"/>
      <c r="G7190" s="1297"/>
      <c r="H7190" s="1297"/>
      <c r="I7190" s="1297"/>
      <c r="J7190" s="1297"/>
      <c r="K7190" s="1297"/>
    </row>
    <row r="7191" spans="2:11">
      <c r="B7191" s="1297"/>
      <c r="C7191" s="1297"/>
      <c r="D7191" s="1297"/>
      <c r="F7191" s="1297"/>
      <c r="G7191" s="1297"/>
      <c r="H7191" s="1297"/>
      <c r="I7191" s="1297"/>
      <c r="J7191" s="1297"/>
      <c r="K7191" s="1297"/>
    </row>
    <row r="7192" spans="2:11">
      <c r="B7192" s="1297"/>
      <c r="C7192" s="1297"/>
      <c r="D7192" s="1297"/>
      <c r="F7192" s="1297"/>
      <c r="G7192" s="1297"/>
      <c r="H7192" s="1297"/>
      <c r="I7192" s="1297"/>
      <c r="J7192" s="1297"/>
      <c r="K7192" s="1297"/>
    </row>
    <row r="7193" spans="2:11">
      <c r="B7193" s="1297"/>
      <c r="C7193" s="1297"/>
      <c r="D7193" s="1297"/>
      <c r="F7193" s="1297"/>
      <c r="G7193" s="1297"/>
      <c r="H7193" s="1297"/>
      <c r="I7193" s="1297"/>
      <c r="J7193" s="1297"/>
      <c r="K7193" s="1297"/>
    </row>
    <row r="7194" spans="2:11">
      <c r="B7194" s="1297"/>
      <c r="C7194" s="1297"/>
      <c r="D7194" s="1297"/>
      <c r="F7194" s="1297"/>
      <c r="G7194" s="1297"/>
      <c r="H7194" s="1297"/>
      <c r="I7194" s="1297"/>
      <c r="J7194" s="1297"/>
      <c r="K7194" s="1297"/>
    </row>
    <row r="7195" spans="2:11">
      <c r="B7195" s="1297"/>
      <c r="C7195" s="1297"/>
      <c r="D7195" s="1297"/>
      <c r="F7195" s="1297"/>
      <c r="G7195" s="1297"/>
      <c r="H7195" s="1297"/>
      <c r="I7195" s="1297"/>
      <c r="J7195" s="1297"/>
      <c r="K7195" s="1297"/>
    </row>
    <row r="7196" spans="2:11">
      <c r="B7196" s="1297"/>
      <c r="C7196" s="1297"/>
      <c r="D7196" s="1297"/>
      <c r="F7196" s="1297"/>
      <c r="G7196" s="1297"/>
      <c r="H7196" s="1297"/>
      <c r="I7196" s="1297"/>
      <c r="J7196" s="1297"/>
      <c r="K7196" s="1297"/>
    </row>
    <row r="7197" spans="2:11">
      <c r="B7197" s="1297"/>
      <c r="C7197" s="1297"/>
      <c r="D7197" s="1297"/>
      <c r="F7197" s="1297"/>
      <c r="G7197" s="1297"/>
      <c r="H7197" s="1297"/>
      <c r="I7197" s="1297"/>
      <c r="J7197" s="1297"/>
      <c r="K7197" s="1297"/>
    </row>
    <row r="7198" spans="2:11">
      <c r="B7198" s="1297"/>
      <c r="C7198" s="1297"/>
      <c r="D7198" s="1297"/>
      <c r="E7198" s="1297"/>
      <c r="F7198" s="1297"/>
      <c r="G7198" s="1297"/>
      <c r="H7198" s="1297"/>
      <c r="I7198" s="1297"/>
      <c r="J7198" s="1297"/>
      <c r="K7198" s="1297"/>
    </row>
    <row r="7199" spans="2:11">
      <c r="B7199" s="1297"/>
      <c r="C7199" s="1297"/>
      <c r="D7199" s="1297"/>
      <c r="E7199" s="1297"/>
      <c r="F7199" s="1297"/>
      <c r="G7199" s="1297"/>
      <c r="H7199" s="1297"/>
      <c r="I7199" s="1297"/>
      <c r="J7199" s="1297"/>
      <c r="K7199" s="1297"/>
    </row>
    <row r="7200" spans="2:11">
      <c r="B7200" s="1297"/>
      <c r="C7200" s="1297"/>
      <c r="D7200" s="1297"/>
      <c r="E7200" s="1297"/>
      <c r="F7200" s="1297"/>
      <c r="G7200" s="1297"/>
      <c r="H7200" s="1297"/>
      <c r="I7200" s="1297"/>
      <c r="J7200" s="1297"/>
      <c r="K7200" s="1297"/>
    </row>
    <row r="7201" spans="2:11">
      <c r="B7201" s="1297"/>
      <c r="C7201" s="1297"/>
      <c r="D7201" s="1297"/>
      <c r="E7201" s="1297"/>
      <c r="F7201" s="1297"/>
      <c r="G7201" s="1297"/>
      <c r="H7201" s="1297"/>
      <c r="I7201" s="1297"/>
      <c r="J7201" s="1297"/>
      <c r="K7201" s="1297"/>
    </row>
    <row r="7202" spans="2:11">
      <c r="B7202" s="1297"/>
      <c r="C7202" s="1297"/>
      <c r="D7202" s="1297"/>
      <c r="E7202" s="1297"/>
      <c r="F7202" s="1297"/>
      <c r="G7202" s="1297"/>
      <c r="H7202" s="1297"/>
      <c r="I7202" s="1297"/>
      <c r="J7202" s="1297"/>
      <c r="K7202" s="1297"/>
    </row>
    <row r="7203" spans="2:11">
      <c r="B7203" s="1297"/>
      <c r="C7203" s="1297"/>
      <c r="D7203" s="1297"/>
      <c r="E7203" s="1297"/>
      <c r="F7203" s="1297"/>
      <c r="G7203" s="1297"/>
      <c r="H7203" s="1297"/>
      <c r="I7203" s="1297"/>
      <c r="J7203" s="1297"/>
      <c r="K7203" s="1297"/>
    </row>
    <row r="7204" spans="2:11">
      <c r="B7204" s="1297"/>
      <c r="C7204" s="1297"/>
      <c r="D7204" s="1297"/>
      <c r="E7204" s="1297"/>
      <c r="F7204" s="1297"/>
      <c r="G7204" s="1297"/>
      <c r="H7204" s="1297"/>
      <c r="I7204" s="1297"/>
      <c r="J7204" s="1297"/>
      <c r="K7204" s="1297"/>
    </row>
    <row r="7205" spans="2:11">
      <c r="B7205" s="1297"/>
      <c r="C7205" s="1297"/>
      <c r="D7205" s="1297"/>
      <c r="E7205" s="1297"/>
      <c r="F7205" s="1297"/>
      <c r="G7205" s="1297"/>
      <c r="H7205" s="1297"/>
      <c r="I7205" s="1297"/>
      <c r="J7205" s="1297"/>
      <c r="K7205" s="1297"/>
    </row>
    <row r="7206" spans="2:11">
      <c r="B7206" s="1297"/>
      <c r="C7206" s="1297"/>
      <c r="D7206" s="1297"/>
      <c r="E7206" s="1297"/>
      <c r="F7206" s="1297"/>
      <c r="G7206" s="1297"/>
      <c r="H7206" s="1297"/>
      <c r="I7206" s="1297"/>
      <c r="J7206" s="1297"/>
      <c r="K7206" s="1297"/>
    </row>
    <row r="7207" spans="2:11">
      <c r="B7207" s="1297"/>
      <c r="C7207" s="1297"/>
      <c r="D7207" s="1297"/>
      <c r="E7207" s="1297"/>
      <c r="F7207" s="1297"/>
      <c r="G7207" s="1297"/>
      <c r="H7207" s="1297"/>
      <c r="I7207" s="1297"/>
      <c r="J7207" s="1297"/>
      <c r="K7207" s="1297"/>
    </row>
    <row r="7208" spans="2:11">
      <c r="B7208" s="1297"/>
      <c r="C7208" s="1297"/>
      <c r="D7208" s="1297"/>
      <c r="E7208" s="1297"/>
      <c r="F7208" s="1297"/>
      <c r="G7208" s="1297"/>
      <c r="H7208" s="1297"/>
      <c r="I7208" s="1297"/>
      <c r="J7208" s="1297"/>
      <c r="K7208" s="1297"/>
    </row>
    <row r="7209" spans="2:11">
      <c r="B7209" s="1297"/>
      <c r="C7209" s="1297"/>
      <c r="D7209" s="1297"/>
      <c r="E7209" s="1297"/>
      <c r="F7209" s="1297"/>
      <c r="G7209" s="1297"/>
      <c r="H7209" s="1297"/>
      <c r="I7209" s="1297"/>
      <c r="J7209" s="1297"/>
      <c r="K7209" s="1297"/>
    </row>
    <row r="7210" spans="2:11">
      <c r="B7210" s="1297"/>
      <c r="C7210" s="1297"/>
      <c r="D7210" s="1297"/>
      <c r="E7210" s="1297"/>
      <c r="F7210" s="1297"/>
      <c r="G7210" s="1297"/>
      <c r="H7210" s="1297"/>
      <c r="I7210" s="1297"/>
      <c r="J7210" s="1297"/>
      <c r="K7210" s="1297"/>
    </row>
    <row r="7211" spans="2:11">
      <c r="B7211" s="1297"/>
      <c r="C7211" s="1297"/>
      <c r="D7211" s="1297"/>
      <c r="E7211" s="1297"/>
      <c r="F7211" s="1297"/>
      <c r="G7211" s="1297"/>
      <c r="H7211" s="1297"/>
      <c r="I7211" s="1297"/>
      <c r="J7211" s="1297"/>
      <c r="K7211" s="1297"/>
    </row>
    <row r="7212" spans="2:11">
      <c r="B7212" s="1297"/>
      <c r="C7212" s="1297"/>
      <c r="D7212" s="1297"/>
      <c r="E7212" s="1297"/>
      <c r="F7212" s="1297"/>
      <c r="G7212" s="1297"/>
      <c r="H7212" s="1297"/>
      <c r="I7212" s="1297"/>
      <c r="J7212" s="1297"/>
      <c r="K7212" s="1297"/>
    </row>
    <row r="7213" spans="2:11">
      <c r="B7213" s="1297"/>
      <c r="C7213" s="1297"/>
      <c r="D7213" s="1297"/>
      <c r="E7213" s="1297"/>
      <c r="F7213" s="1297"/>
      <c r="G7213" s="1297"/>
      <c r="H7213" s="1297"/>
      <c r="I7213" s="1297"/>
      <c r="J7213" s="1297"/>
      <c r="K7213" s="1297"/>
    </row>
    <row r="7214" spans="2:11">
      <c r="B7214" s="1297"/>
      <c r="C7214" s="1297"/>
      <c r="D7214" s="1297"/>
      <c r="E7214" s="1297"/>
      <c r="F7214" s="1297"/>
      <c r="G7214" s="1297"/>
      <c r="H7214" s="1297"/>
      <c r="I7214" s="1297"/>
      <c r="J7214" s="1297"/>
      <c r="K7214" s="1297"/>
    </row>
    <row r="7215" spans="2:11">
      <c r="B7215" s="1297"/>
      <c r="C7215" s="1297"/>
      <c r="D7215" s="1297"/>
      <c r="E7215" s="1297"/>
      <c r="F7215" s="1297"/>
      <c r="G7215" s="1297"/>
      <c r="H7215" s="1297"/>
      <c r="I7215" s="1297"/>
      <c r="J7215" s="1297"/>
      <c r="K7215" s="1297"/>
    </row>
    <row r="7216" spans="2:11">
      <c r="B7216" s="1297"/>
      <c r="C7216" s="1297"/>
      <c r="D7216" s="1297"/>
      <c r="E7216" s="1297"/>
      <c r="F7216" s="1297"/>
      <c r="G7216" s="1297"/>
      <c r="H7216" s="1297"/>
      <c r="I7216" s="1297"/>
      <c r="J7216" s="1297"/>
      <c r="K7216" s="1297"/>
    </row>
    <row r="7217" spans="2:11">
      <c r="B7217" s="1297"/>
      <c r="C7217" s="1297"/>
      <c r="D7217" s="1297"/>
      <c r="E7217" s="1297"/>
      <c r="F7217" s="1297"/>
      <c r="G7217" s="1297"/>
      <c r="H7217" s="1297"/>
      <c r="I7217" s="1297"/>
      <c r="J7217" s="1297"/>
      <c r="K7217" s="1297"/>
    </row>
    <row r="7218" spans="2:11">
      <c r="B7218" s="1297"/>
      <c r="C7218" s="1297"/>
      <c r="D7218" s="1297"/>
      <c r="E7218" s="1297"/>
      <c r="F7218" s="1297"/>
      <c r="G7218" s="1297"/>
      <c r="H7218" s="1297"/>
      <c r="I7218" s="1297"/>
      <c r="J7218" s="1297"/>
      <c r="K7218" s="1297"/>
    </row>
    <row r="7219" spans="2:11">
      <c r="B7219" s="1297"/>
      <c r="C7219" s="1297"/>
      <c r="D7219" s="1297"/>
      <c r="E7219" s="1297"/>
      <c r="F7219" s="1297"/>
      <c r="G7219" s="1297"/>
      <c r="H7219" s="1297"/>
      <c r="I7219" s="1297"/>
      <c r="J7219" s="1297"/>
      <c r="K7219" s="1297"/>
    </row>
    <row r="7220" spans="2:11">
      <c r="B7220" s="1297"/>
      <c r="C7220" s="1297"/>
      <c r="D7220" s="1297"/>
      <c r="E7220" s="1297"/>
      <c r="F7220" s="1297"/>
      <c r="G7220" s="1297"/>
      <c r="H7220" s="1297"/>
      <c r="I7220" s="1297"/>
      <c r="J7220" s="1297"/>
      <c r="K7220" s="1297"/>
    </row>
    <row r="7221" spans="2:11">
      <c r="B7221" s="1297"/>
      <c r="C7221" s="1297"/>
      <c r="D7221" s="1297"/>
      <c r="E7221" s="1297"/>
      <c r="F7221" s="1297"/>
      <c r="G7221" s="1297"/>
      <c r="H7221" s="1297"/>
      <c r="I7221" s="1297"/>
      <c r="J7221" s="1297"/>
      <c r="K7221" s="1297"/>
    </row>
    <row r="7222" spans="2:11">
      <c r="B7222" s="1297"/>
      <c r="C7222" s="1297"/>
      <c r="D7222" s="1297"/>
      <c r="E7222" s="1297"/>
      <c r="F7222" s="1297"/>
      <c r="G7222" s="1297"/>
      <c r="H7222" s="1297"/>
      <c r="I7222" s="1297"/>
      <c r="J7222" s="1297"/>
      <c r="K7222" s="1297"/>
    </row>
    <row r="7223" spans="2:11">
      <c r="B7223" s="1297"/>
      <c r="C7223" s="1297"/>
      <c r="D7223" s="1297"/>
      <c r="E7223" s="1297"/>
      <c r="F7223" s="1297"/>
      <c r="G7223" s="1297"/>
      <c r="H7223" s="1297"/>
      <c r="I7223" s="1297"/>
      <c r="J7223" s="1297"/>
      <c r="K7223" s="1297"/>
    </row>
    <row r="7224" spans="2:11">
      <c r="B7224" s="1297"/>
      <c r="C7224" s="1297"/>
      <c r="D7224" s="1297"/>
      <c r="E7224" s="1297"/>
      <c r="F7224" s="1297"/>
      <c r="G7224" s="1297"/>
      <c r="H7224" s="1297"/>
      <c r="I7224" s="1297"/>
      <c r="J7224" s="1297"/>
      <c r="K7224" s="1297"/>
    </row>
    <row r="7225" spans="2:11">
      <c r="B7225" s="1297"/>
      <c r="C7225" s="1297"/>
      <c r="D7225" s="1297"/>
      <c r="E7225" s="1297"/>
      <c r="F7225" s="1297"/>
      <c r="G7225" s="1297"/>
      <c r="H7225" s="1297"/>
      <c r="I7225" s="1297"/>
      <c r="J7225" s="1297"/>
      <c r="K7225" s="1297"/>
    </row>
    <row r="7226" spans="2:11">
      <c r="B7226" s="1297"/>
      <c r="C7226" s="1297"/>
      <c r="D7226" s="1297"/>
      <c r="E7226" s="1297"/>
      <c r="F7226" s="1297"/>
      <c r="G7226" s="1297"/>
      <c r="H7226" s="1297"/>
      <c r="I7226" s="1297"/>
      <c r="J7226" s="1297"/>
      <c r="K7226" s="1297"/>
    </row>
    <row r="7227" spans="2:11">
      <c r="B7227" s="1297"/>
      <c r="C7227" s="1297"/>
      <c r="D7227" s="1297"/>
      <c r="E7227" s="1297"/>
      <c r="F7227" s="1297"/>
      <c r="G7227" s="1297"/>
      <c r="H7227" s="1297"/>
      <c r="I7227" s="1297"/>
      <c r="J7227" s="1297"/>
      <c r="K7227" s="1297"/>
    </row>
    <row r="7228" spans="2:11">
      <c r="B7228" s="1297"/>
      <c r="C7228" s="1297"/>
      <c r="D7228" s="1297"/>
      <c r="E7228" s="1297"/>
      <c r="F7228" s="1297"/>
      <c r="G7228" s="1297"/>
      <c r="H7228" s="1297"/>
      <c r="I7228" s="1297"/>
      <c r="J7228" s="1297"/>
      <c r="K7228" s="1297"/>
    </row>
    <row r="7229" spans="2:11">
      <c r="B7229" s="1297"/>
      <c r="C7229" s="1297"/>
      <c r="D7229" s="1297"/>
      <c r="E7229" s="1297"/>
      <c r="F7229" s="1297"/>
      <c r="G7229" s="1297"/>
      <c r="H7229" s="1297"/>
      <c r="I7229" s="1297"/>
      <c r="J7229" s="1297"/>
      <c r="K7229" s="1297"/>
    </row>
    <row r="7230" spans="2:11">
      <c r="B7230" s="1297"/>
      <c r="C7230" s="1297"/>
      <c r="D7230" s="1297"/>
      <c r="E7230" s="1297"/>
      <c r="F7230" s="1297"/>
      <c r="G7230" s="1297"/>
      <c r="H7230" s="1297"/>
      <c r="I7230" s="1297"/>
      <c r="J7230" s="1297"/>
      <c r="K7230" s="1297"/>
    </row>
    <row r="7231" spans="2:11">
      <c r="B7231" s="1297"/>
      <c r="C7231" s="1297"/>
      <c r="D7231" s="1297"/>
      <c r="E7231" s="1297"/>
      <c r="F7231" s="1297"/>
      <c r="G7231" s="1297"/>
      <c r="H7231" s="1297"/>
      <c r="I7231" s="1297"/>
      <c r="J7231" s="1297"/>
      <c r="K7231" s="1297"/>
    </row>
    <row r="7232" spans="2:11">
      <c r="B7232" s="1297"/>
      <c r="C7232" s="1297"/>
      <c r="D7232" s="1297"/>
      <c r="E7232" s="1297"/>
      <c r="F7232" s="1297"/>
      <c r="G7232" s="1297"/>
      <c r="H7232" s="1297"/>
      <c r="I7232" s="1297"/>
      <c r="J7232" s="1297"/>
      <c r="K7232" s="1297"/>
    </row>
    <row r="7233" spans="2:11">
      <c r="B7233" s="1297"/>
      <c r="C7233" s="1297"/>
      <c r="D7233" s="1297"/>
      <c r="E7233" s="1297"/>
      <c r="F7233" s="1297"/>
      <c r="G7233" s="1297"/>
      <c r="H7233" s="1297"/>
      <c r="I7233" s="1297"/>
      <c r="J7233" s="1297"/>
      <c r="K7233" s="1297"/>
    </row>
    <row r="7234" spans="2:11">
      <c r="B7234" s="1297"/>
      <c r="C7234" s="1297"/>
      <c r="D7234" s="1297"/>
      <c r="E7234" s="1297"/>
      <c r="F7234" s="1297"/>
      <c r="G7234" s="1297"/>
      <c r="H7234" s="1297"/>
      <c r="I7234" s="1297"/>
      <c r="J7234" s="1297"/>
      <c r="K7234" s="1297"/>
    </row>
    <row r="7235" spans="2:11">
      <c r="B7235" s="1297"/>
      <c r="C7235" s="1297"/>
      <c r="D7235" s="1297"/>
      <c r="E7235" s="1297"/>
      <c r="F7235" s="1297"/>
      <c r="G7235" s="1297"/>
      <c r="H7235" s="1297"/>
      <c r="I7235" s="1297"/>
      <c r="J7235" s="1297"/>
      <c r="K7235" s="1297"/>
    </row>
    <row r="7236" spans="2:11">
      <c r="B7236" s="1297"/>
      <c r="C7236" s="1297"/>
      <c r="D7236" s="1297"/>
      <c r="E7236" s="1297"/>
      <c r="F7236" s="1297"/>
      <c r="G7236" s="1297"/>
      <c r="H7236" s="1297"/>
      <c r="I7236" s="1297"/>
      <c r="J7236" s="1297"/>
      <c r="K7236" s="1297"/>
    </row>
    <row r="7237" spans="2:11">
      <c r="B7237" s="1297"/>
      <c r="C7237" s="1297"/>
      <c r="D7237" s="1297"/>
      <c r="E7237" s="1297"/>
      <c r="F7237" s="1297"/>
      <c r="G7237" s="1297"/>
      <c r="H7237" s="1297"/>
      <c r="I7237" s="1297"/>
      <c r="J7237" s="1297"/>
      <c r="K7237" s="1297"/>
    </row>
    <row r="7238" spans="2:11">
      <c r="B7238" s="1297"/>
      <c r="C7238" s="1297"/>
      <c r="D7238" s="1297"/>
      <c r="E7238" s="1297"/>
      <c r="F7238" s="1297"/>
      <c r="G7238" s="1297"/>
      <c r="H7238" s="1297"/>
      <c r="I7238" s="1297"/>
      <c r="J7238" s="1297"/>
      <c r="K7238" s="1297"/>
    </row>
    <row r="7239" spans="2:11">
      <c r="B7239" s="1297"/>
      <c r="C7239" s="1297"/>
      <c r="D7239" s="1297"/>
      <c r="E7239" s="1297"/>
      <c r="F7239" s="1297"/>
      <c r="G7239" s="1297"/>
      <c r="H7239" s="1297"/>
      <c r="I7239" s="1297"/>
      <c r="J7239" s="1297"/>
      <c r="K7239" s="1297"/>
    </row>
    <row r="7240" spans="2:11">
      <c r="B7240" s="1297"/>
      <c r="C7240" s="1297"/>
      <c r="D7240" s="1297"/>
      <c r="E7240" s="1297"/>
      <c r="F7240" s="1297"/>
      <c r="G7240" s="1297"/>
      <c r="H7240" s="1297"/>
      <c r="I7240" s="1297"/>
      <c r="J7240" s="1297"/>
      <c r="K7240" s="1297"/>
    </row>
    <row r="7241" spans="2:11">
      <c r="B7241" s="1297"/>
      <c r="C7241" s="1297"/>
      <c r="D7241" s="1297"/>
      <c r="E7241" s="1297"/>
      <c r="F7241" s="1297"/>
      <c r="G7241" s="1297"/>
      <c r="H7241" s="1297"/>
      <c r="I7241" s="1297"/>
      <c r="J7241" s="1297"/>
      <c r="K7241" s="1297"/>
    </row>
    <row r="7242" spans="2:11">
      <c r="B7242" s="1297"/>
      <c r="C7242" s="1297"/>
      <c r="D7242" s="1297"/>
      <c r="E7242" s="1297"/>
      <c r="F7242" s="1297"/>
      <c r="G7242" s="1297"/>
      <c r="H7242" s="1297"/>
      <c r="I7242" s="1297"/>
      <c r="J7242" s="1297"/>
      <c r="K7242" s="1297"/>
    </row>
    <row r="7243" spans="2:11">
      <c r="B7243" s="1297"/>
      <c r="C7243" s="1297"/>
      <c r="D7243" s="1297"/>
      <c r="E7243" s="1297"/>
      <c r="F7243" s="1297"/>
      <c r="G7243" s="1297"/>
      <c r="H7243" s="1297"/>
      <c r="I7243" s="1297"/>
      <c r="J7243" s="1297"/>
      <c r="K7243" s="1297"/>
    </row>
    <row r="7244" spans="2:11">
      <c r="B7244" s="1297"/>
      <c r="C7244" s="1297"/>
      <c r="D7244" s="1297"/>
      <c r="E7244" s="1297"/>
      <c r="F7244" s="1297"/>
      <c r="G7244" s="1297"/>
      <c r="H7244" s="1297"/>
      <c r="I7244" s="1297"/>
      <c r="J7244" s="1297"/>
      <c r="K7244" s="1297"/>
    </row>
    <row r="7245" spans="2:11">
      <c r="B7245" s="1297"/>
      <c r="C7245" s="1297"/>
      <c r="D7245" s="1297"/>
      <c r="E7245" s="1297"/>
      <c r="F7245" s="1297"/>
      <c r="G7245" s="1297"/>
      <c r="H7245" s="1297"/>
      <c r="I7245" s="1297"/>
      <c r="J7245" s="1297"/>
      <c r="K7245" s="1297"/>
    </row>
    <row r="7246" spans="2:11">
      <c r="B7246" s="1297"/>
      <c r="C7246" s="1297"/>
      <c r="D7246" s="1297"/>
      <c r="E7246" s="1297"/>
      <c r="F7246" s="1297"/>
      <c r="G7246" s="1297"/>
      <c r="H7246" s="1297"/>
      <c r="I7246" s="1297"/>
      <c r="J7246" s="1297"/>
      <c r="K7246" s="1297"/>
    </row>
    <row r="7247" spans="2:11">
      <c r="B7247" s="1297"/>
      <c r="C7247" s="1297"/>
      <c r="D7247" s="1297"/>
      <c r="E7247" s="1297"/>
      <c r="F7247" s="1297"/>
      <c r="G7247" s="1297"/>
      <c r="H7247" s="1297"/>
      <c r="I7247" s="1297"/>
      <c r="J7247" s="1297"/>
      <c r="K7247" s="1297"/>
    </row>
    <row r="7248" spans="2:11">
      <c r="B7248" s="1297"/>
      <c r="C7248" s="1297"/>
      <c r="D7248" s="1297"/>
      <c r="E7248" s="1297"/>
      <c r="F7248" s="1297"/>
      <c r="G7248" s="1297"/>
      <c r="H7248" s="1297"/>
      <c r="I7248" s="1297"/>
      <c r="J7248" s="1297"/>
      <c r="K7248" s="1297"/>
    </row>
    <row r="7249" spans="2:11">
      <c r="B7249" s="1297"/>
      <c r="C7249" s="1297"/>
      <c r="D7249" s="1297"/>
      <c r="E7249" s="1297"/>
      <c r="F7249" s="1297"/>
      <c r="G7249" s="1297"/>
      <c r="H7249" s="1297"/>
      <c r="I7249" s="1297"/>
      <c r="J7249" s="1297"/>
      <c r="K7249" s="1297"/>
    </row>
    <row r="7250" spans="2:11">
      <c r="B7250" s="1297"/>
      <c r="C7250" s="1297"/>
      <c r="D7250" s="1297"/>
      <c r="E7250" s="1297"/>
      <c r="F7250" s="1297"/>
      <c r="G7250" s="1297"/>
      <c r="H7250" s="1297"/>
      <c r="I7250" s="1297"/>
      <c r="J7250" s="1297"/>
      <c r="K7250" s="1297"/>
    </row>
    <row r="7251" spans="2:11">
      <c r="B7251" s="1297"/>
      <c r="C7251" s="1297"/>
      <c r="D7251" s="1297"/>
      <c r="E7251" s="1297"/>
      <c r="F7251" s="1297"/>
      <c r="G7251" s="1297"/>
      <c r="H7251" s="1297"/>
      <c r="I7251" s="1297"/>
      <c r="J7251" s="1297"/>
      <c r="K7251" s="1297"/>
    </row>
    <row r="7252" spans="2:11">
      <c r="B7252" s="1297"/>
      <c r="C7252" s="1297"/>
      <c r="D7252" s="1297"/>
      <c r="E7252" s="1297"/>
      <c r="F7252" s="1297"/>
      <c r="G7252" s="1297"/>
      <c r="H7252" s="1297"/>
      <c r="I7252" s="1297"/>
      <c r="J7252" s="1297"/>
      <c r="K7252" s="1297"/>
    </row>
    <row r="7253" spans="2:11">
      <c r="B7253" s="1297"/>
      <c r="C7253" s="1297"/>
      <c r="D7253" s="1297"/>
      <c r="E7253" s="1297"/>
      <c r="F7253" s="1297"/>
      <c r="G7253" s="1297"/>
      <c r="H7253" s="1297"/>
      <c r="I7253" s="1297"/>
      <c r="J7253" s="1297"/>
      <c r="K7253" s="1297"/>
    </row>
    <row r="7254" spans="2:11">
      <c r="B7254" s="1297"/>
      <c r="C7254" s="1297"/>
      <c r="D7254" s="1297"/>
      <c r="E7254" s="1297"/>
      <c r="F7254" s="1297"/>
      <c r="G7254" s="1297"/>
      <c r="H7254" s="1297"/>
      <c r="I7254" s="1297"/>
      <c r="J7254" s="1297"/>
      <c r="K7254" s="1297"/>
    </row>
    <row r="7255" spans="2:11">
      <c r="B7255" s="1297"/>
      <c r="C7255" s="1297"/>
      <c r="D7255" s="1297"/>
      <c r="E7255" s="1297"/>
      <c r="F7255" s="1297"/>
      <c r="G7255" s="1297"/>
      <c r="H7255" s="1297"/>
      <c r="I7255" s="1297"/>
      <c r="J7255" s="1297"/>
      <c r="K7255" s="1297"/>
    </row>
    <row r="7256" spans="2:11">
      <c r="B7256" s="1297"/>
      <c r="C7256" s="1297"/>
      <c r="D7256" s="1297"/>
      <c r="E7256" s="1297"/>
      <c r="F7256" s="1297"/>
      <c r="G7256" s="1297"/>
      <c r="H7256" s="1297"/>
      <c r="I7256" s="1297"/>
      <c r="J7256" s="1297"/>
      <c r="K7256" s="1297"/>
    </row>
    <row r="7257" spans="2:11">
      <c r="B7257" s="1297"/>
      <c r="C7257" s="1297"/>
      <c r="D7257" s="1297"/>
      <c r="E7257" s="1297"/>
      <c r="F7257" s="1297"/>
      <c r="G7257" s="1297"/>
      <c r="H7257" s="1297"/>
      <c r="I7257" s="1297"/>
      <c r="J7257" s="1297"/>
      <c r="K7257" s="1297"/>
    </row>
    <row r="7258" spans="2:11">
      <c r="B7258" s="1297"/>
      <c r="C7258" s="1297"/>
      <c r="D7258" s="1297"/>
      <c r="E7258" s="1297"/>
      <c r="F7258" s="1297"/>
      <c r="G7258" s="1297"/>
      <c r="H7258" s="1297"/>
      <c r="I7258" s="1297"/>
      <c r="J7258" s="1297"/>
      <c r="K7258" s="1297"/>
    </row>
    <row r="7259" spans="2:11">
      <c r="B7259" s="1297"/>
      <c r="C7259" s="1297"/>
      <c r="D7259" s="1297"/>
      <c r="E7259" s="1297"/>
      <c r="F7259" s="1297"/>
      <c r="G7259" s="1297"/>
      <c r="H7259" s="1297"/>
      <c r="I7259" s="1297"/>
      <c r="J7259" s="1297"/>
      <c r="K7259" s="1297"/>
    </row>
    <row r="7260" spans="2:11">
      <c r="B7260" s="1297"/>
      <c r="C7260" s="1297"/>
      <c r="D7260" s="1297"/>
      <c r="E7260" s="1297"/>
      <c r="F7260" s="1297"/>
      <c r="G7260" s="1297"/>
      <c r="H7260" s="1297"/>
      <c r="I7260" s="1297"/>
      <c r="J7260" s="1297"/>
      <c r="K7260" s="1297"/>
    </row>
    <row r="7261" spans="2:11">
      <c r="B7261" s="1297"/>
      <c r="C7261" s="1297"/>
      <c r="D7261" s="1297"/>
      <c r="E7261" s="1297"/>
      <c r="F7261" s="1297"/>
      <c r="G7261" s="1297"/>
      <c r="H7261" s="1297"/>
      <c r="I7261" s="1297"/>
      <c r="J7261" s="1297"/>
      <c r="K7261" s="1297"/>
    </row>
    <row r="7262" spans="2:11">
      <c r="B7262" s="1297"/>
      <c r="C7262" s="1297"/>
      <c r="D7262" s="1297"/>
      <c r="E7262" s="1297"/>
      <c r="F7262" s="1297"/>
      <c r="G7262" s="1297"/>
      <c r="H7262" s="1297"/>
      <c r="I7262" s="1297"/>
      <c r="J7262" s="1297"/>
      <c r="K7262" s="1297"/>
    </row>
    <row r="7263" spans="2:11">
      <c r="B7263" s="1297"/>
      <c r="C7263" s="1297"/>
      <c r="D7263" s="1297"/>
      <c r="E7263" s="1297"/>
      <c r="F7263" s="1297"/>
      <c r="G7263" s="1297"/>
      <c r="H7263" s="1297"/>
      <c r="I7263" s="1297"/>
      <c r="J7263" s="1297"/>
      <c r="K7263" s="1297"/>
    </row>
    <row r="7264" spans="2:11">
      <c r="B7264" s="1297"/>
      <c r="C7264" s="1297"/>
      <c r="D7264" s="1297"/>
      <c r="E7264" s="1297"/>
      <c r="F7264" s="1297"/>
      <c r="G7264" s="1297"/>
      <c r="H7264" s="1297"/>
      <c r="I7264" s="1297"/>
      <c r="J7264" s="1297"/>
      <c r="K7264" s="1297"/>
    </row>
    <row r="7265" spans="2:11">
      <c r="B7265" s="1297"/>
      <c r="C7265" s="1297"/>
      <c r="D7265" s="1297"/>
      <c r="E7265" s="1297"/>
      <c r="F7265" s="1297"/>
      <c r="G7265" s="1297"/>
      <c r="H7265" s="1297"/>
      <c r="I7265" s="1297"/>
      <c r="J7265" s="1297"/>
      <c r="K7265" s="1297"/>
    </row>
    <row r="7266" spans="2:11">
      <c r="B7266" s="1297"/>
      <c r="C7266" s="1297"/>
      <c r="D7266" s="1297"/>
      <c r="E7266" s="1297"/>
      <c r="F7266" s="1297"/>
      <c r="G7266" s="1297"/>
      <c r="H7266" s="1297"/>
      <c r="I7266" s="1297"/>
      <c r="J7266" s="1297"/>
      <c r="K7266" s="1297"/>
    </row>
    <row r="7267" spans="2:11">
      <c r="B7267" s="1297"/>
      <c r="C7267" s="1297"/>
      <c r="D7267" s="1297"/>
      <c r="E7267" s="1297"/>
      <c r="F7267" s="1297"/>
      <c r="G7267" s="1297"/>
      <c r="H7267" s="1297"/>
      <c r="I7267" s="1297"/>
      <c r="J7267" s="1297"/>
      <c r="K7267" s="1297"/>
    </row>
    <row r="7268" spans="2:11">
      <c r="B7268" s="1297"/>
      <c r="C7268" s="1297"/>
      <c r="D7268" s="1297"/>
      <c r="E7268" s="1297"/>
      <c r="F7268" s="1297"/>
      <c r="G7268" s="1297"/>
      <c r="H7268" s="1297"/>
      <c r="I7268" s="1297"/>
      <c r="J7268" s="1297"/>
      <c r="K7268" s="1297"/>
    </row>
    <row r="7269" spans="2:11">
      <c r="B7269" s="1297"/>
      <c r="C7269" s="1297"/>
      <c r="D7269" s="1297"/>
      <c r="E7269" s="1297"/>
      <c r="F7269" s="1297"/>
      <c r="G7269" s="1297"/>
      <c r="H7269" s="1297"/>
      <c r="I7269" s="1297"/>
      <c r="J7269" s="1297"/>
      <c r="K7269" s="1297"/>
    </row>
    <row r="7270" spans="2:11">
      <c r="B7270" s="1297"/>
      <c r="C7270" s="1297"/>
      <c r="D7270" s="1297"/>
      <c r="E7270" s="1297"/>
      <c r="F7270" s="1297"/>
      <c r="G7270" s="1297"/>
      <c r="H7270" s="1297"/>
      <c r="I7270" s="1297"/>
      <c r="J7270" s="1297"/>
      <c r="K7270" s="1297"/>
    </row>
    <row r="7271" spans="2:11">
      <c r="B7271" s="1297"/>
      <c r="C7271" s="1297"/>
      <c r="D7271" s="1297"/>
      <c r="E7271" s="1297"/>
      <c r="F7271" s="1297"/>
      <c r="G7271" s="1297"/>
      <c r="H7271" s="1297"/>
      <c r="I7271" s="1297"/>
      <c r="J7271" s="1297"/>
      <c r="K7271" s="1297"/>
    </row>
    <row r="7272" spans="2:11">
      <c r="B7272" s="1297"/>
      <c r="C7272" s="1297"/>
      <c r="D7272" s="1297"/>
      <c r="E7272" s="1297"/>
      <c r="F7272" s="1297"/>
      <c r="G7272" s="1297"/>
      <c r="H7272" s="1297"/>
      <c r="I7272" s="1297"/>
      <c r="J7272" s="1297"/>
      <c r="K7272" s="1297"/>
    </row>
    <row r="7273" spans="2:11">
      <c r="B7273" s="1297"/>
      <c r="C7273" s="1297"/>
      <c r="D7273" s="1297"/>
      <c r="E7273" s="1297"/>
      <c r="F7273" s="1297"/>
      <c r="G7273" s="1297"/>
      <c r="H7273" s="1297"/>
      <c r="I7273" s="1297"/>
      <c r="J7273" s="1297"/>
      <c r="K7273" s="1297"/>
    </row>
    <row r="7274" spans="2:11">
      <c r="B7274" s="1297"/>
      <c r="C7274" s="1297"/>
      <c r="D7274" s="1297"/>
      <c r="E7274" s="1297"/>
      <c r="F7274" s="1297"/>
      <c r="G7274" s="1297"/>
      <c r="H7274" s="1297"/>
      <c r="I7274" s="1297"/>
      <c r="J7274" s="1297"/>
      <c r="K7274" s="1297"/>
    </row>
    <row r="7275" spans="2:11">
      <c r="B7275" s="1297"/>
      <c r="C7275" s="1297"/>
      <c r="D7275" s="1297"/>
      <c r="E7275" s="1297"/>
      <c r="F7275" s="1297"/>
      <c r="G7275" s="1297"/>
      <c r="H7275" s="1297"/>
      <c r="I7275" s="1297"/>
      <c r="J7275" s="1297"/>
      <c r="K7275" s="1297"/>
    </row>
    <row r="7276" spans="2:11">
      <c r="B7276" s="1297"/>
      <c r="C7276" s="1297"/>
      <c r="D7276" s="1297"/>
      <c r="E7276" s="1297"/>
      <c r="F7276" s="1297"/>
      <c r="G7276" s="1297"/>
      <c r="H7276" s="1297"/>
      <c r="I7276" s="1297"/>
      <c r="J7276" s="1297"/>
      <c r="K7276" s="1297"/>
    </row>
    <row r="7277" spans="2:11">
      <c r="B7277" s="1297"/>
      <c r="C7277" s="1297"/>
      <c r="D7277" s="1297"/>
      <c r="E7277" s="1297"/>
      <c r="F7277" s="1297"/>
      <c r="G7277" s="1297"/>
      <c r="H7277" s="1297"/>
      <c r="I7277" s="1297"/>
      <c r="J7277" s="1297"/>
      <c r="K7277" s="1297"/>
    </row>
    <row r="7278" spans="2:11">
      <c r="B7278" s="1297"/>
      <c r="C7278" s="1297"/>
      <c r="D7278" s="1297"/>
      <c r="E7278" s="1297"/>
      <c r="F7278" s="1297"/>
      <c r="G7278" s="1297"/>
      <c r="H7278" s="1297"/>
      <c r="I7278" s="1297"/>
      <c r="J7278" s="1297"/>
      <c r="K7278" s="1297"/>
    </row>
    <row r="7279" spans="2:11">
      <c r="B7279" s="1297"/>
      <c r="C7279" s="1297"/>
      <c r="D7279" s="1297"/>
      <c r="E7279" s="1297"/>
      <c r="F7279" s="1297"/>
      <c r="G7279" s="1297"/>
      <c r="H7279" s="1297"/>
      <c r="I7279" s="1297"/>
      <c r="J7279" s="1297"/>
      <c r="K7279" s="1297"/>
    </row>
    <row r="7280" spans="2:11">
      <c r="B7280" s="1297"/>
      <c r="C7280" s="1297"/>
      <c r="D7280" s="1297"/>
      <c r="E7280" s="1297"/>
      <c r="F7280" s="1297"/>
      <c r="G7280" s="1297"/>
      <c r="H7280" s="1297"/>
      <c r="I7280" s="1297"/>
      <c r="J7280" s="1297"/>
      <c r="K7280" s="1297"/>
    </row>
    <row r="7281" spans="2:11">
      <c r="B7281" s="1297"/>
      <c r="C7281" s="1297"/>
      <c r="D7281" s="1297"/>
      <c r="E7281" s="1297"/>
      <c r="F7281" s="1297"/>
      <c r="G7281" s="1297"/>
      <c r="H7281" s="1297"/>
      <c r="I7281" s="1297"/>
      <c r="J7281" s="1297"/>
      <c r="K7281" s="1297"/>
    </row>
    <row r="7282" spans="2:11">
      <c r="B7282" s="1297"/>
      <c r="C7282" s="1297"/>
      <c r="D7282" s="1297"/>
      <c r="E7282" s="1297"/>
      <c r="F7282" s="1297"/>
      <c r="G7282" s="1297"/>
      <c r="H7282" s="1297"/>
      <c r="I7282" s="1297"/>
      <c r="J7282" s="1297"/>
      <c r="K7282" s="1297"/>
    </row>
    <row r="7283" spans="2:11">
      <c r="B7283" s="1297"/>
      <c r="C7283" s="1297"/>
      <c r="D7283" s="1297"/>
      <c r="E7283" s="1297"/>
      <c r="F7283" s="1297"/>
      <c r="G7283" s="1297"/>
      <c r="H7283" s="1297"/>
      <c r="I7283" s="1297"/>
      <c r="J7283" s="1297"/>
      <c r="K7283" s="1297"/>
    </row>
    <row r="7284" spans="2:11">
      <c r="B7284" s="1297"/>
      <c r="C7284" s="1297"/>
      <c r="D7284" s="1297"/>
      <c r="E7284" s="1297"/>
      <c r="F7284" s="1297"/>
      <c r="G7284" s="1297"/>
      <c r="H7284" s="1297"/>
      <c r="I7284" s="1297"/>
      <c r="J7284" s="1297"/>
      <c r="K7284" s="1297"/>
    </row>
    <row r="7285" spans="2:11">
      <c r="B7285" s="1297"/>
      <c r="C7285" s="1297"/>
      <c r="D7285" s="1297"/>
      <c r="E7285" s="1297"/>
      <c r="F7285" s="1297"/>
      <c r="G7285" s="1297"/>
      <c r="H7285" s="1297"/>
      <c r="I7285" s="1297"/>
      <c r="J7285" s="1297"/>
      <c r="K7285" s="1297"/>
    </row>
    <row r="7286" spans="2:11">
      <c r="B7286" s="1297"/>
      <c r="C7286" s="1297"/>
      <c r="D7286" s="1297"/>
      <c r="E7286" s="1297"/>
      <c r="F7286" s="1297"/>
      <c r="G7286" s="1297"/>
      <c r="H7286" s="1297"/>
      <c r="I7286" s="1297"/>
      <c r="J7286" s="1297"/>
      <c r="K7286" s="1297"/>
    </row>
    <row r="7287" spans="2:11">
      <c r="B7287" s="1297"/>
      <c r="C7287" s="1297"/>
      <c r="D7287" s="1297"/>
      <c r="E7287" s="1297"/>
      <c r="F7287" s="1297"/>
      <c r="G7287" s="1297"/>
      <c r="H7287" s="1297"/>
      <c r="I7287" s="1297"/>
      <c r="J7287" s="1297"/>
      <c r="K7287" s="1297"/>
    </row>
    <row r="7288" spans="2:11">
      <c r="B7288" s="1297"/>
      <c r="C7288" s="1297"/>
      <c r="D7288" s="1297"/>
      <c r="E7288" s="1297"/>
      <c r="F7288" s="1297"/>
      <c r="G7288" s="1297"/>
      <c r="H7288" s="1297"/>
      <c r="I7288" s="1297"/>
      <c r="J7288" s="1297"/>
      <c r="K7288" s="1297"/>
    </row>
    <row r="7289" spans="2:11">
      <c r="B7289" s="1297"/>
      <c r="C7289" s="1297"/>
      <c r="D7289" s="1297"/>
      <c r="E7289" s="1297"/>
      <c r="F7289" s="1297"/>
      <c r="G7289" s="1297"/>
      <c r="H7289" s="1297"/>
      <c r="I7289" s="1297"/>
      <c r="J7289" s="1297"/>
      <c r="K7289" s="1297"/>
    </row>
    <row r="7290" spans="2:11">
      <c r="B7290" s="1297"/>
      <c r="C7290" s="1297"/>
      <c r="D7290" s="1297"/>
      <c r="E7290" s="1297"/>
      <c r="F7290" s="1297"/>
      <c r="G7290" s="1297"/>
      <c r="H7290" s="1297"/>
      <c r="I7290" s="1297"/>
      <c r="J7290" s="1297"/>
      <c r="K7290" s="1297"/>
    </row>
    <row r="7291" spans="2:11">
      <c r="B7291" s="1297"/>
      <c r="C7291" s="1297"/>
      <c r="D7291" s="1297"/>
      <c r="E7291" s="1297"/>
      <c r="F7291" s="1297"/>
      <c r="G7291" s="1297"/>
      <c r="H7291" s="1297"/>
      <c r="I7291" s="1297"/>
      <c r="J7291" s="1297"/>
      <c r="K7291" s="1297"/>
    </row>
    <row r="7292" spans="2:11">
      <c r="B7292" s="1297"/>
      <c r="C7292" s="1297"/>
      <c r="D7292" s="1297"/>
      <c r="E7292" s="1297"/>
      <c r="F7292" s="1297"/>
      <c r="G7292" s="1297"/>
      <c r="H7292" s="1297"/>
      <c r="I7292" s="1297"/>
      <c r="J7292" s="1297"/>
      <c r="K7292" s="1297"/>
    </row>
    <row r="7293" spans="2:11">
      <c r="B7293" s="1297"/>
      <c r="C7293" s="1297"/>
      <c r="D7293" s="1297"/>
      <c r="E7293" s="1297"/>
      <c r="F7293" s="1297"/>
      <c r="G7293" s="1297"/>
      <c r="H7293" s="1297"/>
      <c r="I7293" s="1297"/>
      <c r="J7293" s="1297"/>
      <c r="K7293" s="1297"/>
    </row>
    <row r="7294" spans="2:11">
      <c r="B7294" s="1297"/>
      <c r="C7294" s="1297"/>
      <c r="D7294" s="1297"/>
      <c r="E7294" s="1297"/>
      <c r="F7294" s="1297"/>
      <c r="G7294" s="1297"/>
      <c r="H7294" s="1297"/>
      <c r="I7294" s="1297"/>
      <c r="J7294" s="1297"/>
      <c r="K7294" s="1297"/>
    </row>
    <row r="7295" spans="2:11">
      <c r="B7295" s="1297"/>
      <c r="C7295" s="1297"/>
      <c r="D7295" s="1297"/>
      <c r="E7295" s="1297"/>
      <c r="F7295" s="1297"/>
      <c r="G7295" s="1297"/>
      <c r="H7295" s="1297"/>
      <c r="I7295" s="1297"/>
      <c r="J7295" s="1297"/>
      <c r="K7295" s="1297"/>
    </row>
    <row r="7296" spans="2:11">
      <c r="B7296" s="1297"/>
      <c r="C7296" s="1297"/>
      <c r="D7296" s="1297"/>
      <c r="E7296" s="1297"/>
      <c r="F7296" s="1297"/>
      <c r="G7296" s="1297"/>
      <c r="H7296" s="1297"/>
      <c r="I7296" s="1297"/>
      <c r="J7296" s="1297"/>
      <c r="K7296" s="1297"/>
    </row>
    <row r="7297" spans="2:11">
      <c r="B7297" s="1297"/>
      <c r="C7297" s="1297"/>
      <c r="D7297" s="1297"/>
      <c r="E7297" s="1297"/>
      <c r="F7297" s="1297"/>
      <c r="G7297" s="1297"/>
      <c r="H7297" s="1297"/>
      <c r="I7297" s="1297"/>
      <c r="J7297" s="1297"/>
      <c r="K7297" s="1297"/>
    </row>
    <row r="7298" spans="2:11">
      <c r="B7298" s="1297"/>
      <c r="C7298" s="1297"/>
      <c r="D7298" s="1297"/>
      <c r="E7298" s="1297"/>
      <c r="F7298" s="1297"/>
      <c r="G7298" s="1297"/>
      <c r="H7298" s="1297"/>
      <c r="I7298" s="1297"/>
      <c r="J7298" s="1297"/>
      <c r="K7298" s="1297"/>
    </row>
    <row r="7299" spans="2:11">
      <c r="B7299" s="1297"/>
      <c r="C7299" s="1297"/>
      <c r="D7299" s="1297"/>
      <c r="E7299" s="1297"/>
      <c r="F7299" s="1297"/>
      <c r="G7299" s="1297"/>
      <c r="H7299" s="1297"/>
      <c r="I7299" s="1297"/>
      <c r="J7299" s="1297"/>
      <c r="K7299" s="1297"/>
    </row>
    <row r="7300" spans="2:11">
      <c r="B7300" s="1297"/>
      <c r="C7300" s="1297"/>
      <c r="D7300" s="1297"/>
      <c r="E7300" s="1297"/>
      <c r="F7300" s="1297"/>
      <c r="G7300" s="1297"/>
      <c r="H7300" s="1297"/>
      <c r="I7300" s="1297"/>
      <c r="J7300" s="1297"/>
      <c r="K7300" s="1297"/>
    </row>
    <row r="7301" spans="2:11">
      <c r="B7301" s="1297"/>
      <c r="C7301" s="1297"/>
      <c r="D7301" s="1297"/>
      <c r="E7301" s="1297"/>
      <c r="F7301" s="1297"/>
      <c r="G7301" s="1297"/>
      <c r="H7301" s="1297"/>
      <c r="I7301" s="1297"/>
      <c r="J7301" s="1297"/>
      <c r="K7301" s="1297"/>
    </row>
    <row r="7302" spans="2:11">
      <c r="B7302" s="1297"/>
      <c r="C7302" s="1297"/>
      <c r="D7302" s="1297"/>
      <c r="E7302" s="1297"/>
      <c r="F7302" s="1297"/>
      <c r="G7302" s="1297"/>
      <c r="H7302" s="1297"/>
      <c r="I7302" s="1297"/>
      <c r="J7302" s="1297"/>
      <c r="K7302" s="1297"/>
    </row>
    <row r="7303" spans="2:11">
      <c r="B7303" s="1297"/>
      <c r="C7303" s="1297"/>
      <c r="D7303" s="1297"/>
      <c r="E7303" s="1297"/>
      <c r="F7303" s="1297"/>
      <c r="G7303" s="1297"/>
      <c r="H7303" s="1297"/>
      <c r="I7303" s="1297"/>
      <c r="J7303" s="1297"/>
      <c r="K7303" s="1297"/>
    </row>
    <row r="7304" spans="2:11">
      <c r="B7304" s="1297"/>
      <c r="C7304" s="1297"/>
      <c r="D7304" s="1297"/>
      <c r="E7304" s="1297"/>
      <c r="F7304" s="1297"/>
      <c r="G7304" s="1297"/>
      <c r="H7304" s="1297"/>
      <c r="I7304" s="1297"/>
      <c r="J7304" s="1297"/>
      <c r="K7304" s="1297"/>
    </row>
    <row r="7305" spans="2:11">
      <c r="B7305" s="1297"/>
      <c r="C7305" s="1297"/>
      <c r="D7305" s="1297"/>
      <c r="E7305" s="1297"/>
      <c r="F7305" s="1297"/>
      <c r="G7305" s="1297"/>
      <c r="H7305" s="1297"/>
      <c r="I7305" s="1297"/>
      <c r="J7305" s="1297"/>
      <c r="K7305" s="1297"/>
    </row>
    <row r="7306" spans="2:11">
      <c r="B7306" s="1297"/>
      <c r="C7306" s="1297"/>
      <c r="D7306" s="1297"/>
      <c r="E7306" s="1297"/>
      <c r="F7306" s="1297"/>
      <c r="G7306" s="1297"/>
      <c r="H7306" s="1297"/>
      <c r="I7306" s="1297"/>
      <c r="J7306" s="1297"/>
      <c r="K7306" s="1297"/>
    </row>
    <row r="7307" spans="2:11">
      <c r="B7307" s="1297"/>
      <c r="C7307" s="1297"/>
      <c r="D7307" s="1297"/>
      <c r="E7307" s="1297"/>
      <c r="F7307" s="1297"/>
      <c r="G7307" s="1297"/>
      <c r="H7307" s="1297"/>
      <c r="I7307" s="1297"/>
      <c r="J7307" s="1297"/>
      <c r="K7307" s="1297"/>
    </row>
    <row r="7308" spans="2:11">
      <c r="B7308" s="1297"/>
      <c r="C7308" s="1297"/>
      <c r="D7308" s="1297"/>
      <c r="E7308" s="1297"/>
      <c r="F7308" s="1297"/>
      <c r="G7308" s="1297"/>
      <c r="H7308" s="1297"/>
      <c r="I7308" s="1297"/>
      <c r="J7308" s="1297"/>
      <c r="K7308" s="1297"/>
    </row>
    <row r="7309" spans="2:11">
      <c r="B7309" s="1297"/>
      <c r="C7309" s="1297"/>
      <c r="D7309" s="1297"/>
      <c r="E7309" s="1297"/>
      <c r="F7309" s="1297"/>
      <c r="G7309" s="1297"/>
      <c r="H7309" s="1297"/>
      <c r="I7309" s="1297"/>
      <c r="J7309" s="1297"/>
      <c r="K7309" s="1297"/>
    </row>
    <row r="7310" spans="2:11">
      <c r="B7310" s="1297"/>
      <c r="C7310" s="1297"/>
      <c r="D7310" s="1297"/>
      <c r="E7310" s="1297"/>
      <c r="F7310" s="1297"/>
      <c r="G7310" s="1297"/>
      <c r="H7310" s="1297"/>
      <c r="I7310" s="1297"/>
      <c r="J7310" s="1297"/>
      <c r="K7310" s="1297"/>
    </row>
    <row r="7311" spans="2:11">
      <c r="B7311" s="1297"/>
      <c r="C7311" s="1297"/>
      <c r="D7311" s="1297"/>
      <c r="E7311" s="1297"/>
      <c r="F7311" s="1297"/>
      <c r="G7311" s="1297"/>
      <c r="H7311" s="1297"/>
      <c r="I7311" s="1297"/>
      <c r="J7311" s="1297"/>
      <c r="K7311" s="1297"/>
    </row>
    <row r="7312" spans="2:11">
      <c r="B7312" s="1297"/>
      <c r="C7312" s="1297"/>
      <c r="D7312" s="1297"/>
      <c r="E7312" s="1297"/>
      <c r="F7312" s="1297"/>
      <c r="G7312" s="1297"/>
      <c r="H7312" s="1297"/>
      <c r="I7312" s="1297"/>
      <c r="J7312" s="1297"/>
      <c r="K7312" s="1297"/>
    </row>
    <row r="7313" spans="2:11">
      <c r="B7313" s="1297"/>
      <c r="C7313" s="1297"/>
      <c r="D7313" s="1297"/>
      <c r="E7313" s="1297"/>
      <c r="F7313" s="1297"/>
      <c r="G7313" s="1297"/>
      <c r="H7313" s="1297"/>
      <c r="I7313" s="1297"/>
      <c r="J7313" s="1297"/>
      <c r="K7313" s="1297"/>
    </row>
    <row r="7314" spans="2:11">
      <c r="B7314" s="1297"/>
      <c r="C7314" s="1297"/>
      <c r="D7314" s="1297"/>
      <c r="E7314" s="1297"/>
      <c r="F7314" s="1297"/>
      <c r="G7314" s="1297"/>
      <c r="H7314" s="1297"/>
      <c r="I7314" s="1297"/>
      <c r="J7314" s="1297"/>
      <c r="K7314" s="1297"/>
    </row>
    <row r="7315" spans="2:11">
      <c r="B7315" s="1297"/>
      <c r="C7315" s="1297"/>
      <c r="D7315" s="1297"/>
      <c r="E7315" s="1297"/>
      <c r="F7315" s="1297"/>
      <c r="G7315" s="1297"/>
      <c r="H7315" s="1297"/>
      <c r="I7315" s="1297"/>
      <c r="J7315" s="1297"/>
      <c r="K7315" s="1297"/>
    </row>
    <row r="7316" spans="2:11">
      <c r="B7316" s="1297"/>
      <c r="C7316" s="1297"/>
      <c r="D7316" s="1297"/>
      <c r="E7316" s="1297"/>
      <c r="F7316" s="1297"/>
      <c r="G7316" s="1297"/>
      <c r="H7316" s="1297"/>
      <c r="I7316" s="1297"/>
      <c r="J7316" s="1297"/>
      <c r="K7316" s="1297"/>
    </row>
    <row r="7317" spans="2:11">
      <c r="B7317" s="1297"/>
      <c r="C7317" s="1297"/>
      <c r="D7317" s="1297"/>
      <c r="E7317" s="1297"/>
      <c r="F7317" s="1297"/>
      <c r="G7317" s="1297"/>
      <c r="H7317" s="1297"/>
      <c r="I7317" s="1297"/>
      <c r="J7317" s="1297"/>
      <c r="K7317" s="1297"/>
    </row>
    <row r="7318" spans="2:11">
      <c r="B7318" s="1297"/>
      <c r="C7318" s="1297"/>
      <c r="D7318" s="1297"/>
      <c r="E7318" s="1297"/>
      <c r="F7318" s="1297"/>
      <c r="G7318" s="1297"/>
      <c r="H7318" s="1297"/>
      <c r="I7318" s="1297"/>
      <c r="J7318" s="1297"/>
      <c r="K7318" s="1297"/>
    </row>
    <row r="7319" spans="2:11">
      <c r="B7319" s="1297"/>
      <c r="C7319" s="1297"/>
      <c r="D7319" s="1297"/>
      <c r="E7319" s="1297"/>
      <c r="F7319" s="1297"/>
      <c r="G7319" s="1297"/>
      <c r="H7319" s="1297"/>
      <c r="I7319" s="1297"/>
      <c r="J7319" s="1297"/>
      <c r="K7319" s="1297"/>
    </row>
    <row r="7320" spans="2:11">
      <c r="B7320" s="1297"/>
      <c r="C7320" s="1297"/>
      <c r="D7320" s="1297"/>
      <c r="E7320" s="1297"/>
      <c r="F7320" s="1297"/>
      <c r="G7320" s="1297"/>
      <c r="H7320" s="1297"/>
      <c r="I7320" s="1297"/>
      <c r="J7320" s="1297"/>
      <c r="K7320" s="1297"/>
    </row>
    <row r="7321" spans="2:11">
      <c r="B7321" s="1297"/>
      <c r="C7321" s="1297"/>
      <c r="D7321" s="1297"/>
      <c r="E7321" s="1297"/>
      <c r="F7321" s="1297"/>
      <c r="G7321" s="1297"/>
      <c r="H7321" s="1297"/>
      <c r="I7321" s="1297"/>
      <c r="J7321" s="1297"/>
      <c r="K7321" s="1297"/>
    </row>
    <row r="7322" spans="2:11">
      <c r="B7322" s="1297"/>
      <c r="C7322" s="1297"/>
      <c r="D7322" s="1297"/>
      <c r="E7322" s="1297"/>
      <c r="F7322" s="1297"/>
      <c r="G7322" s="1297"/>
      <c r="H7322" s="1297"/>
      <c r="I7322" s="1297"/>
      <c r="J7322" s="1297"/>
      <c r="K7322" s="1297"/>
    </row>
    <row r="7323" spans="2:11">
      <c r="B7323" s="1297"/>
      <c r="C7323" s="1297"/>
      <c r="D7323" s="1297"/>
      <c r="E7323" s="1297"/>
      <c r="F7323" s="1297"/>
      <c r="G7323" s="1297"/>
      <c r="H7323" s="1297"/>
      <c r="I7323" s="1297"/>
      <c r="J7323" s="1297"/>
      <c r="K7323" s="1297"/>
    </row>
    <row r="7324" spans="2:11">
      <c r="B7324" s="1297"/>
      <c r="C7324" s="1297"/>
      <c r="D7324" s="1297"/>
      <c r="E7324" s="1297"/>
      <c r="F7324" s="1297"/>
      <c r="G7324" s="1297"/>
      <c r="H7324" s="1297"/>
      <c r="I7324" s="1297"/>
      <c r="J7324" s="1297"/>
      <c r="K7324" s="1297"/>
    </row>
    <row r="7325" spans="2:11">
      <c r="B7325" s="1297"/>
      <c r="C7325" s="1297"/>
      <c r="D7325" s="1297"/>
      <c r="E7325" s="1297"/>
      <c r="F7325" s="1297"/>
      <c r="G7325" s="1297"/>
      <c r="H7325" s="1297"/>
      <c r="I7325" s="1297"/>
      <c r="J7325" s="1297"/>
      <c r="K7325" s="1297"/>
    </row>
    <row r="7326" spans="2:11">
      <c r="B7326" s="1297"/>
      <c r="C7326" s="1297"/>
      <c r="D7326" s="1297"/>
      <c r="E7326" s="1297"/>
      <c r="F7326" s="1297"/>
      <c r="G7326" s="1297"/>
      <c r="H7326" s="1297"/>
      <c r="I7326" s="1297"/>
      <c r="J7326" s="1297"/>
      <c r="K7326" s="1297"/>
    </row>
    <row r="7327" spans="2:11">
      <c r="B7327" s="1297"/>
      <c r="C7327" s="1297"/>
      <c r="D7327" s="1297"/>
      <c r="E7327" s="1297"/>
      <c r="F7327" s="1297"/>
      <c r="G7327" s="1297"/>
      <c r="H7327" s="1297"/>
      <c r="I7327" s="1297"/>
      <c r="J7327" s="1297"/>
      <c r="K7327" s="1297"/>
    </row>
    <row r="7328" spans="2:11">
      <c r="B7328" s="1297"/>
      <c r="C7328" s="1297"/>
      <c r="D7328" s="1297"/>
      <c r="E7328" s="1297"/>
      <c r="F7328" s="1297"/>
      <c r="G7328" s="1297"/>
      <c r="H7328" s="1297"/>
      <c r="I7328" s="1297"/>
      <c r="J7328" s="1297"/>
      <c r="K7328" s="1297"/>
    </row>
    <row r="7329" spans="2:11">
      <c r="B7329" s="1297"/>
      <c r="C7329" s="1297"/>
      <c r="D7329" s="1297"/>
      <c r="E7329" s="1297"/>
      <c r="F7329" s="1297"/>
      <c r="G7329" s="1297"/>
      <c r="H7329" s="1297"/>
      <c r="I7329" s="1297"/>
      <c r="J7329" s="1297"/>
      <c r="K7329" s="1297"/>
    </row>
    <row r="7330" spans="2:11">
      <c r="B7330" s="1297"/>
      <c r="C7330" s="1297"/>
      <c r="D7330" s="1297"/>
      <c r="E7330" s="1297"/>
      <c r="F7330" s="1297"/>
      <c r="G7330" s="1297"/>
      <c r="H7330" s="1297"/>
      <c r="I7330" s="1297"/>
      <c r="J7330" s="1297"/>
      <c r="K7330" s="1297"/>
    </row>
    <row r="7331" spans="2:11">
      <c r="B7331" s="1297"/>
      <c r="C7331" s="1297"/>
      <c r="D7331" s="1297"/>
      <c r="E7331" s="1297"/>
      <c r="F7331" s="1297"/>
      <c r="G7331" s="1297"/>
      <c r="H7331" s="1297"/>
      <c r="I7331" s="1297"/>
      <c r="J7331" s="1297"/>
      <c r="K7331" s="1297"/>
    </row>
    <row r="7332" spans="2:11">
      <c r="B7332" s="1297"/>
      <c r="C7332" s="1297"/>
      <c r="D7332" s="1297"/>
      <c r="E7332" s="1297"/>
      <c r="F7332" s="1297"/>
      <c r="G7332" s="1297"/>
      <c r="H7332" s="1297"/>
      <c r="I7332" s="1297"/>
      <c r="J7332" s="1297"/>
      <c r="K7332" s="1297"/>
    </row>
    <row r="7333" spans="2:11">
      <c r="B7333" s="1297"/>
      <c r="C7333" s="1297"/>
      <c r="D7333" s="1297"/>
      <c r="E7333" s="1297"/>
      <c r="F7333" s="1297"/>
      <c r="G7333" s="1297"/>
      <c r="H7333" s="1297"/>
      <c r="I7333" s="1297"/>
      <c r="J7333" s="1297"/>
      <c r="K7333" s="1297"/>
    </row>
    <row r="7334" spans="2:11">
      <c r="B7334" s="1297"/>
      <c r="C7334" s="1297"/>
      <c r="D7334" s="1297"/>
      <c r="E7334" s="1297"/>
      <c r="F7334" s="1297"/>
      <c r="G7334" s="1297"/>
      <c r="H7334" s="1297"/>
      <c r="I7334" s="1297"/>
      <c r="J7334" s="1297"/>
      <c r="K7334" s="1297"/>
    </row>
    <row r="7335" spans="2:11">
      <c r="B7335" s="1297"/>
      <c r="C7335" s="1297"/>
      <c r="D7335" s="1297"/>
      <c r="E7335" s="1297"/>
      <c r="F7335" s="1297"/>
      <c r="G7335" s="1297"/>
      <c r="H7335" s="1297"/>
      <c r="I7335" s="1297"/>
      <c r="J7335" s="1297"/>
      <c r="K7335" s="1297"/>
    </row>
    <row r="7336" spans="2:11">
      <c r="B7336" s="1297"/>
      <c r="C7336" s="1297"/>
      <c r="D7336" s="1297"/>
      <c r="E7336" s="1297"/>
      <c r="F7336" s="1297"/>
      <c r="G7336" s="1297"/>
      <c r="H7336" s="1297"/>
      <c r="I7336" s="1297"/>
      <c r="J7336" s="1297"/>
      <c r="K7336" s="1297"/>
    </row>
    <row r="7337" spans="2:11">
      <c r="B7337" s="1297"/>
      <c r="C7337" s="1297"/>
      <c r="D7337" s="1297"/>
      <c r="E7337" s="1297"/>
      <c r="F7337" s="1297"/>
      <c r="G7337" s="1297"/>
      <c r="H7337" s="1297"/>
      <c r="I7337" s="1297"/>
      <c r="J7337" s="1297"/>
      <c r="K7337" s="1297"/>
    </row>
    <row r="7338" spans="2:11">
      <c r="B7338" s="1297"/>
      <c r="C7338" s="1297"/>
      <c r="D7338" s="1297"/>
      <c r="E7338" s="1297"/>
      <c r="F7338" s="1297"/>
      <c r="G7338" s="1297"/>
      <c r="H7338" s="1297"/>
      <c r="I7338" s="1297"/>
      <c r="J7338" s="1297"/>
      <c r="K7338" s="1297"/>
    </row>
    <row r="7339" spans="2:11">
      <c r="B7339" s="1297"/>
      <c r="C7339" s="1297"/>
      <c r="D7339" s="1297"/>
      <c r="E7339" s="1297"/>
      <c r="F7339" s="1297"/>
      <c r="G7339" s="1297"/>
      <c r="H7339" s="1297"/>
      <c r="I7339" s="1297"/>
      <c r="J7339" s="1297"/>
      <c r="K7339" s="1297"/>
    </row>
    <row r="7340" spans="2:11">
      <c r="B7340" s="1297"/>
      <c r="C7340" s="1297"/>
      <c r="D7340" s="1297"/>
      <c r="E7340" s="1297"/>
      <c r="F7340" s="1297"/>
      <c r="G7340" s="1297"/>
      <c r="H7340" s="1297"/>
      <c r="I7340" s="1297"/>
      <c r="J7340" s="1297"/>
      <c r="K7340" s="1297"/>
    </row>
    <row r="7341" spans="2:11">
      <c r="B7341" s="1297"/>
      <c r="C7341" s="1297"/>
      <c r="D7341" s="1297"/>
      <c r="E7341" s="1297"/>
      <c r="F7341" s="1297"/>
      <c r="G7341" s="1297"/>
      <c r="H7341" s="1297"/>
      <c r="I7341" s="1297"/>
      <c r="J7341" s="1297"/>
      <c r="K7341" s="1297"/>
    </row>
    <row r="7342" spans="2:11">
      <c r="B7342" s="1297"/>
      <c r="C7342" s="1297"/>
      <c r="D7342" s="1297"/>
      <c r="E7342" s="1297"/>
      <c r="F7342" s="1297"/>
      <c r="G7342" s="1297"/>
      <c r="H7342" s="1297"/>
      <c r="I7342" s="1297"/>
      <c r="J7342" s="1297"/>
      <c r="K7342" s="1297"/>
    </row>
    <row r="7343" spans="2:11">
      <c r="B7343" s="1297"/>
      <c r="C7343" s="1297"/>
      <c r="D7343" s="1297"/>
      <c r="E7343" s="1297"/>
      <c r="F7343" s="1297"/>
      <c r="G7343" s="1297"/>
      <c r="H7343" s="1297"/>
      <c r="I7343" s="1297"/>
      <c r="J7343" s="1297"/>
      <c r="K7343" s="1297"/>
    </row>
    <row r="7344" spans="2:11">
      <c r="B7344" s="1297"/>
      <c r="C7344" s="1297"/>
      <c r="D7344" s="1297"/>
      <c r="E7344" s="1297"/>
      <c r="F7344" s="1297"/>
      <c r="G7344" s="1297"/>
      <c r="H7344" s="1297"/>
      <c r="I7344" s="1297"/>
      <c r="J7344" s="1297"/>
      <c r="K7344" s="1297"/>
    </row>
    <row r="7345" spans="2:11">
      <c r="B7345" s="1297"/>
      <c r="C7345" s="1297"/>
      <c r="D7345" s="1297"/>
      <c r="E7345" s="1297"/>
      <c r="F7345" s="1297"/>
      <c r="G7345" s="1297"/>
      <c r="H7345" s="1297"/>
      <c r="I7345" s="1297"/>
      <c r="J7345" s="1297"/>
      <c r="K7345" s="1297"/>
    </row>
    <row r="7346" spans="2:11">
      <c r="B7346" s="1297"/>
      <c r="C7346" s="1297"/>
      <c r="D7346" s="1297"/>
      <c r="E7346" s="1297"/>
      <c r="F7346" s="1297"/>
      <c r="G7346" s="1297"/>
      <c r="H7346" s="1297"/>
      <c r="I7346" s="1297"/>
      <c r="J7346" s="1297"/>
      <c r="K7346" s="1297"/>
    </row>
    <row r="7347" spans="2:11">
      <c r="B7347" s="1297"/>
      <c r="C7347" s="1297"/>
      <c r="D7347" s="1297"/>
      <c r="E7347" s="1297"/>
      <c r="F7347" s="1297"/>
      <c r="G7347" s="1297"/>
      <c r="H7347" s="1297"/>
      <c r="I7347" s="1297"/>
      <c r="J7347" s="1297"/>
      <c r="K7347" s="1297"/>
    </row>
    <row r="7348" spans="2:11">
      <c r="B7348" s="1297"/>
      <c r="C7348" s="1297"/>
      <c r="D7348" s="1297"/>
      <c r="E7348" s="1297"/>
      <c r="F7348" s="1297"/>
      <c r="G7348" s="1297"/>
      <c r="H7348" s="1297"/>
      <c r="I7348" s="1297"/>
      <c r="J7348" s="1297"/>
      <c r="K7348" s="1297"/>
    </row>
    <row r="7349" spans="2:11">
      <c r="B7349" s="1297"/>
      <c r="C7349" s="1297"/>
      <c r="D7349" s="1297"/>
      <c r="E7349" s="1297"/>
      <c r="F7349" s="1297"/>
      <c r="G7349" s="1297"/>
      <c r="H7349" s="1297"/>
      <c r="I7349" s="1297"/>
      <c r="J7349" s="1297"/>
      <c r="K7349" s="1297"/>
    </row>
    <row r="7350" spans="2:11">
      <c r="B7350" s="1297"/>
      <c r="C7350" s="1297"/>
      <c r="D7350" s="1297"/>
      <c r="E7350" s="1297"/>
      <c r="F7350" s="1297"/>
      <c r="G7350" s="1297"/>
      <c r="H7350" s="1297"/>
      <c r="I7350" s="1297"/>
      <c r="J7350" s="1297"/>
      <c r="K7350" s="1297"/>
    </row>
    <row r="7351" spans="2:11">
      <c r="B7351" s="1297"/>
      <c r="C7351" s="1297"/>
      <c r="D7351" s="1297"/>
      <c r="E7351" s="1297"/>
      <c r="F7351" s="1297"/>
      <c r="G7351" s="1297"/>
      <c r="H7351" s="1297"/>
      <c r="I7351" s="1297"/>
      <c r="J7351" s="1297"/>
      <c r="K7351" s="1297"/>
    </row>
    <row r="7352" spans="2:11">
      <c r="B7352" s="1297"/>
      <c r="C7352" s="1297"/>
      <c r="D7352" s="1297"/>
      <c r="E7352" s="1297"/>
      <c r="F7352" s="1297"/>
      <c r="G7352" s="1297"/>
      <c r="H7352" s="1297"/>
      <c r="I7352" s="1297"/>
      <c r="J7352" s="1297"/>
      <c r="K7352" s="1297"/>
    </row>
    <row r="7353" spans="2:11">
      <c r="B7353" s="1297"/>
      <c r="C7353" s="1297"/>
      <c r="D7353" s="1297"/>
      <c r="E7353" s="1297"/>
      <c r="F7353" s="1297"/>
      <c r="G7353" s="1297"/>
      <c r="H7353" s="1297"/>
      <c r="I7353" s="1297"/>
      <c r="J7353" s="1297"/>
      <c r="K7353" s="1297"/>
    </row>
    <row r="7354" spans="2:11">
      <c r="B7354" s="1297"/>
      <c r="C7354" s="1297"/>
      <c r="D7354" s="1297"/>
      <c r="E7354" s="1297"/>
      <c r="F7354" s="1297"/>
      <c r="G7354" s="1297"/>
      <c r="H7354" s="1297"/>
      <c r="I7354" s="1297"/>
      <c r="J7354" s="1297"/>
      <c r="K7354" s="1297"/>
    </row>
    <row r="7355" spans="2:11">
      <c r="B7355" s="1297"/>
      <c r="C7355" s="1297"/>
      <c r="D7355" s="1297"/>
      <c r="E7355" s="1297"/>
      <c r="F7355" s="1297"/>
      <c r="G7355" s="1297"/>
      <c r="H7355" s="1297"/>
      <c r="I7355" s="1297"/>
      <c r="J7355" s="1297"/>
      <c r="K7355" s="1297"/>
    </row>
    <row r="7356" spans="2:11">
      <c r="B7356" s="1297"/>
      <c r="C7356" s="1297"/>
      <c r="D7356" s="1297"/>
      <c r="E7356" s="1297"/>
      <c r="F7356" s="1297"/>
      <c r="G7356" s="1297"/>
      <c r="H7356" s="1297"/>
      <c r="I7356" s="1297"/>
      <c r="J7356" s="1297"/>
      <c r="K7356" s="1297"/>
    </row>
    <row r="7357" spans="2:11">
      <c r="B7357" s="1297"/>
      <c r="C7357" s="1297"/>
      <c r="D7357" s="1297"/>
      <c r="E7357" s="1297"/>
      <c r="F7357" s="1297"/>
      <c r="G7357" s="1297"/>
      <c r="H7357" s="1297"/>
      <c r="I7357" s="1297"/>
      <c r="J7357" s="1297"/>
      <c r="K7357" s="1297"/>
    </row>
    <row r="7358" spans="2:11">
      <c r="B7358" s="1297"/>
      <c r="C7358" s="1297"/>
      <c r="D7358" s="1297"/>
      <c r="E7358" s="1297"/>
      <c r="F7358" s="1297"/>
      <c r="G7358" s="1297"/>
      <c r="H7358" s="1297"/>
      <c r="I7358" s="1297"/>
      <c r="J7358" s="1297"/>
      <c r="K7358" s="1297"/>
    </row>
    <row r="7359" spans="2:11">
      <c r="B7359" s="1297"/>
      <c r="C7359" s="1297"/>
      <c r="D7359" s="1297"/>
      <c r="E7359" s="1297"/>
      <c r="F7359" s="1297"/>
      <c r="G7359" s="1297"/>
      <c r="H7359" s="1297"/>
      <c r="I7359" s="1297"/>
      <c r="J7359" s="1297"/>
      <c r="K7359" s="1297"/>
    </row>
    <row r="7360" spans="2:11">
      <c r="B7360" s="1297"/>
      <c r="C7360" s="1297"/>
      <c r="D7360" s="1297"/>
      <c r="E7360" s="1297"/>
      <c r="F7360" s="1297"/>
      <c r="G7360" s="1297"/>
      <c r="H7360" s="1297"/>
      <c r="I7360" s="1297"/>
      <c r="J7360" s="1297"/>
      <c r="K7360" s="1297"/>
    </row>
    <row r="7361" spans="2:11">
      <c r="B7361" s="1297"/>
      <c r="C7361" s="1297"/>
      <c r="D7361" s="1297"/>
      <c r="E7361" s="1297"/>
      <c r="F7361" s="1297"/>
      <c r="G7361" s="1297"/>
      <c r="H7361" s="1297"/>
      <c r="I7361" s="1297"/>
      <c r="J7361" s="1297"/>
      <c r="K7361" s="1297"/>
    </row>
    <row r="7362" spans="2:11">
      <c r="B7362" s="1297"/>
      <c r="C7362" s="1297"/>
      <c r="D7362" s="1297"/>
      <c r="E7362" s="1297"/>
      <c r="F7362" s="1297"/>
      <c r="G7362" s="1297"/>
      <c r="H7362" s="1297"/>
      <c r="I7362" s="1297"/>
      <c r="J7362" s="1297"/>
      <c r="K7362" s="1297"/>
    </row>
    <row r="7363" spans="2:11">
      <c r="B7363" s="1297"/>
      <c r="C7363" s="1297"/>
      <c r="D7363" s="1297"/>
      <c r="E7363" s="1297"/>
      <c r="F7363" s="1297"/>
      <c r="G7363" s="1297"/>
      <c r="H7363" s="1297"/>
      <c r="I7363" s="1297"/>
      <c r="J7363" s="1297"/>
      <c r="K7363" s="1297"/>
    </row>
    <row r="7364" spans="2:11">
      <c r="B7364" s="1297"/>
      <c r="C7364" s="1297"/>
      <c r="D7364" s="1297"/>
      <c r="E7364" s="1297"/>
      <c r="F7364" s="1297"/>
      <c r="G7364" s="1297"/>
      <c r="H7364" s="1297"/>
      <c r="I7364" s="1297"/>
      <c r="J7364" s="1297"/>
      <c r="K7364" s="1297"/>
    </row>
    <row r="7365" spans="2:11">
      <c r="B7365" s="1297"/>
      <c r="C7365" s="1297"/>
      <c r="D7365" s="1297"/>
      <c r="E7365" s="1297"/>
      <c r="F7365" s="1297"/>
      <c r="G7365" s="1297"/>
      <c r="H7365" s="1297"/>
      <c r="I7365" s="1297"/>
      <c r="J7365" s="1297"/>
      <c r="K7365" s="1297"/>
    </row>
    <row r="7366" spans="2:11">
      <c r="B7366" s="1297"/>
      <c r="C7366" s="1297"/>
      <c r="D7366" s="1297"/>
      <c r="E7366" s="1297"/>
      <c r="F7366" s="1297"/>
      <c r="G7366" s="1297"/>
      <c r="H7366" s="1297"/>
      <c r="I7366" s="1297"/>
      <c r="J7366" s="1297"/>
      <c r="K7366" s="1297"/>
    </row>
    <row r="7367" spans="2:11">
      <c r="B7367" s="1297"/>
      <c r="C7367" s="1297"/>
      <c r="D7367" s="1297"/>
      <c r="E7367" s="1297"/>
      <c r="F7367" s="1297"/>
      <c r="G7367" s="1297"/>
      <c r="H7367" s="1297"/>
      <c r="I7367" s="1297"/>
      <c r="J7367" s="1297"/>
      <c r="K7367" s="1297"/>
    </row>
    <row r="7368" spans="2:11">
      <c r="B7368" s="1297"/>
      <c r="C7368" s="1297"/>
      <c r="D7368" s="1297"/>
      <c r="E7368" s="1297"/>
      <c r="F7368" s="1297"/>
      <c r="G7368" s="1297"/>
      <c r="H7368" s="1297"/>
      <c r="I7368" s="1297"/>
      <c r="J7368" s="1297"/>
      <c r="K7368" s="1297"/>
    </row>
    <row r="7369" spans="2:11">
      <c r="B7369" s="1297"/>
      <c r="C7369" s="1297"/>
      <c r="D7369" s="1297"/>
      <c r="E7369" s="1297"/>
      <c r="F7369" s="1297"/>
      <c r="G7369" s="1297"/>
      <c r="H7369" s="1297"/>
      <c r="I7369" s="1297"/>
      <c r="J7369" s="1297"/>
      <c r="K7369" s="1297"/>
    </row>
    <row r="7370" spans="2:11">
      <c r="B7370" s="1297"/>
      <c r="C7370" s="1297"/>
      <c r="D7370" s="1297"/>
      <c r="E7370" s="1297"/>
      <c r="F7370" s="1297"/>
      <c r="G7370" s="1297"/>
      <c r="H7370" s="1297"/>
      <c r="I7370" s="1297"/>
      <c r="J7370" s="1297"/>
      <c r="K7370" s="1297"/>
    </row>
    <row r="7371" spans="2:11">
      <c r="B7371" s="1297"/>
      <c r="C7371" s="1297"/>
      <c r="D7371" s="1297"/>
      <c r="E7371" s="1297"/>
      <c r="F7371" s="1297"/>
      <c r="G7371" s="1297"/>
      <c r="H7371" s="1297"/>
      <c r="I7371" s="1297"/>
      <c r="J7371" s="1297"/>
      <c r="K7371" s="1297"/>
    </row>
    <row r="7372" spans="2:11">
      <c r="B7372" s="1297"/>
      <c r="C7372" s="1297"/>
      <c r="D7372" s="1297"/>
      <c r="E7372" s="1297"/>
      <c r="F7372" s="1297"/>
      <c r="G7372" s="1297"/>
      <c r="H7372" s="1297"/>
      <c r="I7372" s="1297"/>
      <c r="J7372" s="1297"/>
      <c r="K7372" s="1297"/>
    </row>
    <row r="7373" spans="2:11">
      <c r="B7373" s="1297"/>
      <c r="C7373" s="1297"/>
      <c r="D7373" s="1297"/>
      <c r="E7373" s="1297"/>
      <c r="F7373" s="1297"/>
      <c r="G7373" s="1297"/>
      <c r="H7373" s="1297"/>
      <c r="I7373" s="1297"/>
      <c r="J7373" s="1297"/>
      <c r="K7373" s="1297"/>
    </row>
    <row r="7374" spans="2:11">
      <c r="B7374" s="1297"/>
      <c r="C7374" s="1297"/>
      <c r="D7374" s="1297"/>
      <c r="E7374" s="1297"/>
      <c r="F7374" s="1297"/>
      <c r="G7374" s="1297"/>
      <c r="H7374" s="1297"/>
      <c r="I7374" s="1297"/>
      <c r="J7374" s="1297"/>
      <c r="K7374" s="1297"/>
    </row>
    <row r="7375" spans="2:11">
      <c r="B7375" s="1297"/>
      <c r="C7375" s="1297"/>
      <c r="D7375" s="1297"/>
      <c r="E7375" s="1297"/>
      <c r="F7375" s="1297"/>
      <c r="G7375" s="1297"/>
      <c r="H7375" s="1297"/>
      <c r="I7375" s="1297"/>
      <c r="J7375" s="1297"/>
      <c r="K7375" s="1297"/>
    </row>
    <row r="7376" spans="2:11">
      <c r="B7376" s="1297"/>
      <c r="C7376" s="1297"/>
      <c r="D7376" s="1297"/>
      <c r="E7376" s="1297"/>
      <c r="F7376" s="1297"/>
      <c r="G7376" s="1297"/>
      <c r="H7376" s="1297"/>
      <c r="I7376" s="1297"/>
      <c r="J7376" s="1297"/>
      <c r="K7376" s="1297"/>
    </row>
    <row r="7377" spans="2:11">
      <c r="B7377" s="1297"/>
      <c r="C7377" s="1297"/>
      <c r="D7377" s="1297"/>
      <c r="E7377" s="1297"/>
      <c r="F7377" s="1297"/>
      <c r="G7377" s="1297"/>
      <c r="H7377" s="1297"/>
      <c r="I7377" s="1297"/>
      <c r="J7377" s="1297"/>
      <c r="K7377" s="1297"/>
    </row>
    <row r="7378" spans="2:11">
      <c r="B7378" s="1297"/>
      <c r="C7378" s="1297"/>
      <c r="D7378" s="1297"/>
      <c r="E7378" s="1297"/>
      <c r="F7378" s="1297"/>
      <c r="G7378" s="1297"/>
      <c r="H7378" s="1297"/>
      <c r="I7378" s="1297"/>
      <c r="J7378" s="1297"/>
      <c r="K7378" s="1297"/>
    </row>
    <row r="7379" spans="2:11">
      <c r="B7379" s="1297"/>
      <c r="C7379" s="1297"/>
      <c r="D7379" s="1297"/>
      <c r="E7379" s="1297"/>
      <c r="F7379" s="1297"/>
      <c r="G7379" s="1297"/>
      <c r="H7379" s="1297"/>
      <c r="I7379" s="1297"/>
      <c r="J7379" s="1297"/>
      <c r="K7379" s="1297"/>
    </row>
    <row r="7380" spans="2:11">
      <c r="B7380" s="1297"/>
      <c r="C7380" s="1297"/>
      <c r="D7380" s="1297"/>
      <c r="E7380" s="1297"/>
      <c r="F7380" s="1297"/>
      <c r="G7380" s="1297"/>
      <c r="H7380" s="1297"/>
      <c r="I7380" s="1297"/>
      <c r="J7380" s="1297"/>
      <c r="K7380" s="1297"/>
    </row>
    <row r="7381" spans="2:11">
      <c r="B7381" s="1297"/>
      <c r="C7381" s="1297"/>
      <c r="D7381" s="1297"/>
      <c r="E7381" s="1297"/>
      <c r="F7381" s="1297"/>
      <c r="G7381" s="1297"/>
      <c r="H7381" s="1297"/>
      <c r="I7381" s="1297"/>
      <c r="J7381" s="1297"/>
      <c r="K7381" s="1297"/>
    </row>
    <row r="7382" spans="2:11">
      <c r="B7382" s="1297"/>
      <c r="C7382" s="1297"/>
      <c r="D7382" s="1297"/>
      <c r="E7382" s="1297"/>
      <c r="F7382" s="1297"/>
      <c r="G7382" s="1297"/>
      <c r="H7382" s="1297"/>
      <c r="I7382" s="1297"/>
      <c r="J7382" s="1297"/>
      <c r="K7382" s="1297"/>
    </row>
    <row r="7383" spans="2:11">
      <c r="B7383" s="1297"/>
      <c r="C7383" s="1297"/>
      <c r="D7383" s="1297"/>
      <c r="E7383" s="1297"/>
      <c r="F7383" s="1297"/>
      <c r="G7383" s="1297"/>
      <c r="H7383" s="1297"/>
      <c r="I7383" s="1297"/>
      <c r="J7383" s="1297"/>
      <c r="K7383" s="1297"/>
    </row>
    <row r="7384" spans="2:11">
      <c r="B7384" s="1297"/>
      <c r="C7384" s="1297"/>
      <c r="D7384" s="1297"/>
      <c r="E7384" s="1297"/>
      <c r="F7384" s="1297"/>
      <c r="G7384" s="1297"/>
      <c r="H7384" s="1297"/>
      <c r="I7384" s="1297"/>
      <c r="J7384" s="1297"/>
      <c r="K7384" s="1297"/>
    </row>
    <row r="7385" spans="2:11">
      <c r="B7385" s="1297"/>
      <c r="C7385" s="1297"/>
      <c r="D7385" s="1297"/>
      <c r="E7385" s="1297"/>
      <c r="F7385" s="1297"/>
      <c r="G7385" s="1297"/>
      <c r="H7385" s="1297"/>
      <c r="I7385" s="1297"/>
      <c r="J7385" s="1297"/>
      <c r="K7385" s="1297"/>
    </row>
    <row r="7386" spans="2:11">
      <c r="B7386" s="1297"/>
      <c r="C7386" s="1297"/>
      <c r="D7386" s="1297"/>
      <c r="E7386" s="1297"/>
      <c r="F7386" s="1297"/>
      <c r="G7386" s="1297"/>
      <c r="H7386" s="1297"/>
      <c r="I7386" s="1297"/>
      <c r="J7386" s="1297"/>
      <c r="K7386" s="1297"/>
    </row>
    <row r="7387" spans="2:11">
      <c r="B7387" s="1297"/>
      <c r="C7387" s="1297"/>
      <c r="D7387" s="1297"/>
      <c r="E7387" s="1297"/>
      <c r="F7387" s="1297"/>
      <c r="G7387" s="1297"/>
      <c r="H7387" s="1297"/>
      <c r="I7387" s="1297"/>
      <c r="J7387" s="1297"/>
      <c r="K7387" s="1297"/>
    </row>
    <row r="7388" spans="2:11">
      <c r="B7388" s="1297"/>
      <c r="C7388" s="1297"/>
      <c r="D7388" s="1297"/>
      <c r="E7388" s="1297"/>
      <c r="F7388" s="1297"/>
      <c r="G7388" s="1297"/>
      <c r="H7388" s="1297"/>
      <c r="I7388" s="1297"/>
      <c r="J7388" s="1297"/>
      <c r="K7388" s="1297"/>
    </row>
    <row r="7389" spans="2:11">
      <c r="B7389" s="1297"/>
      <c r="C7389" s="1297"/>
      <c r="D7389" s="1297"/>
      <c r="E7389" s="1297"/>
      <c r="F7389" s="1297"/>
      <c r="G7389" s="1297"/>
      <c r="H7389" s="1297"/>
      <c r="I7389" s="1297"/>
      <c r="J7389" s="1297"/>
      <c r="K7389" s="1297"/>
    </row>
    <row r="7390" spans="2:11">
      <c r="B7390" s="1297"/>
      <c r="C7390" s="1297"/>
      <c r="D7390" s="1297"/>
      <c r="E7390" s="1297"/>
      <c r="F7390" s="1297"/>
      <c r="G7390" s="1297"/>
      <c r="H7390" s="1297"/>
      <c r="I7390" s="1297"/>
      <c r="J7390" s="1297"/>
      <c r="K7390" s="1297"/>
    </row>
    <row r="7391" spans="2:11">
      <c r="B7391" s="1297"/>
      <c r="C7391" s="1297"/>
      <c r="D7391" s="1297"/>
      <c r="E7391" s="1297"/>
      <c r="F7391" s="1297"/>
      <c r="G7391" s="1297"/>
      <c r="H7391" s="1297"/>
      <c r="I7391" s="1297"/>
      <c r="J7391" s="1297"/>
      <c r="K7391" s="1297"/>
    </row>
    <row r="7392" spans="2:11">
      <c r="B7392" s="1297"/>
      <c r="C7392" s="1297"/>
      <c r="D7392" s="1297"/>
      <c r="E7392" s="1297"/>
      <c r="F7392" s="1297"/>
      <c r="G7392" s="1297"/>
      <c r="H7392" s="1297"/>
      <c r="I7392" s="1297"/>
      <c r="J7392" s="1297"/>
      <c r="K7392" s="1297"/>
    </row>
    <row r="7393" spans="2:11">
      <c r="B7393" s="1297"/>
      <c r="C7393" s="1297"/>
      <c r="D7393" s="1297"/>
      <c r="E7393" s="1297"/>
      <c r="F7393" s="1297"/>
      <c r="G7393" s="1297"/>
      <c r="H7393" s="1297"/>
      <c r="I7393" s="1297"/>
      <c r="J7393" s="1297"/>
      <c r="K7393" s="1297"/>
    </row>
    <row r="7394" spans="2:11">
      <c r="B7394" s="1297"/>
      <c r="C7394" s="1297"/>
      <c r="D7394" s="1297"/>
      <c r="E7394" s="1297"/>
      <c r="F7394" s="1297"/>
      <c r="G7394" s="1297"/>
      <c r="H7394" s="1297"/>
      <c r="I7394" s="1297"/>
      <c r="J7394" s="1297"/>
      <c r="K7394" s="1297"/>
    </row>
    <row r="7395" spans="2:11">
      <c r="B7395" s="1297"/>
      <c r="C7395" s="1297"/>
      <c r="D7395" s="1297"/>
      <c r="E7395" s="1297"/>
      <c r="F7395" s="1297"/>
      <c r="G7395" s="1297"/>
      <c r="H7395" s="1297"/>
      <c r="I7395" s="1297"/>
      <c r="J7395" s="1297"/>
      <c r="K7395" s="1297"/>
    </row>
    <row r="7396" spans="2:11">
      <c r="B7396" s="1297"/>
      <c r="C7396" s="1297"/>
      <c r="D7396" s="1297"/>
      <c r="E7396" s="1297"/>
      <c r="F7396" s="1297"/>
      <c r="G7396" s="1297"/>
      <c r="H7396" s="1297"/>
      <c r="I7396" s="1297"/>
      <c r="J7396" s="1297"/>
      <c r="K7396" s="1297"/>
    </row>
    <row r="7397" spans="2:11">
      <c r="B7397" s="1297"/>
      <c r="C7397" s="1297"/>
      <c r="D7397" s="1297"/>
      <c r="E7397" s="1297"/>
      <c r="F7397" s="1297"/>
      <c r="G7397" s="1297"/>
      <c r="H7397" s="1297"/>
      <c r="I7397" s="1297"/>
      <c r="J7397" s="1297"/>
      <c r="K7397" s="1297"/>
    </row>
    <row r="7398" spans="2:11">
      <c r="B7398" s="1297"/>
      <c r="C7398" s="1297"/>
      <c r="D7398" s="1297"/>
      <c r="E7398" s="1297"/>
      <c r="F7398" s="1297"/>
      <c r="G7398" s="1297"/>
      <c r="H7398" s="1297"/>
      <c r="I7398" s="1297"/>
      <c r="J7398" s="1297"/>
      <c r="K7398" s="1297"/>
    </row>
    <row r="7399" spans="2:11">
      <c r="B7399" s="1297"/>
      <c r="C7399" s="1297"/>
      <c r="D7399" s="1297"/>
      <c r="E7399" s="1297"/>
      <c r="F7399" s="1297"/>
      <c r="G7399" s="1297"/>
      <c r="H7399" s="1297"/>
      <c r="I7399" s="1297"/>
      <c r="J7399" s="1297"/>
      <c r="K7399" s="1297"/>
    </row>
    <row r="7400" spans="2:11">
      <c r="B7400" s="1297"/>
      <c r="C7400" s="1297"/>
      <c r="D7400" s="1297"/>
      <c r="E7400" s="1297"/>
      <c r="F7400" s="1297"/>
      <c r="G7400" s="1297"/>
      <c r="H7400" s="1297"/>
      <c r="I7400" s="1297"/>
      <c r="J7400" s="1297"/>
      <c r="K7400" s="1297"/>
    </row>
    <row r="7401" spans="2:11">
      <c r="B7401" s="1297"/>
      <c r="C7401" s="1297"/>
      <c r="D7401" s="1297"/>
      <c r="E7401" s="1297"/>
      <c r="F7401" s="1297"/>
      <c r="G7401" s="1297"/>
      <c r="H7401" s="1297"/>
      <c r="I7401" s="1297"/>
      <c r="J7401" s="1297"/>
      <c r="K7401" s="1297"/>
    </row>
    <row r="7402" spans="2:11">
      <c r="B7402" s="1297"/>
      <c r="C7402" s="1297"/>
      <c r="D7402" s="1297"/>
      <c r="E7402" s="1297"/>
      <c r="F7402" s="1297"/>
      <c r="G7402" s="1297"/>
      <c r="H7402" s="1297"/>
      <c r="I7402" s="1297"/>
      <c r="J7402" s="1297"/>
      <c r="K7402" s="1297"/>
    </row>
    <row r="7403" spans="2:11">
      <c r="B7403" s="1297"/>
      <c r="C7403" s="1297"/>
      <c r="D7403" s="1297"/>
      <c r="E7403" s="1297"/>
      <c r="F7403" s="1297"/>
      <c r="G7403" s="1297"/>
      <c r="H7403" s="1297"/>
      <c r="I7403" s="1297"/>
      <c r="J7403" s="1297"/>
      <c r="K7403" s="1297"/>
    </row>
    <row r="7404" spans="2:11">
      <c r="B7404" s="1297"/>
      <c r="C7404" s="1297"/>
      <c r="D7404" s="1297"/>
      <c r="E7404" s="1297"/>
      <c r="F7404" s="1297"/>
      <c r="G7404" s="1297"/>
      <c r="H7404" s="1297"/>
      <c r="I7404" s="1297"/>
      <c r="J7404" s="1297"/>
      <c r="K7404" s="1297"/>
    </row>
    <row r="7405" spans="2:11">
      <c r="B7405" s="1297"/>
      <c r="C7405" s="1297"/>
      <c r="D7405" s="1297"/>
      <c r="E7405" s="1297"/>
      <c r="F7405" s="1297"/>
      <c r="G7405" s="1297"/>
      <c r="H7405" s="1297"/>
      <c r="I7405" s="1297"/>
      <c r="J7405" s="1297"/>
      <c r="K7405" s="1297"/>
    </row>
    <row r="7406" spans="2:11">
      <c r="B7406" s="1297"/>
      <c r="C7406" s="1297"/>
      <c r="D7406" s="1297"/>
      <c r="E7406" s="1297"/>
      <c r="F7406" s="1297"/>
      <c r="G7406" s="1297"/>
      <c r="H7406" s="1297"/>
      <c r="I7406" s="1297"/>
      <c r="J7406" s="1297"/>
      <c r="K7406" s="1297"/>
    </row>
    <row r="7407" spans="2:11">
      <c r="B7407" s="1297"/>
      <c r="C7407" s="1297"/>
      <c r="D7407" s="1297"/>
      <c r="E7407" s="1297"/>
      <c r="F7407" s="1297"/>
      <c r="G7407" s="1297"/>
      <c r="H7407" s="1297"/>
      <c r="I7407" s="1297"/>
      <c r="J7407" s="1297"/>
      <c r="K7407" s="1297"/>
    </row>
    <row r="7408" spans="2:11">
      <c r="B7408" s="1297"/>
      <c r="C7408" s="1297"/>
      <c r="D7408" s="1297"/>
      <c r="E7408" s="1297"/>
      <c r="F7408" s="1297"/>
      <c r="G7408" s="1297"/>
      <c r="H7408" s="1297"/>
      <c r="I7408" s="1297"/>
      <c r="J7408" s="1297"/>
      <c r="K7408" s="1297"/>
    </row>
    <row r="7409" spans="2:11">
      <c r="B7409" s="1297"/>
      <c r="C7409" s="1297"/>
      <c r="D7409" s="1297"/>
      <c r="E7409" s="1297"/>
      <c r="F7409" s="1297"/>
      <c r="G7409" s="1297"/>
      <c r="H7409" s="1297"/>
      <c r="I7409" s="1297"/>
      <c r="J7409" s="1297"/>
      <c r="K7409" s="1297"/>
    </row>
    <row r="7410" spans="2:11">
      <c r="B7410" s="1297"/>
      <c r="C7410" s="1297"/>
      <c r="D7410" s="1297"/>
      <c r="E7410" s="1297"/>
      <c r="F7410" s="1297"/>
      <c r="G7410" s="1297"/>
      <c r="H7410" s="1297"/>
      <c r="I7410" s="1297"/>
      <c r="J7410" s="1297"/>
      <c r="K7410" s="1297"/>
    </row>
    <row r="7411" spans="2:11">
      <c r="B7411" s="1297"/>
      <c r="C7411" s="1297"/>
      <c r="D7411" s="1297"/>
      <c r="E7411" s="1297"/>
      <c r="F7411" s="1297"/>
      <c r="G7411" s="1297"/>
      <c r="H7411" s="1297"/>
      <c r="I7411" s="1297"/>
      <c r="J7411" s="1297"/>
      <c r="K7411" s="1297"/>
    </row>
    <row r="7412" spans="2:11">
      <c r="B7412" s="1297"/>
      <c r="C7412" s="1297"/>
      <c r="D7412" s="1297"/>
      <c r="E7412" s="1297"/>
      <c r="F7412" s="1297"/>
      <c r="G7412" s="1297"/>
      <c r="H7412" s="1297"/>
      <c r="I7412" s="1297"/>
      <c r="J7412" s="1297"/>
      <c r="K7412" s="1297"/>
    </row>
    <row r="7413" spans="2:11">
      <c r="B7413" s="1297"/>
      <c r="C7413" s="1297"/>
      <c r="D7413" s="1297"/>
      <c r="E7413" s="1297"/>
      <c r="F7413" s="1297"/>
      <c r="G7413" s="1297"/>
      <c r="H7413" s="1297"/>
      <c r="I7413" s="1297"/>
      <c r="J7413" s="1297"/>
      <c r="K7413" s="1297"/>
    </row>
    <row r="7414" spans="2:11">
      <c r="B7414" s="1297"/>
      <c r="C7414" s="1297"/>
      <c r="D7414" s="1297"/>
      <c r="E7414" s="1297"/>
      <c r="F7414" s="1297"/>
      <c r="G7414" s="1297"/>
      <c r="H7414" s="1297"/>
      <c r="I7414" s="1297"/>
      <c r="J7414" s="1297"/>
      <c r="K7414" s="1297"/>
    </row>
    <row r="7415" spans="2:11">
      <c r="B7415" s="1297"/>
      <c r="C7415" s="1297"/>
      <c r="D7415" s="1297"/>
      <c r="E7415" s="1297"/>
      <c r="F7415" s="1297"/>
      <c r="G7415" s="1297"/>
      <c r="H7415" s="1297"/>
      <c r="I7415" s="1297"/>
      <c r="J7415" s="1297"/>
      <c r="K7415" s="1297"/>
    </row>
    <row r="7416" spans="2:11">
      <c r="B7416" s="1297"/>
      <c r="C7416" s="1297"/>
      <c r="D7416" s="1297"/>
      <c r="E7416" s="1297"/>
      <c r="F7416" s="1297"/>
      <c r="G7416" s="1297"/>
      <c r="H7416" s="1297"/>
      <c r="I7416" s="1297"/>
      <c r="J7416" s="1297"/>
      <c r="K7416" s="1297"/>
    </row>
    <row r="7417" spans="2:11">
      <c r="B7417" s="1297"/>
      <c r="C7417" s="1297"/>
      <c r="D7417" s="1297"/>
      <c r="E7417" s="1297"/>
      <c r="F7417" s="1297"/>
      <c r="G7417" s="1297"/>
      <c r="H7417" s="1297"/>
      <c r="I7417" s="1297"/>
      <c r="J7417" s="1297"/>
      <c r="K7417" s="1297"/>
    </row>
    <row r="7418" spans="2:11">
      <c r="B7418" s="1297"/>
      <c r="C7418" s="1297"/>
      <c r="D7418" s="1297"/>
      <c r="E7418" s="1297"/>
      <c r="F7418" s="1297"/>
      <c r="G7418" s="1297"/>
      <c r="H7418" s="1297"/>
      <c r="I7418" s="1297"/>
      <c r="J7418" s="1297"/>
      <c r="K7418" s="1297"/>
    </row>
    <row r="7419" spans="2:11">
      <c r="B7419" s="1297"/>
      <c r="C7419" s="1297"/>
      <c r="D7419" s="1297"/>
      <c r="E7419" s="1297"/>
      <c r="F7419" s="1297"/>
      <c r="G7419" s="1297"/>
      <c r="H7419" s="1297"/>
      <c r="I7419" s="1297"/>
      <c r="J7419" s="1297"/>
      <c r="K7419" s="1297"/>
    </row>
    <row r="7420" spans="2:11">
      <c r="B7420" s="1297"/>
      <c r="C7420" s="1297"/>
      <c r="D7420" s="1297"/>
      <c r="E7420" s="1297"/>
      <c r="F7420" s="1297"/>
      <c r="G7420" s="1297"/>
      <c r="H7420" s="1297"/>
      <c r="I7420" s="1297"/>
      <c r="J7420" s="1297"/>
      <c r="K7420" s="1297"/>
    </row>
    <row r="7421" spans="2:11">
      <c r="B7421" s="1297"/>
      <c r="C7421" s="1297"/>
      <c r="D7421" s="1297"/>
      <c r="E7421" s="1297"/>
      <c r="F7421" s="1297"/>
      <c r="G7421" s="1297"/>
      <c r="H7421" s="1297"/>
      <c r="I7421" s="1297"/>
      <c r="J7421" s="1297"/>
      <c r="K7421" s="1297"/>
    </row>
    <row r="7422" spans="2:11">
      <c r="B7422" s="1297"/>
      <c r="C7422" s="1297"/>
      <c r="D7422" s="1297"/>
      <c r="E7422" s="1297"/>
      <c r="F7422" s="1297"/>
      <c r="G7422" s="1297"/>
      <c r="H7422" s="1297"/>
      <c r="I7422" s="1297"/>
      <c r="J7422" s="1297"/>
      <c r="K7422" s="1297"/>
    </row>
    <row r="7423" spans="2:11">
      <c r="B7423" s="1297"/>
      <c r="C7423" s="1297"/>
      <c r="D7423" s="1297"/>
      <c r="E7423" s="1297"/>
      <c r="F7423" s="1297"/>
      <c r="G7423" s="1297"/>
      <c r="H7423" s="1297"/>
      <c r="I7423" s="1297"/>
      <c r="J7423" s="1297"/>
      <c r="K7423" s="1297"/>
    </row>
    <row r="7424" spans="2:11">
      <c r="B7424" s="1297"/>
      <c r="C7424" s="1297"/>
      <c r="D7424" s="1297"/>
      <c r="E7424" s="1297"/>
      <c r="F7424" s="1297"/>
      <c r="G7424" s="1297"/>
      <c r="H7424" s="1297"/>
      <c r="I7424" s="1297"/>
      <c r="J7424" s="1297"/>
      <c r="K7424" s="1297"/>
    </row>
    <row r="7425" spans="2:11">
      <c r="B7425" s="1297"/>
      <c r="C7425" s="1297"/>
      <c r="D7425" s="1297"/>
      <c r="E7425" s="1297"/>
      <c r="F7425" s="1297"/>
      <c r="G7425" s="1297"/>
      <c r="H7425" s="1297"/>
      <c r="I7425" s="1297"/>
      <c r="J7425" s="1297"/>
      <c r="K7425" s="1297"/>
    </row>
    <row r="7426" spans="2:11">
      <c r="B7426" s="1297"/>
      <c r="C7426" s="1297"/>
      <c r="D7426" s="1297"/>
      <c r="E7426" s="1297"/>
      <c r="F7426" s="1297"/>
      <c r="G7426" s="1297"/>
      <c r="H7426" s="1297"/>
      <c r="I7426" s="1297"/>
      <c r="J7426" s="1297"/>
      <c r="K7426" s="1297"/>
    </row>
    <row r="7427" spans="2:11">
      <c r="B7427" s="1297"/>
      <c r="C7427" s="1297"/>
      <c r="D7427" s="1297"/>
      <c r="E7427" s="1297"/>
      <c r="F7427" s="1297"/>
      <c r="G7427" s="1297"/>
      <c r="H7427" s="1297"/>
      <c r="I7427" s="1297"/>
      <c r="J7427" s="1297"/>
      <c r="K7427" s="1297"/>
    </row>
    <row r="7428" spans="2:11">
      <c r="B7428" s="1297"/>
      <c r="C7428" s="1297"/>
      <c r="D7428" s="1297"/>
      <c r="E7428" s="1297"/>
      <c r="F7428" s="1297"/>
      <c r="G7428" s="1297"/>
      <c r="H7428" s="1297"/>
      <c r="I7428" s="1297"/>
      <c r="J7428" s="1297"/>
      <c r="K7428" s="1297"/>
    </row>
    <row r="7429" spans="2:11">
      <c r="B7429" s="1297"/>
      <c r="C7429" s="1297"/>
      <c r="D7429" s="1297"/>
      <c r="E7429" s="1297"/>
      <c r="F7429" s="1297"/>
      <c r="G7429" s="1297"/>
      <c r="H7429" s="1297"/>
      <c r="I7429" s="1297"/>
      <c r="J7429" s="1297"/>
      <c r="K7429" s="1297"/>
    </row>
    <row r="7430" spans="2:11">
      <c r="B7430" s="1297"/>
      <c r="C7430" s="1297"/>
      <c r="D7430" s="1297"/>
      <c r="E7430" s="1297"/>
      <c r="F7430" s="1297"/>
      <c r="G7430" s="1297"/>
      <c r="H7430" s="1297"/>
      <c r="I7430" s="1297"/>
      <c r="J7430" s="1297"/>
      <c r="K7430" s="1297"/>
    </row>
    <row r="7431" spans="2:11">
      <c r="B7431" s="1297"/>
      <c r="C7431" s="1297"/>
      <c r="D7431" s="1297"/>
      <c r="E7431" s="1297"/>
      <c r="F7431" s="1297"/>
      <c r="G7431" s="1297"/>
      <c r="H7431" s="1297"/>
      <c r="I7431" s="1297"/>
      <c r="J7431" s="1297"/>
      <c r="K7431" s="1297"/>
    </row>
    <row r="7432" spans="2:11">
      <c r="B7432" s="1297"/>
      <c r="C7432" s="1297"/>
      <c r="D7432" s="1297"/>
      <c r="E7432" s="1297"/>
      <c r="F7432" s="1297"/>
      <c r="G7432" s="1297"/>
      <c r="H7432" s="1297"/>
      <c r="I7432" s="1297"/>
      <c r="J7432" s="1297"/>
      <c r="K7432" s="1297"/>
    </row>
    <row r="7433" spans="2:11">
      <c r="B7433" s="1297"/>
      <c r="C7433" s="1297"/>
      <c r="D7433" s="1297"/>
      <c r="E7433" s="1297"/>
      <c r="F7433" s="1297"/>
      <c r="G7433" s="1297"/>
      <c r="H7433" s="1297"/>
      <c r="I7433" s="1297"/>
      <c r="J7433" s="1297"/>
      <c r="K7433" s="1297"/>
    </row>
    <row r="7434" spans="2:11">
      <c r="B7434" s="1297"/>
      <c r="C7434" s="1297"/>
      <c r="D7434" s="1297"/>
      <c r="E7434" s="1297"/>
      <c r="F7434" s="1297"/>
      <c r="G7434" s="1297"/>
      <c r="H7434" s="1297"/>
      <c r="I7434" s="1297"/>
      <c r="J7434" s="1297"/>
      <c r="K7434" s="1297"/>
    </row>
    <row r="7435" spans="2:11">
      <c r="B7435" s="1297"/>
      <c r="C7435" s="1297"/>
      <c r="D7435" s="1297"/>
      <c r="E7435" s="1297"/>
      <c r="F7435" s="1297"/>
      <c r="G7435" s="1297"/>
      <c r="H7435" s="1297"/>
      <c r="I7435" s="1297"/>
      <c r="J7435" s="1297"/>
      <c r="K7435" s="1297"/>
    </row>
    <row r="7436" spans="2:11">
      <c r="B7436" s="1297"/>
      <c r="C7436" s="1297"/>
      <c r="D7436" s="1297"/>
      <c r="E7436" s="1297"/>
      <c r="F7436" s="1297"/>
      <c r="G7436" s="1297"/>
      <c r="H7436" s="1297"/>
      <c r="I7436" s="1297"/>
      <c r="J7436" s="1297"/>
      <c r="K7436" s="1297"/>
    </row>
    <row r="7437" spans="2:11">
      <c r="B7437" s="1297"/>
      <c r="C7437" s="1297"/>
      <c r="D7437" s="1297"/>
      <c r="E7437" s="1297"/>
      <c r="F7437" s="1297"/>
      <c r="G7437" s="1297"/>
      <c r="H7437" s="1297"/>
      <c r="I7437" s="1297"/>
      <c r="J7437" s="1297"/>
      <c r="K7437" s="1297"/>
    </row>
    <row r="7438" spans="2:11">
      <c r="B7438" s="1297"/>
      <c r="C7438" s="1297"/>
      <c r="D7438" s="1297"/>
      <c r="E7438" s="1297"/>
      <c r="F7438" s="1297"/>
      <c r="G7438" s="1297"/>
      <c r="H7438" s="1297"/>
      <c r="I7438" s="1297"/>
      <c r="J7438" s="1297"/>
      <c r="K7438" s="1297"/>
    </row>
    <row r="7439" spans="2:11">
      <c r="B7439" s="1297"/>
      <c r="C7439" s="1297"/>
      <c r="D7439" s="1297"/>
      <c r="E7439" s="1297"/>
      <c r="F7439" s="1297"/>
      <c r="G7439" s="1297"/>
      <c r="H7439" s="1297"/>
      <c r="I7439" s="1297"/>
      <c r="J7439" s="1297"/>
      <c r="K7439" s="1297"/>
    </row>
    <row r="7440" spans="2:11">
      <c r="B7440" s="1297"/>
      <c r="C7440" s="1297"/>
      <c r="D7440" s="1297"/>
      <c r="E7440" s="1297"/>
      <c r="F7440" s="1297"/>
      <c r="G7440" s="1297"/>
      <c r="H7440" s="1297"/>
      <c r="I7440" s="1297"/>
      <c r="J7440" s="1297"/>
      <c r="K7440" s="1297"/>
    </row>
    <row r="7441" spans="2:11">
      <c r="B7441" s="1297"/>
      <c r="C7441" s="1297"/>
      <c r="D7441" s="1297"/>
      <c r="E7441" s="1297"/>
      <c r="F7441" s="1297"/>
      <c r="G7441" s="1297"/>
      <c r="H7441" s="1297"/>
      <c r="I7441" s="1297"/>
      <c r="J7441" s="1297"/>
      <c r="K7441" s="1297"/>
    </row>
    <row r="7442" spans="2:11">
      <c r="B7442" s="1297"/>
      <c r="C7442" s="1297"/>
      <c r="D7442" s="1297"/>
      <c r="E7442" s="1297"/>
      <c r="F7442" s="1297"/>
      <c r="G7442" s="1297"/>
      <c r="H7442" s="1297"/>
      <c r="I7442" s="1297"/>
      <c r="J7442" s="1297"/>
      <c r="K7442" s="1297"/>
    </row>
    <row r="7443" spans="2:11">
      <c r="B7443" s="1297"/>
      <c r="C7443" s="1297"/>
      <c r="D7443" s="1297"/>
      <c r="E7443" s="1297"/>
      <c r="F7443" s="1297"/>
      <c r="G7443" s="1297"/>
      <c r="H7443" s="1297"/>
      <c r="I7443" s="1297"/>
      <c r="J7443" s="1297"/>
      <c r="K7443" s="1297"/>
    </row>
    <row r="7444" spans="2:11">
      <c r="B7444" s="1297"/>
      <c r="C7444" s="1297"/>
      <c r="D7444" s="1297"/>
      <c r="E7444" s="1297"/>
      <c r="F7444" s="1297"/>
      <c r="G7444" s="1297"/>
      <c r="H7444" s="1297"/>
      <c r="I7444" s="1297"/>
      <c r="J7444" s="1297"/>
      <c r="K7444" s="1297"/>
    </row>
    <row r="7445" spans="2:11">
      <c r="B7445" s="1297"/>
      <c r="C7445" s="1297"/>
      <c r="D7445" s="1297"/>
      <c r="E7445" s="1297"/>
      <c r="F7445" s="1297"/>
      <c r="G7445" s="1297"/>
      <c r="H7445" s="1297"/>
      <c r="I7445" s="1297"/>
      <c r="J7445" s="1297"/>
      <c r="K7445" s="1297"/>
    </row>
    <row r="7446" spans="2:11">
      <c r="B7446" s="1297"/>
      <c r="C7446" s="1297"/>
      <c r="D7446" s="1297"/>
      <c r="E7446" s="1297"/>
      <c r="F7446" s="1297"/>
      <c r="G7446" s="1297"/>
      <c r="H7446" s="1297"/>
      <c r="I7446" s="1297"/>
      <c r="J7446" s="1297"/>
      <c r="K7446" s="1297"/>
    </row>
    <row r="7447" spans="2:11">
      <c r="B7447" s="1297"/>
      <c r="C7447" s="1297"/>
      <c r="D7447" s="1297"/>
      <c r="E7447" s="1297"/>
      <c r="F7447" s="1297"/>
      <c r="G7447" s="1297"/>
      <c r="H7447" s="1297"/>
      <c r="I7447" s="1297"/>
      <c r="J7447" s="1297"/>
      <c r="K7447" s="1297"/>
    </row>
    <row r="7448" spans="2:11">
      <c r="B7448" s="1297"/>
      <c r="C7448" s="1297"/>
      <c r="D7448" s="1297"/>
      <c r="E7448" s="1297"/>
      <c r="F7448" s="1297"/>
      <c r="G7448" s="1297"/>
      <c r="H7448" s="1297"/>
      <c r="I7448" s="1297"/>
      <c r="J7448" s="1297"/>
      <c r="K7448" s="1297"/>
    </row>
    <row r="7449" spans="2:11">
      <c r="B7449" s="1297"/>
      <c r="C7449" s="1297"/>
      <c r="D7449" s="1297"/>
      <c r="E7449" s="1297"/>
      <c r="F7449" s="1297"/>
      <c r="G7449" s="1297"/>
      <c r="H7449" s="1297"/>
      <c r="I7449" s="1297"/>
      <c r="J7449" s="1297"/>
      <c r="K7449" s="1297"/>
    </row>
    <row r="7450" spans="2:11">
      <c r="B7450" s="1297"/>
      <c r="C7450" s="1297"/>
      <c r="D7450" s="1297"/>
      <c r="E7450" s="1297"/>
      <c r="F7450" s="1297"/>
      <c r="G7450" s="1297"/>
      <c r="H7450" s="1297"/>
      <c r="I7450" s="1297"/>
      <c r="J7450" s="1297"/>
      <c r="K7450" s="1297"/>
    </row>
    <row r="7451" spans="2:11">
      <c r="B7451" s="1297"/>
      <c r="C7451" s="1297"/>
      <c r="D7451" s="1297"/>
      <c r="E7451" s="1297"/>
      <c r="F7451" s="1297"/>
      <c r="G7451" s="1297"/>
      <c r="H7451" s="1297"/>
      <c r="I7451" s="1297"/>
      <c r="J7451" s="1297"/>
      <c r="K7451" s="1297"/>
    </row>
    <row r="7452" spans="2:11">
      <c r="B7452" s="1297"/>
      <c r="C7452" s="1297"/>
      <c r="D7452" s="1297"/>
      <c r="E7452" s="1297"/>
      <c r="F7452" s="1297"/>
      <c r="G7452" s="1297"/>
      <c r="H7452" s="1297"/>
      <c r="I7452" s="1297"/>
      <c r="J7452" s="1297"/>
      <c r="K7452" s="1297"/>
    </row>
    <row r="7453" spans="2:11">
      <c r="B7453" s="1297"/>
      <c r="C7453" s="1297"/>
      <c r="D7453" s="1297"/>
      <c r="E7453" s="1297"/>
      <c r="F7453" s="1297"/>
      <c r="G7453" s="1297"/>
      <c r="H7453" s="1297"/>
      <c r="I7453" s="1297"/>
      <c r="J7453" s="1297"/>
      <c r="K7453" s="1297"/>
    </row>
    <row r="7454" spans="2:11">
      <c r="B7454" s="1297"/>
      <c r="C7454" s="1297"/>
      <c r="D7454" s="1297"/>
      <c r="E7454" s="1297"/>
      <c r="F7454" s="1297"/>
      <c r="G7454" s="1297"/>
      <c r="H7454" s="1297"/>
      <c r="I7454" s="1297"/>
      <c r="J7454" s="1297"/>
      <c r="K7454" s="1297"/>
    </row>
    <row r="7455" spans="2:11">
      <c r="B7455" s="1297"/>
      <c r="C7455" s="1297"/>
      <c r="D7455" s="1297"/>
      <c r="E7455" s="1297"/>
      <c r="F7455" s="1297"/>
      <c r="G7455" s="1297"/>
      <c r="H7455" s="1297"/>
      <c r="I7455" s="1297"/>
      <c r="J7455" s="1297"/>
      <c r="K7455" s="1297"/>
    </row>
    <row r="7456" spans="2:11">
      <c r="B7456" s="1297"/>
      <c r="C7456" s="1297"/>
      <c r="D7456" s="1297"/>
      <c r="E7456" s="1297"/>
      <c r="F7456" s="1297"/>
      <c r="G7456" s="1297"/>
      <c r="H7456" s="1297"/>
      <c r="I7456" s="1297"/>
      <c r="J7456" s="1297"/>
      <c r="K7456" s="1297"/>
    </row>
    <row r="7457" spans="2:11">
      <c r="B7457" s="1297"/>
      <c r="C7457" s="1297"/>
      <c r="D7457" s="1297"/>
      <c r="E7457" s="1297"/>
      <c r="F7457" s="1297"/>
      <c r="G7457" s="1297"/>
      <c r="H7457" s="1297"/>
      <c r="I7457" s="1297"/>
      <c r="J7457" s="1297"/>
      <c r="K7457" s="1297"/>
    </row>
    <row r="7458" spans="2:11">
      <c r="B7458" s="1297"/>
      <c r="C7458" s="1297"/>
      <c r="D7458" s="1297"/>
      <c r="E7458" s="1297"/>
      <c r="F7458" s="1297"/>
      <c r="G7458" s="1297"/>
      <c r="H7458" s="1297"/>
      <c r="I7458" s="1297"/>
      <c r="J7458" s="1297"/>
      <c r="K7458" s="1297"/>
    </row>
    <row r="7459" spans="2:11">
      <c r="B7459" s="1297"/>
      <c r="C7459" s="1297"/>
      <c r="D7459" s="1297"/>
      <c r="E7459" s="1297"/>
      <c r="F7459" s="1297"/>
      <c r="G7459" s="1297"/>
      <c r="H7459" s="1297"/>
      <c r="I7459" s="1297"/>
      <c r="J7459" s="1297"/>
      <c r="K7459" s="1297"/>
    </row>
    <row r="7460" spans="2:11">
      <c r="B7460" s="1297"/>
      <c r="C7460" s="1297"/>
      <c r="D7460" s="1297"/>
      <c r="E7460" s="1297"/>
      <c r="F7460" s="1297"/>
      <c r="G7460" s="1297"/>
      <c r="H7460" s="1297"/>
      <c r="I7460" s="1297"/>
      <c r="J7460" s="1297"/>
      <c r="K7460" s="1297"/>
    </row>
    <row r="7461" spans="2:11">
      <c r="B7461" s="1297"/>
      <c r="C7461" s="1297"/>
      <c r="D7461" s="1297"/>
      <c r="E7461" s="1297"/>
      <c r="F7461" s="1297"/>
      <c r="G7461" s="1297"/>
      <c r="H7461" s="1297"/>
      <c r="I7461" s="1297"/>
      <c r="J7461" s="1297"/>
      <c r="K7461" s="1297"/>
    </row>
    <row r="7462" spans="2:11">
      <c r="B7462" s="1297"/>
      <c r="C7462" s="1297"/>
      <c r="D7462" s="1297"/>
      <c r="E7462" s="1297"/>
      <c r="F7462" s="1297"/>
      <c r="G7462" s="1297"/>
      <c r="H7462" s="1297"/>
      <c r="I7462" s="1297"/>
      <c r="J7462" s="1297"/>
      <c r="K7462" s="1297"/>
    </row>
    <row r="7463" spans="2:11">
      <c r="B7463" s="1297"/>
      <c r="C7463" s="1297"/>
      <c r="D7463" s="1297"/>
      <c r="E7463" s="1297"/>
      <c r="F7463" s="1297"/>
      <c r="G7463" s="1297"/>
      <c r="H7463" s="1297"/>
      <c r="I7463" s="1297"/>
      <c r="J7463" s="1297"/>
      <c r="K7463" s="1297"/>
    </row>
    <row r="7464" spans="2:11">
      <c r="B7464" s="1297"/>
      <c r="C7464" s="1297"/>
      <c r="D7464" s="1297"/>
      <c r="E7464" s="1297"/>
      <c r="F7464" s="1297"/>
      <c r="G7464" s="1297"/>
      <c r="H7464" s="1297"/>
      <c r="I7464" s="1297"/>
      <c r="J7464" s="1297"/>
      <c r="K7464" s="1297"/>
    </row>
    <row r="7465" spans="2:11">
      <c r="B7465" s="1297"/>
      <c r="C7465" s="1297"/>
      <c r="D7465" s="1297"/>
      <c r="E7465" s="1297"/>
      <c r="F7465" s="1297"/>
      <c r="G7465" s="1297"/>
      <c r="H7465" s="1297"/>
      <c r="I7465" s="1297"/>
      <c r="J7465" s="1297"/>
      <c r="K7465" s="1297"/>
    </row>
    <row r="7466" spans="2:11">
      <c r="B7466" s="1297"/>
      <c r="C7466" s="1297"/>
      <c r="D7466" s="1297"/>
      <c r="E7466" s="1297"/>
      <c r="F7466" s="1297"/>
      <c r="G7466" s="1297"/>
      <c r="H7466" s="1297"/>
      <c r="I7466" s="1297"/>
      <c r="J7466" s="1297"/>
      <c r="K7466" s="1297"/>
    </row>
    <row r="7467" spans="2:11">
      <c r="B7467" s="1297"/>
      <c r="C7467" s="1297"/>
      <c r="D7467" s="1297"/>
      <c r="E7467" s="1297"/>
      <c r="F7467" s="1297"/>
      <c r="G7467" s="1297"/>
      <c r="H7467" s="1297"/>
      <c r="I7467" s="1297"/>
      <c r="J7467" s="1297"/>
      <c r="K7467" s="1297"/>
    </row>
    <row r="7468" spans="2:11">
      <c r="B7468" s="1297"/>
      <c r="C7468" s="1297"/>
      <c r="D7468" s="1297"/>
      <c r="E7468" s="1297"/>
      <c r="F7468" s="1297"/>
      <c r="G7468" s="1297"/>
      <c r="H7468" s="1297"/>
      <c r="I7468" s="1297"/>
      <c r="J7468" s="1297"/>
      <c r="K7468" s="1297"/>
    </row>
    <row r="7469" spans="2:11">
      <c r="B7469" s="1297"/>
      <c r="C7469" s="1297"/>
      <c r="D7469" s="1297"/>
      <c r="E7469" s="1297"/>
      <c r="F7469" s="1297"/>
      <c r="G7469" s="1297"/>
      <c r="H7469" s="1297"/>
      <c r="I7469" s="1297"/>
      <c r="J7469" s="1297"/>
      <c r="K7469" s="1297"/>
    </row>
    <row r="7470" spans="2:11">
      <c r="B7470" s="1297"/>
      <c r="C7470" s="1297"/>
      <c r="D7470" s="1297"/>
      <c r="E7470" s="1297"/>
      <c r="F7470" s="1297"/>
      <c r="G7470" s="1297"/>
      <c r="H7470" s="1297"/>
      <c r="I7470" s="1297"/>
      <c r="J7470" s="1297"/>
      <c r="K7470" s="1297"/>
    </row>
    <row r="7471" spans="2:11">
      <c r="B7471" s="1297"/>
      <c r="C7471" s="1297"/>
      <c r="D7471" s="1297"/>
      <c r="E7471" s="1297"/>
      <c r="F7471" s="1297"/>
      <c r="G7471" s="1297"/>
      <c r="H7471" s="1297"/>
      <c r="I7471" s="1297"/>
      <c r="J7471" s="1297"/>
      <c r="K7471" s="1297"/>
    </row>
    <row r="7472" spans="2:11">
      <c r="B7472" s="1297"/>
      <c r="C7472" s="1297"/>
      <c r="D7472" s="1297"/>
      <c r="E7472" s="1297"/>
      <c r="F7472" s="1297"/>
      <c r="G7472" s="1297"/>
      <c r="H7472" s="1297"/>
      <c r="I7472" s="1297"/>
      <c r="J7472" s="1297"/>
      <c r="K7472" s="1297"/>
    </row>
    <row r="7473" spans="2:11">
      <c r="B7473" s="1297"/>
      <c r="C7473" s="1297"/>
      <c r="D7473" s="1297"/>
      <c r="E7473" s="1297"/>
      <c r="F7473" s="1297"/>
      <c r="G7473" s="1297"/>
      <c r="H7473" s="1297"/>
      <c r="I7473" s="1297"/>
      <c r="J7473" s="1297"/>
      <c r="K7473" s="1297"/>
    </row>
    <row r="7474" spans="2:11">
      <c r="B7474" s="1297"/>
      <c r="C7474" s="1297"/>
      <c r="D7474" s="1297"/>
      <c r="E7474" s="1297"/>
      <c r="F7474" s="1297"/>
      <c r="G7474" s="1297"/>
      <c r="H7474" s="1297"/>
      <c r="I7474" s="1297"/>
      <c r="J7474" s="1297"/>
      <c r="K7474" s="1297"/>
    </row>
    <row r="7475" spans="2:11">
      <c r="B7475" s="1297"/>
      <c r="C7475" s="1297"/>
      <c r="D7475" s="1297"/>
      <c r="E7475" s="1297"/>
      <c r="F7475" s="1297"/>
      <c r="G7475" s="1297"/>
      <c r="H7475" s="1297"/>
      <c r="I7475" s="1297"/>
      <c r="J7475" s="1297"/>
      <c r="K7475" s="1297"/>
    </row>
    <row r="7476" spans="2:11">
      <c r="B7476" s="1297"/>
      <c r="C7476" s="1297"/>
      <c r="D7476" s="1297"/>
      <c r="E7476" s="1297"/>
      <c r="F7476" s="1297"/>
      <c r="G7476" s="1297"/>
      <c r="H7476" s="1297"/>
      <c r="I7476" s="1297"/>
      <c r="J7476" s="1297"/>
      <c r="K7476" s="1297"/>
    </row>
    <row r="7477" spans="2:11">
      <c r="B7477" s="1297"/>
      <c r="C7477" s="1297"/>
      <c r="D7477" s="1297"/>
      <c r="E7477" s="1297"/>
      <c r="F7477" s="1297"/>
      <c r="G7477" s="1297"/>
      <c r="H7477" s="1297"/>
      <c r="I7477" s="1297"/>
      <c r="J7477" s="1297"/>
      <c r="K7477" s="1297"/>
    </row>
    <row r="7478" spans="2:11">
      <c r="B7478" s="1297"/>
      <c r="C7478" s="1297"/>
      <c r="D7478" s="1297"/>
      <c r="E7478" s="1297"/>
      <c r="F7478" s="1297"/>
      <c r="G7478" s="1297"/>
      <c r="H7478" s="1297"/>
      <c r="I7478" s="1297"/>
      <c r="J7478" s="1297"/>
      <c r="K7478" s="1297"/>
    </row>
    <row r="7479" spans="2:11">
      <c r="B7479" s="1297"/>
      <c r="C7479" s="1297"/>
      <c r="D7479" s="1297"/>
      <c r="E7479" s="1297"/>
      <c r="F7479" s="1297"/>
      <c r="G7479" s="1297"/>
      <c r="H7479" s="1297"/>
      <c r="I7479" s="1297"/>
      <c r="J7479" s="1297"/>
      <c r="K7479" s="1297"/>
    </row>
    <row r="7480" spans="2:11">
      <c r="B7480" s="1297"/>
      <c r="C7480" s="1297"/>
      <c r="D7480" s="1297"/>
      <c r="E7480" s="1297"/>
      <c r="F7480" s="1297"/>
      <c r="G7480" s="1297"/>
      <c r="H7480" s="1297"/>
      <c r="I7480" s="1297"/>
      <c r="J7480" s="1297"/>
      <c r="K7480" s="1297"/>
    </row>
    <row r="7481" spans="2:11">
      <c r="B7481" s="1297"/>
      <c r="C7481" s="1297"/>
      <c r="D7481" s="1297"/>
      <c r="E7481" s="1297"/>
      <c r="F7481" s="1297"/>
      <c r="G7481" s="1297"/>
      <c r="H7481" s="1297"/>
      <c r="I7481" s="1297"/>
      <c r="J7481" s="1297"/>
      <c r="K7481" s="1297"/>
    </row>
    <row r="7482" spans="2:11">
      <c r="B7482" s="1297"/>
      <c r="C7482" s="1297"/>
      <c r="D7482" s="1297"/>
      <c r="E7482" s="1297"/>
      <c r="F7482" s="1297"/>
      <c r="G7482" s="1297"/>
      <c r="H7482" s="1297"/>
      <c r="I7482" s="1297"/>
      <c r="J7482" s="1297"/>
      <c r="K7482" s="1297"/>
    </row>
    <row r="7483" spans="2:11">
      <c r="B7483" s="1297"/>
      <c r="C7483" s="1297"/>
      <c r="D7483" s="1297"/>
      <c r="E7483" s="1297"/>
      <c r="F7483" s="1297"/>
      <c r="G7483" s="1297"/>
      <c r="H7483" s="1297"/>
      <c r="I7483" s="1297"/>
      <c r="J7483" s="1297"/>
      <c r="K7483" s="1297"/>
    </row>
    <row r="7484" spans="2:11">
      <c r="B7484" s="1297"/>
      <c r="C7484" s="1297"/>
      <c r="D7484" s="1297"/>
      <c r="E7484" s="1297"/>
      <c r="F7484" s="1297"/>
      <c r="G7484" s="1297"/>
      <c r="H7484" s="1297"/>
      <c r="I7484" s="1297"/>
      <c r="J7484" s="1297"/>
      <c r="K7484" s="1297"/>
    </row>
    <row r="7485" spans="2:11">
      <c r="B7485" s="1297"/>
      <c r="C7485" s="1297"/>
      <c r="D7485" s="1297"/>
      <c r="E7485" s="1297"/>
      <c r="F7485" s="1297"/>
      <c r="G7485" s="1297"/>
      <c r="H7485" s="1297"/>
      <c r="I7485" s="1297"/>
      <c r="J7485" s="1297"/>
      <c r="K7485" s="1297"/>
    </row>
    <row r="7486" spans="2:11">
      <c r="B7486" s="1297"/>
      <c r="C7486" s="1297"/>
      <c r="D7486" s="1297"/>
      <c r="E7486" s="1297"/>
      <c r="F7486" s="1297"/>
      <c r="G7486" s="1297"/>
      <c r="H7486" s="1297"/>
      <c r="I7486" s="1297"/>
      <c r="J7486" s="1297"/>
      <c r="K7486" s="1297"/>
    </row>
    <row r="7487" spans="2:11">
      <c r="B7487" s="1297"/>
      <c r="C7487" s="1297"/>
      <c r="D7487" s="1297"/>
      <c r="E7487" s="1297"/>
      <c r="F7487" s="1297"/>
      <c r="G7487" s="1297"/>
      <c r="H7487" s="1297"/>
      <c r="I7487" s="1297"/>
      <c r="J7487" s="1297"/>
      <c r="K7487" s="1297"/>
    </row>
    <row r="7488" spans="2:11">
      <c r="B7488" s="1297"/>
      <c r="C7488" s="1297"/>
      <c r="D7488" s="1297"/>
      <c r="E7488" s="1297"/>
      <c r="F7488" s="1297"/>
      <c r="G7488" s="1297"/>
      <c r="H7488" s="1297"/>
      <c r="I7488" s="1297"/>
      <c r="J7488" s="1297"/>
      <c r="K7488" s="1297"/>
    </row>
    <row r="7489" spans="2:11">
      <c r="B7489" s="1297"/>
      <c r="C7489" s="1297"/>
      <c r="D7489" s="1297"/>
      <c r="E7489" s="1297"/>
      <c r="F7489" s="1297"/>
      <c r="G7489" s="1297"/>
      <c r="H7489" s="1297"/>
      <c r="I7489" s="1297"/>
      <c r="J7489" s="1297"/>
      <c r="K7489" s="1297"/>
    </row>
    <row r="7490" spans="2:11">
      <c r="B7490" s="1297"/>
      <c r="C7490" s="1297"/>
      <c r="D7490" s="1297"/>
      <c r="E7490" s="1297"/>
      <c r="F7490" s="1297"/>
      <c r="G7490" s="1297"/>
      <c r="H7490" s="1297"/>
      <c r="I7490" s="1297"/>
      <c r="J7490" s="1297"/>
      <c r="K7490" s="1297"/>
    </row>
    <row r="7491" spans="2:11">
      <c r="B7491" s="1297"/>
      <c r="C7491" s="1297"/>
      <c r="D7491" s="1297"/>
      <c r="E7491" s="1297"/>
      <c r="F7491" s="1297"/>
      <c r="G7491" s="1297"/>
      <c r="H7491" s="1297"/>
      <c r="I7491" s="1297"/>
      <c r="J7491" s="1297"/>
      <c r="K7491" s="1297"/>
    </row>
    <row r="7492" spans="2:11">
      <c r="B7492" s="1297"/>
      <c r="C7492" s="1297"/>
      <c r="D7492" s="1297"/>
      <c r="E7492" s="1297"/>
      <c r="F7492" s="1297"/>
      <c r="G7492" s="1297"/>
      <c r="H7492" s="1297"/>
      <c r="I7492" s="1297"/>
      <c r="J7492" s="1297"/>
      <c r="K7492" s="1297"/>
    </row>
    <row r="7493" spans="2:11">
      <c r="B7493" s="1297"/>
      <c r="C7493" s="1297"/>
      <c r="D7493" s="1297"/>
      <c r="E7493" s="1297"/>
      <c r="F7493" s="1297"/>
      <c r="G7493" s="1297"/>
      <c r="H7493" s="1297"/>
      <c r="I7493" s="1297"/>
      <c r="J7493" s="1297"/>
      <c r="K7493" s="1297"/>
    </row>
    <row r="7494" spans="2:11">
      <c r="B7494" s="1297"/>
      <c r="C7494" s="1297"/>
      <c r="D7494" s="1297"/>
      <c r="E7494" s="1297"/>
      <c r="F7494" s="1297"/>
      <c r="G7494" s="1297"/>
      <c r="H7494" s="1297"/>
      <c r="I7494" s="1297"/>
      <c r="J7494" s="1297"/>
      <c r="K7494" s="1297"/>
    </row>
    <row r="7495" spans="2:11">
      <c r="B7495" s="1297"/>
      <c r="C7495" s="1297"/>
      <c r="D7495" s="1297"/>
      <c r="E7495" s="1297"/>
      <c r="F7495" s="1297"/>
      <c r="G7495" s="1297"/>
      <c r="H7495" s="1297"/>
      <c r="I7495" s="1297"/>
      <c r="J7495" s="1297"/>
      <c r="K7495" s="1297"/>
    </row>
    <row r="7496" spans="2:11">
      <c r="B7496" s="1297"/>
      <c r="C7496" s="1297"/>
      <c r="D7496" s="1297"/>
      <c r="E7496" s="1297"/>
      <c r="F7496" s="1297"/>
      <c r="G7496" s="1297"/>
      <c r="H7496" s="1297"/>
      <c r="I7496" s="1297"/>
      <c r="J7496" s="1297"/>
      <c r="K7496" s="1297"/>
    </row>
    <row r="7497" spans="2:11">
      <c r="B7497" s="1297"/>
      <c r="C7497" s="1297"/>
      <c r="D7497" s="1297"/>
      <c r="E7497" s="1297"/>
      <c r="F7497" s="1297"/>
      <c r="G7497" s="1297"/>
      <c r="H7497" s="1297"/>
      <c r="I7497" s="1297"/>
      <c r="J7497" s="1297"/>
      <c r="K7497" s="1297"/>
    </row>
    <row r="7498" spans="2:11">
      <c r="B7498" s="1297"/>
      <c r="C7498" s="1297"/>
      <c r="D7498" s="1297"/>
      <c r="E7498" s="1297"/>
      <c r="F7498" s="1297"/>
      <c r="G7498" s="1297"/>
      <c r="H7498" s="1297"/>
      <c r="I7498" s="1297"/>
      <c r="J7498" s="1297"/>
      <c r="K7498" s="1297"/>
    </row>
    <row r="7499" spans="2:11">
      <c r="B7499" s="1297"/>
      <c r="C7499" s="1297"/>
      <c r="D7499" s="1297"/>
      <c r="E7499" s="1297"/>
      <c r="F7499" s="1297"/>
      <c r="G7499" s="1297"/>
      <c r="H7499" s="1297"/>
      <c r="I7499" s="1297"/>
      <c r="J7499" s="1297"/>
      <c r="K7499" s="1297"/>
    </row>
    <row r="7500" spans="2:11">
      <c r="B7500" s="1297"/>
      <c r="C7500" s="1297"/>
      <c r="D7500" s="1297"/>
      <c r="E7500" s="1297"/>
      <c r="F7500" s="1297"/>
      <c r="G7500" s="1297"/>
      <c r="H7500" s="1297"/>
      <c r="I7500" s="1297"/>
      <c r="J7500" s="1297"/>
      <c r="K7500" s="1297"/>
    </row>
    <row r="7501" spans="2:11">
      <c r="B7501" s="1297"/>
      <c r="C7501" s="1297"/>
      <c r="D7501" s="1297"/>
      <c r="E7501" s="1297"/>
      <c r="F7501" s="1297"/>
      <c r="G7501" s="1297"/>
      <c r="H7501" s="1297"/>
      <c r="I7501" s="1297"/>
      <c r="J7501" s="1297"/>
      <c r="K7501" s="1297"/>
    </row>
    <row r="7502" spans="2:11">
      <c r="B7502" s="1297"/>
      <c r="C7502" s="1297"/>
      <c r="D7502" s="1297"/>
      <c r="E7502" s="1297"/>
      <c r="F7502" s="1297"/>
      <c r="G7502" s="1297"/>
      <c r="H7502" s="1297"/>
      <c r="I7502" s="1297"/>
      <c r="J7502" s="1297"/>
      <c r="K7502" s="1297"/>
    </row>
    <row r="7503" spans="2:11">
      <c r="B7503" s="1297"/>
      <c r="C7503" s="1297"/>
      <c r="D7503" s="1297"/>
      <c r="E7503" s="1297"/>
      <c r="F7503" s="1297"/>
      <c r="G7503" s="1297"/>
      <c r="H7503" s="1297"/>
      <c r="I7503" s="1297"/>
      <c r="J7503" s="1297"/>
      <c r="K7503" s="1297"/>
    </row>
    <row r="7504" spans="2:11">
      <c r="B7504" s="1297"/>
      <c r="C7504" s="1297"/>
      <c r="D7504" s="1297"/>
      <c r="E7504" s="1297"/>
      <c r="F7504" s="1297"/>
      <c r="G7504" s="1297"/>
      <c r="H7504" s="1297"/>
      <c r="I7504" s="1297"/>
      <c r="J7504" s="1297"/>
      <c r="K7504" s="1297"/>
    </row>
    <row r="7505" spans="2:11">
      <c r="B7505" s="1297"/>
      <c r="C7505" s="1297"/>
      <c r="D7505" s="1297"/>
      <c r="E7505" s="1297"/>
      <c r="F7505" s="1297"/>
      <c r="G7505" s="1297"/>
      <c r="H7505" s="1297"/>
      <c r="I7505" s="1297"/>
      <c r="J7505" s="1297"/>
      <c r="K7505" s="1297"/>
    </row>
    <row r="7506" spans="2:11">
      <c r="B7506" s="1297"/>
      <c r="C7506" s="1297"/>
      <c r="D7506" s="1297"/>
      <c r="E7506" s="1297"/>
      <c r="F7506" s="1297"/>
      <c r="G7506" s="1297"/>
      <c r="H7506" s="1297"/>
      <c r="I7506" s="1297"/>
      <c r="J7506" s="1297"/>
      <c r="K7506" s="1297"/>
    </row>
    <row r="7507" spans="2:11">
      <c r="B7507" s="1297"/>
      <c r="C7507" s="1297"/>
      <c r="D7507" s="1297"/>
      <c r="E7507" s="1297"/>
      <c r="F7507" s="1297"/>
      <c r="G7507" s="1297"/>
      <c r="H7507" s="1297"/>
      <c r="I7507" s="1297"/>
      <c r="J7507" s="1297"/>
      <c r="K7507" s="1297"/>
    </row>
    <row r="7508" spans="2:11">
      <c r="B7508" s="1297"/>
      <c r="C7508" s="1297"/>
      <c r="D7508" s="1297"/>
      <c r="E7508" s="1297"/>
      <c r="F7508" s="1297"/>
      <c r="G7508" s="1297"/>
      <c r="H7508" s="1297"/>
      <c r="I7508" s="1297"/>
      <c r="J7508" s="1297"/>
      <c r="K7508" s="1297"/>
    </row>
    <row r="7509" spans="2:11">
      <c r="B7509" s="1297"/>
      <c r="C7509" s="1297"/>
      <c r="D7509" s="1297"/>
      <c r="E7509" s="1297"/>
      <c r="F7509" s="1297"/>
      <c r="G7509" s="1297"/>
      <c r="H7509" s="1297"/>
      <c r="I7509" s="1297"/>
      <c r="J7509" s="1297"/>
      <c r="K7509" s="1297"/>
    </row>
    <row r="7510" spans="2:11">
      <c r="B7510" s="1297"/>
      <c r="C7510" s="1297"/>
      <c r="D7510" s="1297"/>
      <c r="E7510" s="1297"/>
      <c r="F7510" s="1297"/>
      <c r="G7510" s="1297"/>
      <c r="H7510" s="1297"/>
      <c r="I7510" s="1297"/>
      <c r="J7510" s="1297"/>
      <c r="K7510" s="1297"/>
    </row>
    <row r="7511" spans="2:11">
      <c r="B7511" s="1297"/>
      <c r="C7511" s="1297"/>
      <c r="D7511" s="1297"/>
      <c r="E7511" s="1297"/>
      <c r="F7511" s="1297"/>
      <c r="G7511" s="1297"/>
      <c r="H7511" s="1297"/>
      <c r="I7511" s="1297"/>
      <c r="J7511" s="1297"/>
      <c r="K7511" s="1297"/>
    </row>
    <row r="7512" spans="2:11">
      <c r="B7512" s="1297"/>
      <c r="C7512" s="1297"/>
      <c r="D7512" s="1297"/>
      <c r="E7512" s="1297"/>
      <c r="F7512" s="1297"/>
      <c r="G7512" s="1297"/>
      <c r="H7512" s="1297"/>
      <c r="I7512" s="1297"/>
      <c r="J7512" s="1297"/>
      <c r="K7512" s="1297"/>
    </row>
    <row r="7513" spans="2:11">
      <c r="B7513" s="1297"/>
      <c r="C7513" s="1297"/>
      <c r="D7513" s="1297"/>
      <c r="E7513" s="1297"/>
      <c r="F7513" s="1297"/>
      <c r="G7513" s="1297"/>
      <c r="H7513" s="1297"/>
      <c r="I7513" s="1297"/>
      <c r="J7513" s="1297"/>
      <c r="K7513" s="1297"/>
    </row>
    <row r="7514" spans="2:11">
      <c r="B7514" s="1297"/>
      <c r="C7514" s="1297"/>
      <c r="D7514" s="1297"/>
      <c r="E7514" s="1297"/>
      <c r="F7514" s="1297"/>
      <c r="G7514" s="1297"/>
      <c r="H7514" s="1297"/>
      <c r="I7514" s="1297"/>
      <c r="J7514" s="1297"/>
      <c r="K7514" s="1297"/>
    </row>
    <row r="7515" spans="2:11">
      <c r="B7515" s="1297"/>
      <c r="C7515" s="1297"/>
      <c r="D7515" s="1297"/>
      <c r="E7515" s="1297"/>
      <c r="F7515" s="1297"/>
      <c r="G7515" s="1297"/>
      <c r="H7515" s="1297"/>
      <c r="I7515" s="1297"/>
      <c r="J7515" s="1297"/>
      <c r="K7515" s="1297"/>
    </row>
    <row r="7516" spans="2:11">
      <c r="B7516" s="1297"/>
      <c r="C7516" s="1297"/>
      <c r="D7516" s="1297"/>
      <c r="E7516" s="1297"/>
      <c r="F7516" s="1297"/>
      <c r="G7516" s="1297"/>
      <c r="H7516" s="1297"/>
      <c r="I7516" s="1297"/>
      <c r="J7516" s="1297"/>
      <c r="K7516" s="1297"/>
    </row>
    <row r="7517" spans="2:11">
      <c r="B7517" s="1297"/>
      <c r="C7517" s="1297"/>
      <c r="D7517" s="1297"/>
      <c r="E7517" s="1297"/>
      <c r="F7517" s="1297"/>
      <c r="G7517" s="1297"/>
      <c r="H7517" s="1297"/>
      <c r="I7517" s="1297"/>
      <c r="J7517" s="1297"/>
      <c r="K7517" s="1297"/>
    </row>
    <row r="7518" spans="2:11">
      <c r="B7518" s="1297"/>
      <c r="C7518" s="1297"/>
      <c r="D7518" s="1297"/>
      <c r="E7518" s="1297"/>
      <c r="F7518" s="1297"/>
      <c r="G7518" s="1297"/>
      <c r="H7518" s="1297"/>
      <c r="I7518" s="1297"/>
      <c r="J7518" s="1297"/>
      <c r="K7518" s="1297"/>
    </row>
    <row r="7519" spans="2:11">
      <c r="B7519" s="1297"/>
      <c r="C7519" s="1297"/>
      <c r="D7519" s="1297"/>
      <c r="E7519" s="1297"/>
      <c r="F7519" s="1297"/>
      <c r="G7519" s="1297"/>
      <c r="H7519" s="1297"/>
      <c r="I7519" s="1297"/>
      <c r="J7519" s="1297"/>
      <c r="K7519" s="1297"/>
    </row>
    <row r="7520" spans="2:11">
      <c r="B7520" s="1297"/>
      <c r="C7520" s="1297"/>
      <c r="D7520" s="1297"/>
      <c r="E7520" s="1297"/>
      <c r="F7520" s="1297"/>
      <c r="G7520" s="1297"/>
      <c r="H7520" s="1297"/>
      <c r="I7520" s="1297"/>
      <c r="J7520" s="1297"/>
      <c r="K7520" s="1297"/>
    </row>
    <row r="7521" spans="2:11">
      <c r="B7521" s="1297"/>
      <c r="C7521" s="1297"/>
      <c r="D7521" s="1297"/>
      <c r="E7521" s="1297"/>
      <c r="F7521" s="1297"/>
      <c r="G7521" s="1297"/>
      <c r="H7521" s="1297"/>
      <c r="I7521" s="1297"/>
      <c r="J7521" s="1297"/>
      <c r="K7521" s="1297"/>
    </row>
    <row r="7522" spans="2:11">
      <c r="B7522" s="1297"/>
      <c r="C7522" s="1297"/>
      <c r="D7522" s="1297"/>
      <c r="E7522" s="1297"/>
      <c r="F7522" s="1297"/>
      <c r="G7522" s="1297"/>
      <c r="H7522" s="1297"/>
      <c r="I7522" s="1297"/>
      <c r="J7522" s="1297"/>
      <c r="K7522" s="1297"/>
    </row>
    <row r="7523" spans="2:11">
      <c r="B7523" s="1297"/>
      <c r="C7523" s="1297"/>
      <c r="D7523" s="1297"/>
      <c r="E7523" s="1297"/>
      <c r="F7523" s="1297"/>
      <c r="G7523" s="1297"/>
      <c r="H7523" s="1297"/>
      <c r="I7523" s="1297"/>
      <c r="J7523" s="1297"/>
      <c r="K7523" s="1297"/>
    </row>
    <row r="7524" spans="2:11">
      <c r="B7524" s="1297"/>
      <c r="C7524" s="1297"/>
      <c r="D7524" s="1297"/>
      <c r="E7524" s="1297"/>
      <c r="F7524" s="1297"/>
      <c r="G7524" s="1297"/>
      <c r="H7524" s="1297"/>
      <c r="I7524" s="1297"/>
      <c r="J7524" s="1297"/>
      <c r="K7524" s="1297"/>
    </row>
    <row r="7525" spans="2:11">
      <c r="B7525" s="1297"/>
      <c r="C7525" s="1297"/>
      <c r="D7525" s="1297"/>
      <c r="E7525" s="1297"/>
      <c r="F7525" s="1297"/>
      <c r="G7525" s="1297"/>
      <c r="H7525" s="1297"/>
      <c r="I7525" s="1297"/>
      <c r="J7525" s="1297"/>
      <c r="K7525" s="1297"/>
    </row>
    <row r="7526" spans="2:11">
      <c r="B7526" s="1297"/>
      <c r="C7526" s="1297"/>
      <c r="D7526" s="1297"/>
      <c r="E7526" s="1297"/>
      <c r="F7526" s="1297"/>
      <c r="G7526" s="1297"/>
      <c r="H7526" s="1297"/>
      <c r="I7526" s="1297"/>
      <c r="J7526" s="1297"/>
      <c r="K7526" s="1297"/>
    </row>
    <row r="7527" spans="2:11">
      <c r="B7527" s="1297"/>
      <c r="C7527" s="1297"/>
      <c r="D7527" s="1297"/>
      <c r="E7527" s="1297"/>
      <c r="F7527" s="1297"/>
      <c r="G7527" s="1297"/>
      <c r="H7527" s="1297"/>
      <c r="I7527" s="1297"/>
      <c r="J7527" s="1297"/>
      <c r="K7527" s="1297"/>
    </row>
    <row r="7528" spans="2:11">
      <c r="B7528" s="1297"/>
      <c r="C7528" s="1297"/>
      <c r="D7528" s="1297"/>
      <c r="E7528" s="1297"/>
      <c r="F7528" s="1297"/>
      <c r="G7528" s="1297"/>
      <c r="H7528" s="1297"/>
      <c r="I7528" s="1297"/>
      <c r="J7528" s="1297"/>
      <c r="K7528" s="1297"/>
    </row>
    <row r="7529" spans="2:11">
      <c r="B7529" s="1297"/>
      <c r="C7529" s="1297"/>
      <c r="D7529" s="1297"/>
      <c r="E7529" s="1297"/>
      <c r="F7529" s="1297"/>
      <c r="G7529" s="1297"/>
      <c r="H7529" s="1297"/>
      <c r="I7529" s="1297"/>
      <c r="J7529" s="1297"/>
      <c r="K7529" s="1297"/>
    </row>
    <row r="7530" spans="2:11">
      <c r="B7530" s="1297"/>
      <c r="C7530" s="1297"/>
      <c r="D7530" s="1297"/>
      <c r="E7530" s="1297"/>
      <c r="F7530" s="1297"/>
      <c r="G7530" s="1297"/>
      <c r="H7530" s="1297"/>
      <c r="I7530" s="1297"/>
      <c r="J7530" s="1297"/>
      <c r="K7530" s="1297"/>
    </row>
    <row r="7531" spans="2:11">
      <c r="B7531" s="1297"/>
      <c r="C7531" s="1297"/>
      <c r="D7531" s="1297"/>
      <c r="E7531" s="1297"/>
      <c r="F7531" s="1297"/>
      <c r="G7531" s="1297"/>
      <c r="H7531" s="1297"/>
      <c r="I7531" s="1297"/>
      <c r="J7531" s="1297"/>
      <c r="K7531" s="1297"/>
    </row>
    <row r="7532" spans="2:11">
      <c r="B7532" s="1297"/>
      <c r="C7532" s="1297"/>
      <c r="D7532" s="1297"/>
      <c r="E7532" s="1297"/>
      <c r="F7532" s="1297"/>
      <c r="G7532" s="1297"/>
      <c r="H7532" s="1297"/>
      <c r="I7532" s="1297"/>
      <c r="J7532" s="1297"/>
      <c r="K7532" s="1297"/>
    </row>
    <row r="7533" spans="2:11">
      <c r="B7533" s="1297"/>
      <c r="C7533" s="1297"/>
      <c r="D7533" s="1297"/>
      <c r="E7533" s="1297"/>
      <c r="F7533" s="1297"/>
      <c r="G7533" s="1297"/>
      <c r="H7533" s="1297"/>
      <c r="I7533" s="1297"/>
      <c r="J7533" s="1297"/>
      <c r="K7533" s="1297"/>
    </row>
    <row r="7534" spans="2:11">
      <c r="B7534" s="1297"/>
      <c r="C7534" s="1297"/>
      <c r="D7534" s="1297"/>
      <c r="E7534" s="1297"/>
      <c r="F7534" s="1297"/>
      <c r="G7534" s="1297"/>
      <c r="H7534" s="1297"/>
      <c r="I7534" s="1297"/>
      <c r="J7534" s="1297"/>
      <c r="K7534" s="1297"/>
    </row>
    <row r="7535" spans="2:11">
      <c r="B7535" s="1297"/>
      <c r="C7535" s="1297"/>
      <c r="D7535" s="1297"/>
      <c r="E7535" s="1297"/>
      <c r="F7535" s="1297"/>
      <c r="G7535" s="1297"/>
      <c r="H7535" s="1297"/>
      <c r="I7535" s="1297"/>
      <c r="J7535" s="1297"/>
      <c r="K7535" s="1297"/>
    </row>
    <row r="7536" spans="2:11">
      <c r="B7536" s="1297"/>
      <c r="C7536" s="1297"/>
      <c r="D7536" s="1297"/>
      <c r="E7536" s="1297"/>
      <c r="F7536" s="1297"/>
      <c r="G7536" s="1297"/>
      <c r="H7536" s="1297"/>
      <c r="I7536" s="1297"/>
      <c r="J7536" s="1297"/>
      <c r="K7536" s="1297"/>
    </row>
    <row r="7537" spans="2:11">
      <c r="B7537" s="1297"/>
      <c r="C7537" s="1297"/>
      <c r="D7537" s="1297"/>
      <c r="E7537" s="1297"/>
      <c r="F7537" s="1297"/>
      <c r="G7537" s="1297"/>
      <c r="H7537" s="1297"/>
      <c r="I7537" s="1297"/>
      <c r="J7537" s="1297"/>
      <c r="K7537" s="1297"/>
    </row>
    <row r="7538" spans="2:11">
      <c r="B7538" s="1297"/>
      <c r="C7538" s="1297"/>
      <c r="D7538" s="1297"/>
      <c r="E7538" s="1297"/>
      <c r="F7538" s="1297"/>
      <c r="G7538" s="1297"/>
      <c r="H7538" s="1297"/>
      <c r="I7538" s="1297"/>
      <c r="J7538" s="1297"/>
      <c r="K7538" s="1297"/>
    </row>
    <row r="7539" spans="2:11">
      <c r="B7539" s="1297"/>
      <c r="C7539" s="1297"/>
      <c r="D7539" s="1297"/>
      <c r="E7539" s="1297"/>
      <c r="F7539" s="1297"/>
      <c r="G7539" s="1297"/>
      <c r="H7539" s="1297"/>
      <c r="I7539" s="1297"/>
      <c r="J7539" s="1297"/>
      <c r="K7539" s="1297"/>
    </row>
    <row r="7540" spans="2:11">
      <c r="B7540" s="1297"/>
      <c r="C7540" s="1297"/>
      <c r="D7540" s="1297"/>
      <c r="E7540" s="1297"/>
      <c r="F7540" s="1297"/>
      <c r="G7540" s="1297"/>
      <c r="H7540" s="1297"/>
      <c r="I7540" s="1297"/>
      <c r="J7540" s="1297"/>
      <c r="K7540" s="1297"/>
    </row>
    <row r="7541" spans="2:11">
      <c r="B7541" s="1297"/>
      <c r="C7541" s="1297"/>
      <c r="D7541" s="1297"/>
      <c r="E7541" s="1297"/>
      <c r="F7541" s="1297"/>
      <c r="G7541" s="1297"/>
      <c r="H7541" s="1297"/>
      <c r="I7541" s="1297"/>
      <c r="J7541" s="1297"/>
      <c r="K7541" s="1297"/>
    </row>
    <row r="7542" spans="2:11">
      <c r="B7542" s="1297"/>
      <c r="C7542" s="1297"/>
      <c r="D7542" s="1297"/>
      <c r="E7542" s="1297"/>
      <c r="F7542" s="1297"/>
      <c r="G7542" s="1297"/>
      <c r="H7542" s="1297"/>
      <c r="I7542" s="1297"/>
      <c r="J7542" s="1297"/>
      <c r="K7542" s="1297"/>
    </row>
    <row r="7543" spans="2:11">
      <c r="B7543" s="1297"/>
      <c r="C7543" s="1297"/>
      <c r="D7543" s="1297"/>
      <c r="E7543" s="1297"/>
      <c r="F7543" s="1297"/>
      <c r="G7543" s="1297"/>
      <c r="H7543" s="1297"/>
      <c r="I7543" s="1297"/>
      <c r="J7543" s="1297"/>
      <c r="K7543" s="1297"/>
    </row>
    <row r="7544" spans="2:11">
      <c r="B7544" s="1297"/>
      <c r="C7544" s="1297"/>
      <c r="D7544" s="1297"/>
      <c r="E7544" s="1297"/>
      <c r="F7544" s="1297"/>
      <c r="G7544" s="1297"/>
      <c r="H7544" s="1297"/>
      <c r="I7544" s="1297"/>
      <c r="J7544" s="1297"/>
      <c r="K7544" s="1297"/>
    </row>
    <row r="7545" spans="2:11">
      <c r="B7545" s="1297"/>
      <c r="C7545" s="1297"/>
      <c r="D7545" s="1297"/>
      <c r="E7545" s="1297"/>
      <c r="F7545" s="1297"/>
      <c r="G7545" s="1297"/>
      <c r="H7545" s="1297"/>
      <c r="I7545" s="1297"/>
      <c r="J7545" s="1297"/>
      <c r="K7545" s="1297"/>
    </row>
    <row r="7546" spans="2:11">
      <c r="B7546" s="1297"/>
      <c r="C7546" s="1297"/>
      <c r="D7546" s="1297"/>
      <c r="E7546" s="1297"/>
      <c r="F7546" s="1297"/>
      <c r="G7546" s="1297"/>
      <c r="H7546" s="1297"/>
      <c r="I7546" s="1297"/>
      <c r="J7546" s="1297"/>
      <c r="K7546" s="1297"/>
    </row>
    <row r="7547" spans="2:11">
      <c r="B7547" s="1297"/>
      <c r="C7547" s="1297"/>
      <c r="D7547" s="1297"/>
      <c r="E7547" s="1297"/>
      <c r="F7547" s="1297"/>
      <c r="G7547" s="1297"/>
      <c r="H7547" s="1297"/>
      <c r="I7547" s="1297"/>
      <c r="J7547" s="1297"/>
      <c r="K7547" s="1297"/>
    </row>
    <row r="7548" spans="2:11">
      <c r="B7548" s="1297"/>
      <c r="C7548" s="1297"/>
      <c r="D7548" s="1297"/>
      <c r="E7548" s="1297"/>
      <c r="F7548" s="1297"/>
      <c r="G7548" s="1297"/>
      <c r="H7548" s="1297"/>
      <c r="I7548" s="1297"/>
      <c r="J7548" s="1297"/>
      <c r="K7548" s="1297"/>
    </row>
    <row r="7549" spans="2:11">
      <c r="B7549" s="1297"/>
      <c r="C7549" s="1297"/>
      <c r="D7549" s="1297"/>
      <c r="E7549" s="1297"/>
      <c r="F7549" s="1297"/>
      <c r="G7549" s="1297"/>
      <c r="H7549" s="1297"/>
      <c r="I7549" s="1297"/>
      <c r="J7549" s="1297"/>
      <c r="K7549" s="1297"/>
    </row>
    <row r="7550" spans="2:11">
      <c r="B7550" s="1297"/>
      <c r="C7550" s="1297"/>
      <c r="D7550" s="1297"/>
      <c r="E7550" s="1297"/>
      <c r="F7550" s="1297"/>
      <c r="G7550" s="1297"/>
      <c r="H7550" s="1297"/>
      <c r="I7550" s="1297"/>
      <c r="J7550" s="1297"/>
      <c r="K7550" s="1297"/>
    </row>
    <row r="7551" spans="2:11">
      <c r="B7551" s="1297"/>
      <c r="C7551" s="1297"/>
      <c r="D7551" s="1297"/>
      <c r="E7551" s="1297"/>
      <c r="F7551" s="1297"/>
      <c r="G7551" s="1297"/>
      <c r="H7551" s="1297"/>
      <c r="I7551" s="1297"/>
      <c r="J7551" s="1297"/>
      <c r="K7551" s="1297"/>
    </row>
    <row r="7552" spans="2:11">
      <c r="B7552" s="1297"/>
      <c r="C7552" s="1297"/>
      <c r="D7552" s="1297"/>
      <c r="E7552" s="1297"/>
      <c r="F7552" s="1297"/>
      <c r="G7552" s="1297"/>
      <c r="H7552" s="1297"/>
      <c r="I7552" s="1297"/>
      <c r="J7552" s="1297"/>
      <c r="K7552" s="1297"/>
    </row>
    <row r="7553" spans="2:11">
      <c r="B7553" s="1297"/>
      <c r="C7553" s="1297"/>
      <c r="D7553" s="1297"/>
      <c r="E7553" s="1297"/>
      <c r="F7553" s="1297"/>
      <c r="G7553" s="1297"/>
      <c r="H7553" s="1297"/>
      <c r="I7553" s="1297"/>
      <c r="J7553" s="1297"/>
      <c r="K7553" s="1297"/>
    </row>
    <row r="7554" spans="2:11">
      <c r="B7554" s="1297"/>
      <c r="C7554" s="1297"/>
      <c r="D7554" s="1297"/>
      <c r="E7554" s="1297"/>
      <c r="F7554" s="1297"/>
      <c r="G7554" s="1297"/>
      <c r="H7554" s="1297"/>
      <c r="I7554" s="1297"/>
      <c r="J7554" s="1297"/>
      <c r="K7554" s="1297"/>
    </row>
    <row r="7555" spans="2:11">
      <c r="B7555" s="1297"/>
      <c r="C7555" s="1297"/>
      <c r="D7555" s="1297"/>
      <c r="E7555" s="1297"/>
      <c r="F7555" s="1297"/>
      <c r="G7555" s="1297"/>
      <c r="H7555" s="1297"/>
      <c r="I7555" s="1297"/>
      <c r="J7555" s="1297"/>
      <c r="K7555" s="1297"/>
    </row>
    <row r="7556" spans="2:11">
      <c r="B7556" s="1297"/>
      <c r="C7556" s="1297"/>
      <c r="D7556" s="1297"/>
      <c r="E7556" s="1297"/>
      <c r="F7556" s="1297"/>
      <c r="G7556" s="1297"/>
      <c r="H7556" s="1297"/>
      <c r="I7556" s="1297"/>
      <c r="J7556" s="1297"/>
      <c r="K7556" s="1297"/>
    </row>
    <row r="7557" spans="2:11">
      <c r="B7557" s="1297"/>
      <c r="C7557" s="1297"/>
      <c r="D7557" s="1297"/>
      <c r="E7557" s="1297"/>
      <c r="F7557" s="1297"/>
      <c r="G7557" s="1297"/>
      <c r="H7557" s="1297"/>
      <c r="I7557" s="1297"/>
      <c r="J7557" s="1297"/>
      <c r="K7557" s="1297"/>
    </row>
    <row r="7558" spans="2:11">
      <c r="B7558" s="1297"/>
      <c r="C7558" s="1297"/>
      <c r="D7558" s="1297"/>
      <c r="E7558" s="1297"/>
      <c r="F7558" s="1297"/>
      <c r="G7558" s="1297"/>
      <c r="H7558" s="1297"/>
      <c r="I7558" s="1297"/>
      <c r="J7558" s="1297"/>
      <c r="K7558" s="1297"/>
    </row>
    <row r="7559" spans="2:11">
      <c r="B7559" s="1297"/>
      <c r="C7559" s="1297"/>
      <c r="D7559" s="1297"/>
      <c r="E7559" s="1297"/>
      <c r="F7559" s="1297"/>
      <c r="G7559" s="1297"/>
      <c r="H7559" s="1297"/>
      <c r="I7559" s="1297"/>
      <c r="J7559" s="1297"/>
      <c r="K7559" s="1297"/>
    </row>
    <row r="7560" spans="2:11">
      <c r="B7560" s="1297"/>
      <c r="C7560" s="1297"/>
      <c r="D7560" s="1297"/>
      <c r="E7560" s="1297"/>
      <c r="F7560" s="1297"/>
      <c r="G7560" s="1297"/>
      <c r="H7560" s="1297"/>
      <c r="I7560" s="1297"/>
      <c r="J7560" s="1297"/>
      <c r="K7560" s="1297"/>
    </row>
    <row r="7561" spans="2:11">
      <c r="B7561" s="1297"/>
      <c r="C7561" s="1297"/>
      <c r="D7561" s="1297"/>
      <c r="E7561" s="1297"/>
      <c r="F7561" s="1297"/>
      <c r="G7561" s="1297"/>
      <c r="H7561" s="1297"/>
      <c r="I7561" s="1297"/>
      <c r="J7561" s="1297"/>
      <c r="K7561" s="1297"/>
    </row>
    <row r="7562" spans="2:11">
      <c r="B7562" s="1297"/>
      <c r="C7562" s="1297"/>
      <c r="D7562" s="1297"/>
      <c r="E7562" s="1297"/>
      <c r="F7562" s="1297"/>
      <c r="G7562" s="1297"/>
      <c r="H7562" s="1297"/>
      <c r="I7562" s="1297"/>
      <c r="J7562" s="1297"/>
      <c r="K7562" s="1297"/>
    </row>
    <row r="7563" spans="2:11">
      <c r="B7563" s="1297"/>
      <c r="C7563" s="1297"/>
      <c r="D7563" s="1297"/>
      <c r="E7563" s="1297"/>
      <c r="F7563" s="1297"/>
      <c r="G7563" s="1297"/>
      <c r="H7563" s="1297"/>
      <c r="I7563" s="1297"/>
      <c r="J7563" s="1297"/>
      <c r="K7563" s="1297"/>
    </row>
    <row r="7564" spans="2:11">
      <c r="B7564" s="1297"/>
      <c r="C7564" s="1297"/>
      <c r="D7564" s="1297"/>
      <c r="E7564" s="1297"/>
      <c r="F7564" s="1297"/>
      <c r="G7564" s="1297"/>
      <c r="H7564" s="1297"/>
      <c r="I7564" s="1297"/>
      <c r="J7564" s="1297"/>
      <c r="K7564" s="1297"/>
    </row>
    <row r="7565" spans="2:11">
      <c r="B7565" s="1297"/>
      <c r="C7565" s="1297"/>
      <c r="D7565" s="1297"/>
      <c r="E7565" s="1297"/>
      <c r="F7565" s="1297"/>
      <c r="G7565" s="1297"/>
      <c r="H7565" s="1297"/>
      <c r="I7565" s="1297"/>
      <c r="J7565" s="1297"/>
      <c r="K7565" s="1297"/>
    </row>
    <row r="7566" spans="2:11">
      <c r="B7566" s="1297"/>
      <c r="C7566" s="1297"/>
      <c r="D7566" s="1297"/>
      <c r="E7566" s="1297"/>
      <c r="F7566" s="1297"/>
      <c r="G7566" s="1297"/>
      <c r="H7566" s="1297"/>
      <c r="I7566" s="1297"/>
      <c r="J7566" s="1297"/>
      <c r="K7566" s="1297"/>
    </row>
    <row r="7567" spans="2:11">
      <c r="B7567" s="1297"/>
      <c r="C7567" s="1297"/>
      <c r="D7567" s="1297"/>
      <c r="E7567" s="1297"/>
      <c r="F7567" s="1297"/>
      <c r="G7567" s="1297"/>
      <c r="H7567" s="1297"/>
      <c r="I7567" s="1297"/>
      <c r="J7567" s="1297"/>
      <c r="K7567" s="1297"/>
    </row>
    <row r="7568" spans="2:11">
      <c r="B7568" s="1297"/>
      <c r="C7568" s="1297"/>
      <c r="D7568" s="1297"/>
      <c r="E7568" s="1297"/>
      <c r="F7568" s="1297"/>
      <c r="G7568" s="1297"/>
      <c r="H7568" s="1297"/>
      <c r="I7568" s="1297"/>
      <c r="J7568" s="1297"/>
      <c r="K7568" s="1297"/>
    </row>
    <row r="7569" spans="2:11">
      <c r="B7569" s="1297"/>
      <c r="C7569" s="1297"/>
      <c r="D7569" s="1297"/>
      <c r="E7569" s="1297"/>
      <c r="F7569" s="1297"/>
      <c r="G7569" s="1297"/>
      <c r="H7569" s="1297"/>
      <c r="I7569" s="1297"/>
      <c r="J7569" s="1297"/>
      <c r="K7569" s="1297"/>
    </row>
    <row r="7570" spans="2:11">
      <c r="B7570" s="1297"/>
      <c r="C7570" s="1297"/>
      <c r="D7570" s="1297"/>
      <c r="E7570" s="1297"/>
      <c r="F7570" s="1297"/>
      <c r="G7570" s="1297"/>
      <c r="H7570" s="1297"/>
      <c r="I7570" s="1297"/>
      <c r="J7570" s="1297"/>
      <c r="K7570" s="1297"/>
    </row>
    <row r="7571" spans="2:11">
      <c r="B7571" s="1297"/>
      <c r="C7571" s="1297"/>
      <c r="D7571" s="1297"/>
      <c r="E7571" s="1297"/>
      <c r="F7571" s="1297"/>
      <c r="G7571" s="1297"/>
      <c r="H7571" s="1297"/>
      <c r="I7571" s="1297"/>
      <c r="J7571" s="1297"/>
      <c r="K7571" s="1297"/>
    </row>
    <row r="7572" spans="2:11">
      <c r="B7572" s="1297"/>
      <c r="C7572" s="1297"/>
      <c r="D7572" s="1297"/>
      <c r="E7572" s="1297"/>
      <c r="F7572" s="1297"/>
      <c r="G7572" s="1297"/>
      <c r="H7572" s="1297"/>
      <c r="I7572" s="1297"/>
      <c r="J7572" s="1297"/>
      <c r="K7572" s="1297"/>
    </row>
    <row r="7573" spans="2:11">
      <c r="B7573" s="1297"/>
      <c r="C7573" s="1297"/>
      <c r="D7573" s="1297"/>
      <c r="E7573" s="1297"/>
      <c r="F7573" s="1297"/>
      <c r="G7573" s="1297"/>
      <c r="H7573" s="1297"/>
      <c r="I7573" s="1297"/>
      <c r="J7573" s="1297"/>
      <c r="K7573" s="1297"/>
    </row>
    <row r="7574" spans="2:11">
      <c r="B7574" s="1297"/>
      <c r="C7574" s="1297"/>
      <c r="D7574" s="1297"/>
      <c r="E7574" s="1297"/>
      <c r="F7574" s="1297"/>
      <c r="G7574" s="1297"/>
      <c r="H7574" s="1297"/>
      <c r="I7574" s="1297"/>
      <c r="J7574" s="1297"/>
      <c r="K7574" s="1297"/>
    </row>
    <row r="7575" spans="2:11">
      <c r="B7575" s="1297"/>
      <c r="C7575" s="1297"/>
      <c r="D7575" s="1297"/>
      <c r="E7575" s="1297"/>
      <c r="F7575" s="1297"/>
      <c r="G7575" s="1297"/>
      <c r="H7575" s="1297"/>
      <c r="I7575" s="1297"/>
      <c r="J7575" s="1297"/>
      <c r="K7575" s="1297"/>
    </row>
    <row r="7576" spans="2:11">
      <c r="B7576" s="1297"/>
      <c r="C7576" s="1297"/>
      <c r="D7576" s="1297"/>
      <c r="E7576" s="1297"/>
      <c r="F7576" s="1297"/>
      <c r="G7576" s="1297"/>
      <c r="H7576" s="1297"/>
      <c r="I7576" s="1297"/>
      <c r="J7576" s="1297"/>
      <c r="K7576" s="1297"/>
    </row>
    <row r="7577" spans="2:11">
      <c r="B7577" s="1297"/>
      <c r="C7577" s="1297"/>
      <c r="D7577" s="1297"/>
      <c r="E7577" s="1297"/>
      <c r="F7577" s="1297"/>
      <c r="G7577" s="1297"/>
      <c r="H7577" s="1297"/>
      <c r="I7577" s="1297"/>
      <c r="J7577" s="1297"/>
      <c r="K7577" s="1297"/>
    </row>
    <row r="7578" spans="2:11">
      <c r="B7578" s="1297"/>
      <c r="C7578" s="1297"/>
      <c r="D7578" s="1297"/>
      <c r="E7578" s="1297"/>
      <c r="F7578" s="1297"/>
      <c r="G7578" s="1297"/>
      <c r="H7578" s="1297"/>
      <c r="I7578" s="1297"/>
      <c r="J7578" s="1297"/>
      <c r="K7578" s="1297"/>
    </row>
    <row r="7579" spans="2:11">
      <c r="B7579" s="1297"/>
      <c r="C7579" s="1297"/>
      <c r="D7579" s="1297"/>
      <c r="E7579" s="1297"/>
      <c r="F7579" s="1297"/>
      <c r="G7579" s="1297"/>
      <c r="H7579" s="1297"/>
      <c r="I7579" s="1297"/>
      <c r="J7579" s="1297"/>
      <c r="K7579" s="1297"/>
    </row>
    <row r="7580" spans="2:11">
      <c r="B7580" s="1297"/>
      <c r="C7580" s="1297"/>
      <c r="D7580" s="1297"/>
      <c r="E7580" s="1297"/>
      <c r="F7580" s="1297"/>
      <c r="G7580" s="1297"/>
      <c r="H7580" s="1297"/>
      <c r="I7580" s="1297"/>
      <c r="J7580" s="1297"/>
      <c r="K7580" s="1297"/>
    </row>
    <row r="7581" spans="2:11">
      <c r="B7581" s="1297"/>
      <c r="C7581" s="1297"/>
      <c r="D7581" s="1297"/>
      <c r="E7581" s="1297"/>
      <c r="F7581" s="1297"/>
      <c r="G7581" s="1297"/>
      <c r="H7581" s="1297"/>
      <c r="I7581" s="1297"/>
      <c r="J7581" s="1297"/>
      <c r="K7581" s="1297"/>
    </row>
    <row r="7582" spans="2:11">
      <c r="B7582" s="1297"/>
      <c r="C7582" s="1297"/>
      <c r="D7582" s="1297"/>
      <c r="E7582" s="1297"/>
      <c r="F7582" s="1297"/>
      <c r="G7582" s="1297"/>
      <c r="H7582" s="1297"/>
      <c r="I7582" s="1297"/>
      <c r="J7582" s="1297"/>
      <c r="K7582" s="1297"/>
    </row>
    <row r="7583" spans="2:11">
      <c r="B7583" s="1297"/>
      <c r="C7583" s="1297"/>
      <c r="D7583" s="1297"/>
      <c r="E7583" s="1297"/>
      <c r="F7583" s="1297"/>
      <c r="G7583" s="1297"/>
      <c r="H7583" s="1297"/>
      <c r="I7583" s="1297"/>
      <c r="J7583" s="1297"/>
      <c r="K7583" s="1297"/>
    </row>
    <row r="7584" spans="2:11">
      <c r="B7584" s="1297"/>
      <c r="C7584" s="1297"/>
      <c r="D7584" s="1297"/>
      <c r="E7584" s="1297"/>
      <c r="F7584" s="1297"/>
      <c r="G7584" s="1297"/>
      <c r="H7584" s="1297"/>
      <c r="I7584" s="1297"/>
      <c r="J7584" s="1297"/>
      <c r="K7584" s="1297"/>
    </row>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49"/>
  <sheetViews>
    <sheetView workbookViewId="0">
      <selection activeCell="G22" sqref="G22"/>
    </sheetView>
  </sheetViews>
  <sheetFormatPr defaultColWidth="8.83203125" defaultRowHeight="11.25"/>
  <cols>
    <col min="1" max="1" width="4.83203125" style="277" customWidth="1"/>
    <col min="2" max="11" width="9.83203125" style="277" customWidth="1"/>
    <col min="12" max="12" width="4.83203125" style="277" customWidth="1"/>
    <col min="13" max="13" width="6.83203125" style="277" customWidth="1"/>
    <col min="14" max="14" width="9.83203125" style="277" customWidth="1"/>
    <col min="15" max="15" width="13.1640625" style="277" customWidth="1"/>
    <col min="16" max="21" width="9.83203125" style="277" customWidth="1"/>
    <col min="22" max="22" width="6.83203125" style="277" customWidth="1"/>
    <col min="23" max="42" width="9.83203125" style="277" customWidth="1"/>
    <col min="43" max="16384" width="8.83203125" style="277"/>
  </cols>
  <sheetData>
    <row r="1" spans="1:22" s="373" customFormat="1" ht="18" customHeight="1">
      <c r="A1" s="390"/>
      <c r="B1" s="710" t="s">
        <v>376</v>
      </c>
      <c r="C1" s="710"/>
      <c r="D1" s="710"/>
      <c r="E1" s="710"/>
      <c r="F1" s="710"/>
      <c r="G1" s="710"/>
      <c r="H1" s="710"/>
      <c r="I1" s="710"/>
      <c r="J1" s="710"/>
      <c r="K1" s="710"/>
      <c r="L1" s="390"/>
      <c r="M1" s="1531"/>
      <c r="N1" s="1531"/>
      <c r="O1" s="1531"/>
      <c r="P1" s="1531"/>
      <c r="Q1" s="1531"/>
      <c r="R1" s="1531"/>
      <c r="S1" s="1531"/>
      <c r="T1" s="1531"/>
      <c r="U1" s="1531"/>
      <c r="V1" s="1531"/>
    </row>
    <row r="2" spans="1:22" ht="20.100000000000001" customHeight="1">
      <c r="A2" s="1529" t="s">
        <v>376</v>
      </c>
      <c r="B2" s="1530" t="s">
        <v>214</v>
      </c>
      <c r="C2" s="1530"/>
      <c r="D2" s="1530"/>
      <c r="E2" s="1530"/>
      <c r="F2" s="1530"/>
      <c r="G2" s="1530"/>
      <c r="H2" s="1530"/>
      <c r="I2" s="1530"/>
      <c r="J2" s="1530"/>
      <c r="K2" s="1530"/>
      <c r="L2" s="1529" t="s">
        <v>376</v>
      </c>
      <c r="M2" s="711" t="str">
        <f>N40</f>
        <v>GA</v>
      </c>
      <c r="N2" s="1533" t="s">
        <v>216</v>
      </c>
      <c r="O2" s="1533"/>
      <c r="P2" s="1533"/>
      <c r="Q2" s="1533"/>
      <c r="R2" s="1533"/>
      <c r="S2" s="1533"/>
      <c r="T2" s="1533"/>
      <c r="U2" s="1533"/>
      <c r="V2" s="712"/>
    </row>
    <row r="3" spans="1:22" ht="15.95" customHeight="1">
      <c r="A3" s="1529"/>
      <c r="B3" s="391"/>
      <c r="C3" s="391"/>
      <c r="D3" s="391"/>
      <c r="E3" s="391"/>
      <c r="F3" s="391"/>
      <c r="G3" s="391"/>
      <c r="H3" s="391"/>
      <c r="I3" s="391"/>
      <c r="J3" s="391"/>
      <c r="K3" s="391"/>
      <c r="L3" s="1529"/>
      <c r="M3" s="1491" t="s">
        <v>380</v>
      </c>
      <c r="N3" s="1492"/>
      <c r="O3" s="1492"/>
      <c r="P3" s="1492"/>
      <c r="Q3" s="1492"/>
      <c r="R3" s="1492"/>
      <c r="S3" s="1492"/>
      <c r="T3" s="1492"/>
      <c r="U3" s="1492"/>
      <c r="V3" s="1493"/>
    </row>
    <row r="4" spans="1:22" ht="15.95" customHeight="1">
      <c r="A4" s="1529"/>
      <c r="B4" s="391"/>
      <c r="C4" s="391"/>
      <c r="D4" s="391"/>
      <c r="E4" s="391"/>
      <c r="F4" s="391"/>
      <c r="G4" s="391"/>
      <c r="H4" s="391"/>
      <c r="I4" s="391"/>
      <c r="J4" s="391"/>
      <c r="K4" s="391"/>
      <c r="L4" s="1529"/>
      <c r="M4" s="1491"/>
      <c r="N4" s="1492"/>
      <c r="O4" s="1492"/>
      <c r="P4" s="1492"/>
      <c r="Q4" s="1492"/>
      <c r="R4" s="1492"/>
      <c r="S4" s="1492"/>
      <c r="T4" s="1492"/>
      <c r="U4" s="1492"/>
      <c r="V4" s="1493"/>
    </row>
    <row r="5" spans="1:22" s="373" customFormat="1" ht="15.95" customHeight="1">
      <c r="A5" s="1529"/>
      <c r="B5" s="391"/>
      <c r="C5" s="391"/>
      <c r="D5" s="391"/>
      <c r="E5" s="391"/>
      <c r="F5" s="391"/>
      <c r="G5" s="391"/>
      <c r="H5" s="391"/>
      <c r="I5" s="391"/>
      <c r="J5" s="391"/>
      <c r="K5" s="391"/>
      <c r="L5" s="1529"/>
      <c r="M5" s="1491"/>
      <c r="N5" s="1492"/>
      <c r="O5" s="1492"/>
      <c r="P5" s="1492"/>
      <c r="Q5" s="1492"/>
      <c r="R5" s="1492"/>
      <c r="S5" s="1492"/>
      <c r="T5" s="1492"/>
      <c r="U5" s="1492"/>
      <c r="V5" s="1493"/>
    </row>
    <row r="6" spans="1:22" s="373" customFormat="1" ht="15.95" customHeight="1">
      <c r="A6" s="1529"/>
      <c r="B6" s="391"/>
      <c r="C6" s="391"/>
      <c r="D6" s="391"/>
      <c r="E6" s="391"/>
      <c r="F6" s="391"/>
      <c r="G6" s="391"/>
      <c r="H6" s="391"/>
      <c r="I6" s="391"/>
      <c r="J6" s="391"/>
      <c r="K6" s="391"/>
      <c r="L6" s="1529"/>
      <c r="M6" s="1491"/>
      <c r="N6" s="1492"/>
      <c r="O6" s="1492"/>
      <c r="P6" s="1492"/>
      <c r="Q6" s="1492"/>
      <c r="R6" s="1492"/>
      <c r="S6" s="1492"/>
      <c r="T6" s="1492"/>
      <c r="U6" s="1492"/>
      <c r="V6" s="1493"/>
    </row>
    <row r="7" spans="1:22" ht="15.95" customHeight="1">
      <c r="A7" s="1529"/>
      <c r="B7" s="391"/>
      <c r="C7" s="391"/>
      <c r="D7" s="391"/>
      <c r="E7" s="391"/>
      <c r="F7" s="391"/>
      <c r="G7" s="391"/>
      <c r="H7" s="391"/>
      <c r="I7" s="391"/>
      <c r="J7" s="391"/>
      <c r="K7" s="391"/>
      <c r="L7" s="1529"/>
      <c r="M7" s="1491"/>
      <c r="N7" s="1492"/>
      <c r="O7" s="1492"/>
      <c r="P7" s="1492"/>
      <c r="Q7" s="1492"/>
      <c r="R7" s="1492"/>
      <c r="S7" s="1492"/>
      <c r="T7" s="1492"/>
      <c r="U7" s="1492"/>
      <c r="V7" s="1493"/>
    </row>
    <row r="8" spans="1:22" ht="15.95" customHeight="1">
      <c r="A8" s="1529"/>
      <c r="B8" s="391"/>
      <c r="C8" s="391"/>
      <c r="D8" s="391"/>
      <c r="E8" s="391"/>
      <c r="F8" s="391"/>
      <c r="G8" s="391"/>
      <c r="H8" s="391"/>
      <c r="I8" s="391"/>
      <c r="J8" s="391"/>
      <c r="K8" s="391"/>
      <c r="L8" s="1529"/>
      <c r="M8" s="1494"/>
      <c r="N8" s="1495"/>
      <c r="O8" s="1495"/>
      <c r="P8" s="1495"/>
      <c r="Q8" s="1495"/>
      <c r="R8" s="1495"/>
      <c r="S8" s="1495"/>
      <c r="T8" s="1495"/>
      <c r="U8" s="1495"/>
      <c r="V8" s="1496"/>
    </row>
    <row r="9" spans="1:22" ht="15.95" customHeight="1">
      <c r="A9" s="1529"/>
      <c r="B9" s="391"/>
      <c r="C9" s="391"/>
      <c r="D9" s="391"/>
      <c r="E9" s="391"/>
      <c r="F9" s="391"/>
      <c r="G9" s="391"/>
      <c r="H9" s="391"/>
      <c r="I9" s="391"/>
      <c r="J9" s="391"/>
      <c r="K9" s="391"/>
      <c r="L9" s="1529"/>
      <c r="M9" s="1488"/>
      <c r="N9" s="1489"/>
      <c r="O9" s="1489"/>
      <c r="P9" s="1489"/>
      <c r="Q9" s="1489"/>
      <c r="R9" s="1489"/>
      <c r="S9" s="1489"/>
      <c r="T9" s="1489"/>
      <c r="U9" s="1489"/>
      <c r="V9" s="1490"/>
    </row>
    <row r="10" spans="1:22" s="373" customFormat="1" ht="15.95" customHeight="1">
      <c r="A10" s="1529"/>
      <c r="B10" s="391"/>
      <c r="C10" s="391"/>
      <c r="D10" s="391"/>
      <c r="E10" s="391"/>
      <c r="F10" s="391"/>
      <c r="G10" s="391"/>
      <c r="H10" s="391"/>
      <c r="I10" s="391"/>
      <c r="J10" s="391"/>
      <c r="K10" s="391"/>
      <c r="L10" s="1529"/>
      <c r="M10" s="1491"/>
      <c r="N10" s="1492"/>
      <c r="O10" s="1492"/>
      <c r="P10" s="1492"/>
      <c r="Q10" s="1492"/>
      <c r="R10" s="1492"/>
      <c r="S10" s="1492"/>
      <c r="T10" s="1492"/>
      <c r="U10" s="1492"/>
      <c r="V10" s="1493"/>
    </row>
    <row r="11" spans="1:22" s="373" customFormat="1" ht="15.95" customHeight="1">
      <c r="A11" s="1529"/>
      <c r="B11" s="391"/>
      <c r="C11" s="391"/>
      <c r="D11" s="391"/>
      <c r="E11" s="391"/>
      <c r="F11" s="391"/>
      <c r="G11" s="391"/>
      <c r="H11" s="391"/>
      <c r="I11" s="391"/>
      <c r="J11" s="391"/>
      <c r="K11" s="391"/>
      <c r="L11" s="1529"/>
      <c r="M11" s="1491"/>
      <c r="N11" s="1492"/>
      <c r="O11" s="1492"/>
      <c r="P11" s="1492"/>
      <c r="Q11" s="1492"/>
      <c r="R11" s="1492"/>
      <c r="S11" s="1492"/>
      <c r="T11" s="1492"/>
      <c r="U11" s="1492"/>
      <c r="V11" s="1493"/>
    </row>
    <row r="12" spans="1:22" s="373" customFormat="1" ht="15.95" customHeight="1">
      <c r="A12" s="1529"/>
      <c r="B12" s="391"/>
      <c r="C12" s="391"/>
      <c r="D12" s="391"/>
      <c r="E12" s="391"/>
      <c r="F12" s="391"/>
      <c r="G12" s="391"/>
      <c r="H12" s="391"/>
      <c r="I12" s="391"/>
      <c r="J12" s="391"/>
      <c r="K12" s="391"/>
      <c r="L12" s="1529"/>
      <c r="M12" s="1491"/>
      <c r="N12" s="1492"/>
      <c r="O12" s="1492"/>
      <c r="P12" s="1492"/>
      <c r="Q12" s="1492"/>
      <c r="R12" s="1492"/>
      <c r="S12" s="1492"/>
      <c r="T12" s="1492"/>
      <c r="U12" s="1492"/>
      <c r="V12" s="1493"/>
    </row>
    <row r="13" spans="1:22" ht="15.95" customHeight="1">
      <c r="A13" s="1529"/>
      <c r="B13" s="391"/>
      <c r="C13" s="391"/>
      <c r="D13" s="391"/>
      <c r="E13" s="391"/>
      <c r="F13" s="391"/>
      <c r="G13" s="391"/>
      <c r="H13" s="391"/>
      <c r="I13" s="391"/>
      <c r="J13" s="391"/>
      <c r="K13" s="391"/>
      <c r="L13" s="1529"/>
      <c r="M13" s="1491"/>
      <c r="N13" s="1492"/>
      <c r="O13" s="1492"/>
      <c r="P13" s="1492"/>
      <c r="Q13" s="1492"/>
      <c r="R13" s="1492"/>
      <c r="S13" s="1492"/>
      <c r="T13" s="1492"/>
      <c r="U13" s="1492"/>
      <c r="V13" s="1493"/>
    </row>
    <row r="14" spans="1:22" ht="15.95" customHeight="1">
      <c r="A14" s="1529"/>
      <c r="B14" s="391"/>
      <c r="C14" s="391"/>
      <c r="D14" s="391"/>
      <c r="E14" s="391"/>
      <c r="F14" s="391"/>
      <c r="G14" s="391"/>
      <c r="H14" s="391"/>
      <c r="I14" s="391"/>
      <c r="J14" s="391"/>
      <c r="K14" s="391"/>
      <c r="L14" s="1529"/>
      <c r="M14" s="1491"/>
      <c r="N14" s="1492"/>
      <c r="O14" s="1492"/>
      <c r="P14" s="1492"/>
      <c r="Q14" s="1492"/>
      <c r="R14" s="1492"/>
      <c r="S14" s="1492"/>
      <c r="T14" s="1492"/>
      <c r="U14" s="1492"/>
      <c r="V14" s="1493"/>
    </row>
    <row r="15" spans="1:22" ht="15.95" customHeight="1">
      <c r="A15" s="1529"/>
      <c r="B15" s="391"/>
      <c r="C15" s="391"/>
      <c r="D15" s="391"/>
      <c r="E15" s="391"/>
      <c r="F15" s="391"/>
      <c r="G15" s="391"/>
      <c r="H15" s="391"/>
      <c r="I15" s="391"/>
      <c r="J15" s="391"/>
      <c r="K15" s="391"/>
      <c r="L15" s="1529"/>
      <c r="M15" s="1494"/>
      <c r="N15" s="1495"/>
      <c r="O15" s="1495"/>
      <c r="P15" s="1495"/>
      <c r="Q15" s="1495"/>
      <c r="R15" s="1495"/>
      <c r="S15" s="1495"/>
      <c r="T15" s="1495"/>
      <c r="U15" s="1495"/>
      <c r="V15" s="1496"/>
    </row>
    <row r="16" spans="1:22" ht="15.95" customHeight="1">
      <c r="A16" s="1529"/>
      <c r="B16" s="391"/>
      <c r="C16" s="391"/>
      <c r="D16" s="391"/>
      <c r="E16" s="391"/>
      <c r="F16" s="391"/>
      <c r="G16" s="391"/>
      <c r="H16" s="391"/>
      <c r="I16" s="391"/>
      <c r="J16" s="391"/>
      <c r="K16" s="391"/>
      <c r="L16" s="1529"/>
      <c r="M16" s="1488"/>
      <c r="N16" s="1489"/>
      <c r="O16" s="1489"/>
      <c r="P16" s="1489"/>
      <c r="Q16" s="1489"/>
      <c r="R16" s="1489"/>
      <c r="S16" s="1489"/>
      <c r="T16" s="1489"/>
      <c r="U16" s="1489"/>
      <c r="V16" s="1490"/>
    </row>
    <row r="17" spans="1:22" ht="15.95" customHeight="1">
      <c r="A17" s="1529"/>
      <c r="B17" s="391"/>
      <c r="C17" s="391"/>
      <c r="D17" s="391"/>
      <c r="E17" s="391"/>
      <c r="F17" s="391"/>
      <c r="G17" s="391"/>
      <c r="H17" s="391"/>
      <c r="I17" s="391"/>
      <c r="J17" s="391"/>
      <c r="K17" s="391"/>
      <c r="L17" s="1529"/>
      <c r="M17" s="1491"/>
      <c r="N17" s="1492"/>
      <c r="O17" s="1492"/>
      <c r="P17" s="1492"/>
      <c r="Q17" s="1492"/>
      <c r="R17" s="1492"/>
      <c r="S17" s="1492"/>
      <c r="T17" s="1492"/>
      <c r="U17" s="1492"/>
      <c r="V17" s="1493"/>
    </row>
    <row r="18" spans="1:22" ht="15.95" customHeight="1">
      <c r="A18" s="1529"/>
      <c r="B18" s="391"/>
      <c r="C18" s="391"/>
      <c r="D18" s="391"/>
      <c r="E18" s="391"/>
      <c r="F18" s="391"/>
      <c r="G18" s="391"/>
      <c r="H18" s="391"/>
      <c r="I18" s="391"/>
      <c r="J18" s="391"/>
      <c r="K18" s="391"/>
      <c r="L18" s="1529"/>
      <c r="M18" s="1491"/>
      <c r="N18" s="1492"/>
      <c r="O18" s="1492"/>
      <c r="P18" s="1492"/>
      <c r="Q18" s="1492"/>
      <c r="R18" s="1492"/>
      <c r="S18" s="1492"/>
      <c r="T18" s="1492"/>
      <c r="U18" s="1492"/>
      <c r="V18" s="1493"/>
    </row>
    <row r="19" spans="1:22" ht="15.95" customHeight="1">
      <c r="A19" s="1529"/>
      <c r="B19" s="391"/>
      <c r="C19" s="391"/>
      <c r="D19" s="391"/>
      <c r="E19" s="391"/>
      <c r="F19" s="391"/>
      <c r="G19" s="391"/>
      <c r="H19" s="391"/>
      <c r="I19" s="391"/>
      <c r="J19" s="391"/>
      <c r="K19" s="391"/>
      <c r="L19" s="1529"/>
      <c r="M19" s="1491"/>
      <c r="N19" s="1492"/>
      <c r="O19" s="1492"/>
      <c r="P19" s="1492"/>
      <c r="Q19" s="1492"/>
      <c r="R19" s="1492"/>
      <c r="S19" s="1492"/>
      <c r="T19" s="1492"/>
      <c r="U19" s="1492"/>
      <c r="V19" s="1493"/>
    </row>
    <row r="20" spans="1:22" ht="15.95" customHeight="1">
      <c r="A20" s="1529"/>
      <c r="B20" s="391"/>
      <c r="C20" s="391"/>
      <c r="D20" s="391"/>
      <c r="E20" s="391"/>
      <c r="F20" s="391"/>
      <c r="G20" s="391"/>
      <c r="H20" s="391"/>
      <c r="I20" s="391"/>
      <c r="J20" s="391"/>
      <c r="K20" s="391"/>
      <c r="L20" s="1529"/>
      <c r="M20" s="1491"/>
      <c r="N20" s="1492"/>
      <c r="O20" s="1492"/>
      <c r="P20" s="1492"/>
      <c r="Q20" s="1492"/>
      <c r="R20" s="1492"/>
      <c r="S20" s="1492"/>
      <c r="T20" s="1492"/>
      <c r="U20" s="1492"/>
      <c r="V20" s="1493"/>
    </row>
    <row r="21" spans="1:22" ht="15.95" customHeight="1">
      <c r="A21" s="1529"/>
      <c r="B21" s="391"/>
      <c r="C21" s="391"/>
      <c r="D21" s="391"/>
      <c r="E21" s="391"/>
      <c r="F21" s="391"/>
      <c r="G21" s="391"/>
      <c r="H21" s="391"/>
      <c r="I21" s="391"/>
      <c r="J21" s="391"/>
      <c r="K21" s="391"/>
      <c r="L21" s="1529"/>
      <c r="M21" s="1491"/>
      <c r="N21" s="1492"/>
      <c r="O21" s="1492"/>
      <c r="P21" s="1492"/>
      <c r="Q21" s="1492"/>
      <c r="R21" s="1492"/>
      <c r="S21" s="1492"/>
      <c r="T21" s="1492"/>
      <c r="U21" s="1492"/>
      <c r="V21" s="1493"/>
    </row>
    <row r="22" spans="1:22" ht="15.95" customHeight="1">
      <c r="A22" s="1529"/>
      <c r="B22" s="391"/>
      <c r="C22" s="391"/>
      <c r="D22" s="391"/>
      <c r="E22" s="391"/>
      <c r="F22" s="391"/>
      <c r="G22" s="391"/>
      <c r="H22" s="391"/>
      <c r="I22" s="391"/>
      <c r="J22" s="391"/>
      <c r="K22" s="391"/>
      <c r="L22" s="1529"/>
      <c r="M22" s="1491"/>
      <c r="N22" s="1492"/>
      <c r="O22" s="1492"/>
      <c r="P22" s="1492"/>
      <c r="Q22" s="1492"/>
      <c r="R22" s="1492"/>
      <c r="S22" s="1492"/>
      <c r="T22" s="1492"/>
      <c r="U22" s="1492"/>
      <c r="V22" s="1493"/>
    </row>
    <row r="23" spans="1:22" ht="15.95" customHeight="1">
      <c r="A23" s="1529"/>
      <c r="B23" s="391"/>
      <c r="C23" s="391"/>
      <c r="D23" s="391"/>
      <c r="E23" s="391"/>
      <c r="F23" s="391"/>
      <c r="G23" s="391"/>
      <c r="H23" s="391"/>
      <c r="I23" s="391"/>
      <c r="J23" s="391"/>
      <c r="K23" s="391"/>
      <c r="L23" s="1529"/>
      <c r="M23" s="1491"/>
      <c r="N23" s="1492"/>
      <c r="O23" s="1492"/>
      <c r="P23" s="1492"/>
      <c r="Q23" s="1492"/>
      <c r="R23" s="1492"/>
      <c r="S23" s="1492"/>
      <c r="T23" s="1492"/>
      <c r="U23" s="1492"/>
      <c r="V23" s="1493"/>
    </row>
    <row r="24" spans="1:22" ht="15.95" customHeight="1">
      <c r="A24" s="1529"/>
      <c r="B24" s="391"/>
      <c r="C24" s="391"/>
      <c r="D24" s="391"/>
      <c r="E24" s="391"/>
      <c r="F24" s="391"/>
      <c r="G24" s="391"/>
      <c r="H24" s="391"/>
      <c r="I24" s="391"/>
      <c r="J24" s="391"/>
      <c r="K24" s="391"/>
      <c r="L24" s="1529"/>
      <c r="M24" s="1491"/>
      <c r="N24" s="1492"/>
      <c r="O24" s="1492"/>
      <c r="P24" s="1492"/>
      <c r="Q24" s="1492"/>
      <c r="R24" s="1492"/>
      <c r="S24" s="1492"/>
      <c r="T24" s="1492"/>
      <c r="U24" s="1492"/>
      <c r="V24" s="1493"/>
    </row>
    <row r="25" spans="1:22" s="373" customFormat="1" ht="15.95" customHeight="1">
      <c r="A25" s="1529"/>
      <c r="B25" s="391"/>
      <c r="C25" s="391"/>
      <c r="D25" s="391"/>
      <c r="E25" s="391"/>
      <c r="F25" s="391"/>
      <c r="G25" s="391"/>
      <c r="H25" s="391"/>
      <c r="I25" s="391"/>
      <c r="J25" s="391"/>
      <c r="K25" s="391"/>
      <c r="L25" s="1529"/>
      <c r="M25" s="1491"/>
      <c r="N25" s="1492"/>
      <c r="O25" s="1492"/>
      <c r="P25" s="1492"/>
      <c r="Q25" s="1492"/>
      <c r="R25" s="1492"/>
      <c r="S25" s="1492"/>
      <c r="T25" s="1492"/>
      <c r="U25" s="1492"/>
      <c r="V25" s="1493"/>
    </row>
    <row r="26" spans="1:22" s="373" customFormat="1" ht="15.95" customHeight="1">
      <c r="A26" s="1529"/>
      <c r="B26" s="391"/>
      <c r="C26" s="391"/>
      <c r="D26" s="391"/>
      <c r="E26" s="391"/>
      <c r="F26" s="391"/>
      <c r="G26" s="391"/>
      <c r="H26" s="391"/>
      <c r="I26" s="391"/>
      <c r="J26" s="391"/>
      <c r="K26" s="391"/>
      <c r="L26" s="1529"/>
      <c r="M26" s="1491"/>
      <c r="N26" s="1492"/>
      <c r="O26" s="1492"/>
      <c r="P26" s="1492"/>
      <c r="Q26" s="1492"/>
      <c r="R26" s="1492"/>
      <c r="S26" s="1492"/>
      <c r="T26" s="1492"/>
      <c r="U26" s="1492"/>
      <c r="V26" s="1493"/>
    </row>
    <row r="27" spans="1:22" s="373" customFormat="1" ht="15.95" customHeight="1">
      <c r="A27" s="1529"/>
      <c r="B27" s="391"/>
      <c r="C27" s="1532"/>
      <c r="D27" s="1532"/>
      <c r="E27" s="1532"/>
      <c r="F27" s="1532"/>
      <c r="G27" s="1532"/>
      <c r="H27" s="1532"/>
      <c r="I27" s="1532"/>
      <c r="J27" s="1532"/>
      <c r="K27" s="391"/>
      <c r="L27" s="1529"/>
      <c r="M27" s="1491"/>
      <c r="N27" s="1492"/>
      <c r="O27" s="1492"/>
      <c r="P27" s="1492"/>
      <c r="Q27" s="1492"/>
      <c r="R27" s="1492"/>
      <c r="S27" s="1492"/>
      <c r="T27" s="1492"/>
      <c r="U27" s="1492"/>
      <c r="V27" s="1493"/>
    </row>
    <row r="28" spans="1:22" s="373" customFormat="1" ht="15.95" customHeight="1">
      <c r="A28" s="1529"/>
      <c r="B28" s="391"/>
      <c r="C28" s="1532"/>
      <c r="D28" s="1532"/>
      <c r="E28" s="1532"/>
      <c r="F28" s="1532"/>
      <c r="G28" s="1532"/>
      <c r="H28" s="1532"/>
      <c r="I28" s="1532"/>
      <c r="J28" s="1532"/>
      <c r="K28" s="391"/>
      <c r="L28" s="1529"/>
      <c r="M28" s="1494"/>
      <c r="N28" s="1495"/>
      <c r="O28" s="1495"/>
      <c r="P28" s="1495"/>
      <c r="Q28" s="1495"/>
      <c r="R28" s="1495"/>
      <c r="S28" s="1495"/>
      <c r="T28" s="1495"/>
      <c r="U28" s="1495"/>
      <c r="V28" s="1496"/>
    </row>
    <row r="29" spans="1:22" s="373" customFormat="1" ht="15.95" customHeight="1">
      <c r="A29" s="1529"/>
      <c r="B29" s="391"/>
      <c r="C29" s="1532"/>
      <c r="D29" s="1532"/>
      <c r="E29" s="1532"/>
      <c r="F29" s="1532"/>
      <c r="G29" s="1532"/>
      <c r="H29" s="1532"/>
      <c r="I29" s="1532"/>
      <c r="J29" s="1532"/>
      <c r="K29" s="391"/>
      <c r="L29" s="1529"/>
      <c r="M29" s="1537" t="s">
        <v>418</v>
      </c>
      <c r="N29" s="1538"/>
      <c r="O29" s="1538"/>
      <c r="P29" s="1538"/>
      <c r="Q29" s="1538"/>
      <c r="R29" s="1538"/>
      <c r="S29" s="1538"/>
      <c r="T29" s="1538"/>
      <c r="U29" s="1538"/>
      <c r="V29" s="1539"/>
    </row>
    <row r="30" spans="1:22" ht="15.95" customHeight="1">
      <c r="A30" s="1529"/>
      <c r="B30" s="391"/>
      <c r="C30" s="1532"/>
      <c r="D30" s="1532"/>
      <c r="E30" s="1532"/>
      <c r="F30" s="1532"/>
      <c r="G30" s="1532"/>
      <c r="H30" s="1532"/>
      <c r="I30" s="1532"/>
      <c r="J30" s="1532"/>
      <c r="K30" s="391"/>
      <c r="L30" s="1529"/>
      <c r="M30" s="1534"/>
      <c r="N30" s="1535"/>
      <c r="O30" s="1535"/>
      <c r="P30" s="1535"/>
      <c r="Q30" s="1535"/>
      <c r="R30" s="1535"/>
      <c r="S30" s="1535"/>
      <c r="T30" s="1535"/>
      <c r="U30" s="1535"/>
      <c r="V30" s="1536"/>
    </row>
    <row r="31" spans="1:22" ht="15.95" customHeight="1">
      <c r="A31" s="1529"/>
      <c r="B31" s="391"/>
      <c r="C31" s="1532"/>
      <c r="D31" s="1532"/>
      <c r="E31" s="1532"/>
      <c r="F31" s="1532"/>
      <c r="G31" s="1532"/>
      <c r="H31" s="1532"/>
      <c r="I31" s="1532"/>
      <c r="J31" s="1532"/>
      <c r="K31" s="391"/>
      <c r="L31" s="1529"/>
      <c r="M31" s="1534"/>
      <c r="N31" s="1535"/>
      <c r="O31" s="1535"/>
      <c r="P31" s="1535"/>
      <c r="Q31" s="1535"/>
      <c r="R31" s="1535"/>
      <c r="S31" s="1535"/>
      <c r="T31" s="1535"/>
      <c r="U31" s="1535"/>
      <c r="V31" s="1536"/>
    </row>
    <row r="32" spans="1:22" ht="15.95" customHeight="1">
      <c r="A32" s="1529"/>
      <c r="B32" s="391"/>
      <c r="C32" s="1532"/>
      <c r="D32" s="1532"/>
      <c r="E32" s="1532"/>
      <c r="F32" s="1532"/>
      <c r="G32" s="1532"/>
      <c r="H32" s="1532"/>
      <c r="I32" s="1532"/>
      <c r="J32" s="1532"/>
      <c r="K32" s="391"/>
      <c r="L32" s="1529"/>
      <c r="M32" s="1540"/>
      <c r="N32" s="1541"/>
      <c r="O32" s="1541"/>
      <c r="P32" s="1541"/>
      <c r="Q32" s="1541"/>
      <c r="R32" s="1541"/>
      <c r="S32" s="1541"/>
      <c r="T32" s="1541"/>
      <c r="U32" s="1541"/>
      <c r="V32" s="1542"/>
    </row>
    <row r="33" spans="1:22" ht="15.95" customHeight="1">
      <c r="A33" s="1529"/>
      <c r="B33" s="391"/>
      <c r="C33" s="1532"/>
      <c r="D33" s="1532"/>
      <c r="E33" s="1532"/>
      <c r="F33" s="1532"/>
      <c r="G33" s="1532"/>
      <c r="H33" s="1532"/>
      <c r="I33" s="1532"/>
      <c r="J33" s="1532"/>
      <c r="K33" s="391"/>
      <c r="L33" s="1529"/>
      <c r="M33" s="1540"/>
      <c r="N33" s="1541"/>
      <c r="O33" s="1541"/>
      <c r="P33" s="1541"/>
      <c r="Q33" s="1541"/>
      <c r="R33" s="1541"/>
      <c r="S33" s="1541"/>
      <c r="T33" s="1541"/>
      <c r="U33" s="1541"/>
      <c r="V33" s="1542"/>
    </row>
    <row r="34" spans="1:22" ht="15.95" customHeight="1">
      <c r="A34" s="1529"/>
      <c r="B34" s="391"/>
      <c r="C34" s="1532"/>
      <c r="D34" s="1532"/>
      <c r="E34" s="1532"/>
      <c r="F34" s="1532"/>
      <c r="G34" s="1532"/>
      <c r="H34" s="1532"/>
      <c r="I34" s="1532"/>
      <c r="J34" s="1532"/>
      <c r="K34" s="391"/>
      <c r="L34" s="1529"/>
      <c r="M34" s="1519"/>
      <c r="N34" s="1520"/>
      <c r="O34" s="1520"/>
      <c r="P34" s="1520"/>
      <c r="Q34" s="1520"/>
      <c r="R34" s="1520"/>
      <c r="S34" s="1520"/>
      <c r="T34" s="1520"/>
      <c r="U34" s="1520"/>
      <c r="V34" s="1521"/>
    </row>
    <row r="35" spans="1:22" ht="15.95" customHeight="1">
      <c r="A35" s="1529"/>
      <c r="B35" s="391"/>
      <c r="C35" s="391"/>
      <c r="D35" s="391"/>
      <c r="E35" s="391"/>
      <c r="F35" s="391"/>
      <c r="G35" s="391"/>
      <c r="H35" s="391"/>
      <c r="I35" s="391"/>
      <c r="J35" s="391"/>
      <c r="K35" s="391"/>
      <c r="L35" s="1529"/>
      <c r="M35" s="1519"/>
      <c r="N35" s="1520"/>
      <c r="O35" s="1520"/>
      <c r="P35" s="1520"/>
      <c r="Q35" s="1520"/>
      <c r="R35" s="1520"/>
      <c r="S35" s="1520"/>
      <c r="T35" s="1520"/>
      <c r="U35" s="1520"/>
      <c r="V35" s="1521"/>
    </row>
    <row r="36" spans="1:22" ht="20.100000000000001" customHeight="1">
      <c r="A36" s="1529"/>
      <c r="B36" s="1530" t="s">
        <v>214</v>
      </c>
      <c r="C36" s="1530"/>
      <c r="D36" s="1530"/>
      <c r="E36" s="1530"/>
      <c r="F36" s="1530"/>
      <c r="G36" s="1530"/>
      <c r="H36" s="1530"/>
      <c r="I36" s="1530"/>
      <c r="J36" s="1530"/>
      <c r="K36" s="1530"/>
      <c r="L36" s="1529"/>
      <c r="M36" s="713" t="str">
        <f>N40</f>
        <v>GA</v>
      </c>
      <c r="N36" s="1525" t="s">
        <v>215</v>
      </c>
      <c r="O36" s="1525"/>
      <c r="P36" s="1525"/>
      <c r="Q36" s="1525"/>
      <c r="R36" s="1525"/>
      <c r="S36" s="1525"/>
      <c r="T36" s="1525"/>
      <c r="U36" s="1525"/>
      <c r="V36" s="713"/>
    </row>
    <row r="37" spans="1:22" ht="18" customHeight="1">
      <c r="A37" s="390"/>
      <c r="B37" s="1515" t="s">
        <v>376</v>
      </c>
      <c r="C37" s="1515"/>
      <c r="D37" s="1515"/>
      <c r="E37" s="1515"/>
      <c r="F37" s="1515"/>
      <c r="G37" s="1515"/>
      <c r="H37" s="1515"/>
      <c r="I37" s="1515"/>
      <c r="J37" s="1515"/>
      <c r="K37" s="1515"/>
      <c r="L37" s="390"/>
      <c r="M37" s="1487" t="s">
        <v>473</v>
      </c>
      <c r="N37" s="1487"/>
      <c r="O37" s="1487"/>
      <c r="P37" s="1487"/>
      <c r="Q37" s="1487"/>
      <c r="R37" s="1487"/>
      <c r="S37" s="1487"/>
      <c r="T37" s="1487"/>
      <c r="U37" s="1487"/>
      <c r="V37" s="1487"/>
    </row>
    <row r="38" spans="1:22" ht="15.95" customHeight="1">
      <c r="A38" s="446"/>
      <c r="B38" s="446"/>
      <c r="C38" s="446"/>
      <c r="D38" s="446"/>
      <c r="E38" s="446"/>
      <c r="F38" s="446"/>
      <c r="G38" s="446"/>
      <c r="H38" s="446"/>
      <c r="I38" s="446"/>
      <c r="J38" s="446"/>
      <c r="K38" s="446"/>
      <c r="L38" s="392"/>
      <c r="M38" s="394"/>
      <c r="N38" s="394"/>
      <c r="O38" s="394"/>
      <c r="P38" s="394"/>
      <c r="Q38" s="393"/>
      <c r="R38" s="393"/>
      <c r="S38" s="393"/>
      <c r="T38" s="393"/>
      <c r="U38" s="393"/>
      <c r="V38" s="393"/>
    </row>
    <row r="39" spans="1:22" ht="15.95" customHeight="1">
      <c r="A39" s="446"/>
      <c r="B39" s="446"/>
      <c r="C39" s="446"/>
      <c r="D39" s="446"/>
      <c r="E39" s="446"/>
      <c r="F39" s="446"/>
      <c r="G39" s="446"/>
      <c r="H39" s="446"/>
      <c r="I39" s="446"/>
      <c r="J39" s="446"/>
      <c r="K39" s="446"/>
      <c r="L39" s="392"/>
      <c r="M39" s="394"/>
      <c r="N39" s="394"/>
      <c r="O39" s="394"/>
      <c r="P39" s="394"/>
      <c r="Q39" s="393"/>
      <c r="R39" s="393"/>
      <c r="S39" s="393"/>
      <c r="T39" s="393"/>
      <c r="U39" s="393"/>
      <c r="V39" s="393"/>
    </row>
    <row r="40" spans="1:22" ht="15.95" customHeight="1">
      <c r="A40" s="446"/>
      <c r="B40" s="446"/>
      <c r="C40" s="1514" t="s">
        <v>479</v>
      </c>
      <c r="D40" s="1514"/>
      <c r="E40" s="1514"/>
      <c r="F40" s="1514"/>
      <c r="G40" s="1514"/>
      <c r="H40" s="1514"/>
      <c r="I40" s="1514"/>
      <c r="J40" s="1514"/>
      <c r="K40" s="446"/>
      <c r="L40" s="392"/>
      <c r="M40" s="394"/>
      <c r="N40" s="593" t="str">
        <f>'FIG3'!W49</f>
        <v>GA</v>
      </c>
      <c r="O40" s="586" t="s">
        <v>151</v>
      </c>
      <c r="P40" s="586" t="s">
        <v>213</v>
      </c>
      <c r="Q40" s="393"/>
      <c r="R40" s="393"/>
      <c r="S40" s="393"/>
      <c r="T40" s="393"/>
      <c r="U40" s="393"/>
      <c r="V40" s="393"/>
    </row>
    <row r="41" spans="1:22" ht="15.95" customHeight="1">
      <c r="A41" s="446"/>
      <c r="B41" s="446"/>
      <c r="C41" s="1514"/>
      <c r="D41" s="1514"/>
      <c r="E41" s="1514"/>
      <c r="F41" s="1514"/>
      <c r="G41" s="1514"/>
      <c r="H41" s="1514"/>
      <c r="I41" s="1514"/>
      <c r="J41" s="1514"/>
      <c r="K41" s="446"/>
      <c r="L41" s="392"/>
      <c r="M41" s="394"/>
      <c r="N41" s="585"/>
      <c r="O41" s="586" t="s">
        <v>174</v>
      </c>
      <c r="P41" s="586" t="s">
        <v>146</v>
      </c>
      <c r="Q41" s="393"/>
      <c r="R41" s="393"/>
      <c r="S41" s="393"/>
      <c r="T41" s="393"/>
      <c r="U41" s="393"/>
      <c r="V41" s="393"/>
    </row>
    <row r="42" spans="1:22" ht="15.95" customHeight="1">
      <c r="A42" s="446"/>
      <c r="B42" s="446"/>
      <c r="C42" s="1514"/>
      <c r="D42" s="1514"/>
      <c r="E42" s="1514"/>
      <c r="F42" s="1514"/>
      <c r="G42" s="1514"/>
      <c r="H42" s="1514"/>
      <c r="I42" s="1514"/>
      <c r="J42" s="1514"/>
      <c r="K42" s="446"/>
      <c r="L42" s="392"/>
      <c r="M42" s="394"/>
      <c r="N42" s="590" t="s">
        <v>165</v>
      </c>
      <c r="O42" s="714">
        <f>'FIG3'!E21</f>
        <v>1534300</v>
      </c>
      <c r="P42" s="715">
        <f>O42/O45</f>
        <v>0.98527829953924451</v>
      </c>
      <c r="Q42" s="393"/>
      <c r="R42" s="393"/>
      <c r="S42" s="393"/>
      <c r="T42" s="393"/>
      <c r="U42" s="393"/>
      <c r="V42" s="393"/>
    </row>
    <row r="43" spans="1:22" ht="15.95" customHeight="1">
      <c r="A43" s="446"/>
      <c r="B43" s="446"/>
      <c r="C43" s="1514"/>
      <c r="D43" s="1514"/>
      <c r="E43" s="1514"/>
      <c r="F43" s="1514"/>
      <c r="G43" s="1514"/>
      <c r="H43" s="1514"/>
      <c r="I43" s="1514"/>
      <c r="J43" s="1514"/>
      <c r="K43" s="446"/>
      <c r="L43" s="392"/>
      <c r="M43" s="394"/>
      <c r="N43" s="590" t="s">
        <v>164</v>
      </c>
      <c r="O43" s="714">
        <f>'FIG3'!E23</f>
        <v>22925</v>
      </c>
      <c r="P43" s="715">
        <f>O43/O45</f>
        <v>1.4721700460755511E-2</v>
      </c>
      <c r="Q43" s="393"/>
      <c r="R43" s="393"/>
      <c r="S43" s="393"/>
      <c r="T43" s="393"/>
      <c r="U43" s="393"/>
      <c r="V43" s="393"/>
    </row>
    <row r="44" spans="1:22" ht="15.95" customHeight="1">
      <c r="A44" s="446"/>
      <c r="B44" s="446"/>
      <c r="C44" s="1514"/>
      <c r="D44" s="1514"/>
      <c r="E44" s="1514"/>
      <c r="F44" s="1514"/>
      <c r="G44" s="1514"/>
      <c r="H44" s="1514"/>
      <c r="I44" s="1514"/>
      <c r="J44" s="1514"/>
      <c r="K44" s="446"/>
      <c r="L44" s="392"/>
      <c r="M44" s="394"/>
      <c r="N44" s="585"/>
      <c r="O44" s="585"/>
      <c r="P44" s="587"/>
      <c r="Q44" s="393"/>
      <c r="R44" s="393"/>
      <c r="S44" s="393"/>
      <c r="T44" s="393"/>
      <c r="U44" s="393"/>
      <c r="V44" s="393"/>
    </row>
    <row r="45" spans="1:22" ht="15.95" customHeight="1">
      <c r="A45" s="446"/>
      <c r="B45" s="446"/>
      <c r="C45" s="1514"/>
      <c r="D45" s="1514"/>
      <c r="E45" s="1514"/>
      <c r="F45" s="1514"/>
      <c r="G45" s="1514"/>
      <c r="H45" s="1514"/>
      <c r="I45" s="1514"/>
      <c r="J45" s="1514"/>
      <c r="K45" s="446"/>
      <c r="L45" s="392"/>
      <c r="M45" s="394"/>
      <c r="N45" s="585" t="s">
        <v>146</v>
      </c>
      <c r="O45" s="588">
        <f>SUM(O42:O44)</f>
        <v>1557225</v>
      </c>
      <c r="P45" s="587"/>
      <c r="Q45" s="393"/>
      <c r="R45" s="393"/>
      <c r="S45" s="393"/>
      <c r="T45" s="393"/>
      <c r="U45" s="393"/>
      <c r="V45" s="393"/>
    </row>
    <row r="46" spans="1:22" ht="15.95" customHeight="1">
      <c r="A46" s="446"/>
      <c r="B46" s="446"/>
      <c r="C46" s="1514"/>
      <c r="D46" s="1514"/>
      <c r="E46" s="1514"/>
      <c r="F46" s="1514"/>
      <c r="G46" s="1514"/>
      <c r="H46" s="1514"/>
      <c r="I46" s="1514"/>
      <c r="J46" s="1514"/>
      <c r="K46" s="446"/>
      <c r="L46" s="392"/>
      <c r="M46" s="394"/>
      <c r="N46" s="393"/>
      <c r="O46" s="393"/>
      <c r="P46" s="393"/>
      <c r="Q46" s="393"/>
      <c r="R46" s="393"/>
      <c r="S46" s="393"/>
      <c r="T46" s="393"/>
      <c r="U46" s="393"/>
      <c r="V46" s="393"/>
    </row>
    <row r="47" spans="1:22" ht="15.95" customHeight="1">
      <c r="A47" s="446"/>
      <c r="B47" s="446"/>
      <c r="C47" s="446"/>
      <c r="D47" s="446"/>
      <c r="E47" s="446"/>
      <c r="F47" s="446"/>
      <c r="G47" s="446"/>
      <c r="H47" s="446"/>
      <c r="I47" s="446"/>
      <c r="J47" s="446"/>
      <c r="K47" s="446"/>
      <c r="L47" s="392"/>
      <c r="M47" s="394"/>
      <c r="N47" s="1497" t="s">
        <v>474</v>
      </c>
      <c r="O47" s="1497"/>
      <c r="P47" s="1497"/>
      <c r="Q47" s="1497"/>
      <c r="R47" s="1497"/>
      <c r="S47" s="1497"/>
      <c r="T47" s="1497"/>
      <c r="U47" s="1497"/>
      <c r="V47" s="393"/>
    </row>
    <row r="48" spans="1:22" ht="15.95" customHeight="1">
      <c r="A48" s="446"/>
      <c r="B48" s="446"/>
      <c r="C48" s="1498" t="s">
        <v>381</v>
      </c>
      <c r="D48" s="1498"/>
      <c r="E48" s="1498"/>
      <c r="F48" s="1498"/>
      <c r="G48" s="1498"/>
      <c r="H48" s="1498"/>
      <c r="I48" s="1498"/>
      <c r="J48" s="1498"/>
      <c r="K48" s="446"/>
      <c r="L48" s="392"/>
      <c r="M48" s="394"/>
      <c r="N48" s="393"/>
      <c r="O48" s="393"/>
      <c r="P48" s="393"/>
      <c r="Q48" s="393"/>
      <c r="R48" s="393"/>
      <c r="S48" s="393"/>
      <c r="T48" s="393"/>
      <c r="U48" s="393"/>
      <c r="V48" s="393"/>
    </row>
    <row r="49" spans="1:22" ht="15.95" customHeight="1">
      <c r="A49" s="446"/>
      <c r="B49" s="446"/>
      <c r="C49" s="1498"/>
      <c r="D49" s="1498"/>
      <c r="E49" s="1498"/>
      <c r="F49" s="1498"/>
      <c r="G49" s="1498"/>
      <c r="H49" s="1498"/>
      <c r="I49" s="1498"/>
      <c r="J49" s="1498"/>
      <c r="K49" s="446"/>
      <c r="L49" s="392"/>
      <c r="M49" s="394"/>
      <c r="N49" s="393"/>
      <c r="O49" s="393"/>
      <c r="P49" s="393"/>
      <c r="Q49" s="393"/>
      <c r="R49" s="393"/>
      <c r="S49" s="393"/>
      <c r="T49" s="393"/>
      <c r="U49" s="393"/>
      <c r="V49" s="393"/>
    </row>
    <row r="50" spans="1:22" ht="15.95" customHeight="1">
      <c r="A50" s="446"/>
      <c r="B50" s="446"/>
      <c r="C50" s="1498"/>
      <c r="D50" s="1498"/>
      <c r="E50" s="1498"/>
      <c r="F50" s="1498"/>
      <c r="G50" s="1498"/>
      <c r="H50" s="1498"/>
      <c r="I50" s="1498"/>
      <c r="J50" s="1498"/>
      <c r="K50" s="446"/>
      <c r="L50" s="392"/>
      <c r="M50" s="394"/>
      <c r="N50" s="393"/>
      <c r="O50" s="393"/>
      <c r="P50" s="393"/>
      <c r="Q50" s="393"/>
      <c r="R50" s="393"/>
      <c r="S50" s="393"/>
      <c r="T50" s="393"/>
      <c r="U50" s="393"/>
      <c r="V50" s="393"/>
    </row>
    <row r="51" spans="1:22" ht="15.95" customHeight="1">
      <c r="A51" s="446"/>
      <c r="B51" s="446"/>
      <c r="C51" s="1498"/>
      <c r="D51" s="1498"/>
      <c r="E51" s="1498"/>
      <c r="F51" s="1498"/>
      <c r="G51" s="1498"/>
      <c r="H51" s="1498"/>
      <c r="I51" s="1498"/>
      <c r="J51" s="1498"/>
      <c r="K51" s="446"/>
      <c r="L51" s="392"/>
      <c r="M51" s="394"/>
      <c r="N51" s="393"/>
      <c r="O51" s="393"/>
      <c r="P51" s="393"/>
      <c r="Q51" s="393"/>
      <c r="R51" s="393"/>
      <c r="S51" s="393"/>
      <c r="T51" s="393"/>
      <c r="U51" s="393"/>
      <c r="V51" s="393"/>
    </row>
    <row r="52" spans="1:22" ht="15.95" customHeight="1">
      <c r="A52" s="446"/>
      <c r="B52" s="446"/>
      <c r="C52" s="1498"/>
      <c r="D52" s="1498"/>
      <c r="E52" s="1498"/>
      <c r="F52" s="1498"/>
      <c r="G52" s="1498"/>
      <c r="H52" s="1498"/>
      <c r="I52" s="1498"/>
      <c r="J52" s="1498"/>
      <c r="K52" s="446"/>
      <c r="L52" s="392"/>
      <c r="M52" s="394"/>
      <c r="N52" s="393"/>
      <c r="O52" s="393"/>
      <c r="P52" s="393"/>
      <c r="Q52" s="393"/>
      <c r="R52" s="393"/>
      <c r="S52" s="393"/>
      <c r="T52" s="393"/>
      <c r="U52" s="393"/>
      <c r="V52" s="393"/>
    </row>
    <row r="53" spans="1:22" ht="15.95" customHeight="1">
      <c r="A53" s="446"/>
      <c r="B53" s="446"/>
      <c r="C53" s="1498"/>
      <c r="D53" s="1498"/>
      <c r="E53" s="1498"/>
      <c r="F53" s="1498"/>
      <c r="G53" s="1498"/>
      <c r="H53" s="1498"/>
      <c r="I53" s="1498"/>
      <c r="J53" s="1498"/>
      <c r="K53" s="446"/>
      <c r="L53" s="392"/>
      <c r="M53" s="394"/>
      <c r="N53" s="393"/>
      <c r="O53" s="393"/>
      <c r="P53" s="393"/>
      <c r="Q53" s="393"/>
      <c r="R53" s="393"/>
      <c r="S53" s="393"/>
      <c r="T53" s="393"/>
      <c r="U53" s="393"/>
      <c r="V53" s="393"/>
    </row>
    <row r="54" spans="1:22" ht="15.95" customHeight="1">
      <c r="A54" s="446"/>
      <c r="B54" s="446"/>
      <c r="C54" s="1498"/>
      <c r="D54" s="1498"/>
      <c r="E54" s="1498"/>
      <c r="F54" s="1498"/>
      <c r="G54" s="1498"/>
      <c r="H54" s="1498"/>
      <c r="I54" s="1498"/>
      <c r="J54" s="1498"/>
      <c r="K54" s="446"/>
      <c r="L54" s="392"/>
      <c r="M54" s="394"/>
      <c r="N54" s="394"/>
      <c r="O54" s="394"/>
      <c r="P54" s="394"/>
      <c r="Q54" s="394"/>
      <c r="R54" s="394"/>
      <c r="S54" s="394"/>
      <c r="T54" s="394"/>
      <c r="U54" s="394"/>
      <c r="V54" s="394"/>
    </row>
    <row r="55" spans="1:22" ht="15.95" customHeight="1">
      <c r="A55" s="446"/>
      <c r="B55" s="446"/>
      <c r="C55" s="418"/>
      <c r="D55" s="418"/>
      <c r="E55" s="418"/>
      <c r="F55" s="418"/>
      <c r="G55" s="418"/>
      <c r="H55" s="418"/>
      <c r="I55" s="418"/>
      <c r="J55" s="418"/>
      <c r="K55" s="446"/>
      <c r="L55" s="392"/>
      <c r="M55" s="394"/>
      <c r="N55" s="394"/>
      <c r="O55" s="394"/>
      <c r="P55" s="394"/>
      <c r="Q55" s="394"/>
      <c r="R55" s="394"/>
      <c r="S55" s="394"/>
      <c r="T55" s="394"/>
      <c r="U55" s="394"/>
      <c r="V55" s="394"/>
    </row>
    <row r="56" spans="1:22" ht="12.95" customHeight="1"/>
    <row r="57" spans="1:22" ht="12.95" customHeight="1"/>
    <row r="58" spans="1:22" ht="12.95" customHeight="1"/>
    <row r="59" spans="1:22" ht="12.95" customHeight="1"/>
    <row r="60" spans="1:22" ht="12.95" customHeight="1"/>
    <row r="61" spans="1:22" ht="12.95" customHeight="1"/>
    <row r="62" spans="1:22" ht="12.95" customHeight="1"/>
    <row r="63" spans="1:22" ht="12.95" customHeight="1"/>
    <row r="64" spans="1:2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C40:J46"/>
    <mergeCell ref="C48:J54"/>
    <mergeCell ref="M32:V32"/>
    <mergeCell ref="M33:V33"/>
    <mergeCell ref="M34:V34"/>
    <mergeCell ref="M35:V35"/>
    <mergeCell ref="B36:K36"/>
    <mergeCell ref="B2:K2"/>
    <mergeCell ref="A2:A36"/>
    <mergeCell ref="L2:L36"/>
    <mergeCell ref="N47:U47"/>
    <mergeCell ref="M1:V1"/>
    <mergeCell ref="C27:J34"/>
    <mergeCell ref="N2:U2"/>
    <mergeCell ref="N36:U36"/>
    <mergeCell ref="M37:V37"/>
    <mergeCell ref="M30:V30"/>
    <mergeCell ref="M31:V31"/>
    <mergeCell ref="M3:V8"/>
    <mergeCell ref="M9:V15"/>
    <mergeCell ref="B37:K37"/>
    <mergeCell ref="M29:V29"/>
    <mergeCell ref="M16:V28"/>
  </mergeCells>
  <phoneticPr fontId="146" type="noConversion"/>
  <pageMargins left="1.25" right="1.25" top="1.25" bottom="1.25" header="0.3" footer="0.3"/>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3:I7667"/>
  <sheetViews>
    <sheetView workbookViewId="0"/>
  </sheetViews>
  <sheetFormatPr defaultColWidth="10.1640625" defaultRowHeight="11.25"/>
  <cols>
    <col min="1" max="1" width="9.33203125" style="1297" customWidth="1"/>
    <col min="2" max="2" width="10" style="1399" customWidth="1"/>
    <col min="3" max="3" width="37.6640625" style="1399" customWidth="1"/>
    <col min="4" max="4" width="115.33203125" style="1399" bestFit="1" customWidth="1"/>
    <col min="5" max="8" width="19" style="1399" bestFit="1" customWidth="1"/>
    <col min="9" max="9" width="20.33203125" style="1399" bestFit="1" customWidth="1"/>
    <col min="10" max="16384" width="10.1640625" style="1297"/>
  </cols>
  <sheetData>
    <row r="3" spans="1:9" ht="47.25">
      <c r="A3" s="1396" t="s">
        <v>894</v>
      </c>
      <c r="B3" s="1396" t="s">
        <v>895</v>
      </c>
      <c r="C3" s="1397" t="s">
        <v>896</v>
      </c>
      <c r="D3" s="1397" t="s">
        <v>897</v>
      </c>
      <c r="E3" s="1398" t="s">
        <v>898</v>
      </c>
      <c r="F3" s="1398" t="s">
        <v>899</v>
      </c>
      <c r="G3" s="1398" t="s">
        <v>900</v>
      </c>
      <c r="H3" s="1398" t="s">
        <v>901</v>
      </c>
      <c r="I3" s="1398" t="s">
        <v>902</v>
      </c>
    </row>
    <row r="4" spans="1:9">
      <c r="A4" s="1297" t="s">
        <v>903</v>
      </c>
      <c r="B4" s="1297" t="s">
        <v>904</v>
      </c>
      <c r="C4" s="1297" t="s">
        <v>905</v>
      </c>
      <c r="D4" s="1297" t="s">
        <v>906</v>
      </c>
      <c r="F4" s="1399">
        <v>10686696</v>
      </c>
      <c r="I4" s="1399">
        <v>10686696</v>
      </c>
    </row>
    <row r="5" spans="1:9">
      <c r="B5" s="1297"/>
      <c r="C5" s="1297"/>
      <c r="D5" s="1297" t="s">
        <v>907</v>
      </c>
      <c r="F5" s="1399">
        <v>3750301.44</v>
      </c>
      <c r="I5" s="1399">
        <v>3750301.44</v>
      </c>
    </row>
    <row r="6" spans="1:9">
      <c r="B6" s="1297"/>
      <c r="C6" s="1297"/>
      <c r="D6" s="1297" t="s">
        <v>908</v>
      </c>
      <c r="F6" s="1399">
        <v>27280.53</v>
      </c>
      <c r="I6" s="1399">
        <v>27280.53</v>
      </c>
    </row>
    <row r="7" spans="1:9">
      <c r="B7" s="1297"/>
      <c r="C7" s="1297"/>
      <c r="D7" s="1297" t="s">
        <v>909</v>
      </c>
      <c r="F7" s="1399">
        <v>23993.57</v>
      </c>
      <c r="I7" s="1399">
        <v>23993.57</v>
      </c>
    </row>
    <row r="8" spans="1:9">
      <c r="B8" s="1297"/>
      <c r="C8" s="1297"/>
      <c r="D8" s="1297" t="s">
        <v>910</v>
      </c>
      <c r="F8" s="1399">
        <v>34092.619999999995</v>
      </c>
      <c r="I8" s="1399">
        <v>34092.619999999995</v>
      </c>
    </row>
    <row r="9" spans="1:9">
      <c r="B9" s="1297"/>
      <c r="C9" s="1297"/>
      <c r="D9" s="1297" t="s">
        <v>1034</v>
      </c>
      <c r="F9" s="1399">
        <v>77843.39</v>
      </c>
      <c r="I9" s="1399">
        <v>77843.39</v>
      </c>
    </row>
    <row r="10" spans="1:9">
      <c r="B10" s="1297"/>
      <c r="C10" s="1297"/>
      <c r="D10" s="1297" t="s">
        <v>1035</v>
      </c>
      <c r="F10" s="1399">
        <v>233640.58</v>
      </c>
      <c r="I10" s="1399">
        <v>233640.58</v>
      </c>
    </row>
    <row r="11" spans="1:9">
      <c r="B11" s="1297"/>
      <c r="C11" s="1297"/>
      <c r="D11" s="1297" t="s">
        <v>1036</v>
      </c>
      <c r="F11" s="1399">
        <v>147273.82999999999</v>
      </c>
      <c r="I11" s="1399">
        <v>147273.82999999999</v>
      </c>
    </row>
    <row r="12" spans="1:9">
      <c r="B12" s="1297"/>
      <c r="C12" s="1297"/>
      <c r="D12" s="1297" t="s">
        <v>1037</v>
      </c>
      <c r="F12" s="1399">
        <v>2950</v>
      </c>
      <c r="I12" s="1399">
        <v>2950</v>
      </c>
    </row>
    <row r="13" spans="1:9">
      <c r="B13" s="1297"/>
      <c r="C13" s="1297"/>
      <c r="D13" s="1297" t="s">
        <v>1038</v>
      </c>
      <c r="F13" s="1399">
        <v>0</v>
      </c>
      <c r="I13" s="1399">
        <v>0</v>
      </c>
    </row>
    <row r="14" spans="1:9">
      <c r="B14" s="1297"/>
      <c r="C14" s="1297"/>
      <c r="D14" s="1297" t="s">
        <v>1039</v>
      </c>
      <c r="F14" s="1399">
        <v>33184.560000000005</v>
      </c>
      <c r="I14" s="1399">
        <v>33184.560000000005</v>
      </c>
    </row>
    <row r="15" spans="1:9">
      <c r="B15" s="1297"/>
      <c r="C15" s="1297"/>
      <c r="D15" s="1297" t="s">
        <v>1040</v>
      </c>
      <c r="F15" s="1399">
        <v>186981.93000000002</v>
      </c>
      <c r="I15" s="1399">
        <v>186981.93000000002</v>
      </c>
    </row>
    <row r="16" spans="1:9">
      <c r="B16" s="1297"/>
      <c r="C16" s="1297"/>
      <c r="D16" s="1297" t="s">
        <v>1041</v>
      </c>
      <c r="F16" s="1399">
        <v>48265.860000000008</v>
      </c>
      <c r="I16" s="1399">
        <v>48265.860000000008</v>
      </c>
    </row>
    <row r="17" spans="2:9">
      <c r="B17" s="1297"/>
      <c r="C17" s="1297"/>
      <c r="D17" s="1297" t="s">
        <v>1042</v>
      </c>
      <c r="F17" s="1399">
        <v>48977.4</v>
      </c>
      <c r="I17" s="1399">
        <v>48977.4</v>
      </c>
    </row>
    <row r="18" spans="2:9">
      <c r="B18" s="1297"/>
      <c r="C18" s="1297"/>
      <c r="D18" s="1297" t="s">
        <v>1043</v>
      </c>
      <c r="F18" s="1399">
        <v>6650</v>
      </c>
      <c r="I18" s="1399">
        <v>6650</v>
      </c>
    </row>
    <row r="19" spans="2:9">
      <c r="B19" s="1297"/>
      <c r="C19" s="1297"/>
      <c r="D19" s="1297" t="s">
        <v>1044</v>
      </c>
      <c r="F19" s="1399">
        <v>23248</v>
      </c>
      <c r="I19" s="1399">
        <v>23248</v>
      </c>
    </row>
    <row r="20" spans="2:9">
      <c r="B20" s="1297"/>
      <c r="C20" s="1297"/>
      <c r="D20" s="1297" t="s">
        <v>1045</v>
      </c>
      <c r="F20" s="1399">
        <v>469019.52</v>
      </c>
      <c r="I20" s="1399">
        <v>469019.52</v>
      </c>
    </row>
    <row r="21" spans="2:9">
      <c r="B21" s="1297"/>
      <c r="C21" s="1297"/>
      <c r="D21" s="1297" t="s">
        <v>1046</v>
      </c>
      <c r="H21" s="1399">
        <v>17376260</v>
      </c>
      <c r="I21" s="1399">
        <v>17376260</v>
      </c>
    </row>
    <row r="22" spans="2:9">
      <c r="B22" s="1297"/>
      <c r="C22" s="1297"/>
      <c r="D22" s="1297" t="s">
        <v>1047</v>
      </c>
      <c r="H22" s="1399">
        <v>713255</v>
      </c>
      <c r="I22" s="1399">
        <v>713255</v>
      </c>
    </row>
    <row r="23" spans="2:9">
      <c r="B23" s="1297"/>
      <c r="C23" s="1297"/>
      <c r="D23" s="1297" t="s">
        <v>1048</v>
      </c>
      <c r="H23" s="1399">
        <v>-2787182</v>
      </c>
      <c r="I23" s="1399">
        <v>-2787182</v>
      </c>
    </row>
    <row r="24" spans="2:9">
      <c r="B24" s="1297"/>
      <c r="C24" s="1297"/>
      <c r="D24" s="1297" t="s">
        <v>932</v>
      </c>
      <c r="H24" s="1399">
        <v>1216807</v>
      </c>
      <c r="I24" s="1399">
        <v>1216807</v>
      </c>
    </row>
    <row r="25" spans="2:9">
      <c r="B25" s="1297"/>
      <c r="C25" s="1297"/>
      <c r="D25" s="1297" t="s">
        <v>933</v>
      </c>
      <c r="H25" s="1399">
        <v>1062324.52</v>
      </c>
      <c r="I25" s="1399">
        <v>1062324.52</v>
      </c>
    </row>
    <row r="26" spans="2:9">
      <c r="B26" s="1297"/>
      <c r="C26" s="1297"/>
      <c r="D26" s="1297" t="s">
        <v>934</v>
      </c>
      <c r="H26" s="1399">
        <v>52237.81</v>
      </c>
      <c r="I26" s="1399">
        <v>52237.81</v>
      </c>
    </row>
    <row r="27" spans="2:9">
      <c r="B27" s="1297"/>
      <c r="C27" s="1297"/>
      <c r="D27" s="1297" t="s">
        <v>935</v>
      </c>
      <c r="H27" s="1399">
        <v>264693.14</v>
      </c>
      <c r="I27" s="1399">
        <v>264693.14</v>
      </c>
    </row>
    <row r="28" spans="2:9">
      <c r="B28" s="1297"/>
      <c r="C28" s="1297"/>
      <c r="D28" s="1297" t="s">
        <v>936</v>
      </c>
      <c r="H28" s="1399">
        <v>51472.13</v>
      </c>
      <c r="I28" s="1399">
        <v>51472.13</v>
      </c>
    </row>
    <row r="29" spans="2:9">
      <c r="B29" s="1297"/>
      <c r="C29" s="1297"/>
      <c r="D29" s="1297" t="s">
        <v>937</v>
      </c>
      <c r="H29" s="1399">
        <v>36549.81</v>
      </c>
      <c r="I29" s="1399">
        <v>36549.81</v>
      </c>
    </row>
    <row r="30" spans="2:9">
      <c r="B30" s="1297"/>
      <c r="C30" s="1297"/>
      <c r="D30" s="1297" t="s">
        <v>938</v>
      </c>
      <c r="H30" s="1399">
        <v>12540</v>
      </c>
      <c r="I30" s="1399">
        <v>12540</v>
      </c>
    </row>
    <row r="31" spans="2:9">
      <c r="B31" s="1297"/>
      <c r="C31" s="1297"/>
      <c r="D31" s="1297" t="s">
        <v>939</v>
      </c>
      <c r="H31" s="1399">
        <v>1000</v>
      </c>
      <c r="I31" s="1399">
        <v>1000</v>
      </c>
    </row>
    <row r="32" spans="2:9">
      <c r="B32" s="1297"/>
      <c r="C32" s="1297"/>
      <c r="D32" s="1297" t="s">
        <v>940</v>
      </c>
      <c r="E32" s="1399">
        <v>876448.45999999985</v>
      </c>
      <c r="I32" s="1399">
        <v>876448.45999999985</v>
      </c>
    </row>
    <row r="33" spans="2:9">
      <c r="B33" s="1297"/>
      <c r="C33" s="1297"/>
      <c r="D33" s="1297" t="s">
        <v>941</v>
      </c>
      <c r="E33" s="1399">
        <v>263269.72000000003</v>
      </c>
      <c r="I33" s="1399">
        <v>263269.72000000003</v>
      </c>
    </row>
    <row r="34" spans="2:9">
      <c r="B34" s="1297"/>
      <c r="C34" s="1297"/>
      <c r="D34" s="1297" t="s">
        <v>942</v>
      </c>
      <c r="E34" s="1399">
        <v>0</v>
      </c>
      <c r="I34" s="1399">
        <v>0</v>
      </c>
    </row>
    <row r="35" spans="2:9">
      <c r="B35" s="1297"/>
      <c r="C35" s="1297"/>
      <c r="D35" s="1297" t="s">
        <v>943</v>
      </c>
      <c r="E35" s="1399">
        <v>717.06</v>
      </c>
      <c r="I35" s="1399">
        <v>717.06</v>
      </c>
    </row>
    <row r="36" spans="2:9">
      <c r="B36" s="1297"/>
      <c r="C36" s="1297"/>
      <c r="D36" s="1297" t="s">
        <v>944</v>
      </c>
      <c r="E36" s="1399">
        <v>2817463.33</v>
      </c>
      <c r="I36" s="1399">
        <v>2817463.33</v>
      </c>
    </row>
    <row r="37" spans="2:9">
      <c r="B37" s="1297"/>
      <c r="C37" s="1297"/>
      <c r="D37" s="1297" t="s">
        <v>945</v>
      </c>
      <c r="E37" s="1399">
        <v>1811018.55</v>
      </c>
      <c r="I37" s="1399">
        <v>1811018.55</v>
      </c>
    </row>
    <row r="38" spans="2:9">
      <c r="B38" s="1297"/>
      <c r="C38" s="1297"/>
      <c r="D38" s="1297" t="s">
        <v>946</v>
      </c>
      <c r="E38" s="1399">
        <v>0</v>
      </c>
      <c r="I38" s="1399">
        <v>0</v>
      </c>
    </row>
    <row r="39" spans="2:9">
      <c r="B39" s="1297"/>
      <c r="C39" s="1297"/>
      <c r="D39" s="1297" t="s">
        <v>947</v>
      </c>
      <c r="E39" s="1399">
        <v>114487.39</v>
      </c>
      <c r="I39" s="1399">
        <v>114487.39</v>
      </c>
    </row>
    <row r="40" spans="2:9">
      <c r="B40" s="1297"/>
      <c r="C40" s="1297"/>
      <c r="D40" s="1297" t="s">
        <v>948</v>
      </c>
      <c r="G40" s="1399">
        <v>7187195.3899999997</v>
      </c>
      <c r="I40" s="1399">
        <v>7187195.3899999997</v>
      </c>
    </row>
    <row r="41" spans="2:9">
      <c r="B41" s="1297"/>
      <c r="C41" s="1400" t="s">
        <v>949</v>
      </c>
      <c r="D41" s="1400"/>
      <c r="E41" s="1401">
        <v>5883404.5099999998</v>
      </c>
      <c r="F41" s="1401">
        <v>15800399.229999999</v>
      </c>
      <c r="G41" s="1401">
        <v>7187195.3899999997</v>
      </c>
      <c r="H41" s="1401">
        <v>17999957.409999996</v>
      </c>
      <c r="I41" s="1401">
        <v>46870956.539999999</v>
      </c>
    </row>
    <row r="42" spans="2:9">
      <c r="B42" s="1297" t="s">
        <v>950</v>
      </c>
      <c r="C42" s="1297" t="s">
        <v>951</v>
      </c>
      <c r="D42" s="1297" t="s">
        <v>906</v>
      </c>
      <c r="F42" s="1399">
        <v>1837307.58</v>
      </c>
      <c r="I42" s="1399">
        <v>1837307.58</v>
      </c>
    </row>
    <row r="43" spans="2:9">
      <c r="B43" s="1297"/>
      <c r="C43" s="1297"/>
      <c r="D43" s="1297" t="s">
        <v>952</v>
      </c>
      <c r="F43" s="1399">
        <v>3470.03</v>
      </c>
      <c r="I43" s="1399">
        <v>3470.03</v>
      </c>
    </row>
    <row r="44" spans="2:9">
      <c r="B44" s="1297"/>
      <c r="C44" s="1297"/>
      <c r="D44" s="1297" t="s">
        <v>907</v>
      </c>
      <c r="F44" s="1399">
        <v>713596.85</v>
      </c>
      <c r="I44" s="1399">
        <v>713596.85</v>
      </c>
    </row>
    <row r="45" spans="2:9">
      <c r="B45" s="1297"/>
      <c r="C45" s="1297"/>
      <c r="D45" s="1297" t="s">
        <v>908</v>
      </c>
      <c r="F45" s="1399">
        <v>9100.58</v>
      </c>
      <c r="I45" s="1399">
        <v>9100.58</v>
      </c>
    </row>
    <row r="46" spans="2:9">
      <c r="B46" s="1297"/>
      <c r="C46" s="1297"/>
      <c r="D46" s="1297" t="s">
        <v>1034</v>
      </c>
      <c r="F46" s="1399">
        <v>17832.099999999999</v>
      </c>
      <c r="I46" s="1399">
        <v>17832.099999999999</v>
      </c>
    </row>
    <row r="47" spans="2:9">
      <c r="B47" s="1297"/>
      <c r="C47" s="1297"/>
      <c r="D47" s="1297" t="s">
        <v>1035</v>
      </c>
      <c r="F47" s="1399">
        <v>173727.84</v>
      </c>
      <c r="I47" s="1399">
        <v>173727.84</v>
      </c>
    </row>
    <row r="48" spans="2:9">
      <c r="B48" s="1297"/>
      <c r="C48" s="1297"/>
      <c r="D48" s="1297" t="s">
        <v>1036</v>
      </c>
      <c r="F48" s="1399">
        <v>48082.75</v>
      </c>
      <c r="I48" s="1399">
        <v>48082.75</v>
      </c>
    </row>
    <row r="49" spans="2:9">
      <c r="B49" s="1297"/>
      <c r="C49" s="1297"/>
      <c r="D49" s="1297" t="s">
        <v>1039</v>
      </c>
      <c r="F49" s="1399">
        <v>1271.2399999999975</v>
      </c>
      <c r="I49" s="1399">
        <v>1271.2399999999975</v>
      </c>
    </row>
    <row r="50" spans="2:9">
      <c r="B50" s="1297"/>
      <c r="C50" s="1297"/>
      <c r="D50" s="1297" t="s">
        <v>1041</v>
      </c>
      <c r="F50" s="1399">
        <v>282.2</v>
      </c>
      <c r="I50" s="1399">
        <v>282.2</v>
      </c>
    </row>
    <row r="51" spans="2:9">
      <c r="B51" s="1297"/>
      <c r="C51" s="1297"/>
      <c r="D51" s="1297" t="s">
        <v>1042</v>
      </c>
      <c r="F51" s="1399">
        <v>10774.25</v>
      </c>
      <c r="I51" s="1399">
        <v>10774.25</v>
      </c>
    </row>
    <row r="52" spans="2:9">
      <c r="B52" s="1297"/>
      <c r="C52" s="1297"/>
      <c r="D52" s="1297" t="s">
        <v>953</v>
      </c>
      <c r="F52" s="1399">
        <v>47980.85</v>
      </c>
      <c r="I52" s="1399">
        <v>47980.85</v>
      </c>
    </row>
    <row r="53" spans="2:9">
      <c r="B53" s="1297"/>
      <c r="C53" s="1297"/>
      <c r="D53" s="1297" t="s">
        <v>954</v>
      </c>
      <c r="F53" s="1399">
        <v>3695.65</v>
      </c>
      <c r="I53" s="1399">
        <v>3695.65</v>
      </c>
    </row>
    <row r="54" spans="2:9">
      <c r="B54" s="1297"/>
      <c r="C54" s="1297"/>
      <c r="D54" s="1297" t="s">
        <v>1044</v>
      </c>
      <c r="F54" s="1399">
        <v>15780</v>
      </c>
      <c r="I54" s="1399">
        <v>15780</v>
      </c>
    </row>
    <row r="55" spans="2:9">
      <c r="B55" s="1297"/>
      <c r="C55" s="1297"/>
      <c r="D55" s="1297" t="s">
        <v>1045</v>
      </c>
      <c r="F55" s="1399">
        <v>174148.6</v>
      </c>
      <c r="I55" s="1399">
        <v>174148.6</v>
      </c>
    </row>
    <row r="56" spans="2:9">
      <c r="B56" s="1297"/>
      <c r="C56" s="1297"/>
      <c r="D56" s="1297" t="s">
        <v>1046</v>
      </c>
      <c r="H56" s="1399">
        <v>8613628</v>
      </c>
      <c r="I56" s="1399">
        <v>8613628</v>
      </c>
    </row>
    <row r="57" spans="2:9">
      <c r="B57" s="1297"/>
      <c r="C57" s="1297"/>
      <c r="D57" s="1297" t="s">
        <v>1047</v>
      </c>
      <c r="H57" s="1399">
        <v>375199</v>
      </c>
      <c r="I57" s="1399">
        <v>375199</v>
      </c>
    </row>
    <row r="58" spans="2:9">
      <c r="B58" s="1297"/>
      <c r="C58" s="1297"/>
      <c r="D58" s="1297" t="s">
        <v>1048</v>
      </c>
      <c r="H58" s="1399">
        <v>-576197</v>
      </c>
      <c r="I58" s="1399">
        <v>-576197</v>
      </c>
    </row>
    <row r="59" spans="2:9">
      <c r="B59" s="1297"/>
      <c r="C59" s="1297"/>
      <c r="D59" s="1297" t="s">
        <v>932</v>
      </c>
      <c r="H59" s="1399">
        <v>1702766</v>
      </c>
      <c r="I59" s="1399">
        <v>1702766</v>
      </c>
    </row>
    <row r="60" spans="2:9">
      <c r="B60" s="1297"/>
      <c r="C60" s="1297"/>
      <c r="D60" s="1297" t="s">
        <v>955</v>
      </c>
      <c r="H60" s="1399">
        <v>468561.5</v>
      </c>
      <c r="I60" s="1399">
        <v>468561.5</v>
      </c>
    </row>
    <row r="61" spans="2:9">
      <c r="B61" s="1297"/>
      <c r="C61" s="1297"/>
      <c r="D61" s="1297" t="s">
        <v>934</v>
      </c>
      <c r="H61" s="1399">
        <v>31348</v>
      </c>
      <c r="I61" s="1399">
        <v>31348</v>
      </c>
    </row>
    <row r="62" spans="2:9">
      <c r="B62" s="1297"/>
      <c r="C62" s="1297"/>
      <c r="D62" s="1297" t="s">
        <v>935</v>
      </c>
      <c r="H62" s="1399">
        <v>204995.96</v>
      </c>
      <c r="I62" s="1399">
        <v>204995.96</v>
      </c>
    </row>
    <row r="63" spans="2:9">
      <c r="B63" s="1297"/>
      <c r="C63" s="1297"/>
      <c r="D63" s="1297" t="s">
        <v>936</v>
      </c>
      <c r="H63" s="1399">
        <v>25560.99</v>
      </c>
      <c r="I63" s="1399">
        <v>25560.99</v>
      </c>
    </row>
    <row r="64" spans="2:9">
      <c r="B64" s="1297"/>
      <c r="C64" s="1297"/>
      <c r="D64" s="1297" t="s">
        <v>937</v>
      </c>
      <c r="H64" s="1399">
        <v>4205.3</v>
      </c>
      <c r="I64" s="1399">
        <v>4205.3</v>
      </c>
    </row>
    <row r="65" spans="2:9">
      <c r="B65" s="1297"/>
      <c r="C65" s="1297"/>
      <c r="D65" s="1297" t="s">
        <v>938</v>
      </c>
      <c r="H65" s="1399">
        <v>8048</v>
      </c>
      <c r="I65" s="1399">
        <v>8048</v>
      </c>
    </row>
    <row r="66" spans="2:9">
      <c r="B66" s="1297"/>
      <c r="C66" s="1297"/>
      <c r="D66" s="1297" t="s">
        <v>939</v>
      </c>
      <c r="H66" s="1399">
        <v>8494.86</v>
      </c>
      <c r="I66" s="1399">
        <v>8494.86</v>
      </c>
    </row>
    <row r="67" spans="2:9">
      <c r="B67" s="1297"/>
      <c r="C67" s="1297"/>
      <c r="D67" s="1297" t="s">
        <v>940</v>
      </c>
      <c r="E67" s="1399">
        <v>566929.36</v>
      </c>
      <c r="I67" s="1399">
        <v>566929.36</v>
      </c>
    </row>
    <row r="68" spans="2:9">
      <c r="B68" s="1297"/>
      <c r="C68" s="1297"/>
      <c r="D68" s="1297" t="s">
        <v>941</v>
      </c>
      <c r="E68" s="1399">
        <v>281741.53999999998</v>
      </c>
      <c r="I68" s="1399">
        <v>281741.53999999998</v>
      </c>
    </row>
    <row r="69" spans="2:9">
      <c r="B69" s="1297"/>
      <c r="C69" s="1297"/>
      <c r="D69" s="1297" t="s">
        <v>942</v>
      </c>
      <c r="E69" s="1399">
        <v>10045.68</v>
      </c>
      <c r="I69" s="1399">
        <v>10045.68</v>
      </c>
    </row>
    <row r="70" spans="2:9">
      <c r="B70" s="1297"/>
      <c r="C70" s="1297"/>
      <c r="D70" s="1297" t="s">
        <v>944</v>
      </c>
      <c r="E70" s="1399">
        <v>1311014.29</v>
      </c>
      <c r="I70" s="1399">
        <v>1311014.29</v>
      </c>
    </row>
    <row r="71" spans="2:9">
      <c r="B71" s="1297"/>
      <c r="C71" s="1297"/>
      <c r="D71" s="1297" t="s">
        <v>945</v>
      </c>
      <c r="E71" s="1399">
        <v>914904.08000000007</v>
      </c>
      <c r="I71" s="1399">
        <v>914904.08000000007</v>
      </c>
    </row>
    <row r="72" spans="2:9">
      <c r="B72" s="1297"/>
      <c r="C72" s="1297"/>
      <c r="D72" s="1297" t="s">
        <v>947</v>
      </c>
      <c r="E72" s="1399">
        <v>28642.85</v>
      </c>
      <c r="I72" s="1399">
        <v>28642.85</v>
      </c>
    </row>
    <row r="73" spans="2:9">
      <c r="B73" s="1297"/>
      <c r="C73" s="1297"/>
      <c r="D73" s="1297" t="s">
        <v>948</v>
      </c>
      <c r="G73" s="1399">
        <v>1542438.0799999998</v>
      </c>
      <c r="I73" s="1399">
        <v>1542438.0799999998</v>
      </c>
    </row>
    <row r="74" spans="2:9">
      <c r="B74" s="1297"/>
      <c r="C74" s="1297"/>
      <c r="D74" s="1297" t="s">
        <v>956</v>
      </c>
      <c r="G74" s="1399">
        <v>53814.5</v>
      </c>
      <c r="I74" s="1399">
        <v>53814.5</v>
      </c>
    </row>
    <row r="75" spans="2:9">
      <c r="B75" s="1297"/>
      <c r="C75" s="1400" t="s">
        <v>957</v>
      </c>
      <c r="D75" s="1400"/>
      <c r="E75" s="1401">
        <v>3113277.8000000003</v>
      </c>
      <c r="F75" s="1401">
        <v>3057050.5200000005</v>
      </c>
      <c r="G75" s="1401">
        <v>1596252.5799999998</v>
      </c>
      <c r="H75" s="1401">
        <v>10866610.610000001</v>
      </c>
      <c r="I75" s="1401">
        <v>18633191.509999998</v>
      </c>
    </row>
    <row r="76" spans="2:9">
      <c r="B76" s="1297" t="s">
        <v>958</v>
      </c>
      <c r="C76" s="1297" t="s">
        <v>959</v>
      </c>
      <c r="D76" s="1297" t="s">
        <v>906</v>
      </c>
      <c r="F76" s="1399">
        <v>2999863.01</v>
      </c>
      <c r="I76" s="1399">
        <v>2999863.01</v>
      </c>
    </row>
    <row r="77" spans="2:9">
      <c r="B77" s="1297"/>
      <c r="C77" s="1297"/>
      <c r="D77" s="1297" t="s">
        <v>952</v>
      </c>
      <c r="F77" s="1399">
        <v>19729.27</v>
      </c>
      <c r="I77" s="1399">
        <v>19729.27</v>
      </c>
    </row>
    <row r="78" spans="2:9">
      <c r="B78" s="1297"/>
      <c r="C78" s="1297"/>
      <c r="D78" s="1297" t="s">
        <v>907</v>
      </c>
      <c r="F78" s="1399">
        <v>1135347.58</v>
      </c>
      <c r="I78" s="1399">
        <v>1135347.58</v>
      </c>
    </row>
    <row r="79" spans="2:9">
      <c r="B79" s="1297"/>
      <c r="C79" s="1297"/>
      <c r="D79" s="1297" t="s">
        <v>908</v>
      </c>
      <c r="F79" s="1399">
        <v>3001.83</v>
      </c>
      <c r="I79" s="1399">
        <v>3001.83</v>
      </c>
    </row>
    <row r="80" spans="2:9">
      <c r="B80" s="1297"/>
      <c r="C80" s="1297"/>
      <c r="D80" s="1297" t="s">
        <v>910</v>
      </c>
      <c r="F80" s="1399">
        <v>58941.630000000005</v>
      </c>
      <c r="I80" s="1399">
        <v>58941.630000000005</v>
      </c>
    </row>
    <row r="81" spans="2:9">
      <c r="B81" s="1297"/>
      <c r="C81" s="1297"/>
      <c r="D81" s="1297" t="s">
        <v>1034</v>
      </c>
      <c r="F81" s="1399">
        <v>41932.089999999997</v>
      </c>
      <c r="I81" s="1399">
        <v>41932.089999999997</v>
      </c>
    </row>
    <row r="82" spans="2:9">
      <c r="B82" s="1297"/>
      <c r="C82" s="1297"/>
      <c r="D82" s="1297" t="s">
        <v>1035</v>
      </c>
      <c r="F82" s="1399">
        <v>214814.93000000002</v>
      </c>
      <c r="I82" s="1399">
        <v>214814.93000000002</v>
      </c>
    </row>
    <row r="83" spans="2:9">
      <c r="B83" s="1297"/>
      <c r="C83" s="1297"/>
      <c r="D83" s="1297" t="s">
        <v>1036</v>
      </c>
      <c r="F83" s="1399">
        <v>65513.55</v>
      </c>
      <c r="I83" s="1399">
        <v>65513.55</v>
      </c>
    </row>
    <row r="84" spans="2:9">
      <c r="B84" s="1297"/>
      <c r="C84" s="1297"/>
      <c r="D84" s="1297" t="s">
        <v>1039</v>
      </c>
      <c r="F84" s="1399">
        <v>25750.31</v>
      </c>
      <c r="I84" s="1399">
        <v>25750.31</v>
      </c>
    </row>
    <row r="85" spans="2:9">
      <c r="B85" s="1297"/>
      <c r="C85" s="1297"/>
      <c r="D85" s="1297" t="s">
        <v>1040</v>
      </c>
      <c r="F85" s="1399">
        <v>155141.71</v>
      </c>
      <c r="I85" s="1399">
        <v>155141.71</v>
      </c>
    </row>
    <row r="86" spans="2:9">
      <c r="B86" s="1297"/>
      <c r="C86" s="1297"/>
      <c r="D86" s="1297" t="s">
        <v>1041</v>
      </c>
      <c r="F86" s="1399">
        <v>51129</v>
      </c>
      <c r="I86" s="1399">
        <v>51129</v>
      </c>
    </row>
    <row r="87" spans="2:9">
      <c r="B87" s="1297"/>
      <c r="C87" s="1297"/>
      <c r="D87" s="1297" t="s">
        <v>1042</v>
      </c>
      <c r="F87" s="1399">
        <v>46950.59</v>
      </c>
      <c r="I87" s="1399">
        <v>46950.59</v>
      </c>
    </row>
    <row r="88" spans="2:9">
      <c r="B88" s="1297"/>
      <c r="C88" s="1297"/>
      <c r="D88" s="1297" t="s">
        <v>953</v>
      </c>
      <c r="F88" s="1399">
        <v>5396.8</v>
      </c>
      <c r="I88" s="1399">
        <v>5396.8</v>
      </c>
    </row>
    <row r="89" spans="2:9">
      <c r="B89" s="1297"/>
      <c r="C89" s="1297"/>
      <c r="D89" s="1297" t="s">
        <v>1045</v>
      </c>
      <c r="F89" s="1399">
        <v>67807.75</v>
      </c>
      <c r="I89" s="1399">
        <v>67807.75</v>
      </c>
    </row>
    <row r="90" spans="2:9">
      <c r="B90" s="1297"/>
      <c r="C90" s="1297"/>
      <c r="D90" s="1297" t="s">
        <v>1046</v>
      </c>
      <c r="H90" s="1399">
        <v>10077693</v>
      </c>
      <c r="I90" s="1399">
        <v>10077693</v>
      </c>
    </row>
    <row r="91" spans="2:9">
      <c r="B91" s="1297"/>
      <c r="C91" s="1297"/>
      <c r="D91" s="1297" t="s">
        <v>1047</v>
      </c>
      <c r="H91" s="1399">
        <v>369396</v>
      </c>
      <c r="I91" s="1399">
        <v>369396</v>
      </c>
    </row>
    <row r="92" spans="2:9">
      <c r="B92" s="1297"/>
      <c r="C92" s="1297"/>
      <c r="D92" s="1297" t="s">
        <v>1048</v>
      </c>
      <c r="H92" s="1399">
        <v>-963626</v>
      </c>
      <c r="I92" s="1399">
        <v>-963626</v>
      </c>
    </row>
    <row r="93" spans="2:9">
      <c r="B93" s="1297"/>
      <c r="C93" s="1297"/>
      <c r="D93" s="1297" t="s">
        <v>932</v>
      </c>
      <c r="H93" s="1399">
        <v>1142589</v>
      </c>
      <c r="I93" s="1399">
        <v>1142589</v>
      </c>
    </row>
    <row r="94" spans="2:9">
      <c r="B94" s="1297"/>
      <c r="C94" s="1297"/>
      <c r="D94" s="1297" t="s">
        <v>955</v>
      </c>
      <c r="H94" s="1399">
        <v>407815.47</v>
      </c>
      <c r="I94" s="1399">
        <v>407815.47</v>
      </c>
    </row>
    <row r="95" spans="2:9">
      <c r="B95" s="1297"/>
      <c r="C95" s="1297"/>
      <c r="D95" s="1297" t="s">
        <v>934</v>
      </c>
      <c r="H95" s="1399">
        <v>27112</v>
      </c>
      <c r="I95" s="1399">
        <v>27112</v>
      </c>
    </row>
    <row r="96" spans="2:9">
      <c r="B96" s="1297"/>
      <c r="C96" s="1297"/>
      <c r="D96" s="1297" t="s">
        <v>935</v>
      </c>
      <c r="H96" s="1399">
        <v>346741.36000000004</v>
      </c>
      <c r="I96" s="1399">
        <v>346741.36000000004</v>
      </c>
    </row>
    <row r="97" spans="2:9">
      <c r="B97" s="1297"/>
      <c r="C97" s="1297"/>
      <c r="D97" s="1297" t="s">
        <v>936</v>
      </c>
      <c r="H97" s="1399">
        <v>28712.34</v>
      </c>
      <c r="I97" s="1399">
        <v>28712.34</v>
      </c>
    </row>
    <row r="98" spans="2:9">
      <c r="B98" s="1297"/>
      <c r="C98" s="1297"/>
      <c r="D98" s="1297" t="s">
        <v>937</v>
      </c>
      <c r="H98" s="1399">
        <v>2230.54</v>
      </c>
      <c r="I98" s="1399">
        <v>2230.54</v>
      </c>
    </row>
    <row r="99" spans="2:9">
      <c r="B99" s="1297"/>
      <c r="C99" s="1297"/>
      <c r="D99" s="1297" t="s">
        <v>938</v>
      </c>
      <c r="H99" s="1399">
        <v>10855</v>
      </c>
      <c r="I99" s="1399">
        <v>10855</v>
      </c>
    </row>
    <row r="100" spans="2:9">
      <c r="B100" s="1297"/>
      <c r="C100" s="1297"/>
      <c r="D100" s="1297" t="s">
        <v>939</v>
      </c>
      <c r="H100" s="1399">
        <v>44252.32</v>
      </c>
      <c r="I100" s="1399">
        <v>44252.32</v>
      </c>
    </row>
    <row r="101" spans="2:9">
      <c r="B101" s="1297"/>
      <c r="C101" s="1297"/>
      <c r="D101" s="1297" t="s">
        <v>940</v>
      </c>
      <c r="E101" s="1399">
        <v>495998.38</v>
      </c>
      <c r="I101" s="1399">
        <v>495998.38</v>
      </c>
    </row>
    <row r="102" spans="2:9">
      <c r="B102" s="1297"/>
      <c r="C102" s="1297"/>
      <c r="D102" s="1297" t="s">
        <v>941</v>
      </c>
      <c r="E102" s="1399">
        <v>154941.85999999999</v>
      </c>
      <c r="I102" s="1399">
        <v>154941.85999999999</v>
      </c>
    </row>
    <row r="103" spans="2:9">
      <c r="B103" s="1297"/>
      <c r="C103" s="1297"/>
      <c r="D103" s="1297" t="s">
        <v>943</v>
      </c>
      <c r="E103" s="1399">
        <v>683.02</v>
      </c>
      <c r="I103" s="1399">
        <v>683.02</v>
      </c>
    </row>
    <row r="104" spans="2:9">
      <c r="B104" s="1297"/>
      <c r="C104" s="1297"/>
      <c r="D104" s="1297" t="s">
        <v>944</v>
      </c>
      <c r="E104" s="1399">
        <v>1375864.61</v>
      </c>
      <c r="I104" s="1399">
        <v>1375864.61</v>
      </c>
    </row>
    <row r="105" spans="2:9">
      <c r="B105" s="1297"/>
      <c r="C105" s="1297"/>
      <c r="D105" s="1297" t="s">
        <v>945</v>
      </c>
      <c r="E105" s="1399">
        <v>733188.51</v>
      </c>
      <c r="I105" s="1399">
        <v>733188.51</v>
      </c>
    </row>
    <row r="106" spans="2:9">
      <c r="B106" s="1297"/>
      <c r="C106" s="1297"/>
      <c r="D106" s="1297" t="s">
        <v>946</v>
      </c>
      <c r="E106" s="1399">
        <v>32964.58</v>
      </c>
      <c r="I106" s="1399">
        <v>32964.58</v>
      </c>
    </row>
    <row r="107" spans="2:9">
      <c r="B107" s="1297"/>
      <c r="C107" s="1297"/>
      <c r="D107" s="1297" t="s">
        <v>947</v>
      </c>
      <c r="E107" s="1399">
        <v>35771.58</v>
      </c>
      <c r="I107" s="1399">
        <v>35771.58</v>
      </c>
    </row>
    <row r="108" spans="2:9">
      <c r="B108" s="1297"/>
      <c r="C108" s="1297"/>
      <c r="D108" s="1297" t="s">
        <v>1115</v>
      </c>
      <c r="E108" s="1399">
        <v>608.28</v>
      </c>
      <c r="I108" s="1399">
        <v>608.28</v>
      </c>
    </row>
    <row r="109" spans="2:9">
      <c r="B109" s="1297"/>
      <c r="C109" s="1297"/>
      <c r="D109" s="1297" t="s">
        <v>1116</v>
      </c>
      <c r="G109" s="1399">
        <v>16600000</v>
      </c>
      <c r="I109" s="1399">
        <v>16600000</v>
      </c>
    </row>
    <row r="110" spans="2:9">
      <c r="B110" s="1297"/>
      <c r="C110" s="1297"/>
      <c r="D110" s="1297" t="s">
        <v>1117</v>
      </c>
      <c r="G110" s="1399">
        <v>104079.9</v>
      </c>
      <c r="I110" s="1399">
        <v>104079.9</v>
      </c>
    </row>
    <row r="111" spans="2:9">
      <c r="B111" s="1297"/>
      <c r="C111" s="1297"/>
      <c r="D111" s="1297" t="s">
        <v>948</v>
      </c>
      <c r="G111" s="1399">
        <v>501947.70999999996</v>
      </c>
      <c r="I111" s="1399">
        <v>501947.70999999996</v>
      </c>
    </row>
    <row r="112" spans="2:9">
      <c r="B112" s="1297"/>
      <c r="C112" s="1297"/>
      <c r="D112" s="1297" t="s">
        <v>1118</v>
      </c>
      <c r="G112" s="1399">
        <v>147944.79999999999</v>
      </c>
      <c r="I112" s="1399">
        <v>147944.79999999999</v>
      </c>
    </row>
    <row r="113" spans="2:9">
      <c r="B113" s="1297"/>
      <c r="C113" s="1400" t="s">
        <v>1119</v>
      </c>
      <c r="D113" s="1400"/>
      <c r="E113" s="1401">
        <v>2830020.82</v>
      </c>
      <c r="F113" s="1401">
        <v>4891320.0499999989</v>
      </c>
      <c r="G113" s="1401">
        <v>17353972.41</v>
      </c>
      <c r="H113" s="1401">
        <v>11493771.029999999</v>
      </c>
      <c r="I113" s="1401">
        <v>36569084.309999987</v>
      </c>
    </row>
    <row r="114" spans="2:9">
      <c r="B114" s="1297" t="s">
        <v>1120</v>
      </c>
      <c r="C114" s="1297" t="s">
        <v>1121</v>
      </c>
      <c r="D114" s="1297" t="s">
        <v>906</v>
      </c>
      <c r="F114" s="1399">
        <v>2168911.9500000002</v>
      </c>
      <c r="I114" s="1399">
        <v>2168911.9500000002</v>
      </c>
    </row>
    <row r="115" spans="2:9">
      <c r="B115" s="1297"/>
      <c r="C115" s="1297"/>
      <c r="D115" s="1297" t="s">
        <v>952</v>
      </c>
      <c r="F115" s="1399">
        <v>491.76</v>
      </c>
      <c r="I115" s="1399">
        <v>491.76</v>
      </c>
    </row>
    <row r="116" spans="2:9">
      <c r="B116" s="1297"/>
      <c r="C116" s="1297"/>
      <c r="D116" s="1297" t="s">
        <v>907</v>
      </c>
      <c r="F116" s="1399">
        <v>281369.73</v>
      </c>
      <c r="I116" s="1399">
        <v>281369.73</v>
      </c>
    </row>
    <row r="117" spans="2:9">
      <c r="B117" s="1297"/>
      <c r="C117" s="1297"/>
      <c r="D117" s="1297" t="s">
        <v>908</v>
      </c>
      <c r="F117" s="1399">
        <v>1697.72</v>
      </c>
      <c r="I117" s="1399">
        <v>1697.72</v>
      </c>
    </row>
    <row r="118" spans="2:9">
      <c r="B118" s="1297"/>
      <c r="C118" s="1297"/>
      <c r="D118" s="1297" t="s">
        <v>1122</v>
      </c>
      <c r="F118" s="1399">
        <v>0</v>
      </c>
      <c r="I118" s="1399">
        <v>0</v>
      </c>
    </row>
    <row r="119" spans="2:9">
      <c r="B119" s="1297"/>
      <c r="C119" s="1297"/>
      <c r="D119" s="1297" t="s">
        <v>1035</v>
      </c>
      <c r="F119" s="1399">
        <v>57540.560000000005</v>
      </c>
      <c r="I119" s="1399">
        <v>57540.560000000005</v>
      </c>
    </row>
    <row r="120" spans="2:9">
      <c r="B120" s="1297"/>
      <c r="C120" s="1297"/>
      <c r="D120" s="1297" t="s">
        <v>1039</v>
      </c>
      <c r="F120" s="1399">
        <v>251.68</v>
      </c>
      <c r="I120" s="1399">
        <v>251.68</v>
      </c>
    </row>
    <row r="121" spans="2:9">
      <c r="B121" s="1297"/>
      <c r="C121" s="1297"/>
      <c r="D121" s="1297" t="s">
        <v>1041</v>
      </c>
      <c r="F121" s="1399">
        <v>6119.9</v>
      </c>
      <c r="I121" s="1399">
        <v>6119.9</v>
      </c>
    </row>
    <row r="122" spans="2:9">
      <c r="B122" s="1297"/>
      <c r="C122" s="1297"/>
      <c r="D122" s="1297" t="s">
        <v>1045</v>
      </c>
      <c r="F122" s="1399">
        <v>58714.079999999994</v>
      </c>
      <c r="I122" s="1399">
        <v>58714.079999999994</v>
      </c>
    </row>
    <row r="123" spans="2:9">
      <c r="B123" s="1297"/>
      <c r="C123" s="1297"/>
      <c r="D123" s="1297" t="s">
        <v>1046</v>
      </c>
      <c r="H123" s="1399">
        <v>2107781</v>
      </c>
      <c r="I123" s="1399">
        <v>2107781</v>
      </c>
    </row>
    <row r="124" spans="2:9">
      <c r="B124" s="1297"/>
      <c r="C124" s="1297"/>
      <c r="D124" s="1297" t="s">
        <v>1047</v>
      </c>
      <c r="H124" s="1399">
        <v>266218</v>
      </c>
      <c r="I124" s="1399">
        <v>266218</v>
      </c>
    </row>
    <row r="125" spans="2:9">
      <c r="B125" s="1297"/>
      <c r="C125" s="1297"/>
      <c r="D125" s="1297" t="s">
        <v>1048</v>
      </c>
      <c r="H125" s="1399">
        <v>-635818</v>
      </c>
      <c r="I125" s="1399">
        <v>-635818</v>
      </c>
    </row>
    <row r="126" spans="2:9">
      <c r="B126" s="1297"/>
      <c r="C126" s="1297"/>
      <c r="D126" s="1297" t="s">
        <v>933</v>
      </c>
      <c r="H126" s="1399">
        <v>89836.85</v>
      </c>
      <c r="I126" s="1399">
        <v>89836.85</v>
      </c>
    </row>
    <row r="127" spans="2:9">
      <c r="B127" s="1297"/>
      <c r="C127" s="1297"/>
      <c r="D127" s="1297" t="s">
        <v>934</v>
      </c>
      <c r="H127" s="1399">
        <v>8762</v>
      </c>
      <c r="I127" s="1399">
        <v>8762</v>
      </c>
    </row>
    <row r="128" spans="2:9">
      <c r="B128" s="1297"/>
      <c r="C128" s="1297"/>
      <c r="D128" s="1297" t="s">
        <v>935</v>
      </c>
      <c r="H128" s="1399">
        <v>128416.31000000001</v>
      </c>
      <c r="I128" s="1399">
        <v>128416.31000000001</v>
      </c>
    </row>
    <row r="129" spans="2:9">
      <c r="B129" s="1297"/>
      <c r="C129" s="1297"/>
      <c r="D129" s="1297" t="s">
        <v>936</v>
      </c>
      <c r="H129" s="1399">
        <v>5602.41</v>
      </c>
      <c r="I129" s="1399">
        <v>5602.41</v>
      </c>
    </row>
    <row r="130" spans="2:9">
      <c r="B130" s="1297"/>
      <c r="C130" s="1297"/>
      <c r="D130" s="1297" t="s">
        <v>938</v>
      </c>
      <c r="H130" s="1399">
        <v>3930</v>
      </c>
      <c r="I130" s="1399">
        <v>3930</v>
      </c>
    </row>
    <row r="131" spans="2:9">
      <c r="B131" s="1297"/>
      <c r="C131" s="1297"/>
      <c r="D131" s="1297" t="s">
        <v>939</v>
      </c>
      <c r="H131" s="1399">
        <v>16856</v>
      </c>
      <c r="I131" s="1399">
        <v>16856</v>
      </c>
    </row>
    <row r="132" spans="2:9">
      <c r="B132" s="1297"/>
      <c r="C132" s="1297"/>
      <c r="D132" s="1297" t="s">
        <v>940</v>
      </c>
      <c r="E132" s="1399">
        <v>130198.8</v>
      </c>
      <c r="I132" s="1399">
        <v>130198.8</v>
      </c>
    </row>
    <row r="133" spans="2:9">
      <c r="B133" s="1297"/>
      <c r="C133" s="1297"/>
      <c r="D133" s="1297" t="s">
        <v>941</v>
      </c>
      <c r="E133" s="1399">
        <v>67276.600000000006</v>
      </c>
      <c r="I133" s="1399">
        <v>67276.600000000006</v>
      </c>
    </row>
    <row r="134" spans="2:9">
      <c r="B134" s="1297"/>
      <c r="C134" s="1297"/>
      <c r="D134" s="1297" t="s">
        <v>944</v>
      </c>
      <c r="E134" s="1399">
        <v>567204.80000000005</v>
      </c>
      <c r="I134" s="1399">
        <v>567204.80000000005</v>
      </c>
    </row>
    <row r="135" spans="2:9">
      <c r="B135" s="1297"/>
      <c r="C135" s="1297"/>
      <c r="D135" s="1297" t="s">
        <v>945</v>
      </c>
      <c r="E135" s="1399">
        <v>114824.69</v>
      </c>
      <c r="I135" s="1399">
        <v>114824.69</v>
      </c>
    </row>
    <row r="136" spans="2:9">
      <c r="B136" s="1297"/>
      <c r="C136" s="1297"/>
      <c r="D136" s="1297" t="s">
        <v>947</v>
      </c>
      <c r="E136" s="1399">
        <v>851.52</v>
      </c>
      <c r="I136" s="1399">
        <v>851.52</v>
      </c>
    </row>
    <row r="137" spans="2:9">
      <c r="B137" s="1297"/>
      <c r="C137" s="1297"/>
      <c r="D137" s="1297" t="s">
        <v>948</v>
      </c>
      <c r="G137" s="1399">
        <v>514427.17000000004</v>
      </c>
      <c r="I137" s="1399">
        <v>514427.17000000004</v>
      </c>
    </row>
    <row r="138" spans="2:9">
      <c r="B138" s="1297"/>
      <c r="C138" s="1400" t="s">
        <v>1123</v>
      </c>
      <c r="D138" s="1400"/>
      <c r="E138" s="1401">
        <v>880356.41000000015</v>
      </c>
      <c r="F138" s="1401">
        <v>2575097.3800000004</v>
      </c>
      <c r="G138" s="1401">
        <v>514427.17000000004</v>
      </c>
      <c r="H138" s="1401">
        <v>1991584.57</v>
      </c>
      <c r="I138" s="1401">
        <v>5961465.5299999993</v>
      </c>
    </row>
    <row r="139" spans="2:9">
      <c r="B139" s="1297" t="s">
        <v>1124</v>
      </c>
      <c r="C139" s="1297" t="s">
        <v>1125</v>
      </c>
      <c r="D139" s="1297" t="s">
        <v>906</v>
      </c>
      <c r="F139" s="1399">
        <v>16305752.029999999</v>
      </c>
      <c r="I139" s="1399">
        <v>16305752.029999999</v>
      </c>
    </row>
    <row r="140" spans="2:9">
      <c r="B140" s="1297"/>
      <c r="C140" s="1297"/>
      <c r="D140" s="1297" t="s">
        <v>1126</v>
      </c>
      <c r="F140" s="1399">
        <v>566338.98</v>
      </c>
      <c r="I140" s="1399">
        <v>566338.98</v>
      </c>
    </row>
    <row r="141" spans="2:9">
      <c r="B141" s="1297"/>
      <c r="C141" s="1297"/>
      <c r="D141" s="1297" t="s">
        <v>952</v>
      </c>
      <c r="F141" s="1399">
        <v>175843.42</v>
      </c>
      <c r="I141" s="1399">
        <v>175843.42</v>
      </c>
    </row>
    <row r="142" spans="2:9">
      <c r="B142" s="1297"/>
      <c r="C142" s="1297"/>
      <c r="D142" s="1297" t="s">
        <v>907</v>
      </c>
      <c r="F142" s="1399">
        <v>5816712.5700000003</v>
      </c>
      <c r="I142" s="1399">
        <v>5816712.5700000003</v>
      </c>
    </row>
    <row r="143" spans="2:9">
      <c r="B143" s="1297"/>
      <c r="C143" s="1297"/>
      <c r="D143" s="1297" t="s">
        <v>908</v>
      </c>
      <c r="F143" s="1399">
        <v>20118.79</v>
      </c>
      <c r="I143" s="1399">
        <v>20118.79</v>
      </c>
    </row>
    <row r="144" spans="2:9">
      <c r="B144" s="1297"/>
      <c r="C144" s="1297"/>
      <c r="D144" s="1297" t="s">
        <v>909</v>
      </c>
      <c r="F144" s="1399">
        <v>72755.05</v>
      </c>
      <c r="I144" s="1399">
        <v>72755.05</v>
      </c>
    </row>
    <row r="145" spans="2:9">
      <c r="B145" s="1297"/>
      <c r="C145" s="1297"/>
      <c r="D145" s="1297" t="s">
        <v>910</v>
      </c>
      <c r="F145" s="1399">
        <v>20988.53</v>
      </c>
      <c r="I145" s="1399">
        <v>20988.53</v>
      </c>
    </row>
    <row r="146" spans="2:9">
      <c r="B146" s="1297"/>
      <c r="C146" s="1297"/>
      <c r="D146" s="1297" t="s">
        <v>1034</v>
      </c>
      <c r="F146" s="1399">
        <v>23011.48</v>
      </c>
      <c r="I146" s="1399">
        <v>23011.48</v>
      </c>
    </row>
    <row r="147" spans="2:9">
      <c r="B147" s="1297"/>
      <c r="C147" s="1297"/>
      <c r="D147" s="1297" t="s">
        <v>1035</v>
      </c>
      <c r="F147" s="1399">
        <v>407783.87</v>
      </c>
      <c r="I147" s="1399">
        <v>407783.87</v>
      </c>
    </row>
    <row r="148" spans="2:9">
      <c r="B148" s="1297"/>
      <c r="C148" s="1297"/>
      <c r="D148" s="1297" t="s">
        <v>1036</v>
      </c>
      <c r="F148" s="1399">
        <v>104413.37</v>
      </c>
      <c r="I148" s="1399">
        <v>104413.37</v>
      </c>
    </row>
    <row r="149" spans="2:9">
      <c r="B149" s="1297"/>
      <c r="C149" s="1297"/>
      <c r="D149" s="1297" t="s">
        <v>1037</v>
      </c>
      <c r="F149" s="1399">
        <v>11373.74</v>
      </c>
      <c r="I149" s="1399">
        <v>11373.74</v>
      </c>
    </row>
    <row r="150" spans="2:9">
      <c r="B150" s="1297"/>
      <c r="C150" s="1297"/>
      <c r="D150" s="1297" t="s">
        <v>1039</v>
      </c>
      <c r="F150" s="1399">
        <v>79251.140000000014</v>
      </c>
      <c r="I150" s="1399">
        <v>79251.140000000014</v>
      </c>
    </row>
    <row r="151" spans="2:9">
      <c r="B151" s="1297"/>
      <c r="C151" s="1297"/>
      <c r="D151" s="1297" t="s">
        <v>1040</v>
      </c>
      <c r="F151" s="1399">
        <v>266536.25</v>
      </c>
      <c r="I151" s="1399">
        <v>266536.25</v>
      </c>
    </row>
    <row r="152" spans="2:9">
      <c r="B152" s="1297"/>
      <c r="C152" s="1297"/>
      <c r="D152" s="1297" t="s">
        <v>1127</v>
      </c>
      <c r="F152" s="1399">
        <v>10694.39</v>
      </c>
      <c r="I152" s="1399">
        <v>10694.39</v>
      </c>
    </row>
    <row r="153" spans="2:9">
      <c r="B153" s="1297"/>
      <c r="C153" s="1297"/>
      <c r="D153" s="1297" t="s">
        <v>1041</v>
      </c>
      <c r="F153" s="1399">
        <v>68579.009999999995</v>
      </c>
      <c r="I153" s="1399">
        <v>68579.009999999995</v>
      </c>
    </row>
    <row r="154" spans="2:9">
      <c r="B154" s="1297"/>
      <c r="C154" s="1297"/>
      <c r="D154" s="1297" t="s">
        <v>1042</v>
      </c>
      <c r="F154" s="1399">
        <v>85881.61</v>
      </c>
      <c r="I154" s="1399">
        <v>85881.61</v>
      </c>
    </row>
    <row r="155" spans="2:9">
      <c r="B155" s="1297"/>
      <c r="C155" s="1297"/>
      <c r="D155" s="1297" t="s">
        <v>1044</v>
      </c>
      <c r="F155" s="1399">
        <v>30225.4</v>
      </c>
      <c r="I155" s="1399">
        <v>30225.4</v>
      </c>
    </row>
    <row r="156" spans="2:9">
      <c r="B156" s="1297"/>
      <c r="C156" s="1297"/>
      <c r="D156" s="1297" t="s">
        <v>1045</v>
      </c>
      <c r="F156" s="1399">
        <v>696116.64</v>
      </c>
      <c r="I156" s="1399">
        <v>696116.64</v>
      </c>
    </row>
    <row r="157" spans="2:9">
      <c r="B157" s="1297"/>
      <c r="C157" s="1297"/>
      <c r="D157" s="1297" t="s">
        <v>1046</v>
      </c>
      <c r="H157" s="1399">
        <v>29655306</v>
      </c>
      <c r="I157" s="1399">
        <v>29655306</v>
      </c>
    </row>
    <row r="158" spans="2:9">
      <c r="B158" s="1297"/>
      <c r="C158" s="1297"/>
      <c r="D158" s="1297" t="s">
        <v>1128</v>
      </c>
      <c r="H158" s="1399">
        <v>1687393</v>
      </c>
      <c r="I158" s="1399">
        <v>1687393</v>
      </c>
    </row>
    <row r="159" spans="2:9">
      <c r="B159" s="1297"/>
      <c r="C159" s="1297"/>
      <c r="D159" s="1297" t="s">
        <v>1129</v>
      </c>
      <c r="H159" s="1399">
        <v>-3975627</v>
      </c>
      <c r="I159" s="1399">
        <v>-3975627</v>
      </c>
    </row>
    <row r="160" spans="2:9">
      <c r="B160" s="1297"/>
      <c r="C160" s="1297"/>
      <c r="D160" s="1297" t="s">
        <v>1047</v>
      </c>
      <c r="H160" s="1399">
        <v>909501</v>
      </c>
      <c r="I160" s="1399">
        <v>909501</v>
      </c>
    </row>
    <row r="161" spans="2:9">
      <c r="B161" s="1297"/>
      <c r="C161" s="1297"/>
      <c r="D161" s="1297" t="s">
        <v>1048</v>
      </c>
      <c r="H161" s="1399">
        <v>-5280449</v>
      </c>
      <c r="I161" s="1399">
        <v>-5280449</v>
      </c>
    </row>
    <row r="162" spans="2:9">
      <c r="B162" s="1297"/>
      <c r="C162" s="1297"/>
      <c r="D162" s="1297" t="s">
        <v>932</v>
      </c>
      <c r="H162" s="1399">
        <v>845574</v>
      </c>
      <c r="I162" s="1399">
        <v>845574</v>
      </c>
    </row>
    <row r="163" spans="2:9">
      <c r="B163" s="1297"/>
      <c r="C163" s="1297"/>
      <c r="D163" s="1297" t="s">
        <v>955</v>
      </c>
      <c r="H163" s="1399">
        <v>651235.55000000005</v>
      </c>
      <c r="I163" s="1399">
        <v>651235.55000000005</v>
      </c>
    </row>
    <row r="164" spans="2:9">
      <c r="B164" s="1297"/>
      <c r="C164" s="1297"/>
      <c r="D164" s="1297" t="s">
        <v>934</v>
      </c>
      <c r="H164" s="1399">
        <v>91298</v>
      </c>
      <c r="I164" s="1399">
        <v>91298</v>
      </c>
    </row>
    <row r="165" spans="2:9">
      <c r="B165" s="1297"/>
      <c r="C165" s="1297"/>
      <c r="D165" s="1297" t="s">
        <v>1130</v>
      </c>
      <c r="H165" s="1399">
        <v>2162142.9</v>
      </c>
      <c r="I165" s="1399">
        <v>2162142.9</v>
      </c>
    </row>
    <row r="166" spans="2:9">
      <c r="B166" s="1297"/>
      <c r="C166" s="1297"/>
      <c r="D166" s="1297" t="s">
        <v>935</v>
      </c>
      <c r="H166" s="1399">
        <v>499795.94</v>
      </c>
      <c r="I166" s="1399">
        <v>499795.94</v>
      </c>
    </row>
    <row r="167" spans="2:9">
      <c r="B167" s="1297"/>
      <c r="C167" s="1297"/>
      <c r="D167" s="1297" t="s">
        <v>936</v>
      </c>
      <c r="H167" s="1399">
        <v>85436.73</v>
      </c>
      <c r="I167" s="1399">
        <v>85436.73</v>
      </c>
    </row>
    <row r="168" spans="2:9">
      <c r="B168" s="1297"/>
      <c r="C168" s="1297"/>
      <c r="D168" s="1297" t="s">
        <v>937</v>
      </c>
      <c r="H168" s="1399">
        <v>14741.36</v>
      </c>
      <c r="I168" s="1399">
        <v>14741.36</v>
      </c>
    </row>
    <row r="169" spans="2:9">
      <c r="B169" s="1297"/>
      <c r="C169" s="1297"/>
      <c r="D169" s="1297" t="s">
        <v>938</v>
      </c>
      <c r="H169" s="1399">
        <v>27887</v>
      </c>
      <c r="I169" s="1399">
        <v>27887</v>
      </c>
    </row>
    <row r="170" spans="2:9">
      <c r="B170" s="1297"/>
      <c r="C170" s="1297"/>
      <c r="D170" s="1297" t="s">
        <v>939</v>
      </c>
      <c r="H170" s="1399">
        <v>208819.97</v>
      </c>
      <c r="I170" s="1399">
        <v>208819.97</v>
      </c>
    </row>
    <row r="171" spans="2:9">
      <c r="B171" s="1297"/>
      <c r="C171" s="1297"/>
      <c r="D171" s="1297" t="s">
        <v>1131</v>
      </c>
      <c r="E171" s="1399">
        <v>1544471.18</v>
      </c>
      <c r="I171" s="1399">
        <v>1544471.18</v>
      </c>
    </row>
    <row r="172" spans="2:9">
      <c r="B172" s="1297"/>
      <c r="C172" s="1297"/>
      <c r="D172" s="1297" t="s">
        <v>940</v>
      </c>
      <c r="E172" s="1399">
        <v>1829411.81</v>
      </c>
      <c r="I172" s="1399">
        <v>1829411.81</v>
      </c>
    </row>
    <row r="173" spans="2:9">
      <c r="B173" s="1297"/>
      <c r="C173" s="1297"/>
      <c r="D173" s="1297" t="s">
        <v>941</v>
      </c>
      <c r="E173" s="1399">
        <v>645802.64</v>
      </c>
      <c r="I173" s="1399">
        <v>645802.64</v>
      </c>
    </row>
    <row r="174" spans="2:9">
      <c r="B174" s="1297"/>
      <c r="C174" s="1297"/>
      <c r="D174" s="1297" t="s">
        <v>943</v>
      </c>
      <c r="E174" s="1399">
        <v>79429.38</v>
      </c>
      <c r="I174" s="1399">
        <v>79429.38</v>
      </c>
    </row>
    <row r="175" spans="2:9">
      <c r="B175" s="1297"/>
      <c r="C175" s="1297"/>
      <c r="D175" s="1297" t="s">
        <v>944</v>
      </c>
      <c r="E175" s="1399">
        <v>4769656.8099999996</v>
      </c>
      <c r="I175" s="1399">
        <v>4769656.8099999996</v>
      </c>
    </row>
    <row r="176" spans="2:9">
      <c r="B176" s="1297"/>
      <c r="C176" s="1297"/>
      <c r="D176" s="1297" t="s">
        <v>945</v>
      </c>
      <c r="E176" s="1399">
        <v>2565760.3600000003</v>
      </c>
      <c r="I176" s="1399">
        <v>2565760.3600000003</v>
      </c>
    </row>
    <row r="177" spans="2:9">
      <c r="B177" s="1297"/>
      <c r="C177" s="1297"/>
      <c r="D177" s="1297" t="s">
        <v>946</v>
      </c>
      <c r="E177" s="1399">
        <v>36667.71</v>
      </c>
      <c r="I177" s="1399">
        <v>36667.71</v>
      </c>
    </row>
    <row r="178" spans="2:9">
      <c r="B178" s="1297"/>
      <c r="C178" s="1297"/>
      <c r="D178" s="1297" t="s">
        <v>978</v>
      </c>
      <c r="E178" s="1399">
        <v>39886.57</v>
      </c>
      <c r="I178" s="1399">
        <v>39886.57</v>
      </c>
    </row>
    <row r="179" spans="2:9">
      <c r="B179" s="1297"/>
      <c r="C179" s="1297"/>
      <c r="D179" s="1297" t="s">
        <v>947</v>
      </c>
      <c r="E179" s="1399">
        <v>133753.35</v>
      </c>
      <c r="I179" s="1399">
        <v>133753.35</v>
      </c>
    </row>
    <row r="180" spans="2:9">
      <c r="B180" s="1297"/>
      <c r="C180" s="1297"/>
      <c r="D180" s="1297" t="s">
        <v>948</v>
      </c>
      <c r="G180" s="1399">
        <v>4925000</v>
      </c>
      <c r="I180" s="1399">
        <v>4925000</v>
      </c>
    </row>
    <row r="181" spans="2:9">
      <c r="B181" s="1297"/>
      <c r="C181" s="1297"/>
      <c r="D181" s="1297" t="s">
        <v>1118</v>
      </c>
      <c r="G181" s="1399">
        <v>7365</v>
      </c>
      <c r="I181" s="1399">
        <v>7365</v>
      </c>
    </row>
    <row r="182" spans="2:9">
      <c r="B182" s="1297"/>
      <c r="C182" s="1400" t="s">
        <v>979</v>
      </c>
      <c r="D182" s="1400"/>
      <c r="E182" s="1401">
        <v>11644839.810000001</v>
      </c>
      <c r="F182" s="1401">
        <v>24762376.270000003</v>
      </c>
      <c r="G182" s="1401">
        <v>4932365</v>
      </c>
      <c r="H182" s="1401">
        <v>27583055.449999999</v>
      </c>
      <c r="I182" s="1401">
        <v>68922636.530000001</v>
      </c>
    </row>
    <row r="183" spans="2:9">
      <c r="B183" s="1297" t="s">
        <v>980</v>
      </c>
      <c r="C183" s="1297" t="s">
        <v>981</v>
      </c>
      <c r="D183" s="1297" t="s">
        <v>906</v>
      </c>
      <c r="F183" s="1399">
        <v>7433526.8499999996</v>
      </c>
      <c r="I183" s="1399">
        <v>7433526.8499999996</v>
      </c>
    </row>
    <row r="184" spans="2:9">
      <c r="B184" s="1297"/>
      <c r="C184" s="1297"/>
      <c r="D184" s="1297" t="s">
        <v>952</v>
      </c>
      <c r="F184" s="1399">
        <v>77954.91</v>
      </c>
      <c r="I184" s="1399">
        <v>77954.91</v>
      </c>
    </row>
    <row r="185" spans="2:9">
      <c r="B185" s="1297"/>
      <c r="C185" s="1297"/>
      <c r="D185" s="1297" t="s">
        <v>907</v>
      </c>
      <c r="F185" s="1399">
        <v>2643762.33</v>
      </c>
      <c r="I185" s="1399">
        <v>2643762.33</v>
      </c>
    </row>
    <row r="186" spans="2:9">
      <c r="B186" s="1297"/>
      <c r="C186" s="1297"/>
      <c r="D186" s="1297" t="s">
        <v>1034</v>
      </c>
      <c r="F186" s="1399">
        <v>4527.59</v>
      </c>
      <c r="I186" s="1399">
        <v>4527.59</v>
      </c>
    </row>
    <row r="187" spans="2:9">
      <c r="B187" s="1297"/>
      <c r="C187" s="1297"/>
      <c r="D187" s="1297" t="s">
        <v>1035</v>
      </c>
      <c r="F187" s="1399">
        <v>445058.65</v>
      </c>
      <c r="I187" s="1399">
        <v>445058.65</v>
      </c>
    </row>
    <row r="188" spans="2:9">
      <c r="B188" s="1297"/>
      <c r="C188" s="1297"/>
      <c r="D188" s="1297" t="s">
        <v>1036</v>
      </c>
      <c r="F188" s="1399">
        <v>111567.26</v>
      </c>
      <c r="I188" s="1399">
        <v>111567.26</v>
      </c>
    </row>
    <row r="189" spans="2:9">
      <c r="B189" s="1297"/>
      <c r="C189" s="1297"/>
      <c r="D189" s="1297" t="s">
        <v>1039</v>
      </c>
      <c r="F189" s="1399">
        <v>43547.589999999989</v>
      </c>
      <c r="I189" s="1399">
        <v>43547.589999999989</v>
      </c>
    </row>
    <row r="190" spans="2:9">
      <c r="B190" s="1297"/>
      <c r="C190" s="1297"/>
      <c r="D190" s="1297" t="s">
        <v>1040</v>
      </c>
      <c r="F190" s="1399">
        <v>279289.12</v>
      </c>
      <c r="I190" s="1399">
        <v>279289.12</v>
      </c>
    </row>
    <row r="191" spans="2:9">
      <c r="B191" s="1297"/>
      <c r="C191" s="1297"/>
      <c r="D191" s="1297" t="s">
        <v>1041</v>
      </c>
      <c r="F191" s="1399">
        <v>19630.689999999999</v>
      </c>
      <c r="I191" s="1399">
        <v>19630.689999999999</v>
      </c>
    </row>
    <row r="192" spans="2:9">
      <c r="B192" s="1297"/>
      <c r="C192" s="1297"/>
      <c r="D192" s="1297" t="s">
        <v>1042</v>
      </c>
      <c r="F192" s="1399">
        <v>33373.25</v>
      </c>
      <c r="I192" s="1399">
        <v>33373.25</v>
      </c>
    </row>
    <row r="193" spans="2:9">
      <c r="B193" s="1297"/>
      <c r="C193" s="1297"/>
      <c r="D193" s="1297" t="s">
        <v>1043</v>
      </c>
      <c r="F193" s="1399">
        <v>1300</v>
      </c>
      <c r="I193" s="1399">
        <v>1300</v>
      </c>
    </row>
    <row r="194" spans="2:9">
      <c r="B194" s="1297"/>
      <c r="C194" s="1297"/>
      <c r="D194" s="1297" t="s">
        <v>1044</v>
      </c>
      <c r="F194" s="1399">
        <v>16237.93</v>
      </c>
      <c r="I194" s="1399">
        <v>16237.93</v>
      </c>
    </row>
    <row r="195" spans="2:9">
      <c r="B195" s="1297"/>
      <c r="C195" s="1297"/>
      <c r="D195" s="1297" t="s">
        <v>1045</v>
      </c>
      <c r="F195" s="1399">
        <v>331351.09999999998</v>
      </c>
      <c r="I195" s="1399">
        <v>331351.09999999998</v>
      </c>
    </row>
    <row r="196" spans="2:9">
      <c r="B196" s="1297"/>
      <c r="C196" s="1297"/>
      <c r="D196" s="1297" t="s">
        <v>1046</v>
      </c>
      <c r="H196" s="1399">
        <v>11680500</v>
      </c>
      <c r="I196" s="1399">
        <v>11680500</v>
      </c>
    </row>
    <row r="197" spans="2:9">
      <c r="B197" s="1297"/>
      <c r="C197" s="1297"/>
      <c r="D197" s="1297" t="s">
        <v>1047</v>
      </c>
      <c r="H197" s="1399">
        <v>474791</v>
      </c>
      <c r="I197" s="1399">
        <v>474791</v>
      </c>
    </row>
    <row r="198" spans="2:9">
      <c r="B198" s="1297"/>
      <c r="C198" s="1297"/>
      <c r="D198" s="1297" t="s">
        <v>1048</v>
      </c>
      <c r="H198" s="1399">
        <v>0</v>
      </c>
      <c r="I198" s="1399">
        <v>0</v>
      </c>
    </row>
    <row r="199" spans="2:9">
      <c r="B199" s="1297"/>
      <c r="C199" s="1297"/>
      <c r="D199" s="1297" t="s">
        <v>932</v>
      </c>
      <c r="H199" s="1399">
        <v>250145</v>
      </c>
      <c r="I199" s="1399">
        <v>250145</v>
      </c>
    </row>
    <row r="200" spans="2:9">
      <c r="B200" s="1297"/>
      <c r="C200" s="1297"/>
      <c r="D200" s="1297" t="s">
        <v>934</v>
      </c>
      <c r="H200" s="1399">
        <v>46246</v>
      </c>
      <c r="I200" s="1399">
        <v>46246</v>
      </c>
    </row>
    <row r="201" spans="2:9">
      <c r="B201" s="1297"/>
      <c r="C201" s="1297"/>
      <c r="D201" s="1297" t="s">
        <v>935</v>
      </c>
      <c r="H201" s="1399">
        <v>855542.6</v>
      </c>
      <c r="I201" s="1399">
        <v>855542.6</v>
      </c>
    </row>
    <row r="202" spans="2:9">
      <c r="B202" s="1297"/>
      <c r="C202" s="1297"/>
      <c r="D202" s="1297" t="s">
        <v>936</v>
      </c>
      <c r="H202" s="1399">
        <v>46920.17</v>
      </c>
      <c r="I202" s="1399">
        <v>46920.17</v>
      </c>
    </row>
    <row r="203" spans="2:9">
      <c r="B203" s="1297"/>
      <c r="C203" s="1297"/>
      <c r="D203" s="1297" t="s">
        <v>937</v>
      </c>
      <c r="H203" s="1399">
        <v>9981.09</v>
      </c>
      <c r="I203" s="1399">
        <v>9981.09</v>
      </c>
    </row>
    <row r="204" spans="2:9">
      <c r="B204" s="1297"/>
      <c r="C204" s="1297"/>
      <c r="D204" s="1297" t="s">
        <v>938</v>
      </c>
      <c r="H204" s="1399">
        <v>16844</v>
      </c>
      <c r="I204" s="1399">
        <v>16844</v>
      </c>
    </row>
    <row r="205" spans="2:9">
      <c r="B205" s="1297"/>
      <c r="C205" s="1297"/>
      <c r="D205" s="1297" t="s">
        <v>939</v>
      </c>
      <c r="H205" s="1399">
        <v>487.1</v>
      </c>
      <c r="I205" s="1399">
        <v>487.1</v>
      </c>
    </row>
    <row r="206" spans="2:9">
      <c r="B206" s="1297"/>
      <c r="C206" s="1297"/>
      <c r="D206" s="1297" t="s">
        <v>940</v>
      </c>
      <c r="E206" s="1399">
        <v>741422.42</v>
      </c>
      <c r="I206" s="1399">
        <v>741422.42</v>
      </c>
    </row>
    <row r="207" spans="2:9">
      <c r="B207" s="1297"/>
      <c r="C207" s="1297"/>
      <c r="D207" s="1297" t="s">
        <v>941</v>
      </c>
      <c r="E207" s="1399">
        <v>260682.48</v>
      </c>
      <c r="I207" s="1399">
        <v>260682.48</v>
      </c>
    </row>
    <row r="208" spans="2:9">
      <c r="B208" s="1297"/>
      <c r="C208" s="1297"/>
      <c r="D208" s="1297" t="s">
        <v>943</v>
      </c>
      <c r="E208" s="1399">
        <v>13271.9</v>
      </c>
      <c r="I208" s="1399">
        <v>13271.9</v>
      </c>
    </row>
    <row r="209" spans="2:9">
      <c r="B209" s="1297"/>
      <c r="C209" s="1297"/>
      <c r="D209" s="1297" t="s">
        <v>944</v>
      </c>
      <c r="E209" s="1399">
        <v>2592156.7200000002</v>
      </c>
      <c r="I209" s="1399">
        <v>2592156.7200000002</v>
      </c>
    </row>
    <row r="210" spans="2:9">
      <c r="B210" s="1297"/>
      <c r="C210" s="1297"/>
      <c r="D210" s="1297" t="s">
        <v>945</v>
      </c>
      <c r="E210" s="1399">
        <v>762943.17</v>
      </c>
      <c r="I210" s="1399">
        <v>762943.17</v>
      </c>
    </row>
    <row r="211" spans="2:9">
      <c r="B211" s="1297"/>
      <c r="C211" s="1297"/>
      <c r="D211" s="1297" t="s">
        <v>947</v>
      </c>
      <c r="E211" s="1399">
        <v>27816.62</v>
      </c>
      <c r="I211" s="1399">
        <v>27816.62</v>
      </c>
    </row>
    <row r="212" spans="2:9">
      <c r="B212" s="1297"/>
      <c r="C212" s="1297"/>
      <c r="D212" s="1297" t="s">
        <v>1116</v>
      </c>
      <c r="G212" s="1399">
        <v>9726039.0999999996</v>
      </c>
      <c r="I212" s="1399">
        <v>9726039.0999999996</v>
      </c>
    </row>
    <row r="213" spans="2:9">
      <c r="B213" s="1297"/>
      <c r="C213" s="1297"/>
      <c r="D213" s="1297" t="s">
        <v>948</v>
      </c>
      <c r="G213" s="1399">
        <v>373720.05000000005</v>
      </c>
      <c r="I213" s="1399">
        <v>373720.05000000005</v>
      </c>
    </row>
    <row r="214" spans="2:9">
      <c r="B214" s="1297"/>
      <c r="C214" s="1400" t="s">
        <v>982</v>
      </c>
      <c r="D214" s="1400"/>
      <c r="E214" s="1401">
        <v>4398293.3100000005</v>
      </c>
      <c r="F214" s="1401">
        <v>11441127.269999998</v>
      </c>
      <c r="G214" s="1401">
        <v>10099759.15</v>
      </c>
      <c r="H214" s="1401">
        <v>13381456.959999999</v>
      </c>
      <c r="I214" s="1401">
        <v>39320636.689999998</v>
      </c>
    </row>
    <row r="215" spans="2:9">
      <c r="B215" s="1297" t="s">
        <v>983</v>
      </c>
      <c r="C215" s="1297" t="s">
        <v>984</v>
      </c>
      <c r="D215" s="1297" t="s">
        <v>906</v>
      </c>
      <c r="F215" s="1399">
        <v>29916609.43</v>
      </c>
      <c r="I215" s="1399">
        <v>29916609.43</v>
      </c>
    </row>
    <row r="216" spans="2:9">
      <c r="B216" s="1297"/>
      <c r="C216" s="1297"/>
      <c r="D216" s="1297" t="s">
        <v>952</v>
      </c>
      <c r="F216" s="1399">
        <v>415462.69</v>
      </c>
      <c r="I216" s="1399">
        <v>415462.69</v>
      </c>
    </row>
    <row r="217" spans="2:9">
      <c r="B217" s="1297"/>
      <c r="C217" s="1297"/>
      <c r="D217" s="1297" t="s">
        <v>907</v>
      </c>
      <c r="F217" s="1399">
        <v>7899654.5199999996</v>
      </c>
      <c r="I217" s="1399">
        <v>7899654.5199999996</v>
      </c>
    </row>
    <row r="218" spans="2:9">
      <c r="B218" s="1297"/>
      <c r="C218" s="1297"/>
      <c r="D218" s="1297" t="s">
        <v>908</v>
      </c>
      <c r="F218" s="1399">
        <v>13608.09</v>
      </c>
      <c r="I218" s="1399">
        <v>13608.09</v>
      </c>
    </row>
    <row r="219" spans="2:9">
      <c r="B219" s="1297"/>
      <c r="C219" s="1297"/>
      <c r="D219" s="1297" t="s">
        <v>909</v>
      </c>
      <c r="F219" s="1399">
        <v>99233.41</v>
      </c>
      <c r="I219" s="1399">
        <v>99233.41</v>
      </c>
    </row>
    <row r="220" spans="2:9">
      <c r="B220" s="1297"/>
      <c r="C220" s="1297"/>
      <c r="D220" s="1297" t="s">
        <v>910</v>
      </c>
      <c r="F220" s="1399">
        <v>69130.33</v>
      </c>
      <c r="I220" s="1399">
        <v>69130.33</v>
      </c>
    </row>
    <row r="221" spans="2:9">
      <c r="B221" s="1297"/>
      <c r="C221" s="1297"/>
      <c r="D221" s="1297" t="s">
        <v>1034</v>
      </c>
      <c r="F221" s="1399">
        <v>134816.37</v>
      </c>
      <c r="I221" s="1399">
        <v>134816.37</v>
      </c>
    </row>
    <row r="222" spans="2:9">
      <c r="B222" s="1297"/>
      <c r="C222" s="1297"/>
      <c r="D222" s="1297" t="s">
        <v>1035</v>
      </c>
      <c r="F222" s="1399">
        <v>554310.91</v>
      </c>
      <c r="I222" s="1399">
        <v>554310.91</v>
      </c>
    </row>
    <row r="223" spans="2:9">
      <c r="B223" s="1297"/>
      <c r="C223" s="1297"/>
      <c r="D223" s="1297" t="s">
        <v>1036</v>
      </c>
      <c r="F223" s="1399">
        <v>311649.3</v>
      </c>
      <c r="I223" s="1399">
        <v>311649.3</v>
      </c>
    </row>
    <row r="224" spans="2:9">
      <c r="B224" s="1297"/>
      <c r="C224" s="1297"/>
      <c r="D224" s="1297" t="s">
        <v>1039</v>
      </c>
      <c r="F224" s="1399">
        <v>55019.159999999996</v>
      </c>
      <c r="I224" s="1399">
        <v>55019.159999999996</v>
      </c>
    </row>
    <row r="225" spans="2:9">
      <c r="B225" s="1297"/>
      <c r="C225" s="1297"/>
      <c r="D225" s="1297" t="s">
        <v>1040</v>
      </c>
      <c r="F225" s="1399">
        <v>1247511.76</v>
      </c>
      <c r="I225" s="1399">
        <v>1247511.76</v>
      </c>
    </row>
    <row r="226" spans="2:9">
      <c r="B226" s="1297"/>
      <c r="C226" s="1297"/>
      <c r="D226" s="1297" t="s">
        <v>1041</v>
      </c>
      <c r="F226" s="1399">
        <v>49441.47</v>
      </c>
      <c r="I226" s="1399">
        <v>49441.47</v>
      </c>
    </row>
    <row r="227" spans="2:9">
      <c r="B227" s="1297"/>
      <c r="C227" s="1297"/>
      <c r="D227" s="1297" t="s">
        <v>1042</v>
      </c>
      <c r="F227" s="1399">
        <v>165783.13</v>
      </c>
      <c r="I227" s="1399">
        <v>165783.13</v>
      </c>
    </row>
    <row r="228" spans="2:9">
      <c r="B228" s="1297"/>
      <c r="C228" s="1297"/>
      <c r="D228" s="1297" t="s">
        <v>985</v>
      </c>
      <c r="F228" s="1399">
        <v>404957.11</v>
      </c>
      <c r="I228" s="1399">
        <v>404957.11</v>
      </c>
    </row>
    <row r="229" spans="2:9">
      <c r="B229" s="1297"/>
      <c r="C229" s="1297"/>
      <c r="D229" s="1297" t="s">
        <v>1043</v>
      </c>
      <c r="F229" s="1399">
        <v>20647.21</v>
      </c>
      <c r="I229" s="1399">
        <v>20647.21</v>
      </c>
    </row>
    <row r="230" spans="2:9">
      <c r="B230" s="1297"/>
      <c r="C230" s="1297"/>
      <c r="D230" s="1297" t="s">
        <v>986</v>
      </c>
      <c r="F230" s="1399">
        <v>300634.55</v>
      </c>
      <c r="I230" s="1399">
        <v>300634.55</v>
      </c>
    </row>
    <row r="231" spans="2:9">
      <c r="B231" s="1297"/>
      <c r="C231" s="1297"/>
      <c r="D231" s="1297" t="s">
        <v>1044</v>
      </c>
      <c r="F231" s="1399">
        <v>87611.36</v>
      </c>
      <c r="I231" s="1399">
        <v>87611.36</v>
      </c>
    </row>
    <row r="232" spans="2:9">
      <c r="B232" s="1297"/>
      <c r="C232" s="1297"/>
      <c r="D232" s="1297" t="s">
        <v>1045</v>
      </c>
      <c r="F232" s="1399">
        <v>1483362.32</v>
      </c>
      <c r="I232" s="1399">
        <v>1483362.32</v>
      </c>
    </row>
    <row r="233" spans="2:9">
      <c r="B233" s="1297"/>
      <c r="C233" s="1297"/>
      <c r="D233" s="1297" t="s">
        <v>1046</v>
      </c>
      <c r="H233" s="1399">
        <v>63277663</v>
      </c>
      <c r="I233" s="1399">
        <v>63277663</v>
      </c>
    </row>
    <row r="234" spans="2:9">
      <c r="B234" s="1297"/>
      <c r="C234" s="1297"/>
      <c r="D234" s="1297" t="s">
        <v>1128</v>
      </c>
      <c r="H234" s="1399">
        <v>5374697</v>
      </c>
      <c r="I234" s="1399">
        <v>5374697</v>
      </c>
    </row>
    <row r="235" spans="2:9">
      <c r="B235" s="1297"/>
      <c r="C235" s="1297"/>
      <c r="D235" s="1297" t="s">
        <v>1129</v>
      </c>
      <c r="H235" s="1399">
        <v>-8603741</v>
      </c>
      <c r="I235" s="1399">
        <v>-8603741</v>
      </c>
    </row>
    <row r="236" spans="2:9">
      <c r="B236" s="1297"/>
      <c r="C236" s="1297"/>
      <c r="D236" s="1297" t="s">
        <v>1047</v>
      </c>
      <c r="H236" s="1399">
        <v>1307653</v>
      </c>
      <c r="I236" s="1399">
        <v>1307653</v>
      </c>
    </row>
    <row r="237" spans="2:9">
      <c r="B237" s="1297"/>
      <c r="C237" s="1297"/>
      <c r="D237" s="1297" t="s">
        <v>1048</v>
      </c>
      <c r="H237" s="1399">
        <v>-9756649</v>
      </c>
      <c r="I237" s="1399">
        <v>-9756649</v>
      </c>
    </row>
    <row r="238" spans="2:9">
      <c r="B238" s="1297"/>
      <c r="C238" s="1297"/>
      <c r="D238" s="1297" t="s">
        <v>932</v>
      </c>
      <c r="H238" s="1399">
        <v>5192105</v>
      </c>
      <c r="I238" s="1399">
        <v>5192105</v>
      </c>
    </row>
    <row r="239" spans="2:9">
      <c r="B239" s="1297"/>
      <c r="C239" s="1297"/>
      <c r="D239" s="1297" t="s">
        <v>955</v>
      </c>
      <c r="H239" s="1399">
        <v>1548190.24</v>
      </c>
      <c r="I239" s="1399">
        <v>1548190.24</v>
      </c>
    </row>
    <row r="240" spans="2:9">
      <c r="B240" s="1297"/>
      <c r="C240" s="1297"/>
      <c r="D240" s="1297" t="s">
        <v>934</v>
      </c>
      <c r="H240" s="1399">
        <v>189856</v>
      </c>
      <c r="I240" s="1399">
        <v>189856</v>
      </c>
    </row>
    <row r="241" spans="2:9">
      <c r="B241" s="1297"/>
      <c r="C241" s="1297"/>
      <c r="D241" s="1297" t="s">
        <v>935</v>
      </c>
      <c r="H241" s="1399">
        <v>965536.81</v>
      </c>
      <c r="I241" s="1399">
        <v>965536.81</v>
      </c>
    </row>
    <row r="242" spans="2:9">
      <c r="B242" s="1297"/>
      <c r="C242" s="1297"/>
      <c r="D242" s="1297" t="s">
        <v>936</v>
      </c>
      <c r="H242" s="1399">
        <v>206588.82</v>
      </c>
      <c r="I242" s="1399">
        <v>206588.82</v>
      </c>
    </row>
    <row r="243" spans="2:9">
      <c r="B243" s="1297"/>
      <c r="C243" s="1297"/>
      <c r="D243" s="1297" t="s">
        <v>937</v>
      </c>
      <c r="H243" s="1399">
        <v>18542.919999999998</v>
      </c>
      <c r="I243" s="1399">
        <v>18542.919999999998</v>
      </c>
    </row>
    <row r="244" spans="2:9">
      <c r="B244" s="1297"/>
      <c r="C244" s="1297"/>
      <c r="D244" s="1297" t="s">
        <v>938</v>
      </c>
      <c r="H244" s="1399">
        <v>60827</v>
      </c>
      <c r="I244" s="1399">
        <v>60827</v>
      </c>
    </row>
    <row r="245" spans="2:9">
      <c r="B245" s="1297"/>
      <c r="C245" s="1297"/>
      <c r="D245" s="1297" t="s">
        <v>939</v>
      </c>
      <c r="H245" s="1399">
        <v>623699.36</v>
      </c>
      <c r="I245" s="1399">
        <v>623699.36</v>
      </c>
    </row>
    <row r="246" spans="2:9">
      <c r="B246" s="1297"/>
      <c r="C246" s="1297"/>
      <c r="D246" s="1297" t="s">
        <v>1131</v>
      </c>
      <c r="E246" s="1399">
        <v>117699.8</v>
      </c>
      <c r="I246" s="1399">
        <v>117699.8</v>
      </c>
    </row>
    <row r="247" spans="2:9">
      <c r="B247" s="1297"/>
      <c r="C247" s="1297"/>
      <c r="D247" s="1297" t="s">
        <v>940</v>
      </c>
      <c r="E247" s="1399">
        <v>3046000.92</v>
      </c>
      <c r="I247" s="1399">
        <v>3046000.92</v>
      </c>
    </row>
    <row r="248" spans="2:9">
      <c r="B248" s="1297"/>
      <c r="C248" s="1297"/>
      <c r="D248" s="1297" t="s">
        <v>941</v>
      </c>
      <c r="E248" s="1399">
        <v>1261356.72</v>
      </c>
      <c r="I248" s="1399">
        <v>1261356.72</v>
      </c>
    </row>
    <row r="249" spans="2:9">
      <c r="B249" s="1297"/>
      <c r="C249" s="1297"/>
      <c r="D249" s="1297" t="s">
        <v>944</v>
      </c>
      <c r="E249" s="1399">
        <v>5481866.6699999999</v>
      </c>
      <c r="I249" s="1399">
        <v>5481866.6699999999</v>
      </c>
    </row>
    <row r="250" spans="2:9">
      <c r="B250" s="1297"/>
      <c r="C250" s="1297"/>
      <c r="D250" s="1297" t="s">
        <v>945</v>
      </c>
      <c r="E250" s="1399">
        <v>4611731.6900000004</v>
      </c>
      <c r="I250" s="1399">
        <v>4611731.6900000004</v>
      </c>
    </row>
    <row r="251" spans="2:9">
      <c r="B251" s="1297"/>
      <c r="C251" s="1297"/>
      <c r="D251" s="1297" t="s">
        <v>947</v>
      </c>
      <c r="E251" s="1399">
        <v>333558.28999999998</v>
      </c>
      <c r="I251" s="1399">
        <v>333558.28999999998</v>
      </c>
    </row>
    <row r="252" spans="2:9">
      <c r="B252" s="1297"/>
      <c r="C252" s="1297"/>
      <c r="D252" s="1297" t="s">
        <v>1116</v>
      </c>
      <c r="G252" s="1399">
        <v>5271073.67</v>
      </c>
      <c r="I252" s="1399">
        <v>5271073.67</v>
      </c>
    </row>
    <row r="253" spans="2:9">
      <c r="B253" s="1297"/>
      <c r="C253" s="1297"/>
      <c r="D253" s="1297" t="s">
        <v>948</v>
      </c>
      <c r="G253" s="1399">
        <v>5491885.6399999997</v>
      </c>
      <c r="I253" s="1399">
        <v>5491885.6399999997</v>
      </c>
    </row>
    <row r="254" spans="2:9">
      <c r="B254" s="1297"/>
      <c r="C254" s="1400" t="s">
        <v>987</v>
      </c>
      <c r="D254" s="1400"/>
      <c r="E254" s="1401">
        <v>14852214.09</v>
      </c>
      <c r="F254" s="1401">
        <v>43229443.119999982</v>
      </c>
      <c r="G254" s="1401">
        <v>10762959.309999999</v>
      </c>
      <c r="H254" s="1401">
        <v>60404969.150000006</v>
      </c>
      <c r="I254" s="1401">
        <v>129249585.66999997</v>
      </c>
    </row>
    <row r="255" spans="2:9">
      <c r="B255" s="1297" t="s">
        <v>988</v>
      </c>
      <c r="C255" s="1297" t="s">
        <v>989</v>
      </c>
      <c r="D255" s="1297" t="s">
        <v>906</v>
      </c>
      <c r="F255" s="1399">
        <v>36976851.880000003</v>
      </c>
      <c r="I255" s="1399">
        <v>36976851.880000003</v>
      </c>
    </row>
    <row r="256" spans="2:9">
      <c r="B256" s="1297"/>
      <c r="C256" s="1297"/>
      <c r="D256" s="1297" t="s">
        <v>952</v>
      </c>
      <c r="F256" s="1399">
        <v>63696.23</v>
      </c>
      <c r="I256" s="1399">
        <v>63696.23</v>
      </c>
    </row>
    <row r="257" spans="2:9">
      <c r="B257" s="1297"/>
      <c r="C257" s="1297"/>
      <c r="D257" s="1297" t="s">
        <v>907</v>
      </c>
      <c r="F257" s="1399">
        <v>17994574.32</v>
      </c>
      <c r="I257" s="1399">
        <v>17994574.32</v>
      </c>
    </row>
    <row r="258" spans="2:9">
      <c r="B258" s="1297"/>
      <c r="C258" s="1297"/>
      <c r="D258" s="1297" t="s">
        <v>908</v>
      </c>
      <c r="F258" s="1399">
        <v>42342.53</v>
      </c>
      <c r="I258" s="1399">
        <v>42342.53</v>
      </c>
    </row>
    <row r="259" spans="2:9">
      <c r="B259" s="1297"/>
      <c r="C259" s="1297"/>
      <c r="D259" s="1297" t="s">
        <v>909</v>
      </c>
      <c r="F259" s="1399">
        <v>208461.54</v>
      </c>
      <c r="I259" s="1399">
        <v>208461.54</v>
      </c>
    </row>
    <row r="260" spans="2:9">
      <c r="B260" s="1297"/>
      <c r="C260" s="1297"/>
      <c r="D260" s="1297" t="s">
        <v>910</v>
      </c>
      <c r="F260" s="1399">
        <v>200365.41999999995</v>
      </c>
      <c r="I260" s="1399">
        <v>200365.41999999995</v>
      </c>
    </row>
    <row r="261" spans="2:9">
      <c r="B261" s="1297"/>
      <c r="C261" s="1297"/>
      <c r="D261" s="1297" t="s">
        <v>1034</v>
      </c>
      <c r="F261" s="1399">
        <v>395153.77999999985</v>
      </c>
      <c r="I261" s="1399">
        <v>395153.77999999985</v>
      </c>
    </row>
    <row r="262" spans="2:9">
      <c r="B262" s="1297"/>
      <c r="C262" s="1297"/>
      <c r="D262" s="1297" t="s">
        <v>1035</v>
      </c>
      <c r="F262" s="1399">
        <v>926786.66999999993</v>
      </c>
      <c r="I262" s="1399">
        <v>926786.66999999993</v>
      </c>
    </row>
    <row r="263" spans="2:9">
      <c r="B263" s="1297"/>
      <c r="C263" s="1297"/>
      <c r="D263" s="1297" t="s">
        <v>1036</v>
      </c>
      <c r="F263" s="1399">
        <v>338262.96</v>
      </c>
      <c r="I263" s="1399">
        <v>338262.96</v>
      </c>
    </row>
    <row r="264" spans="2:9">
      <c r="B264" s="1297"/>
      <c r="C264" s="1297"/>
      <c r="D264" s="1297" t="s">
        <v>1037</v>
      </c>
      <c r="F264" s="1399">
        <v>586932</v>
      </c>
      <c r="I264" s="1399">
        <v>586932</v>
      </c>
    </row>
    <row r="265" spans="2:9">
      <c r="B265" s="1297"/>
      <c r="C265" s="1297"/>
      <c r="D265" s="1297" t="s">
        <v>1038</v>
      </c>
      <c r="F265" s="1399">
        <v>19602</v>
      </c>
      <c r="I265" s="1399">
        <v>19602</v>
      </c>
    </row>
    <row r="266" spans="2:9">
      <c r="B266" s="1297"/>
      <c r="C266" s="1297"/>
      <c r="D266" s="1297" t="s">
        <v>1039</v>
      </c>
      <c r="F266" s="1399">
        <v>382768.70999999996</v>
      </c>
      <c r="I266" s="1399">
        <v>382768.70999999996</v>
      </c>
    </row>
    <row r="267" spans="2:9">
      <c r="B267" s="1297"/>
      <c r="C267" s="1297"/>
      <c r="D267" s="1297" t="s">
        <v>1040</v>
      </c>
      <c r="F267" s="1399">
        <v>1644004.92</v>
      </c>
      <c r="I267" s="1399">
        <v>1644004.92</v>
      </c>
    </row>
    <row r="268" spans="2:9">
      <c r="B268" s="1297"/>
      <c r="C268" s="1297"/>
      <c r="D268" s="1297" t="s">
        <v>1041</v>
      </c>
      <c r="F268" s="1399">
        <v>332742.26</v>
      </c>
      <c r="I268" s="1399">
        <v>332742.26</v>
      </c>
    </row>
    <row r="269" spans="2:9">
      <c r="B269" s="1297"/>
      <c r="C269" s="1297"/>
      <c r="D269" s="1297" t="s">
        <v>1042</v>
      </c>
      <c r="F269" s="1399">
        <v>192948.58</v>
      </c>
      <c r="I269" s="1399">
        <v>192948.58</v>
      </c>
    </row>
    <row r="270" spans="2:9">
      <c r="B270" s="1297"/>
      <c r="C270" s="1297"/>
      <c r="D270" s="1297" t="s">
        <v>986</v>
      </c>
      <c r="F270" s="1399">
        <v>53353.38</v>
      </c>
      <c r="I270" s="1399">
        <v>53353.38</v>
      </c>
    </row>
    <row r="271" spans="2:9">
      <c r="B271" s="1297"/>
      <c r="C271" s="1297"/>
      <c r="D271" s="1297" t="s">
        <v>990</v>
      </c>
      <c r="F271" s="1399">
        <v>7466.24</v>
      </c>
      <c r="I271" s="1399">
        <v>7466.24</v>
      </c>
    </row>
    <row r="272" spans="2:9">
      <c r="B272" s="1297"/>
      <c r="C272" s="1297"/>
      <c r="D272" s="1297" t="s">
        <v>991</v>
      </c>
      <c r="F272" s="1399">
        <v>178534.09</v>
      </c>
      <c r="I272" s="1399">
        <v>178534.09</v>
      </c>
    </row>
    <row r="273" spans="2:9">
      <c r="B273" s="1297"/>
      <c r="C273" s="1297"/>
      <c r="D273" s="1297" t="s">
        <v>1044</v>
      </c>
      <c r="F273" s="1399">
        <v>349299.74</v>
      </c>
      <c r="I273" s="1399">
        <v>349299.74</v>
      </c>
    </row>
    <row r="274" spans="2:9">
      <c r="B274" s="1297"/>
      <c r="C274" s="1297"/>
      <c r="D274" s="1297" t="s">
        <v>1045</v>
      </c>
      <c r="F274" s="1399">
        <v>1891920.3499999996</v>
      </c>
      <c r="I274" s="1399">
        <v>1891920.3499999996</v>
      </c>
    </row>
    <row r="275" spans="2:9">
      <c r="B275" s="1297"/>
      <c r="C275" s="1297"/>
      <c r="D275" s="1297" t="s">
        <v>1046</v>
      </c>
      <c r="H275" s="1399">
        <v>74514992</v>
      </c>
      <c r="I275" s="1399">
        <v>74514992</v>
      </c>
    </row>
    <row r="276" spans="2:9">
      <c r="B276" s="1297"/>
      <c r="C276" s="1297"/>
      <c r="D276" s="1297" t="s">
        <v>1128</v>
      </c>
      <c r="H276" s="1399">
        <v>6339756</v>
      </c>
      <c r="I276" s="1399">
        <v>6339756</v>
      </c>
    </row>
    <row r="277" spans="2:9">
      <c r="B277" s="1297"/>
      <c r="C277" s="1297"/>
      <c r="D277" s="1297" t="s">
        <v>1129</v>
      </c>
      <c r="H277" s="1399">
        <v>-10260186</v>
      </c>
      <c r="I277" s="1399">
        <v>-10260186</v>
      </c>
    </row>
    <row r="278" spans="2:9">
      <c r="B278" s="1297"/>
      <c r="C278" s="1297"/>
      <c r="D278" s="1297" t="s">
        <v>1047</v>
      </c>
      <c r="H278" s="1399">
        <v>1738005</v>
      </c>
      <c r="I278" s="1399">
        <v>1738005</v>
      </c>
    </row>
    <row r="279" spans="2:9">
      <c r="B279" s="1297"/>
      <c r="C279" s="1297"/>
      <c r="D279" s="1297" t="s">
        <v>1048</v>
      </c>
      <c r="H279" s="1399">
        <v>-10440444</v>
      </c>
      <c r="I279" s="1399">
        <v>-10440444</v>
      </c>
    </row>
    <row r="280" spans="2:9">
      <c r="B280" s="1297"/>
      <c r="C280" s="1297"/>
      <c r="D280" s="1297" t="s">
        <v>932</v>
      </c>
      <c r="H280" s="1399">
        <v>7964256</v>
      </c>
      <c r="I280" s="1399">
        <v>7964256</v>
      </c>
    </row>
    <row r="281" spans="2:9">
      <c r="B281" s="1297"/>
      <c r="C281" s="1297"/>
      <c r="D281" s="1297" t="s">
        <v>955</v>
      </c>
      <c r="H281" s="1399">
        <v>1550304.94</v>
      </c>
      <c r="I281" s="1399">
        <v>1550304.94</v>
      </c>
    </row>
    <row r="282" spans="2:9">
      <c r="B282" s="1297"/>
      <c r="C282" s="1297"/>
      <c r="D282" s="1297" t="s">
        <v>934</v>
      </c>
      <c r="H282" s="1399">
        <v>209318</v>
      </c>
      <c r="I282" s="1399">
        <v>209318</v>
      </c>
    </row>
    <row r="283" spans="2:9">
      <c r="B283" s="1297"/>
      <c r="C283" s="1297"/>
      <c r="D283" s="1297" t="s">
        <v>1130</v>
      </c>
      <c r="H283" s="1399">
        <v>1243340</v>
      </c>
      <c r="I283" s="1399">
        <v>1243340</v>
      </c>
    </row>
    <row r="284" spans="2:9">
      <c r="B284" s="1297"/>
      <c r="C284" s="1297"/>
      <c r="D284" s="1297" t="s">
        <v>935</v>
      </c>
      <c r="H284" s="1399">
        <v>1462748.0399999998</v>
      </c>
      <c r="I284" s="1399">
        <v>1462748.0399999998</v>
      </c>
    </row>
    <row r="285" spans="2:9">
      <c r="B285" s="1297"/>
      <c r="C285" s="1297"/>
      <c r="D285" s="1297" t="s">
        <v>936</v>
      </c>
      <c r="H285" s="1399">
        <v>202036.86</v>
      </c>
      <c r="I285" s="1399">
        <v>202036.86</v>
      </c>
    </row>
    <row r="286" spans="2:9">
      <c r="B286" s="1297"/>
      <c r="C286" s="1297"/>
      <c r="D286" s="1297" t="s">
        <v>937</v>
      </c>
      <c r="H286" s="1399">
        <v>41730.480000000003</v>
      </c>
      <c r="I286" s="1399">
        <v>41730.480000000003</v>
      </c>
    </row>
    <row r="287" spans="2:9">
      <c r="B287" s="1297"/>
      <c r="C287" s="1297"/>
      <c r="D287" s="1297" t="s">
        <v>938</v>
      </c>
      <c r="H287" s="1399">
        <v>74302</v>
      </c>
      <c r="I287" s="1399">
        <v>74302</v>
      </c>
    </row>
    <row r="288" spans="2:9">
      <c r="B288" s="1297"/>
      <c r="C288" s="1297"/>
      <c r="D288" s="1297" t="s">
        <v>939</v>
      </c>
      <c r="H288" s="1399">
        <v>3220</v>
      </c>
      <c r="I288" s="1399">
        <v>3220</v>
      </c>
    </row>
    <row r="289" spans="2:9">
      <c r="B289" s="1297"/>
      <c r="C289" s="1297"/>
      <c r="D289" s="1297" t="s">
        <v>940</v>
      </c>
      <c r="E289" s="1399">
        <v>3377596.6</v>
      </c>
      <c r="I289" s="1399">
        <v>3377596.6</v>
      </c>
    </row>
    <row r="290" spans="2:9">
      <c r="B290" s="1297"/>
      <c r="C290" s="1297"/>
      <c r="D290" s="1297" t="s">
        <v>941</v>
      </c>
      <c r="E290" s="1399">
        <v>965993.68</v>
      </c>
      <c r="I290" s="1399">
        <v>965993.68</v>
      </c>
    </row>
    <row r="291" spans="2:9">
      <c r="B291" s="1297"/>
      <c r="C291" s="1297"/>
      <c r="D291" s="1297" t="s">
        <v>943</v>
      </c>
      <c r="E291" s="1399">
        <v>45686.44</v>
      </c>
      <c r="I291" s="1399">
        <v>45686.44</v>
      </c>
    </row>
    <row r="292" spans="2:9">
      <c r="B292" s="1297"/>
      <c r="C292" s="1297"/>
      <c r="D292" s="1297" t="s">
        <v>944</v>
      </c>
      <c r="E292" s="1399">
        <v>4552206.01</v>
      </c>
      <c r="I292" s="1399">
        <v>4552206.01</v>
      </c>
    </row>
    <row r="293" spans="2:9">
      <c r="B293" s="1297"/>
      <c r="C293" s="1297"/>
      <c r="D293" s="1297" t="s">
        <v>945</v>
      </c>
      <c r="E293" s="1399">
        <v>6103574.7299999995</v>
      </c>
      <c r="I293" s="1399">
        <v>6103574.7299999995</v>
      </c>
    </row>
    <row r="294" spans="2:9">
      <c r="B294" s="1297"/>
      <c r="C294" s="1297"/>
      <c r="D294" s="1297" t="s">
        <v>946</v>
      </c>
      <c r="E294" s="1399">
        <v>13333.34</v>
      </c>
      <c r="I294" s="1399">
        <v>13333.34</v>
      </c>
    </row>
    <row r="295" spans="2:9">
      <c r="B295" s="1297"/>
      <c r="C295" s="1297"/>
      <c r="D295" s="1297" t="s">
        <v>947</v>
      </c>
      <c r="E295" s="1399">
        <v>235604.96</v>
      </c>
      <c r="I295" s="1399">
        <v>235604.96</v>
      </c>
    </row>
    <row r="296" spans="2:9">
      <c r="B296" s="1297"/>
      <c r="C296" s="1297"/>
      <c r="D296" s="1297" t="s">
        <v>1115</v>
      </c>
      <c r="E296" s="1399">
        <v>125091.68000000001</v>
      </c>
      <c r="I296" s="1399">
        <v>125091.68000000001</v>
      </c>
    </row>
    <row r="297" spans="2:9">
      <c r="B297" s="1297"/>
      <c r="C297" s="1297"/>
      <c r="D297" s="1297" t="s">
        <v>1116</v>
      </c>
      <c r="G297" s="1399">
        <v>69960000</v>
      </c>
      <c r="I297" s="1399">
        <v>69960000</v>
      </c>
    </row>
    <row r="298" spans="2:9">
      <c r="B298" s="1297"/>
      <c r="C298" s="1297"/>
      <c r="D298" s="1297" t="s">
        <v>1117</v>
      </c>
      <c r="G298" s="1399">
        <v>5221889.7</v>
      </c>
      <c r="I298" s="1399">
        <v>5221889.7</v>
      </c>
    </row>
    <row r="299" spans="2:9">
      <c r="B299" s="1297"/>
      <c r="C299" s="1297"/>
      <c r="D299" s="1297" t="s">
        <v>948</v>
      </c>
      <c r="G299" s="1399">
        <v>93090840.229999989</v>
      </c>
      <c r="I299" s="1399">
        <v>93090840.229999989</v>
      </c>
    </row>
    <row r="300" spans="2:9">
      <c r="B300" s="1297"/>
      <c r="C300" s="1297"/>
      <c r="D300" s="1297" t="s">
        <v>956</v>
      </c>
      <c r="G300" s="1399">
        <v>16105.31</v>
      </c>
      <c r="I300" s="1399">
        <v>16105.31</v>
      </c>
    </row>
    <row r="301" spans="2:9">
      <c r="B301" s="1297"/>
      <c r="C301" s="1400" t="s">
        <v>992</v>
      </c>
      <c r="D301" s="1400"/>
      <c r="E301" s="1401">
        <v>15419087.440000001</v>
      </c>
      <c r="F301" s="1401">
        <v>62786067.600000016</v>
      </c>
      <c r="G301" s="1401">
        <v>168288835.24000001</v>
      </c>
      <c r="H301" s="1401">
        <v>74643379.320000008</v>
      </c>
      <c r="I301" s="1401">
        <v>321137369.59999996</v>
      </c>
    </row>
    <row r="302" spans="2:9">
      <c r="B302" s="1297" t="s">
        <v>993</v>
      </c>
      <c r="C302" s="1297" t="s">
        <v>994</v>
      </c>
      <c r="D302" s="1297" t="s">
        <v>906</v>
      </c>
      <c r="F302" s="1399">
        <v>5230085.1000000006</v>
      </c>
      <c r="I302" s="1399">
        <v>5230085.1000000006</v>
      </c>
    </row>
    <row r="303" spans="2:9">
      <c r="B303" s="1297"/>
      <c r="C303" s="1297"/>
      <c r="D303" s="1297" t="s">
        <v>952</v>
      </c>
      <c r="F303" s="1399">
        <v>44132.29</v>
      </c>
      <c r="I303" s="1399">
        <v>44132.29</v>
      </c>
    </row>
    <row r="304" spans="2:9">
      <c r="B304" s="1297"/>
      <c r="C304" s="1297"/>
      <c r="D304" s="1297" t="s">
        <v>907</v>
      </c>
      <c r="F304" s="1399">
        <v>2298617.0499999998</v>
      </c>
      <c r="I304" s="1399">
        <v>2298617.0499999998</v>
      </c>
    </row>
    <row r="305" spans="2:9">
      <c r="B305" s="1297"/>
      <c r="C305" s="1297"/>
      <c r="D305" s="1297" t="s">
        <v>995</v>
      </c>
      <c r="F305" s="1399">
        <v>9804.2000000000007</v>
      </c>
      <c r="I305" s="1399">
        <v>9804.2000000000007</v>
      </c>
    </row>
    <row r="306" spans="2:9">
      <c r="B306" s="1297"/>
      <c r="C306" s="1297"/>
      <c r="D306" s="1297" t="s">
        <v>908</v>
      </c>
      <c r="F306" s="1399">
        <v>15060.5</v>
      </c>
      <c r="I306" s="1399">
        <v>15060.5</v>
      </c>
    </row>
    <row r="307" spans="2:9">
      <c r="B307" s="1297"/>
      <c r="C307" s="1297"/>
      <c r="D307" s="1297" t="s">
        <v>909</v>
      </c>
      <c r="F307" s="1399">
        <v>36530.49</v>
      </c>
      <c r="I307" s="1399">
        <v>36530.49</v>
      </c>
    </row>
    <row r="308" spans="2:9">
      <c r="B308" s="1297"/>
      <c r="C308" s="1297"/>
      <c r="D308" s="1297" t="s">
        <v>910</v>
      </c>
      <c r="F308" s="1399">
        <v>24988.7</v>
      </c>
      <c r="I308" s="1399">
        <v>24988.7</v>
      </c>
    </row>
    <row r="309" spans="2:9">
      <c r="B309" s="1297"/>
      <c r="C309" s="1297"/>
      <c r="D309" s="1297" t="s">
        <v>1034</v>
      </c>
      <c r="F309" s="1399">
        <v>19228.98</v>
      </c>
      <c r="I309" s="1399">
        <v>19228.98</v>
      </c>
    </row>
    <row r="310" spans="2:9">
      <c r="B310" s="1297"/>
      <c r="C310" s="1297"/>
      <c r="D310" s="1297" t="s">
        <v>1035</v>
      </c>
      <c r="F310" s="1399">
        <v>379056.49</v>
      </c>
      <c r="I310" s="1399">
        <v>379056.49</v>
      </c>
    </row>
    <row r="311" spans="2:9">
      <c r="B311" s="1297"/>
      <c r="C311" s="1297"/>
      <c r="D311" s="1297" t="s">
        <v>1036</v>
      </c>
      <c r="F311" s="1399">
        <v>165604.35</v>
      </c>
      <c r="I311" s="1399">
        <v>165604.35</v>
      </c>
    </row>
    <row r="312" spans="2:9">
      <c r="B312" s="1297"/>
      <c r="C312" s="1297"/>
      <c r="D312" s="1297" t="s">
        <v>1037</v>
      </c>
      <c r="F312" s="1399">
        <v>10755.67</v>
      </c>
      <c r="I312" s="1399">
        <v>10755.67</v>
      </c>
    </row>
    <row r="313" spans="2:9">
      <c r="B313" s="1297"/>
      <c r="C313" s="1297"/>
      <c r="D313" s="1297" t="s">
        <v>1039</v>
      </c>
      <c r="F313" s="1399">
        <v>98163.25</v>
      </c>
      <c r="I313" s="1399">
        <v>98163.25</v>
      </c>
    </row>
    <row r="314" spans="2:9">
      <c r="B314" s="1297"/>
      <c r="C314" s="1297"/>
      <c r="D314" s="1297" t="s">
        <v>1040</v>
      </c>
      <c r="F314" s="1399">
        <v>93677.55</v>
      </c>
      <c r="I314" s="1399">
        <v>93677.55</v>
      </c>
    </row>
    <row r="315" spans="2:9">
      <c r="B315" s="1297"/>
      <c r="C315" s="1297"/>
      <c r="D315" s="1297" t="s">
        <v>1041</v>
      </c>
      <c r="F315" s="1399">
        <v>26484</v>
      </c>
      <c r="I315" s="1399">
        <v>26484</v>
      </c>
    </row>
    <row r="316" spans="2:9">
      <c r="B316" s="1297"/>
      <c r="C316" s="1297"/>
      <c r="D316" s="1297" t="s">
        <v>1042</v>
      </c>
      <c r="F316" s="1399">
        <v>51736.5</v>
      </c>
      <c r="I316" s="1399">
        <v>51736.5</v>
      </c>
    </row>
    <row r="317" spans="2:9">
      <c r="B317" s="1297"/>
      <c r="C317" s="1297"/>
      <c r="D317" s="1297" t="s">
        <v>1043</v>
      </c>
      <c r="F317" s="1399">
        <v>44450</v>
      </c>
      <c r="I317" s="1399">
        <v>44450</v>
      </c>
    </row>
    <row r="318" spans="2:9">
      <c r="B318" s="1297"/>
      <c r="C318" s="1297"/>
      <c r="D318" s="1297" t="s">
        <v>986</v>
      </c>
      <c r="F318" s="1399">
        <v>88551.09</v>
      </c>
      <c r="I318" s="1399">
        <v>88551.09</v>
      </c>
    </row>
    <row r="319" spans="2:9">
      <c r="B319" s="1297"/>
      <c r="C319" s="1297"/>
      <c r="D319" s="1297" t="s">
        <v>990</v>
      </c>
      <c r="F319" s="1399">
        <v>1329.31</v>
      </c>
      <c r="I319" s="1399">
        <v>1329.31</v>
      </c>
    </row>
    <row r="320" spans="2:9">
      <c r="B320" s="1297"/>
      <c r="C320" s="1297"/>
      <c r="D320" s="1297" t="s">
        <v>996</v>
      </c>
      <c r="F320" s="1399">
        <v>18499.86</v>
      </c>
      <c r="I320" s="1399">
        <v>18499.86</v>
      </c>
    </row>
    <row r="321" spans="2:9">
      <c r="B321" s="1297"/>
      <c r="C321" s="1297"/>
      <c r="D321" s="1297" t="s">
        <v>1045</v>
      </c>
      <c r="F321" s="1399">
        <v>140440.55000000002</v>
      </c>
      <c r="I321" s="1399">
        <v>140440.55000000002</v>
      </c>
    </row>
    <row r="322" spans="2:9">
      <c r="B322" s="1297"/>
      <c r="C322" s="1297"/>
      <c r="D322" s="1297" t="s">
        <v>1046</v>
      </c>
      <c r="H322" s="1399">
        <v>15684615</v>
      </c>
      <c r="I322" s="1399">
        <v>15684615</v>
      </c>
    </row>
    <row r="323" spans="2:9">
      <c r="B323" s="1297"/>
      <c r="C323" s="1297"/>
      <c r="D323" s="1297" t="s">
        <v>1047</v>
      </c>
      <c r="H323" s="1399">
        <v>433382</v>
      </c>
      <c r="I323" s="1399">
        <v>433382</v>
      </c>
    </row>
    <row r="324" spans="2:9">
      <c r="B324" s="1297"/>
      <c r="C324" s="1297"/>
      <c r="D324" s="1297" t="s">
        <v>1048</v>
      </c>
      <c r="H324" s="1399">
        <v>-1619137</v>
      </c>
      <c r="I324" s="1399">
        <v>-1619137</v>
      </c>
    </row>
    <row r="325" spans="2:9">
      <c r="B325" s="1297"/>
      <c r="C325" s="1297"/>
      <c r="D325" s="1297" t="s">
        <v>932</v>
      </c>
      <c r="H325" s="1399">
        <v>2303892</v>
      </c>
      <c r="I325" s="1399">
        <v>2303892</v>
      </c>
    </row>
    <row r="326" spans="2:9">
      <c r="B326" s="1297"/>
      <c r="C326" s="1297"/>
      <c r="D326" s="1297" t="s">
        <v>955</v>
      </c>
      <c r="H326" s="1399">
        <v>767134.16</v>
      </c>
      <c r="I326" s="1399">
        <v>767134.16</v>
      </c>
    </row>
    <row r="327" spans="2:9">
      <c r="B327" s="1297"/>
      <c r="C327" s="1297"/>
      <c r="D327" s="1297" t="s">
        <v>934</v>
      </c>
      <c r="H327" s="1399">
        <v>55120</v>
      </c>
      <c r="I327" s="1399">
        <v>55120</v>
      </c>
    </row>
    <row r="328" spans="2:9">
      <c r="B328" s="1297"/>
      <c r="C328" s="1297"/>
      <c r="D328" s="1297" t="s">
        <v>935</v>
      </c>
      <c r="H328" s="1399">
        <v>370485.04000000004</v>
      </c>
      <c r="I328" s="1399">
        <v>370485.04000000004</v>
      </c>
    </row>
    <row r="329" spans="2:9">
      <c r="B329" s="1297"/>
      <c r="C329" s="1297"/>
      <c r="D329" s="1297" t="s">
        <v>936</v>
      </c>
      <c r="H329" s="1399">
        <v>45519.57</v>
      </c>
      <c r="I329" s="1399">
        <v>45519.57</v>
      </c>
    </row>
    <row r="330" spans="2:9">
      <c r="B330" s="1297"/>
      <c r="C330" s="1297"/>
      <c r="D330" s="1297" t="s">
        <v>937</v>
      </c>
      <c r="H330" s="1399">
        <v>13319.62</v>
      </c>
      <c r="I330" s="1399">
        <v>13319.62</v>
      </c>
    </row>
    <row r="331" spans="2:9">
      <c r="B331" s="1297"/>
      <c r="C331" s="1297"/>
      <c r="D331" s="1297" t="s">
        <v>938</v>
      </c>
      <c r="H331" s="1399">
        <v>15347</v>
      </c>
      <c r="I331" s="1399">
        <v>15347</v>
      </c>
    </row>
    <row r="332" spans="2:9">
      <c r="B332" s="1297"/>
      <c r="C332" s="1297"/>
      <c r="D332" s="1297" t="s">
        <v>939</v>
      </c>
      <c r="H332" s="1399">
        <v>0</v>
      </c>
      <c r="I332" s="1399">
        <v>0</v>
      </c>
    </row>
    <row r="333" spans="2:9">
      <c r="B333" s="1297"/>
      <c r="C333" s="1297"/>
      <c r="D333" s="1297" t="s">
        <v>1131</v>
      </c>
      <c r="E333" s="1399">
        <v>45750.879999999997</v>
      </c>
      <c r="I333" s="1399">
        <v>45750.879999999997</v>
      </c>
    </row>
    <row r="334" spans="2:9">
      <c r="B334" s="1297"/>
      <c r="C334" s="1297"/>
      <c r="D334" s="1297" t="s">
        <v>940</v>
      </c>
      <c r="E334" s="1399">
        <v>988727.84</v>
      </c>
      <c r="I334" s="1399">
        <v>988727.84</v>
      </c>
    </row>
    <row r="335" spans="2:9">
      <c r="B335" s="1297"/>
      <c r="C335" s="1297"/>
      <c r="D335" s="1297" t="s">
        <v>941</v>
      </c>
      <c r="E335" s="1399">
        <v>345649.74</v>
      </c>
      <c r="I335" s="1399">
        <v>345649.74</v>
      </c>
    </row>
    <row r="336" spans="2:9">
      <c r="B336" s="1297"/>
      <c r="C336" s="1297"/>
      <c r="D336" s="1297" t="s">
        <v>943</v>
      </c>
      <c r="E336" s="1399">
        <v>5188.1400000000003</v>
      </c>
      <c r="I336" s="1399">
        <v>5188.1400000000003</v>
      </c>
    </row>
    <row r="337" spans="2:9">
      <c r="B337" s="1297"/>
      <c r="C337" s="1297"/>
      <c r="D337" s="1297" t="s">
        <v>944</v>
      </c>
      <c r="E337" s="1399">
        <v>2852188.2800000003</v>
      </c>
      <c r="I337" s="1399">
        <v>2852188.2800000003</v>
      </c>
    </row>
    <row r="338" spans="2:9">
      <c r="B338" s="1297"/>
      <c r="C338" s="1297"/>
      <c r="D338" s="1297" t="s">
        <v>945</v>
      </c>
      <c r="E338" s="1399">
        <v>1317457.6700000002</v>
      </c>
      <c r="I338" s="1399">
        <v>1317457.6700000002</v>
      </c>
    </row>
    <row r="339" spans="2:9">
      <c r="B339" s="1297"/>
      <c r="C339" s="1297"/>
      <c r="D339" s="1297" t="s">
        <v>946</v>
      </c>
      <c r="E339" s="1399">
        <v>73222.09</v>
      </c>
      <c r="I339" s="1399">
        <v>73222.09</v>
      </c>
    </row>
    <row r="340" spans="2:9">
      <c r="B340" s="1297"/>
      <c r="C340" s="1297"/>
      <c r="D340" s="1297" t="s">
        <v>947</v>
      </c>
      <c r="E340" s="1399">
        <v>42808.93</v>
      </c>
      <c r="I340" s="1399">
        <v>42808.93</v>
      </c>
    </row>
    <row r="341" spans="2:9">
      <c r="B341" s="1297"/>
      <c r="C341" s="1297"/>
      <c r="D341" s="1297" t="s">
        <v>948</v>
      </c>
      <c r="G341" s="1399">
        <v>2018960.91</v>
      </c>
      <c r="I341" s="1399">
        <v>2018960.91</v>
      </c>
    </row>
    <row r="342" spans="2:9">
      <c r="B342" s="1297"/>
      <c r="C342" s="1297"/>
      <c r="D342" s="1297" t="s">
        <v>1118</v>
      </c>
      <c r="G342" s="1399">
        <v>-228.28</v>
      </c>
      <c r="I342" s="1399">
        <v>-228.28</v>
      </c>
    </row>
    <row r="343" spans="2:9">
      <c r="B343" s="1297"/>
      <c r="C343" s="1400" t="s">
        <v>997</v>
      </c>
      <c r="D343" s="1400"/>
      <c r="E343" s="1401">
        <v>5670993.5699999994</v>
      </c>
      <c r="F343" s="1401">
        <v>8797195.9300000016</v>
      </c>
      <c r="G343" s="1401">
        <v>2018732.63</v>
      </c>
      <c r="H343" s="1401">
        <v>18069677.390000001</v>
      </c>
      <c r="I343" s="1401">
        <v>34556599.519999996</v>
      </c>
    </row>
    <row r="344" spans="2:9">
      <c r="B344" s="1297" t="s">
        <v>998</v>
      </c>
      <c r="C344" s="1297" t="s">
        <v>999</v>
      </c>
      <c r="D344" s="1297" t="s">
        <v>906</v>
      </c>
      <c r="F344" s="1399">
        <v>4162894.8</v>
      </c>
      <c r="I344" s="1399">
        <v>4162894.8</v>
      </c>
    </row>
    <row r="345" spans="2:9">
      <c r="B345" s="1297"/>
      <c r="C345" s="1297"/>
      <c r="D345" s="1297" t="s">
        <v>907</v>
      </c>
      <c r="F345" s="1399">
        <v>1544649.6</v>
      </c>
      <c r="I345" s="1399">
        <v>1544649.6</v>
      </c>
    </row>
    <row r="346" spans="2:9">
      <c r="B346" s="1297"/>
      <c r="C346" s="1297"/>
      <c r="D346" s="1297" t="s">
        <v>908</v>
      </c>
      <c r="F346" s="1399">
        <v>11481.13</v>
      </c>
      <c r="I346" s="1399">
        <v>11481.13</v>
      </c>
    </row>
    <row r="347" spans="2:9">
      <c r="B347" s="1297"/>
      <c r="C347" s="1297"/>
      <c r="D347" s="1297" t="s">
        <v>909</v>
      </c>
      <c r="F347" s="1399">
        <v>44803.16</v>
      </c>
      <c r="I347" s="1399">
        <v>44803.16</v>
      </c>
    </row>
    <row r="348" spans="2:9">
      <c r="B348" s="1297"/>
      <c r="C348" s="1297"/>
      <c r="D348" s="1297" t="s">
        <v>910</v>
      </c>
      <c r="F348" s="1399">
        <v>12665.31</v>
      </c>
      <c r="I348" s="1399">
        <v>12665.31</v>
      </c>
    </row>
    <row r="349" spans="2:9">
      <c r="B349" s="1297"/>
      <c r="C349" s="1297"/>
      <c r="D349" s="1297" t="s">
        <v>1034</v>
      </c>
      <c r="F349" s="1399">
        <v>44820.12</v>
      </c>
      <c r="I349" s="1399">
        <v>44820.12</v>
      </c>
    </row>
    <row r="350" spans="2:9">
      <c r="B350" s="1297"/>
      <c r="C350" s="1297"/>
      <c r="D350" s="1297" t="s">
        <v>1035</v>
      </c>
      <c r="F350" s="1399">
        <v>1016314.38</v>
      </c>
      <c r="I350" s="1399">
        <v>1016314.38</v>
      </c>
    </row>
    <row r="351" spans="2:9">
      <c r="B351" s="1297"/>
      <c r="C351" s="1297"/>
      <c r="D351" s="1297" t="s">
        <v>1036</v>
      </c>
      <c r="F351" s="1399">
        <v>10630</v>
      </c>
      <c r="I351" s="1399">
        <v>10630</v>
      </c>
    </row>
    <row r="352" spans="2:9">
      <c r="B352" s="1297"/>
      <c r="C352" s="1297"/>
      <c r="D352" s="1297" t="s">
        <v>1039</v>
      </c>
      <c r="F352" s="1399">
        <v>81403.289999999994</v>
      </c>
      <c r="I352" s="1399">
        <v>81403.289999999994</v>
      </c>
    </row>
    <row r="353" spans="2:9">
      <c r="B353" s="1297"/>
      <c r="C353" s="1297"/>
      <c r="D353" s="1297" t="s">
        <v>1040</v>
      </c>
      <c r="F353" s="1399">
        <v>229501.64</v>
      </c>
      <c r="I353" s="1399">
        <v>229501.64</v>
      </c>
    </row>
    <row r="354" spans="2:9">
      <c r="B354" s="1297"/>
      <c r="C354" s="1297"/>
      <c r="D354" s="1297" t="s">
        <v>1041</v>
      </c>
      <c r="F354" s="1399">
        <v>3702.75</v>
      </c>
      <c r="I354" s="1399">
        <v>3702.75</v>
      </c>
    </row>
    <row r="355" spans="2:9">
      <c r="B355" s="1297"/>
      <c r="C355" s="1297"/>
      <c r="D355" s="1297" t="s">
        <v>1042</v>
      </c>
      <c r="F355" s="1399">
        <v>46946.95</v>
      </c>
      <c r="I355" s="1399">
        <v>46946.95</v>
      </c>
    </row>
    <row r="356" spans="2:9">
      <c r="B356" s="1297"/>
      <c r="C356" s="1297"/>
      <c r="D356" s="1297" t="s">
        <v>1044</v>
      </c>
      <c r="F356" s="1399">
        <v>0</v>
      </c>
      <c r="I356" s="1399">
        <v>0</v>
      </c>
    </row>
    <row r="357" spans="2:9">
      <c r="B357" s="1297"/>
      <c r="C357" s="1297"/>
      <c r="D357" s="1297" t="s">
        <v>1045</v>
      </c>
      <c r="F357" s="1399">
        <v>585497.76</v>
      </c>
      <c r="I357" s="1399">
        <v>585497.76</v>
      </c>
    </row>
    <row r="358" spans="2:9">
      <c r="B358" s="1297"/>
      <c r="C358" s="1297"/>
      <c r="D358" s="1297" t="s">
        <v>1046</v>
      </c>
      <c r="H358" s="1399">
        <v>16896595</v>
      </c>
      <c r="I358" s="1399">
        <v>16896595</v>
      </c>
    </row>
    <row r="359" spans="2:9">
      <c r="B359" s="1297"/>
      <c r="C359" s="1297"/>
      <c r="D359" s="1297" t="s">
        <v>1047</v>
      </c>
      <c r="H359" s="1399">
        <v>-1647827</v>
      </c>
      <c r="I359" s="1399">
        <v>-1647827</v>
      </c>
    </row>
    <row r="360" spans="2:9">
      <c r="B360" s="1297"/>
      <c r="C360" s="1297"/>
      <c r="D360" s="1297" t="s">
        <v>1048</v>
      </c>
      <c r="H360" s="1399">
        <v>-1260353</v>
      </c>
      <c r="I360" s="1399">
        <v>-1260353</v>
      </c>
    </row>
    <row r="361" spans="2:9">
      <c r="B361" s="1297"/>
      <c r="C361" s="1297"/>
      <c r="D361" s="1297" t="s">
        <v>932</v>
      </c>
      <c r="H361" s="1399">
        <v>2850707</v>
      </c>
      <c r="I361" s="1399">
        <v>2850707</v>
      </c>
    </row>
    <row r="362" spans="2:9">
      <c r="B362" s="1297"/>
      <c r="C362" s="1297"/>
      <c r="D362" s="1297" t="s">
        <v>933</v>
      </c>
      <c r="H362" s="1399">
        <v>542611.91999999993</v>
      </c>
      <c r="I362" s="1399">
        <v>542611.91999999993</v>
      </c>
    </row>
    <row r="363" spans="2:9">
      <c r="B363" s="1297"/>
      <c r="C363" s="1297"/>
      <c r="D363" s="1297" t="s">
        <v>934</v>
      </c>
      <c r="H363" s="1399">
        <v>48160</v>
      </c>
      <c r="I363" s="1399">
        <v>48160</v>
      </c>
    </row>
    <row r="364" spans="2:9">
      <c r="B364" s="1297"/>
      <c r="C364" s="1297"/>
      <c r="D364" s="1297" t="s">
        <v>935</v>
      </c>
      <c r="H364" s="1399">
        <v>473956.71</v>
      </c>
      <c r="I364" s="1399">
        <v>473956.71</v>
      </c>
    </row>
    <row r="365" spans="2:9">
      <c r="B365" s="1297"/>
      <c r="C365" s="1297"/>
      <c r="D365" s="1297" t="s">
        <v>936</v>
      </c>
      <c r="H365" s="1399">
        <v>49021.07</v>
      </c>
      <c r="I365" s="1399">
        <v>49021.07</v>
      </c>
    </row>
    <row r="366" spans="2:9">
      <c r="B366" s="1297"/>
      <c r="C366" s="1297"/>
      <c r="D366" s="1297" t="s">
        <v>937</v>
      </c>
      <c r="H366" s="1399">
        <v>12373.09</v>
      </c>
      <c r="I366" s="1399">
        <v>12373.09</v>
      </c>
    </row>
    <row r="367" spans="2:9">
      <c r="B367" s="1297"/>
      <c r="C367" s="1297"/>
      <c r="D367" s="1297" t="s">
        <v>938</v>
      </c>
      <c r="H367" s="1399">
        <v>11042</v>
      </c>
      <c r="I367" s="1399">
        <v>11042</v>
      </c>
    </row>
    <row r="368" spans="2:9">
      <c r="B368" s="1297"/>
      <c r="C368" s="1297"/>
      <c r="D368" s="1297" t="s">
        <v>939</v>
      </c>
      <c r="H368" s="1399">
        <v>790256.57000000007</v>
      </c>
      <c r="I368" s="1399">
        <v>790256.57000000007</v>
      </c>
    </row>
    <row r="369" spans="2:9">
      <c r="B369" s="1297"/>
      <c r="C369" s="1297"/>
      <c r="D369" s="1297" t="s">
        <v>1131</v>
      </c>
      <c r="E369" s="1399">
        <v>224831.01</v>
      </c>
      <c r="I369" s="1399">
        <v>224831.01</v>
      </c>
    </row>
    <row r="370" spans="2:9">
      <c r="B370" s="1297"/>
      <c r="C370" s="1297"/>
      <c r="D370" s="1297" t="s">
        <v>940</v>
      </c>
      <c r="E370" s="1399">
        <v>897730.24</v>
      </c>
      <c r="I370" s="1399">
        <v>897730.24</v>
      </c>
    </row>
    <row r="371" spans="2:9">
      <c r="B371" s="1297"/>
      <c r="C371" s="1297"/>
      <c r="D371" s="1297" t="s">
        <v>941</v>
      </c>
      <c r="E371" s="1399">
        <v>335407.48</v>
      </c>
      <c r="I371" s="1399">
        <v>335407.48</v>
      </c>
    </row>
    <row r="372" spans="2:9">
      <c r="B372" s="1297"/>
      <c r="C372" s="1297"/>
      <c r="D372" s="1297" t="s">
        <v>943</v>
      </c>
      <c r="E372" s="1399">
        <v>17261.240000000002</v>
      </c>
      <c r="I372" s="1399">
        <v>17261.240000000002</v>
      </c>
    </row>
    <row r="373" spans="2:9">
      <c r="B373" s="1297"/>
      <c r="C373" s="1297"/>
      <c r="D373" s="1297" t="s">
        <v>944</v>
      </c>
      <c r="E373" s="1399">
        <v>3221277.59</v>
      </c>
      <c r="I373" s="1399">
        <v>3221277.59</v>
      </c>
    </row>
    <row r="374" spans="2:9">
      <c r="B374" s="1297"/>
      <c r="C374" s="1297"/>
      <c r="D374" s="1297" t="s">
        <v>945</v>
      </c>
      <c r="E374" s="1399">
        <v>1039734.53</v>
      </c>
      <c r="I374" s="1399">
        <v>1039734.53</v>
      </c>
    </row>
    <row r="375" spans="2:9">
      <c r="B375" s="1297"/>
      <c r="C375" s="1297"/>
      <c r="D375" s="1297" t="s">
        <v>947</v>
      </c>
      <c r="E375" s="1399">
        <v>68294.36</v>
      </c>
      <c r="I375" s="1399">
        <v>68294.36</v>
      </c>
    </row>
    <row r="376" spans="2:9">
      <c r="B376" s="1297"/>
      <c r="C376" s="1297"/>
      <c r="D376" s="1297" t="s">
        <v>948</v>
      </c>
      <c r="G376" s="1399">
        <v>2141694.9300000002</v>
      </c>
      <c r="I376" s="1399">
        <v>2141694.9300000002</v>
      </c>
    </row>
    <row r="377" spans="2:9">
      <c r="B377" s="1297"/>
      <c r="C377" s="1297"/>
      <c r="D377" s="1297" t="s">
        <v>956</v>
      </c>
      <c r="G377" s="1399">
        <v>2356.3000000000002</v>
      </c>
      <c r="I377" s="1399">
        <v>2356.3000000000002</v>
      </c>
    </row>
    <row r="378" spans="2:9">
      <c r="B378" s="1297"/>
      <c r="C378" s="1400" t="s">
        <v>1000</v>
      </c>
      <c r="D378" s="1400"/>
      <c r="E378" s="1401">
        <v>5804536.4500000002</v>
      </c>
      <c r="F378" s="1401">
        <v>7795310.8899999997</v>
      </c>
      <c r="G378" s="1401">
        <v>2144051.23</v>
      </c>
      <c r="H378" s="1401">
        <v>18766543.360000003</v>
      </c>
      <c r="I378" s="1401">
        <v>34510441.93</v>
      </c>
    </row>
    <row r="379" spans="2:9">
      <c r="B379" s="1297" t="s">
        <v>1001</v>
      </c>
      <c r="C379" s="1297" t="s">
        <v>1002</v>
      </c>
      <c r="D379" s="1297" t="s">
        <v>906</v>
      </c>
      <c r="F379" s="1399">
        <v>77327762.810000002</v>
      </c>
      <c r="I379" s="1399">
        <v>77327762.810000002</v>
      </c>
    </row>
    <row r="380" spans="2:9">
      <c r="B380" s="1297"/>
      <c r="C380" s="1297"/>
      <c r="D380" s="1297" t="s">
        <v>952</v>
      </c>
      <c r="F380" s="1399">
        <v>672470.97</v>
      </c>
      <c r="I380" s="1399">
        <v>672470.97</v>
      </c>
    </row>
    <row r="381" spans="2:9">
      <c r="B381" s="1297"/>
      <c r="C381" s="1297"/>
      <c r="D381" s="1297" t="s">
        <v>907</v>
      </c>
      <c r="F381" s="1399">
        <v>34113451.409999996</v>
      </c>
      <c r="I381" s="1399">
        <v>34113451.409999996</v>
      </c>
    </row>
    <row r="382" spans="2:9">
      <c r="B382" s="1297"/>
      <c r="C382" s="1297"/>
      <c r="D382" s="1297" t="s">
        <v>909</v>
      </c>
      <c r="F382" s="1399">
        <v>323053.95000000013</v>
      </c>
      <c r="I382" s="1399">
        <v>323053.95000000013</v>
      </c>
    </row>
    <row r="383" spans="2:9">
      <c r="B383" s="1297"/>
      <c r="C383" s="1297"/>
      <c r="D383" s="1297" t="s">
        <v>910</v>
      </c>
      <c r="F383" s="1399">
        <v>456433.55000000005</v>
      </c>
      <c r="I383" s="1399">
        <v>456433.55000000005</v>
      </c>
    </row>
    <row r="384" spans="2:9">
      <c r="B384" s="1297"/>
      <c r="C384" s="1297"/>
      <c r="D384" s="1297" t="s">
        <v>1034</v>
      </c>
      <c r="F384" s="1399">
        <v>249966.82</v>
      </c>
      <c r="I384" s="1399">
        <v>249966.82</v>
      </c>
    </row>
    <row r="385" spans="2:9">
      <c r="B385" s="1297"/>
      <c r="C385" s="1297"/>
      <c r="D385" s="1297" t="s">
        <v>1035</v>
      </c>
      <c r="F385" s="1399">
        <v>1548178.5099999998</v>
      </c>
      <c r="I385" s="1399">
        <v>1548178.5099999998</v>
      </c>
    </row>
    <row r="386" spans="2:9">
      <c r="B386" s="1297"/>
      <c r="C386" s="1297"/>
      <c r="D386" s="1297" t="s">
        <v>1036</v>
      </c>
      <c r="F386" s="1399">
        <v>463323.96</v>
      </c>
      <c r="I386" s="1399">
        <v>463323.96</v>
      </c>
    </row>
    <row r="387" spans="2:9">
      <c r="B387" s="1297"/>
      <c r="C387" s="1297"/>
      <c r="D387" s="1297" t="s">
        <v>1037</v>
      </c>
      <c r="F387" s="1399">
        <v>26011.56</v>
      </c>
      <c r="I387" s="1399">
        <v>26011.56</v>
      </c>
    </row>
    <row r="388" spans="2:9">
      <c r="B388" s="1297"/>
      <c r="C388" s="1297"/>
      <c r="D388" s="1297" t="s">
        <v>1038</v>
      </c>
      <c r="F388" s="1399">
        <v>64589.51</v>
      </c>
      <c r="I388" s="1399">
        <v>64589.51</v>
      </c>
    </row>
    <row r="389" spans="2:9">
      <c r="B389" s="1297"/>
      <c r="C389" s="1297"/>
      <c r="D389" s="1297" t="s">
        <v>1003</v>
      </c>
      <c r="F389" s="1399">
        <v>332820.56</v>
      </c>
      <c r="I389" s="1399">
        <v>332820.56</v>
      </c>
    </row>
    <row r="390" spans="2:9">
      <c r="B390" s="1297"/>
      <c r="C390" s="1297"/>
      <c r="D390" s="1297" t="s">
        <v>1039</v>
      </c>
      <c r="F390" s="1399">
        <v>122055.81999999998</v>
      </c>
      <c r="I390" s="1399">
        <v>122055.81999999998</v>
      </c>
    </row>
    <row r="391" spans="2:9">
      <c r="B391" s="1297"/>
      <c r="C391" s="1297"/>
      <c r="D391" s="1297" t="s">
        <v>1040</v>
      </c>
      <c r="F391" s="1399">
        <v>660365.20000000019</v>
      </c>
      <c r="I391" s="1399">
        <v>660365.20000000019</v>
      </c>
    </row>
    <row r="392" spans="2:9">
      <c r="B392" s="1297"/>
      <c r="C392" s="1297"/>
      <c r="D392" s="1297" t="s">
        <v>1127</v>
      </c>
      <c r="F392" s="1399">
        <v>87628.15</v>
      </c>
      <c r="I392" s="1399">
        <v>87628.15</v>
      </c>
    </row>
    <row r="393" spans="2:9">
      <c r="B393" s="1297"/>
      <c r="C393" s="1297"/>
      <c r="D393" s="1297" t="s">
        <v>1041</v>
      </c>
      <c r="F393" s="1399">
        <v>212777.15000000005</v>
      </c>
      <c r="I393" s="1399">
        <v>212777.15000000005</v>
      </c>
    </row>
    <row r="394" spans="2:9">
      <c r="B394" s="1297"/>
      <c r="C394" s="1297"/>
      <c r="D394" s="1297" t="s">
        <v>1042</v>
      </c>
      <c r="F394" s="1399">
        <v>220859.75000000003</v>
      </c>
      <c r="I394" s="1399">
        <v>220859.75000000003</v>
      </c>
    </row>
    <row r="395" spans="2:9">
      <c r="B395" s="1297"/>
      <c r="C395" s="1297"/>
      <c r="D395" s="1297" t="s">
        <v>953</v>
      </c>
      <c r="F395" s="1399">
        <v>469649.52</v>
      </c>
      <c r="I395" s="1399">
        <v>469649.52</v>
      </c>
    </row>
    <row r="396" spans="2:9">
      <c r="B396" s="1297"/>
      <c r="C396" s="1297"/>
      <c r="D396" s="1297" t="s">
        <v>1043</v>
      </c>
      <c r="F396" s="1399">
        <v>1363383.3599999999</v>
      </c>
      <c r="I396" s="1399">
        <v>1363383.3599999999</v>
      </c>
    </row>
    <row r="397" spans="2:9">
      <c r="B397" s="1297"/>
      <c r="C397" s="1297"/>
      <c r="D397" s="1297" t="s">
        <v>986</v>
      </c>
      <c r="F397" s="1399">
        <v>49811.490000000005</v>
      </c>
      <c r="I397" s="1399">
        <v>49811.490000000005</v>
      </c>
    </row>
    <row r="398" spans="2:9">
      <c r="B398" s="1297"/>
      <c r="C398" s="1297"/>
      <c r="D398" s="1297" t="s">
        <v>990</v>
      </c>
      <c r="F398" s="1399">
        <v>12697.07</v>
      </c>
      <c r="I398" s="1399">
        <v>12697.07</v>
      </c>
    </row>
    <row r="399" spans="2:9">
      <c r="B399" s="1297"/>
      <c r="C399" s="1297"/>
      <c r="D399" s="1297" t="s">
        <v>996</v>
      </c>
      <c r="F399" s="1399">
        <v>9507.7900000000009</v>
      </c>
      <c r="I399" s="1399">
        <v>9507.7900000000009</v>
      </c>
    </row>
    <row r="400" spans="2:9">
      <c r="B400" s="1297"/>
      <c r="C400" s="1297"/>
      <c r="D400" s="1297" t="s">
        <v>1004</v>
      </c>
      <c r="F400" s="1399">
        <v>-1746370.76</v>
      </c>
      <c r="I400" s="1399">
        <v>-1746370.76</v>
      </c>
    </row>
    <row r="401" spans="2:9">
      <c r="B401" s="1297"/>
      <c r="C401" s="1297"/>
      <c r="D401" s="1297" t="s">
        <v>1005</v>
      </c>
      <c r="F401" s="1399">
        <v>1734815.66</v>
      </c>
      <c r="I401" s="1399">
        <v>1734815.66</v>
      </c>
    </row>
    <row r="402" spans="2:9">
      <c r="B402" s="1297"/>
      <c r="C402" s="1297"/>
      <c r="D402" s="1297" t="s">
        <v>1044</v>
      </c>
      <c r="F402" s="1399">
        <v>1429359.25</v>
      </c>
      <c r="I402" s="1399">
        <v>1429359.25</v>
      </c>
    </row>
    <row r="403" spans="2:9">
      <c r="B403" s="1297"/>
      <c r="C403" s="1297"/>
      <c r="D403" s="1297" t="s">
        <v>1045</v>
      </c>
      <c r="F403" s="1399">
        <v>4693889.2800000012</v>
      </c>
      <c r="I403" s="1399">
        <v>4693889.2800000012</v>
      </c>
    </row>
    <row r="404" spans="2:9">
      <c r="B404" s="1297"/>
      <c r="C404" s="1297"/>
      <c r="D404" s="1297" t="s">
        <v>1046</v>
      </c>
      <c r="H404" s="1399">
        <v>93181855</v>
      </c>
      <c r="I404" s="1399">
        <v>93181855</v>
      </c>
    </row>
    <row r="405" spans="2:9">
      <c r="B405" s="1297"/>
      <c r="C405" s="1297"/>
      <c r="D405" s="1297" t="s">
        <v>932</v>
      </c>
      <c r="H405" s="1399">
        <v>4678040</v>
      </c>
      <c r="I405" s="1399">
        <v>4678040</v>
      </c>
    </row>
    <row r="406" spans="2:9">
      <c r="B406" s="1297"/>
      <c r="C406" s="1297"/>
      <c r="D406" s="1297" t="s">
        <v>955</v>
      </c>
      <c r="H406" s="1399">
        <v>3268033.79</v>
      </c>
      <c r="I406" s="1399">
        <v>3268033.79</v>
      </c>
    </row>
    <row r="407" spans="2:9">
      <c r="B407" s="1297"/>
      <c r="C407" s="1297"/>
      <c r="D407" s="1297" t="s">
        <v>934</v>
      </c>
      <c r="H407" s="1399">
        <v>414721.99999999988</v>
      </c>
      <c r="I407" s="1399">
        <v>414721.99999999988</v>
      </c>
    </row>
    <row r="408" spans="2:9">
      <c r="B408" s="1297"/>
      <c r="C408" s="1297"/>
      <c r="D408" s="1297" t="s">
        <v>1130</v>
      </c>
      <c r="H408" s="1399">
        <v>1048870.1000000001</v>
      </c>
      <c r="I408" s="1399">
        <v>1048870.1000000001</v>
      </c>
    </row>
    <row r="409" spans="2:9">
      <c r="B409" s="1297"/>
      <c r="C409" s="1297"/>
      <c r="D409" s="1297" t="s">
        <v>935</v>
      </c>
      <c r="H409" s="1399">
        <v>5453929.5700000003</v>
      </c>
      <c r="I409" s="1399">
        <v>5453929.5700000003</v>
      </c>
    </row>
    <row r="410" spans="2:9">
      <c r="B410" s="1297"/>
      <c r="C410" s="1297"/>
      <c r="D410" s="1297" t="s">
        <v>936</v>
      </c>
      <c r="H410" s="1399">
        <v>386216.04</v>
      </c>
      <c r="I410" s="1399">
        <v>386216.04</v>
      </c>
    </row>
    <row r="411" spans="2:9">
      <c r="B411" s="1297"/>
      <c r="C411" s="1297"/>
      <c r="D411" s="1297" t="s">
        <v>937</v>
      </c>
      <c r="H411" s="1399">
        <v>32689.27</v>
      </c>
      <c r="I411" s="1399">
        <v>32689.27</v>
      </c>
    </row>
    <row r="412" spans="2:9">
      <c r="B412" s="1297"/>
      <c r="C412" s="1297"/>
      <c r="D412" s="1297" t="s">
        <v>938</v>
      </c>
      <c r="H412" s="1399">
        <v>128391</v>
      </c>
      <c r="I412" s="1399">
        <v>128391</v>
      </c>
    </row>
    <row r="413" spans="2:9">
      <c r="B413" s="1297"/>
      <c r="C413" s="1297"/>
      <c r="D413" s="1297" t="s">
        <v>939</v>
      </c>
      <c r="H413" s="1399">
        <v>46007.86</v>
      </c>
      <c r="I413" s="1399">
        <v>46007.86</v>
      </c>
    </row>
    <row r="414" spans="2:9">
      <c r="B414" s="1297"/>
      <c r="C414" s="1297"/>
      <c r="D414" s="1297" t="s">
        <v>1131</v>
      </c>
      <c r="E414" s="1399">
        <v>368945.77</v>
      </c>
      <c r="I414" s="1399">
        <v>368945.77</v>
      </c>
    </row>
    <row r="415" spans="2:9">
      <c r="B415" s="1297"/>
      <c r="C415" s="1297"/>
      <c r="D415" s="1297" t="s">
        <v>940</v>
      </c>
      <c r="E415" s="1399">
        <v>8314258.7599999979</v>
      </c>
      <c r="I415" s="1399">
        <v>8314258.7599999979</v>
      </c>
    </row>
    <row r="416" spans="2:9">
      <c r="B416" s="1297"/>
      <c r="C416" s="1297"/>
      <c r="D416" s="1297" t="s">
        <v>941</v>
      </c>
      <c r="E416" s="1399">
        <v>3029838.44</v>
      </c>
      <c r="I416" s="1399">
        <v>3029838.44</v>
      </c>
    </row>
    <row r="417" spans="2:9">
      <c r="B417" s="1297"/>
      <c r="C417" s="1297"/>
      <c r="D417" s="1297" t="s">
        <v>943</v>
      </c>
      <c r="E417" s="1399">
        <v>106470.43</v>
      </c>
      <c r="I417" s="1399">
        <v>106470.43</v>
      </c>
    </row>
    <row r="418" spans="2:9">
      <c r="B418" s="1297"/>
      <c r="C418" s="1297"/>
      <c r="D418" s="1297" t="s">
        <v>944</v>
      </c>
      <c r="E418" s="1399">
        <v>28254194.460000001</v>
      </c>
      <c r="I418" s="1399">
        <v>28254194.460000001</v>
      </c>
    </row>
    <row r="419" spans="2:9">
      <c r="B419" s="1297"/>
      <c r="C419" s="1297"/>
      <c r="D419" s="1297" t="s">
        <v>945</v>
      </c>
      <c r="E419" s="1399">
        <v>15233625.889999999</v>
      </c>
      <c r="I419" s="1399">
        <v>15233625.889999999</v>
      </c>
    </row>
    <row r="420" spans="2:9">
      <c r="B420" s="1297"/>
      <c r="C420" s="1297"/>
      <c r="D420" s="1297" t="s">
        <v>946</v>
      </c>
      <c r="E420" s="1399">
        <v>406089.94</v>
      </c>
      <c r="I420" s="1399">
        <v>406089.94</v>
      </c>
    </row>
    <row r="421" spans="2:9">
      <c r="B421" s="1297"/>
      <c r="C421" s="1297"/>
      <c r="D421" s="1297" t="s">
        <v>978</v>
      </c>
      <c r="E421" s="1399">
        <v>30329.8</v>
      </c>
      <c r="I421" s="1399">
        <v>30329.8</v>
      </c>
    </row>
    <row r="422" spans="2:9">
      <c r="B422" s="1297"/>
      <c r="C422" s="1297"/>
      <c r="D422" s="1297" t="s">
        <v>1006</v>
      </c>
      <c r="E422" s="1399">
        <v>22780.77</v>
      </c>
      <c r="I422" s="1399">
        <v>22780.77</v>
      </c>
    </row>
    <row r="423" spans="2:9">
      <c r="B423" s="1297"/>
      <c r="C423" s="1297"/>
      <c r="D423" s="1297" t="s">
        <v>947</v>
      </c>
      <c r="E423" s="1399">
        <v>831895.67999999993</v>
      </c>
      <c r="I423" s="1399">
        <v>831895.67999999993</v>
      </c>
    </row>
    <row r="424" spans="2:9">
      <c r="B424" s="1297"/>
      <c r="C424" s="1297"/>
      <c r="D424" s="1297" t="s">
        <v>1116</v>
      </c>
      <c r="G424" s="1399">
        <v>30000000</v>
      </c>
      <c r="I424" s="1399">
        <v>30000000</v>
      </c>
    </row>
    <row r="425" spans="2:9">
      <c r="B425" s="1297"/>
      <c r="C425" s="1297"/>
      <c r="D425" s="1297" t="s">
        <v>1117</v>
      </c>
      <c r="G425" s="1399">
        <v>2701490.25</v>
      </c>
      <c r="I425" s="1399">
        <v>2701490.25</v>
      </c>
    </row>
    <row r="426" spans="2:9">
      <c r="B426" s="1297"/>
      <c r="C426" s="1297"/>
      <c r="D426" s="1297" t="s">
        <v>948</v>
      </c>
      <c r="G426" s="1399">
        <v>27176695.380000003</v>
      </c>
      <c r="I426" s="1399">
        <v>27176695.380000003</v>
      </c>
    </row>
    <row r="427" spans="2:9">
      <c r="B427" s="1297"/>
      <c r="C427" s="1297"/>
      <c r="D427" s="1297" t="s">
        <v>956</v>
      </c>
      <c r="G427" s="1399">
        <v>126591.49</v>
      </c>
      <c r="I427" s="1399">
        <v>126591.49</v>
      </c>
    </row>
    <row r="428" spans="2:9">
      <c r="B428" s="1297"/>
      <c r="C428" s="1297"/>
      <c r="D428" s="1297" t="s">
        <v>1118</v>
      </c>
      <c r="G428" s="1399">
        <v>124.13</v>
      </c>
      <c r="I428" s="1399">
        <v>124.13</v>
      </c>
    </row>
    <row r="429" spans="2:9">
      <c r="B429" s="1297"/>
      <c r="C429" s="1400" t="s">
        <v>1007</v>
      </c>
      <c r="D429" s="1400"/>
      <c r="E429" s="1401">
        <v>56598429.939999998</v>
      </c>
      <c r="F429" s="1401">
        <v>124898492.33999999</v>
      </c>
      <c r="G429" s="1401">
        <v>60004901.250000007</v>
      </c>
      <c r="H429" s="1401">
        <v>108638754.63000001</v>
      </c>
      <c r="I429" s="1401">
        <v>350140578.15999997</v>
      </c>
    </row>
    <row r="430" spans="2:9">
      <c r="B430" s="1297" t="s">
        <v>1008</v>
      </c>
      <c r="C430" s="1297" t="s">
        <v>1009</v>
      </c>
      <c r="D430" s="1297" t="s">
        <v>906</v>
      </c>
      <c r="F430" s="1399">
        <v>3194258.48</v>
      </c>
      <c r="I430" s="1399">
        <v>3194258.48</v>
      </c>
    </row>
    <row r="431" spans="2:9">
      <c r="B431" s="1297"/>
      <c r="C431" s="1297"/>
      <c r="D431" s="1297" t="s">
        <v>952</v>
      </c>
      <c r="F431" s="1399">
        <v>30587.24</v>
      </c>
      <c r="I431" s="1399">
        <v>30587.24</v>
      </c>
    </row>
    <row r="432" spans="2:9">
      <c r="B432" s="1297"/>
      <c r="C432" s="1297"/>
      <c r="D432" s="1297" t="s">
        <v>907</v>
      </c>
      <c r="F432" s="1399">
        <v>978939.77</v>
      </c>
      <c r="I432" s="1399">
        <v>978939.77</v>
      </c>
    </row>
    <row r="433" spans="2:9">
      <c r="B433" s="1297"/>
      <c r="C433" s="1297"/>
      <c r="D433" s="1297" t="s">
        <v>908</v>
      </c>
      <c r="F433" s="1399">
        <v>7469.03</v>
      </c>
      <c r="I433" s="1399">
        <v>7469.03</v>
      </c>
    </row>
    <row r="434" spans="2:9">
      <c r="B434" s="1297"/>
      <c r="C434" s="1297"/>
      <c r="D434" s="1297" t="s">
        <v>909</v>
      </c>
      <c r="F434" s="1399">
        <v>2247.4</v>
      </c>
      <c r="I434" s="1399">
        <v>2247.4</v>
      </c>
    </row>
    <row r="435" spans="2:9">
      <c r="B435" s="1297"/>
      <c r="C435" s="1297"/>
      <c r="D435" s="1297" t="s">
        <v>1035</v>
      </c>
      <c r="F435" s="1399">
        <v>776867.97</v>
      </c>
      <c r="I435" s="1399">
        <v>776867.97</v>
      </c>
    </row>
    <row r="436" spans="2:9">
      <c r="B436" s="1297"/>
      <c r="C436" s="1297"/>
      <c r="D436" s="1297" t="s">
        <v>1036</v>
      </c>
      <c r="F436" s="1399">
        <v>12456.97</v>
      </c>
      <c r="I436" s="1399">
        <v>12456.97</v>
      </c>
    </row>
    <row r="437" spans="2:9">
      <c r="B437" s="1297"/>
      <c r="C437" s="1297"/>
      <c r="D437" s="1297" t="s">
        <v>1039</v>
      </c>
      <c r="F437" s="1399">
        <v>37976.860000000008</v>
      </c>
      <c r="I437" s="1399">
        <v>37976.860000000008</v>
      </c>
    </row>
    <row r="438" spans="2:9">
      <c r="B438" s="1297"/>
      <c r="C438" s="1297"/>
      <c r="D438" s="1297" t="s">
        <v>1040</v>
      </c>
      <c r="F438" s="1399">
        <v>258390.11</v>
      </c>
      <c r="I438" s="1399">
        <v>258390.11</v>
      </c>
    </row>
    <row r="439" spans="2:9">
      <c r="B439" s="1297"/>
      <c r="C439" s="1297"/>
      <c r="D439" s="1297" t="s">
        <v>1041</v>
      </c>
      <c r="F439" s="1399">
        <v>26381.3</v>
      </c>
      <c r="I439" s="1399">
        <v>26381.3</v>
      </c>
    </row>
    <row r="440" spans="2:9">
      <c r="B440" s="1297"/>
      <c r="C440" s="1297"/>
      <c r="D440" s="1297" t="s">
        <v>1042</v>
      </c>
      <c r="F440" s="1399">
        <v>60862.879999999997</v>
      </c>
      <c r="I440" s="1399">
        <v>60862.879999999997</v>
      </c>
    </row>
    <row r="441" spans="2:9">
      <c r="B441" s="1297"/>
      <c r="C441" s="1297"/>
      <c r="D441" s="1297" t="s">
        <v>1044</v>
      </c>
      <c r="F441" s="1399">
        <v>13</v>
      </c>
      <c r="I441" s="1399">
        <v>13</v>
      </c>
    </row>
    <row r="442" spans="2:9">
      <c r="B442" s="1297"/>
      <c r="C442" s="1297"/>
      <c r="D442" s="1297" t="s">
        <v>1045</v>
      </c>
      <c r="F442" s="1399">
        <v>311247.40000000002</v>
      </c>
      <c r="I442" s="1399">
        <v>311247.40000000002</v>
      </c>
    </row>
    <row r="443" spans="2:9">
      <c r="B443" s="1297"/>
      <c r="C443" s="1297"/>
      <c r="D443" s="1297" t="s">
        <v>1046</v>
      </c>
      <c r="H443" s="1399">
        <v>12364588</v>
      </c>
      <c r="I443" s="1399">
        <v>12364588</v>
      </c>
    </row>
    <row r="444" spans="2:9">
      <c r="B444" s="1297"/>
      <c r="C444" s="1297"/>
      <c r="D444" s="1297" t="s">
        <v>1047</v>
      </c>
      <c r="H444" s="1399">
        <v>424423</v>
      </c>
      <c r="I444" s="1399">
        <v>424423</v>
      </c>
    </row>
    <row r="445" spans="2:9">
      <c r="B445" s="1297"/>
      <c r="C445" s="1297"/>
      <c r="D445" s="1297" t="s">
        <v>1048</v>
      </c>
      <c r="H445" s="1399">
        <v>-1114388</v>
      </c>
      <c r="I445" s="1399">
        <v>-1114388</v>
      </c>
    </row>
    <row r="446" spans="2:9">
      <c r="B446" s="1297"/>
      <c r="C446" s="1297"/>
      <c r="D446" s="1297" t="s">
        <v>932</v>
      </c>
      <c r="H446" s="1399">
        <v>1492901</v>
      </c>
      <c r="I446" s="1399">
        <v>1492901</v>
      </c>
    </row>
    <row r="447" spans="2:9">
      <c r="B447" s="1297"/>
      <c r="C447" s="1297"/>
      <c r="D447" s="1297" t="s">
        <v>933</v>
      </c>
      <c r="H447" s="1399">
        <v>738266.2</v>
      </c>
      <c r="I447" s="1399">
        <v>738266.2</v>
      </c>
    </row>
    <row r="448" spans="2:9">
      <c r="B448" s="1297"/>
      <c r="C448" s="1297"/>
      <c r="D448" s="1297" t="s">
        <v>934</v>
      </c>
      <c r="H448" s="1399">
        <v>45868</v>
      </c>
      <c r="I448" s="1399">
        <v>45868</v>
      </c>
    </row>
    <row r="449" spans="2:9">
      <c r="B449" s="1297"/>
      <c r="C449" s="1297"/>
      <c r="D449" s="1297" t="s">
        <v>1130</v>
      </c>
      <c r="H449" s="1399">
        <v>190853.6</v>
      </c>
      <c r="I449" s="1399">
        <v>190853.6</v>
      </c>
    </row>
    <row r="450" spans="2:9">
      <c r="B450" s="1297"/>
      <c r="C450" s="1297"/>
      <c r="D450" s="1297" t="s">
        <v>935</v>
      </c>
      <c r="H450" s="1399">
        <v>244616.97000000003</v>
      </c>
      <c r="I450" s="1399">
        <v>244616.97000000003</v>
      </c>
    </row>
    <row r="451" spans="2:9">
      <c r="B451" s="1297"/>
      <c r="C451" s="1297"/>
      <c r="D451" s="1297" t="s">
        <v>936</v>
      </c>
      <c r="H451" s="1399">
        <v>39917.160000000003</v>
      </c>
      <c r="I451" s="1399">
        <v>39917.160000000003</v>
      </c>
    </row>
    <row r="452" spans="2:9">
      <c r="B452" s="1297"/>
      <c r="C452" s="1297"/>
      <c r="D452" s="1297" t="s">
        <v>937</v>
      </c>
      <c r="H452" s="1399">
        <v>21793.4</v>
      </c>
      <c r="I452" s="1399">
        <v>21793.4</v>
      </c>
    </row>
    <row r="453" spans="2:9">
      <c r="B453" s="1297"/>
      <c r="C453" s="1297"/>
      <c r="D453" s="1297" t="s">
        <v>938</v>
      </c>
      <c r="H453" s="1399">
        <v>15534</v>
      </c>
      <c r="I453" s="1399">
        <v>15534</v>
      </c>
    </row>
    <row r="454" spans="2:9">
      <c r="B454" s="1297"/>
      <c r="C454" s="1297"/>
      <c r="D454" s="1297" t="s">
        <v>939</v>
      </c>
      <c r="H454" s="1399">
        <v>41770.47</v>
      </c>
      <c r="I454" s="1399">
        <v>41770.47</v>
      </c>
    </row>
    <row r="455" spans="2:9">
      <c r="B455" s="1297"/>
      <c r="C455" s="1297"/>
      <c r="D455" s="1297" t="s">
        <v>1131</v>
      </c>
      <c r="E455" s="1399">
        <v>1329942.1599999999</v>
      </c>
      <c r="I455" s="1399">
        <v>1329942.1599999999</v>
      </c>
    </row>
    <row r="456" spans="2:9">
      <c r="B456" s="1297"/>
      <c r="C456" s="1297"/>
      <c r="D456" s="1297" t="s">
        <v>940</v>
      </c>
      <c r="E456" s="1399">
        <v>768530.94</v>
      </c>
      <c r="I456" s="1399">
        <v>768530.94</v>
      </c>
    </row>
    <row r="457" spans="2:9">
      <c r="B457" s="1297"/>
      <c r="C457" s="1297"/>
      <c r="D457" s="1297" t="s">
        <v>941</v>
      </c>
      <c r="E457" s="1399">
        <v>246090.6</v>
      </c>
      <c r="I457" s="1399">
        <v>246090.6</v>
      </c>
    </row>
    <row r="458" spans="2:9">
      <c r="B458" s="1297"/>
      <c r="C458" s="1297"/>
      <c r="D458" s="1297" t="s">
        <v>943</v>
      </c>
      <c r="E458" s="1399">
        <v>27227.56</v>
      </c>
      <c r="I458" s="1399">
        <v>27227.56</v>
      </c>
    </row>
    <row r="459" spans="2:9">
      <c r="B459" s="1297"/>
      <c r="C459" s="1297"/>
      <c r="D459" s="1297" t="s">
        <v>944</v>
      </c>
      <c r="E459" s="1399">
        <v>1805985.21</v>
      </c>
      <c r="I459" s="1399">
        <v>1805985.21</v>
      </c>
    </row>
    <row r="460" spans="2:9">
      <c r="B460" s="1297"/>
      <c r="C460" s="1297"/>
      <c r="D460" s="1297" t="s">
        <v>945</v>
      </c>
      <c r="E460" s="1399">
        <v>948042.32</v>
      </c>
      <c r="I460" s="1399">
        <v>948042.32</v>
      </c>
    </row>
    <row r="461" spans="2:9">
      <c r="B461" s="1297"/>
      <c r="C461" s="1297"/>
      <c r="D461" s="1297" t="s">
        <v>946</v>
      </c>
      <c r="E461" s="1399">
        <v>48975.72</v>
      </c>
      <c r="I461" s="1399">
        <v>48975.72</v>
      </c>
    </row>
    <row r="462" spans="2:9">
      <c r="B462" s="1297"/>
      <c r="C462" s="1297"/>
      <c r="D462" s="1297" t="s">
        <v>947</v>
      </c>
      <c r="E462" s="1399">
        <v>176038.5</v>
      </c>
      <c r="I462" s="1399">
        <v>176038.5</v>
      </c>
    </row>
    <row r="463" spans="2:9">
      <c r="B463" s="1297"/>
      <c r="C463" s="1297"/>
      <c r="D463" s="1297" t="s">
        <v>948</v>
      </c>
      <c r="G463" s="1399">
        <v>4279306.82</v>
      </c>
      <c r="I463" s="1399">
        <v>4279306.82</v>
      </c>
    </row>
    <row r="464" spans="2:9">
      <c r="B464" s="1297"/>
      <c r="C464" s="1297"/>
      <c r="D464" s="1297" t="s">
        <v>1118</v>
      </c>
      <c r="G464" s="1399">
        <v>900</v>
      </c>
      <c r="I464" s="1399">
        <v>900</v>
      </c>
    </row>
    <row r="465" spans="2:9">
      <c r="B465" s="1297"/>
      <c r="C465" s="1400" t="s">
        <v>1010</v>
      </c>
      <c r="D465" s="1400"/>
      <c r="E465" s="1401">
        <v>5350833.01</v>
      </c>
      <c r="F465" s="1401">
        <v>5697698.4100000011</v>
      </c>
      <c r="G465" s="1401">
        <v>4280206.82</v>
      </c>
      <c r="H465" s="1401">
        <v>14506143.800000001</v>
      </c>
      <c r="I465" s="1401">
        <v>29834882.039999999</v>
      </c>
    </row>
    <row r="466" spans="2:9">
      <c r="B466" s="1297" t="s">
        <v>1011</v>
      </c>
      <c r="C466" s="1297" t="s">
        <v>1012</v>
      </c>
      <c r="D466" s="1297" t="s">
        <v>906</v>
      </c>
      <c r="F466" s="1399">
        <v>4123002.98</v>
      </c>
      <c r="I466" s="1399">
        <v>4123002.98</v>
      </c>
    </row>
    <row r="467" spans="2:9">
      <c r="B467" s="1297"/>
      <c r="C467" s="1297"/>
      <c r="D467" s="1297" t="s">
        <v>907</v>
      </c>
      <c r="F467" s="1399">
        <v>1066140.3899999999</v>
      </c>
      <c r="I467" s="1399">
        <v>1066140.3899999999</v>
      </c>
    </row>
    <row r="468" spans="2:9">
      <c r="B468" s="1297"/>
      <c r="C468" s="1297"/>
      <c r="D468" s="1297" t="s">
        <v>908</v>
      </c>
      <c r="F468" s="1399">
        <v>66814.100000000006</v>
      </c>
      <c r="I468" s="1399">
        <v>66814.100000000006</v>
      </c>
    </row>
    <row r="469" spans="2:9">
      <c r="B469" s="1297"/>
      <c r="C469" s="1297"/>
      <c r="D469" s="1297" t="s">
        <v>909</v>
      </c>
      <c r="F469" s="1399">
        <v>15542.18</v>
      </c>
      <c r="I469" s="1399">
        <v>15542.18</v>
      </c>
    </row>
    <row r="470" spans="2:9">
      <c r="B470" s="1297"/>
      <c r="C470" s="1297"/>
      <c r="D470" s="1297" t="s">
        <v>910</v>
      </c>
      <c r="F470" s="1399">
        <v>1770</v>
      </c>
      <c r="I470" s="1399">
        <v>1770</v>
      </c>
    </row>
    <row r="471" spans="2:9">
      <c r="B471" s="1297"/>
      <c r="C471" s="1297"/>
      <c r="D471" s="1297" t="s">
        <v>1034</v>
      </c>
      <c r="F471" s="1399">
        <v>30100.959999999999</v>
      </c>
      <c r="I471" s="1399">
        <v>30100.959999999999</v>
      </c>
    </row>
    <row r="472" spans="2:9">
      <c r="B472" s="1297"/>
      <c r="C472" s="1297"/>
      <c r="D472" s="1297" t="s">
        <v>1035</v>
      </c>
      <c r="F472" s="1399">
        <v>648058.62000000011</v>
      </c>
      <c r="I472" s="1399">
        <v>648058.62000000011</v>
      </c>
    </row>
    <row r="473" spans="2:9">
      <c r="B473" s="1297"/>
      <c r="C473" s="1297"/>
      <c r="D473" s="1297" t="s">
        <v>1036</v>
      </c>
      <c r="F473" s="1399">
        <v>116089.09</v>
      </c>
      <c r="I473" s="1399">
        <v>116089.09</v>
      </c>
    </row>
    <row r="474" spans="2:9">
      <c r="B474" s="1297"/>
      <c r="C474" s="1297"/>
      <c r="D474" s="1297" t="s">
        <v>1039</v>
      </c>
      <c r="F474" s="1399">
        <v>141468.00000000003</v>
      </c>
      <c r="I474" s="1399">
        <v>141468.00000000003</v>
      </c>
    </row>
    <row r="475" spans="2:9">
      <c r="B475" s="1297"/>
      <c r="C475" s="1297"/>
      <c r="D475" s="1297" t="s">
        <v>1040</v>
      </c>
      <c r="F475" s="1399">
        <v>180350.97</v>
      </c>
      <c r="I475" s="1399">
        <v>180350.97</v>
      </c>
    </row>
    <row r="476" spans="2:9">
      <c r="B476" s="1297"/>
      <c r="C476" s="1297"/>
      <c r="D476" s="1297" t="s">
        <v>1041</v>
      </c>
      <c r="F476" s="1399">
        <v>45259.09</v>
      </c>
      <c r="I476" s="1399">
        <v>45259.09</v>
      </c>
    </row>
    <row r="477" spans="2:9">
      <c r="B477" s="1297"/>
      <c r="C477" s="1297"/>
      <c r="D477" s="1297" t="s">
        <v>1042</v>
      </c>
      <c r="F477" s="1399">
        <v>55005.36</v>
      </c>
      <c r="I477" s="1399">
        <v>55005.36</v>
      </c>
    </row>
    <row r="478" spans="2:9">
      <c r="B478" s="1297"/>
      <c r="C478" s="1297"/>
      <c r="D478" s="1297" t="s">
        <v>953</v>
      </c>
      <c r="F478" s="1399">
        <v>29781</v>
      </c>
      <c r="I478" s="1399">
        <v>29781</v>
      </c>
    </row>
    <row r="479" spans="2:9">
      <c r="B479" s="1297"/>
      <c r="C479" s="1297"/>
      <c r="D479" s="1297" t="s">
        <v>986</v>
      </c>
      <c r="F479" s="1399">
        <v>28701.68</v>
      </c>
      <c r="I479" s="1399">
        <v>28701.68</v>
      </c>
    </row>
    <row r="480" spans="2:9">
      <c r="B480" s="1297"/>
      <c r="C480" s="1297"/>
      <c r="D480" s="1297" t="s">
        <v>1045</v>
      </c>
      <c r="F480" s="1399">
        <v>217217.83000000002</v>
      </c>
      <c r="I480" s="1399">
        <v>217217.83000000002</v>
      </c>
    </row>
    <row r="481" spans="2:9">
      <c r="B481" s="1297"/>
      <c r="C481" s="1297"/>
      <c r="D481" s="1297" t="s">
        <v>1046</v>
      </c>
      <c r="H481" s="1399">
        <v>16459799</v>
      </c>
      <c r="I481" s="1399">
        <v>16459799</v>
      </c>
    </row>
    <row r="482" spans="2:9">
      <c r="B482" s="1297"/>
      <c r="C482" s="1297"/>
      <c r="D482" s="1297" t="s">
        <v>1047</v>
      </c>
      <c r="H482" s="1399">
        <v>627857</v>
      </c>
      <c r="I482" s="1399">
        <v>627857</v>
      </c>
    </row>
    <row r="483" spans="2:9">
      <c r="B483" s="1297"/>
      <c r="C483" s="1297"/>
      <c r="D483" s="1297" t="s">
        <v>1048</v>
      </c>
      <c r="H483" s="1399">
        <v>-1507339</v>
      </c>
      <c r="I483" s="1399">
        <v>-1507339</v>
      </c>
    </row>
    <row r="484" spans="2:9">
      <c r="B484" s="1297"/>
      <c r="C484" s="1297"/>
      <c r="D484" s="1297" t="s">
        <v>932</v>
      </c>
      <c r="H484" s="1399">
        <v>2343553</v>
      </c>
      <c r="I484" s="1399">
        <v>2343553</v>
      </c>
    </row>
    <row r="485" spans="2:9">
      <c r="B485" s="1297"/>
      <c r="C485" s="1297"/>
      <c r="D485" s="1297" t="s">
        <v>933</v>
      </c>
      <c r="H485" s="1399">
        <v>907022.35</v>
      </c>
      <c r="I485" s="1399">
        <v>907022.35</v>
      </c>
    </row>
    <row r="486" spans="2:9">
      <c r="B486" s="1297"/>
      <c r="C486" s="1297"/>
      <c r="D486" s="1297" t="s">
        <v>934</v>
      </c>
      <c r="H486" s="1399">
        <v>56510</v>
      </c>
      <c r="I486" s="1399">
        <v>56510</v>
      </c>
    </row>
    <row r="487" spans="2:9">
      <c r="B487" s="1297"/>
      <c r="C487" s="1297"/>
      <c r="D487" s="1297" t="s">
        <v>1130</v>
      </c>
      <c r="H487" s="1399">
        <v>180</v>
      </c>
      <c r="I487" s="1399">
        <v>180</v>
      </c>
    </row>
    <row r="488" spans="2:9">
      <c r="B488" s="1297"/>
      <c r="C488" s="1297"/>
      <c r="D488" s="1297" t="s">
        <v>935</v>
      </c>
      <c r="H488" s="1399">
        <v>475185.07</v>
      </c>
      <c r="I488" s="1399">
        <v>475185.07</v>
      </c>
    </row>
    <row r="489" spans="2:9">
      <c r="B489" s="1297"/>
      <c r="C489" s="1297"/>
      <c r="D489" s="1297" t="s">
        <v>936</v>
      </c>
      <c r="H489" s="1399">
        <v>54973.63</v>
      </c>
      <c r="I489" s="1399">
        <v>54973.63</v>
      </c>
    </row>
    <row r="490" spans="2:9">
      <c r="B490" s="1297"/>
      <c r="C490" s="1297"/>
      <c r="D490" s="1297" t="s">
        <v>937</v>
      </c>
      <c r="H490" s="1399">
        <v>2590.65</v>
      </c>
      <c r="I490" s="1399">
        <v>2590.65</v>
      </c>
    </row>
    <row r="491" spans="2:9">
      <c r="B491" s="1297"/>
      <c r="C491" s="1297"/>
      <c r="D491" s="1297" t="s">
        <v>938</v>
      </c>
      <c r="H491" s="1399">
        <v>19839</v>
      </c>
      <c r="I491" s="1399">
        <v>19839</v>
      </c>
    </row>
    <row r="492" spans="2:9">
      <c r="B492" s="1297"/>
      <c r="C492" s="1297"/>
      <c r="D492" s="1297" t="s">
        <v>1131</v>
      </c>
      <c r="E492" s="1399">
        <v>59487.37</v>
      </c>
      <c r="I492" s="1399">
        <v>59487.37</v>
      </c>
    </row>
    <row r="493" spans="2:9">
      <c r="B493" s="1297"/>
      <c r="C493" s="1297"/>
      <c r="D493" s="1297" t="s">
        <v>940</v>
      </c>
      <c r="E493" s="1399">
        <v>1100370.25</v>
      </c>
      <c r="I493" s="1399">
        <v>1100370.25</v>
      </c>
    </row>
    <row r="494" spans="2:9">
      <c r="B494" s="1297"/>
      <c r="C494" s="1297"/>
      <c r="D494" s="1297" t="s">
        <v>941</v>
      </c>
      <c r="E494" s="1399">
        <v>438311.05000000005</v>
      </c>
      <c r="I494" s="1399">
        <v>438311.05000000005</v>
      </c>
    </row>
    <row r="495" spans="2:9">
      <c r="B495" s="1297"/>
      <c r="C495" s="1297"/>
      <c r="D495" s="1297" t="s">
        <v>942</v>
      </c>
      <c r="E495" s="1399">
        <v>11561.34</v>
      </c>
      <c r="I495" s="1399">
        <v>11561.34</v>
      </c>
    </row>
    <row r="496" spans="2:9">
      <c r="B496" s="1297"/>
      <c r="C496" s="1297"/>
      <c r="D496" s="1297" t="s">
        <v>944</v>
      </c>
      <c r="E496" s="1399">
        <v>1681473.34</v>
      </c>
      <c r="I496" s="1399">
        <v>1681473.34</v>
      </c>
    </row>
    <row r="497" spans="2:9">
      <c r="B497" s="1297"/>
      <c r="C497" s="1297"/>
      <c r="D497" s="1297" t="s">
        <v>945</v>
      </c>
      <c r="E497" s="1399">
        <v>1513879.6300000001</v>
      </c>
      <c r="I497" s="1399">
        <v>1513879.6300000001</v>
      </c>
    </row>
    <row r="498" spans="2:9">
      <c r="B498" s="1297"/>
      <c r="C498" s="1297"/>
      <c r="D498" s="1297" t="s">
        <v>978</v>
      </c>
      <c r="E498" s="1399">
        <v>1200</v>
      </c>
      <c r="I498" s="1399">
        <v>1200</v>
      </c>
    </row>
    <row r="499" spans="2:9">
      <c r="B499" s="1297"/>
      <c r="C499" s="1297"/>
      <c r="D499" s="1297" t="s">
        <v>947</v>
      </c>
      <c r="E499" s="1399">
        <v>104069.65999999997</v>
      </c>
      <c r="I499" s="1399">
        <v>104069.65999999997</v>
      </c>
    </row>
    <row r="500" spans="2:9">
      <c r="B500" s="1297"/>
      <c r="C500" s="1297"/>
      <c r="D500" s="1297" t="s">
        <v>1115</v>
      </c>
      <c r="E500" s="1399">
        <v>48000</v>
      </c>
      <c r="I500" s="1399">
        <v>48000</v>
      </c>
    </row>
    <row r="501" spans="2:9">
      <c r="B501" s="1297"/>
      <c r="C501" s="1297"/>
      <c r="D501" s="1297" t="s">
        <v>948</v>
      </c>
      <c r="G501" s="1399">
        <v>132306.93</v>
      </c>
      <c r="I501" s="1399">
        <v>132306.93</v>
      </c>
    </row>
    <row r="502" spans="2:9">
      <c r="B502" s="1297"/>
      <c r="C502" s="1297"/>
      <c r="D502" s="1297" t="s">
        <v>956</v>
      </c>
      <c r="G502" s="1399">
        <v>6071</v>
      </c>
      <c r="I502" s="1399">
        <v>6071</v>
      </c>
    </row>
    <row r="503" spans="2:9">
      <c r="B503" s="1297"/>
      <c r="C503" s="1297"/>
      <c r="D503" s="1297" t="s">
        <v>1118</v>
      </c>
      <c r="G503" s="1399">
        <v>203.75</v>
      </c>
      <c r="I503" s="1399">
        <v>203.75</v>
      </c>
    </row>
    <row r="504" spans="2:9">
      <c r="B504" s="1297"/>
      <c r="C504" s="1400" t="s">
        <v>1013</v>
      </c>
      <c r="D504" s="1400"/>
      <c r="E504" s="1401">
        <v>4958352.6400000006</v>
      </c>
      <c r="F504" s="1401">
        <v>6765302.2499999991</v>
      </c>
      <c r="G504" s="1401">
        <v>138581.68</v>
      </c>
      <c r="H504" s="1401">
        <v>19440170.699999999</v>
      </c>
      <c r="I504" s="1401">
        <v>31302407.27</v>
      </c>
    </row>
    <row r="505" spans="2:9">
      <c r="B505" s="1297" t="s">
        <v>1014</v>
      </c>
      <c r="C505" s="1297" t="s">
        <v>1015</v>
      </c>
      <c r="D505" s="1297" t="s">
        <v>906</v>
      </c>
      <c r="F505" s="1399">
        <v>5648792.4199999999</v>
      </c>
      <c r="I505" s="1399">
        <v>5648792.4199999999</v>
      </c>
    </row>
    <row r="506" spans="2:9">
      <c r="B506" s="1297"/>
      <c r="C506" s="1297"/>
      <c r="D506" s="1297" t="s">
        <v>952</v>
      </c>
      <c r="F506" s="1399">
        <v>57271.94</v>
      </c>
      <c r="I506" s="1399">
        <v>57271.94</v>
      </c>
    </row>
    <row r="507" spans="2:9">
      <c r="B507" s="1297"/>
      <c r="C507" s="1297"/>
      <c r="D507" s="1297" t="s">
        <v>907</v>
      </c>
      <c r="F507" s="1399">
        <v>1079329.0900000001</v>
      </c>
      <c r="I507" s="1399">
        <v>1079329.0900000001</v>
      </c>
    </row>
    <row r="508" spans="2:9">
      <c r="B508" s="1297"/>
      <c r="C508" s="1297"/>
      <c r="D508" s="1297" t="s">
        <v>908</v>
      </c>
      <c r="F508" s="1399">
        <v>26523.7</v>
      </c>
      <c r="I508" s="1399">
        <v>26523.7</v>
      </c>
    </row>
    <row r="509" spans="2:9">
      <c r="B509" s="1297"/>
      <c r="C509" s="1297"/>
      <c r="D509" s="1297" t="s">
        <v>909</v>
      </c>
      <c r="F509" s="1399">
        <v>19115.2</v>
      </c>
      <c r="I509" s="1399">
        <v>19115.2</v>
      </c>
    </row>
    <row r="510" spans="2:9">
      <c r="B510" s="1297"/>
      <c r="C510" s="1297"/>
      <c r="D510" s="1297" t="s">
        <v>910</v>
      </c>
      <c r="F510" s="1399">
        <v>41430.18</v>
      </c>
      <c r="I510" s="1399">
        <v>41430.18</v>
      </c>
    </row>
    <row r="511" spans="2:9">
      <c r="B511" s="1297"/>
      <c r="C511" s="1297"/>
      <c r="D511" s="1297" t="s">
        <v>1034</v>
      </c>
      <c r="F511" s="1399">
        <v>11295.369999999999</v>
      </c>
      <c r="I511" s="1399">
        <v>11295.369999999999</v>
      </c>
    </row>
    <row r="512" spans="2:9">
      <c r="B512" s="1297"/>
      <c r="C512" s="1297"/>
      <c r="D512" s="1297" t="s">
        <v>1035</v>
      </c>
      <c r="F512" s="1399">
        <v>106595.65</v>
      </c>
      <c r="I512" s="1399">
        <v>106595.65</v>
      </c>
    </row>
    <row r="513" spans="2:9">
      <c r="B513" s="1297"/>
      <c r="C513" s="1297"/>
      <c r="D513" s="1297" t="s">
        <v>1036</v>
      </c>
      <c r="F513" s="1399">
        <v>86378.23</v>
      </c>
      <c r="I513" s="1399">
        <v>86378.23</v>
      </c>
    </row>
    <row r="514" spans="2:9">
      <c r="B514" s="1297"/>
      <c r="C514" s="1297"/>
      <c r="D514" s="1297" t="s">
        <v>1039</v>
      </c>
      <c r="F514" s="1399">
        <v>52018.6</v>
      </c>
      <c r="I514" s="1399">
        <v>52018.6</v>
      </c>
    </row>
    <row r="515" spans="2:9">
      <c r="B515" s="1297"/>
      <c r="C515" s="1297"/>
      <c r="D515" s="1297" t="s">
        <v>1040</v>
      </c>
      <c r="F515" s="1399">
        <v>85803.540000000008</v>
      </c>
      <c r="I515" s="1399">
        <v>85803.540000000008</v>
      </c>
    </row>
    <row r="516" spans="2:9">
      <c r="B516" s="1297"/>
      <c r="C516" s="1297"/>
      <c r="D516" s="1297" t="s">
        <v>1041</v>
      </c>
      <c r="F516" s="1399">
        <v>13513.28</v>
      </c>
      <c r="I516" s="1399">
        <v>13513.28</v>
      </c>
    </row>
    <row r="517" spans="2:9">
      <c r="B517" s="1297"/>
      <c r="C517" s="1297"/>
      <c r="D517" s="1297" t="s">
        <v>1042</v>
      </c>
      <c r="F517" s="1399">
        <v>45110.84</v>
      </c>
      <c r="I517" s="1399">
        <v>45110.84</v>
      </c>
    </row>
    <row r="518" spans="2:9">
      <c r="B518" s="1297"/>
      <c r="C518" s="1297"/>
      <c r="D518" s="1297" t="s">
        <v>996</v>
      </c>
      <c r="F518" s="1399">
        <v>-1852.28</v>
      </c>
      <c r="I518" s="1399">
        <v>-1852.28</v>
      </c>
    </row>
    <row r="519" spans="2:9">
      <c r="B519" s="1297"/>
      <c r="C519" s="1297"/>
      <c r="D519" s="1297" t="s">
        <v>1044</v>
      </c>
      <c r="F519" s="1399">
        <v>93734.15</v>
      </c>
      <c r="I519" s="1399">
        <v>93734.15</v>
      </c>
    </row>
    <row r="520" spans="2:9">
      <c r="B520" s="1297"/>
      <c r="C520" s="1297"/>
      <c r="D520" s="1297" t="s">
        <v>1045</v>
      </c>
      <c r="F520" s="1399">
        <v>198294.88</v>
      </c>
      <c r="I520" s="1399">
        <v>198294.88</v>
      </c>
    </row>
    <row r="521" spans="2:9">
      <c r="B521" s="1297"/>
      <c r="C521" s="1297"/>
      <c r="D521" s="1297" t="s">
        <v>1046</v>
      </c>
      <c r="H521" s="1399">
        <v>10744744</v>
      </c>
      <c r="I521" s="1399">
        <v>10744744</v>
      </c>
    </row>
    <row r="522" spans="2:9">
      <c r="B522" s="1297"/>
      <c r="C522" s="1297"/>
      <c r="D522" s="1297" t="s">
        <v>1047</v>
      </c>
      <c r="H522" s="1399">
        <v>429155.27</v>
      </c>
      <c r="I522" s="1399">
        <v>429155.27</v>
      </c>
    </row>
    <row r="523" spans="2:9">
      <c r="B523" s="1297"/>
      <c r="C523" s="1297"/>
      <c r="D523" s="1297" t="s">
        <v>1048</v>
      </c>
      <c r="H523" s="1399">
        <v>-2035637</v>
      </c>
      <c r="I523" s="1399">
        <v>-2035637</v>
      </c>
    </row>
    <row r="524" spans="2:9">
      <c r="B524" s="1297"/>
      <c r="C524" s="1297"/>
      <c r="D524" s="1297" t="s">
        <v>932</v>
      </c>
      <c r="H524" s="1399">
        <v>383432</v>
      </c>
      <c r="I524" s="1399">
        <v>383432</v>
      </c>
    </row>
    <row r="525" spans="2:9">
      <c r="B525" s="1297"/>
      <c r="C525" s="1297"/>
      <c r="D525" s="1297" t="s">
        <v>955</v>
      </c>
      <c r="H525" s="1399">
        <v>-3808.64</v>
      </c>
      <c r="I525" s="1399">
        <v>-3808.64</v>
      </c>
    </row>
    <row r="526" spans="2:9">
      <c r="B526" s="1297"/>
      <c r="C526" s="1297"/>
      <c r="D526" s="1297" t="s">
        <v>934</v>
      </c>
      <c r="H526" s="1399">
        <v>40882</v>
      </c>
      <c r="I526" s="1399">
        <v>40882</v>
      </c>
    </row>
    <row r="527" spans="2:9">
      <c r="B527" s="1297"/>
      <c r="C527" s="1297"/>
      <c r="D527" s="1297" t="s">
        <v>935</v>
      </c>
      <c r="H527" s="1399">
        <v>930032.08000000007</v>
      </c>
      <c r="I527" s="1399">
        <v>930032.08000000007</v>
      </c>
    </row>
    <row r="528" spans="2:9">
      <c r="B528" s="1297"/>
      <c r="C528" s="1297"/>
      <c r="D528" s="1297" t="s">
        <v>936</v>
      </c>
      <c r="H528" s="1399">
        <v>35365.199999999997</v>
      </c>
      <c r="I528" s="1399">
        <v>35365.199999999997</v>
      </c>
    </row>
    <row r="529" spans="2:9">
      <c r="B529" s="1297"/>
      <c r="C529" s="1297"/>
      <c r="D529" s="1297" t="s">
        <v>937</v>
      </c>
      <c r="H529" s="1399">
        <v>22855.7</v>
      </c>
      <c r="I529" s="1399">
        <v>22855.7</v>
      </c>
    </row>
    <row r="530" spans="2:9">
      <c r="B530" s="1297"/>
      <c r="C530" s="1297"/>
      <c r="D530" s="1297" t="s">
        <v>938</v>
      </c>
      <c r="H530" s="1399">
        <v>14786</v>
      </c>
      <c r="I530" s="1399">
        <v>14786</v>
      </c>
    </row>
    <row r="531" spans="2:9">
      <c r="B531" s="1297"/>
      <c r="C531" s="1297"/>
      <c r="D531" s="1297" t="s">
        <v>940</v>
      </c>
      <c r="E531" s="1399">
        <v>820803</v>
      </c>
      <c r="I531" s="1399">
        <v>820803</v>
      </c>
    </row>
    <row r="532" spans="2:9">
      <c r="B532" s="1297"/>
      <c r="C532" s="1297"/>
      <c r="D532" s="1297" t="s">
        <v>941</v>
      </c>
      <c r="E532" s="1399">
        <v>438513.42</v>
      </c>
      <c r="I532" s="1399">
        <v>438513.42</v>
      </c>
    </row>
    <row r="533" spans="2:9">
      <c r="B533" s="1297"/>
      <c r="C533" s="1297"/>
      <c r="D533" s="1297" t="s">
        <v>943</v>
      </c>
      <c r="E533" s="1399">
        <v>17244.219999999998</v>
      </c>
      <c r="I533" s="1399">
        <v>17244.219999999998</v>
      </c>
    </row>
    <row r="534" spans="2:9">
      <c r="B534" s="1297"/>
      <c r="C534" s="1297"/>
      <c r="D534" s="1297" t="s">
        <v>944</v>
      </c>
      <c r="E534" s="1399">
        <v>2588652.23</v>
      </c>
      <c r="I534" s="1399">
        <v>2588652.23</v>
      </c>
    </row>
    <row r="535" spans="2:9">
      <c r="B535" s="1297"/>
      <c r="C535" s="1297"/>
      <c r="D535" s="1297" t="s">
        <v>945</v>
      </c>
      <c r="E535" s="1399">
        <v>1193024.27</v>
      </c>
      <c r="I535" s="1399">
        <v>1193024.27</v>
      </c>
    </row>
    <row r="536" spans="2:9">
      <c r="B536" s="1297"/>
      <c r="C536" s="1297"/>
      <c r="D536" s="1297" t="s">
        <v>978</v>
      </c>
      <c r="E536" s="1399">
        <v>1200</v>
      </c>
      <c r="I536" s="1399">
        <v>1200</v>
      </c>
    </row>
    <row r="537" spans="2:9">
      <c r="B537" s="1297"/>
      <c r="C537" s="1297"/>
      <c r="D537" s="1297" t="s">
        <v>947</v>
      </c>
      <c r="E537" s="1399">
        <v>90678.739999999991</v>
      </c>
      <c r="I537" s="1399">
        <v>90678.739999999991</v>
      </c>
    </row>
    <row r="538" spans="2:9">
      <c r="B538" s="1297"/>
      <c r="C538" s="1297"/>
      <c r="D538" s="1297" t="s">
        <v>948</v>
      </c>
      <c r="G538" s="1399">
        <v>1169071.8899999999</v>
      </c>
      <c r="I538" s="1399">
        <v>1169071.8899999999</v>
      </c>
    </row>
    <row r="539" spans="2:9">
      <c r="B539" s="1297"/>
      <c r="C539" s="1400" t="s">
        <v>1016</v>
      </c>
      <c r="D539" s="1400"/>
      <c r="E539" s="1401">
        <v>5150115.8800000008</v>
      </c>
      <c r="F539" s="1401">
        <v>7563354.790000001</v>
      </c>
      <c r="G539" s="1401">
        <v>1169071.8899999999</v>
      </c>
      <c r="H539" s="1401">
        <v>10561806.609999998</v>
      </c>
      <c r="I539" s="1401">
        <v>24444349.169999998</v>
      </c>
    </row>
    <row r="540" spans="2:9">
      <c r="B540" s="1297" t="s">
        <v>1017</v>
      </c>
      <c r="C540" s="1297" t="s">
        <v>1018</v>
      </c>
      <c r="D540" s="1297" t="s">
        <v>906</v>
      </c>
      <c r="F540" s="1399">
        <v>19852987.77</v>
      </c>
      <c r="I540" s="1399">
        <v>19852987.77</v>
      </c>
    </row>
    <row r="541" spans="2:9">
      <c r="B541" s="1297"/>
      <c r="C541" s="1297"/>
      <c r="D541" s="1297" t="s">
        <v>952</v>
      </c>
      <c r="F541" s="1399">
        <v>96201.8</v>
      </c>
      <c r="I541" s="1399">
        <v>96201.8</v>
      </c>
    </row>
    <row r="542" spans="2:9">
      <c r="B542" s="1297"/>
      <c r="C542" s="1297"/>
      <c r="D542" s="1297" t="s">
        <v>907</v>
      </c>
      <c r="F542" s="1399">
        <v>5010195.18</v>
      </c>
      <c r="I542" s="1399">
        <v>5010195.18</v>
      </c>
    </row>
    <row r="543" spans="2:9">
      <c r="B543" s="1297"/>
      <c r="C543" s="1297"/>
      <c r="D543" s="1297" t="s">
        <v>908</v>
      </c>
      <c r="F543" s="1399">
        <v>26321.37</v>
      </c>
      <c r="I543" s="1399">
        <v>26321.37</v>
      </c>
    </row>
    <row r="544" spans="2:9">
      <c r="B544" s="1297"/>
      <c r="C544" s="1297"/>
      <c r="D544" s="1297" t="s">
        <v>1122</v>
      </c>
      <c r="F544" s="1399">
        <v>-2047</v>
      </c>
      <c r="I544" s="1399">
        <v>-2047</v>
      </c>
    </row>
    <row r="545" spans="2:9">
      <c r="B545" s="1297"/>
      <c r="C545" s="1297"/>
      <c r="D545" s="1297" t="s">
        <v>909</v>
      </c>
      <c r="F545" s="1399">
        <v>16385.689999999999</v>
      </c>
      <c r="I545" s="1399">
        <v>16385.689999999999</v>
      </c>
    </row>
    <row r="546" spans="2:9">
      <c r="B546" s="1297"/>
      <c r="C546" s="1297"/>
      <c r="D546" s="1297" t="s">
        <v>910</v>
      </c>
      <c r="F546" s="1399">
        <v>131053.62</v>
      </c>
      <c r="I546" s="1399">
        <v>131053.62</v>
      </c>
    </row>
    <row r="547" spans="2:9">
      <c r="B547" s="1297"/>
      <c r="C547" s="1297"/>
      <c r="D547" s="1297" t="s">
        <v>1034</v>
      </c>
      <c r="F547" s="1399">
        <v>45134.04</v>
      </c>
      <c r="I547" s="1399">
        <v>45134.04</v>
      </c>
    </row>
    <row r="548" spans="2:9">
      <c r="B548" s="1297"/>
      <c r="C548" s="1297"/>
      <c r="D548" s="1297" t="s">
        <v>1035</v>
      </c>
      <c r="F548" s="1399">
        <v>526253.48</v>
      </c>
      <c r="I548" s="1399">
        <v>526253.48</v>
      </c>
    </row>
    <row r="549" spans="2:9">
      <c r="B549" s="1297"/>
      <c r="C549" s="1297"/>
      <c r="D549" s="1297" t="s">
        <v>1036</v>
      </c>
      <c r="F549" s="1399">
        <v>164451.71</v>
      </c>
      <c r="I549" s="1399">
        <v>164451.71</v>
      </c>
    </row>
    <row r="550" spans="2:9">
      <c r="B550" s="1297"/>
      <c r="C550" s="1297"/>
      <c r="D550" s="1297" t="s">
        <v>1039</v>
      </c>
      <c r="F550" s="1399">
        <v>419494.04</v>
      </c>
      <c r="I550" s="1399">
        <v>419494.04</v>
      </c>
    </row>
    <row r="551" spans="2:9">
      <c r="B551" s="1297"/>
      <c r="C551" s="1297"/>
      <c r="D551" s="1297" t="s">
        <v>1040</v>
      </c>
      <c r="F551" s="1399">
        <v>1048189.42</v>
      </c>
      <c r="I551" s="1399">
        <v>1048189.42</v>
      </c>
    </row>
    <row r="552" spans="2:9">
      <c r="B552" s="1297"/>
      <c r="C552" s="1297"/>
      <c r="D552" s="1297" t="s">
        <v>1041</v>
      </c>
      <c r="F552" s="1399">
        <v>174842.82</v>
      </c>
      <c r="I552" s="1399">
        <v>174842.82</v>
      </c>
    </row>
    <row r="553" spans="2:9">
      <c r="B553" s="1297"/>
      <c r="C553" s="1297"/>
      <c r="D553" s="1297" t="s">
        <v>1042</v>
      </c>
      <c r="F553" s="1399">
        <v>93323.32</v>
      </c>
      <c r="I553" s="1399">
        <v>93323.32</v>
      </c>
    </row>
    <row r="554" spans="2:9">
      <c r="B554" s="1297"/>
      <c r="C554" s="1297"/>
      <c r="D554" s="1297" t="s">
        <v>985</v>
      </c>
      <c r="F554" s="1399">
        <v>878051.86</v>
      </c>
      <c r="I554" s="1399">
        <v>878051.86</v>
      </c>
    </row>
    <row r="555" spans="2:9">
      <c r="B555" s="1297"/>
      <c r="C555" s="1297"/>
      <c r="D555" s="1297" t="s">
        <v>1044</v>
      </c>
      <c r="F555" s="1399">
        <v>22736.9</v>
      </c>
      <c r="I555" s="1399">
        <v>22736.9</v>
      </c>
    </row>
    <row r="556" spans="2:9">
      <c r="B556" s="1297"/>
      <c r="C556" s="1297"/>
      <c r="D556" s="1297" t="s">
        <v>1045</v>
      </c>
      <c r="F556" s="1399">
        <v>231120.73</v>
      </c>
      <c r="I556" s="1399">
        <v>231120.73</v>
      </c>
    </row>
    <row r="557" spans="2:9">
      <c r="B557" s="1297"/>
      <c r="C557" s="1297"/>
      <c r="D557" s="1297" t="s">
        <v>1046</v>
      </c>
      <c r="H557" s="1399">
        <v>35414847</v>
      </c>
      <c r="I557" s="1399">
        <v>35414847</v>
      </c>
    </row>
    <row r="558" spans="2:9">
      <c r="B558" s="1297"/>
      <c r="C558" s="1297"/>
      <c r="D558" s="1297" t="s">
        <v>1128</v>
      </c>
      <c r="H558" s="1399">
        <v>3146868</v>
      </c>
      <c r="I558" s="1399">
        <v>3146868</v>
      </c>
    </row>
    <row r="559" spans="2:9">
      <c r="B559" s="1297"/>
      <c r="C559" s="1297"/>
      <c r="D559" s="1297" t="s">
        <v>1129</v>
      </c>
      <c r="H559" s="1399">
        <v>-4491870</v>
      </c>
      <c r="I559" s="1399">
        <v>-4491870</v>
      </c>
    </row>
    <row r="560" spans="2:9">
      <c r="B560" s="1297"/>
      <c r="C560" s="1297"/>
      <c r="D560" s="1297" t="s">
        <v>1047</v>
      </c>
      <c r="H560" s="1399">
        <v>603082</v>
      </c>
      <c r="I560" s="1399">
        <v>603082</v>
      </c>
    </row>
    <row r="561" spans="2:9">
      <c r="B561" s="1297"/>
      <c r="C561" s="1297"/>
      <c r="D561" s="1297" t="s">
        <v>1048</v>
      </c>
      <c r="H561" s="1399">
        <v>-5737449</v>
      </c>
      <c r="I561" s="1399">
        <v>-5737449</v>
      </c>
    </row>
    <row r="562" spans="2:9">
      <c r="B562" s="1297"/>
      <c r="C562" s="1297"/>
      <c r="D562" s="1297" t="s">
        <v>932</v>
      </c>
      <c r="H562" s="1399">
        <v>1603515</v>
      </c>
      <c r="I562" s="1399">
        <v>1603515</v>
      </c>
    </row>
    <row r="563" spans="2:9">
      <c r="B563" s="1297"/>
      <c r="C563" s="1297"/>
      <c r="D563" s="1297" t="s">
        <v>955</v>
      </c>
      <c r="H563" s="1399">
        <v>1040898.33</v>
      </c>
      <c r="I563" s="1399">
        <v>1040898.33</v>
      </c>
    </row>
    <row r="564" spans="2:9">
      <c r="B564" s="1297"/>
      <c r="C564" s="1297"/>
      <c r="D564" s="1297" t="s">
        <v>934</v>
      </c>
      <c r="H564" s="1399">
        <v>100410</v>
      </c>
      <c r="I564" s="1399">
        <v>100410</v>
      </c>
    </row>
    <row r="565" spans="2:9">
      <c r="B565" s="1297"/>
      <c r="C565" s="1297"/>
      <c r="D565" s="1297" t="s">
        <v>935</v>
      </c>
      <c r="H565" s="1399">
        <v>392770.27</v>
      </c>
      <c r="I565" s="1399">
        <v>392770.27</v>
      </c>
    </row>
    <row r="566" spans="2:9">
      <c r="B566" s="1297"/>
      <c r="C566" s="1297"/>
      <c r="D566" s="1297" t="s">
        <v>936</v>
      </c>
      <c r="H566" s="1399">
        <v>80534.62</v>
      </c>
      <c r="I566" s="1399">
        <v>80534.62</v>
      </c>
    </row>
    <row r="567" spans="2:9">
      <c r="B567" s="1297"/>
      <c r="C567" s="1297"/>
      <c r="D567" s="1297" t="s">
        <v>938</v>
      </c>
      <c r="H567" s="1399">
        <v>27700</v>
      </c>
      <c r="I567" s="1399">
        <v>27700</v>
      </c>
    </row>
    <row r="568" spans="2:9">
      <c r="B568" s="1297"/>
      <c r="C568" s="1297"/>
      <c r="D568" s="1297" t="s">
        <v>1131</v>
      </c>
      <c r="E568" s="1399">
        <v>200283.28999999998</v>
      </c>
      <c r="I568" s="1399">
        <v>200283.28999999998</v>
      </c>
    </row>
    <row r="569" spans="2:9">
      <c r="B569" s="1297"/>
      <c r="C569" s="1297"/>
      <c r="D569" s="1297" t="s">
        <v>940</v>
      </c>
      <c r="E569" s="1399">
        <v>1288087.6599999999</v>
      </c>
      <c r="I569" s="1399">
        <v>1288087.6599999999</v>
      </c>
    </row>
    <row r="570" spans="2:9">
      <c r="B570" s="1297"/>
      <c r="C570" s="1297"/>
      <c r="D570" s="1297" t="s">
        <v>941</v>
      </c>
      <c r="E570" s="1399">
        <v>209012.24</v>
      </c>
      <c r="I570" s="1399">
        <v>209012.24</v>
      </c>
    </row>
    <row r="571" spans="2:9">
      <c r="B571" s="1297"/>
      <c r="C571" s="1297"/>
      <c r="D571" s="1297" t="s">
        <v>944</v>
      </c>
      <c r="E571" s="1399">
        <v>2100207.79</v>
      </c>
      <c r="I571" s="1399">
        <v>2100207.79</v>
      </c>
    </row>
    <row r="572" spans="2:9">
      <c r="B572" s="1297"/>
      <c r="C572" s="1297"/>
      <c r="D572" s="1297" t="s">
        <v>945</v>
      </c>
      <c r="E572" s="1399">
        <v>2134367.83</v>
      </c>
      <c r="I572" s="1399">
        <v>2134367.83</v>
      </c>
    </row>
    <row r="573" spans="2:9">
      <c r="B573" s="1297"/>
      <c r="C573" s="1297"/>
      <c r="D573" s="1297" t="s">
        <v>1006</v>
      </c>
      <c r="E573" s="1399">
        <v>349018.05</v>
      </c>
      <c r="I573" s="1399">
        <v>349018.05</v>
      </c>
    </row>
    <row r="574" spans="2:9">
      <c r="B574" s="1297"/>
      <c r="C574" s="1297"/>
      <c r="D574" s="1297" t="s">
        <v>947</v>
      </c>
      <c r="E574" s="1399">
        <v>400712.24</v>
      </c>
      <c r="I574" s="1399">
        <v>400712.24</v>
      </c>
    </row>
    <row r="575" spans="2:9">
      <c r="B575" s="1297"/>
      <c r="C575" s="1297"/>
      <c r="D575" s="1297" t="s">
        <v>948</v>
      </c>
      <c r="G575" s="1399">
        <v>5861682.5700000003</v>
      </c>
      <c r="I575" s="1399">
        <v>5861682.5700000003</v>
      </c>
    </row>
    <row r="576" spans="2:9">
      <c r="B576" s="1297"/>
      <c r="C576" s="1400" t="s">
        <v>1019</v>
      </c>
      <c r="D576" s="1400"/>
      <c r="E576" s="1401">
        <v>6681689.1000000006</v>
      </c>
      <c r="F576" s="1401">
        <v>28734696.750000004</v>
      </c>
      <c r="G576" s="1401">
        <v>5861682.5700000003</v>
      </c>
      <c r="H576" s="1401">
        <v>32181306.219999999</v>
      </c>
      <c r="I576" s="1401">
        <v>73459374.639999986</v>
      </c>
    </row>
    <row r="577" spans="2:9">
      <c r="B577" s="1297" t="s">
        <v>1020</v>
      </c>
      <c r="C577" s="1297" t="s">
        <v>1021</v>
      </c>
      <c r="D577" s="1297" t="s">
        <v>906</v>
      </c>
      <c r="F577" s="1399">
        <v>18547231.27</v>
      </c>
      <c r="I577" s="1399">
        <v>18547231.27</v>
      </c>
    </row>
    <row r="578" spans="2:9">
      <c r="B578" s="1297"/>
      <c r="C578" s="1297"/>
      <c r="D578" s="1297" t="s">
        <v>1126</v>
      </c>
      <c r="F578" s="1399">
        <v>10041732.15</v>
      </c>
      <c r="I578" s="1399">
        <v>10041732.15</v>
      </c>
    </row>
    <row r="579" spans="2:9">
      <c r="B579" s="1297"/>
      <c r="C579" s="1297"/>
      <c r="D579" s="1297" t="s">
        <v>952</v>
      </c>
      <c r="F579" s="1399">
        <v>307599.13</v>
      </c>
      <c r="I579" s="1399">
        <v>307599.13</v>
      </c>
    </row>
    <row r="580" spans="2:9">
      <c r="B580" s="1297"/>
      <c r="C580" s="1297"/>
      <c r="D580" s="1297" t="s">
        <v>907</v>
      </c>
      <c r="F580" s="1399">
        <v>10038558.5</v>
      </c>
      <c r="I580" s="1399">
        <v>10038558.5</v>
      </c>
    </row>
    <row r="581" spans="2:9">
      <c r="B581" s="1297"/>
      <c r="C581" s="1297"/>
      <c r="D581" s="1297" t="s">
        <v>908</v>
      </c>
      <c r="F581" s="1399">
        <v>9519.0400000000009</v>
      </c>
      <c r="I581" s="1399">
        <v>9519.0400000000009</v>
      </c>
    </row>
    <row r="582" spans="2:9">
      <c r="B582" s="1297"/>
      <c r="C582" s="1297"/>
      <c r="D582" s="1297" t="s">
        <v>1122</v>
      </c>
      <c r="F582" s="1399">
        <v>-280960</v>
      </c>
      <c r="I582" s="1399">
        <v>-280960</v>
      </c>
    </row>
    <row r="583" spans="2:9">
      <c r="B583" s="1297"/>
      <c r="C583" s="1297"/>
      <c r="D583" s="1297" t="s">
        <v>1035</v>
      </c>
      <c r="F583" s="1399">
        <v>125833.59</v>
      </c>
      <c r="I583" s="1399">
        <v>125833.59</v>
      </c>
    </row>
    <row r="584" spans="2:9">
      <c r="B584" s="1297"/>
      <c r="C584" s="1297"/>
      <c r="D584" s="1297" t="s">
        <v>1036</v>
      </c>
      <c r="F584" s="1399">
        <v>183756.22</v>
      </c>
      <c r="I584" s="1399">
        <v>183756.22</v>
      </c>
    </row>
    <row r="585" spans="2:9">
      <c r="B585" s="1297"/>
      <c r="C585" s="1297"/>
      <c r="D585" s="1297" t="s">
        <v>1037</v>
      </c>
      <c r="F585" s="1399">
        <v>1329</v>
      </c>
      <c r="I585" s="1399">
        <v>1329</v>
      </c>
    </row>
    <row r="586" spans="2:9">
      <c r="B586" s="1297"/>
      <c r="C586" s="1297"/>
      <c r="D586" s="1297" t="s">
        <v>1039</v>
      </c>
      <c r="F586" s="1399">
        <v>160934.73000000007</v>
      </c>
      <c r="I586" s="1399">
        <v>160934.73000000007</v>
      </c>
    </row>
    <row r="587" spans="2:9">
      <c r="B587" s="1297"/>
      <c r="C587" s="1297"/>
      <c r="D587" s="1297" t="s">
        <v>1040</v>
      </c>
      <c r="F587" s="1399">
        <v>796909.39999999991</v>
      </c>
      <c r="I587" s="1399">
        <v>796909.39999999991</v>
      </c>
    </row>
    <row r="588" spans="2:9">
      <c r="B588" s="1297"/>
      <c r="C588" s="1297"/>
      <c r="D588" s="1297" t="s">
        <v>1041</v>
      </c>
      <c r="F588" s="1399">
        <v>283618.65000000002</v>
      </c>
      <c r="I588" s="1399">
        <v>283618.65000000002</v>
      </c>
    </row>
    <row r="589" spans="2:9">
      <c r="B589" s="1297"/>
      <c r="C589" s="1297"/>
      <c r="D589" s="1297" t="s">
        <v>1042</v>
      </c>
      <c r="F589" s="1399">
        <v>138649.51999999999</v>
      </c>
      <c r="I589" s="1399">
        <v>138649.51999999999</v>
      </c>
    </row>
    <row r="590" spans="2:9">
      <c r="B590" s="1297"/>
      <c r="C590" s="1297"/>
      <c r="D590" s="1297" t="s">
        <v>954</v>
      </c>
      <c r="F590" s="1399">
        <v>1668037.1400000001</v>
      </c>
      <c r="I590" s="1399">
        <v>1668037.1400000001</v>
      </c>
    </row>
    <row r="591" spans="2:9">
      <c r="B591" s="1297"/>
      <c r="C591" s="1297"/>
      <c r="D591" s="1297" t="s">
        <v>986</v>
      </c>
      <c r="F591" s="1399">
        <v>119572.03</v>
      </c>
      <c r="I591" s="1399">
        <v>119572.03</v>
      </c>
    </row>
    <row r="592" spans="2:9">
      <c r="B592" s="1297"/>
      <c r="C592" s="1297"/>
      <c r="D592" s="1297" t="s">
        <v>996</v>
      </c>
      <c r="F592" s="1399">
        <v>115350</v>
      </c>
      <c r="I592" s="1399">
        <v>115350</v>
      </c>
    </row>
    <row r="593" spans="2:9">
      <c r="B593" s="1297"/>
      <c r="C593" s="1297"/>
      <c r="D593" s="1297" t="s">
        <v>1044</v>
      </c>
      <c r="F593" s="1399">
        <v>295589.14</v>
      </c>
      <c r="I593" s="1399">
        <v>295589.14</v>
      </c>
    </row>
    <row r="594" spans="2:9">
      <c r="B594" s="1297"/>
      <c r="C594" s="1297"/>
      <c r="D594" s="1297" t="s">
        <v>1045</v>
      </c>
      <c r="F594" s="1399">
        <v>877806.66999999981</v>
      </c>
      <c r="I594" s="1399">
        <v>877806.66999999981</v>
      </c>
    </row>
    <row r="595" spans="2:9">
      <c r="B595" s="1297"/>
      <c r="C595" s="1297"/>
      <c r="D595" s="1297" t="s">
        <v>1046</v>
      </c>
      <c r="H595" s="1399">
        <v>47740760</v>
      </c>
      <c r="I595" s="1399">
        <v>47740760</v>
      </c>
    </row>
    <row r="596" spans="2:9">
      <c r="B596" s="1297"/>
      <c r="C596" s="1297"/>
      <c r="D596" s="1297" t="s">
        <v>1128</v>
      </c>
      <c r="H596" s="1399">
        <v>3922400</v>
      </c>
      <c r="I596" s="1399">
        <v>3922400</v>
      </c>
    </row>
    <row r="597" spans="2:9">
      <c r="B597" s="1297"/>
      <c r="C597" s="1297"/>
      <c r="D597" s="1297" t="s">
        <v>1129</v>
      </c>
      <c r="H597" s="1399">
        <v>-6409438</v>
      </c>
      <c r="I597" s="1399">
        <v>-6409438</v>
      </c>
    </row>
    <row r="598" spans="2:9">
      <c r="B598" s="1297"/>
      <c r="C598" s="1297"/>
      <c r="D598" s="1297" t="s">
        <v>1047</v>
      </c>
      <c r="H598" s="1399">
        <v>1399870</v>
      </c>
      <c r="I598" s="1399">
        <v>1399870</v>
      </c>
    </row>
    <row r="599" spans="2:9">
      <c r="B599" s="1297"/>
      <c r="C599" s="1297"/>
      <c r="D599" s="1297" t="s">
        <v>1048</v>
      </c>
      <c r="H599" s="1399">
        <v>-7800977</v>
      </c>
      <c r="I599" s="1399">
        <v>-7800977</v>
      </c>
    </row>
    <row r="600" spans="2:9">
      <c r="B600" s="1297"/>
      <c r="C600" s="1297"/>
      <c r="D600" s="1297" t="s">
        <v>932</v>
      </c>
      <c r="H600" s="1399">
        <v>2506159</v>
      </c>
      <c r="I600" s="1399">
        <v>2506159</v>
      </c>
    </row>
    <row r="601" spans="2:9">
      <c r="B601" s="1297"/>
      <c r="C601" s="1297"/>
      <c r="D601" s="1297" t="s">
        <v>955</v>
      </c>
      <c r="H601" s="1399">
        <v>1767453.44</v>
      </c>
      <c r="I601" s="1399">
        <v>1767453.44</v>
      </c>
    </row>
    <row r="602" spans="2:9">
      <c r="B602" s="1297"/>
      <c r="C602" s="1297"/>
      <c r="D602" s="1297" t="s">
        <v>934</v>
      </c>
      <c r="H602" s="1399">
        <v>135636</v>
      </c>
      <c r="I602" s="1399">
        <v>135636</v>
      </c>
    </row>
    <row r="603" spans="2:9">
      <c r="B603" s="1297"/>
      <c r="C603" s="1297"/>
      <c r="D603" s="1297" t="s">
        <v>1130</v>
      </c>
      <c r="H603" s="1399">
        <v>1342343</v>
      </c>
      <c r="I603" s="1399">
        <v>1342343</v>
      </c>
    </row>
    <row r="604" spans="2:9">
      <c r="B604" s="1297"/>
      <c r="C604" s="1297"/>
      <c r="D604" s="1297" t="s">
        <v>935</v>
      </c>
      <c r="H604" s="1399">
        <v>970726.51</v>
      </c>
      <c r="I604" s="1399">
        <v>970726.51</v>
      </c>
    </row>
    <row r="605" spans="2:9">
      <c r="B605" s="1297"/>
      <c r="C605" s="1297"/>
      <c r="D605" s="1297" t="s">
        <v>936</v>
      </c>
      <c r="H605" s="1399">
        <v>179977.38</v>
      </c>
      <c r="I605" s="1399">
        <v>179977.38</v>
      </c>
    </row>
    <row r="606" spans="2:9">
      <c r="B606" s="1297"/>
      <c r="C606" s="1297"/>
      <c r="D606" s="1297" t="s">
        <v>937</v>
      </c>
      <c r="H606" s="1399">
        <v>48935.76</v>
      </c>
      <c r="I606" s="1399">
        <v>48935.76</v>
      </c>
    </row>
    <row r="607" spans="2:9">
      <c r="B607" s="1297"/>
      <c r="C607" s="1297"/>
      <c r="D607" s="1297" t="s">
        <v>938</v>
      </c>
      <c r="H607" s="1399">
        <v>56709</v>
      </c>
      <c r="I607" s="1399">
        <v>56709</v>
      </c>
    </row>
    <row r="608" spans="2:9">
      <c r="B608" s="1297"/>
      <c r="C608" s="1297"/>
      <c r="D608" s="1297" t="s">
        <v>939</v>
      </c>
      <c r="H608" s="1399">
        <v>43908.29</v>
      </c>
      <c r="I608" s="1399">
        <v>43908.29</v>
      </c>
    </row>
    <row r="609" spans="2:9">
      <c r="B609" s="1297"/>
      <c r="C609" s="1297"/>
      <c r="D609" s="1297" t="s">
        <v>940</v>
      </c>
      <c r="E609" s="1399">
        <v>2447984</v>
      </c>
      <c r="I609" s="1399">
        <v>2447984</v>
      </c>
    </row>
    <row r="610" spans="2:9">
      <c r="B610" s="1297"/>
      <c r="C610" s="1297"/>
      <c r="D610" s="1297" t="s">
        <v>941</v>
      </c>
      <c r="E610" s="1399">
        <v>806360.76</v>
      </c>
      <c r="I610" s="1399">
        <v>806360.76</v>
      </c>
    </row>
    <row r="611" spans="2:9">
      <c r="B611" s="1297"/>
      <c r="C611" s="1297"/>
      <c r="D611" s="1297" t="s">
        <v>943</v>
      </c>
      <c r="E611" s="1399">
        <v>51482.37</v>
      </c>
      <c r="I611" s="1399">
        <v>51482.37</v>
      </c>
    </row>
    <row r="612" spans="2:9">
      <c r="B612" s="1297"/>
      <c r="C612" s="1297"/>
      <c r="D612" s="1297" t="s">
        <v>944</v>
      </c>
      <c r="E612" s="1399">
        <v>5808599.2300000004</v>
      </c>
      <c r="I612" s="1399">
        <v>5808599.2300000004</v>
      </c>
    </row>
    <row r="613" spans="2:9">
      <c r="B613" s="1297"/>
      <c r="C613" s="1297"/>
      <c r="D613" s="1297" t="s">
        <v>945</v>
      </c>
      <c r="E613" s="1399">
        <v>3693386.19</v>
      </c>
      <c r="I613" s="1399">
        <v>3693386.19</v>
      </c>
    </row>
    <row r="614" spans="2:9">
      <c r="B614" s="1297"/>
      <c r="C614" s="1297"/>
      <c r="D614" s="1297" t="s">
        <v>946</v>
      </c>
      <c r="E614" s="1399">
        <v>475902.44999999995</v>
      </c>
      <c r="I614" s="1399">
        <v>475902.44999999995</v>
      </c>
    </row>
    <row r="615" spans="2:9">
      <c r="B615" s="1297"/>
      <c r="C615" s="1297"/>
      <c r="D615" s="1297" t="s">
        <v>947</v>
      </c>
      <c r="E615" s="1399">
        <v>284081.54000000004</v>
      </c>
      <c r="I615" s="1399">
        <v>284081.54000000004</v>
      </c>
    </row>
    <row r="616" spans="2:9">
      <c r="B616" s="1297"/>
      <c r="C616" s="1297"/>
      <c r="D616" s="1297" t="s">
        <v>1116</v>
      </c>
      <c r="G616" s="1399">
        <v>13600500</v>
      </c>
      <c r="I616" s="1399">
        <v>13600500</v>
      </c>
    </row>
    <row r="617" spans="2:9">
      <c r="B617" s="1297"/>
      <c r="C617" s="1297"/>
      <c r="D617" s="1297" t="s">
        <v>948</v>
      </c>
      <c r="G617" s="1399">
        <v>8350984.4900000012</v>
      </c>
      <c r="I617" s="1399">
        <v>8350984.4900000012</v>
      </c>
    </row>
    <row r="618" spans="2:9">
      <c r="B618" s="1297"/>
      <c r="C618" s="1400" t="s">
        <v>1022</v>
      </c>
      <c r="D618" s="1400"/>
      <c r="E618" s="1401">
        <v>13567796.539999999</v>
      </c>
      <c r="F618" s="1401">
        <v>43431066.18</v>
      </c>
      <c r="G618" s="1401">
        <v>21951484.490000002</v>
      </c>
      <c r="H618" s="1401">
        <v>45904463.379999995</v>
      </c>
      <c r="I618" s="1401">
        <v>124854810.59000003</v>
      </c>
    </row>
    <row r="619" spans="2:9">
      <c r="B619" s="1297" t="s">
        <v>1023</v>
      </c>
      <c r="C619" s="1297" t="s">
        <v>1024</v>
      </c>
      <c r="D619" s="1297" t="s">
        <v>906</v>
      </c>
      <c r="F619" s="1399">
        <v>21178206.510000002</v>
      </c>
      <c r="I619" s="1399">
        <v>21178206.510000002</v>
      </c>
    </row>
    <row r="620" spans="2:9">
      <c r="B620" s="1297"/>
      <c r="C620" s="1297"/>
      <c r="D620" s="1297" t="s">
        <v>952</v>
      </c>
      <c r="F620" s="1399">
        <v>56542.47</v>
      </c>
      <c r="I620" s="1399">
        <v>56542.47</v>
      </c>
    </row>
    <row r="621" spans="2:9">
      <c r="B621" s="1297"/>
      <c r="C621" s="1297"/>
      <c r="D621" s="1297" t="s">
        <v>995</v>
      </c>
      <c r="F621" s="1399">
        <v>52325.84</v>
      </c>
      <c r="I621" s="1399">
        <v>52325.84</v>
      </c>
    </row>
    <row r="622" spans="2:9">
      <c r="B622" s="1297"/>
      <c r="C622" s="1297"/>
      <c r="D622" s="1297" t="s">
        <v>908</v>
      </c>
      <c r="F622" s="1399">
        <v>29261.03</v>
      </c>
      <c r="I622" s="1399">
        <v>29261.03</v>
      </c>
    </row>
    <row r="623" spans="2:9">
      <c r="B623" s="1297"/>
      <c r="C623" s="1297"/>
      <c r="D623" s="1297" t="s">
        <v>1034</v>
      </c>
      <c r="F623" s="1399">
        <v>45980.5</v>
      </c>
      <c r="I623" s="1399">
        <v>45980.5</v>
      </c>
    </row>
    <row r="624" spans="2:9">
      <c r="B624" s="1297"/>
      <c r="C624" s="1297"/>
      <c r="D624" s="1297" t="s">
        <v>1037</v>
      </c>
      <c r="F624" s="1399">
        <v>1370</v>
      </c>
      <c r="I624" s="1399">
        <v>1370</v>
      </c>
    </row>
    <row r="625" spans="2:9">
      <c r="B625" s="1297"/>
      <c r="C625" s="1297"/>
      <c r="D625" s="1297" t="s">
        <v>1003</v>
      </c>
      <c r="F625" s="1399">
        <v>5441.55</v>
      </c>
      <c r="I625" s="1399">
        <v>5441.55</v>
      </c>
    </row>
    <row r="626" spans="2:9">
      <c r="B626" s="1297"/>
      <c r="C626" s="1297"/>
      <c r="D626" s="1297" t="s">
        <v>1039</v>
      </c>
      <c r="F626" s="1399">
        <v>61714.73</v>
      </c>
      <c r="I626" s="1399">
        <v>61714.73</v>
      </c>
    </row>
    <row r="627" spans="2:9">
      <c r="B627" s="1297"/>
      <c r="C627" s="1297"/>
      <c r="D627" s="1297" t="s">
        <v>1041</v>
      </c>
      <c r="F627" s="1399">
        <v>66561.11</v>
      </c>
      <c r="I627" s="1399">
        <v>66561.11</v>
      </c>
    </row>
    <row r="628" spans="2:9">
      <c r="B628" s="1297"/>
      <c r="C628" s="1297"/>
      <c r="D628" s="1297" t="s">
        <v>1042</v>
      </c>
      <c r="F628" s="1399">
        <v>107958.08999999998</v>
      </c>
      <c r="I628" s="1399">
        <v>107958.08999999998</v>
      </c>
    </row>
    <row r="629" spans="2:9">
      <c r="B629" s="1297"/>
      <c r="C629" s="1297"/>
      <c r="D629" s="1297" t="s">
        <v>985</v>
      </c>
      <c r="F629" s="1399">
        <v>43100.42</v>
      </c>
      <c r="I629" s="1399">
        <v>43100.42</v>
      </c>
    </row>
    <row r="630" spans="2:9">
      <c r="B630" s="1297"/>
      <c r="C630" s="1297"/>
      <c r="D630" s="1297" t="s">
        <v>1043</v>
      </c>
      <c r="F630" s="1399">
        <v>85055</v>
      </c>
      <c r="I630" s="1399">
        <v>85055</v>
      </c>
    </row>
    <row r="631" spans="2:9">
      <c r="B631" s="1297"/>
      <c r="C631" s="1297"/>
      <c r="D631" s="1297" t="s">
        <v>1044</v>
      </c>
      <c r="F631" s="1399">
        <v>51876.56</v>
      </c>
      <c r="I631" s="1399">
        <v>51876.56</v>
      </c>
    </row>
    <row r="632" spans="2:9">
      <c r="B632" s="1297"/>
      <c r="C632" s="1297"/>
      <c r="D632" s="1297" t="s">
        <v>1045</v>
      </c>
      <c r="F632" s="1399">
        <v>331176.67000000004</v>
      </c>
      <c r="I632" s="1399">
        <v>331176.67000000004</v>
      </c>
    </row>
    <row r="633" spans="2:9">
      <c r="B633" s="1297"/>
      <c r="C633" s="1297"/>
      <c r="D633" s="1297" t="s">
        <v>1046</v>
      </c>
      <c r="H633" s="1399">
        <v>22356110</v>
      </c>
      <c r="I633" s="1399">
        <v>22356110</v>
      </c>
    </row>
    <row r="634" spans="2:9">
      <c r="B634" s="1297"/>
      <c r="C634" s="1297"/>
      <c r="D634" s="1297" t="s">
        <v>1128</v>
      </c>
      <c r="H634" s="1399">
        <v>1886770</v>
      </c>
      <c r="I634" s="1399">
        <v>1886770</v>
      </c>
    </row>
    <row r="635" spans="2:9">
      <c r="B635" s="1297"/>
      <c r="C635" s="1297"/>
      <c r="D635" s="1297" t="s">
        <v>1129</v>
      </c>
      <c r="H635" s="1399">
        <v>-2604918</v>
      </c>
      <c r="I635" s="1399">
        <v>-2604918</v>
      </c>
    </row>
    <row r="636" spans="2:9">
      <c r="B636" s="1297"/>
      <c r="C636" s="1297"/>
      <c r="D636" s="1297" t="s">
        <v>1047</v>
      </c>
      <c r="H636" s="1399">
        <v>957292</v>
      </c>
      <c r="I636" s="1399">
        <v>957292</v>
      </c>
    </row>
    <row r="637" spans="2:9">
      <c r="B637" s="1297"/>
      <c r="C637" s="1297"/>
      <c r="D637" s="1297" t="s">
        <v>1048</v>
      </c>
      <c r="H637" s="1399">
        <v>-6788158</v>
      </c>
      <c r="I637" s="1399">
        <v>-6788158</v>
      </c>
    </row>
    <row r="638" spans="2:9">
      <c r="B638" s="1297"/>
      <c r="C638" s="1297"/>
      <c r="D638" s="1297" t="s">
        <v>955</v>
      </c>
      <c r="H638" s="1399">
        <v>1282149.1299999999</v>
      </c>
      <c r="I638" s="1399">
        <v>1282149.1299999999</v>
      </c>
    </row>
    <row r="639" spans="2:9">
      <c r="B639" s="1297"/>
      <c r="C639" s="1297"/>
      <c r="D639" s="1297" t="s">
        <v>934</v>
      </c>
      <c r="H639" s="1399">
        <v>85590</v>
      </c>
      <c r="I639" s="1399">
        <v>85590</v>
      </c>
    </row>
    <row r="640" spans="2:9">
      <c r="B640" s="1297"/>
      <c r="C640" s="1297"/>
      <c r="D640" s="1297" t="s">
        <v>1130</v>
      </c>
      <c r="H640" s="1399">
        <v>152584</v>
      </c>
      <c r="I640" s="1399">
        <v>152584</v>
      </c>
    </row>
    <row r="641" spans="2:9">
      <c r="B641" s="1297"/>
      <c r="C641" s="1297"/>
      <c r="D641" s="1297" t="s">
        <v>935</v>
      </c>
      <c r="H641" s="1399">
        <v>565925.45000000007</v>
      </c>
      <c r="I641" s="1399">
        <v>565925.45000000007</v>
      </c>
    </row>
    <row r="642" spans="2:9">
      <c r="B642" s="1297"/>
      <c r="C642" s="1297"/>
      <c r="D642" s="1297" t="s">
        <v>936</v>
      </c>
      <c r="H642" s="1399">
        <v>124303.44</v>
      </c>
      <c r="I642" s="1399">
        <v>124303.44</v>
      </c>
    </row>
    <row r="643" spans="2:9">
      <c r="B643" s="1297"/>
      <c r="C643" s="1297"/>
      <c r="D643" s="1297" t="s">
        <v>937</v>
      </c>
      <c r="H643" s="1399">
        <v>570.03</v>
      </c>
      <c r="I643" s="1399">
        <v>570.03</v>
      </c>
    </row>
    <row r="644" spans="2:9">
      <c r="B644" s="1297"/>
      <c r="C644" s="1297"/>
      <c r="D644" s="1297" t="s">
        <v>938</v>
      </c>
      <c r="H644" s="1399">
        <v>34250</v>
      </c>
      <c r="I644" s="1399">
        <v>34250</v>
      </c>
    </row>
    <row r="645" spans="2:9">
      <c r="B645" s="1297"/>
      <c r="C645" s="1297"/>
      <c r="D645" s="1297" t="s">
        <v>940</v>
      </c>
      <c r="E645" s="1399">
        <v>1868139.5899999999</v>
      </c>
      <c r="I645" s="1399">
        <v>1868139.5899999999</v>
      </c>
    </row>
    <row r="646" spans="2:9">
      <c r="B646" s="1297"/>
      <c r="C646" s="1297"/>
      <c r="D646" s="1297" t="s">
        <v>941</v>
      </c>
      <c r="E646" s="1399">
        <v>875010.8</v>
      </c>
      <c r="I646" s="1399">
        <v>875010.8</v>
      </c>
    </row>
    <row r="647" spans="2:9">
      <c r="B647" s="1297"/>
      <c r="C647" s="1297"/>
      <c r="D647" s="1297" t="s">
        <v>943</v>
      </c>
      <c r="E647" s="1399">
        <v>31838.5</v>
      </c>
      <c r="I647" s="1399">
        <v>31838.5</v>
      </c>
    </row>
    <row r="648" spans="2:9">
      <c r="B648" s="1297"/>
      <c r="C648" s="1297"/>
      <c r="D648" s="1297" t="s">
        <v>944</v>
      </c>
      <c r="E648" s="1399">
        <v>4387987.3099999996</v>
      </c>
      <c r="I648" s="1399">
        <v>4387987.3099999996</v>
      </c>
    </row>
    <row r="649" spans="2:9">
      <c r="B649" s="1297"/>
      <c r="C649" s="1297"/>
      <c r="D649" s="1297" t="s">
        <v>945</v>
      </c>
      <c r="E649" s="1399">
        <v>2746595.35</v>
      </c>
      <c r="I649" s="1399">
        <v>2746595.35</v>
      </c>
    </row>
    <row r="650" spans="2:9">
      <c r="B650" s="1297"/>
      <c r="C650" s="1297"/>
      <c r="D650" s="1297" t="s">
        <v>946</v>
      </c>
      <c r="E650" s="1399">
        <v>120209.35</v>
      </c>
      <c r="I650" s="1399">
        <v>120209.35</v>
      </c>
    </row>
    <row r="651" spans="2:9">
      <c r="B651" s="1297"/>
      <c r="C651" s="1297"/>
      <c r="D651" s="1297" t="s">
        <v>978</v>
      </c>
      <c r="E651" s="1399">
        <v>1131493.6299999999</v>
      </c>
      <c r="I651" s="1399">
        <v>1131493.6299999999</v>
      </c>
    </row>
    <row r="652" spans="2:9">
      <c r="B652" s="1297"/>
      <c r="C652" s="1297"/>
      <c r="D652" s="1297" t="s">
        <v>947</v>
      </c>
      <c r="E652" s="1399">
        <v>146466.12</v>
      </c>
      <c r="I652" s="1399">
        <v>146466.12</v>
      </c>
    </row>
    <row r="653" spans="2:9">
      <c r="B653" s="1297"/>
      <c r="C653" s="1297"/>
      <c r="D653" s="1297" t="s">
        <v>948</v>
      </c>
      <c r="G653" s="1399">
        <v>174273.55</v>
      </c>
      <c r="I653" s="1399">
        <v>174273.55</v>
      </c>
    </row>
    <row r="654" spans="2:9">
      <c r="B654" s="1297"/>
      <c r="C654" s="1297"/>
      <c r="D654" s="1297" t="s">
        <v>956</v>
      </c>
      <c r="G654" s="1399">
        <v>7491.75</v>
      </c>
      <c r="I654" s="1399">
        <v>7491.75</v>
      </c>
    </row>
    <row r="655" spans="2:9">
      <c r="B655" s="1297"/>
      <c r="C655" s="1400" t="s">
        <v>1025</v>
      </c>
      <c r="D655" s="1400"/>
      <c r="E655" s="1401">
        <v>11307740.649999997</v>
      </c>
      <c r="F655" s="1401">
        <v>22116570.480000004</v>
      </c>
      <c r="G655" s="1401">
        <v>181765.3</v>
      </c>
      <c r="H655" s="1401">
        <v>18052468.050000001</v>
      </c>
      <c r="I655" s="1401">
        <v>51658544.480000004</v>
      </c>
    </row>
    <row r="656" spans="2:9">
      <c r="B656" s="1297" t="s">
        <v>1026</v>
      </c>
      <c r="C656" s="1297" t="s">
        <v>1027</v>
      </c>
      <c r="D656" s="1297" t="s">
        <v>906</v>
      </c>
      <c r="F656" s="1399">
        <v>10796409.119999999</v>
      </c>
      <c r="I656" s="1399">
        <v>10796409.119999999</v>
      </c>
    </row>
    <row r="657" spans="2:9">
      <c r="B657" s="1297"/>
      <c r="C657" s="1297"/>
      <c r="D657" s="1297" t="s">
        <v>952</v>
      </c>
      <c r="F657" s="1399">
        <v>92300.01</v>
      </c>
      <c r="I657" s="1399">
        <v>92300.01</v>
      </c>
    </row>
    <row r="658" spans="2:9">
      <c r="B658" s="1297"/>
      <c r="C658" s="1297"/>
      <c r="D658" s="1297" t="s">
        <v>907</v>
      </c>
      <c r="F658" s="1399">
        <v>3040203.5</v>
      </c>
      <c r="I658" s="1399">
        <v>3040203.5</v>
      </c>
    </row>
    <row r="659" spans="2:9">
      <c r="B659" s="1297"/>
      <c r="C659" s="1297"/>
      <c r="D659" s="1297" t="s">
        <v>908</v>
      </c>
      <c r="F659" s="1399">
        <v>16381.83</v>
      </c>
      <c r="I659" s="1399">
        <v>16381.83</v>
      </c>
    </row>
    <row r="660" spans="2:9">
      <c r="B660" s="1297"/>
      <c r="C660" s="1297"/>
      <c r="D660" s="1297" t="s">
        <v>909</v>
      </c>
      <c r="F660" s="1399">
        <v>398275.34</v>
      </c>
      <c r="I660" s="1399">
        <v>398275.34</v>
      </c>
    </row>
    <row r="661" spans="2:9">
      <c r="B661" s="1297"/>
      <c r="C661" s="1297"/>
      <c r="D661" s="1297" t="s">
        <v>910</v>
      </c>
      <c r="F661" s="1399">
        <v>21549.5</v>
      </c>
      <c r="I661" s="1399">
        <v>21549.5</v>
      </c>
    </row>
    <row r="662" spans="2:9">
      <c r="B662" s="1297"/>
      <c r="C662" s="1297"/>
      <c r="D662" s="1297" t="s">
        <v>1034</v>
      </c>
      <c r="F662" s="1399">
        <v>7229.07</v>
      </c>
      <c r="I662" s="1399">
        <v>7229.07</v>
      </c>
    </row>
    <row r="663" spans="2:9">
      <c r="B663" s="1297"/>
      <c r="C663" s="1297"/>
      <c r="D663" s="1297" t="s">
        <v>1035</v>
      </c>
      <c r="F663" s="1399">
        <v>150213.23999999996</v>
      </c>
      <c r="I663" s="1399">
        <v>150213.23999999996</v>
      </c>
    </row>
    <row r="664" spans="2:9">
      <c r="B664" s="1297"/>
      <c r="C664" s="1297"/>
      <c r="D664" s="1297" t="s">
        <v>1036</v>
      </c>
      <c r="F664" s="1399">
        <v>87306.65</v>
      </c>
      <c r="I664" s="1399">
        <v>87306.65</v>
      </c>
    </row>
    <row r="665" spans="2:9">
      <c r="B665" s="1297"/>
      <c r="C665" s="1297"/>
      <c r="D665" s="1297" t="s">
        <v>1037</v>
      </c>
      <c r="F665" s="1399">
        <v>9183.7199999999993</v>
      </c>
      <c r="I665" s="1399">
        <v>9183.7199999999993</v>
      </c>
    </row>
    <row r="666" spans="2:9">
      <c r="B666" s="1297"/>
      <c r="C666" s="1297"/>
      <c r="D666" s="1297" t="s">
        <v>1038</v>
      </c>
      <c r="F666" s="1399">
        <v>20195.5</v>
      </c>
      <c r="I666" s="1399">
        <v>20195.5</v>
      </c>
    </row>
    <row r="667" spans="2:9">
      <c r="B667" s="1297"/>
      <c r="C667" s="1297"/>
      <c r="D667" s="1297" t="s">
        <v>1003</v>
      </c>
      <c r="F667" s="1399">
        <v>4050.41</v>
      </c>
      <c r="I667" s="1399">
        <v>4050.41</v>
      </c>
    </row>
    <row r="668" spans="2:9">
      <c r="B668" s="1297"/>
      <c r="C668" s="1297"/>
      <c r="D668" s="1297" t="s">
        <v>1039</v>
      </c>
      <c r="F668" s="1399">
        <v>21275.809999999998</v>
      </c>
      <c r="I668" s="1399">
        <v>21275.809999999998</v>
      </c>
    </row>
    <row r="669" spans="2:9">
      <c r="B669" s="1297"/>
      <c r="C669" s="1297"/>
      <c r="D669" s="1297" t="s">
        <v>1040</v>
      </c>
      <c r="F669" s="1399">
        <v>230452.04</v>
      </c>
      <c r="I669" s="1399">
        <v>230452.04</v>
      </c>
    </row>
    <row r="670" spans="2:9">
      <c r="B670" s="1297"/>
      <c r="C670" s="1297"/>
      <c r="D670" s="1297" t="s">
        <v>1127</v>
      </c>
      <c r="F670" s="1399">
        <v>442.56</v>
      </c>
      <c r="I670" s="1399">
        <v>442.56</v>
      </c>
    </row>
    <row r="671" spans="2:9">
      <c r="B671" s="1297"/>
      <c r="C671" s="1297"/>
      <c r="D671" s="1297" t="s">
        <v>1041</v>
      </c>
      <c r="F671" s="1399">
        <v>16467.899999999998</v>
      </c>
      <c r="I671" s="1399">
        <v>16467.899999999998</v>
      </c>
    </row>
    <row r="672" spans="2:9">
      <c r="B672" s="1297"/>
      <c r="C672" s="1297"/>
      <c r="D672" s="1297" t="s">
        <v>1042</v>
      </c>
      <c r="F672" s="1399">
        <v>53563.32</v>
      </c>
      <c r="I672" s="1399">
        <v>53563.32</v>
      </c>
    </row>
    <row r="673" spans="2:9">
      <c r="B673" s="1297"/>
      <c r="C673" s="1297"/>
      <c r="D673" s="1297" t="s">
        <v>986</v>
      </c>
      <c r="F673" s="1399">
        <v>10000</v>
      </c>
      <c r="I673" s="1399">
        <v>10000</v>
      </c>
    </row>
    <row r="674" spans="2:9">
      <c r="B674" s="1297"/>
      <c r="C674" s="1297"/>
      <c r="D674" s="1297" t="s">
        <v>1045</v>
      </c>
      <c r="F674" s="1399">
        <v>358627.92</v>
      </c>
      <c r="I674" s="1399">
        <v>358627.92</v>
      </c>
    </row>
    <row r="675" spans="2:9">
      <c r="B675" s="1297"/>
      <c r="C675" s="1297"/>
      <c r="D675" s="1297" t="s">
        <v>1046</v>
      </c>
      <c r="H675" s="1399">
        <v>19143246</v>
      </c>
      <c r="I675" s="1399">
        <v>19143246</v>
      </c>
    </row>
    <row r="676" spans="2:9">
      <c r="B676" s="1297"/>
      <c r="C676" s="1297"/>
      <c r="D676" s="1297" t="s">
        <v>1129</v>
      </c>
      <c r="H676" s="1399">
        <v>-2319107</v>
      </c>
      <c r="I676" s="1399">
        <v>-2319107</v>
      </c>
    </row>
    <row r="677" spans="2:9">
      <c r="B677" s="1297"/>
      <c r="C677" s="1297"/>
      <c r="D677" s="1297" t="s">
        <v>1047</v>
      </c>
      <c r="H677" s="1399">
        <v>475841.5</v>
      </c>
      <c r="I677" s="1399">
        <v>475841.5</v>
      </c>
    </row>
    <row r="678" spans="2:9">
      <c r="B678" s="1297"/>
      <c r="C678" s="1297"/>
      <c r="D678" s="1297" t="s">
        <v>1048</v>
      </c>
      <c r="H678" s="1399">
        <v>-3086052</v>
      </c>
      <c r="I678" s="1399">
        <v>-3086052</v>
      </c>
    </row>
    <row r="679" spans="2:9">
      <c r="B679" s="1297"/>
      <c r="C679" s="1297"/>
      <c r="D679" s="1297" t="s">
        <v>932</v>
      </c>
      <c r="H679" s="1399">
        <v>893981</v>
      </c>
      <c r="I679" s="1399">
        <v>893981</v>
      </c>
    </row>
    <row r="680" spans="2:9">
      <c r="B680" s="1297"/>
      <c r="C680" s="1297"/>
      <c r="D680" s="1297" t="s">
        <v>955</v>
      </c>
      <c r="H680" s="1399">
        <v>77090.59</v>
      </c>
      <c r="I680" s="1399">
        <v>77090.59</v>
      </c>
    </row>
    <row r="681" spans="2:9">
      <c r="B681" s="1297"/>
      <c r="C681" s="1297"/>
      <c r="D681" s="1297" t="s">
        <v>934</v>
      </c>
      <c r="H681" s="1399">
        <v>54700</v>
      </c>
      <c r="I681" s="1399">
        <v>54700</v>
      </c>
    </row>
    <row r="682" spans="2:9">
      <c r="B682" s="1297"/>
      <c r="C682" s="1297"/>
      <c r="D682" s="1297" t="s">
        <v>935</v>
      </c>
      <c r="H682" s="1399">
        <v>329192.3</v>
      </c>
      <c r="I682" s="1399">
        <v>329192.3</v>
      </c>
    </row>
    <row r="683" spans="2:9">
      <c r="B683" s="1297"/>
      <c r="C683" s="1297"/>
      <c r="D683" s="1297" t="s">
        <v>936</v>
      </c>
      <c r="H683" s="1399">
        <v>49721.38</v>
      </c>
      <c r="I683" s="1399">
        <v>49721.38</v>
      </c>
    </row>
    <row r="684" spans="2:9">
      <c r="B684" s="1297"/>
      <c r="C684" s="1297"/>
      <c r="D684" s="1297" t="s">
        <v>937</v>
      </c>
      <c r="H684" s="1399">
        <v>9192.18</v>
      </c>
      <c r="I684" s="1399">
        <v>9192.18</v>
      </c>
    </row>
    <row r="685" spans="2:9">
      <c r="B685" s="1297"/>
      <c r="C685" s="1297"/>
      <c r="D685" s="1297" t="s">
        <v>938</v>
      </c>
      <c r="H685" s="1399">
        <v>24705</v>
      </c>
      <c r="I685" s="1399">
        <v>24705</v>
      </c>
    </row>
    <row r="686" spans="2:9">
      <c r="B686" s="1297"/>
      <c r="C686" s="1297"/>
      <c r="D686" s="1297" t="s">
        <v>939</v>
      </c>
      <c r="H686" s="1399">
        <v>119772.8</v>
      </c>
      <c r="I686" s="1399">
        <v>119772.8</v>
      </c>
    </row>
    <row r="687" spans="2:9">
      <c r="B687" s="1297"/>
      <c r="C687" s="1297"/>
      <c r="D687" s="1297" t="s">
        <v>940</v>
      </c>
      <c r="E687" s="1399">
        <v>901437.29999999993</v>
      </c>
      <c r="I687" s="1399">
        <v>901437.29999999993</v>
      </c>
    </row>
    <row r="688" spans="2:9">
      <c r="B688" s="1297"/>
      <c r="C688" s="1297"/>
      <c r="D688" s="1297" t="s">
        <v>941</v>
      </c>
      <c r="E688" s="1399">
        <v>285147.44</v>
      </c>
      <c r="I688" s="1399">
        <v>285147.44</v>
      </c>
    </row>
    <row r="689" spans="2:9">
      <c r="B689" s="1297"/>
      <c r="C689" s="1297"/>
      <c r="D689" s="1297" t="s">
        <v>943</v>
      </c>
      <c r="E689" s="1399">
        <v>14871.04</v>
      </c>
      <c r="I689" s="1399">
        <v>14871.04</v>
      </c>
    </row>
    <row r="690" spans="2:9">
      <c r="B690" s="1297"/>
      <c r="C690" s="1297"/>
      <c r="D690" s="1297" t="s">
        <v>944</v>
      </c>
      <c r="E690" s="1399">
        <v>2015595.1199999999</v>
      </c>
      <c r="I690" s="1399">
        <v>2015595.1199999999</v>
      </c>
    </row>
    <row r="691" spans="2:9">
      <c r="B691" s="1297"/>
      <c r="C691" s="1297"/>
      <c r="D691" s="1297" t="s">
        <v>945</v>
      </c>
      <c r="E691" s="1399">
        <v>1201416.8700000001</v>
      </c>
      <c r="I691" s="1399">
        <v>1201416.8700000001</v>
      </c>
    </row>
    <row r="692" spans="2:9">
      <c r="B692" s="1297"/>
      <c r="C692" s="1297"/>
      <c r="D692" s="1297" t="s">
        <v>946</v>
      </c>
      <c r="E692" s="1399">
        <v>272867.94</v>
      </c>
      <c r="I692" s="1399">
        <v>272867.94</v>
      </c>
    </row>
    <row r="693" spans="2:9">
      <c r="B693" s="1297"/>
      <c r="C693" s="1297"/>
      <c r="D693" s="1297" t="s">
        <v>947</v>
      </c>
      <c r="E693" s="1399">
        <v>127823.58000000002</v>
      </c>
      <c r="I693" s="1399">
        <v>127823.58000000002</v>
      </c>
    </row>
    <row r="694" spans="2:9">
      <c r="B694" s="1297"/>
      <c r="C694" s="1297"/>
      <c r="D694" s="1297" t="s">
        <v>1115</v>
      </c>
      <c r="E694" s="1399">
        <v>62536.76</v>
      </c>
      <c r="I694" s="1399">
        <v>62536.76</v>
      </c>
    </row>
    <row r="695" spans="2:9">
      <c r="B695" s="1297"/>
      <c r="C695" s="1297"/>
      <c r="D695" s="1297" t="s">
        <v>948</v>
      </c>
      <c r="G695" s="1399">
        <v>6036750.2400000002</v>
      </c>
      <c r="I695" s="1399">
        <v>6036750.2400000002</v>
      </c>
    </row>
    <row r="696" spans="2:9">
      <c r="B696" s="1297"/>
      <c r="C696" s="1297"/>
      <c r="D696" s="1297" t="s">
        <v>956</v>
      </c>
      <c r="G696" s="1399">
        <v>7000</v>
      </c>
      <c r="I696" s="1399">
        <v>7000</v>
      </c>
    </row>
    <row r="697" spans="2:9">
      <c r="B697" s="1297"/>
      <c r="C697" s="1297"/>
      <c r="D697" s="1297" t="s">
        <v>1118</v>
      </c>
      <c r="G697" s="1399">
        <v>711.41</v>
      </c>
      <c r="I697" s="1399">
        <v>711.41</v>
      </c>
    </row>
    <row r="698" spans="2:9">
      <c r="B698" s="1297"/>
      <c r="C698" s="1400" t="s">
        <v>1028</v>
      </c>
      <c r="D698" s="1400"/>
      <c r="E698" s="1401">
        <v>4881696.05</v>
      </c>
      <c r="F698" s="1401">
        <v>15334127.440000001</v>
      </c>
      <c r="G698" s="1401">
        <v>6044461.6500000004</v>
      </c>
      <c r="H698" s="1401">
        <v>15772283.750000002</v>
      </c>
      <c r="I698" s="1401">
        <v>42032568.889999986</v>
      </c>
    </row>
    <row r="699" spans="2:9">
      <c r="B699" s="1297" t="s">
        <v>1029</v>
      </c>
      <c r="C699" s="1297" t="s">
        <v>1030</v>
      </c>
      <c r="D699" s="1297" t="s">
        <v>906</v>
      </c>
      <c r="F699" s="1399">
        <v>2088257.93</v>
      </c>
      <c r="I699" s="1399">
        <v>2088257.93</v>
      </c>
    </row>
    <row r="700" spans="2:9">
      <c r="B700" s="1297"/>
      <c r="C700" s="1297"/>
      <c r="D700" s="1297" t="s">
        <v>952</v>
      </c>
      <c r="F700" s="1399">
        <v>38201.599999999999</v>
      </c>
      <c r="I700" s="1399">
        <v>38201.599999999999</v>
      </c>
    </row>
    <row r="701" spans="2:9">
      <c r="B701" s="1297"/>
      <c r="C701" s="1297"/>
      <c r="D701" s="1297" t="s">
        <v>907</v>
      </c>
      <c r="F701" s="1399">
        <v>431037.27</v>
      </c>
      <c r="I701" s="1399">
        <v>431037.27</v>
      </c>
    </row>
    <row r="702" spans="2:9">
      <c r="B702" s="1297"/>
      <c r="C702" s="1297"/>
      <c r="D702" s="1297" t="s">
        <v>908</v>
      </c>
      <c r="F702" s="1399">
        <v>20778.54</v>
      </c>
      <c r="I702" s="1399">
        <v>20778.54</v>
      </c>
    </row>
    <row r="703" spans="2:9">
      <c r="B703" s="1297"/>
      <c r="C703" s="1297"/>
      <c r="D703" s="1297" t="s">
        <v>1039</v>
      </c>
      <c r="F703" s="1399">
        <v>10037.01</v>
      </c>
      <c r="I703" s="1399">
        <v>10037.01</v>
      </c>
    </row>
    <row r="704" spans="2:9">
      <c r="B704" s="1297"/>
      <c r="C704" s="1297"/>
      <c r="D704" s="1297" t="s">
        <v>1041</v>
      </c>
      <c r="F704" s="1399">
        <v>1156.8500000000001</v>
      </c>
      <c r="I704" s="1399">
        <v>1156.8500000000001</v>
      </c>
    </row>
    <row r="705" spans="2:9">
      <c r="B705" s="1297"/>
      <c r="C705" s="1297"/>
      <c r="D705" s="1297" t="s">
        <v>1042</v>
      </c>
      <c r="F705" s="1399">
        <v>22589.72</v>
      </c>
      <c r="I705" s="1399">
        <v>22589.72</v>
      </c>
    </row>
    <row r="706" spans="2:9">
      <c r="B706" s="1297"/>
      <c r="C706" s="1297"/>
      <c r="D706" s="1297" t="s">
        <v>1043</v>
      </c>
      <c r="F706" s="1399">
        <v>5640</v>
      </c>
      <c r="I706" s="1399">
        <v>5640</v>
      </c>
    </row>
    <row r="707" spans="2:9">
      <c r="B707" s="1297"/>
      <c r="C707" s="1297"/>
      <c r="D707" s="1297" t="s">
        <v>1044</v>
      </c>
      <c r="F707" s="1399">
        <v>7351</v>
      </c>
      <c r="I707" s="1399">
        <v>7351</v>
      </c>
    </row>
    <row r="708" spans="2:9">
      <c r="B708" s="1297"/>
      <c r="C708" s="1297"/>
      <c r="D708" s="1297" t="s">
        <v>1045</v>
      </c>
      <c r="F708" s="1399">
        <v>29329.79</v>
      </c>
      <c r="I708" s="1399">
        <v>29329.79</v>
      </c>
    </row>
    <row r="709" spans="2:9">
      <c r="B709" s="1297"/>
      <c r="C709" s="1297"/>
      <c r="D709" s="1297" t="s">
        <v>1046</v>
      </c>
      <c r="H709" s="1399">
        <v>3249064</v>
      </c>
      <c r="I709" s="1399">
        <v>3249064</v>
      </c>
    </row>
    <row r="710" spans="2:9">
      <c r="B710" s="1297"/>
      <c r="C710" s="1297"/>
      <c r="D710" s="1297" t="s">
        <v>1047</v>
      </c>
      <c r="H710" s="1399">
        <v>392754</v>
      </c>
      <c r="I710" s="1399">
        <v>392754</v>
      </c>
    </row>
    <row r="711" spans="2:9">
      <c r="B711" s="1297"/>
      <c r="C711" s="1297"/>
      <c r="D711" s="1297" t="s">
        <v>1048</v>
      </c>
      <c r="H711" s="1399">
        <v>-792848</v>
      </c>
      <c r="I711" s="1399">
        <v>-792848</v>
      </c>
    </row>
    <row r="712" spans="2:9">
      <c r="B712" s="1297"/>
      <c r="C712" s="1297"/>
      <c r="D712" s="1297" t="s">
        <v>932</v>
      </c>
      <c r="H712" s="1399">
        <v>177065</v>
      </c>
      <c r="I712" s="1399">
        <v>177065</v>
      </c>
    </row>
    <row r="713" spans="2:9">
      <c r="B713" s="1297"/>
      <c r="C713" s="1297"/>
      <c r="D713" s="1297" t="s">
        <v>933</v>
      </c>
      <c r="H713" s="1399">
        <v>94435.74</v>
      </c>
      <c r="I713" s="1399">
        <v>94435.74</v>
      </c>
    </row>
    <row r="714" spans="2:9">
      <c r="B714" s="1297"/>
      <c r="C714" s="1297"/>
      <c r="D714" s="1297" t="s">
        <v>934</v>
      </c>
      <c r="H714" s="1399">
        <v>12498</v>
      </c>
      <c r="I714" s="1399">
        <v>12498</v>
      </c>
    </row>
    <row r="715" spans="2:9">
      <c r="B715" s="1297"/>
      <c r="C715" s="1297"/>
      <c r="D715" s="1297" t="s">
        <v>935</v>
      </c>
      <c r="H715" s="1399">
        <v>77651.33</v>
      </c>
      <c r="I715" s="1399">
        <v>77651.33</v>
      </c>
    </row>
    <row r="716" spans="2:9">
      <c r="B716" s="1297"/>
      <c r="C716" s="1297"/>
      <c r="D716" s="1297" t="s">
        <v>936</v>
      </c>
      <c r="H716" s="1399">
        <v>16457.080000000002</v>
      </c>
      <c r="I716" s="1399">
        <v>16457.080000000002</v>
      </c>
    </row>
    <row r="717" spans="2:9">
      <c r="B717" s="1297"/>
      <c r="C717" s="1297"/>
      <c r="D717" s="1297" t="s">
        <v>937</v>
      </c>
      <c r="H717" s="1399">
        <v>2890.36</v>
      </c>
      <c r="I717" s="1399">
        <v>2890.36</v>
      </c>
    </row>
    <row r="718" spans="2:9">
      <c r="B718" s="1297"/>
      <c r="C718" s="1297"/>
      <c r="D718" s="1297" t="s">
        <v>938</v>
      </c>
      <c r="H718" s="1399">
        <v>4679</v>
      </c>
      <c r="I718" s="1399">
        <v>4679</v>
      </c>
    </row>
    <row r="719" spans="2:9">
      <c r="B719" s="1297"/>
      <c r="C719" s="1297"/>
      <c r="D719" s="1297" t="s">
        <v>939</v>
      </c>
      <c r="H719" s="1399">
        <v>49506.619999999995</v>
      </c>
      <c r="I719" s="1399">
        <v>49506.619999999995</v>
      </c>
    </row>
    <row r="720" spans="2:9">
      <c r="B720" s="1297"/>
      <c r="C720" s="1297"/>
      <c r="D720" s="1297" t="s">
        <v>1131</v>
      </c>
      <c r="E720" s="1399">
        <v>31497.1</v>
      </c>
      <c r="I720" s="1399">
        <v>31497.1</v>
      </c>
    </row>
    <row r="721" spans="2:9">
      <c r="B721" s="1297"/>
      <c r="C721" s="1297"/>
      <c r="D721" s="1297" t="s">
        <v>940</v>
      </c>
      <c r="E721" s="1399">
        <v>234367.5</v>
      </c>
      <c r="I721" s="1399">
        <v>234367.5</v>
      </c>
    </row>
    <row r="722" spans="2:9">
      <c r="B722" s="1297"/>
      <c r="C722" s="1297"/>
      <c r="D722" s="1297" t="s">
        <v>941</v>
      </c>
      <c r="E722" s="1399">
        <v>107511.44</v>
      </c>
      <c r="I722" s="1399">
        <v>107511.44</v>
      </c>
    </row>
    <row r="723" spans="2:9">
      <c r="B723" s="1297"/>
      <c r="C723" s="1297"/>
      <c r="D723" s="1297" t="s">
        <v>943</v>
      </c>
      <c r="E723" s="1399">
        <v>0</v>
      </c>
      <c r="I723" s="1399">
        <v>0</v>
      </c>
    </row>
    <row r="724" spans="2:9">
      <c r="B724" s="1297"/>
      <c r="C724" s="1297"/>
      <c r="D724" s="1297" t="s">
        <v>944</v>
      </c>
      <c r="E724" s="1399">
        <v>810932.54</v>
      </c>
      <c r="I724" s="1399">
        <v>810932.54</v>
      </c>
    </row>
    <row r="725" spans="2:9">
      <c r="B725" s="1297"/>
      <c r="C725" s="1297"/>
      <c r="D725" s="1297" t="s">
        <v>945</v>
      </c>
      <c r="E725" s="1399">
        <v>441779.01999999996</v>
      </c>
      <c r="I725" s="1399">
        <v>441779.01999999996</v>
      </c>
    </row>
    <row r="726" spans="2:9">
      <c r="B726" s="1297"/>
      <c r="C726" s="1297"/>
      <c r="D726" s="1297" t="s">
        <v>947</v>
      </c>
      <c r="E726" s="1399">
        <v>30958.48</v>
      </c>
      <c r="I726" s="1399">
        <v>30958.48</v>
      </c>
    </row>
    <row r="727" spans="2:9">
      <c r="B727" s="1297"/>
      <c r="C727" s="1297"/>
      <c r="D727" s="1297" t="s">
        <v>1115</v>
      </c>
      <c r="E727" s="1399">
        <v>30.42</v>
      </c>
      <c r="I727" s="1399">
        <v>30.42</v>
      </c>
    </row>
    <row r="728" spans="2:9">
      <c r="B728" s="1297"/>
      <c r="C728" s="1297"/>
      <c r="D728" s="1297" t="s">
        <v>948</v>
      </c>
      <c r="G728" s="1399">
        <v>75595.459999999992</v>
      </c>
      <c r="I728" s="1399">
        <v>75595.459999999992</v>
      </c>
    </row>
    <row r="729" spans="2:9">
      <c r="B729" s="1297"/>
      <c r="C729" s="1297"/>
      <c r="D729" s="1297" t="s">
        <v>1118</v>
      </c>
      <c r="G729" s="1399">
        <v>352.64</v>
      </c>
      <c r="I729" s="1399">
        <v>352.64</v>
      </c>
    </row>
    <row r="730" spans="2:9">
      <c r="B730" s="1297"/>
      <c r="C730" s="1400" t="s">
        <v>1031</v>
      </c>
      <c r="D730" s="1400"/>
      <c r="E730" s="1401">
        <v>1657076.5</v>
      </c>
      <c r="F730" s="1401">
        <v>2654379.71</v>
      </c>
      <c r="G730" s="1401">
        <v>75948.099999999991</v>
      </c>
      <c r="H730" s="1401">
        <v>3284153.1300000004</v>
      </c>
      <c r="I730" s="1401">
        <v>7671557.4400000004</v>
      </c>
    </row>
    <row r="731" spans="2:9">
      <c r="B731" s="1297" t="s">
        <v>1032</v>
      </c>
      <c r="C731" s="1297" t="s">
        <v>1033</v>
      </c>
      <c r="D731" s="1297" t="s">
        <v>906</v>
      </c>
      <c r="F731" s="1399">
        <v>23899770.120000001</v>
      </c>
      <c r="I731" s="1399">
        <v>23899770.120000001</v>
      </c>
    </row>
    <row r="732" spans="2:9">
      <c r="B732" s="1297"/>
      <c r="C732" s="1297"/>
      <c r="D732" s="1297" t="s">
        <v>952</v>
      </c>
      <c r="F732" s="1399">
        <v>291133.52</v>
      </c>
      <c r="I732" s="1399">
        <v>291133.52</v>
      </c>
    </row>
    <row r="733" spans="2:9">
      <c r="B733" s="1297"/>
      <c r="C733" s="1297"/>
      <c r="D733" s="1297" t="s">
        <v>907</v>
      </c>
      <c r="F733" s="1399">
        <v>7916231.0099999998</v>
      </c>
      <c r="I733" s="1399">
        <v>7916231.0099999998</v>
      </c>
    </row>
    <row r="734" spans="2:9">
      <c r="B734" s="1297"/>
      <c r="C734" s="1297"/>
      <c r="D734" s="1297" t="s">
        <v>908</v>
      </c>
      <c r="F734" s="1399">
        <v>17123.68</v>
      </c>
      <c r="I734" s="1399">
        <v>17123.68</v>
      </c>
    </row>
    <row r="735" spans="2:9">
      <c r="B735" s="1297"/>
      <c r="C735" s="1297"/>
      <c r="D735" s="1297" t="s">
        <v>909</v>
      </c>
      <c r="F735" s="1399">
        <v>71733.14</v>
      </c>
      <c r="I735" s="1399">
        <v>71733.14</v>
      </c>
    </row>
    <row r="736" spans="2:9">
      <c r="B736" s="1297"/>
      <c r="C736" s="1297"/>
      <c r="D736" s="1297" t="s">
        <v>910</v>
      </c>
      <c r="F736" s="1399">
        <v>314863.61</v>
      </c>
      <c r="I736" s="1399">
        <v>314863.61</v>
      </c>
    </row>
    <row r="737" spans="2:9">
      <c r="B737" s="1297"/>
      <c r="C737" s="1297"/>
      <c r="D737" s="1297" t="s">
        <v>1034</v>
      </c>
      <c r="F737" s="1399">
        <v>128826.29999999999</v>
      </c>
      <c r="I737" s="1399">
        <v>128826.29999999999</v>
      </c>
    </row>
    <row r="738" spans="2:9">
      <c r="B738" s="1297"/>
      <c r="C738" s="1297"/>
      <c r="D738" s="1297" t="s">
        <v>1035</v>
      </c>
      <c r="F738" s="1399">
        <v>963133.89000000013</v>
      </c>
      <c r="I738" s="1399">
        <v>963133.89000000013</v>
      </c>
    </row>
    <row r="739" spans="2:9">
      <c r="B739" s="1297"/>
      <c r="C739" s="1297"/>
      <c r="D739" s="1297" t="s">
        <v>1036</v>
      </c>
      <c r="F739" s="1399">
        <v>306326.32</v>
      </c>
      <c r="I739" s="1399">
        <v>306326.32</v>
      </c>
    </row>
    <row r="740" spans="2:9">
      <c r="B740" s="1297"/>
      <c r="C740" s="1297"/>
      <c r="D740" s="1297" t="s">
        <v>1039</v>
      </c>
      <c r="F740" s="1399">
        <v>45148.279999999984</v>
      </c>
      <c r="I740" s="1399">
        <v>45148.279999999984</v>
      </c>
    </row>
    <row r="741" spans="2:9">
      <c r="B741" s="1297"/>
      <c r="C741" s="1297"/>
      <c r="D741" s="1297" t="s">
        <v>1040</v>
      </c>
      <c r="F741" s="1399">
        <v>879715.10999999987</v>
      </c>
      <c r="I741" s="1399">
        <v>879715.10999999987</v>
      </c>
    </row>
    <row r="742" spans="2:9">
      <c r="B742" s="1297"/>
      <c r="C742" s="1297"/>
      <c r="D742" s="1297" t="s">
        <v>1041</v>
      </c>
      <c r="F742" s="1399">
        <v>29321.559999999998</v>
      </c>
      <c r="I742" s="1399">
        <v>29321.559999999998</v>
      </c>
    </row>
    <row r="743" spans="2:9">
      <c r="B743" s="1297"/>
      <c r="C743" s="1297"/>
      <c r="D743" s="1297" t="s">
        <v>1042</v>
      </c>
      <c r="F743" s="1399">
        <v>79687.41</v>
      </c>
      <c r="I743" s="1399">
        <v>79687.41</v>
      </c>
    </row>
    <row r="744" spans="2:9">
      <c r="B744" s="1297"/>
      <c r="C744" s="1297"/>
      <c r="D744" s="1297" t="s">
        <v>985</v>
      </c>
      <c r="F744" s="1399">
        <v>373119</v>
      </c>
      <c r="I744" s="1399">
        <v>373119</v>
      </c>
    </row>
    <row r="745" spans="2:9">
      <c r="B745" s="1297"/>
      <c r="C745" s="1297"/>
      <c r="D745" s="1297" t="s">
        <v>986</v>
      </c>
      <c r="F745" s="1399">
        <v>17579.05</v>
      </c>
      <c r="I745" s="1399">
        <v>17579.05</v>
      </c>
    </row>
    <row r="746" spans="2:9">
      <c r="B746" s="1297"/>
      <c r="C746" s="1297"/>
      <c r="D746" s="1297" t="s">
        <v>1044</v>
      </c>
      <c r="F746" s="1399">
        <v>44565.97</v>
      </c>
      <c r="I746" s="1399">
        <v>44565.97</v>
      </c>
    </row>
    <row r="747" spans="2:9">
      <c r="B747" s="1297"/>
      <c r="C747" s="1297"/>
      <c r="D747" s="1297" t="s">
        <v>1045</v>
      </c>
      <c r="F747" s="1399">
        <v>309508.98</v>
      </c>
      <c r="I747" s="1399">
        <v>309508.98</v>
      </c>
    </row>
    <row r="748" spans="2:9">
      <c r="B748" s="1297"/>
      <c r="C748" s="1297"/>
      <c r="D748" s="1297" t="s">
        <v>1046</v>
      </c>
      <c r="H748" s="1399">
        <v>48927176</v>
      </c>
      <c r="I748" s="1399">
        <v>48927176</v>
      </c>
    </row>
    <row r="749" spans="2:9">
      <c r="B749" s="1297"/>
      <c r="C749" s="1297"/>
      <c r="D749" s="1297" t="s">
        <v>1128</v>
      </c>
      <c r="H749" s="1399">
        <v>3960987</v>
      </c>
      <c r="I749" s="1399">
        <v>3960987</v>
      </c>
    </row>
    <row r="750" spans="2:9">
      <c r="B750" s="1297"/>
      <c r="C750" s="1297"/>
      <c r="D750" s="1297" t="s">
        <v>1129</v>
      </c>
      <c r="H750" s="1399">
        <v>-6903385</v>
      </c>
      <c r="I750" s="1399">
        <v>-6903385</v>
      </c>
    </row>
    <row r="751" spans="2:9">
      <c r="B751" s="1297"/>
      <c r="C751" s="1297"/>
      <c r="D751" s="1297" t="s">
        <v>1047</v>
      </c>
      <c r="H751" s="1399">
        <v>1173435</v>
      </c>
      <c r="I751" s="1399">
        <v>1173435</v>
      </c>
    </row>
    <row r="752" spans="2:9">
      <c r="B752" s="1297"/>
      <c r="C752" s="1297"/>
      <c r="D752" s="1297" t="s">
        <v>1048</v>
      </c>
      <c r="H752" s="1399">
        <v>-8473261</v>
      </c>
      <c r="I752" s="1399">
        <v>-8473261</v>
      </c>
    </row>
    <row r="753" spans="2:9">
      <c r="B753" s="1297"/>
      <c r="C753" s="1297"/>
      <c r="D753" s="1297" t="s">
        <v>932</v>
      </c>
      <c r="H753" s="1399">
        <v>1693789</v>
      </c>
      <c r="I753" s="1399">
        <v>1693789</v>
      </c>
    </row>
    <row r="754" spans="2:9">
      <c r="B754" s="1297"/>
      <c r="C754" s="1297"/>
      <c r="D754" s="1297" t="s">
        <v>955</v>
      </c>
      <c r="H754" s="1399">
        <v>951671.52000000014</v>
      </c>
      <c r="I754" s="1399">
        <v>951671.52000000014</v>
      </c>
    </row>
    <row r="755" spans="2:9">
      <c r="B755" s="1297"/>
      <c r="C755" s="1297"/>
      <c r="D755" s="1297" t="s">
        <v>934</v>
      </c>
      <c r="H755" s="1399">
        <v>140096</v>
      </c>
      <c r="I755" s="1399">
        <v>140096</v>
      </c>
    </row>
    <row r="756" spans="2:9">
      <c r="B756" s="1297"/>
      <c r="C756" s="1297"/>
      <c r="D756" s="1297" t="s">
        <v>935</v>
      </c>
      <c r="H756" s="1399">
        <v>695873.0399999998</v>
      </c>
      <c r="I756" s="1399">
        <v>695873.0399999998</v>
      </c>
    </row>
    <row r="757" spans="2:9">
      <c r="B757" s="1297"/>
      <c r="C757" s="1297"/>
      <c r="D757" s="1297" t="s">
        <v>936</v>
      </c>
      <c r="H757" s="1399">
        <v>91739.44</v>
      </c>
      <c r="I757" s="1399">
        <v>91739.44</v>
      </c>
    </row>
    <row r="758" spans="2:9">
      <c r="B758" s="1297"/>
      <c r="C758" s="1297"/>
      <c r="D758" s="1297" t="s">
        <v>937</v>
      </c>
      <c r="H758" s="1399">
        <v>50621.47</v>
      </c>
      <c r="I758" s="1399">
        <v>50621.47</v>
      </c>
    </row>
    <row r="759" spans="2:9">
      <c r="B759" s="1297"/>
      <c r="C759" s="1297"/>
      <c r="D759" s="1297" t="s">
        <v>938</v>
      </c>
      <c r="H759" s="1399">
        <v>43982</v>
      </c>
      <c r="I759" s="1399">
        <v>43982</v>
      </c>
    </row>
    <row r="760" spans="2:9">
      <c r="B760" s="1297"/>
      <c r="C760" s="1297"/>
      <c r="D760" s="1297" t="s">
        <v>939</v>
      </c>
      <c r="H760" s="1399">
        <v>254204.64</v>
      </c>
      <c r="I760" s="1399">
        <v>254204.64</v>
      </c>
    </row>
    <row r="761" spans="2:9">
      <c r="B761" s="1297"/>
      <c r="C761" s="1297"/>
      <c r="D761" s="1297" t="s">
        <v>1131</v>
      </c>
      <c r="E761" s="1399">
        <v>88112.11</v>
      </c>
      <c r="I761" s="1399">
        <v>88112.11</v>
      </c>
    </row>
    <row r="762" spans="2:9">
      <c r="B762" s="1297"/>
      <c r="C762" s="1297"/>
      <c r="D762" s="1297" t="s">
        <v>940</v>
      </c>
      <c r="E762" s="1399">
        <v>1688181.76</v>
      </c>
      <c r="I762" s="1399">
        <v>1688181.76</v>
      </c>
    </row>
    <row r="763" spans="2:9">
      <c r="B763" s="1297"/>
      <c r="C763" s="1297"/>
      <c r="D763" s="1297" t="s">
        <v>941</v>
      </c>
      <c r="E763" s="1399">
        <v>709390.37999999989</v>
      </c>
      <c r="I763" s="1399">
        <v>709390.37999999989</v>
      </c>
    </row>
    <row r="764" spans="2:9">
      <c r="B764" s="1297"/>
      <c r="C764" s="1297"/>
      <c r="D764" s="1297" t="s">
        <v>943</v>
      </c>
      <c r="E764" s="1399">
        <v>13050.640000000003</v>
      </c>
      <c r="I764" s="1399">
        <v>13050.640000000003</v>
      </c>
    </row>
    <row r="765" spans="2:9">
      <c r="B765" s="1297"/>
      <c r="C765" s="1297"/>
      <c r="D765" s="1297" t="s">
        <v>944</v>
      </c>
      <c r="E765" s="1399">
        <v>3703853.6300000004</v>
      </c>
      <c r="I765" s="1399">
        <v>3703853.6300000004</v>
      </c>
    </row>
    <row r="766" spans="2:9">
      <c r="B766" s="1297"/>
      <c r="C766" s="1297"/>
      <c r="D766" s="1297" t="s">
        <v>945</v>
      </c>
      <c r="E766" s="1399">
        <v>4192425.91</v>
      </c>
      <c r="I766" s="1399">
        <v>4192425.91</v>
      </c>
    </row>
    <row r="767" spans="2:9">
      <c r="B767" s="1297"/>
      <c r="C767" s="1297"/>
      <c r="D767" s="1297" t="s">
        <v>1006</v>
      </c>
      <c r="E767" s="1399">
        <v>6584695.6999999993</v>
      </c>
      <c r="I767" s="1399">
        <v>6584695.6999999993</v>
      </c>
    </row>
    <row r="768" spans="2:9">
      <c r="B768" s="1297"/>
      <c r="C768" s="1297"/>
      <c r="D768" s="1297" t="s">
        <v>1199</v>
      </c>
      <c r="E768" s="1399">
        <v>6504</v>
      </c>
      <c r="I768" s="1399">
        <v>6504</v>
      </c>
    </row>
    <row r="769" spans="2:9">
      <c r="B769" s="1297"/>
      <c r="C769" s="1297"/>
      <c r="D769" s="1297" t="s">
        <v>947</v>
      </c>
      <c r="E769" s="1399">
        <v>275066.57</v>
      </c>
      <c r="I769" s="1399">
        <v>275066.57</v>
      </c>
    </row>
    <row r="770" spans="2:9">
      <c r="B770" s="1297"/>
      <c r="C770" s="1297"/>
      <c r="D770" s="1297" t="s">
        <v>1115</v>
      </c>
      <c r="E770" s="1399">
        <v>285369</v>
      </c>
      <c r="I770" s="1399">
        <v>285369</v>
      </c>
    </row>
    <row r="771" spans="2:9">
      <c r="B771" s="1297"/>
      <c r="C771" s="1297"/>
      <c r="D771" s="1297" t="s">
        <v>948</v>
      </c>
      <c r="G771" s="1399">
        <v>479246.73000000004</v>
      </c>
      <c r="I771" s="1399">
        <v>479246.73000000004</v>
      </c>
    </row>
    <row r="772" spans="2:9">
      <c r="B772" s="1297"/>
      <c r="C772" s="1400" t="s">
        <v>1200</v>
      </c>
      <c r="D772" s="1400"/>
      <c r="E772" s="1401">
        <v>17546649.699999999</v>
      </c>
      <c r="F772" s="1401">
        <v>35687786.949999988</v>
      </c>
      <c r="G772" s="1401">
        <v>479246.73000000004</v>
      </c>
      <c r="H772" s="1401">
        <v>42606929.109999999</v>
      </c>
      <c r="I772" s="1401">
        <v>96320612.48999998</v>
      </c>
    </row>
    <row r="773" spans="2:9">
      <c r="B773" s="1297" t="s">
        <v>1201</v>
      </c>
      <c r="C773" s="1297" t="s">
        <v>1202</v>
      </c>
      <c r="D773" s="1297" t="s">
        <v>906</v>
      </c>
      <c r="F773" s="1399">
        <v>2906761.75</v>
      </c>
      <c r="I773" s="1399">
        <v>2906761.75</v>
      </c>
    </row>
    <row r="774" spans="2:9">
      <c r="B774" s="1297"/>
      <c r="C774" s="1297"/>
      <c r="D774" s="1297" t="s">
        <v>952</v>
      </c>
      <c r="F774" s="1399">
        <v>23960.52</v>
      </c>
      <c r="I774" s="1399">
        <v>23960.52</v>
      </c>
    </row>
    <row r="775" spans="2:9">
      <c r="B775" s="1297"/>
      <c r="C775" s="1297"/>
      <c r="D775" s="1297" t="s">
        <v>907</v>
      </c>
      <c r="F775" s="1399">
        <v>1271486.57</v>
      </c>
      <c r="I775" s="1399">
        <v>1271486.57</v>
      </c>
    </row>
    <row r="776" spans="2:9">
      <c r="B776" s="1297"/>
      <c r="C776" s="1297"/>
      <c r="D776" s="1297" t="s">
        <v>908</v>
      </c>
      <c r="F776" s="1399">
        <v>3903.03</v>
      </c>
      <c r="I776" s="1399">
        <v>3903.03</v>
      </c>
    </row>
    <row r="777" spans="2:9">
      <c r="B777" s="1297"/>
      <c r="C777" s="1297"/>
      <c r="D777" s="1297" t="s">
        <v>1122</v>
      </c>
      <c r="F777" s="1399">
        <v>-1495</v>
      </c>
      <c r="I777" s="1399">
        <v>-1495</v>
      </c>
    </row>
    <row r="778" spans="2:9">
      <c r="B778" s="1297"/>
      <c r="C778" s="1297"/>
      <c r="D778" s="1297" t="s">
        <v>909</v>
      </c>
      <c r="F778" s="1399">
        <v>44111.3</v>
      </c>
      <c r="I778" s="1399">
        <v>44111.3</v>
      </c>
    </row>
    <row r="779" spans="2:9">
      <c r="B779" s="1297"/>
      <c r="C779" s="1297"/>
      <c r="D779" s="1297" t="s">
        <v>910</v>
      </c>
      <c r="F779" s="1399">
        <v>50673.17</v>
      </c>
      <c r="I779" s="1399">
        <v>50673.17</v>
      </c>
    </row>
    <row r="780" spans="2:9">
      <c r="B780" s="1297"/>
      <c r="C780" s="1297"/>
      <c r="D780" s="1297" t="s">
        <v>1034</v>
      </c>
      <c r="F780" s="1399">
        <v>102796.63</v>
      </c>
      <c r="I780" s="1399">
        <v>102796.63</v>
      </c>
    </row>
    <row r="781" spans="2:9">
      <c r="B781" s="1297"/>
      <c r="C781" s="1297"/>
      <c r="D781" s="1297" t="s">
        <v>1035</v>
      </c>
      <c r="F781" s="1399">
        <v>251793.61</v>
      </c>
      <c r="I781" s="1399">
        <v>251793.61</v>
      </c>
    </row>
    <row r="782" spans="2:9">
      <c r="B782" s="1297"/>
      <c r="C782" s="1297"/>
      <c r="D782" s="1297" t="s">
        <v>1036</v>
      </c>
      <c r="F782" s="1399">
        <v>54754.42</v>
      </c>
      <c r="I782" s="1399">
        <v>54754.42</v>
      </c>
    </row>
    <row r="783" spans="2:9">
      <c r="B783" s="1297"/>
      <c r="C783" s="1297"/>
      <c r="D783" s="1297" t="s">
        <v>1003</v>
      </c>
      <c r="F783" s="1399">
        <v>21486.32</v>
      </c>
      <c r="I783" s="1399">
        <v>21486.32</v>
      </c>
    </row>
    <row r="784" spans="2:9">
      <c r="B784" s="1297"/>
      <c r="C784" s="1297"/>
      <c r="D784" s="1297" t="s">
        <v>1039</v>
      </c>
      <c r="F784" s="1399">
        <v>112490.55</v>
      </c>
      <c r="I784" s="1399">
        <v>112490.55</v>
      </c>
    </row>
    <row r="785" spans="2:9">
      <c r="B785" s="1297"/>
      <c r="C785" s="1297"/>
      <c r="D785" s="1297" t="s">
        <v>1040</v>
      </c>
      <c r="F785" s="1399">
        <v>112565.33000000002</v>
      </c>
      <c r="I785" s="1399">
        <v>112565.33000000002</v>
      </c>
    </row>
    <row r="786" spans="2:9">
      <c r="B786" s="1297"/>
      <c r="C786" s="1297"/>
      <c r="D786" s="1297" t="s">
        <v>1041</v>
      </c>
      <c r="F786" s="1399">
        <v>24092.25</v>
      </c>
      <c r="I786" s="1399">
        <v>24092.25</v>
      </c>
    </row>
    <row r="787" spans="2:9">
      <c r="B787" s="1297"/>
      <c r="C787" s="1297"/>
      <c r="D787" s="1297" t="s">
        <v>1042</v>
      </c>
      <c r="F787" s="1399">
        <v>19507.849999999999</v>
      </c>
      <c r="I787" s="1399">
        <v>19507.849999999999</v>
      </c>
    </row>
    <row r="788" spans="2:9">
      <c r="B788" s="1297"/>
      <c r="C788" s="1297"/>
      <c r="D788" s="1297" t="s">
        <v>953</v>
      </c>
      <c r="F788" s="1399">
        <v>32164.51</v>
      </c>
      <c r="I788" s="1399">
        <v>32164.51</v>
      </c>
    </row>
    <row r="789" spans="2:9">
      <c r="B789" s="1297"/>
      <c r="C789" s="1297"/>
      <c r="D789" s="1297" t="s">
        <v>985</v>
      </c>
      <c r="F789" s="1399">
        <v>49649.37</v>
      </c>
      <c r="I789" s="1399">
        <v>49649.37</v>
      </c>
    </row>
    <row r="790" spans="2:9">
      <c r="B790" s="1297"/>
      <c r="C790" s="1297"/>
      <c r="D790" s="1297" t="s">
        <v>1043</v>
      </c>
      <c r="F790" s="1399">
        <v>2400</v>
      </c>
      <c r="I790" s="1399">
        <v>2400</v>
      </c>
    </row>
    <row r="791" spans="2:9">
      <c r="B791" s="1297"/>
      <c r="C791" s="1297"/>
      <c r="D791" s="1297" t="s">
        <v>1203</v>
      </c>
      <c r="F791" s="1399">
        <v>1200</v>
      </c>
      <c r="I791" s="1399">
        <v>1200</v>
      </c>
    </row>
    <row r="792" spans="2:9">
      <c r="B792" s="1297"/>
      <c r="C792" s="1297"/>
      <c r="D792" s="1297" t="s">
        <v>1044</v>
      </c>
      <c r="F792" s="1399">
        <v>43950.18</v>
      </c>
      <c r="I792" s="1399">
        <v>43950.18</v>
      </c>
    </row>
    <row r="793" spans="2:9">
      <c r="B793" s="1297"/>
      <c r="C793" s="1297"/>
      <c r="D793" s="1297" t="s">
        <v>1045</v>
      </c>
      <c r="F793" s="1399">
        <v>216384.45</v>
      </c>
      <c r="I793" s="1399">
        <v>216384.45</v>
      </c>
    </row>
    <row r="794" spans="2:9">
      <c r="B794" s="1297"/>
      <c r="C794" s="1297"/>
      <c r="D794" s="1297" t="s">
        <v>1046</v>
      </c>
      <c r="H794" s="1399">
        <v>11095194</v>
      </c>
      <c r="I794" s="1399">
        <v>11095194</v>
      </c>
    </row>
    <row r="795" spans="2:9">
      <c r="B795" s="1297"/>
      <c r="C795" s="1297"/>
      <c r="D795" s="1297" t="s">
        <v>1129</v>
      </c>
      <c r="H795" s="1399">
        <v>-1391455</v>
      </c>
      <c r="I795" s="1399">
        <v>-1391455</v>
      </c>
    </row>
    <row r="796" spans="2:9">
      <c r="B796" s="1297"/>
      <c r="C796" s="1297"/>
      <c r="D796" s="1297" t="s">
        <v>1047</v>
      </c>
      <c r="H796" s="1399">
        <v>328587</v>
      </c>
      <c r="I796" s="1399">
        <v>328587</v>
      </c>
    </row>
    <row r="797" spans="2:9">
      <c r="B797" s="1297"/>
      <c r="C797" s="1297"/>
      <c r="D797" s="1297" t="s">
        <v>1048</v>
      </c>
      <c r="H797" s="1399">
        <v>-962507</v>
      </c>
      <c r="I797" s="1399">
        <v>-962507</v>
      </c>
    </row>
    <row r="798" spans="2:9">
      <c r="B798" s="1297"/>
      <c r="C798" s="1297"/>
      <c r="D798" s="1297" t="s">
        <v>932</v>
      </c>
      <c r="H798" s="1399">
        <v>1133383</v>
      </c>
      <c r="I798" s="1399">
        <v>1133383</v>
      </c>
    </row>
    <row r="799" spans="2:9">
      <c r="B799" s="1297"/>
      <c r="C799" s="1297"/>
      <c r="D799" s="1297" t="s">
        <v>955</v>
      </c>
      <c r="H799" s="1399">
        <v>702822.34</v>
      </c>
      <c r="I799" s="1399">
        <v>702822.34</v>
      </c>
    </row>
    <row r="800" spans="2:9">
      <c r="B800" s="1297"/>
      <c r="C800" s="1297"/>
      <c r="D800" s="1297" t="s">
        <v>934</v>
      </c>
      <c r="H800" s="1399">
        <v>31316</v>
      </c>
      <c r="I800" s="1399">
        <v>31316</v>
      </c>
    </row>
    <row r="801" spans="2:9">
      <c r="B801" s="1297"/>
      <c r="C801" s="1297"/>
      <c r="D801" s="1297" t="s">
        <v>1130</v>
      </c>
      <c r="H801" s="1399">
        <v>2388</v>
      </c>
      <c r="I801" s="1399">
        <v>2388</v>
      </c>
    </row>
    <row r="802" spans="2:9">
      <c r="B802" s="1297"/>
      <c r="C802" s="1297"/>
      <c r="D802" s="1297" t="s">
        <v>935</v>
      </c>
      <c r="H802" s="1399">
        <v>320984.76</v>
      </c>
      <c r="I802" s="1399">
        <v>320984.76</v>
      </c>
    </row>
    <row r="803" spans="2:9">
      <c r="B803" s="1297"/>
      <c r="C803" s="1297"/>
      <c r="D803" s="1297" t="s">
        <v>936</v>
      </c>
      <c r="H803" s="1399">
        <v>33964.6</v>
      </c>
      <c r="I803" s="1399">
        <v>33964.6</v>
      </c>
    </row>
    <row r="804" spans="2:9">
      <c r="B804" s="1297"/>
      <c r="C804" s="1297"/>
      <c r="D804" s="1297" t="s">
        <v>937</v>
      </c>
      <c r="H804" s="1399">
        <v>14113.58</v>
      </c>
      <c r="I804" s="1399">
        <v>14113.58</v>
      </c>
    </row>
    <row r="805" spans="2:9">
      <c r="B805" s="1297"/>
      <c r="C805" s="1297"/>
      <c r="D805" s="1297" t="s">
        <v>938</v>
      </c>
      <c r="H805" s="1399">
        <v>10481</v>
      </c>
      <c r="I805" s="1399">
        <v>10481</v>
      </c>
    </row>
    <row r="806" spans="2:9">
      <c r="B806" s="1297"/>
      <c r="C806" s="1297"/>
      <c r="D806" s="1297" t="s">
        <v>939</v>
      </c>
      <c r="H806" s="1399">
        <v>-5250</v>
      </c>
      <c r="I806" s="1399">
        <v>-5250</v>
      </c>
    </row>
    <row r="807" spans="2:9">
      <c r="B807" s="1297"/>
      <c r="C807" s="1297"/>
      <c r="D807" s="1297" t="s">
        <v>940</v>
      </c>
      <c r="E807" s="1399">
        <v>601122.98</v>
      </c>
      <c r="I807" s="1399">
        <v>601122.98</v>
      </c>
    </row>
    <row r="808" spans="2:9">
      <c r="B808" s="1297"/>
      <c r="C808" s="1297"/>
      <c r="D808" s="1297" t="s">
        <v>941</v>
      </c>
      <c r="E808" s="1399">
        <v>244068.36</v>
      </c>
      <c r="I808" s="1399">
        <v>244068.36</v>
      </c>
    </row>
    <row r="809" spans="2:9">
      <c r="B809" s="1297"/>
      <c r="C809" s="1297"/>
      <c r="D809" s="1297" t="s">
        <v>942</v>
      </c>
      <c r="E809" s="1399">
        <v>11359.27</v>
      </c>
      <c r="I809" s="1399">
        <v>11359.27</v>
      </c>
    </row>
    <row r="810" spans="2:9">
      <c r="B810" s="1297"/>
      <c r="C810" s="1297"/>
      <c r="D810" s="1297" t="s">
        <v>943</v>
      </c>
      <c r="E810" s="1399">
        <v>9830.9</v>
      </c>
      <c r="I810" s="1399">
        <v>9830.9</v>
      </c>
    </row>
    <row r="811" spans="2:9">
      <c r="B811" s="1297"/>
      <c r="C811" s="1297"/>
      <c r="D811" s="1297" t="s">
        <v>944</v>
      </c>
      <c r="E811" s="1399">
        <v>2075826.4400000002</v>
      </c>
      <c r="I811" s="1399">
        <v>2075826.4400000002</v>
      </c>
    </row>
    <row r="812" spans="2:9">
      <c r="B812" s="1297"/>
      <c r="C812" s="1297"/>
      <c r="D812" s="1297" t="s">
        <v>945</v>
      </c>
      <c r="E812" s="1399">
        <v>856783.39999999991</v>
      </c>
      <c r="I812" s="1399">
        <v>856783.39999999991</v>
      </c>
    </row>
    <row r="813" spans="2:9">
      <c r="B813" s="1297"/>
      <c r="C813" s="1297"/>
      <c r="D813" s="1297" t="s">
        <v>946</v>
      </c>
      <c r="E813" s="1399">
        <v>22040.32</v>
      </c>
      <c r="I813" s="1399">
        <v>22040.32</v>
      </c>
    </row>
    <row r="814" spans="2:9">
      <c r="B814" s="1297"/>
      <c r="C814" s="1297"/>
      <c r="D814" s="1297" t="s">
        <v>947</v>
      </c>
      <c r="E814" s="1399">
        <v>61251.82</v>
      </c>
      <c r="I814" s="1399">
        <v>61251.82</v>
      </c>
    </row>
    <row r="815" spans="2:9">
      <c r="B815" s="1297"/>
      <c r="C815" s="1297"/>
      <c r="D815" s="1297" t="s">
        <v>1115</v>
      </c>
      <c r="E815" s="1399">
        <v>60030.22</v>
      </c>
      <c r="I815" s="1399">
        <v>60030.22</v>
      </c>
    </row>
    <row r="816" spans="2:9">
      <c r="B816" s="1297"/>
      <c r="C816" s="1297"/>
      <c r="D816" s="1297" t="s">
        <v>1116</v>
      </c>
      <c r="G816" s="1399">
        <v>17625000</v>
      </c>
      <c r="I816" s="1399">
        <v>17625000</v>
      </c>
    </row>
    <row r="817" spans="2:9">
      <c r="B817" s="1297"/>
      <c r="C817" s="1297"/>
      <c r="D817" s="1297" t="s">
        <v>948</v>
      </c>
      <c r="G817" s="1399">
        <v>1519631.56</v>
      </c>
      <c r="I817" s="1399">
        <v>1519631.56</v>
      </c>
    </row>
    <row r="818" spans="2:9">
      <c r="B818" s="1297"/>
      <c r="C818" s="1400" t="s">
        <v>1204</v>
      </c>
      <c r="D818" s="1400"/>
      <c r="E818" s="1401">
        <v>3942313.71</v>
      </c>
      <c r="F818" s="1401">
        <v>5344636.8099999996</v>
      </c>
      <c r="G818" s="1401">
        <v>19144631.559999999</v>
      </c>
      <c r="H818" s="1401">
        <v>11314022.279999999</v>
      </c>
      <c r="I818" s="1401">
        <v>39745604.359999999</v>
      </c>
    </row>
    <row r="819" spans="2:9">
      <c r="B819" s="1297" t="s">
        <v>1205</v>
      </c>
      <c r="C819" s="1297" t="s">
        <v>1206</v>
      </c>
      <c r="D819" s="1297" t="s">
        <v>906</v>
      </c>
      <c r="F819" s="1399">
        <v>32845079.120000001</v>
      </c>
      <c r="I819" s="1399">
        <v>32845079.120000001</v>
      </c>
    </row>
    <row r="820" spans="2:9">
      <c r="B820" s="1297"/>
      <c r="C820" s="1297"/>
      <c r="D820" s="1297" t="s">
        <v>952</v>
      </c>
      <c r="F820" s="1399">
        <v>523860.52</v>
      </c>
      <c r="I820" s="1399">
        <v>523860.52</v>
      </c>
    </row>
    <row r="821" spans="2:9">
      <c r="B821" s="1297"/>
      <c r="C821" s="1297"/>
      <c r="D821" s="1297" t="s">
        <v>907</v>
      </c>
      <c r="F821" s="1399">
        <v>11171892.220000001</v>
      </c>
      <c r="I821" s="1399">
        <v>11171892.220000001</v>
      </c>
    </row>
    <row r="822" spans="2:9">
      <c r="B822" s="1297"/>
      <c r="C822" s="1297"/>
      <c r="D822" s="1297" t="s">
        <v>908</v>
      </c>
      <c r="F822" s="1399">
        <v>31670.799999999999</v>
      </c>
      <c r="I822" s="1399">
        <v>31670.799999999999</v>
      </c>
    </row>
    <row r="823" spans="2:9">
      <c r="B823" s="1297"/>
      <c r="C823" s="1297"/>
      <c r="D823" s="1297" t="s">
        <v>909</v>
      </c>
      <c r="F823" s="1399">
        <v>301083.02</v>
      </c>
      <c r="I823" s="1399">
        <v>301083.02</v>
      </c>
    </row>
    <row r="824" spans="2:9">
      <c r="B824" s="1297"/>
      <c r="C824" s="1297"/>
      <c r="D824" s="1297" t="s">
        <v>910</v>
      </c>
      <c r="F824" s="1399">
        <v>285554.32000000007</v>
      </c>
      <c r="I824" s="1399">
        <v>285554.32000000007</v>
      </c>
    </row>
    <row r="825" spans="2:9">
      <c r="B825" s="1297"/>
      <c r="C825" s="1297"/>
      <c r="D825" s="1297" t="s">
        <v>1034</v>
      </c>
      <c r="F825" s="1399">
        <v>301813.47000000003</v>
      </c>
      <c r="I825" s="1399">
        <v>301813.47000000003</v>
      </c>
    </row>
    <row r="826" spans="2:9">
      <c r="B826" s="1297"/>
      <c r="C826" s="1297"/>
      <c r="D826" s="1297" t="s">
        <v>1035</v>
      </c>
      <c r="F826" s="1399">
        <v>1671953.53</v>
      </c>
      <c r="I826" s="1399">
        <v>1671953.53</v>
      </c>
    </row>
    <row r="827" spans="2:9">
      <c r="B827" s="1297"/>
      <c r="C827" s="1297"/>
      <c r="D827" s="1297" t="s">
        <v>1036</v>
      </c>
      <c r="F827" s="1399">
        <v>372660.37</v>
      </c>
      <c r="I827" s="1399">
        <v>372660.37</v>
      </c>
    </row>
    <row r="828" spans="2:9">
      <c r="B828" s="1297"/>
      <c r="C828" s="1297"/>
      <c r="D828" s="1297" t="s">
        <v>1037</v>
      </c>
      <c r="F828" s="1399">
        <v>9380</v>
      </c>
      <c r="I828" s="1399">
        <v>9380</v>
      </c>
    </row>
    <row r="829" spans="2:9">
      <c r="B829" s="1297"/>
      <c r="C829" s="1297"/>
      <c r="D829" s="1297" t="s">
        <v>1038</v>
      </c>
      <c r="F829" s="1399">
        <v>14115</v>
      </c>
      <c r="I829" s="1399">
        <v>14115</v>
      </c>
    </row>
    <row r="830" spans="2:9">
      <c r="B830" s="1297"/>
      <c r="C830" s="1297"/>
      <c r="D830" s="1297" t="s">
        <v>1039</v>
      </c>
      <c r="F830" s="1399">
        <v>74501.22</v>
      </c>
      <c r="I830" s="1399">
        <v>74501.22</v>
      </c>
    </row>
    <row r="831" spans="2:9">
      <c r="B831" s="1297"/>
      <c r="C831" s="1297"/>
      <c r="D831" s="1297" t="s">
        <v>1040</v>
      </c>
      <c r="F831" s="1399">
        <v>1363462.1199999996</v>
      </c>
      <c r="I831" s="1399">
        <v>1363462.1199999996</v>
      </c>
    </row>
    <row r="832" spans="2:9">
      <c r="B832" s="1297"/>
      <c r="C832" s="1297"/>
      <c r="D832" s="1297" t="s">
        <v>1207</v>
      </c>
      <c r="F832" s="1399">
        <v>2263</v>
      </c>
      <c r="I832" s="1399">
        <v>2263</v>
      </c>
    </row>
    <row r="833" spans="2:9">
      <c r="B833" s="1297"/>
      <c r="C833" s="1297"/>
      <c r="D833" s="1297" t="s">
        <v>1041</v>
      </c>
      <c r="F833" s="1399">
        <v>67396.73000000001</v>
      </c>
      <c r="I833" s="1399">
        <v>67396.73000000001</v>
      </c>
    </row>
    <row r="834" spans="2:9">
      <c r="B834" s="1297"/>
      <c r="C834" s="1297"/>
      <c r="D834" s="1297" t="s">
        <v>1042</v>
      </c>
      <c r="F834" s="1399">
        <v>189474.06</v>
      </c>
      <c r="I834" s="1399">
        <v>189474.06</v>
      </c>
    </row>
    <row r="835" spans="2:9">
      <c r="B835" s="1297"/>
      <c r="C835" s="1297"/>
      <c r="D835" s="1297" t="s">
        <v>1043</v>
      </c>
      <c r="F835" s="1399">
        <v>105</v>
      </c>
      <c r="I835" s="1399">
        <v>105</v>
      </c>
    </row>
    <row r="836" spans="2:9">
      <c r="B836" s="1297"/>
      <c r="C836" s="1297"/>
      <c r="D836" s="1297" t="s">
        <v>986</v>
      </c>
      <c r="F836" s="1399">
        <v>412002.6</v>
      </c>
      <c r="I836" s="1399">
        <v>412002.6</v>
      </c>
    </row>
    <row r="837" spans="2:9">
      <c r="B837" s="1297"/>
      <c r="C837" s="1297"/>
      <c r="D837" s="1297" t="s">
        <v>1203</v>
      </c>
      <c r="F837" s="1399">
        <v>-122330</v>
      </c>
      <c r="I837" s="1399">
        <v>-122330</v>
      </c>
    </row>
    <row r="838" spans="2:9">
      <c r="B838" s="1297"/>
      <c r="C838" s="1297"/>
      <c r="D838" s="1297" t="s">
        <v>1045</v>
      </c>
      <c r="F838" s="1399">
        <v>1184836.2100000002</v>
      </c>
      <c r="I838" s="1399">
        <v>1184836.2100000002</v>
      </c>
    </row>
    <row r="839" spans="2:9">
      <c r="B839" s="1297"/>
      <c r="C839" s="1297"/>
      <c r="D839" s="1297" t="s">
        <v>1046</v>
      </c>
      <c r="H839" s="1399">
        <v>71791858</v>
      </c>
      <c r="I839" s="1399">
        <v>71791858</v>
      </c>
    </row>
    <row r="840" spans="2:9">
      <c r="B840" s="1297"/>
      <c r="C840" s="1297"/>
      <c r="D840" s="1297" t="s">
        <v>1128</v>
      </c>
      <c r="H840" s="1399">
        <v>6080322</v>
      </c>
      <c r="I840" s="1399">
        <v>6080322</v>
      </c>
    </row>
    <row r="841" spans="2:9">
      <c r="B841" s="1297"/>
      <c r="C841" s="1297"/>
      <c r="D841" s="1297" t="s">
        <v>1129</v>
      </c>
      <c r="H841" s="1399">
        <v>-10177310</v>
      </c>
      <c r="I841" s="1399">
        <v>-10177310</v>
      </c>
    </row>
    <row r="842" spans="2:9">
      <c r="B842" s="1297"/>
      <c r="C842" s="1297"/>
      <c r="D842" s="1297" t="s">
        <v>1047</v>
      </c>
      <c r="H842" s="1399">
        <v>1801221</v>
      </c>
      <c r="I842" s="1399">
        <v>1801221</v>
      </c>
    </row>
    <row r="843" spans="2:9">
      <c r="B843" s="1297"/>
      <c r="C843" s="1297"/>
      <c r="D843" s="1297" t="s">
        <v>1048</v>
      </c>
      <c r="H843" s="1399">
        <v>-9306628</v>
      </c>
      <c r="I843" s="1399">
        <v>-9306628</v>
      </c>
    </row>
    <row r="844" spans="2:9">
      <c r="B844" s="1297"/>
      <c r="C844" s="1297"/>
      <c r="D844" s="1297" t="s">
        <v>932</v>
      </c>
      <c r="H844" s="1399">
        <v>10779283</v>
      </c>
      <c r="I844" s="1399">
        <v>10779283</v>
      </c>
    </row>
    <row r="845" spans="2:9">
      <c r="B845" s="1297"/>
      <c r="C845" s="1297"/>
      <c r="D845" s="1297" t="s">
        <v>955</v>
      </c>
      <c r="H845" s="1399">
        <v>2224807.73</v>
      </c>
      <c r="I845" s="1399">
        <v>2224807.73</v>
      </c>
    </row>
    <row r="846" spans="2:9">
      <c r="B846" s="1297"/>
      <c r="C846" s="1297"/>
      <c r="D846" s="1297" t="s">
        <v>934</v>
      </c>
      <c r="H846" s="1399">
        <v>236078</v>
      </c>
      <c r="I846" s="1399">
        <v>236078</v>
      </c>
    </row>
    <row r="847" spans="2:9">
      <c r="B847" s="1297"/>
      <c r="C847" s="1297"/>
      <c r="D847" s="1297" t="s">
        <v>1130</v>
      </c>
      <c r="H847" s="1399">
        <v>7283893.0899999999</v>
      </c>
      <c r="I847" s="1399">
        <v>7283893.0899999999</v>
      </c>
    </row>
    <row r="848" spans="2:9">
      <c r="B848" s="1297"/>
      <c r="C848" s="1297"/>
      <c r="D848" s="1297" t="s">
        <v>935</v>
      </c>
      <c r="H848" s="1399">
        <v>1497451.76</v>
      </c>
      <c r="I848" s="1399">
        <v>1497451.76</v>
      </c>
    </row>
    <row r="849" spans="2:9">
      <c r="B849" s="1297"/>
      <c r="C849" s="1297"/>
      <c r="D849" s="1297" t="s">
        <v>936</v>
      </c>
      <c r="H849" s="1399">
        <v>234250.71</v>
      </c>
      <c r="I849" s="1399">
        <v>234250.71</v>
      </c>
    </row>
    <row r="850" spans="2:9">
      <c r="B850" s="1297"/>
      <c r="C850" s="1297"/>
      <c r="D850" s="1297" t="s">
        <v>937</v>
      </c>
      <c r="H850" s="1399">
        <v>40267.410000000003</v>
      </c>
      <c r="I850" s="1399">
        <v>40267.410000000003</v>
      </c>
    </row>
    <row r="851" spans="2:9">
      <c r="B851" s="1297"/>
      <c r="C851" s="1297"/>
      <c r="D851" s="1297" t="s">
        <v>938</v>
      </c>
      <c r="H851" s="1399">
        <v>84970</v>
      </c>
      <c r="I851" s="1399">
        <v>84970</v>
      </c>
    </row>
    <row r="852" spans="2:9">
      <c r="B852" s="1297"/>
      <c r="C852" s="1297"/>
      <c r="D852" s="1297" t="s">
        <v>939</v>
      </c>
      <c r="H852" s="1399">
        <v>42250</v>
      </c>
      <c r="I852" s="1399">
        <v>42250</v>
      </c>
    </row>
    <row r="853" spans="2:9">
      <c r="B853" s="1297"/>
      <c r="C853" s="1297"/>
      <c r="D853" s="1297" t="s">
        <v>940</v>
      </c>
      <c r="E853" s="1399">
        <v>3804283.2399999998</v>
      </c>
      <c r="I853" s="1399">
        <v>3804283.2399999998</v>
      </c>
    </row>
    <row r="854" spans="2:9">
      <c r="B854" s="1297"/>
      <c r="C854" s="1297"/>
      <c r="D854" s="1297" t="s">
        <v>941</v>
      </c>
      <c r="E854" s="1399">
        <v>1322251.9800000002</v>
      </c>
      <c r="I854" s="1399">
        <v>1322251.9800000002</v>
      </c>
    </row>
    <row r="855" spans="2:9">
      <c r="B855" s="1297"/>
      <c r="C855" s="1297"/>
      <c r="D855" s="1297" t="s">
        <v>943</v>
      </c>
      <c r="E855" s="1399">
        <v>65202.090000000011</v>
      </c>
      <c r="I855" s="1399">
        <v>65202.090000000011</v>
      </c>
    </row>
    <row r="856" spans="2:9">
      <c r="B856" s="1297"/>
      <c r="C856" s="1297"/>
      <c r="D856" s="1297" t="s">
        <v>944</v>
      </c>
      <c r="E856" s="1399">
        <v>6628780.3599999994</v>
      </c>
      <c r="I856" s="1399">
        <v>6628780.3599999994</v>
      </c>
    </row>
    <row r="857" spans="2:9">
      <c r="B857" s="1297"/>
      <c r="C857" s="1297"/>
      <c r="D857" s="1297" t="s">
        <v>945</v>
      </c>
      <c r="E857" s="1399">
        <v>6398019.1799999997</v>
      </c>
      <c r="I857" s="1399">
        <v>6398019.1799999997</v>
      </c>
    </row>
    <row r="858" spans="2:9">
      <c r="B858" s="1297"/>
      <c r="C858" s="1297"/>
      <c r="D858" s="1297" t="s">
        <v>946</v>
      </c>
      <c r="E858" s="1399">
        <v>18814.349999999999</v>
      </c>
      <c r="I858" s="1399">
        <v>18814.349999999999</v>
      </c>
    </row>
    <row r="859" spans="2:9">
      <c r="B859" s="1297"/>
      <c r="C859" s="1297"/>
      <c r="D859" s="1297" t="s">
        <v>947</v>
      </c>
      <c r="E859" s="1399">
        <v>529910.45999999985</v>
      </c>
      <c r="I859" s="1399">
        <v>529910.45999999985</v>
      </c>
    </row>
    <row r="860" spans="2:9">
      <c r="B860" s="1297"/>
      <c r="C860" s="1297"/>
      <c r="D860" s="1297" t="s">
        <v>1115</v>
      </c>
      <c r="E860" s="1399">
        <v>66830.929999999993</v>
      </c>
      <c r="I860" s="1399">
        <v>66830.929999999993</v>
      </c>
    </row>
    <row r="861" spans="2:9">
      <c r="B861" s="1297"/>
      <c r="C861" s="1297"/>
      <c r="D861" s="1297" t="s">
        <v>1116</v>
      </c>
      <c r="G861" s="1399">
        <v>71245000</v>
      </c>
      <c r="I861" s="1399">
        <v>71245000</v>
      </c>
    </row>
    <row r="862" spans="2:9">
      <c r="B862" s="1297"/>
      <c r="C862" s="1297"/>
      <c r="D862" s="1297" t="s">
        <v>1117</v>
      </c>
      <c r="G862" s="1399">
        <v>10301203.550000001</v>
      </c>
      <c r="I862" s="1399">
        <v>10301203.550000001</v>
      </c>
    </row>
    <row r="863" spans="2:9">
      <c r="B863" s="1297"/>
      <c r="C863" s="1297"/>
      <c r="D863" s="1297" t="s">
        <v>948</v>
      </c>
      <c r="G863" s="1399">
        <v>10948332.08</v>
      </c>
      <c r="I863" s="1399">
        <v>10948332.08</v>
      </c>
    </row>
    <row r="864" spans="2:9">
      <c r="B864" s="1297"/>
      <c r="C864" s="1297"/>
      <c r="D864" s="1297" t="s">
        <v>956</v>
      </c>
      <c r="G864" s="1399">
        <v>1</v>
      </c>
      <c r="I864" s="1399">
        <v>1</v>
      </c>
    </row>
    <row r="865" spans="2:9">
      <c r="B865" s="1297"/>
      <c r="C865" s="1297"/>
      <c r="D865" s="1297" t="s">
        <v>1118</v>
      </c>
      <c r="G865" s="1399">
        <v>-448506.5</v>
      </c>
      <c r="I865" s="1399">
        <v>-448506.5</v>
      </c>
    </row>
    <row r="866" spans="2:9">
      <c r="B866" s="1297"/>
      <c r="C866" s="1400" t="s">
        <v>1208</v>
      </c>
      <c r="D866" s="1400"/>
      <c r="E866" s="1401">
        <v>18834092.59</v>
      </c>
      <c r="F866" s="1401">
        <v>50700773.309999995</v>
      </c>
      <c r="G866" s="1401">
        <v>92046030.129999995</v>
      </c>
      <c r="H866" s="1401">
        <v>82612714.700000003</v>
      </c>
      <c r="I866" s="1401">
        <v>244193610.73000005</v>
      </c>
    </row>
    <row r="867" spans="2:9">
      <c r="B867" s="1297" t="s">
        <v>1209</v>
      </c>
      <c r="C867" s="1297" t="s">
        <v>1210</v>
      </c>
      <c r="D867" s="1297" t="s">
        <v>906</v>
      </c>
      <c r="F867" s="1399">
        <v>25594595.850000001</v>
      </c>
      <c r="I867" s="1399">
        <v>25594595.850000001</v>
      </c>
    </row>
    <row r="868" spans="2:9">
      <c r="B868" s="1297"/>
      <c r="C868" s="1297"/>
      <c r="D868" s="1297" t="s">
        <v>952</v>
      </c>
      <c r="F868" s="1399">
        <v>472637.93</v>
      </c>
      <c r="I868" s="1399">
        <v>472637.93</v>
      </c>
    </row>
    <row r="869" spans="2:9">
      <c r="B869" s="1297"/>
      <c r="C869" s="1297"/>
      <c r="D869" s="1297" t="s">
        <v>907</v>
      </c>
      <c r="F869" s="1399">
        <v>8274321.4199999999</v>
      </c>
      <c r="I869" s="1399">
        <v>8274321.4199999999</v>
      </c>
    </row>
    <row r="870" spans="2:9">
      <c r="B870" s="1297"/>
      <c r="C870" s="1297"/>
      <c r="D870" s="1297" t="s">
        <v>908</v>
      </c>
      <c r="F870" s="1399">
        <v>1026925.47</v>
      </c>
      <c r="I870" s="1399">
        <v>1026925.47</v>
      </c>
    </row>
    <row r="871" spans="2:9">
      <c r="B871" s="1297"/>
      <c r="C871" s="1297"/>
      <c r="D871" s="1297" t="s">
        <v>909</v>
      </c>
      <c r="F871" s="1399">
        <v>23070.42</v>
      </c>
      <c r="I871" s="1399">
        <v>23070.42</v>
      </c>
    </row>
    <row r="872" spans="2:9">
      <c r="B872" s="1297"/>
      <c r="C872" s="1297"/>
      <c r="D872" s="1297" t="s">
        <v>910</v>
      </c>
      <c r="F872" s="1399">
        <v>518579.38</v>
      </c>
      <c r="I872" s="1399">
        <v>518579.38</v>
      </c>
    </row>
    <row r="873" spans="2:9">
      <c r="B873" s="1297"/>
      <c r="C873" s="1297"/>
      <c r="D873" s="1297" t="s">
        <v>1034</v>
      </c>
      <c r="F873" s="1399">
        <v>344190.12</v>
      </c>
      <c r="I873" s="1399">
        <v>344190.12</v>
      </c>
    </row>
    <row r="874" spans="2:9">
      <c r="B874" s="1297"/>
      <c r="C874" s="1297"/>
      <c r="D874" s="1297" t="s">
        <v>1035</v>
      </c>
      <c r="F874" s="1399">
        <v>1179508.77</v>
      </c>
      <c r="I874" s="1399">
        <v>1179508.77</v>
      </c>
    </row>
    <row r="875" spans="2:9">
      <c r="B875" s="1297"/>
      <c r="C875" s="1297"/>
      <c r="D875" s="1297" t="s">
        <v>1036</v>
      </c>
      <c r="F875" s="1399">
        <v>331137.13</v>
      </c>
      <c r="I875" s="1399">
        <v>331137.13</v>
      </c>
    </row>
    <row r="876" spans="2:9">
      <c r="B876" s="1297"/>
      <c r="C876" s="1297"/>
      <c r="D876" s="1297" t="s">
        <v>1037</v>
      </c>
      <c r="F876" s="1399">
        <v>43623.519999999997</v>
      </c>
      <c r="I876" s="1399">
        <v>43623.519999999997</v>
      </c>
    </row>
    <row r="877" spans="2:9">
      <c r="B877" s="1297"/>
      <c r="C877" s="1297"/>
      <c r="D877" s="1297" t="s">
        <v>1039</v>
      </c>
      <c r="F877" s="1399">
        <v>653213.11</v>
      </c>
      <c r="I877" s="1399">
        <v>653213.11</v>
      </c>
    </row>
    <row r="878" spans="2:9">
      <c r="B878" s="1297"/>
      <c r="C878" s="1297"/>
      <c r="D878" s="1297" t="s">
        <v>1040</v>
      </c>
      <c r="F878" s="1399">
        <v>549691.6</v>
      </c>
      <c r="I878" s="1399">
        <v>549691.6</v>
      </c>
    </row>
    <row r="879" spans="2:9">
      <c r="B879" s="1297"/>
      <c r="C879" s="1297"/>
      <c r="D879" s="1297" t="s">
        <v>1127</v>
      </c>
      <c r="F879" s="1399">
        <v>632408</v>
      </c>
      <c r="I879" s="1399">
        <v>632408</v>
      </c>
    </row>
    <row r="880" spans="2:9">
      <c r="B880" s="1297"/>
      <c r="C880" s="1297"/>
      <c r="D880" s="1297" t="s">
        <v>1041</v>
      </c>
      <c r="F880" s="1399">
        <v>374529.11</v>
      </c>
      <c r="I880" s="1399">
        <v>374529.11</v>
      </c>
    </row>
    <row r="881" spans="2:9">
      <c r="B881" s="1297"/>
      <c r="C881" s="1297"/>
      <c r="D881" s="1297" t="s">
        <v>1042</v>
      </c>
      <c r="F881" s="1399">
        <v>135756.03</v>
      </c>
      <c r="I881" s="1399">
        <v>135756.03</v>
      </c>
    </row>
    <row r="882" spans="2:9">
      <c r="B882" s="1297"/>
      <c r="C882" s="1297"/>
      <c r="D882" s="1297" t="s">
        <v>953</v>
      </c>
      <c r="F882" s="1399">
        <v>66121.22</v>
      </c>
      <c r="I882" s="1399">
        <v>66121.22</v>
      </c>
    </row>
    <row r="883" spans="2:9">
      <c r="B883" s="1297"/>
      <c r="C883" s="1297"/>
      <c r="D883" s="1297" t="s">
        <v>985</v>
      </c>
      <c r="F883" s="1399">
        <v>451936.33</v>
      </c>
      <c r="I883" s="1399">
        <v>451936.33</v>
      </c>
    </row>
    <row r="884" spans="2:9">
      <c r="B884" s="1297"/>
      <c r="C884" s="1297"/>
      <c r="D884" s="1297" t="s">
        <v>1043</v>
      </c>
      <c r="F884" s="1399">
        <v>1670</v>
      </c>
      <c r="I884" s="1399">
        <v>1670</v>
      </c>
    </row>
    <row r="885" spans="2:9">
      <c r="B885" s="1297"/>
      <c r="C885" s="1297"/>
      <c r="D885" s="1297" t="s">
        <v>986</v>
      </c>
      <c r="F885" s="1399">
        <v>135808.5</v>
      </c>
      <c r="I885" s="1399">
        <v>135808.5</v>
      </c>
    </row>
    <row r="886" spans="2:9">
      <c r="B886" s="1297"/>
      <c r="C886" s="1297"/>
      <c r="D886" s="1297" t="s">
        <v>990</v>
      </c>
      <c r="F886" s="1399">
        <v>234</v>
      </c>
      <c r="I886" s="1399">
        <v>234</v>
      </c>
    </row>
    <row r="887" spans="2:9">
      <c r="B887" s="1297"/>
      <c r="C887" s="1297"/>
      <c r="D887" s="1297" t="s">
        <v>991</v>
      </c>
      <c r="F887" s="1399">
        <v>170497.56</v>
      </c>
      <c r="I887" s="1399">
        <v>170497.56</v>
      </c>
    </row>
    <row r="888" spans="2:9">
      <c r="B888" s="1297"/>
      <c r="C888" s="1297"/>
      <c r="D888" s="1297" t="s">
        <v>1045</v>
      </c>
      <c r="F888" s="1399">
        <v>1810485.73</v>
      </c>
      <c r="I888" s="1399">
        <v>1810485.73</v>
      </c>
    </row>
    <row r="889" spans="2:9">
      <c r="B889" s="1297"/>
      <c r="C889" s="1297"/>
      <c r="D889" s="1297" t="s">
        <v>1046</v>
      </c>
      <c r="H889" s="1399">
        <v>47781179</v>
      </c>
      <c r="I889" s="1399">
        <v>47781179</v>
      </c>
    </row>
    <row r="890" spans="2:9">
      <c r="B890" s="1297"/>
      <c r="C890" s="1297"/>
      <c r="D890" s="1297" t="s">
        <v>1047</v>
      </c>
      <c r="H890" s="1399">
        <v>1021081</v>
      </c>
      <c r="I890" s="1399">
        <v>1021081</v>
      </c>
    </row>
    <row r="891" spans="2:9">
      <c r="B891" s="1297"/>
      <c r="C891" s="1297"/>
      <c r="D891" s="1297" t="s">
        <v>932</v>
      </c>
      <c r="H891" s="1399">
        <v>5909522</v>
      </c>
      <c r="I891" s="1399">
        <v>5909522</v>
      </c>
    </row>
    <row r="892" spans="2:9">
      <c r="B892" s="1297"/>
      <c r="C892" s="1297"/>
      <c r="D892" s="1297" t="s">
        <v>955</v>
      </c>
      <c r="H892" s="1399">
        <v>958899.64</v>
      </c>
      <c r="I892" s="1399">
        <v>958899.64</v>
      </c>
    </row>
    <row r="893" spans="2:9">
      <c r="B893" s="1297"/>
      <c r="C893" s="1297"/>
      <c r="D893" s="1297" t="s">
        <v>934</v>
      </c>
      <c r="H893" s="1399">
        <v>158750</v>
      </c>
      <c r="I893" s="1399">
        <v>158750</v>
      </c>
    </row>
    <row r="894" spans="2:9">
      <c r="B894" s="1297"/>
      <c r="C894" s="1297"/>
      <c r="D894" s="1297" t="s">
        <v>935</v>
      </c>
      <c r="H894" s="1399">
        <v>787342.77</v>
      </c>
      <c r="I894" s="1399">
        <v>787342.77</v>
      </c>
    </row>
    <row r="895" spans="2:9">
      <c r="B895" s="1297"/>
      <c r="C895" s="1297"/>
      <c r="D895" s="1297" t="s">
        <v>936</v>
      </c>
      <c r="H895" s="1399">
        <v>196434.45</v>
      </c>
      <c r="I895" s="1399">
        <v>196434.45</v>
      </c>
    </row>
    <row r="896" spans="2:9">
      <c r="B896" s="1297"/>
      <c r="C896" s="1297"/>
      <c r="D896" s="1297" t="s">
        <v>937</v>
      </c>
      <c r="H896" s="1399">
        <v>10083.73</v>
      </c>
      <c r="I896" s="1399">
        <v>10083.73</v>
      </c>
    </row>
    <row r="897" spans="2:9">
      <c r="B897" s="1297"/>
      <c r="C897" s="1297"/>
      <c r="D897" s="1297" t="s">
        <v>938</v>
      </c>
      <c r="H897" s="1399">
        <v>55960</v>
      </c>
      <c r="I897" s="1399">
        <v>55960</v>
      </c>
    </row>
    <row r="898" spans="2:9">
      <c r="B898" s="1297"/>
      <c r="C898" s="1297"/>
      <c r="D898" s="1297" t="s">
        <v>1131</v>
      </c>
      <c r="E898" s="1399">
        <v>127752.36</v>
      </c>
      <c r="I898" s="1399">
        <v>127752.36</v>
      </c>
    </row>
    <row r="899" spans="2:9">
      <c r="B899" s="1297"/>
      <c r="C899" s="1297"/>
      <c r="D899" s="1297" t="s">
        <v>940</v>
      </c>
      <c r="E899" s="1399">
        <v>2087388.42</v>
      </c>
      <c r="I899" s="1399">
        <v>2087388.42</v>
      </c>
    </row>
    <row r="900" spans="2:9">
      <c r="B900" s="1297"/>
      <c r="C900" s="1297"/>
      <c r="D900" s="1297" t="s">
        <v>941</v>
      </c>
      <c r="E900" s="1399">
        <v>732607.74</v>
      </c>
      <c r="I900" s="1399">
        <v>732607.74</v>
      </c>
    </row>
    <row r="901" spans="2:9">
      <c r="B901" s="1297"/>
      <c r="C901" s="1297"/>
      <c r="D901" s="1297" t="s">
        <v>943</v>
      </c>
      <c r="E901" s="1399">
        <v>34046.660000000003</v>
      </c>
      <c r="I901" s="1399">
        <v>34046.660000000003</v>
      </c>
    </row>
    <row r="902" spans="2:9">
      <c r="B902" s="1297"/>
      <c r="C902" s="1297"/>
      <c r="D902" s="1297" t="s">
        <v>944</v>
      </c>
      <c r="E902" s="1399">
        <v>4695851.5</v>
      </c>
      <c r="I902" s="1399">
        <v>4695851.5</v>
      </c>
    </row>
    <row r="903" spans="2:9">
      <c r="B903" s="1297"/>
      <c r="C903" s="1297"/>
      <c r="D903" s="1297" t="s">
        <v>945</v>
      </c>
      <c r="E903" s="1399">
        <v>3769253.56</v>
      </c>
      <c r="I903" s="1399">
        <v>3769253.56</v>
      </c>
    </row>
    <row r="904" spans="2:9">
      <c r="B904" s="1297"/>
      <c r="C904" s="1297"/>
      <c r="D904" s="1297" t="s">
        <v>978</v>
      </c>
      <c r="E904" s="1399">
        <v>2396.54</v>
      </c>
      <c r="I904" s="1399">
        <v>2396.54</v>
      </c>
    </row>
    <row r="905" spans="2:9">
      <c r="B905" s="1297"/>
      <c r="C905" s="1297"/>
      <c r="D905" s="1297" t="s">
        <v>947</v>
      </c>
      <c r="E905" s="1399">
        <v>286005.48</v>
      </c>
      <c r="I905" s="1399">
        <v>286005.48</v>
      </c>
    </row>
    <row r="906" spans="2:9">
      <c r="B906" s="1297"/>
      <c r="C906" s="1297"/>
      <c r="D906" s="1297" t="s">
        <v>948</v>
      </c>
      <c r="G906" s="1399">
        <v>10890726.499999998</v>
      </c>
      <c r="I906" s="1399">
        <v>10890726.499999998</v>
      </c>
    </row>
    <row r="907" spans="2:9">
      <c r="B907" s="1297"/>
      <c r="C907" s="1297"/>
      <c r="D907" s="1297" t="s">
        <v>956</v>
      </c>
      <c r="G907" s="1399">
        <v>8328523.1200000001</v>
      </c>
      <c r="I907" s="1399">
        <v>8328523.1200000001</v>
      </c>
    </row>
    <row r="908" spans="2:9">
      <c r="B908" s="1297"/>
      <c r="C908" s="1297"/>
      <c r="D908" s="1297" t="s">
        <v>1118</v>
      </c>
      <c r="G908" s="1399">
        <v>501536.86</v>
      </c>
      <c r="I908" s="1399">
        <v>501536.86</v>
      </c>
    </row>
    <row r="909" spans="2:9">
      <c r="B909" s="1297"/>
      <c r="C909" s="1400" t="s">
        <v>1211</v>
      </c>
      <c r="D909" s="1400"/>
      <c r="E909" s="1401">
        <v>11735302.26</v>
      </c>
      <c r="F909" s="1401">
        <v>42790941.20000001</v>
      </c>
      <c r="G909" s="1401">
        <v>19720786.479999997</v>
      </c>
      <c r="H909" s="1401">
        <v>56879252.590000004</v>
      </c>
      <c r="I909" s="1401">
        <v>131126282.53000003</v>
      </c>
    </row>
    <row r="910" spans="2:9">
      <c r="B910" s="1297" t="s">
        <v>1212</v>
      </c>
      <c r="C910" s="1297" t="s">
        <v>1213</v>
      </c>
      <c r="D910" s="1297" t="s">
        <v>906</v>
      </c>
      <c r="F910" s="1399">
        <v>5068037.29</v>
      </c>
      <c r="I910" s="1399">
        <v>5068037.29</v>
      </c>
    </row>
    <row r="911" spans="2:9">
      <c r="B911" s="1297"/>
      <c r="C911" s="1297"/>
      <c r="D911" s="1297" t="s">
        <v>952</v>
      </c>
      <c r="F911" s="1399">
        <v>20551.73</v>
      </c>
      <c r="I911" s="1399">
        <v>20551.73</v>
      </c>
    </row>
    <row r="912" spans="2:9">
      <c r="B912" s="1297"/>
      <c r="C912" s="1297"/>
      <c r="D912" s="1297" t="s">
        <v>907</v>
      </c>
      <c r="F912" s="1399">
        <v>1108958.99</v>
      </c>
      <c r="I912" s="1399">
        <v>1108958.99</v>
      </c>
    </row>
    <row r="913" spans="2:9">
      <c r="B913" s="1297"/>
      <c r="C913" s="1297"/>
      <c r="D913" s="1297" t="s">
        <v>908</v>
      </c>
      <c r="F913" s="1399">
        <v>30777.91</v>
      </c>
      <c r="I913" s="1399">
        <v>30777.91</v>
      </c>
    </row>
    <row r="914" spans="2:9">
      <c r="B914" s="1297"/>
      <c r="C914" s="1297"/>
      <c r="D914" s="1297" t="s">
        <v>909</v>
      </c>
      <c r="F914" s="1399">
        <v>29167.01</v>
      </c>
      <c r="I914" s="1399">
        <v>29167.01</v>
      </c>
    </row>
    <row r="915" spans="2:9">
      <c r="B915" s="1297"/>
      <c r="C915" s="1297"/>
      <c r="D915" s="1297" t="s">
        <v>910</v>
      </c>
      <c r="F915" s="1399">
        <v>2689.25</v>
      </c>
      <c r="I915" s="1399">
        <v>2689.25</v>
      </c>
    </row>
    <row r="916" spans="2:9">
      <c r="B916" s="1297"/>
      <c r="C916" s="1297"/>
      <c r="D916" s="1297" t="s">
        <v>1034</v>
      </c>
      <c r="F916" s="1399">
        <v>16107.42</v>
      </c>
      <c r="I916" s="1399">
        <v>16107.42</v>
      </c>
    </row>
    <row r="917" spans="2:9">
      <c r="B917" s="1297"/>
      <c r="C917" s="1297"/>
      <c r="D917" s="1297" t="s">
        <v>1035</v>
      </c>
      <c r="F917" s="1399">
        <v>197974.66999999998</v>
      </c>
      <c r="I917" s="1399">
        <v>197974.66999999998</v>
      </c>
    </row>
    <row r="918" spans="2:9">
      <c r="B918" s="1297"/>
      <c r="C918" s="1297"/>
      <c r="D918" s="1297" t="s">
        <v>1036</v>
      </c>
      <c r="F918" s="1399">
        <v>109994.17</v>
      </c>
      <c r="I918" s="1399">
        <v>109994.17</v>
      </c>
    </row>
    <row r="919" spans="2:9">
      <c r="B919" s="1297"/>
      <c r="C919" s="1297"/>
      <c r="D919" s="1297" t="s">
        <v>1039</v>
      </c>
      <c r="F919" s="1399">
        <v>35089.079999999994</v>
      </c>
      <c r="I919" s="1399">
        <v>35089.079999999994</v>
      </c>
    </row>
    <row r="920" spans="2:9">
      <c r="B920" s="1297"/>
      <c r="C920" s="1297"/>
      <c r="D920" s="1297" t="s">
        <v>1040</v>
      </c>
      <c r="F920" s="1399">
        <v>75566.2</v>
      </c>
      <c r="I920" s="1399">
        <v>75566.2</v>
      </c>
    </row>
    <row r="921" spans="2:9">
      <c r="B921" s="1297"/>
      <c r="C921" s="1297"/>
      <c r="D921" s="1297" t="s">
        <v>1127</v>
      </c>
      <c r="F921" s="1399">
        <v>29158.15</v>
      </c>
      <c r="I921" s="1399">
        <v>29158.15</v>
      </c>
    </row>
    <row r="922" spans="2:9">
      <c r="B922" s="1297"/>
      <c r="C922" s="1297"/>
      <c r="D922" s="1297" t="s">
        <v>1041</v>
      </c>
      <c r="F922" s="1399">
        <v>43696.630000000005</v>
      </c>
      <c r="I922" s="1399">
        <v>43696.630000000005</v>
      </c>
    </row>
    <row r="923" spans="2:9">
      <c r="B923" s="1297"/>
      <c r="C923" s="1297"/>
      <c r="D923" s="1297" t="s">
        <v>1042</v>
      </c>
      <c r="F923" s="1399">
        <v>10791.57</v>
      </c>
      <c r="I923" s="1399">
        <v>10791.57</v>
      </c>
    </row>
    <row r="924" spans="2:9">
      <c r="B924" s="1297"/>
      <c r="C924" s="1297"/>
      <c r="D924" s="1297" t="s">
        <v>953</v>
      </c>
      <c r="F924" s="1399">
        <v>26004.3</v>
      </c>
      <c r="I924" s="1399">
        <v>26004.3</v>
      </c>
    </row>
    <row r="925" spans="2:9">
      <c r="B925" s="1297"/>
      <c r="C925" s="1297"/>
      <c r="D925" s="1297" t="s">
        <v>954</v>
      </c>
      <c r="F925" s="1399">
        <v>3244.05</v>
      </c>
      <c r="I925" s="1399">
        <v>3244.05</v>
      </c>
    </row>
    <row r="926" spans="2:9">
      <c r="B926" s="1297"/>
      <c r="C926" s="1297"/>
      <c r="D926" s="1297" t="s">
        <v>1044</v>
      </c>
      <c r="F926" s="1399">
        <v>3215.64</v>
      </c>
      <c r="I926" s="1399">
        <v>3215.64</v>
      </c>
    </row>
    <row r="927" spans="2:9">
      <c r="B927" s="1297"/>
      <c r="C927" s="1297"/>
      <c r="D927" s="1297" t="s">
        <v>1045</v>
      </c>
      <c r="F927" s="1399">
        <v>288927.80999999994</v>
      </c>
      <c r="I927" s="1399">
        <v>288927.80999999994</v>
      </c>
    </row>
    <row r="928" spans="2:9">
      <c r="B928" s="1297"/>
      <c r="C928" s="1297"/>
      <c r="D928" s="1297" t="s">
        <v>1046</v>
      </c>
      <c r="H928" s="1399">
        <v>8416877</v>
      </c>
      <c r="I928" s="1399">
        <v>8416877</v>
      </c>
    </row>
    <row r="929" spans="2:9">
      <c r="B929" s="1297"/>
      <c r="C929" s="1297"/>
      <c r="D929" s="1297" t="s">
        <v>1047</v>
      </c>
      <c r="H929" s="1399">
        <v>450483</v>
      </c>
      <c r="I929" s="1399">
        <v>450483</v>
      </c>
    </row>
    <row r="930" spans="2:9">
      <c r="B930" s="1297"/>
      <c r="C930" s="1297"/>
      <c r="D930" s="1297" t="s">
        <v>1048</v>
      </c>
      <c r="H930" s="1399">
        <v>-1628065</v>
      </c>
      <c r="I930" s="1399">
        <v>-1628065</v>
      </c>
    </row>
    <row r="931" spans="2:9">
      <c r="B931" s="1297"/>
      <c r="C931" s="1297"/>
      <c r="D931" s="1297" t="s">
        <v>932</v>
      </c>
      <c r="H931" s="1399">
        <v>27419</v>
      </c>
      <c r="I931" s="1399">
        <v>27419</v>
      </c>
    </row>
    <row r="932" spans="2:9">
      <c r="B932" s="1297"/>
      <c r="C932" s="1297"/>
      <c r="D932" s="1297" t="s">
        <v>955</v>
      </c>
      <c r="H932" s="1399">
        <v>477022.43</v>
      </c>
      <c r="I932" s="1399">
        <v>477022.43</v>
      </c>
    </row>
    <row r="933" spans="2:9">
      <c r="B933" s="1297"/>
      <c r="C933" s="1297"/>
      <c r="D933" s="1297" t="s">
        <v>934</v>
      </c>
      <c r="H933" s="1399">
        <v>28052</v>
      </c>
      <c r="I933" s="1399">
        <v>28052</v>
      </c>
    </row>
    <row r="934" spans="2:9">
      <c r="B934" s="1297"/>
      <c r="C934" s="1297"/>
      <c r="D934" s="1297" t="s">
        <v>1130</v>
      </c>
      <c r="H934" s="1399">
        <v>546731</v>
      </c>
      <c r="I934" s="1399">
        <v>546731</v>
      </c>
    </row>
    <row r="935" spans="2:9">
      <c r="B935" s="1297"/>
      <c r="C935" s="1297"/>
      <c r="D935" s="1297" t="s">
        <v>935</v>
      </c>
      <c r="H935" s="1399">
        <v>206594.61</v>
      </c>
      <c r="I935" s="1399">
        <v>206594.61</v>
      </c>
    </row>
    <row r="936" spans="2:9">
      <c r="B936" s="1297"/>
      <c r="C936" s="1297"/>
      <c r="D936" s="1297" t="s">
        <v>936</v>
      </c>
      <c r="H936" s="1399">
        <v>24160.39</v>
      </c>
      <c r="I936" s="1399">
        <v>24160.39</v>
      </c>
    </row>
    <row r="937" spans="2:9">
      <c r="B937" s="1297"/>
      <c r="C937" s="1297"/>
      <c r="D937" s="1297" t="s">
        <v>937</v>
      </c>
      <c r="H937" s="1399">
        <v>12292.95</v>
      </c>
      <c r="I937" s="1399">
        <v>12292.95</v>
      </c>
    </row>
    <row r="938" spans="2:9">
      <c r="B938" s="1297"/>
      <c r="C938" s="1297"/>
      <c r="D938" s="1297" t="s">
        <v>938</v>
      </c>
      <c r="H938" s="1399">
        <v>9545</v>
      </c>
      <c r="I938" s="1399">
        <v>9545</v>
      </c>
    </row>
    <row r="939" spans="2:9">
      <c r="B939" s="1297"/>
      <c r="C939" s="1297"/>
      <c r="D939" s="1297" t="s">
        <v>939</v>
      </c>
      <c r="H939" s="1399">
        <v>46250</v>
      </c>
      <c r="I939" s="1399">
        <v>46250</v>
      </c>
    </row>
    <row r="940" spans="2:9">
      <c r="B940" s="1297"/>
      <c r="C940" s="1297"/>
      <c r="D940" s="1297" t="s">
        <v>940</v>
      </c>
      <c r="E940" s="1399">
        <v>486191.42</v>
      </c>
      <c r="I940" s="1399">
        <v>486191.42</v>
      </c>
    </row>
    <row r="941" spans="2:9">
      <c r="B941" s="1297"/>
      <c r="C941" s="1297"/>
      <c r="D941" s="1297" t="s">
        <v>941</v>
      </c>
      <c r="E941" s="1399">
        <v>162693.60000000003</v>
      </c>
      <c r="I941" s="1399">
        <v>162693.60000000003</v>
      </c>
    </row>
    <row r="942" spans="2:9">
      <c r="B942" s="1297"/>
      <c r="C942" s="1297"/>
      <c r="D942" s="1297" t="s">
        <v>944</v>
      </c>
      <c r="E942" s="1399">
        <v>1103714.5899999999</v>
      </c>
      <c r="I942" s="1399">
        <v>1103714.5899999999</v>
      </c>
    </row>
    <row r="943" spans="2:9">
      <c r="B943" s="1297"/>
      <c r="C943" s="1297"/>
      <c r="D943" s="1297" t="s">
        <v>945</v>
      </c>
      <c r="E943" s="1399">
        <v>764274.09000000008</v>
      </c>
      <c r="I943" s="1399">
        <v>764274.09000000008</v>
      </c>
    </row>
    <row r="944" spans="2:9">
      <c r="B944" s="1297"/>
      <c r="C944" s="1297"/>
      <c r="D944" s="1297" t="s">
        <v>946</v>
      </c>
      <c r="E944" s="1399">
        <v>1152</v>
      </c>
      <c r="I944" s="1399">
        <v>1152</v>
      </c>
    </row>
    <row r="945" spans="2:9">
      <c r="B945" s="1297"/>
      <c r="C945" s="1297"/>
      <c r="D945" s="1297" t="s">
        <v>1214</v>
      </c>
      <c r="E945" s="1399">
        <v>221003</v>
      </c>
      <c r="I945" s="1399">
        <v>221003</v>
      </c>
    </row>
    <row r="946" spans="2:9">
      <c r="B946" s="1297"/>
      <c r="C946" s="1297"/>
      <c r="D946" s="1297" t="s">
        <v>947</v>
      </c>
      <c r="E946" s="1399">
        <v>28159.81</v>
      </c>
      <c r="I946" s="1399">
        <v>28159.81</v>
      </c>
    </row>
    <row r="947" spans="2:9">
      <c r="B947" s="1297"/>
      <c r="C947" s="1297"/>
      <c r="D947" s="1297" t="s">
        <v>948</v>
      </c>
      <c r="G947" s="1399">
        <v>12104487.939999999</v>
      </c>
      <c r="I947" s="1399">
        <v>12104487.939999999</v>
      </c>
    </row>
    <row r="948" spans="2:9">
      <c r="B948" s="1297"/>
      <c r="C948" s="1400" t="s">
        <v>1215</v>
      </c>
      <c r="D948" s="1400"/>
      <c r="E948" s="1401">
        <v>2767188.5100000002</v>
      </c>
      <c r="F948" s="1401">
        <v>7099951.8700000001</v>
      </c>
      <c r="G948" s="1401">
        <v>12104487.939999999</v>
      </c>
      <c r="H948" s="1401">
        <v>8617362.379999999</v>
      </c>
      <c r="I948" s="1401">
        <v>30588990.699999996</v>
      </c>
    </row>
    <row r="949" spans="2:9">
      <c r="B949" s="1297" t="s">
        <v>1216</v>
      </c>
      <c r="C949" s="1297" t="s">
        <v>1217</v>
      </c>
      <c r="D949" s="1297" t="s">
        <v>906</v>
      </c>
      <c r="F949" s="1399">
        <v>164412782.51000002</v>
      </c>
      <c r="I949" s="1399">
        <v>164412782.51000002</v>
      </c>
    </row>
    <row r="950" spans="2:9">
      <c r="B950" s="1297"/>
      <c r="C950" s="1297"/>
      <c r="D950" s="1297" t="s">
        <v>952</v>
      </c>
      <c r="F950" s="1399">
        <v>1704217.65</v>
      </c>
      <c r="I950" s="1399">
        <v>1704217.65</v>
      </c>
    </row>
    <row r="951" spans="2:9">
      <c r="B951" s="1297"/>
      <c r="C951" s="1297"/>
      <c r="D951" s="1297" t="s">
        <v>907</v>
      </c>
      <c r="F951" s="1399">
        <v>52006946.969999999</v>
      </c>
      <c r="I951" s="1399">
        <v>52006946.969999999</v>
      </c>
    </row>
    <row r="952" spans="2:9">
      <c r="B952" s="1297"/>
      <c r="C952" s="1297"/>
      <c r="D952" s="1297" t="s">
        <v>908</v>
      </c>
      <c r="F952" s="1399">
        <v>202895.86</v>
      </c>
      <c r="I952" s="1399">
        <v>202895.86</v>
      </c>
    </row>
    <row r="953" spans="2:9">
      <c r="B953" s="1297"/>
      <c r="C953" s="1297"/>
      <c r="D953" s="1297" t="s">
        <v>1037</v>
      </c>
      <c r="F953" s="1399">
        <v>53407.020000000004</v>
      </c>
      <c r="I953" s="1399">
        <v>53407.020000000004</v>
      </c>
    </row>
    <row r="954" spans="2:9">
      <c r="B954" s="1297"/>
      <c r="C954" s="1297"/>
      <c r="D954" s="1297" t="s">
        <v>1039</v>
      </c>
      <c r="F954" s="1399">
        <v>221756.31000000003</v>
      </c>
      <c r="I954" s="1399">
        <v>221756.31000000003</v>
      </c>
    </row>
    <row r="955" spans="2:9">
      <c r="B955" s="1297"/>
      <c r="C955" s="1297"/>
      <c r="D955" s="1297" t="s">
        <v>1040</v>
      </c>
      <c r="F955" s="1399">
        <v>1719225.9500000002</v>
      </c>
      <c r="I955" s="1399">
        <v>1719225.9500000002</v>
      </c>
    </row>
    <row r="956" spans="2:9">
      <c r="B956" s="1297"/>
      <c r="C956" s="1297"/>
      <c r="D956" s="1297" t="s">
        <v>1041</v>
      </c>
      <c r="F956" s="1399">
        <v>368960.06999999995</v>
      </c>
      <c r="I956" s="1399">
        <v>368960.06999999995</v>
      </c>
    </row>
    <row r="957" spans="2:9">
      <c r="B957" s="1297"/>
      <c r="C957" s="1297"/>
      <c r="D957" s="1297" t="s">
        <v>1042</v>
      </c>
      <c r="F957" s="1399">
        <v>116797.62</v>
      </c>
      <c r="I957" s="1399">
        <v>116797.62</v>
      </c>
    </row>
    <row r="958" spans="2:9">
      <c r="B958" s="1297"/>
      <c r="C958" s="1297"/>
      <c r="D958" s="1297" t="s">
        <v>954</v>
      </c>
      <c r="F958" s="1399">
        <v>331530.02999999997</v>
      </c>
      <c r="I958" s="1399">
        <v>331530.02999999997</v>
      </c>
    </row>
    <row r="959" spans="2:9">
      <c r="B959" s="1297"/>
      <c r="C959" s="1297"/>
      <c r="D959" s="1297" t="s">
        <v>1043</v>
      </c>
      <c r="F959" s="1399">
        <v>14873.26</v>
      </c>
      <c r="I959" s="1399">
        <v>14873.26</v>
      </c>
    </row>
    <row r="960" spans="2:9">
      <c r="B960" s="1297"/>
      <c r="C960" s="1297"/>
      <c r="D960" s="1297" t="s">
        <v>986</v>
      </c>
      <c r="F960" s="1399">
        <v>865557.58000000007</v>
      </c>
      <c r="I960" s="1399">
        <v>865557.58000000007</v>
      </c>
    </row>
    <row r="961" spans="2:9">
      <c r="B961" s="1297"/>
      <c r="C961" s="1297"/>
      <c r="D961" s="1297" t="s">
        <v>1044</v>
      </c>
      <c r="F961" s="1399">
        <v>733132.66</v>
      </c>
      <c r="I961" s="1399">
        <v>733132.66</v>
      </c>
    </row>
    <row r="962" spans="2:9">
      <c r="B962" s="1297"/>
      <c r="C962" s="1297"/>
      <c r="D962" s="1297" t="s">
        <v>1045</v>
      </c>
      <c r="F962" s="1399">
        <v>6046079.5799999991</v>
      </c>
      <c r="I962" s="1399">
        <v>6046079.5799999991</v>
      </c>
    </row>
    <row r="963" spans="2:9">
      <c r="B963" s="1297"/>
      <c r="C963" s="1297"/>
      <c r="D963" s="1297" t="s">
        <v>1046</v>
      </c>
      <c r="H963" s="1399">
        <v>175566197</v>
      </c>
      <c r="I963" s="1399">
        <v>175566197</v>
      </c>
    </row>
    <row r="964" spans="2:9">
      <c r="B964" s="1297"/>
      <c r="C964" s="1297"/>
      <c r="D964" s="1297" t="s">
        <v>1128</v>
      </c>
      <c r="H964" s="1399">
        <v>14458966</v>
      </c>
      <c r="I964" s="1399">
        <v>14458966</v>
      </c>
    </row>
    <row r="965" spans="2:9">
      <c r="B965" s="1297"/>
      <c r="C965" s="1297"/>
      <c r="D965" s="1297" t="s">
        <v>1129</v>
      </c>
      <c r="H965" s="1399">
        <v>-17039600</v>
      </c>
      <c r="I965" s="1399">
        <v>-17039600</v>
      </c>
    </row>
    <row r="966" spans="2:9">
      <c r="B966" s="1297"/>
      <c r="C966" s="1297"/>
      <c r="D966" s="1297" t="s">
        <v>1047</v>
      </c>
      <c r="H966" s="1399">
        <v>2847498</v>
      </c>
      <c r="I966" s="1399">
        <v>2847498</v>
      </c>
    </row>
    <row r="967" spans="2:9">
      <c r="B967" s="1297"/>
      <c r="C967" s="1297"/>
      <c r="D967" s="1297" t="s">
        <v>1048</v>
      </c>
      <c r="H967" s="1399">
        <v>-61256290</v>
      </c>
      <c r="I967" s="1399">
        <v>-61256290</v>
      </c>
    </row>
    <row r="968" spans="2:9">
      <c r="B968" s="1297"/>
      <c r="C968" s="1297"/>
      <c r="D968" s="1297" t="s">
        <v>955</v>
      </c>
      <c r="H968" s="1399">
        <v>5314257.95</v>
      </c>
      <c r="I968" s="1399">
        <v>5314257.95</v>
      </c>
    </row>
    <row r="969" spans="2:9">
      <c r="B969" s="1297"/>
      <c r="C969" s="1297"/>
      <c r="D969" s="1297" t="s">
        <v>934</v>
      </c>
      <c r="H969" s="1399">
        <v>437230</v>
      </c>
      <c r="I969" s="1399">
        <v>437230</v>
      </c>
    </row>
    <row r="970" spans="2:9">
      <c r="B970" s="1297"/>
      <c r="C970" s="1297"/>
      <c r="D970" s="1297" t="s">
        <v>1130</v>
      </c>
      <c r="H970" s="1399">
        <v>7292700</v>
      </c>
      <c r="I970" s="1399">
        <v>7292700</v>
      </c>
    </row>
    <row r="971" spans="2:9">
      <c r="B971" s="1297"/>
      <c r="C971" s="1297"/>
      <c r="D971" s="1297" t="s">
        <v>935</v>
      </c>
      <c r="H971" s="1399">
        <v>5192937.2300000004</v>
      </c>
      <c r="I971" s="1399">
        <v>5192937.2300000004</v>
      </c>
    </row>
    <row r="972" spans="2:9">
      <c r="B972" s="1297"/>
      <c r="C972" s="1297"/>
      <c r="D972" s="1297" t="s">
        <v>939</v>
      </c>
      <c r="H972" s="1399">
        <v>181361.15000000002</v>
      </c>
      <c r="I972" s="1399">
        <v>181361.15000000002</v>
      </c>
    </row>
    <row r="973" spans="2:9">
      <c r="B973" s="1297"/>
      <c r="C973" s="1297"/>
      <c r="D973" s="1297" t="s">
        <v>1131</v>
      </c>
      <c r="E973" s="1399">
        <v>478923.01999999996</v>
      </c>
      <c r="I973" s="1399">
        <v>478923.01999999996</v>
      </c>
    </row>
    <row r="974" spans="2:9">
      <c r="B974" s="1297"/>
      <c r="C974" s="1297"/>
      <c r="D974" s="1297" t="s">
        <v>940</v>
      </c>
      <c r="E974" s="1399">
        <v>8951832.8200000022</v>
      </c>
      <c r="I974" s="1399">
        <v>8951832.8200000022</v>
      </c>
    </row>
    <row r="975" spans="2:9">
      <c r="B975" s="1297"/>
      <c r="C975" s="1297"/>
      <c r="D975" s="1297" t="s">
        <v>941</v>
      </c>
      <c r="E975" s="1399">
        <v>2734289.2799999993</v>
      </c>
      <c r="I975" s="1399">
        <v>2734289.2799999993</v>
      </c>
    </row>
    <row r="976" spans="2:9">
      <c r="B976" s="1297"/>
      <c r="C976" s="1297"/>
      <c r="D976" s="1297" t="s">
        <v>944</v>
      </c>
      <c r="E976" s="1399">
        <v>30595292.75</v>
      </c>
      <c r="I976" s="1399">
        <v>30595292.75</v>
      </c>
    </row>
    <row r="977" spans="2:9">
      <c r="B977" s="1297"/>
      <c r="C977" s="1297"/>
      <c r="D977" s="1297" t="s">
        <v>945</v>
      </c>
      <c r="E977" s="1399">
        <v>6126585.1799999997</v>
      </c>
      <c r="I977" s="1399">
        <v>6126585.1799999997</v>
      </c>
    </row>
    <row r="978" spans="2:9">
      <c r="B978" s="1297"/>
      <c r="C978" s="1297"/>
      <c r="D978" s="1297" t="s">
        <v>946</v>
      </c>
      <c r="E978" s="1399">
        <v>1266959.8700000001</v>
      </c>
      <c r="I978" s="1399">
        <v>1266959.8700000001</v>
      </c>
    </row>
    <row r="979" spans="2:9">
      <c r="B979" s="1297"/>
      <c r="C979" s="1297"/>
      <c r="D979" s="1297" t="s">
        <v>978</v>
      </c>
      <c r="E979" s="1399">
        <v>106666.72</v>
      </c>
      <c r="I979" s="1399">
        <v>106666.72</v>
      </c>
    </row>
    <row r="980" spans="2:9">
      <c r="B980" s="1297"/>
      <c r="C980" s="1297"/>
      <c r="D980" s="1297" t="s">
        <v>1006</v>
      </c>
      <c r="E980" s="1399">
        <v>519630.07</v>
      </c>
      <c r="I980" s="1399">
        <v>519630.07</v>
      </c>
    </row>
    <row r="981" spans="2:9">
      <c r="B981" s="1297"/>
      <c r="C981" s="1297"/>
      <c r="D981" s="1297" t="s">
        <v>1214</v>
      </c>
      <c r="E981" s="1399">
        <v>606298.57999999996</v>
      </c>
      <c r="I981" s="1399">
        <v>606298.57999999996</v>
      </c>
    </row>
    <row r="982" spans="2:9">
      <c r="B982" s="1297"/>
      <c r="C982" s="1297"/>
      <c r="D982" s="1297" t="s">
        <v>947</v>
      </c>
      <c r="E982" s="1399">
        <v>469179.85999999993</v>
      </c>
      <c r="I982" s="1399">
        <v>469179.85999999993</v>
      </c>
    </row>
    <row r="983" spans="2:9">
      <c r="B983" s="1297"/>
      <c r="C983" s="1297"/>
      <c r="D983" s="1297" t="s">
        <v>948</v>
      </c>
      <c r="G983" s="1399">
        <v>22580108.5</v>
      </c>
      <c r="I983" s="1399">
        <v>22580108.5</v>
      </c>
    </row>
    <row r="984" spans="2:9">
      <c r="B984" s="1297"/>
      <c r="C984" s="1297"/>
      <c r="D984" s="1297" t="s">
        <v>956</v>
      </c>
      <c r="G984" s="1399">
        <v>905673.2</v>
      </c>
      <c r="I984" s="1399">
        <v>905673.2</v>
      </c>
    </row>
    <row r="985" spans="2:9">
      <c r="B985" s="1297"/>
      <c r="C985" s="1297"/>
      <c r="D985" s="1297" t="s">
        <v>1218</v>
      </c>
      <c r="G985" s="1399">
        <v>6332427.2999999998</v>
      </c>
      <c r="I985" s="1399">
        <v>6332427.2999999998</v>
      </c>
    </row>
    <row r="986" spans="2:9">
      <c r="B986" s="1297"/>
      <c r="C986" s="1400" t="s">
        <v>1219</v>
      </c>
      <c r="D986" s="1400"/>
      <c r="E986" s="1401">
        <v>51855658.149999999</v>
      </c>
      <c r="F986" s="1401">
        <v>228798163.07000005</v>
      </c>
      <c r="G986" s="1401">
        <v>29818209</v>
      </c>
      <c r="H986" s="1401">
        <v>132995257.33000001</v>
      </c>
      <c r="I986" s="1401">
        <v>443467287.55000001</v>
      </c>
    </row>
    <row r="987" spans="2:9">
      <c r="B987" s="1297" t="s">
        <v>1220</v>
      </c>
      <c r="C987" s="1297" t="s">
        <v>1221</v>
      </c>
      <c r="D987" s="1297" t="s">
        <v>906</v>
      </c>
      <c r="F987" s="1399">
        <v>1014972.62</v>
      </c>
      <c r="I987" s="1399">
        <v>1014972.62</v>
      </c>
    </row>
    <row r="988" spans="2:9">
      <c r="B988" s="1297"/>
      <c r="C988" s="1297"/>
      <c r="D988" s="1297" t="s">
        <v>952</v>
      </c>
      <c r="F988" s="1399">
        <v>29539.4</v>
      </c>
      <c r="I988" s="1399">
        <v>29539.4</v>
      </c>
    </row>
    <row r="989" spans="2:9">
      <c r="B989" s="1297"/>
      <c r="C989" s="1297"/>
      <c r="D989" s="1297" t="s">
        <v>907</v>
      </c>
      <c r="F989" s="1399">
        <v>1300744.71</v>
      </c>
      <c r="I989" s="1399">
        <v>1300744.71</v>
      </c>
    </row>
    <row r="990" spans="2:9">
      <c r="B990" s="1297"/>
      <c r="C990" s="1297"/>
      <c r="D990" s="1297" t="s">
        <v>1035</v>
      </c>
      <c r="F990" s="1399">
        <v>178242.26</v>
      </c>
      <c r="I990" s="1399">
        <v>178242.26</v>
      </c>
    </row>
    <row r="991" spans="2:9">
      <c r="B991" s="1297"/>
      <c r="C991" s="1297"/>
      <c r="D991" s="1297" t="s">
        <v>1037</v>
      </c>
      <c r="F991" s="1399">
        <v>39190</v>
      </c>
      <c r="I991" s="1399">
        <v>39190</v>
      </c>
    </row>
    <row r="992" spans="2:9">
      <c r="B992" s="1297"/>
      <c r="C992" s="1297"/>
      <c r="D992" s="1297" t="s">
        <v>1039</v>
      </c>
      <c r="F992" s="1399">
        <v>1849.6299999999999</v>
      </c>
      <c r="I992" s="1399">
        <v>1849.6299999999999</v>
      </c>
    </row>
    <row r="993" spans="2:9">
      <c r="B993" s="1297"/>
      <c r="C993" s="1297"/>
      <c r="D993" s="1297" t="s">
        <v>1040</v>
      </c>
      <c r="F993" s="1399">
        <v>56621.85</v>
      </c>
      <c r="I993" s="1399">
        <v>56621.85</v>
      </c>
    </row>
    <row r="994" spans="2:9">
      <c r="B994" s="1297"/>
      <c r="C994" s="1297"/>
      <c r="D994" s="1297" t="s">
        <v>1042</v>
      </c>
      <c r="F994" s="1399">
        <v>25787.26</v>
      </c>
      <c r="I994" s="1399">
        <v>25787.26</v>
      </c>
    </row>
    <row r="995" spans="2:9">
      <c r="B995" s="1297"/>
      <c r="C995" s="1297"/>
      <c r="D995" s="1297" t="s">
        <v>985</v>
      </c>
      <c r="F995" s="1399">
        <v>117930.5</v>
      </c>
      <c r="I995" s="1399">
        <v>117930.5</v>
      </c>
    </row>
    <row r="996" spans="2:9">
      <c r="B996" s="1297"/>
      <c r="C996" s="1297"/>
      <c r="D996" s="1297" t="s">
        <v>1044</v>
      </c>
      <c r="F996" s="1399">
        <v>8655</v>
      </c>
      <c r="I996" s="1399">
        <v>8655</v>
      </c>
    </row>
    <row r="997" spans="2:9">
      <c r="B997" s="1297"/>
      <c r="C997" s="1297"/>
      <c r="D997" s="1297" t="s">
        <v>1045</v>
      </c>
      <c r="F997" s="1399">
        <v>136631.21</v>
      </c>
      <c r="I997" s="1399">
        <v>136631.21</v>
      </c>
    </row>
    <row r="998" spans="2:9">
      <c r="B998" s="1297"/>
      <c r="C998" s="1297"/>
      <c r="D998" s="1297" t="s">
        <v>1046</v>
      </c>
      <c r="H998" s="1399">
        <v>4814717</v>
      </c>
      <c r="I998" s="1399">
        <v>4814717</v>
      </c>
    </row>
    <row r="999" spans="2:9">
      <c r="B999" s="1297"/>
      <c r="C999" s="1297"/>
      <c r="D999" s="1297" t="s">
        <v>1047</v>
      </c>
      <c r="H999" s="1399">
        <v>249352</v>
      </c>
      <c r="I999" s="1399">
        <v>249352</v>
      </c>
    </row>
    <row r="1000" spans="2:9">
      <c r="B1000" s="1297"/>
      <c r="C1000" s="1297"/>
      <c r="D1000" s="1297" t="s">
        <v>1048</v>
      </c>
      <c r="H1000" s="1399">
        <v>-269642</v>
      </c>
      <c r="I1000" s="1399">
        <v>-269642</v>
      </c>
    </row>
    <row r="1001" spans="2:9">
      <c r="B1001" s="1297"/>
      <c r="C1001" s="1297"/>
      <c r="D1001" s="1297" t="s">
        <v>932</v>
      </c>
      <c r="H1001" s="1399">
        <v>1350552</v>
      </c>
      <c r="I1001" s="1399">
        <v>1350552</v>
      </c>
    </row>
    <row r="1002" spans="2:9">
      <c r="B1002" s="1297"/>
      <c r="C1002" s="1297"/>
      <c r="D1002" s="1297" t="s">
        <v>955</v>
      </c>
      <c r="H1002" s="1399">
        <v>178620.58</v>
      </c>
      <c r="I1002" s="1399">
        <v>178620.58</v>
      </c>
    </row>
    <row r="1003" spans="2:9">
      <c r="B1003" s="1297"/>
      <c r="C1003" s="1297"/>
      <c r="D1003" s="1297" t="s">
        <v>934</v>
      </c>
      <c r="H1003" s="1399">
        <v>15872</v>
      </c>
      <c r="I1003" s="1399">
        <v>15872</v>
      </c>
    </row>
    <row r="1004" spans="2:9">
      <c r="B1004" s="1297"/>
      <c r="C1004" s="1297"/>
      <c r="D1004" s="1297" t="s">
        <v>1130</v>
      </c>
      <c r="H1004" s="1399">
        <v>117801</v>
      </c>
      <c r="I1004" s="1399">
        <v>117801</v>
      </c>
    </row>
    <row r="1005" spans="2:9">
      <c r="B1005" s="1297"/>
      <c r="C1005" s="1297"/>
      <c r="D1005" s="1297" t="s">
        <v>935</v>
      </c>
      <c r="H1005" s="1399">
        <v>26921.34</v>
      </c>
      <c r="I1005" s="1399">
        <v>26921.34</v>
      </c>
    </row>
    <row r="1006" spans="2:9">
      <c r="B1006" s="1297"/>
      <c r="C1006" s="1297"/>
      <c r="D1006" s="1297" t="s">
        <v>936</v>
      </c>
      <c r="H1006" s="1399">
        <v>16807.23</v>
      </c>
      <c r="I1006" s="1399">
        <v>16807.23</v>
      </c>
    </row>
    <row r="1007" spans="2:9">
      <c r="B1007" s="1297"/>
      <c r="C1007" s="1297"/>
      <c r="D1007" s="1297" t="s">
        <v>937</v>
      </c>
      <c r="H1007" s="1399">
        <v>5902.42</v>
      </c>
      <c r="I1007" s="1399">
        <v>5902.42</v>
      </c>
    </row>
    <row r="1008" spans="2:9">
      <c r="B1008" s="1297"/>
      <c r="C1008" s="1297"/>
      <c r="D1008" s="1297" t="s">
        <v>938</v>
      </c>
      <c r="H1008" s="1399">
        <v>2620</v>
      </c>
      <c r="I1008" s="1399">
        <v>2620</v>
      </c>
    </row>
    <row r="1009" spans="2:9">
      <c r="B1009" s="1297"/>
      <c r="C1009" s="1297"/>
      <c r="D1009" s="1297" t="s">
        <v>940</v>
      </c>
      <c r="E1009" s="1399">
        <v>280787.56</v>
      </c>
      <c r="I1009" s="1399">
        <v>280787.56</v>
      </c>
    </row>
    <row r="1010" spans="2:9">
      <c r="B1010" s="1297"/>
      <c r="C1010" s="1297"/>
      <c r="D1010" s="1297" t="s">
        <v>941</v>
      </c>
      <c r="E1010" s="1399">
        <v>127059.38</v>
      </c>
      <c r="I1010" s="1399">
        <v>127059.38</v>
      </c>
    </row>
    <row r="1011" spans="2:9">
      <c r="B1011" s="1297"/>
      <c r="C1011" s="1297"/>
      <c r="D1011" s="1297" t="s">
        <v>943</v>
      </c>
      <c r="E1011" s="1399">
        <v>10143.18</v>
      </c>
      <c r="I1011" s="1399">
        <v>10143.18</v>
      </c>
    </row>
    <row r="1012" spans="2:9">
      <c r="B1012" s="1297"/>
      <c r="C1012" s="1297"/>
      <c r="D1012" s="1297" t="s">
        <v>944</v>
      </c>
      <c r="E1012" s="1399">
        <v>739657.99999999988</v>
      </c>
      <c r="I1012" s="1399">
        <v>739657.99999999988</v>
      </c>
    </row>
    <row r="1013" spans="2:9">
      <c r="B1013" s="1297"/>
      <c r="C1013" s="1297"/>
      <c r="D1013" s="1297" t="s">
        <v>945</v>
      </c>
      <c r="E1013" s="1399">
        <v>311572.25999999995</v>
      </c>
      <c r="I1013" s="1399">
        <v>311572.25999999995</v>
      </c>
    </row>
    <row r="1014" spans="2:9">
      <c r="B1014" s="1297"/>
      <c r="C1014" s="1297"/>
      <c r="D1014" s="1297" t="s">
        <v>1006</v>
      </c>
      <c r="E1014" s="1399">
        <v>635893.52</v>
      </c>
      <c r="I1014" s="1399">
        <v>635893.52</v>
      </c>
    </row>
    <row r="1015" spans="2:9">
      <c r="B1015" s="1297"/>
      <c r="C1015" s="1297"/>
      <c r="D1015" s="1297" t="s">
        <v>947</v>
      </c>
      <c r="E1015" s="1399">
        <v>14269.3</v>
      </c>
      <c r="I1015" s="1399">
        <v>14269.3</v>
      </c>
    </row>
    <row r="1016" spans="2:9">
      <c r="B1016" s="1297"/>
      <c r="C1016" s="1297"/>
      <c r="D1016" s="1297" t="s">
        <v>948</v>
      </c>
      <c r="G1016" s="1399">
        <v>1041468.94</v>
      </c>
      <c r="I1016" s="1399">
        <v>1041468.94</v>
      </c>
    </row>
    <row r="1017" spans="2:9">
      <c r="B1017" s="1297"/>
      <c r="C1017" s="1297"/>
      <c r="D1017" s="1297" t="s">
        <v>956</v>
      </c>
      <c r="G1017" s="1399">
        <v>2647.09</v>
      </c>
      <c r="I1017" s="1399">
        <v>2647.09</v>
      </c>
    </row>
    <row r="1018" spans="2:9">
      <c r="B1018" s="1297"/>
      <c r="C1018" s="1400" t="s">
        <v>1222</v>
      </c>
      <c r="D1018" s="1400"/>
      <c r="E1018" s="1401">
        <v>2119383.1999999997</v>
      </c>
      <c r="F1018" s="1401">
        <v>2910164.44</v>
      </c>
      <c r="G1018" s="1401">
        <v>1044116.0299999999</v>
      </c>
      <c r="H1018" s="1401">
        <v>6509523.5700000003</v>
      </c>
      <c r="I1018" s="1401">
        <v>12583187.24</v>
      </c>
    </row>
    <row r="1019" spans="2:9">
      <c r="B1019" s="1297" t="s">
        <v>1049</v>
      </c>
      <c r="C1019" s="1297" t="s">
        <v>1050</v>
      </c>
      <c r="D1019" s="1297" t="s">
        <v>906</v>
      </c>
      <c r="F1019" s="1399">
        <v>4967755.6399999997</v>
      </c>
      <c r="I1019" s="1399">
        <v>4967755.6399999997</v>
      </c>
    </row>
    <row r="1020" spans="2:9">
      <c r="B1020" s="1297"/>
      <c r="C1020" s="1297"/>
      <c r="D1020" s="1297" t="s">
        <v>1126</v>
      </c>
      <c r="F1020" s="1399">
        <v>1657890.01</v>
      </c>
      <c r="I1020" s="1399">
        <v>1657890.01</v>
      </c>
    </row>
    <row r="1021" spans="2:9">
      <c r="B1021" s="1297"/>
      <c r="C1021" s="1297"/>
      <c r="D1021" s="1297" t="s">
        <v>952</v>
      </c>
      <c r="F1021" s="1399">
        <v>61944.69</v>
      </c>
      <c r="I1021" s="1399">
        <v>61944.69</v>
      </c>
    </row>
    <row r="1022" spans="2:9">
      <c r="B1022" s="1297"/>
      <c r="C1022" s="1297"/>
      <c r="D1022" s="1297" t="s">
        <v>907</v>
      </c>
      <c r="F1022" s="1399">
        <v>1721616.97</v>
      </c>
      <c r="I1022" s="1399">
        <v>1721616.97</v>
      </c>
    </row>
    <row r="1023" spans="2:9">
      <c r="B1023" s="1297"/>
      <c r="C1023" s="1297"/>
      <c r="D1023" s="1297" t="s">
        <v>908</v>
      </c>
      <c r="F1023" s="1399">
        <v>35337.49</v>
      </c>
      <c r="I1023" s="1399">
        <v>35337.49</v>
      </c>
    </row>
    <row r="1024" spans="2:9">
      <c r="B1024" s="1297"/>
      <c r="C1024" s="1297"/>
      <c r="D1024" s="1297" t="s">
        <v>1039</v>
      </c>
      <c r="F1024" s="1399">
        <v>177764.96</v>
      </c>
      <c r="I1024" s="1399">
        <v>177764.96</v>
      </c>
    </row>
    <row r="1025" spans="2:9">
      <c r="B1025" s="1297"/>
      <c r="C1025" s="1297"/>
      <c r="D1025" s="1297" t="s">
        <v>1040</v>
      </c>
      <c r="F1025" s="1399">
        <v>111079.63999999998</v>
      </c>
      <c r="I1025" s="1399">
        <v>111079.63999999998</v>
      </c>
    </row>
    <row r="1026" spans="2:9">
      <c r="B1026" s="1297"/>
      <c r="C1026" s="1297"/>
      <c r="D1026" s="1297" t="s">
        <v>1041</v>
      </c>
      <c r="F1026" s="1399">
        <v>71261</v>
      </c>
      <c r="I1026" s="1399">
        <v>71261</v>
      </c>
    </row>
    <row r="1027" spans="2:9">
      <c r="B1027" s="1297"/>
      <c r="C1027" s="1297"/>
      <c r="D1027" s="1297" t="s">
        <v>1042</v>
      </c>
      <c r="F1027" s="1399">
        <v>26230.11</v>
      </c>
      <c r="I1027" s="1399">
        <v>26230.11</v>
      </c>
    </row>
    <row r="1028" spans="2:9">
      <c r="B1028" s="1297"/>
      <c r="C1028" s="1297"/>
      <c r="D1028" s="1297" t="s">
        <v>953</v>
      </c>
      <c r="F1028" s="1399">
        <v>28852.2</v>
      </c>
      <c r="I1028" s="1399">
        <v>28852.2</v>
      </c>
    </row>
    <row r="1029" spans="2:9">
      <c r="B1029" s="1297"/>
      <c r="C1029" s="1297"/>
      <c r="D1029" s="1297" t="s">
        <v>986</v>
      </c>
      <c r="F1029" s="1399">
        <v>590508.13</v>
      </c>
      <c r="I1029" s="1399">
        <v>590508.13</v>
      </c>
    </row>
    <row r="1030" spans="2:9">
      <c r="B1030" s="1297"/>
      <c r="C1030" s="1297"/>
      <c r="D1030" s="1297" t="s">
        <v>996</v>
      </c>
      <c r="F1030" s="1399">
        <v>23684</v>
      </c>
      <c r="I1030" s="1399">
        <v>23684</v>
      </c>
    </row>
    <row r="1031" spans="2:9">
      <c r="B1031" s="1297"/>
      <c r="C1031" s="1297"/>
      <c r="D1031" s="1297" t="s">
        <v>1045</v>
      </c>
      <c r="F1031" s="1399">
        <v>223311.16</v>
      </c>
      <c r="I1031" s="1399">
        <v>223311.16</v>
      </c>
    </row>
    <row r="1032" spans="2:9">
      <c r="B1032" s="1297"/>
      <c r="C1032" s="1297"/>
      <c r="D1032" s="1297" t="s">
        <v>1046</v>
      </c>
      <c r="H1032" s="1399">
        <v>14614563</v>
      </c>
      <c r="I1032" s="1399">
        <v>14614563</v>
      </c>
    </row>
    <row r="1033" spans="2:9">
      <c r="B1033" s="1297"/>
      <c r="C1033" s="1297"/>
      <c r="D1033" s="1297" t="s">
        <v>1128</v>
      </c>
      <c r="H1033" s="1399">
        <v>1142774</v>
      </c>
      <c r="I1033" s="1399">
        <v>1142774</v>
      </c>
    </row>
    <row r="1034" spans="2:9">
      <c r="B1034" s="1297"/>
      <c r="C1034" s="1297"/>
      <c r="D1034" s="1297" t="s">
        <v>1129</v>
      </c>
      <c r="H1034" s="1399">
        <v>-2110535</v>
      </c>
      <c r="I1034" s="1399">
        <v>-2110535</v>
      </c>
    </row>
    <row r="1035" spans="2:9">
      <c r="B1035" s="1297"/>
      <c r="C1035" s="1297"/>
      <c r="D1035" s="1297" t="s">
        <v>1047</v>
      </c>
      <c r="H1035" s="1399">
        <v>440055</v>
      </c>
      <c r="I1035" s="1399">
        <v>440055</v>
      </c>
    </row>
    <row r="1036" spans="2:9">
      <c r="B1036" s="1297"/>
      <c r="C1036" s="1297"/>
      <c r="D1036" s="1297" t="s">
        <v>1048</v>
      </c>
      <c r="H1036" s="1399">
        <v>-2236461</v>
      </c>
      <c r="I1036" s="1399">
        <v>-2236461</v>
      </c>
    </row>
    <row r="1037" spans="2:9">
      <c r="B1037" s="1297"/>
      <c r="C1037" s="1297"/>
      <c r="D1037" s="1297" t="s">
        <v>932</v>
      </c>
      <c r="H1037" s="1399">
        <v>813293</v>
      </c>
      <c r="I1037" s="1399">
        <v>813293</v>
      </c>
    </row>
    <row r="1038" spans="2:9">
      <c r="B1038" s="1297"/>
      <c r="C1038" s="1297"/>
      <c r="D1038" s="1297" t="s">
        <v>955</v>
      </c>
      <c r="H1038" s="1399">
        <v>360013.71</v>
      </c>
      <c r="I1038" s="1399">
        <v>360013.71</v>
      </c>
    </row>
    <row r="1039" spans="2:9">
      <c r="B1039" s="1297"/>
      <c r="C1039" s="1297"/>
      <c r="D1039" s="1297" t="s">
        <v>934</v>
      </c>
      <c r="H1039" s="1399">
        <v>53956</v>
      </c>
      <c r="I1039" s="1399">
        <v>53956</v>
      </c>
    </row>
    <row r="1040" spans="2:9">
      <c r="B1040" s="1297"/>
      <c r="C1040" s="1297"/>
      <c r="D1040" s="1297" t="s">
        <v>935</v>
      </c>
      <c r="H1040" s="1399">
        <v>400099.21</v>
      </c>
      <c r="I1040" s="1399">
        <v>400099.21</v>
      </c>
    </row>
    <row r="1041" spans="2:9">
      <c r="B1041" s="1297"/>
      <c r="C1041" s="1297"/>
      <c r="D1041" s="1297" t="s">
        <v>936</v>
      </c>
      <c r="H1041" s="1399">
        <v>47970.62</v>
      </c>
      <c r="I1041" s="1399">
        <v>47970.62</v>
      </c>
    </row>
    <row r="1042" spans="2:9">
      <c r="B1042" s="1297"/>
      <c r="C1042" s="1297"/>
      <c r="D1042" s="1297" t="s">
        <v>937</v>
      </c>
      <c r="H1042" s="1399">
        <v>7017.75</v>
      </c>
      <c r="I1042" s="1399">
        <v>7017.75</v>
      </c>
    </row>
    <row r="1043" spans="2:9">
      <c r="B1043" s="1297"/>
      <c r="C1043" s="1297"/>
      <c r="D1043" s="1297" t="s">
        <v>938</v>
      </c>
      <c r="H1043" s="1399">
        <v>14786</v>
      </c>
      <c r="I1043" s="1399">
        <v>14786</v>
      </c>
    </row>
    <row r="1044" spans="2:9">
      <c r="B1044" s="1297"/>
      <c r="C1044" s="1297"/>
      <c r="D1044" s="1297" t="s">
        <v>939</v>
      </c>
      <c r="H1044" s="1399">
        <v>49765.41</v>
      </c>
      <c r="I1044" s="1399">
        <v>49765.41</v>
      </c>
    </row>
    <row r="1045" spans="2:9">
      <c r="B1045" s="1297"/>
      <c r="C1045" s="1297"/>
      <c r="D1045" s="1297" t="s">
        <v>940</v>
      </c>
      <c r="E1045" s="1399">
        <v>776208.12</v>
      </c>
      <c r="I1045" s="1399">
        <v>776208.12</v>
      </c>
    </row>
    <row r="1046" spans="2:9">
      <c r="B1046" s="1297"/>
      <c r="C1046" s="1297"/>
      <c r="D1046" s="1297" t="s">
        <v>941</v>
      </c>
      <c r="E1046" s="1399">
        <v>277785.96000000002</v>
      </c>
      <c r="I1046" s="1399">
        <v>277785.96000000002</v>
      </c>
    </row>
    <row r="1047" spans="2:9">
      <c r="B1047" s="1297"/>
      <c r="C1047" s="1297"/>
      <c r="D1047" s="1297" t="s">
        <v>943</v>
      </c>
      <c r="E1047" s="1399">
        <v>4752.28</v>
      </c>
      <c r="I1047" s="1399">
        <v>4752.28</v>
      </c>
    </row>
    <row r="1048" spans="2:9">
      <c r="B1048" s="1297"/>
      <c r="C1048" s="1297"/>
      <c r="D1048" s="1297" t="s">
        <v>944</v>
      </c>
      <c r="E1048" s="1399">
        <v>2270693.5</v>
      </c>
      <c r="I1048" s="1399">
        <v>2270693.5</v>
      </c>
    </row>
    <row r="1049" spans="2:9">
      <c r="B1049" s="1297"/>
      <c r="C1049" s="1297"/>
      <c r="D1049" s="1297" t="s">
        <v>945</v>
      </c>
      <c r="E1049" s="1399">
        <v>1638095.81</v>
      </c>
      <c r="I1049" s="1399">
        <v>1638095.81</v>
      </c>
    </row>
    <row r="1050" spans="2:9">
      <c r="B1050" s="1297"/>
      <c r="C1050" s="1297"/>
      <c r="D1050" s="1297" t="s">
        <v>946</v>
      </c>
      <c r="E1050" s="1399">
        <v>28373.269999999997</v>
      </c>
      <c r="I1050" s="1399">
        <v>28373.269999999997</v>
      </c>
    </row>
    <row r="1051" spans="2:9">
      <c r="B1051" s="1297"/>
      <c r="C1051" s="1297"/>
      <c r="D1051" s="1297" t="s">
        <v>978</v>
      </c>
      <c r="E1051" s="1399">
        <v>1200</v>
      </c>
      <c r="I1051" s="1399">
        <v>1200</v>
      </c>
    </row>
    <row r="1052" spans="2:9">
      <c r="B1052" s="1297"/>
      <c r="C1052" s="1297"/>
      <c r="D1052" s="1297" t="s">
        <v>947</v>
      </c>
      <c r="E1052" s="1399">
        <v>36058.39</v>
      </c>
      <c r="I1052" s="1399">
        <v>36058.39</v>
      </c>
    </row>
    <row r="1053" spans="2:9">
      <c r="B1053" s="1297"/>
      <c r="C1053" s="1297"/>
      <c r="D1053" s="1297" t="s">
        <v>948</v>
      </c>
      <c r="G1053" s="1399">
        <v>1705047.32</v>
      </c>
      <c r="I1053" s="1399">
        <v>1705047.32</v>
      </c>
    </row>
    <row r="1054" spans="2:9">
      <c r="B1054" s="1297"/>
      <c r="C1054" s="1297"/>
      <c r="D1054" s="1297" t="s">
        <v>1051</v>
      </c>
      <c r="G1054" s="1399">
        <v>158260.09</v>
      </c>
      <c r="I1054" s="1399">
        <v>158260.09</v>
      </c>
    </row>
    <row r="1055" spans="2:9">
      <c r="B1055" s="1297"/>
      <c r="C1055" s="1400" t="s">
        <v>1052</v>
      </c>
      <c r="D1055" s="1400"/>
      <c r="E1055" s="1401">
        <v>5033167.3299999991</v>
      </c>
      <c r="F1055" s="1401">
        <v>9697236.0000000019</v>
      </c>
      <c r="G1055" s="1401">
        <v>1863307.4100000001</v>
      </c>
      <c r="H1055" s="1401">
        <v>13597297.700000001</v>
      </c>
      <c r="I1055" s="1401">
        <v>30191008.440000005</v>
      </c>
    </row>
    <row r="1056" spans="2:9">
      <c r="B1056" s="1297" t="s">
        <v>1053</v>
      </c>
      <c r="C1056" s="1297" t="s">
        <v>1054</v>
      </c>
      <c r="D1056" s="1297" t="s">
        <v>906</v>
      </c>
      <c r="F1056" s="1399">
        <v>135151475.52000001</v>
      </c>
      <c r="I1056" s="1399">
        <v>135151475.52000001</v>
      </c>
    </row>
    <row r="1057" spans="2:9">
      <c r="B1057" s="1297"/>
      <c r="C1057" s="1297"/>
      <c r="D1057" s="1297" t="s">
        <v>907</v>
      </c>
      <c r="F1057" s="1399">
        <v>28033590.719999999</v>
      </c>
      <c r="I1057" s="1399">
        <v>28033590.719999999</v>
      </c>
    </row>
    <row r="1058" spans="2:9">
      <c r="B1058" s="1297"/>
      <c r="C1058" s="1297"/>
      <c r="D1058" s="1297" t="s">
        <v>908</v>
      </c>
      <c r="F1058" s="1399">
        <v>22955.88</v>
      </c>
      <c r="I1058" s="1399">
        <v>22955.88</v>
      </c>
    </row>
    <row r="1059" spans="2:9">
      <c r="B1059" s="1297"/>
      <c r="C1059" s="1297"/>
      <c r="D1059" s="1297" t="s">
        <v>909</v>
      </c>
      <c r="F1059" s="1399">
        <v>1151199.05</v>
      </c>
      <c r="I1059" s="1399">
        <v>1151199.05</v>
      </c>
    </row>
    <row r="1060" spans="2:9">
      <c r="B1060" s="1297"/>
      <c r="C1060" s="1297"/>
      <c r="D1060" s="1297" t="s">
        <v>910</v>
      </c>
      <c r="F1060" s="1399">
        <v>332397.99</v>
      </c>
      <c r="I1060" s="1399">
        <v>332397.99</v>
      </c>
    </row>
    <row r="1061" spans="2:9">
      <c r="B1061" s="1297"/>
      <c r="C1061" s="1297"/>
      <c r="D1061" s="1297" t="s">
        <v>1034</v>
      </c>
      <c r="F1061" s="1399">
        <v>457258.14</v>
      </c>
      <c r="I1061" s="1399">
        <v>457258.14</v>
      </c>
    </row>
    <row r="1062" spans="2:9">
      <c r="B1062" s="1297"/>
      <c r="C1062" s="1297"/>
      <c r="D1062" s="1297" t="s">
        <v>1035</v>
      </c>
      <c r="F1062" s="1399">
        <v>7692954.4400000004</v>
      </c>
      <c r="I1062" s="1399">
        <v>7692954.4400000004</v>
      </c>
    </row>
    <row r="1063" spans="2:9">
      <c r="B1063" s="1297"/>
      <c r="C1063" s="1297"/>
      <c r="D1063" s="1297" t="s">
        <v>1036</v>
      </c>
      <c r="F1063" s="1399">
        <v>1299410.51</v>
      </c>
      <c r="I1063" s="1399">
        <v>1299410.51</v>
      </c>
    </row>
    <row r="1064" spans="2:9">
      <c r="B1064" s="1297"/>
      <c r="C1064" s="1297"/>
      <c r="D1064" s="1297" t="s">
        <v>1037</v>
      </c>
      <c r="F1064" s="1399">
        <v>17883</v>
      </c>
      <c r="I1064" s="1399">
        <v>17883</v>
      </c>
    </row>
    <row r="1065" spans="2:9">
      <c r="B1065" s="1297"/>
      <c r="C1065" s="1297"/>
      <c r="D1065" s="1297" t="s">
        <v>1038</v>
      </c>
      <c r="F1065" s="1399">
        <v>379323</v>
      </c>
      <c r="I1065" s="1399">
        <v>379323</v>
      </c>
    </row>
    <row r="1066" spans="2:9">
      <c r="B1066" s="1297"/>
      <c r="C1066" s="1297"/>
      <c r="D1066" s="1297" t="s">
        <v>1039</v>
      </c>
      <c r="F1066" s="1399">
        <v>170012.75000000003</v>
      </c>
      <c r="I1066" s="1399">
        <v>170012.75000000003</v>
      </c>
    </row>
    <row r="1067" spans="2:9">
      <c r="B1067" s="1297"/>
      <c r="C1067" s="1297"/>
      <c r="D1067" s="1297" t="s">
        <v>1040</v>
      </c>
      <c r="F1067" s="1399">
        <v>4755894.6399999997</v>
      </c>
      <c r="I1067" s="1399">
        <v>4755894.6399999997</v>
      </c>
    </row>
    <row r="1068" spans="2:9">
      <c r="B1068" s="1297"/>
      <c r="C1068" s="1297"/>
      <c r="D1068" s="1297" t="s">
        <v>1127</v>
      </c>
      <c r="F1068" s="1399">
        <v>348802.45</v>
      </c>
      <c r="I1068" s="1399">
        <v>348802.45</v>
      </c>
    </row>
    <row r="1069" spans="2:9">
      <c r="B1069" s="1297"/>
      <c r="C1069" s="1297"/>
      <c r="D1069" s="1297" t="s">
        <v>1041</v>
      </c>
      <c r="F1069" s="1399">
        <v>1234255.94</v>
      </c>
      <c r="I1069" s="1399">
        <v>1234255.94</v>
      </c>
    </row>
    <row r="1070" spans="2:9">
      <c r="B1070" s="1297"/>
      <c r="C1070" s="1297"/>
      <c r="D1070" s="1297" t="s">
        <v>1042</v>
      </c>
      <c r="F1070" s="1399">
        <v>302672.21999999997</v>
      </c>
      <c r="I1070" s="1399">
        <v>302672.21999999997</v>
      </c>
    </row>
    <row r="1071" spans="2:9">
      <c r="B1071" s="1297"/>
      <c r="C1071" s="1297"/>
      <c r="D1071" s="1297" t="s">
        <v>953</v>
      </c>
      <c r="F1071" s="1399">
        <v>165.9</v>
      </c>
      <c r="I1071" s="1399">
        <v>165.9</v>
      </c>
    </row>
    <row r="1072" spans="2:9">
      <c r="B1072" s="1297"/>
      <c r="C1072" s="1297"/>
      <c r="D1072" s="1297" t="s">
        <v>1043</v>
      </c>
      <c r="F1072" s="1399">
        <v>520487.23</v>
      </c>
      <c r="I1072" s="1399">
        <v>520487.23</v>
      </c>
    </row>
    <row r="1073" spans="2:9">
      <c r="B1073" s="1297"/>
      <c r="C1073" s="1297"/>
      <c r="D1073" s="1297" t="s">
        <v>986</v>
      </c>
      <c r="F1073" s="1399">
        <v>35950</v>
      </c>
      <c r="I1073" s="1399">
        <v>35950</v>
      </c>
    </row>
    <row r="1074" spans="2:9">
      <c r="B1074" s="1297"/>
      <c r="C1074" s="1297"/>
      <c r="D1074" s="1297" t="s">
        <v>1044</v>
      </c>
      <c r="F1074" s="1399">
        <v>85923.57</v>
      </c>
      <c r="I1074" s="1399">
        <v>85923.57</v>
      </c>
    </row>
    <row r="1075" spans="2:9">
      <c r="B1075" s="1297"/>
      <c r="C1075" s="1297"/>
      <c r="D1075" s="1297" t="s">
        <v>1045</v>
      </c>
      <c r="F1075" s="1399">
        <v>7901826.6599999992</v>
      </c>
      <c r="I1075" s="1399">
        <v>7901826.6599999992</v>
      </c>
    </row>
    <row r="1076" spans="2:9">
      <c r="B1076" s="1297"/>
      <c r="C1076" s="1297"/>
      <c r="D1076" s="1297" t="s">
        <v>1046</v>
      </c>
      <c r="H1076" s="1399">
        <v>129911808</v>
      </c>
      <c r="I1076" s="1399">
        <v>129911808</v>
      </c>
    </row>
    <row r="1077" spans="2:9">
      <c r="B1077" s="1297"/>
      <c r="C1077" s="1297"/>
      <c r="D1077" s="1297" t="s">
        <v>1128</v>
      </c>
      <c r="H1077" s="1399">
        <v>16308357</v>
      </c>
      <c r="I1077" s="1399">
        <v>16308357</v>
      </c>
    </row>
    <row r="1078" spans="2:9">
      <c r="B1078" s="1297"/>
      <c r="C1078" s="1297"/>
      <c r="D1078" s="1297" t="s">
        <v>932</v>
      </c>
      <c r="H1078" s="1399">
        <v>132230</v>
      </c>
      <c r="I1078" s="1399">
        <v>132230</v>
      </c>
    </row>
    <row r="1079" spans="2:9">
      <c r="B1079" s="1297"/>
      <c r="C1079" s="1297"/>
      <c r="D1079" s="1297" t="s">
        <v>933</v>
      </c>
      <c r="H1079" s="1399">
        <v>589217.35</v>
      </c>
      <c r="I1079" s="1399">
        <v>589217.35</v>
      </c>
    </row>
    <row r="1080" spans="2:9">
      <c r="B1080" s="1297"/>
      <c r="C1080" s="1297"/>
      <c r="D1080" s="1297" t="s">
        <v>934</v>
      </c>
      <c r="H1080" s="1399">
        <v>487370</v>
      </c>
      <c r="I1080" s="1399">
        <v>487370</v>
      </c>
    </row>
    <row r="1081" spans="2:9">
      <c r="B1081" s="1297"/>
      <c r="C1081" s="1297"/>
      <c r="D1081" s="1297" t="s">
        <v>1130</v>
      </c>
      <c r="H1081" s="1399">
        <v>5661822.8300000001</v>
      </c>
      <c r="I1081" s="1399">
        <v>5661822.8300000001</v>
      </c>
    </row>
    <row r="1082" spans="2:9">
      <c r="B1082" s="1297"/>
      <c r="C1082" s="1297"/>
      <c r="D1082" s="1297" t="s">
        <v>935</v>
      </c>
      <c r="H1082" s="1399">
        <v>27076389.489999998</v>
      </c>
      <c r="I1082" s="1399">
        <v>27076389.489999998</v>
      </c>
    </row>
    <row r="1083" spans="2:9">
      <c r="B1083" s="1297"/>
      <c r="C1083" s="1297"/>
      <c r="D1083" s="1297" t="s">
        <v>936</v>
      </c>
      <c r="H1083" s="1399">
        <v>502466.02</v>
      </c>
      <c r="I1083" s="1399">
        <v>502466.02</v>
      </c>
    </row>
    <row r="1084" spans="2:9">
      <c r="B1084" s="1297"/>
      <c r="C1084" s="1297"/>
      <c r="D1084" s="1297" t="s">
        <v>937</v>
      </c>
      <c r="H1084" s="1399">
        <v>287023.51</v>
      </c>
      <c r="I1084" s="1399">
        <v>287023.51</v>
      </c>
    </row>
    <row r="1085" spans="2:9">
      <c r="B1085" s="1297"/>
      <c r="C1085" s="1297"/>
      <c r="D1085" s="1297" t="s">
        <v>939</v>
      </c>
      <c r="H1085" s="1399">
        <v>1553143.33</v>
      </c>
      <c r="I1085" s="1399">
        <v>1553143.33</v>
      </c>
    </row>
    <row r="1086" spans="2:9">
      <c r="B1086" s="1297"/>
      <c r="C1086" s="1297"/>
      <c r="D1086" s="1297" t="s">
        <v>940</v>
      </c>
      <c r="E1086" s="1399">
        <v>5276056.74</v>
      </c>
      <c r="I1086" s="1399">
        <v>5276056.74</v>
      </c>
    </row>
    <row r="1087" spans="2:9">
      <c r="B1087" s="1297"/>
      <c r="C1087" s="1297"/>
      <c r="D1087" s="1297" t="s">
        <v>941</v>
      </c>
      <c r="E1087" s="1399">
        <v>1216271.72</v>
      </c>
      <c r="I1087" s="1399">
        <v>1216271.72</v>
      </c>
    </row>
    <row r="1088" spans="2:9">
      <c r="B1088" s="1297"/>
      <c r="C1088" s="1297"/>
      <c r="D1088" s="1297" t="s">
        <v>944</v>
      </c>
      <c r="E1088" s="1399">
        <v>10752469.630000001</v>
      </c>
      <c r="I1088" s="1399">
        <v>10752469.630000001</v>
      </c>
    </row>
    <row r="1089" spans="2:9">
      <c r="B1089" s="1297"/>
      <c r="C1089" s="1297"/>
      <c r="D1089" s="1297" t="s">
        <v>945</v>
      </c>
      <c r="E1089" s="1399">
        <v>16107308.73</v>
      </c>
      <c r="I1089" s="1399">
        <v>16107308.73</v>
      </c>
    </row>
    <row r="1090" spans="2:9">
      <c r="B1090" s="1297"/>
      <c r="C1090" s="1297"/>
      <c r="D1090" s="1297" t="s">
        <v>946</v>
      </c>
      <c r="E1090" s="1399">
        <v>817245.67</v>
      </c>
      <c r="I1090" s="1399">
        <v>817245.67</v>
      </c>
    </row>
    <row r="1091" spans="2:9">
      <c r="B1091" s="1297"/>
      <c r="C1091" s="1297"/>
      <c r="D1091" s="1297" t="s">
        <v>1214</v>
      </c>
      <c r="E1091" s="1399">
        <v>172653.83</v>
      </c>
      <c r="I1091" s="1399">
        <v>172653.83</v>
      </c>
    </row>
    <row r="1092" spans="2:9">
      <c r="B1092" s="1297"/>
      <c r="C1092" s="1297"/>
      <c r="D1092" s="1297" t="s">
        <v>947</v>
      </c>
      <c r="E1092" s="1399">
        <v>963178.36</v>
      </c>
      <c r="I1092" s="1399">
        <v>963178.36</v>
      </c>
    </row>
    <row r="1093" spans="2:9">
      <c r="B1093" s="1297"/>
      <c r="C1093" s="1297"/>
      <c r="D1093" s="1297" t="s">
        <v>1116</v>
      </c>
      <c r="G1093" s="1399">
        <v>39854332.030000001</v>
      </c>
      <c r="I1093" s="1399">
        <v>39854332.030000001</v>
      </c>
    </row>
    <row r="1094" spans="2:9">
      <c r="B1094" s="1297"/>
      <c r="C1094" s="1297"/>
      <c r="D1094" s="1297" t="s">
        <v>948</v>
      </c>
      <c r="G1094" s="1399">
        <v>46529339.949999988</v>
      </c>
      <c r="I1094" s="1399">
        <v>46529339.949999988</v>
      </c>
    </row>
    <row r="1095" spans="2:9">
      <c r="B1095" s="1297"/>
      <c r="C1095" s="1297"/>
      <c r="D1095" s="1297" t="s">
        <v>956</v>
      </c>
      <c r="G1095" s="1399">
        <v>201092.54</v>
      </c>
      <c r="I1095" s="1399">
        <v>201092.54</v>
      </c>
    </row>
    <row r="1096" spans="2:9">
      <c r="B1096" s="1297"/>
      <c r="C1096" s="1297"/>
      <c r="D1096" s="1297" t="s">
        <v>1118</v>
      </c>
      <c r="G1096" s="1399">
        <v>15001500</v>
      </c>
      <c r="I1096" s="1399">
        <v>15001500</v>
      </c>
    </row>
    <row r="1097" spans="2:9">
      <c r="B1097" s="1297"/>
      <c r="C1097" s="1400" t="s">
        <v>1055</v>
      </c>
      <c r="D1097" s="1400"/>
      <c r="E1097" s="1401">
        <v>35305184.68</v>
      </c>
      <c r="F1097" s="1401">
        <v>189894439.60999995</v>
      </c>
      <c r="G1097" s="1401">
        <v>101586264.52</v>
      </c>
      <c r="H1097" s="1401">
        <v>182509827.53000003</v>
      </c>
      <c r="I1097" s="1401">
        <v>509295716.34000003</v>
      </c>
    </row>
    <row r="1098" spans="2:9">
      <c r="B1098" s="1297" t="s">
        <v>1056</v>
      </c>
      <c r="C1098" s="1297" t="s">
        <v>1057</v>
      </c>
      <c r="D1098" s="1297" t="s">
        <v>906</v>
      </c>
      <c r="F1098" s="1399">
        <v>68490107.579999998</v>
      </c>
      <c r="I1098" s="1399">
        <v>68490107.579999998</v>
      </c>
    </row>
    <row r="1099" spans="2:9">
      <c r="B1099" s="1297"/>
      <c r="C1099" s="1297"/>
      <c r="D1099" s="1297" t="s">
        <v>952</v>
      </c>
      <c r="F1099" s="1399">
        <v>609106.79</v>
      </c>
      <c r="I1099" s="1399">
        <v>609106.79</v>
      </c>
    </row>
    <row r="1100" spans="2:9">
      <c r="B1100" s="1297"/>
      <c r="C1100" s="1297"/>
      <c r="D1100" s="1297" t="s">
        <v>907</v>
      </c>
      <c r="F1100" s="1399">
        <v>19429331.850000001</v>
      </c>
      <c r="I1100" s="1399">
        <v>19429331.850000001</v>
      </c>
    </row>
    <row r="1101" spans="2:9">
      <c r="B1101" s="1297"/>
      <c r="C1101" s="1297"/>
      <c r="D1101" s="1297" t="s">
        <v>908</v>
      </c>
      <c r="F1101" s="1399">
        <v>45133.78</v>
      </c>
      <c r="I1101" s="1399">
        <v>45133.78</v>
      </c>
    </row>
    <row r="1102" spans="2:9">
      <c r="B1102" s="1297"/>
      <c r="C1102" s="1297"/>
      <c r="D1102" s="1297" t="s">
        <v>909</v>
      </c>
      <c r="F1102" s="1399">
        <v>12678.49</v>
      </c>
      <c r="I1102" s="1399">
        <v>12678.49</v>
      </c>
    </row>
    <row r="1103" spans="2:9">
      <c r="B1103" s="1297"/>
      <c r="C1103" s="1297"/>
      <c r="D1103" s="1297" t="s">
        <v>910</v>
      </c>
      <c r="F1103" s="1399">
        <v>91970.71</v>
      </c>
      <c r="I1103" s="1399">
        <v>91970.71</v>
      </c>
    </row>
    <row r="1104" spans="2:9">
      <c r="B1104" s="1297"/>
      <c r="C1104" s="1297"/>
      <c r="D1104" s="1297" t="s">
        <v>1034</v>
      </c>
      <c r="F1104" s="1399">
        <v>168791.66</v>
      </c>
      <c r="I1104" s="1399">
        <v>168791.66</v>
      </c>
    </row>
    <row r="1105" spans="2:9">
      <c r="B1105" s="1297"/>
      <c r="C1105" s="1297"/>
      <c r="D1105" s="1297" t="s">
        <v>1035</v>
      </c>
      <c r="F1105" s="1399">
        <v>649047.68999999994</v>
      </c>
      <c r="I1105" s="1399">
        <v>649047.68999999994</v>
      </c>
    </row>
    <row r="1106" spans="2:9">
      <c r="B1106" s="1297"/>
      <c r="C1106" s="1297"/>
      <c r="D1106" s="1297" t="s">
        <v>1036</v>
      </c>
      <c r="F1106" s="1399">
        <v>242723.01</v>
      </c>
      <c r="I1106" s="1399">
        <v>242723.01</v>
      </c>
    </row>
    <row r="1107" spans="2:9">
      <c r="B1107" s="1297"/>
      <c r="C1107" s="1297"/>
      <c r="D1107" s="1297" t="s">
        <v>1037</v>
      </c>
      <c r="F1107" s="1399">
        <v>-175</v>
      </c>
      <c r="I1107" s="1399">
        <v>-175</v>
      </c>
    </row>
    <row r="1108" spans="2:9">
      <c r="B1108" s="1297"/>
      <c r="C1108" s="1297"/>
      <c r="D1108" s="1297" t="s">
        <v>1038</v>
      </c>
      <c r="F1108" s="1399">
        <v>7375</v>
      </c>
      <c r="I1108" s="1399">
        <v>7375</v>
      </c>
    </row>
    <row r="1109" spans="2:9">
      <c r="B1109" s="1297"/>
      <c r="C1109" s="1297"/>
      <c r="D1109" s="1297" t="s">
        <v>1003</v>
      </c>
      <c r="F1109" s="1399">
        <v>588763.02</v>
      </c>
      <c r="I1109" s="1399">
        <v>588763.02</v>
      </c>
    </row>
    <row r="1110" spans="2:9">
      <c r="B1110" s="1297"/>
      <c r="C1110" s="1297"/>
      <c r="D1110" s="1297" t="s">
        <v>1039</v>
      </c>
      <c r="F1110" s="1399">
        <v>673062.39999999991</v>
      </c>
      <c r="I1110" s="1399">
        <v>673062.39999999991</v>
      </c>
    </row>
    <row r="1111" spans="2:9">
      <c r="B1111" s="1297"/>
      <c r="C1111" s="1297"/>
      <c r="D1111" s="1297" t="s">
        <v>1040</v>
      </c>
      <c r="F1111" s="1399">
        <v>512392.74</v>
      </c>
      <c r="I1111" s="1399">
        <v>512392.74</v>
      </c>
    </row>
    <row r="1112" spans="2:9">
      <c r="B1112" s="1297"/>
      <c r="C1112" s="1297"/>
      <c r="D1112" s="1297" t="s">
        <v>1041</v>
      </c>
      <c r="F1112" s="1399">
        <v>70720.08</v>
      </c>
      <c r="I1112" s="1399">
        <v>70720.08</v>
      </c>
    </row>
    <row r="1113" spans="2:9">
      <c r="B1113" s="1297"/>
      <c r="C1113" s="1297"/>
      <c r="D1113" s="1297" t="s">
        <v>1042</v>
      </c>
      <c r="F1113" s="1399">
        <v>174894.91</v>
      </c>
      <c r="I1113" s="1399">
        <v>174894.91</v>
      </c>
    </row>
    <row r="1114" spans="2:9">
      <c r="B1114" s="1297"/>
      <c r="C1114" s="1297"/>
      <c r="D1114" s="1297" t="s">
        <v>985</v>
      </c>
      <c r="F1114" s="1399">
        <v>629455.13</v>
      </c>
      <c r="I1114" s="1399">
        <v>629455.13</v>
      </c>
    </row>
    <row r="1115" spans="2:9">
      <c r="B1115" s="1297"/>
      <c r="C1115" s="1297"/>
      <c r="D1115" s="1297" t="s">
        <v>1043</v>
      </c>
      <c r="F1115" s="1399">
        <v>70131.16</v>
      </c>
      <c r="I1115" s="1399">
        <v>70131.16</v>
      </c>
    </row>
    <row r="1116" spans="2:9">
      <c r="B1116" s="1297"/>
      <c r="C1116" s="1297"/>
      <c r="D1116" s="1297" t="s">
        <v>986</v>
      </c>
      <c r="F1116" s="1399">
        <v>2380</v>
      </c>
      <c r="I1116" s="1399">
        <v>2380</v>
      </c>
    </row>
    <row r="1117" spans="2:9">
      <c r="B1117" s="1297"/>
      <c r="C1117" s="1297"/>
      <c r="D1117" s="1297" t="s">
        <v>990</v>
      </c>
      <c r="F1117" s="1399">
        <v>522.28</v>
      </c>
      <c r="I1117" s="1399">
        <v>522.28</v>
      </c>
    </row>
    <row r="1118" spans="2:9">
      <c r="B1118" s="1297"/>
      <c r="C1118" s="1297"/>
      <c r="D1118" s="1297" t="s">
        <v>1044</v>
      </c>
      <c r="F1118" s="1399">
        <v>48612.29</v>
      </c>
      <c r="I1118" s="1399">
        <v>48612.29</v>
      </c>
    </row>
    <row r="1119" spans="2:9">
      <c r="B1119" s="1297"/>
      <c r="C1119" s="1297"/>
      <c r="D1119" s="1297" t="s">
        <v>1045</v>
      </c>
      <c r="F1119" s="1399">
        <v>6001995.7200000007</v>
      </c>
      <c r="I1119" s="1399">
        <v>6001995.7200000007</v>
      </c>
    </row>
    <row r="1120" spans="2:9">
      <c r="B1120" s="1297"/>
      <c r="C1120" s="1297"/>
      <c r="D1120" s="1297" t="s">
        <v>1046</v>
      </c>
      <c r="H1120" s="1399">
        <v>67479183</v>
      </c>
      <c r="I1120" s="1399">
        <v>67479183</v>
      </c>
    </row>
    <row r="1121" spans="2:9">
      <c r="B1121" s="1297"/>
      <c r="C1121" s="1297"/>
      <c r="D1121" s="1297" t="s">
        <v>1128</v>
      </c>
      <c r="H1121" s="1399">
        <v>5068866</v>
      </c>
      <c r="I1121" s="1399">
        <v>5068866</v>
      </c>
    </row>
    <row r="1122" spans="2:9">
      <c r="B1122" s="1297"/>
      <c r="C1122" s="1297"/>
      <c r="D1122" s="1297" t="s">
        <v>1129</v>
      </c>
      <c r="H1122" s="1399">
        <v>-8255182</v>
      </c>
      <c r="I1122" s="1399">
        <v>-8255182</v>
      </c>
    </row>
    <row r="1123" spans="2:9">
      <c r="B1123" s="1297"/>
      <c r="C1123" s="1297"/>
      <c r="D1123" s="1297" t="s">
        <v>1047</v>
      </c>
      <c r="H1123" s="1399">
        <v>1243214</v>
      </c>
      <c r="I1123" s="1399">
        <v>1243214</v>
      </c>
    </row>
    <row r="1124" spans="2:9">
      <c r="B1124" s="1297"/>
      <c r="C1124" s="1297"/>
      <c r="D1124" s="1297" t="s">
        <v>1048</v>
      </c>
      <c r="H1124" s="1399">
        <v>-16403230</v>
      </c>
      <c r="I1124" s="1399">
        <v>-16403230</v>
      </c>
    </row>
    <row r="1125" spans="2:9">
      <c r="B1125" s="1297"/>
      <c r="C1125" s="1297"/>
      <c r="D1125" s="1297" t="s">
        <v>955</v>
      </c>
      <c r="H1125" s="1399">
        <v>3292959.58</v>
      </c>
      <c r="I1125" s="1399">
        <v>3292959.58</v>
      </c>
    </row>
    <row r="1126" spans="2:9">
      <c r="B1126" s="1297"/>
      <c r="C1126" s="1297"/>
      <c r="D1126" s="1297" t="s">
        <v>934</v>
      </c>
      <c r="H1126" s="1399">
        <v>206956</v>
      </c>
      <c r="I1126" s="1399">
        <v>206956</v>
      </c>
    </row>
    <row r="1127" spans="2:9">
      <c r="B1127" s="1297"/>
      <c r="C1127" s="1297"/>
      <c r="D1127" s="1297" t="s">
        <v>1130</v>
      </c>
      <c r="H1127" s="1399">
        <v>252464.64000000001</v>
      </c>
      <c r="I1127" s="1399">
        <v>252464.64000000001</v>
      </c>
    </row>
    <row r="1128" spans="2:9">
      <c r="B1128" s="1297"/>
      <c r="C1128" s="1297"/>
      <c r="D1128" s="1297" t="s">
        <v>935</v>
      </c>
      <c r="H1128" s="1399">
        <v>1096291.1800000002</v>
      </c>
      <c r="I1128" s="1399">
        <v>1096291.1800000002</v>
      </c>
    </row>
    <row r="1129" spans="2:9">
      <c r="B1129" s="1297"/>
      <c r="C1129" s="1297"/>
      <c r="D1129" s="1297" t="s">
        <v>936</v>
      </c>
      <c r="H1129" s="1399">
        <v>297978.11</v>
      </c>
      <c r="I1129" s="1399">
        <v>297978.11</v>
      </c>
    </row>
    <row r="1130" spans="2:9">
      <c r="B1130" s="1297"/>
      <c r="C1130" s="1297"/>
      <c r="D1130" s="1297" t="s">
        <v>937</v>
      </c>
      <c r="H1130" s="1399">
        <v>160592.24</v>
      </c>
      <c r="I1130" s="1399">
        <v>160592.24</v>
      </c>
    </row>
    <row r="1131" spans="2:9">
      <c r="B1131" s="1297"/>
      <c r="C1131" s="1297"/>
      <c r="D1131" s="1297" t="s">
        <v>938</v>
      </c>
      <c r="H1131" s="1399">
        <v>81227</v>
      </c>
      <c r="I1131" s="1399">
        <v>81227</v>
      </c>
    </row>
    <row r="1132" spans="2:9">
      <c r="B1132" s="1297"/>
      <c r="C1132" s="1297"/>
      <c r="D1132" s="1297" t="s">
        <v>939</v>
      </c>
      <c r="H1132" s="1399">
        <v>139194.88999999998</v>
      </c>
      <c r="I1132" s="1399">
        <v>139194.88999999998</v>
      </c>
    </row>
    <row r="1133" spans="2:9">
      <c r="B1133" s="1297"/>
      <c r="C1133" s="1297"/>
      <c r="D1133" s="1297" t="s">
        <v>1131</v>
      </c>
      <c r="E1133" s="1399">
        <v>6390676.7800000012</v>
      </c>
      <c r="I1133" s="1399">
        <v>6390676.7800000012</v>
      </c>
    </row>
    <row r="1134" spans="2:9">
      <c r="B1134" s="1297"/>
      <c r="C1134" s="1297"/>
      <c r="D1134" s="1297" t="s">
        <v>940</v>
      </c>
      <c r="E1134" s="1399">
        <v>4098727.38</v>
      </c>
      <c r="I1134" s="1399">
        <v>4098727.38</v>
      </c>
    </row>
    <row r="1135" spans="2:9">
      <c r="B1135" s="1297"/>
      <c r="C1135" s="1297"/>
      <c r="D1135" s="1297" t="s">
        <v>941</v>
      </c>
      <c r="E1135" s="1399">
        <v>1717697.29</v>
      </c>
      <c r="I1135" s="1399">
        <v>1717697.29</v>
      </c>
    </row>
    <row r="1136" spans="2:9">
      <c r="B1136" s="1297"/>
      <c r="C1136" s="1297"/>
      <c r="D1136" s="1297" t="s">
        <v>943</v>
      </c>
      <c r="E1136" s="1399">
        <v>156080.81</v>
      </c>
      <c r="I1136" s="1399">
        <v>156080.81</v>
      </c>
    </row>
    <row r="1137" spans="2:9">
      <c r="B1137" s="1297"/>
      <c r="C1137" s="1297"/>
      <c r="D1137" s="1297" t="s">
        <v>944</v>
      </c>
      <c r="E1137" s="1399">
        <v>11448542.740000002</v>
      </c>
      <c r="I1137" s="1399">
        <v>11448542.740000002</v>
      </c>
    </row>
    <row r="1138" spans="2:9">
      <c r="B1138" s="1297"/>
      <c r="C1138" s="1297"/>
      <c r="D1138" s="1297" t="s">
        <v>945</v>
      </c>
      <c r="E1138" s="1399">
        <v>5072659.3499999996</v>
      </c>
      <c r="I1138" s="1399">
        <v>5072659.3499999996</v>
      </c>
    </row>
    <row r="1139" spans="2:9">
      <c r="B1139" s="1297"/>
      <c r="C1139" s="1297"/>
      <c r="D1139" s="1297" t="s">
        <v>978</v>
      </c>
      <c r="E1139" s="1399">
        <v>1200</v>
      </c>
      <c r="I1139" s="1399">
        <v>1200</v>
      </c>
    </row>
    <row r="1140" spans="2:9">
      <c r="B1140" s="1297"/>
      <c r="C1140" s="1297"/>
      <c r="D1140" s="1297" t="s">
        <v>1006</v>
      </c>
      <c r="E1140" s="1399">
        <v>48928.26</v>
      </c>
      <c r="I1140" s="1399">
        <v>48928.26</v>
      </c>
    </row>
    <row r="1141" spans="2:9">
      <c r="B1141" s="1297"/>
      <c r="C1141" s="1297"/>
      <c r="D1141" s="1297" t="s">
        <v>947</v>
      </c>
      <c r="E1141" s="1399">
        <v>367189.77</v>
      </c>
      <c r="I1141" s="1399">
        <v>367189.77</v>
      </c>
    </row>
    <row r="1142" spans="2:9">
      <c r="B1142" s="1297"/>
      <c r="C1142" s="1297"/>
      <c r="D1142" s="1297" t="s">
        <v>948</v>
      </c>
      <c r="G1142" s="1399">
        <v>11689602.279999999</v>
      </c>
      <c r="I1142" s="1399">
        <v>11689602.279999999</v>
      </c>
    </row>
    <row r="1143" spans="2:9">
      <c r="B1143" s="1297"/>
      <c r="C1143" s="1400" t="s">
        <v>1058</v>
      </c>
      <c r="D1143" s="1400"/>
      <c r="E1143" s="1401">
        <v>29301702.380000003</v>
      </c>
      <c r="F1143" s="1401">
        <v>98519021.289999977</v>
      </c>
      <c r="G1143" s="1401">
        <v>11689602.279999999</v>
      </c>
      <c r="H1143" s="1401">
        <v>54660514.640000001</v>
      </c>
      <c r="I1143" s="1401">
        <v>194170840.58999997</v>
      </c>
    </row>
    <row r="1144" spans="2:9">
      <c r="B1144" s="1297" t="s">
        <v>1059</v>
      </c>
      <c r="C1144" s="1297" t="s">
        <v>1060</v>
      </c>
      <c r="D1144" s="1297" t="s">
        <v>906</v>
      </c>
      <c r="F1144" s="1399">
        <v>1315800.8999999999</v>
      </c>
      <c r="I1144" s="1399">
        <v>1315800.8999999999</v>
      </c>
    </row>
    <row r="1145" spans="2:9">
      <c r="B1145" s="1297"/>
      <c r="C1145" s="1297"/>
      <c r="D1145" s="1297" t="s">
        <v>952</v>
      </c>
      <c r="F1145" s="1399">
        <v>9512.19</v>
      </c>
      <c r="I1145" s="1399">
        <v>9512.19</v>
      </c>
    </row>
    <row r="1146" spans="2:9">
      <c r="B1146" s="1297"/>
      <c r="C1146" s="1297"/>
      <c r="D1146" s="1297" t="s">
        <v>907</v>
      </c>
      <c r="F1146" s="1399">
        <v>264525.75</v>
      </c>
      <c r="I1146" s="1399">
        <v>264525.75</v>
      </c>
    </row>
    <row r="1147" spans="2:9">
      <c r="B1147" s="1297"/>
      <c r="C1147" s="1297"/>
      <c r="D1147" s="1297" t="s">
        <v>1122</v>
      </c>
      <c r="F1147" s="1399">
        <v>-56312</v>
      </c>
      <c r="I1147" s="1399">
        <v>-56312</v>
      </c>
    </row>
    <row r="1148" spans="2:9">
      <c r="B1148" s="1297"/>
      <c r="C1148" s="1297"/>
      <c r="D1148" s="1297" t="s">
        <v>909</v>
      </c>
      <c r="F1148" s="1399">
        <v>1360.9</v>
      </c>
      <c r="I1148" s="1399">
        <v>1360.9</v>
      </c>
    </row>
    <row r="1149" spans="2:9">
      <c r="B1149" s="1297"/>
      <c r="C1149" s="1297"/>
      <c r="D1149" s="1297" t="s">
        <v>1035</v>
      </c>
      <c r="F1149" s="1399">
        <v>42039.78</v>
      </c>
      <c r="I1149" s="1399">
        <v>42039.78</v>
      </c>
    </row>
    <row r="1150" spans="2:9">
      <c r="B1150" s="1297"/>
      <c r="C1150" s="1297"/>
      <c r="D1150" s="1297" t="s">
        <v>1036</v>
      </c>
      <c r="F1150" s="1399">
        <v>1768.25</v>
      </c>
      <c r="I1150" s="1399">
        <v>1768.25</v>
      </c>
    </row>
    <row r="1151" spans="2:9">
      <c r="B1151" s="1297"/>
      <c r="C1151" s="1297"/>
      <c r="D1151" s="1297" t="s">
        <v>1039</v>
      </c>
      <c r="F1151" s="1399">
        <v>419.88</v>
      </c>
      <c r="I1151" s="1399">
        <v>419.88</v>
      </c>
    </row>
    <row r="1152" spans="2:9">
      <c r="B1152" s="1297"/>
      <c r="C1152" s="1297"/>
      <c r="D1152" s="1297" t="s">
        <v>1042</v>
      </c>
      <c r="F1152" s="1399">
        <v>7969.85</v>
      </c>
      <c r="I1152" s="1399">
        <v>7969.85</v>
      </c>
    </row>
    <row r="1153" spans="2:9">
      <c r="B1153" s="1297"/>
      <c r="C1153" s="1297"/>
      <c r="D1153" s="1297" t="s">
        <v>1045</v>
      </c>
      <c r="F1153" s="1399">
        <v>24965.88</v>
      </c>
      <c r="I1153" s="1399">
        <v>24965.88</v>
      </c>
    </row>
    <row r="1154" spans="2:9">
      <c r="B1154" s="1297"/>
      <c r="C1154" s="1297"/>
      <c r="D1154" s="1297" t="s">
        <v>1046</v>
      </c>
      <c r="H1154" s="1399">
        <v>1850400</v>
      </c>
      <c r="I1154" s="1399">
        <v>1850400</v>
      </c>
    </row>
    <row r="1155" spans="2:9">
      <c r="B1155" s="1297"/>
      <c r="C1155" s="1297"/>
      <c r="D1155" s="1297" t="s">
        <v>1047</v>
      </c>
      <c r="H1155" s="1399">
        <v>299921</v>
      </c>
      <c r="I1155" s="1399">
        <v>299921</v>
      </c>
    </row>
    <row r="1156" spans="2:9">
      <c r="B1156" s="1297"/>
      <c r="C1156" s="1297"/>
      <c r="D1156" s="1297" t="s">
        <v>1048</v>
      </c>
      <c r="H1156" s="1399">
        <v>-476950</v>
      </c>
      <c r="I1156" s="1399">
        <v>-476950</v>
      </c>
    </row>
    <row r="1157" spans="2:9">
      <c r="B1157" s="1297"/>
      <c r="C1157" s="1297"/>
      <c r="D1157" s="1297" t="s">
        <v>955</v>
      </c>
      <c r="H1157" s="1399">
        <v>260053.14</v>
      </c>
      <c r="I1157" s="1399">
        <v>260053.14</v>
      </c>
    </row>
    <row r="1158" spans="2:9">
      <c r="B1158" s="1297"/>
      <c r="C1158" s="1297"/>
      <c r="D1158" s="1297" t="s">
        <v>934</v>
      </c>
      <c r="H1158" s="1399">
        <v>7190</v>
      </c>
      <c r="I1158" s="1399">
        <v>7190</v>
      </c>
    </row>
    <row r="1159" spans="2:9">
      <c r="B1159" s="1297"/>
      <c r="C1159" s="1297"/>
      <c r="D1159" s="1297" t="s">
        <v>935</v>
      </c>
      <c r="H1159" s="1399">
        <v>12692.05</v>
      </c>
      <c r="I1159" s="1399">
        <v>12692.05</v>
      </c>
    </row>
    <row r="1160" spans="2:9">
      <c r="B1160" s="1297"/>
      <c r="C1160" s="1297"/>
      <c r="D1160" s="1297" t="s">
        <v>936</v>
      </c>
      <c r="H1160" s="1399">
        <v>9804.2099999999991</v>
      </c>
      <c r="I1160" s="1399">
        <v>9804.2099999999991</v>
      </c>
    </row>
    <row r="1161" spans="2:9">
      <c r="B1161" s="1297"/>
      <c r="C1161" s="1297"/>
      <c r="D1161" s="1297" t="s">
        <v>937</v>
      </c>
      <c r="H1161" s="1399">
        <v>4954.9799999999996</v>
      </c>
      <c r="I1161" s="1399">
        <v>4954.9799999999996</v>
      </c>
    </row>
    <row r="1162" spans="2:9">
      <c r="B1162" s="1297"/>
      <c r="C1162" s="1297"/>
      <c r="D1162" s="1297" t="s">
        <v>938</v>
      </c>
      <c r="H1162" s="1399">
        <v>2246</v>
      </c>
      <c r="I1162" s="1399">
        <v>2246</v>
      </c>
    </row>
    <row r="1163" spans="2:9">
      <c r="B1163" s="1297"/>
      <c r="C1163" s="1297"/>
      <c r="D1163" s="1297" t="s">
        <v>939</v>
      </c>
      <c r="H1163" s="1399">
        <v>6292.34</v>
      </c>
      <c r="I1163" s="1399">
        <v>6292.34</v>
      </c>
    </row>
    <row r="1164" spans="2:9">
      <c r="B1164" s="1297"/>
      <c r="C1164" s="1297"/>
      <c r="D1164" s="1297" t="s">
        <v>940</v>
      </c>
      <c r="E1164" s="1399">
        <v>134371.42000000001</v>
      </c>
      <c r="I1164" s="1399">
        <v>134371.42000000001</v>
      </c>
    </row>
    <row r="1165" spans="2:9">
      <c r="B1165" s="1297"/>
      <c r="C1165" s="1297"/>
      <c r="D1165" s="1297" t="s">
        <v>941</v>
      </c>
      <c r="E1165" s="1399">
        <v>76014.960000000006</v>
      </c>
      <c r="I1165" s="1399">
        <v>76014.960000000006</v>
      </c>
    </row>
    <row r="1166" spans="2:9">
      <c r="B1166" s="1297"/>
      <c r="C1166" s="1297"/>
      <c r="D1166" s="1297" t="s">
        <v>943</v>
      </c>
      <c r="E1166" s="1399">
        <v>2408.6999999999998</v>
      </c>
      <c r="I1166" s="1399">
        <v>2408.6999999999998</v>
      </c>
    </row>
    <row r="1167" spans="2:9">
      <c r="B1167" s="1297"/>
      <c r="C1167" s="1297"/>
      <c r="D1167" s="1297" t="s">
        <v>944</v>
      </c>
      <c r="E1167" s="1399">
        <v>624122.82000000007</v>
      </c>
      <c r="I1167" s="1399">
        <v>624122.82000000007</v>
      </c>
    </row>
    <row r="1168" spans="2:9">
      <c r="B1168" s="1297"/>
      <c r="C1168" s="1297"/>
      <c r="D1168" s="1297" t="s">
        <v>945</v>
      </c>
      <c r="E1168" s="1399">
        <v>375110.44</v>
      </c>
      <c r="I1168" s="1399">
        <v>375110.44</v>
      </c>
    </row>
    <row r="1169" spans="2:9">
      <c r="B1169" s="1297"/>
      <c r="C1169" s="1297"/>
      <c r="D1169" s="1297" t="s">
        <v>946</v>
      </c>
      <c r="E1169" s="1399">
        <v>41175</v>
      </c>
      <c r="I1169" s="1399">
        <v>41175</v>
      </c>
    </row>
    <row r="1170" spans="2:9">
      <c r="B1170" s="1297"/>
      <c r="C1170" s="1297"/>
      <c r="D1170" s="1297" t="s">
        <v>1006</v>
      </c>
      <c r="E1170" s="1399">
        <v>110018.99</v>
      </c>
      <c r="I1170" s="1399">
        <v>110018.99</v>
      </c>
    </row>
    <row r="1171" spans="2:9">
      <c r="B1171" s="1297"/>
      <c r="C1171" s="1297"/>
      <c r="D1171" s="1297" t="s">
        <v>947</v>
      </c>
      <c r="E1171" s="1399">
        <v>9891.4</v>
      </c>
      <c r="I1171" s="1399">
        <v>9891.4</v>
      </c>
    </row>
    <row r="1172" spans="2:9">
      <c r="B1172" s="1297"/>
      <c r="C1172" s="1297"/>
      <c r="D1172" s="1297" t="s">
        <v>948</v>
      </c>
      <c r="G1172" s="1399">
        <v>21378.68</v>
      </c>
      <c r="I1172" s="1399">
        <v>21378.68</v>
      </c>
    </row>
    <row r="1173" spans="2:9">
      <c r="B1173" s="1297"/>
      <c r="C1173" s="1400" t="s">
        <v>1061</v>
      </c>
      <c r="D1173" s="1400"/>
      <c r="E1173" s="1401">
        <v>1373113.73</v>
      </c>
      <c r="F1173" s="1401">
        <v>1612051.3799999997</v>
      </c>
      <c r="G1173" s="1401">
        <v>21378.68</v>
      </c>
      <c r="H1173" s="1401">
        <v>1976603.7200000002</v>
      </c>
      <c r="I1173" s="1401">
        <v>4983147.5100000007</v>
      </c>
    </row>
    <row r="1174" spans="2:9">
      <c r="B1174" s="1297" t="s">
        <v>1062</v>
      </c>
      <c r="C1174" s="1297" t="s">
        <v>1063</v>
      </c>
      <c r="D1174" s="1297" t="s">
        <v>906</v>
      </c>
      <c r="F1174" s="1399">
        <v>131952999.45999999</v>
      </c>
      <c r="I1174" s="1399">
        <v>131952999.45999999</v>
      </c>
    </row>
    <row r="1175" spans="2:9">
      <c r="B1175" s="1297"/>
      <c r="C1175" s="1297"/>
      <c r="D1175" s="1297" t="s">
        <v>952</v>
      </c>
      <c r="F1175" s="1399">
        <v>821708.85</v>
      </c>
      <c r="I1175" s="1399">
        <v>821708.85</v>
      </c>
    </row>
    <row r="1176" spans="2:9">
      <c r="B1176" s="1297"/>
      <c r="C1176" s="1297"/>
      <c r="D1176" s="1297" t="s">
        <v>907</v>
      </c>
      <c r="F1176" s="1399">
        <v>48115084.350000001</v>
      </c>
      <c r="I1176" s="1399">
        <v>48115084.350000001</v>
      </c>
    </row>
    <row r="1177" spans="2:9">
      <c r="B1177" s="1297"/>
      <c r="C1177" s="1297"/>
      <c r="D1177" s="1297" t="s">
        <v>908</v>
      </c>
      <c r="F1177" s="1399">
        <v>5988.02</v>
      </c>
      <c r="I1177" s="1399">
        <v>5988.02</v>
      </c>
    </row>
    <row r="1178" spans="2:9">
      <c r="B1178" s="1297"/>
      <c r="C1178" s="1297"/>
      <c r="D1178" s="1297" t="s">
        <v>909</v>
      </c>
      <c r="F1178" s="1399">
        <v>658670.5199999999</v>
      </c>
      <c r="I1178" s="1399">
        <v>658670.5199999999</v>
      </c>
    </row>
    <row r="1179" spans="2:9">
      <c r="B1179" s="1297"/>
      <c r="C1179" s="1297"/>
      <c r="D1179" s="1297" t="s">
        <v>910</v>
      </c>
      <c r="F1179" s="1399">
        <v>1511979.05</v>
      </c>
      <c r="I1179" s="1399">
        <v>1511979.05</v>
      </c>
    </row>
    <row r="1180" spans="2:9">
      <c r="B1180" s="1297"/>
      <c r="C1180" s="1297"/>
      <c r="D1180" s="1297" t="s">
        <v>1034</v>
      </c>
      <c r="F1180" s="1399">
        <v>103005.92000000001</v>
      </c>
      <c r="I1180" s="1399">
        <v>103005.92000000001</v>
      </c>
    </row>
    <row r="1181" spans="2:9">
      <c r="B1181" s="1297"/>
      <c r="C1181" s="1297"/>
      <c r="D1181" s="1297" t="s">
        <v>1035</v>
      </c>
      <c r="F1181" s="1399">
        <v>1024007.9999999999</v>
      </c>
      <c r="I1181" s="1399">
        <v>1024007.9999999999</v>
      </c>
    </row>
    <row r="1182" spans="2:9">
      <c r="B1182" s="1297"/>
      <c r="C1182" s="1297"/>
      <c r="D1182" s="1297" t="s">
        <v>1036</v>
      </c>
      <c r="F1182" s="1399">
        <v>150979.90999999997</v>
      </c>
      <c r="I1182" s="1399">
        <v>150979.90999999997</v>
      </c>
    </row>
    <row r="1183" spans="2:9">
      <c r="B1183" s="1297"/>
      <c r="C1183" s="1297"/>
      <c r="D1183" s="1297" t="s">
        <v>1037</v>
      </c>
      <c r="F1183" s="1399">
        <v>2599948.66</v>
      </c>
      <c r="I1183" s="1399">
        <v>2599948.66</v>
      </c>
    </row>
    <row r="1184" spans="2:9">
      <c r="B1184" s="1297"/>
      <c r="C1184" s="1297"/>
      <c r="D1184" s="1297" t="s">
        <v>1064</v>
      </c>
      <c r="F1184" s="1399">
        <v>115847.8</v>
      </c>
      <c r="I1184" s="1399">
        <v>115847.8</v>
      </c>
    </row>
    <row r="1185" spans="2:9">
      <c r="B1185" s="1297"/>
      <c r="C1185" s="1297"/>
      <c r="D1185" s="1297" t="s">
        <v>1038</v>
      </c>
      <c r="F1185" s="1399">
        <v>19316</v>
      </c>
      <c r="I1185" s="1399">
        <v>19316</v>
      </c>
    </row>
    <row r="1186" spans="2:9">
      <c r="B1186" s="1297"/>
      <c r="C1186" s="1297"/>
      <c r="D1186" s="1297" t="s">
        <v>1039</v>
      </c>
      <c r="F1186" s="1399">
        <v>426430.38000000012</v>
      </c>
      <c r="I1186" s="1399">
        <v>426430.38000000012</v>
      </c>
    </row>
    <row r="1187" spans="2:9">
      <c r="B1187" s="1297"/>
      <c r="C1187" s="1297"/>
      <c r="D1187" s="1297" t="s">
        <v>1040</v>
      </c>
      <c r="F1187" s="1399">
        <v>1328257.0400000003</v>
      </c>
      <c r="I1187" s="1399">
        <v>1328257.0400000003</v>
      </c>
    </row>
    <row r="1188" spans="2:9">
      <c r="B1188" s="1297"/>
      <c r="C1188" s="1297"/>
      <c r="D1188" s="1297" t="s">
        <v>1127</v>
      </c>
      <c r="F1188" s="1399">
        <v>216939.29999999987</v>
      </c>
      <c r="I1188" s="1399">
        <v>216939.29999999987</v>
      </c>
    </row>
    <row r="1189" spans="2:9">
      <c r="B1189" s="1297"/>
      <c r="C1189" s="1297"/>
      <c r="D1189" s="1297" t="s">
        <v>1041</v>
      </c>
      <c r="F1189" s="1399">
        <v>106948.84999999998</v>
      </c>
      <c r="I1189" s="1399">
        <v>106948.84999999998</v>
      </c>
    </row>
    <row r="1190" spans="2:9">
      <c r="B1190" s="1297"/>
      <c r="C1190" s="1297"/>
      <c r="D1190" s="1297" t="s">
        <v>1042</v>
      </c>
      <c r="F1190" s="1399">
        <v>383676.25</v>
      </c>
      <c r="I1190" s="1399">
        <v>383676.25</v>
      </c>
    </row>
    <row r="1191" spans="2:9">
      <c r="B1191" s="1297"/>
      <c r="C1191" s="1297"/>
      <c r="D1191" s="1297" t="s">
        <v>985</v>
      </c>
      <c r="F1191" s="1399">
        <v>1450253.65</v>
      </c>
      <c r="I1191" s="1399">
        <v>1450253.65</v>
      </c>
    </row>
    <row r="1192" spans="2:9">
      <c r="B1192" s="1297"/>
      <c r="C1192" s="1297"/>
      <c r="D1192" s="1297" t="s">
        <v>986</v>
      </c>
      <c r="F1192" s="1399">
        <v>40547.299999999988</v>
      </c>
      <c r="I1192" s="1399">
        <v>40547.299999999988</v>
      </c>
    </row>
    <row r="1193" spans="2:9">
      <c r="B1193" s="1297"/>
      <c r="C1193" s="1297"/>
      <c r="D1193" s="1297" t="s">
        <v>1044</v>
      </c>
      <c r="F1193" s="1399">
        <v>2447497.4</v>
      </c>
      <c r="I1193" s="1399">
        <v>2447497.4</v>
      </c>
    </row>
    <row r="1194" spans="2:9">
      <c r="B1194" s="1297"/>
      <c r="C1194" s="1297"/>
      <c r="D1194" s="1297" t="s">
        <v>1045</v>
      </c>
      <c r="F1194" s="1399">
        <v>17288235.569999993</v>
      </c>
      <c r="I1194" s="1399">
        <v>17288235.569999993</v>
      </c>
    </row>
    <row r="1195" spans="2:9">
      <c r="B1195" s="1297"/>
      <c r="C1195" s="1297"/>
      <c r="D1195" s="1297" t="s">
        <v>1046</v>
      </c>
      <c r="H1195" s="1399">
        <v>242041236</v>
      </c>
      <c r="I1195" s="1399">
        <v>242041236</v>
      </c>
    </row>
    <row r="1196" spans="2:9">
      <c r="B1196" s="1297"/>
      <c r="C1196" s="1297"/>
      <c r="D1196" s="1297" t="s">
        <v>1128</v>
      </c>
      <c r="H1196" s="1399">
        <v>21203085</v>
      </c>
      <c r="I1196" s="1399">
        <v>21203085</v>
      </c>
    </row>
    <row r="1197" spans="2:9">
      <c r="B1197" s="1297"/>
      <c r="C1197" s="1297"/>
      <c r="D1197" s="1297" t="s">
        <v>1129</v>
      </c>
      <c r="H1197" s="1399">
        <v>-32768254</v>
      </c>
      <c r="I1197" s="1399">
        <v>-32768254</v>
      </c>
    </row>
    <row r="1198" spans="2:9">
      <c r="B1198" s="1297"/>
      <c r="C1198" s="1297"/>
      <c r="D1198" s="1297" t="s">
        <v>1047</v>
      </c>
      <c r="H1198" s="1399">
        <v>3059583</v>
      </c>
      <c r="I1198" s="1399">
        <v>3059583</v>
      </c>
    </row>
    <row r="1199" spans="2:9">
      <c r="B1199" s="1297"/>
      <c r="C1199" s="1297"/>
      <c r="D1199" s="1297" t="s">
        <v>1048</v>
      </c>
      <c r="H1199" s="1399">
        <v>-41379980</v>
      </c>
      <c r="I1199" s="1399">
        <v>-41379980</v>
      </c>
    </row>
    <row r="1200" spans="2:9">
      <c r="B1200" s="1297"/>
      <c r="C1200" s="1297"/>
      <c r="D1200" s="1297" t="s">
        <v>932</v>
      </c>
      <c r="H1200" s="1399">
        <v>17960563</v>
      </c>
      <c r="I1200" s="1399">
        <v>17960563</v>
      </c>
    </row>
    <row r="1201" spans="2:9">
      <c r="B1201" s="1297"/>
      <c r="C1201" s="1297"/>
      <c r="D1201" s="1297" t="s">
        <v>955</v>
      </c>
      <c r="H1201" s="1399">
        <v>2841879.7199999997</v>
      </c>
      <c r="I1201" s="1399">
        <v>2841879.7199999997</v>
      </c>
    </row>
    <row r="1202" spans="2:9">
      <c r="B1202" s="1297"/>
      <c r="C1202" s="1297"/>
      <c r="D1202" s="1297" t="s">
        <v>934</v>
      </c>
      <c r="H1202" s="1399">
        <v>812392</v>
      </c>
      <c r="I1202" s="1399">
        <v>812392</v>
      </c>
    </row>
    <row r="1203" spans="2:9">
      <c r="B1203" s="1297"/>
      <c r="C1203" s="1297"/>
      <c r="D1203" s="1297" t="s">
        <v>935</v>
      </c>
      <c r="H1203" s="1399">
        <v>5649180.4400000004</v>
      </c>
      <c r="I1203" s="1399">
        <v>5649180.4400000004</v>
      </c>
    </row>
    <row r="1204" spans="2:9">
      <c r="B1204" s="1297"/>
      <c r="C1204" s="1297"/>
      <c r="D1204" s="1297" t="s">
        <v>939</v>
      </c>
      <c r="H1204" s="1399">
        <v>6644581.2999999998</v>
      </c>
      <c r="I1204" s="1399">
        <v>6644581.2999999998</v>
      </c>
    </row>
    <row r="1205" spans="2:9">
      <c r="B1205" s="1297"/>
      <c r="C1205" s="1297"/>
      <c r="D1205" s="1297" t="s">
        <v>1131</v>
      </c>
      <c r="E1205" s="1399">
        <v>638681.69000000006</v>
      </c>
      <c r="I1205" s="1399">
        <v>638681.69000000006</v>
      </c>
    </row>
    <row r="1206" spans="2:9">
      <c r="B1206" s="1297"/>
      <c r="C1206" s="1297"/>
      <c r="D1206" s="1297" t="s">
        <v>940</v>
      </c>
      <c r="E1206" s="1399">
        <v>17164089.259999998</v>
      </c>
      <c r="I1206" s="1399">
        <v>17164089.259999998</v>
      </c>
    </row>
    <row r="1207" spans="2:9">
      <c r="B1207" s="1297"/>
      <c r="C1207" s="1297"/>
      <c r="D1207" s="1297" t="s">
        <v>941</v>
      </c>
      <c r="E1207" s="1399">
        <v>5396067.5000000019</v>
      </c>
      <c r="I1207" s="1399">
        <v>5396067.5000000019</v>
      </c>
    </row>
    <row r="1208" spans="2:9">
      <c r="B1208" s="1297"/>
      <c r="C1208" s="1297"/>
      <c r="D1208" s="1297" t="s">
        <v>943</v>
      </c>
      <c r="E1208" s="1399">
        <v>258992.43000000002</v>
      </c>
      <c r="I1208" s="1399">
        <v>258992.43000000002</v>
      </c>
    </row>
    <row r="1209" spans="2:9">
      <c r="B1209" s="1297"/>
      <c r="C1209" s="1297"/>
      <c r="D1209" s="1297" t="s">
        <v>944</v>
      </c>
      <c r="E1209" s="1399">
        <v>20279266.250000004</v>
      </c>
      <c r="I1209" s="1399">
        <v>20279266.250000004</v>
      </c>
    </row>
    <row r="1210" spans="2:9">
      <c r="B1210" s="1297"/>
      <c r="C1210" s="1297"/>
      <c r="D1210" s="1297" t="s">
        <v>945</v>
      </c>
      <c r="E1210" s="1399">
        <v>19913858.969999999</v>
      </c>
      <c r="I1210" s="1399">
        <v>19913858.969999999</v>
      </c>
    </row>
    <row r="1211" spans="2:9">
      <c r="B1211" s="1297"/>
      <c r="C1211" s="1297"/>
      <c r="D1211" s="1297" t="s">
        <v>946</v>
      </c>
      <c r="E1211" s="1399">
        <v>659841.61</v>
      </c>
      <c r="I1211" s="1399">
        <v>659841.61</v>
      </c>
    </row>
    <row r="1212" spans="2:9">
      <c r="B1212" s="1297"/>
      <c r="C1212" s="1297"/>
      <c r="D1212" s="1297" t="s">
        <v>947</v>
      </c>
      <c r="E1212" s="1399">
        <v>1454301.3800000001</v>
      </c>
      <c r="I1212" s="1399">
        <v>1454301.3800000001</v>
      </c>
    </row>
    <row r="1213" spans="2:9">
      <c r="B1213" s="1297"/>
      <c r="C1213" s="1297"/>
      <c r="D1213" s="1297" t="s">
        <v>948</v>
      </c>
      <c r="G1213" s="1399">
        <v>2092591.8999999997</v>
      </c>
      <c r="I1213" s="1399">
        <v>2092591.8999999997</v>
      </c>
    </row>
    <row r="1214" spans="2:9">
      <c r="B1214" s="1297"/>
      <c r="C1214" s="1400" t="s">
        <v>1065</v>
      </c>
      <c r="D1214" s="1400"/>
      <c r="E1214" s="1401">
        <v>65765099.090000011</v>
      </c>
      <c r="F1214" s="1401">
        <v>210768322.28000003</v>
      </c>
      <c r="G1214" s="1401">
        <v>2092591.8999999997</v>
      </c>
      <c r="H1214" s="1401">
        <v>226064266.46000001</v>
      </c>
      <c r="I1214" s="1401">
        <v>504690279.73000002</v>
      </c>
    </row>
    <row r="1215" spans="2:9">
      <c r="B1215" s="1297" t="s">
        <v>1066</v>
      </c>
      <c r="C1215" s="1297" t="s">
        <v>1067</v>
      </c>
      <c r="D1215" s="1297" t="s">
        <v>906</v>
      </c>
      <c r="F1215" s="1399">
        <v>3763426.17</v>
      </c>
      <c r="I1215" s="1399">
        <v>3763426.17</v>
      </c>
    </row>
    <row r="1216" spans="2:9">
      <c r="B1216" s="1297"/>
      <c r="C1216" s="1297"/>
      <c r="D1216" s="1297" t="s">
        <v>952</v>
      </c>
      <c r="F1216" s="1399">
        <v>14921.34</v>
      </c>
      <c r="I1216" s="1399">
        <v>14921.34</v>
      </c>
    </row>
    <row r="1217" spans="2:9">
      <c r="B1217" s="1297"/>
      <c r="C1217" s="1297"/>
      <c r="D1217" s="1297" t="s">
        <v>907</v>
      </c>
      <c r="F1217" s="1399">
        <v>756126.68</v>
      </c>
      <c r="I1217" s="1399">
        <v>756126.68</v>
      </c>
    </row>
    <row r="1218" spans="2:9">
      <c r="B1218" s="1297"/>
      <c r="C1218" s="1297"/>
      <c r="D1218" s="1297" t="s">
        <v>995</v>
      </c>
      <c r="F1218" s="1399">
        <v>66031.570000000007</v>
      </c>
      <c r="I1218" s="1399">
        <v>66031.570000000007</v>
      </c>
    </row>
    <row r="1219" spans="2:9">
      <c r="B1219" s="1297"/>
      <c r="C1219" s="1297"/>
      <c r="D1219" s="1297" t="s">
        <v>908</v>
      </c>
      <c r="F1219" s="1399">
        <v>-75.55</v>
      </c>
      <c r="I1219" s="1399">
        <v>-75.55</v>
      </c>
    </row>
    <row r="1220" spans="2:9">
      <c r="B1220" s="1297"/>
      <c r="C1220" s="1297"/>
      <c r="D1220" s="1297" t="s">
        <v>1034</v>
      </c>
      <c r="F1220" s="1399">
        <v>4000</v>
      </c>
      <c r="I1220" s="1399">
        <v>4000</v>
      </c>
    </row>
    <row r="1221" spans="2:9">
      <c r="B1221" s="1297"/>
      <c r="C1221" s="1297"/>
      <c r="D1221" s="1297" t="s">
        <v>1039</v>
      </c>
      <c r="F1221" s="1399">
        <v>79047.680000000008</v>
      </c>
      <c r="I1221" s="1399">
        <v>79047.680000000008</v>
      </c>
    </row>
    <row r="1222" spans="2:9">
      <c r="B1222" s="1297"/>
      <c r="C1222" s="1297"/>
      <c r="D1222" s="1297" t="s">
        <v>1040</v>
      </c>
      <c r="F1222" s="1399">
        <v>62342.78</v>
      </c>
      <c r="I1222" s="1399">
        <v>62342.78</v>
      </c>
    </row>
    <row r="1223" spans="2:9">
      <c r="B1223" s="1297"/>
      <c r="C1223" s="1297"/>
      <c r="D1223" s="1297" t="s">
        <v>1127</v>
      </c>
      <c r="F1223" s="1399">
        <v>20809.009999999998</v>
      </c>
      <c r="I1223" s="1399">
        <v>20809.009999999998</v>
      </c>
    </row>
    <row r="1224" spans="2:9">
      <c r="B1224" s="1297"/>
      <c r="C1224" s="1297"/>
      <c r="D1224" s="1297" t="s">
        <v>1041</v>
      </c>
      <c r="F1224" s="1399">
        <v>3749.9</v>
      </c>
      <c r="I1224" s="1399">
        <v>3749.9</v>
      </c>
    </row>
    <row r="1225" spans="2:9">
      <c r="B1225" s="1297"/>
      <c r="C1225" s="1297"/>
      <c r="D1225" s="1297" t="s">
        <v>1042</v>
      </c>
      <c r="F1225" s="1399">
        <v>15510.46</v>
      </c>
      <c r="I1225" s="1399">
        <v>15510.46</v>
      </c>
    </row>
    <row r="1226" spans="2:9">
      <c r="B1226" s="1297"/>
      <c r="C1226" s="1297"/>
      <c r="D1226" s="1297" t="s">
        <v>953</v>
      </c>
      <c r="F1226" s="1399">
        <v>22314.799999999999</v>
      </c>
      <c r="I1226" s="1399">
        <v>22314.799999999999</v>
      </c>
    </row>
    <row r="1227" spans="2:9">
      <c r="B1227" s="1297"/>
      <c r="C1227" s="1297"/>
      <c r="D1227" s="1297" t="s">
        <v>986</v>
      </c>
      <c r="F1227" s="1399">
        <v>343392.24</v>
      </c>
      <c r="I1227" s="1399">
        <v>343392.24</v>
      </c>
    </row>
    <row r="1228" spans="2:9">
      <c r="B1228" s="1297"/>
      <c r="C1228" s="1297"/>
      <c r="D1228" s="1297" t="s">
        <v>1044</v>
      </c>
      <c r="F1228" s="1399">
        <v>7060.35</v>
      </c>
      <c r="I1228" s="1399">
        <v>7060.35</v>
      </c>
    </row>
    <row r="1229" spans="2:9">
      <c r="B1229" s="1297"/>
      <c r="C1229" s="1297"/>
      <c r="D1229" s="1297" t="s">
        <v>1045</v>
      </c>
      <c r="F1229" s="1399">
        <v>34284.629999999997</v>
      </c>
      <c r="I1229" s="1399">
        <v>34284.629999999997</v>
      </c>
    </row>
    <row r="1230" spans="2:9">
      <c r="B1230" s="1297"/>
      <c r="C1230" s="1297"/>
      <c r="D1230" s="1297" t="s">
        <v>1046</v>
      </c>
      <c r="H1230" s="1399">
        <v>6988616</v>
      </c>
      <c r="I1230" s="1399">
        <v>6988616</v>
      </c>
    </row>
    <row r="1231" spans="2:9">
      <c r="B1231" s="1297"/>
      <c r="C1231" s="1297"/>
      <c r="D1231" s="1297" t="s">
        <v>1128</v>
      </c>
      <c r="H1231" s="1399">
        <v>565547</v>
      </c>
      <c r="I1231" s="1399">
        <v>565547</v>
      </c>
    </row>
    <row r="1232" spans="2:9">
      <c r="B1232" s="1297"/>
      <c r="C1232" s="1297"/>
      <c r="D1232" s="1297" t="s">
        <v>1129</v>
      </c>
      <c r="H1232" s="1399">
        <v>-899887</v>
      </c>
      <c r="I1232" s="1399">
        <v>-899887</v>
      </c>
    </row>
    <row r="1233" spans="2:9">
      <c r="B1233" s="1297"/>
      <c r="C1233" s="1297"/>
      <c r="D1233" s="1297" t="s">
        <v>1047</v>
      </c>
      <c r="H1233" s="1399">
        <v>345342</v>
      </c>
      <c r="I1233" s="1399">
        <v>345342</v>
      </c>
    </row>
    <row r="1234" spans="2:9">
      <c r="B1234" s="1297"/>
      <c r="C1234" s="1297"/>
      <c r="D1234" s="1297" t="s">
        <v>1048</v>
      </c>
      <c r="H1234" s="1399">
        <v>-1127423</v>
      </c>
      <c r="I1234" s="1399">
        <v>-1127423</v>
      </c>
    </row>
    <row r="1235" spans="2:9">
      <c r="B1235" s="1297"/>
      <c r="C1235" s="1297"/>
      <c r="D1235" s="1297" t="s">
        <v>932</v>
      </c>
      <c r="H1235" s="1399">
        <v>436570</v>
      </c>
      <c r="I1235" s="1399">
        <v>436570</v>
      </c>
    </row>
    <row r="1236" spans="2:9">
      <c r="B1236" s="1297"/>
      <c r="C1236" s="1297"/>
      <c r="D1236" s="1297" t="s">
        <v>955</v>
      </c>
      <c r="H1236" s="1399">
        <v>460028.57</v>
      </c>
      <c r="I1236" s="1399">
        <v>460028.57</v>
      </c>
    </row>
    <row r="1237" spans="2:9">
      <c r="B1237" s="1297"/>
      <c r="C1237" s="1297"/>
      <c r="D1237" s="1297" t="s">
        <v>934</v>
      </c>
      <c r="H1237" s="1399">
        <v>20970</v>
      </c>
      <c r="I1237" s="1399">
        <v>20970</v>
      </c>
    </row>
    <row r="1238" spans="2:9">
      <c r="B1238" s="1297"/>
      <c r="C1238" s="1297"/>
      <c r="D1238" s="1297" t="s">
        <v>1130</v>
      </c>
      <c r="H1238" s="1399">
        <v>-43143.53</v>
      </c>
      <c r="I1238" s="1399">
        <v>-43143.53</v>
      </c>
    </row>
    <row r="1239" spans="2:9">
      <c r="B1239" s="1297"/>
      <c r="C1239" s="1297"/>
      <c r="D1239" s="1297" t="s">
        <v>935</v>
      </c>
      <c r="H1239" s="1399">
        <v>76166.17</v>
      </c>
      <c r="I1239" s="1399">
        <v>76166.17</v>
      </c>
    </row>
    <row r="1240" spans="2:9">
      <c r="B1240" s="1297"/>
      <c r="C1240" s="1297"/>
      <c r="D1240" s="1297" t="s">
        <v>936</v>
      </c>
      <c r="H1240" s="1399">
        <v>20308.73</v>
      </c>
      <c r="I1240" s="1399">
        <v>20308.73</v>
      </c>
    </row>
    <row r="1241" spans="2:9">
      <c r="B1241" s="1297"/>
      <c r="C1241" s="1297"/>
      <c r="D1241" s="1297" t="s">
        <v>938</v>
      </c>
      <c r="H1241" s="1399">
        <v>6176</v>
      </c>
      <c r="I1241" s="1399">
        <v>6176</v>
      </c>
    </row>
    <row r="1242" spans="2:9">
      <c r="B1242" s="1297"/>
      <c r="C1242" s="1297"/>
      <c r="D1242" s="1297" t="s">
        <v>939</v>
      </c>
      <c r="H1242" s="1399">
        <v>57456.03</v>
      </c>
      <c r="I1242" s="1399">
        <v>57456.03</v>
      </c>
    </row>
    <row r="1243" spans="2:9">
      <c r="B1243" s="1297"/>
      <c r="C1243" s="1297"/>
      <c r="D1243" s="1297" t="s">
        <v>940</v>
      </c>
      <c r="E1243" s="1399">
        <v>373822.96</v>
      </c>
      <c r="I1243" s="1399">
        <v>373822.96</v>
      </c>
    </row>
    <row r="1244" spans="2:9">
      <c r="B1244" s="1297"/>
      <c r="C1244" s="1297"/>
      <c r="D1244" s="1297" t="s">
        <v>941</v>
      </c>
      <c r="E1244" s="1399">
        <v>133611.06</v>
      </c>
      <c r="I1244" s="1399">
        <v>133611.06</v>
      </c>
    </row>
    <row r="1245" spans="2:9">
      <c r="B1245" s="1297"/>
      <c r="C1245" s="1297"/>
      <c r="D1245" s="1297" t="s">
        <v>944</v>
      </c>
      <c r="E1245" s="1399">
        <v>1076732.3100000003</v>
      </c>
      <c r="I1245" s="1399">
        <v>1076732.3100000003</v>
      </c>
    </row>
    <row r="1246" spans="2:9">
      <c r="B1246" s="1297"/>
      <c r="C1246" s="1297"/>
      <c r="D1246" s="1297" t="s">
        <v>945</v>
      </c>
      <c r="E1246" s="1399">
        <v>535836.81999999995</v>
      </c>
      <c r="I1246" s="1399">
        <v>535836.81999999995</v>
      </c>
    </row>
    <row r="1247" spans="2:9">
      <c r="B1247" s="1297"/>
      <c r="C1247" s="1297"/>
      <c r="D1247" s="1297" t="s">
        <v>946</v>
      </c>
      <c r="E1247" s="1399">
        <v>159585.44</v>
      </c>
      <c r="I1247" s="1399">
        <v>159585.44</v>
      </c>
    </row>
    <row r="1248" spans="2:9">
      <c r="B1248" s="1297"/>
      <c r="C1248" s="1297"/>
      <c r="D1248" s="1297" t="s">
        <v>947</v>
      </c>
      <c r="E1248" s="1399">
        <v>39370.79</v>
      </c>
      <c r="I1248" s="1399">
        <v>39370.79</v>
      </c>
    </row>
    <row r="1249" spans="2:9">
      <c r="B1249" s="1297"/>
      <c r="C1249" s="1297"/>
      <c r="D1249" s="1297" t="s">
        <v>948</v>
      </c>
      <c r="G1249" s="1399">
        <v>770371.99</v>
      </c>
      <c r="I1249" s="1399">
        <v>770371.99</v>
      </c>
    </row>
    <row r="1250" spans="2:9">
      <c r="B1250" s="1297"/>
      <c r="C1250" s="1400" t="s">
        <v>1068</v>
      </c>
      <c r="D1250" s="1400"/>
      <c r="E1250" s="1401">
        <v>2318959.3800000004</v>
      </c>
      <c r="F1250" s="1401">
        <v>5192942.0599999996</v>
      </c>
      <c r="G1250" s="1401">
        <v>770371.99</v>
      </c>
      <c r="H1250" s="1401">
        <v>6906726.9700000007</v>
      </c>
      <c r="I1250" s="1401">
        <v>15189000.4</v>
      </c>
    </row>
    <row r="1251" spans="2:9">
      <c r="B1251" s="1297" t="s">
        <v>1069</v>
      </c>
      <c r="C1251" s="1297" t="s">
        <v>1070</v>
      </c>
      <c r="D1251" s="1297" t="s">
        <v>906</v>
      </c>
      <c r="F1251" s="1399">
        <v>416532033.91000003</v>
      </c>
      <c r="I1251" s="1399">
        <v>416532033.91000003</v>
      </c>
    </row>
    <row r="1252" spans="2:9">
      <c r="B1252" s="1297"/>
      <c r="C1252" s="1297"/>
      <c r="D1252" s="1297" t="s">
        <v>952</v>
      </c>
      <c r="F1252" s="1399">
        <v>9193497.8900000006</v>
      </c>
      <c r="I1252" s="1399">
        <v>9193497.8900000006</v>
      </c>
    </row>
    <row r="1253" spans="2:9">
      <c r="B1253" s="1297"/>
      <c r="C1253" s="1297"/>
      <c r="D1253" s="1297" t="s">
        <v>907</v>
      </c>
      <c r="F1253" s="1399">
        <v>115300111.86</v>
      </c>
      <c r="I1253" s="1399">
        <v>115300111.86</v>
      </c>
    </row>
    <row r="1254" spans="2:9">
      <c r="B1254" s="1297"/>
      <c r="C1254" s="1297"/>
      <c r="D1254" s="1297" t="s">
        <v>908</v>
      </c>
      <c r="F1254" s="1399">
        <v>1473183.08</v>
      </c>
      <c r="I1254" s="1399">
        <v>1473183.08</v>
      </c>
    </row>
    <row r="1255" spans="2:9">
      <c r="B1255" s="1297"/>
      <c r="C1255" s="1297"/>
      <c r="D1255" s="1297" t="s">
        <v>909</v>
      </c>
      <c r="F1255" s="1399">
        <v>95363.15</v>
      </c>
      <c r="I1255" s="1399">
        <v>95363.15</v>
      </c>
    </row>
    <row r="1256" spans="2:9">
      <c r="B1256" s="1297"/>
      <c r="C1256" s="1297"/>
      <c r="D1256" s="1297" t="s">
        <v>1034</v>
      </c>
      <c r="F1256" s="1399">
        <v>2460486.7799999998</v>
      </c>
      <c r="I1256" s="1399">
        <v>2460486.7799999998</v>
      </c>
    </row>
    <row r="1257" spans="2:9">
      <c r="B1257" s="1297"/>
      <c r="C1257" s="1297"/>
      <c r="D1257" s="1297" t="s">
        <v>1035</v>
      </c>
      <c r="F1257" s="1399">
        <v>5546340.3300000001</v>
      </c>
      <c r="I1257" s="1399">
        <v>5546340.3300000001</v>
      </c>
    </row>
    <row r="1258" spans="2:9">
      <c r="B1258" s="1297"/>
      <c r="C1258" s="1297"/>
      <c r="D1258" s="1297" t="s">
        <v>1036</v>
      </c>
      <c r="F1258" s="1399">
        <v>3821683.2</v>
      </c>
      <c r="I1258" s="1399">
        <v>3821683.2</v>
      </c>
    </row>
    <row r="1259" spans="2:9">
      <c r="B1259" s="1297"/>
      <c r="C1259" s="1297"/>
      <c r="D1259" s="1297" t="s">
        <v>1037</v>
      </c>
      <c r="F1259" s="1399">
        <v>16201295.029999999</v>
      </c>
      <c r="I1259" s="1399">
        <v>16201295.029999999</v>
      </c>
    </row>
    <row r="1260" spans="2:9">
      <c r="B1260" s="1297"/>
      <c r="C1260" s="1297"/>
      <c r="D1260" s="1297" t="s">
        <v>1038</v>
      </c>
      <c r="F1260" s="1399">
        <v>393399</v>
      </c>
      <c r="I1260" s="1399">
        <v>393399</v>
      </c>
    </row>
    <row r="1261" spans="2:9">
      <c r="B1261" s="1297"/>
      <c r="C1261" s="1297"/>
      <c r="D1261" s="1297" t="s">
        <v>1039</v>
      </c>
      <c r="F1261" s="1399">
        <v>3070160.2600000002</v>
      </c>
      <c r="I1261" s="1399">
        <v>3070160.2600000002</v>
      </c>
    </row>
    <row r="1262" spans="2:9">
      <c r="B1262" s="1297"/>
      <c r="C1262" s="1297"/>
      <c r="D1262" s="1297" t="s">
        <v>1040</v>
      </c>
      <c r="F1262" s="1399">
        <v>9975159.2799999993</v>
      </c>
      <c r="I1262" s="1399">
        <v>9975159.2799999993</v>
      </c>
    </row>
    <row r="1263" spans="2:9">
      <c r="B1263" s="1297"/>
      <c r="C1263" s="1297"/>
      <c r="D1263" s="1297" t="s">
        <v>1041</v>
      </c>
      <c r="F1263" s="1399">
        <v>8530350.4399999995</v>
      </c>
      <c r="I1263" s="1399">
        <v>8530350.4399999995</v>
      </c>
    </row>
    <row r="1264" spans="2:9">
      <c r="B1264" s="1297"/>
      <c r="C1264" s="1297"/>
      <c r="D1264" s="1297" t="s">
        <v>1042</v>
      </c>
      <c r="F1264" s="1399">
        <v>955230</v>
      </c>
      <c r="I1264" s="1399">
        <v>955230</v>
      </c>
    </row>
    <row r="1265" spans="2:9">
      <c r="B1265" s="1297"/>
      <c r="C1265" s="1297"/>
      <c r="D1265" s="1297" t="s">
        <v>954</v>
      </c>
      <c r="F1265" s="1399">
        <v>378861.71</v>
      </c>
      <c r="I1265" s="1399">
        <v>378861.71</v>
      </c>
    </row>
    <row r="1266" spans="2:9">
      <c r="B1266" s="1297"/>
      <c r="C1266" s="1297"/>
      <c r="D1266" s="1297" t="s">
        <v>985</v>
      </c>
      <c r="F1266" s="1399">
        <v>105359</v>
      </c>
      <c r="I1266" s="1399">
        <v>105359</v>
      </c>
    </row>
    <row r="1267" spans="2:9">
      <c r="B1267" s="1297"/>
      <c r="C1267" s="1297"/>
      <c r="D1267" s="1297" t="s">
        <v>1043</v>
      </c>
      <c r="F1267" s="1399">
        <v>43000</v>
      </c>
      <c r="I1267" s="1399">
        <v>43000</v>
      </c>
    </row>
    <row r="1268" spans="2:9">
      <c r="B1268" s="1297"/>
      <c r="C1268" s="1297"/>
      <c r="D1268" s="1297" t="s">
        <v>986</v>
      </c>
      <c r="F1268" s="1399">
        <v>17450.8</v>
      </c>
      <c r="I1268" s="1399">
        <v>17450.8</v>
      </c>
    </row>
    <row r="1269" spans="2:9">
      <c r="B1269" s="1297"/>
      <c r="C1269" s="1297"/>
      <c r="D1269" s="1297" t="s">
        <v>1005</v>
      </c>
      <c r="F1269" s="1399">
        <v>14739510.939999999</v>
      </c>
      <c r="I1269" s="1399">
        <v>14739510.939999999</v>
      </c>
    </row>
    <row r="1270" spans="2:9">
      <c r="B1270" s="1297"/>
      <c r="C1270" s="1297"/>
      <c r="D1270" s="1297" t="s">
        <v>991</v>
      </c>
      <c r="F1270" s="1399">
        <v>7169021.4800000004</v>
      </c>
      <c r="I1270" s="1399">
        <v>7169021.4800000004</v>
      </c>
    </row>
    <row r="1271" spans="2:9">
      <c r="B1271" s="1297"/>
      <c r="C1271" s="1297"/>
      <c r="D1271" s="1297" t="s">
        <v>1045</v>
      </c>
      <c r="F1271" s="1399">
        <v>3655389.97</v>
      </c>
      <c r="I1271" s="1399">
        <v>3655389.97</v>
      </c>
    </row>
    <row r="1272" spans="2:9">
      <c r="B1272" s="1297"/>
      <c r="C1272" s="1297"/>
      <c r="D1272" s="1297" t="s">
        <v>1046</v>
      </c>
      <c r="H1272" s="1399">
        <v>544366502</v>
      </c>
      <c r="I1272" s="1399">
        <v>544366502</v>
      </c>
    </row>
    <row r="1273" spans="2:9">
      <c r="B1273" s="1297"/>
      <c r="C1273" s="1297"/>
      <c r="D1273" s="1297" t="s">
        <v>1128</v>
      </c>
      <c r="H1273" s="1399">
        <v>48867976</v>
      </c>
      <c r="I1273" s="1399">
        <v>48867976</v>
      </c>
    </row>
    <row r="1274" spans="2:9">
      <c r="B1274" s="1297"/>
      <c r="C1274" s="1297"/>
      <c r="D1274" s="1297" t="s">
        <v>1129</v>
      </c>
      <c r="H1274" s="1399">
        <v>-69394711</v>
      </c>
      <c r="I1274" s="1399">
        <v>-69394711</v>
      </c>
    </row>
    <row r="1275" spans="2:9">
      <c r="B1275" s="1297"/>
      <c r="C1275" s="1297"/>
      <c r="D1275" s="1297" t="s">
        <v>1047</v>
      </c>
      <c r="H1275" s="1399">
        <v>6800504</v>
      </c>
      <c r="I1275" s="1399">
        <v>6800504</v>
      </c>
    </row>
    <row r="1276" spans="2:9">
      <c r="B1276" s="1297"/>
      <c r="C1276" s="1297"/>
      <c r="D1276" s="1297" t="s">
        <v>1048</v>
      </c>
      <c r="H1276" s="1399">
        <v>-133566148</v>
      </c>
      <c r="I1276" s="1399">
        <v>-133566148</v>
      </c>
    </row>
    <row r="1277" spans="2:9">
      <c r="B1277" s="1297"/>
      <c r="C1277" s="1297"/>
      <c r="D1277" s="1297" t="s">
        <v>934</v>
      </c>
      <c r="H1277" s="1399">
        <v>1368132</v>
      </c>
      <c r="I1277" s="1399">
        <v>1368132</v>
      </c>
    </row>
    <row r="1278" spans="2:9">
      <c r="B1278" s="1297"/>
      <c r="C1278" s="1297"/>
      <c r="D1278" s="1297" t="s">
        <v>935</v>
      </c>
      <c r="H1278" s="1399">
        <v>9009547.6300000008</v>
      </c>
      <c r="I1278" s="1399">
        <v>9009547.6300000008</v>
      </c>
    </row>
    <row r="1279" spans="2:9">
      <c r="B1279" s="1297"/>
      <c r="C1279" s="1297"/>
      <c r="D1279" s="1297" t="s">
        <v>939</v>
      </c>
      <c r="H1279" s="1399">
        <v>405183.81</v>
      </c>
      <c r="I1279" s="1399">
        <v>405183.81</v>
      </c>
    </row>
    <row r="1280" spans="2:9">
      <c r="B1280" s="1297"/>
      <c r="C1280" s="1297"/>
      <c r="D1280" s="1297" t="s">
        <v>1131</v>
      </c>
      <c r="E1280" s="1399">
        <v>6972246.2400000002</v>
      </c>
      <c r="I1280" s="1399">
        <v>6972246.2400000002</v>
      </c>
    </row>
    <row r="1281" spans="2:9">
      <c r="B1281" s="1297"/>
      <c r="C1281" s="1297"/>
      <c r="D1281" s="1297" t="s">
        <v>940</v>
      </c>
      <c r="E1281" s="1399">
        <v>18669627.960000001</v>
      </c>
      <c r="I1281" s="1399">
        <v>18669627.960000001</v>
      </c>
    </row>
    <row r="1282" spans="2:9">
      <c r="B1282" s="1297"/>
      <c r="C1282" s="1297"/>
      <c r="D1282" s="1297" t="s">
        <v>941</v>
      </c>
      <c r="E1282" s="1399">
        <v>4668005.9400000004</v>
      </c>
      <c r="I1282" s="1399">
        <v>4668005.9400000004</v>
      </c>
    </row>
    <row r="1283" spans="2:9">
      <c r="B1283" s="1297"/>
      <c r="C1283" s="1297"/>
      <c r="D1283" s="1297" t="s">
        <v>943</v>
      </c>
      <c r="E1283" s="1399">
        <v>303400</v>
      </c>
      <c r="I1283" s="1399">
        <v>303400</v>
      </c>
    </row>
    <row r="1284" spans="2:9">
      <c r="B1284" s="1297"/>
      <c r="C1284" s="1297"/>
      <c r="D1284" s="1297" t="s">
        <v>944</v>
      </c>
      <c r="E1284" s="1399">
        <v>35980637.050000004</v>
      </c>
      <c r="I1284" s="1399">
        <v>35980637.050000004</v>
      </c>
    </row>
    <row r="1285" spans="2:9">
      <c r="B1285" s="1297"/>
      <c r="C1285" s="1297"/>
      <c r="D1285" s="1297" t="s">
        <v>945</v>
      </c>
      <c r="E1285" s="1399">
        <v>38200553.420000002</v>
      </c>
      <c r="I1285" s="1399">
        <v>38200553.420000002</v>
      </c>
    </row>
    <row r="1286" spans="2:9">
      <c r="B1286" s="1297"/>
      <c r="C1286" s="1297"/>
      <c r="D1286" s="1297" t="s">
        <v>946</v>
      </c>
      <c r="E1286" s="1399">
        <v>2749959.1399999997</v>
      </c>
      <c r="I1286" s="1399">
        <v>2749959.1399999997</v>
      </c>
    </row>
    <row r="1287" spans="2:9">
      <c r="B1287" s="1297"/>
      <c r="C1287" s="1297"/>
      <c r="D1287" s="1297" t="s">
        <v>978</v>
      </c>
      <c r="E1287" s="1399">
        <v>419526</v>
      </c>
      <c r="I1287" s="1399">
        <v>419526</v>
      </c>
    </row>
    <row r="1288" spans="2:9">
      <c r="B1288" s="1297"/>
      <c r="C1288" s="1297"/>
      <c r="D1288" s="1297" t="s">
        <v>947</v>
      </c>
      <c r="E1288" s="1399">
        <v>2454837.3199999998</v>
      </c>
      <c r="I1288" s="1399">
        <v>2454837.3199999998</v>
      </c>
    </row>
    <row r="1289" spans="2:9">
      <c r="B1289" s="1297"/>
      <c r="C1289" s="1297"/>
      <c r="D1289" s="1297" t="s">
        <v>948</v>
      </c>
      <c r="G1289" s="1399">
        <v>29450650.75</v>
      </c>
      <c r="I1289" s="1399">
        <v>29450650.75</v>
      </c>
    </row>
    <row r="1290" spans="2:9">
      <c r="B1290" s="1297"/>
      <c r="C1290" s="1297"/>
      <c r="D1290" s="1297" t="s">
        <v>956</v>
      </c>
      <c r="G1290" s="1399">
        <v>267672.26</v>
      </c>
      <c r="I1290" s="1399">
        <v>267672.26</v>
      </c>
    </row>
    <row r="1291" spans="2:9">
      <c r="B1291" s="1297"/>
      <c r="C1291" s="1297"/>
      <c r="D1291" s="1297" t="s">
        <v>1118</v>
      </c>
      <c r="G1291" s="1399">
        <v>278482.54000000004</v>
      </c>
      <c r="I1291" s="1399">
        <v>278482.54000000004</v>
      </c>
    </row>
    <row r="1292" spans="2:9">
      <c r="B1292" s="1297"/>
      <c r="C1292" s="1297"/>
      <c r="D1292" s="1297" t="s">
        <v>1051</v>
      </c>
      <c r="G1292" s="1399">
        <v>1527307</v>
      </c>
      <c r="I1292" s="1399">
        <v>1527307</v>
      </c>
    </row>
    <row r="1293" spans="2:9">
      <c r="B1293" s="1297"/>
      <c r="C1293" s="1400" t="s">
        <v>1071</v>
      </c>
      <c r="D1293" s="1400"/>
      <c r="E1293" s="1401">
        <v>110418793.07000001</v>
      </c>
      <c r="F1293" s="1401">
        <v>619656888.11000013</v>
      </c>
      <c r="G1293" s="1401">
        <v>31524112.550000001</v>
      </c>
      <c r="H1293" s="1401">
        <v>407856986.44</v>
      </c>
      <c r="I1293" s="1401">
        <v>1169456780.1700003</v>
      </c>
    </row>
    <row r="1294" spans="2:9">
      <c r="B1294" s="1297" t="s">
        <v>1072</v>
      </c>
      <c r="C1294" s="1297" t="s">
        <v>1073</v>
      </c>
      <c r="D1294" s="1297" t="s">
        <v>906</v>
      </c>
      <c r="F1294" s="1399">
        <v>12203501.08</v>
      </c>
      <c r="I1294" s="1399">
        <v>12203501.08</v>
      </c>
    </row>
    <row r="1295" spans="2:9">
      <c r="B1295" s="1297"/>
      <c r="C1295" s="1297"/>
      <c r="D1295" s="1297" t="s">
        <v>952</v>
      </c>
      <c r="F1295" s="1399">
        <v>100592.94</v>
      </c>
      <c r="I1295" s="1399">
        <v>100592.94</v>
      </c>
    </row>
    <row r="1296" spans="2:9">
      <c r="B1296" s="1297"/>
      <c r="C1296" s="1297"/>
      <c r="D1296" s="1297" t="s">
        <v>907</v>
      </c>
      <c r="F1296" s="1399">
        <v>5264338.4000000004</v>
      </c>
      <c r="I1296" s="1399">
        <v>5264338.4000000004</v>
      </c>
    </row>
    <row r="1297" spans="2:9">
      <c r="B1297" s="1297"/>
      <c r="C1297" s="1297"/>
      <c r="D1297" s="1297" t="s">
        <v>908</v>
      </c>
      <c r="F1297" s="1399">
        <v>20650.72</v>
      </c>
      <c r="I1297" s="1399">
        <v>20650.72</v>
      </c>
    </row>
    <row r="1298" spans="2:9">
      <c r="B1298" s="1297"/>
      <c r="C1298" s="1297"/>
      <c r="D1298" s="1297" t="s">
        <v>1035</v>
      </c>
      <c r="F1298" s="1399">
        <v>1058858.73</v>
      </c>
      <c r="I1298" s="1399">
        <v>1058858.73</v>
      </c>
    </row>
    <row r="1299" spans="2:9">
      <c r="B1299" s="1297"/>
      <c r="C1299" s="1297"/>
      <c r="D1299" s="1297" t="s">
        <v>1036</v>
      </c>
      <c r="F1299" s="1399">
        <v>449465.7</v>
      </c>
      <c r="I1299" s="1399">
        <v>449465.7</v>
      </c>
    </row>
    <row r="1300" spans="2:9">
      <c r="B1300" s="1297"/>
      <c r="C1300" s="1297"/>
      <c r="D1300" s="1297" t="s">
        <v>1037</v>
      </c>
      <c r="F1300" s="1399">
        <v>4600</v>
      </c>
      <c r="I1300" s="1399">
        <v>4600</v>
      </c>
    </row>
    <row r="1301" spans="2:9">
      <c r="B1301" s="1297"/>
      <c r="C1301" s="1297"/>
      <c r="D1301" s="1297" t="s">
        <v>1039</v>
      </c>
      <c r="F1301" s="1399">
        <v>35594.25</v>
      </c>
      <c r="I1301" s="1399">
        <v>35594.25</v>
      </c>
    </row>
    <row r="1302" spans="2:9">
      <c r="B1302" s="1297"/>
      <c r="C1302" s="1297"/>
      <c r="D1302" s="1297" t="s">
        <v>1040</v>
      </c>
      <c r="F1302" s="1399">
        <v>266581.55</v>
      </c>
      <c r="I1302" s="1399">
        <v>266581.55</v>
      </c>
    </row>
    <row r="1303" spans="2:9">
      <c r="B1303" s="1297"/>
      <c r="C1303" s="1297"/>
      <c r="D1303" s="1297" t="s">
        <v>1127</v>
      </c>
      <c r="F1303" s="1399">
        <v>44579.15</v>
      </c>
      <c r="I1303" s="1399">
        <v>44579.15</v>
      </c>
    </row>
    <row r="1304" spans="2:9">
      <c r="B1304" s="1297"/>
      <c r="C1304" s="1297"/>
      <c r="D1304" s="1297" t="s">
        <v>1041</v>
      </c>
      <c r="F1304" s="1399">
        <v>168388.16</v>
      </c>
      <c r="I1304" s="1399">
        <v>168388.16</v>
      </c>
    </row>
    <row r="1305" spans="2:9">
      <c r="B1305" s="1297"/>
      <c r="C1305" s="1297"/>
      <c r="D1305" s="1297" t="s">
        <v>1042</v>
      </c>
      <c r="F1305" s="1399">
        <v>109732.77</v>
      </c>
      <c r="I1305" s="1399">
        <v>109732.77</v>
      </c>
    </row>
    <row r="1306" spans="2:9">
      <c r="B1306" s="1297"/>
      <c r="C1306" s="1297"/>
      <c r="D1306" s="1297" t="s">
        <v>953</v>
      </c>
      <c r="F1306" s="1399">
        <v>142852.4</v>
      </c>
      <c r="I1306" s="1399">
        <v>142852.4</v>
      </c>
    </row>
    <row r="1307" spans="2:9">
      <c r="B1307" s="1297"/>
      <c r="C1307" s="1297"/>
      <c r="D1307" s="1297" t="s">
        <v>996</v>
      </c>
      <c r="F1307" s="1399">
        <v>18375</v>
      </c>
      <c r="I1307" s="1399">
        <v>18375</v>
      </c>
    </row>
    <row r="1308" spans="2:9">
      <c r="B1308" s="1297"/>
      <c r="C1308" s="1297"/>
      <c r="D1308" s="1297" t="s">
        <v>1005</v>
      </c>
      <c r="F1308" s="1399">
        <v>263330.65999999997</v>
      </c>
      <c r="I1308" s="1399">
        <v>263330.65999999997</v>
      </c>
    </row>
    <row r="1309" spans="2:9">
      <c r="B1309" s="1297"/>
      <c r="C1309" s="1297"/>
      <c r="D1309" s="1297" t="s">
        <v>1044</v>
      </c>
      <c r="F1309" s="1399">
        <v>49543</v>
      </c>
      <c r="I1309" s="1399">
        <v>49543</v>
      </c>
    </row>
    <row r="1310" spans="2:9">
      <c r="B1310" s="1297"/>
      <c r="C1310" s="1297"/>
      <c r="D1310" s="1297" t="s">
        <v>1045</v>
      </c>
      <c r="F1310" s="1399">
        <v>983090.72000000009</v>
      </c>
      <c r="I1310" s="1399">
        <v>983090.72000000009</v>
      </c>
    </row>
    <row r="1311" spans="2:9">
      <c r="B1311" s="1297"/>
      <c r="C1311" s="1297"/>
      <c r="D1311" s="1297" t="s">
        <v>1046</v>
      </c>
      <c r="H1311" s="1399">
        <v>42336321</v>
      </c>
      <c r="I1311" s="1399">
        <v>42336321</v>
      </c>
    </row>
    <row r="1312" spans="2:9">
      <c r="B1312" s="1297"/>
      <c r="C1312" s="1297"/>
      <c r="D1312" s="1297" t="s">
        <v>1129</v>
      </c>
      <c r="H1312" s="1399">
        <v>-5856554</v>
      </c>
      <c r="I1312" s="1399">
        <v>-5856554</v>
      </c>
    </row>
    <row r="1313" spans="2:9">
      <c r="B1313" s="1297"/>
      <c r="C1313" s="1297"/>
      <c r="D1313" s="1297" t="s">
        <v>1047</v>
      </c>
      <c r="H1313" s="1399">
        <v>1106843</v>
      </c>
      <c r="I1313" s="1399">
        <v>1106843</v>
      </c>
    </row>
    <row r="1314" spans="2:9">
      <c r="B1314" s="1297"/>
      <c r="C1314" s="1297"/>
      <c r="D1314" s="1297" t="s">
        <v>1048</v>
      </c>
      <c r="H1314" s="1399">
        <v>-3782251</v>
      </c>
      <c r="I1314" s="1399">
        <v>-3782251</v>
      </c>
    </row>
    <row r="1315" spans="2:9">
      <c r="B1315" s="1297"/>
      <c r="C1315" s="1297"/>
      <c r="D1315" s="1297" t="s">
        <v>932</v>
      </c>
      <c r="H1315" s="1399">
        <v>5855517</v>
      </c>
      <c r="I1315" s="1399">
        <v>5855517</v>
      </c>
    </row>
    <row r="1316" spans="2:9">
      <c r="B1316" s="1297"/>
      <c r="C1316" s="1297"/>
      <c r="D1316" s="1297" t="s">
        <v>955</v>
      </c>
      <c r="H1316" s="1399">
        <v>1973923.83</v>
      </c>
      <c r="I1316" s="1399">
        <v>1973923.83</v>
      </c>
    </row>
    <row r="1317" spans="2:9">
      <c r="B1317" s="1297"/>
      <c r="C1317" s="1297"/>
      <c r="D1317" s="1297" t="s">
        <v>934</v>
      </c>
      <c r="H1317" s="1399">
        <v>127450</v>
      </c>
      <c r="I1317" s="1399">
        <v>127450</v>
      </c>
    </row>
    <row r="1318" spans="2:9">
      <c r="B1318" s="1297"/>
      <c r="C1318" s="1297"/>
      <c r="D1318" s="1297" t="s">
        <v>935</v>
      </c>
      <c r="H1318" s="1399">
        <v>396821.48</v>
      </c>
      <c r="I1318" s="1399">
        <v>396821.48</v>
      </c>
    </row>
    <row r="1319" spans="2:9">
      <c r="B1319" s="1297"/>
      <c r="C1319" s="1297"/>
      <c r="D1319" s="1297" t="s">
        <v>936</v>
      </c>
      <c r="H1319" s="1399">
        <v>133057.20000000001</v>
      </c>
      <c r="I1319" s="1399">
        <v>133057.20000000001</v>
      </c>
    </row>
    <row r="1320" spans="2:9">
      <c r="B1320" s="1297"/>
      <c r="C1320" s="1297"/>
      <c r="D1320" s="1297" t="s">
        <v>937</v>
      </c>
      <c r="H1320" s="1399">
        <v>53144.68</v>
      </c>
      <c r="I1320" s="1399">
        <v>53144.68</v>
      </c>
    </row>
    <row r="1321" spans="2:9">
      <c r="B1321" s="1297"/>
      <c r="C1321" s="1297"/>
      <c r="D1321" s="1297" t="s">
        <v>938</v>
      </c>
      <c r="H1321" s="1399">
        <v>34999</v>
      </c>
      <c r="I1321" s="1399">
        <v>34999</v>
      </c>
    </row>
    <row r="1322" spans="2:9">
      <c r="B1322" s="1297"/>
      <c r="C1322" s="1297"/>
      <c r="D1322" s="1297" t="s">
        <v>940</v>
      </c>
      <c r="E1322" s="1399">
        <v>2443366.2400000002</v>
      </c>
      <c r="I1322" s="1399">
        <v>2443366.2400000002</v>
      </c>
    </row>
    <row r="1323" spans="2:9">
      <c r="B1323" s="1297"/>
      <c r="C1323" s="1297"/>
      <c r="D1323" s="1297" t="s">
        <v>941</v>
      </c>
      <c r="E1323" s="1399">
        <v>1005568.06</v>
      </c>
      <c r="I1323" s="1399">
        <v>1005568.06</v>
      </c>
    </row>
    <row r="1324" spans="2:9">
      <c r="B1324" s="1297"/>
      <c r="C1324" s="1297"/>
      <c r="D1324" s="1297" t="s">
        <v>944</v>
      </c>
      <c r="E1324" s="1399">
        <v>5718824.9799999986</v>
      </c>
      <c r="I1324" s="1399">
        <v>5718824.9799999986</v>
      </c>
    </row>
    <row r="1325" spans="2:9">
      <c r="B1325" s="1297"/>
      <c r="C1325" s="1297"/>
      <c r="D1325" s="1297" t="s">
        <v>945</v>
      </c>
      <c r="E1325" s="1399">
        <v>3462626.9699999997</v>
      </c>
      <c r="I1325" s="1399">
        <v>3462626.9699999997</v>
      </c>
    </row>
    <row r="1326" spans="2:9">
      <c r="B1326" s="1297"/>
      <c r="C1326" s="1297"/>
      <c r="D1326" s="1297" t="s">
        <v>978</v>
      </c>
      <c r="E1326" s="1399">
        <v>3600</v>
      </c>
      <c r="I1326" s="1399">
        <v>3600</v>
      </c>
    </row>
    <row r="1327" spans="2:9">
      <c r="B1327" s="1297"/>
      <c r="C1327" s="1297"/>
      <c r="D1327" s="1297" t="s">
        <v>947</v>
      </c>
      <c r="E1327" s="1399">
        <v>241990.47</v>
      </c>
      <c r="I1327" s="1399">
        <v>241990.47</v>
      </c>
    </row>
    <row r="1328" spans="2:9">
      <c r="B1328" s="1297"/>
      <c r="C1328" s="1297"/>
      <c r="D1328" s="1297" t="s">
        <v>1115</v>
      </c>
      <c r="E1328" s="1399">
        <v>30850.69</v>
      </c>
      <c r="I1328" s="1399">
        <v>30850.69</v>
      </c>
    </row>
    <row r="1329" spans="2:9">
      <c r="B1329" s="1297"/>
      <c r="C1329" s="1297"/>
      <c r="D1329" s="1297" t="s">
        <v>948</v>
      </c>
      <c r="G1329" s="1399">
        <v>13382705.850000001</v>
      </c>
      <c r="I1329" s="1399">
        <v>13382705.850000001</v>
      </c>
    </row>
    <row r="1330" spans="2:9">
      <c r="B1330" s="1297"/>
      <c r="C1330" s="1297"/>
      <c r="D1330" s="1297" t="s">
        <v>956</v>
      </c>
      <c r="G1330" s="1399">
        <v>151415.70000000001</v>
      </c>
      <c r="I1330" s="1399">
        <v>151415.70000000001</v>
      </c>
    </row>
    <row r="1331" spans="2:9">
      <c r="B1331" s="1297"/>
      <c r="C1331" s="1297"/>
      <c r="D1331" s="1297" t="s">
        <v>1118</v>
      </c>
      <c r="G1331" s="1399">
        <v>4000</v>
      </c>
      <c r="I1331" s="1399">
        <v>4000</v>
      </c>
    </row>
    <row r="1332" spans="2:9">
      <c r="B1332" s="1297"/>
      <c r="C1332" s="1400" t="s">
        <v>1074</v>
      </c>
      <c r="D1332" s="1400"/>
      <c r="E1332" s="1401">
        <v>12906827.41</v>
      </c>
      <c r="F1332" s="1401">
        <v>21184075.229999997</v>
      </c>
      <c r="G1332" s="1401">
        <v>13538121.550000001</v>
      </c>
      <c r="H1332" s="1401">
        <v>42379272.189999998</v>
      </c>
      <c r="I1332" s="1401">
        <v>90008296.38000001</v>
      </c>
    </row>
    <row r="1333" spans="2:9">
      <c r="B1333" s="1297" t="s">
        <v>1075</v>
      </c>
      <c r="C1333" s="1297" t="s">
        <v>1076</v>
      </c>
      <c r="D1333" s="1297" t="s">
        <v>906</v>
      </c>
      <c r="F1333" s="1399">
        <v>7128429.7699999996</v>
      </c>
      <c r="I1333" s="1399">
        <v>7128429.7699999996</v>
      </c>
    </row>
    <row r="1334" spans="2:9">
      <c r="B1334" s="1297"/>
      <c r="C1334" s="1297"/>
      <c r="D1334" s="1297" t="s">
        <v>1126</v>
      </c>
      <c r="F1334" s="1399">
        <v>5477091.0099999998</v>
      </c>
      <c r="I1334" s="1399">
        <v>5477091.0099999998</v>
      </c>
    </row>
    <row r="1335" spans="2:9">
      <c r="B1335" s="1297"/>
      <c r="C1335" s="1297"/>
      <c r="D1335" s="1297" t="s">
        <v>952</v>
      </c>
      <c r="F1335" s="1399">
        <v>112217.73</v>
      </c>
      <c r="I1335" s="1399">
        <v>112217.73</v>
      </c>
    </row>
    <row r="1336" spans="2:9">
      <c r="B1336" s="1297"/>
      <c r="C1336" s="1297"/>
      <c r="D1336" s="1297" t="s">
        <v>907</v>
      </c>
      <c r="F1336" s="1399">
        <v>5474293.3499999996</v>
      </c>
      <c r="I1336" s="1399">
        <v>5474293.3499999996</v>
      </c>
    </row>
    <row r="1337" spans="2:9">
      <c r="B1337" s="1297"/>
      <c r="C1337" s="1297"/>
      <c r="D1337" s="1297" t="s">
        <v>908</v>
      </c>
      <c r="F1337" s="1399">
        <v>13479.87</v>
      </c>
      <c r="I1337" s="1399">
        <v>13479.87</v>
      </c>
    </row>
    <row r="1338" spans="2:9">
      <c r="B1338" s="1297"/>
      <c r="C1338" s="1297"/>
      <c r="D1338" s="1297" t="s">
        <v>909</v>
      </c>
      <c r="F1338" s="1399">
        <v>11872</v>
      </c>
      <c r="I1338" s="1399">
        <v>11872</v>
      </c>
    </row>
    <row r="1339" spans="2:9">
      <c r="B1339" s="1297"/>
      <c r="C1339" s="1297"/>
      <c r="D1339" s="1297" t="s">
        <v>1034</v>
      </c>
      <c r="F1339" s="1399">
        <v>320635.87</v>
      </c>
      <c r="I1339" s="1399">
        <v>320635.87</v>
      </c>
    </row>
    <row r="1340" spans="2:9">
      <c r="B1340" s="1297"/>
      <c r="C1340" s="1297"/>
      <c r="D1340" s="1297" t="s">
        <v>1035</v>
      </c>
      <c r="F1340" s="1399">
        <v>604316.06999999995</v>
      </c>
      <c r="I1340" s="1399">
        <v>604316.06999999995</v>
      </c>
    </row>
    <row r="1341" spans="2:9">
      <c r="B1341" s="1297"/>
      <c r="C1341" s="1297"/>
      <c r="D1341" s="1297" t="s">
        <v>1036</v>
      </c>
      <c r="F1341" s="1399">
        <v>441707.99</v>
      </c>
      <c r="I1341" s="1399">
        <v>441707.99</v>
      </c>
    </row>
    <row r="1342" spans="2:9">
      <c r="B1342" s="1297"/>
      <c r="C1342" s="1297"/>
      <c r="D1342" s="1297" t="s">
        <v>1039</v>
      </c>
      <c r="F1342" s="1399">
        <v>224375.08</v>
      </c>
      <c r="I1342" s="1399">
        <v>224375.08</v>
      </c>
    </row>
    <row r="1343" spans="2:9">
      <c r="B1343" s="1297"/>
      <c r="C1343" s="1297"/>
      <c r="D1343" s="1297" t="s">
        <v>1040</v>
      </c>
      <c r="F1343" s="1399">
        <v>455037.37</v>
      </c>
      <c r="I1343" s="1399">
        <v>455037.37</v>
      </c>
    </row>
    <row r="1344" spans="2:9">
      <c r="B1344" s="1297"/>
      <c r="C1344" s="1297"/>
      <c r="D1344" s="1297" t="s">
        <v>1127</v>
      </c>
      <c r="F1344" s="1399">
        <v>80473.570000000007</v>
      </c>
      <c r="I1344" s="1399">
        <v>80473.570000000007</v>
      </c>
    </row>
    <row r="1345" spans="2:9">
      <c r="B1345" s="1297"/>
      <c r="C1345" s="1297"/>
      <c r="D1345" s="1297" t="s">
        <v>1207</v>
      </c>
      <c r="F1345" s="1399">
        <v>3811.9</v>
      </c>
      <c r="I1345" s="1399">
        <v>3811.9</v>
      </c>
    </row>
    <row r="1346" spans="2:9">
      <c r="B1346" s="1297"/>
      <c r="C1346" s="1297"/>
      <c r="D1346" s="1297" t="s">
        <v>1041</v>
      </c>
      <c r="F1346" s="1399">
        <v>76166.789999999994</v>
      </c>
      <c r="I1346" s="1399">
        <v>76166.789999999994</v>
      </c>
    </row>
    <row r="1347" spans="2:9">
      <c r="B1347" s="1297"/>
      <c r="C1347" s="1297"/>
      <c r="D1347" s="1297" t="s">
        <v>1042</v>
      </c>
      <c r="F1347" s="1399">
        <v>173136.51</v>
      </c>
      <c r="I1347" s="1399">
        <v>173136.51</v>
      </c>
    </row>
    <row r="1348" spans="2:9">
      <c r="B1348" s="1297"/>
      <c r="C1348" s="1297"/>
      <c r="D1348" s="1297" t="s">
        <v>1043</v>
      </c>
      <c r="F1348" s="1399">
        <v>4462.5</v>
      </c>
      <c r="I1348" s="1399">
        <v>4462.5</v>
      </c>
    </row>
    <row r="1349" spans="2:9">
      <c r="B1349" s="1297"/>
      <c r="C1349" s="1297"/>
      <c r="D1349" s="1297" t="s">
        <v>986</v>
      </c>
      <c r="F1349" s="1399">
        <v>715</v>
      </c>
      <c r="I1349" s="1399">
        <v>715</v>
      </c>
    </row>
    <row r="1350" spans="2:9">
      <c r="B1350" s="1297"/>
      <c r="C1350" s="1297"/>
      <c r="D1350" s="1297" t="s">
        <v>1005</v>
      </c>
      <c r="F1350" s="1399">
        <v>96881.680000000008</v>
      </c>
      <c r="I1350" s="1399">
        <v>96881.680000000008</v>
      </c>
    </row>
    <row r="1351" spans="2:9">
      <c r="B1351" s="1297"/>
      <c r="C1351" s="1297"/>
      <c r="D1351" s="1297" t="s">
        <v>1044</v>
      </c>
      <c r="F1351" s="1399">
        <v>114621.19</v>
      </c>
      <c r="I1351" s="1399">
        <v>114621.19</v>
      </c>
    </row>
    <row r="1352" spans="2:9">
      <c r="B1352" s="1297"/>
      <c r="C1352" s="1297"/>
      <c r="D1352" s="1297" t="s">
        <v>1045</v>
      </c>
      <c r="F1352" s="1399">
        <v>941491.68</v>
      </c>
      <c r="I1352" s="1399">
        <v>941491.68</v>
      </c>
    </row>
    <row r="1353" spans="2:9">
      <c r="B1353" s="1297"/>
      <c r="C1353" s="1297"/>
      <c r="D1353" s="1297" t="s">
        <v>1046</v>
      </c>
      <c r="H1353" s="1399">
        <v>46116974</v>
      </c>
      <c r="I1353" s="1399">
        <v>46116974</v>
      </c>
    </row>
    <row r="1354" spans="2:9">
      <c r="B1354" s="1297"/>
      <c r="C1354" s="1297"/>
      <c r="D1354" s="1297" t="s">
        <v>1128</v>
      </c>
      <c r="H1354" s="1399">
        <v>3746196</v>
      </c>
      <c r="I1354" s="1399">
        <v>3746196</v>
      </c>
    </row>
    <row r="1355" spans="2:9">
      <c r="B1355" s="1297"/>
      <c r="C1355" s="1297"/>
      <c r="D1355" s="1297" t="s">
        <v>1129</v>
      </c>
      <c r="H1355" s="1399">
        <v>-6728742</v>
      </c>
      <c r="I1355" s="1399">
        <v>-6728742</v>
      </c>
    </row>
    <row r="1356" spans="2:9">
      <c r="B1356" s="1297"/>
      <c r="C1356" s="1297"/>
      <c r="D1356" s="1297" t="s">
        <v>1047</v>
      </c>
      <c r="H1356" s="1399">
        <v>1123467</v>
      </c>
      <c r="I1356" s="1399">
        <v>1123467</v>
      </c>
    </row>
    <row r="1357" spans="2:9">
      <c r="B1357" s="1297"/>
      <c r="C1357" s="1297"/>
      <c r="D1357" s="1297" t="s">
        <v>1048</v>
      </c>
      <c r="H1357" s="1399">
        <v>-3722306</v>
      </c>
      <c r="I1357" s="1399">
        <v>-3722306</v>
      </c>
    </row>
    <row r="1358" spans="2:9">
      <c r="B1358" s="1297"/>
      <c r="C1358" s="1297"/>
      <c r="D1358" s="1297" t="s">
        <v>932</v>
      </c>
      <c r="H1358" s="1399">
        <v>8172784</v>
      </c>
      <c r="I1358" s="1399">
        <v>8172784</v>
      </c>
    </row>
    <row r="1359" spans="2:9">
      <c r="B1359" s="1297"/>
      <c r="C1359" s="1297"/>
      <c r="D1359" s="1297" t="s">
        <v>955</v>
      </c>
      <c r="H1359" s="1399">
        <v>2745815.45</v>
      </c>
      <c r="I1359" s="1399">
        <v>2745815.45</v>
      </c>
    </row>
    <row r="1360" spans="2:9">
      <c r="B1360" s="1297"/>
      <c r="C1360" s="1297"/>
      <c r="D1360" s="1297" t="s">
        <v>934</v>
      </c>
      <c r="H1360" s="1399">
        <v>151330</v>
      </c>
      <c r="I1360" s="1399">
        <v>151330</v>
      </c>
    </row>
    <row r="1361" spans="2:9">
      <c r="B1361" s="1297"/>
      <c r="C1361" s="1297"/>
      <c r="D1361" s="1297" t="s">
        <v>935</v>
      </c>
      <c r="H1361" s="1399">
        <v>1304263.19</v>
      </c>
      <c r="I1361" s="1399">
        <v>1304263.19</v>
      </c>
    </row>
    <row r="1362" spans="2:9">
      <c r="B1362" s="1297"/>
      <c r="C1362" s="1297"/>
      <c r="D1362" s="1297" t="s">
        <v>936</v>
      </c>
      <c r="H1362" s="1399">
        <v>170523.31</v>
      </c>
      <c r="I1362" s="1399">
        <v>170523.31</v>
      </c>
    </row>
    <row r="1363" spans="2:9">
      <c r="B1363" s="1297"/>
      <c r="C1363" s="1297"/>
      <c r="D1363" s="1297" t="s">
        <v>937</v>
      </c>
      <c r="H1363" s="1399">
        <v>31821.84</v>
      </c>
      <c r="I1363" s="1399">
        <v>31821.84</v>
      </c>
    </row>
    <row r="1364" spans="2:9">
      <c r="B1364" s="1297"/>
      <c r="C1364" s="1297"/>
      <c r="D1364" s="1297" t="s">
        <v>938</v>
      </c>
      <c r="H1364" s="1399">
        <v>47351</v>
      </c>
      <c r="I1364" s="1399">
        <v>47351</v>
      </c>
    </row>
    <row r="1365" spans="2:9">
      <c r="B1365" s="1297"/>
      <c r="C1365" s="1297"/>
      <c r="D1365" s="1297" t="s">
        <v>939</v>
      </c>
      <c r="H1365" s="1399">
        <v>6175.35</v>
      </c>
      <c r="I1365" s="1399">
        <v>6175.35</v>
      </c>
    </row>
    <row r="1366" spans="2:9">
      <c r="B1366" s="1297"/>
      <c r="C1366" s="1297"/>
      <c r="D1366" s="1297" t="s">
        <v>1131</v>
      </c>
      <c r="E1366" s="1399">
        <v>63171</v>
      </c>
      <c r="I1366" s="1399">
        <v>63171</v>
      </c>
    </row>
    <row r="1367" spans="2:9">
      <c r="B1367" s="1297"/>
      <c r="C1367" s="1297"/>
      <c r="D1367" s="1297" t="s">
        <v>940</v>
      </c>
      <c r="E1367" s="1399">
        <v>2952246.78</v>
      </c>
      <c r="I1367" s="1399">
        <v>2952246.78</v>
      </c>
    </row>
    <row r="1368" spans="2:9">
      <c r="B1368" s="1297"/>
      <c r="C1368" s="1297"/>
      <c r="D1368" s="1297" t="s">
        <v>941</v>
      </c>
      <c r="E1368" s="1399">
        <v>1102092.44</v>
      </c>
      <c r="I1368" s="1399">
        <v>1102092.44</v>
      </c>
    </row>
    <row r="1369" spans="2:9">
      <c r="B1369" s="1297"/>
      <c r="C1369" s="1297"/>
      <c r="D1369" s="1297" t="s">
        <v>943</v>
      </c>
      <c r="E1369" s="1399">
        <v>71612.08</v>
      </c>
      <c r="I1369" s="1399">
        <v>71612.08</v>
      </c>
    </row>
    <row r="1370" spans="2:9">
      <c r="B1370" s="1297"/>
      <c r="C1370" s="1297"/>
      <c r="D1370" s="1297" t="s">
        <v>944</v>
      </c>
      <c r="E1370" s="1399">
        <v>6549458.8999999994</v>
      </c>
      <c r="I1370" s="1399">
        <v>6549458.8999999994</v>
      </c>
    </row>
    <row r="1371" spans="2:9">
      <c r="B1371" s="1297"/>
      <c r="C1371" s="1297"/>
      <c r="D1371" s="1297" t="s">
        <v>945</v>
      </c>
      <c r="E1371" s="1399">
        <v>3692246.93</v>
      </c>
      <c r="I1371" s="1399">
        <v>3692246.93</v>
      </c>
    </row>
    <row r="1372" spans="2:9">
      <c r="B1372" s="1297"/>
      <c r="C1372" s="1297"/>
      <c r="D1372" s="1297" t="s">
        <v>978</v>
      </c>
      <c r="E1372" s="1399">
        <v>1200</v>
      </c>
      <c r="I1372" s="1399">
        <v>1200</v>
      </c>
    </row>
    <row r="1373" spans="2:9">
      <c r="B1373" s="1297"/>
      <c r="C1373" s="1297"/>
      <c r="D1373" s="1297" t="s">
        <v>947</v>
      </c>
      <c r="E1373" s="1399">
        <v>199936.18</v>
      </c>
      <c r="I1373" s="1399">
        <v>199936.18</v>
      </c>
    </row>
    <row r="1374" spans="2:9">
      <c r="B1374" s="1297"/>
      <c r="C1374" s="1297"/>
      <c r="D1374" s="1297" t="s">
        <v>948</v>
      </c>
      <c r="G1374" s="1399">
        <v>7271305.2800000003</v>
      </c>
      <c r="I1374" s="1399">
        <v>7271305.2800000003</v>
      </c>
    </row>
    <row r="1375" spans="2:9">
      <c r="B1375" s="1297"/>
      <c r="C1375" s="1297"/>
      <c r="D1375" s="1297" t="s">
        <v>956</v>
      </c>
      <c r="G1375" s="1399">
        <v>41596.44</v>
      </c>
      <c r="I1375" s="1399">
        <v>41596.44</v>
      </c>
    </row>
    <row r="1376" spans="2:9">
      <c r="B1376" s="1297"/>
      <c r="C1376" s="1297"/>
      <c r="D1376" s="1297" t="s">
        <v>1118</v>
      </c>
      <c r="G1376" s="1399">
        <v>531970.51</v>
      </c>
      <c r="I1376" s="1399">
        <v>531970.51</v>
      </c>
    </row>
    <row r="1377" spans="2:9">
      <c r="B1377" s="1297"/>
      <c r="C1377" s="1400" t="s">
        <v>1077</v>
      </c>
      <c r="D1377" s="1400"/>
      <c r="E1377" s="1401">
        <v>14631964.309999999</v>
      </c>
      <c r="F1377" s="1401">
        <v>21755216.93</v>
      </c>
      <c r="G1377" s="1401">
        <v>7844872.2300000004</v>
      </c>
      <c r="H1377" s="1401">
        <v>53165653.140000008</v>
      </c>
      <c r="I1377" s="1401">
        <v>97397706.610000029</v>
      </c>
    </row>
    <row r="1378" spans="2:9">
      <c r="B1378" s="1297" t="s">
        <v>1078</v>
      </c>
      <c r="C1378" s="1297" t="s">
        <v>1079</v>
      </c>
      <c r="D1378" s="1297" t="s">
        <v>906</v>
      </c>
      <c r="F1378" s="1399">
        <v>66880145.719999999</v>
      </c>
      <c r="I1378" s="1399">
        <v>66880145.719999999</v>
      </c>
    </row>
    <row r="1379" spans="2:9">
      <c r="B1379" s="1297"/>
      <c r="C1379" s="1297"/>
      <c r="D1379" s="1297" t="s">
        <v>952</v>
      </c>
      <c r="F1379" s="1399">
        <v>1953174.72</v>
      </c>
      <c r="I1379" s="1399">
        <v>1953174.72</v>
      </c>
    </row>
    <row r="1380" spans="2:9">
      <c r="B1380" s="1297"/>
      <c r="C1380" s="1297"/>
      <c r="D1380" s="1297" t="s">
        <v>907</v>
      </c>
      <c r="F1380" s="1399">
        <v>18162813.420000002</v>
      </c>
      <c r="I1380" s="1399">
        <v>18162813.420000002</v>
      </c>
    </row>
    <row r="1381" spans="2:9">
      <c r="B1381" s="1297"/>
      <c r="C1381" s="1297"/>
      <c r="D1381" s="1297" t="s">
        <v>908</v>
      </c>
      <c r="F1381" s="1399">
        <v>16860.02</v>
      </c>
      <c r="I1381" s="1399">
        <v>16860.02</v>
      </c>
    </row>
    <row r="1382" spans="2:9">
      <c r="B1382" s="1297"/>
      <c r="C1382" s="1297"/>
      <c r="D1382" s="1297" t="s">
        <v>909</v>
      </c>
      <c r="F1382" s="1399">
        <v>109684.5</v>
      </c>
      <c r="I1382" s="1399">
        <v>109684.5</v>
      </c>
    </row>
    <row r="1383" spans="2:9">
      <c r="B1383" s="1297"/>
      <c r="C1383" s="1297"/>
      <c r="D1383" s="1297" t="s">
        <v>910</v>
      </c>
      <c r="F1383" s="1399">
        <v>1885320.2099999997</v>
      </c>
      <c r="I1383" s="1399">
        <v>1885320.2099999997</v>
      </c>
    </row>
    <row r="1384" spans="2:9">
      <c r="B1384" s="1297"/>
      <c r="C1384" s="1297"/>
      <c r="D1384" s="1297" t="s">
        <v>1034</v>
      </c>
      <c r="F1384" s="1399">
        <v>376180.76999999996</v>
      </c>
      <c r="I1384" s="1399">
        <v>376180.76999999996</v>
      </c>
    </row>
    <row r="1385" spans="2:9">
      <c r="B1385" s="1297"/>
      <c r="C1385" s="1297"/>
      <c r="D1385" s="1297" t="s">
        <v>1035</v>
      </c>
      <c r="F1385" s="1399">
        <v>5714566.0800000019</v>
      </c>
      <c r="I1385" s="1399">
        <v>5714566.0800000019</v>
      </c>
    </row>
    <row r="1386" spans="2:9">
      <c r="B1386" s="1297"/>
      <c r="C1386" s="1297"/>
      <c r="D1386" s="1297" t="s">
        <v>1036</v>
      </c>
      <c r="F1386" s="1399">
        <v>510659.94999999995</v>
      </c>
      <c r="I1386" s="1399">
        <v>510659.94999999995</v>
      </c>
    </row>
    <row r="1387" spans="2:9">
      <c r="B1387" s="1297"/>
      <c r="C1387" s="1297"/>
      <c r="D1387" s="1297" t="s">
        <v>1038</v>
      </c>
      <c r="F1387" s="1399">
        <v>174903.64</v>
      </c>
      <c r="I1387" s="1399">
        <v>174903.64</v>
      </c>
    </row>
    <row r="1388" spans="2:9">
      <c r="B1388" s="1297"/>
      <c r="C1388" s="1297"/>
      <c r="D1388" s="1297" t="s">
        <v>1039</v>
      </c>
      <c r="F1388" s="1399">
        <v>194415.01000000013</v>
      </c>
      <c r="I1388" s="1399">
        <v>194415.01000000013</v>
      </c>
    </row>
    <row r="1389" spans="2:9">
      <c r="B1389" s="1297"/>
      <c r="C1389" s="1297"/>
      <c r="D1389" s="1297" t="s">
        <v>1040</v>
      </c>
      <c r="F1389" s="1399">
        <v>3069163.2199999993</v>
      </c>
      <c r="I1389" s="1399">
        <v>3069163.2199999993</v>
      </c>
    </row>
    <row r="1390" spans="2:9">
      <c r="B1390" s="1297"/>
      <c r="C1390" s="1297"/>
      <c r="D1390" s="1297" t="s">
        <v>1127</v>
      </c>
      <c r="F1390" s="1399">
        <v>205829.2</v>
      </c>
      <c r="I1390" s="1399">
        <v>205829.2</v>
      </c>
    </row>
    <row r="1391" spans="2:9">
      <c r="B1391" s="1297"/>
      <c r="C1391" s="1297"/>
      <c r="D1391" s="1297" t="s">
        <v>1041</v>
      </c>
      <c r="F1391" s="1399">
        <v>885262.56</v>
      </c>
      <c r="I1391" s="1399">
        <v>885262.56</v>
      </c>
    </row>
    <row r="1392" spans="2:9">
      <c r="B1392" s="1297"/>
      <c r="C1392" s="1297"/>
      <c r="D1392" s="1297" t="s">
        <v>1042</v>
      </c>
      <c r="F1392" s="1399">
        <v>152930.45000000001</v>
      </c>
      <c r="I1392" s="1399">
        <v>152930.45000000001</v>
      </c>
    </row>
    <row r="1393" spans="2:9">
      <c r="B1393" s="1297"/>
      <c r="C1393" s="1297"/>
      <c r="D1393" s="1297" t="s">
        <v>954</v>
      </c>
      <c r="F1393" s="1399">
        <v>1081745.1299999999</v>
      </c>
      <c r="I1393" s="1399">
        <v>1081745.1299999999</v>
      </c>
    </row>
    <row r="1394" spans="2:9">
      <c r="B1394" s="1297"/>
      <c r="C1394" s="1297"/>
      <c r="D1394" s="1297" t="s">
        <v>1044</v>
      </c>
      <c r="F1394" s="1399">
        <v>222081.5</v>
      </c>
      <c r="I1394" s="1399">
        <v>222081.5</v>
      </c>
    </row>
    <row r="1395" spans="2:9">
      <c r="B1395" s="1297"/>
      <c r="C1395" s="1297"/>
      <c r="D1395" s="1297" t="s">
        <v>1045</v>
      </c>
      <c r="F1395" s="1399">
        <v>952227.42999999993</v>
      </c>
      <c r="I1395" s="1399">
        <v>952227.42999999993</v>
      </c>
    </row>
    <row r="1396" spans="2:9">
      <c r="B1396" s="1297"/>
      <c r="C1396" s="1297"/>
      <c r="D1396" s="1297" t="s">
        <v>1046</v>
      </c>
      <c r="H1396" s="1399">
        <v>112596567</v>
      </c>
      <c r="I1396" s="1399">
        <v>112596567</v>
      </c>
    </row>
    <row r="1397" spans="2:9">
      <c r="B1397" s="1297"/>
      <c r="C1397" s="1297"/>
      <c r="D1397" s="1297" t="s">
        <v>1128</v>
      </c>
      <c r="H1397" s="1399">
        <v>9834089</v>
      </c>
      <c r="I1397" s="1399">
        <v>9834089</v>
      </c>
    </row>
    <row r="1398" spans="2:9">
      <c r="B1398" s="1297"/>
      <c r="C1398" s="1297"/>
      <c r="D1398" s="1297" t="s">
        <v>1129</v>
      </c>
      <c r="H1398" s="1399">
        <v>-14901370</v>
      </c>
      <c r="I1398" s="1399">
        <v>-14901370</v>
      </c>
    </row>
    <row r="1399" spans="2:9">
      <c r="B1399" s="1297"/>
      <c r="C1399" s="1297"/>
      <c r="D1399" s="1297" t="s">
        <v>1047</v>
      </c>
      <c r="H1399" s="1399">
        <v>2013836</v>
      </c>
      <c r="I1399" s="1399">
        <v>2013836</v>
      </c>
    </row>
    <row r="1400" spans="2:9">
      <c r="B1400" s="1297"/>
      <c r="C1400" s="1297"/>
      <c r="D1400" s="1297" t="s">
        <v>1048</v>
      </c>
      <c r="H1400" s="1399">
        <v>-18319740</v>
      </c>
      <c r="I1400" s="1399">
        <v>-18319740</v>
      </c>
    </row>
    <row r="1401" spans="2:9">
      <c r="B1401" s="1297"/>
      <c r="C1401" s="1297"/>
      <c r="D1401" s="1297" t="s">
        <v>932</v>
      </c>
      <c r="H1401" s="1399">
        <v>6638611</v>
      </c>
      <c r="I1401" s="1399">
        <v>6638611</v>
      </c>
    </row>
    <row r="1402" spans="2:9">
      <c r="B1402" s="1297"/>
      <c r="C1402" s="1297"/>
      <c r="D1402" s="1297" t="s">
        <v>955</v>
      </c>
      <c r="H1402" s="1399">
        <v>1862893.29</v>
      </c>
      <c r="I1402" s="1399">
        <v>1862893.29</v>
      </c>
    </row>
    <row r="1403" spans="2:9">
      <c r="B1403" s="1297"/>
      <c r="C1403" s="1297"/>
      <c r="D1403" s="1297" t="s">
        <v>934</v>
      </c>
      <c r="H1403" s="1399">
        <v>282938</v>
      </c>
      <c r="I1403" s="1399">
        <v>282938</v>
      </c>
    </row>
    <row r="1404" spans="2:9">
      <c r="B1404" s="1297"/>
      <c r="C1404" s="1297"/>
      <c r="D1404" s="1297" t="s">
        <v>1130</v>
      </c>
      <c r="H1404" s="1399">
        <v>3532521.6</v>
      </c>
      <c r="I1404" s="1399">
        <v>3532521.6</v>
      </c>
    </row>
    <row r="1405" spans="2:9">
      <c r="B1405" s="1297"/>
      <c r="C1405" s="1297"/>
      <c r="D1405" s="1297" t="s">
        <v>935</v>
      </c>
      <c r="H1405" s="1399">
        <v>1134889.01</v>
      </c>
      <c r="I1405" s="1399">
        <v>1134889.01</v>
      </c>
    </row>
    <row r="1406" spans="2:9">
      <c r="B1406" s="1297"/>
      <c r="C1406" s="1297"/>
      <c r="D1406" s="1297" t="s">
        <v>936</v>
      </c>
      <c r="H1406" s="1399">
        <v>310933.68</v>
      </c>
      <c r="I1406" s="1399">
        <v>310933.68</v>
      </c>
    </row>
    <row r="1407" spans="2:9">
      <c r="B1407" s="1297"/>
      <c r="C1407" s="1297"/>
      <c r="D1407" s="1297" t="s">
        <v>937</v>
      </c>
      <c r="H1407" s="1399">
        <v>22491.23</v>
      </c>
      <c r="I1407" s="1399">
        <v>22491.23</v>
      </c>
    </row>
    <row r="1408" spans="2:9">
      <c r="B1408" s="1297"/>
      <c r="C1408" s="1297"/>
      <c r="D1408" s="1297" t="s">
        <v>938</v>
      </c>
      <c r="H1408" s="1399">
        <v>112482</v>
      </c>
      <c r="I1408" s="1399">
        <v>112482</v>
      </c>
    </row>
    <row r="1409" spans="2:9">
      <c r="B1409" s="1297"/>
      <c r="C1409" s="1297"/>
      <c r="D1409" s="1297" t="s">
        <v>939</v>
      </c>
      <c r="H1409" s="1399">
        <v>20427.669999999998</v>
      </c>
      <c r="I1409" s="1399">
        <v>20427.669999999998</v>
      </c>
    </row>
    <row r="1410" spans="2:9">
      <c r="B1410" s="1297"/>
      <c r="C1410" s="1297"/>
      <c r="D1410" s="1297" t="s">
        <v>1131</v>
      </c>
      <c r="E1410" s="1399">
        <v>284947.5</v>
      </c>
      <c r="I1410" s="1399">
        <v>284947.5</v>
      </c>
    </row>
    <row r="1411" spans="2:9">
      <c r="B1411" s="1297"/>
      <c r="C1411" s="1297"/>
      <c r="D1411" s="1297" t="s">
        <v>940</v>
      </c>
      <c r="E1411" s="1399">
        <v>3167548.4399999995</v>
      </c>
      <c r="I1411" s="1399">
        <v>3167548.4399999995</v>
      </c>
    </row>
    <row r="1412" spans="2:9">
      <c r="B1412" s="1297"/>
      <c r="C1412" s="1297"/>
      <c r="D1412" s="1297" t="s">
        <v>941</v>
      </c>
      <c r="E1412" s="1399">
        <v>678320.90000000014</v>
      </c>
      <c r="I1412" s="1399">
        <v>678320.90000000014</v>
      </c>
    </row>
    <row r="1413" spans="2:9">
      <c r="B1413" s="1297"/>
      <c r="C1413" s="1297"/>
      <c r="D1413" s="1297" t="s">
        <v>943</v>
      </c>
      <c r="E1413" s="1399">
        <v>19632.740000000002</v>
      </c>
      <c r="I1413" s="1399">
        <v>19632.740000000002</v>
      </c>
    </row>
    <row r="1414" spans="2:9">
      <c r="B1414" s="1297"/>
      <c r="C1414" s="1297"/>
      <c r="D1414" s="1297" t="s">
        <v>944</v>
      </c>
      <c r="E1414" s="1399">
        <v>6222285.870000001</v>
      </c>
      <c r="I1414" s="1399">
        <v>6222285.870000001</v>
      </c>
    </row>
    <row r="1415" spans="2:9">
      <c r="B1415" s="1297"/>
      <c r="C1415" s="1297"/>
      <c r="D1415" s="1297" t="s">
        <v>945</v>
      </c>
      <c r="E1415" s="1399">
        <v>7287681.04</v>
      </c>
      <c r="I1415" s="1399">
        <v>7287681.04</v>
      </c>
    </row>
    <row r="1416" spans="2:9">
      <c r="B1416" s="1297"/>
      <c r="C1416" s="1297"/>
      <c r="D1416" s="1297" t="s">
        <v>1006</v>
      </c>
      <c r="E1416" s="1399">
        <v>480306.63</v>
      </c>
      <c r="I1416" s="1399">
        <v>480306.63</v>
      </c>
    </row>
    <row r="1417" spans="2:9">
      <c r="B1417" s="1297"/>
      <c r="C1417" s="1297"/>
      <c r="D1417" s="1297" t="s">
        <v>947</v>
      </c>
      <c r="E1417" s="1399">
        <v>538644.05999999994</v>
      </c>
      <c r="I1417" s="1399">
        <v>538644.05999999994</v>
      </c>
    </row>
    <row r="1418" spans="2:9">
      <c r="B1418" s="1297"/>
      <c r="C1418" s="1297"/>
      <c r="D1418" s="1297" t="s">
        <v>1116</v>
      </c>
      <c r="G1418" s="1399">
        <v>35000000</v>
      </c>
      <c r="I1418" s="1399">
        <v>35000000</v>
      </c>
    </row>
    <row r="1419" spans="2:9">
      <c r="B1419" s="1297"/>
      <c r="C1419" s="1297"/>
      <c r="D1419" s="1297" t="s">
        <v>1117</v>
      </c>
      <c r="G1419" s="1399">
        <v>3685575.45</v>
      </c>
      <c r="I1419" s="1399">
        <v>3685575.45</v>
      </c>
    </row>
    <row r="1420" spans="2:9">
      <c r="B1420" s="1297"/>
      <c r="C1420" s="1297"/>
      <c r="D1420" s="1297" t="s">
        <v>948</v>
      </c>
      <c r="G1420" s="1399">
        <v>25412030.180000011</v>
      </c>
      <c r="I1420" s="1399">
        <v>25412030.180000011</v>
      </c>
    </row>
    <row r="1421" spans="2:9">
      <c r="B1421" s="1297"/>
      <c r="C1421" s="1297"/>
      <c r="D1421" s="1297" t="s">
        <v>1080</v>
      </c>
      <c r="G1421" s="1399">
        <v>78483.63</v>
      </c>
      <c r="I1421" s="1399">
        <v>78483.63</v>
      </c>
    </row>
    <row r="1422" spans="2:9">
      <c r="B1422" s="1297"/>
      <c r="C1422" s="1400" t="s">
        <v>1081</v>
      </c>
      <c r="D1422" s="1400"/>
      <c r="E1422" s="1401">
        <v>18679367.18</v>
      </c>
      <c r="F1422" s="1401">
        <v>102547963.53</v>
      </c>
      <c r="G1422" s="1401">
        <v>64176089.260000013</v>
      </c>
      <c r="H1422" s="1401">
        <v>105141569.48000002</v>
      </c>
      <c r="I1422" s="1401">
        <v>290544989.44999999</v>
      </c>
    </row>
    <row r="1423" spans="2:9">
      <c r="B1423" s="1297" t="s">
        <v>1082</v>
      </c>
      <c r="C1423" s="1297" t="s">
        <v>1083</v>
      </c>
      <c r="D1423" s="1297" t="s">
        <v>906</v>
      </c>
      <c r="F1423" s="1399">
        <v>5584989.5700000003</v>
      </c>
      <c r="I1423" s="1399">
        <v>5584989.5700000003</v>
      </c>
    </row>
    <row r="1424" spans="2:9">
      <c r="B1424" s="1297"/>
      <c r="C1424" s="1297"/>
      <c r="D1424" s="1297" t="s">
        <v>952</v>
      </c>
      <c r="F1424" s="1399">
        <v>56567.06</v>
      </c>
      <c r="I1424" s="1399">
        <v>56567.06</v>
      </c>
    </row>
    <row r="1425" spans="2:9">
      <c r="B1425" s="1297"/>
      <c r="C1425" s="1297"/>
      <c r="D1425" s="1297" t="s">
        <v>907</v>
      </c>
      <c r="F1425" s="1399">
        <v>1655269.22</v>
      </c>
      <c r="I1425" s="1399">
        <v>1655269.22</v>
      </c>
    </row>
    <row r="1426" spans="2:9">
      <c r="B1426" s="1297"/>
      <c r="C1426" s="1297"/>
      <c r="D1426" s="1297" t="s">
        <v>908</v>
      </c>
      <c r="F1426" s="1399">
        <v>23924.13</v>
      </c>
      <c r="I1426" s="1399">
        <v>23924.13</v>
      </c>
    </row>
    <row r="1427" spans="2:9">
      <c r="B1427" s="1297"/>
      <c r="C1427" s="1297"/>
      <c r="D1427" s="1297" t="s">
        <v>909</v>
      </c>
      <c r="F1427" s="1399">
        <v>34866.99</v>
      </c>
      <c r="I1427" s="1399">
        <v>34866.99</v>
      </c>
    </row>
    <row r="1428" spans="2:9">
      <c r="B1428" s="1297"/>
      <c r="C1428" s="1297"/>
      <c r="D1428" s="1297" t="s">
        <v>910</v>
      </c>
      <c r="F1428" s="1399">
        <v>68852.009999999995</v>
      </c>
      <c r="I1428" s="1399">
        <v>68852.009999999995</v>
      </c>
    </row>
    <row r="1429" spans="2:9">
      <c r="B1429" s="1297"/>
      <c r="C1429" s="1297"/>
      <c r="D1429" s="1297" t="s">
        <v>1034</v>
      </c>
      <c r="F1429" s="1399">
        <v>32839.89</v>
      </c>
      <c r="I1429" s="1399">
        <v>32839.89</v>
      </c>
    </row>
    <row r="1430" spans="2:9">
      <c r="B1430" s="1297"/>
      <c r="C1430" s="1297"/>
      <c r="D1430" s="1297" t="s">
        <v>1035</v>
      </c>
      <c r="F1430" s="1399">
        <v>47076.41</v>
      </c>
      <c r="I1430" s="1399">
        <v>47076.41</v>
      </c>
    </row>
    <row r="1431" spans="2:9">
      <c r="B1431" s="1297"/>
      <c r="C1431" s="1297"/>
      <c r="D1431" s="1297" t="s">
        <v>1036</v>
      </c>
      <c r="F1431" s="1399">
        <v>9570.59</v>
      </c>
      <c r="I1431" s="1399">
        <v>9570.59</v>
      </c>
    </row>
    <row r="1432" spans="2:9">
      <c r="B1432" s="1297"/>
      <c r="C1432" s="1297"/>
      <c r="D1432" s="1297" t="s">
        <v>1037</v>
      </c>
      <c r="F1432" s="1399">
        <v>4230</v>
      </c>
      <c r="I1432" s="1399">
        <v>4230</v>
      </c>
    </row>
    <row r="1433" spans="2:9">
      <c r="B1433" s="1297"/>
      <c r="C1433" s="1297"/>
      <c r="D1433" s="1297" t="s">
        <v>1038</v>
      </c>
      <c r="F1433" s="1399">
        <v>650</v>
      </c>
      <c r="I1433" s="1399">
        <v>650</v>
      </c>
    </row>
    <row r="1434" spans="2:9">
      <c r="B1434" s="1297"/>
      <c r="C1434" s="1297"/>
      <c r="D1434" s="1297" t="s">
        <v>1039</v>
      </c>
      <c r="F1434" s="1399">
        <v>13777.46</v>
      </c>
      <c r="I1434" s="1399">
        <v>13777.46</v>
      </c>
    </row>
    <row r="1435" spans="2:9">
      <c r="B1435" s="1297"/>
      <c r="C1435" s="1297"/>
      <c r="D1435" s="1297" t="s">
        <v>1040</v>
      </c>
      <c r="F1435" s="1399">
        <v>153606.32</v>
      </c>
      <c r="I1435" s="1399">
        <v>153606.32</v>
      </c>
    </row>
    <row r="1436" spans="2:9">
      <c r="B1436" s="1297"/>
      <c r="C1436" s="1297"/>
      <c r="D1436" s="1297" t="s">
        <v>1041</v>
      </c>
      <c r="F1436" s="1399">
        <v>58566.89</v>
      </c>
      <c r="I1436" s="1399">
        <v>58566.89</v>
      </c>
    </row>
    <row r="1437" spans="2:9">
      <c r="B1437" s="1297"/>
      <c r="C1437" s="1297"/>
      <c r="D1437" s="1297" t="s">
        <v>1042</v>
      </c>
      <c r="F1437" s="1399">
        <v>56648.9</v>
      </c>
      <c r="I1437" s="1399">
        <v>56648.9</v>
      </c>
    </row>
    <row r="1438" spans="2:9">
      <c r="B1438" s="1297"/>
      <c r="C1438" s="1297"/>
      <c r="D1438" s="1297" t="s">
        <v>986</v>
      </c>
      <c r="F1438" s="1399">
        <v>16788.52</v>
      </c>
      <c r="I1438" s="1399">
        <v>16788.52</v>
      </c>
    </row>
    <row r="1439" spans="2:9">
      <c r="B1439" s="1297"/>
      <c r="C1439" s="1297"/>
      <c r="D1439" s="1297" t="s">
        <v>1045</v>
      </c>
      <c r="F1439" s="1399">
        <v>347168.75000000006</v>
      </c>
      <c r="I1439" s="1399">
        <v>347168.75000000006</v>
      </c>
    </row>
    <row r="1440" spans="2:9">
      <c r="B1440" s="1297"/>
      <c r="C1440" s="1297"/>
      <c r="D1440" s="1297" t="s">
        <v>1046</v>
      </c>
      <c r="H1440" s="1399">
        <v>14857163</v>
      </c>
      <c r="I1440" s="1399">
        <v>14857163</v>
      </c>
    </row>
    <row r="1441" spans="2:9">
      <c r="B1441" s="1297"/>
      <c r="C1441" s="1297"/>
      <c r="D1441" s="1297" t="s">
        <v>1047</v>
      </c>
      <c r="H1441" s="1399">
        <v>414854</v>
      </c>
      <c r="I1441" s="1399">
        <v>414854</v>
      </c>
    </row>
    <row r="1442" spans="2:9">
      <c r="B1442" s="1297"/>
      <c r="C1442" s="1297"/>
      <c r="D1442" s="1297" t="s">
        <v>1048</v>
      </c>
      <c r="H1442" s="1399">
        <v>-1664567</v>
      </c>
      <c r="I1442" s="1399">
        <v>-1664567</v>
      </c>
    </row>
    <row r="1443" spans="2:9">
      <c r="B1443" s="1297"/>
      <c r="C1443" s="1297"/>
      <c r="D1443" s="1297" t="s">
        <v>932</v>
      </c>
      <c r="H1443" s="1399">
        <v>2243375</v>
      </c>
      <c r="I1443" s="1399">
        <v>2243375</v>
      </c>
    </row>
    <row r="1444" spans="2:9">
      <c r="B1444" s="1297"/>
      <c r="C1444" s="1297"/>
      <c r="D1444" s="1297" t="s">
        <v>933</v>
      </c>
      <c r="H1444" s="1399">
        <v>1166686.92</v>
      </c>
      <c r="I1444" s="1399">
        <v>1166686.92</v>
      </c>
    </row>
    <row r="1445" spans="2:9">
      <c r="B1445" s="1297"/>
      <c r="C1445" s="1297"/>
      <c r="D1445" s="1297" t="s">
        <v>934</v>
      </c>
      <c r="H1445" s="1399">
        <v>53328</v>
      </c>
      <c r="I1445" s="1399">
        <v>53328</v>
      </c>
    </row>
    <row r="1446" spans="2:9">
      <c r="B1446" s="1297"/>
      <c r="C1446" s="1297"/>
      <c r="D1446" s="1297" t="s">
        <v>935</v>
      </c>
      <c r="H1446" s="1399">
        <v>379378.22000000003</v>
      </c>
      <c r="I1446" s="1399">
        <v>379378.22000000003</v>
      </c>
    </row>
    <row r="1447" spans="2:9">
      <c r="B1447" s="1297"/>
      <c r="C1447" s="1297"/>
      <c r="D1447" s="1297" t="s">
        <v>936</v>
      </c>
      <c r="H1447" s="1399">
        <v>58124.99</v>
      </c>
      <c r="I1447" s="1399">
        <v>58124.99</v>
      </c>
    </row>
    <row r="1448" spans="2:9">
      <c r="B1448" s="1297"/>
      <c r="C1448" s="1297"/>
      <c r="D1448" s="1297" t="s">
        <v>937</v>
      </c>
      <c r="H1448" s="1399">
        <v>11735.59</v>
      </c>
      <c r="I1448" s="1399">
        <v>11735.59</v>
      </c>
    </row>
    <row r="1449" spans="2:9">
      <c r="B1449" s="1297"/>
      <c r="C1449" s="1297"/>
      <c r="D1449" s="1297" t="s">
        <v>938</v>
      </c>
      <c r="H1449" s="1399">
        <v>17967</v>
      </c>
      <c r="I1449" s="1399">
        <v>17967</v>
      </c>
    </row>
    <row r="1450" spans="2:9">
      <c r="B1450" s="1297"/>
      <c r="C1450" s="1297"/>
      <c r="D1450" s="1297" t="s">
        <v>939</v>
      </c>
      <c r="H1450" s="1399">
        <v>225809.6</v>
      </c>
      <c r="I1450" s="1399">
        <v>225809.6</v>
      </c>
    </row>
    <row r="1451" spans="2:9">
      <c r="B1451" s="1297"/>
      <c r="C1451" s="1297"/>
      <c r="D1451" s="1297" t="s">
        <v>940</v>
      </c>
      <c r="E1451" s="1399">
        <v>872821.64</v>
      </c>
      <c r="I1451" s="1399">
        <v>872821.64</v>
      </c>
    </row>
    <row r="1452" spans="2:9">
      <c r="B1452" s="1297"/>
      <c r="C1452" s="1297"/>
      <c r="D1452" s="1297" t="s">
        <v>941</v>
      </c>
      <c r="E1452" s="1399">
        <v>339005.44</v>
      </c>
      <c r="I1452" s="1399">
        <v>339005.44</v>
      </c>
    </row>
    <row r="1453" spans="2:9">
      <c r="B1453" s="1297"/>
      <c r="C1453" s="1297"/>
      <c r="D1453" s="1297" t="s">
        <v>943</v>
      </c>
      <c r="E1453" s="1399">
        <v>8315.3799999999992</v>
      </c>
      <c r="I1453" s="1399">
        <v>8315.3799999999992</v>
      </c>
    </row>
    <row r="1454" spans="2:9">
      <c r="B1454" s="1297"/>
      <c r="C1454" s="1297"/>
      <c r="D1454" s="1297" t="s">
        <v>944</v>
      </c>
      <c r="E1454" s="1399">
        <v>2349819.4499999997</v>
      </c>
      <c r="I1454" s="1399">
        <v>2349819.4499999997</v>
      </c>
    </row>
    <row r="1455" spans="2:9">
      <c r="B1455" s="1297"/>
      <c r="C1455" s="1297"/>
      <c r="D1455" s="1297" t="s">
        <v>945</v>
      </c>
      <c r="E1455" s="1399">
        <v>1564061.5</v>
      </c>
      <c r="I1455" s="1399">
        <v>1564061.5</v>
      </c>
    </row>
    <row r="1456" spans="2:9">
      <c r="B1456" s="1297"/>
      <c r="C1456" s="1297"/>
      <c r="D1456" s="1297" t="s">
        <v>946</v>
      </c>
      <c r="E1456" s="1399">
        <v>126215.28</v>
      </c>
      <c r="I1456" s="1399">
        <v>126215.28</v>
      </c>
    </row>
    <row r="1457" spans="2:9">
      <c r="B1457" s="1297"/>
      <c r="C1457" s="1297"/>
      <c r="D1457" s="1297" t="s">
        <v>947</v>
      </c>
      <c r="E1457" s="1399">
        <v>94631.41</v>
      </c>
      <c r="I1457" s="1399">
        <v>94631.41</v>
      </c>
    </row>
    <row r="1458" spans="2:9">
      <c r="B1458" s="1297"/>
      <c r="C1458" s="1297"/>
      <c r="D1458" s="1297" t="s">
        <v>948</v>
      </c>
      <c r="G1458" s="1399">
        <v>2497391.3700000006</v>
      </c>
      <c r="I1458" s="1399">
        <v>2497391.3700000006</v>
      </c>
    </row>
    <row r="1459" spans="2:9">
      <c r="B1459" s="1297"/>
      <c r="C1459" s="1297"/>
      <c r="D1459" s="1297" t="s">
        <v>1118</v>
      </c>
      <c r="G1459" s="1399">
        <v>388070.04000000004</v>
      </c>
      <c r="I1459" s="1399">
        <v>388070.04000000004</v>
      </c>
    </row>
    <row r="1460" spans="2:9">
      <c r="B1460" s="1297"/>
      <c r="C1460" s="1400" t="s">
        <v>1084</v>
      </c>
      <c r="D1460" s="1400"/>
      <c r="E1460" s="1401">
        <v>5354870.1000000006</v>
      </c>
      <c r="F1460" s="1401">
        <v>8165392.709999999</v>
      </c>
      <c r="G1460" s="1401">
        <v>2885461.4100000006</v>
      </c>
      <c r="H1460" s="1401">
        <v>17763855.32</v>
      </c>
      <c r="I1460" s="1401">
        <v>34169579.539999999</v>
      </c>
    </row>
    <row r="1461" spans="2:9">
      <c r="B1461" s="1297" t="s">
        <v>1085</v>
      </c>
      <c r="C1461" s="1297" t="s">
        <v>1086</v>
      </c>
      <c r="D1461" s="1297" t="s">
        <v>906</v>
      </c>
      <c r="F1461" s="1399">
        <v>73521907.789999992</v>
      </c>
      <c r="I1461" s="1399">
        <v>73521907.789999992</v>
      </c>
    </row>
    <row r="1462" spans="2:9">
      <c r="B1462" s="1297"/>
      <c r="C1462" s="1297"/>
      <c r="D1462" s="1297" t="s">
        <v>952</v>
      </c>
      <c r="F1462" s="1399">
        <v>1083489.92</v>
      </c>
      <c r="I1462" s="1399">
        <v>1083489.92</v>
      </c>
    </row>
    <row r="1463" spans="2:9">
      <c r="B1463" s="1297"/>
      <c r="C1463" s="1297"/>
      <c r="D1463" s="1297" t="s">
        <v>907</v>
      </c>
      <c r="F1463" s="1399">
        <v>19188526.219999999</v>
      </c>
      <c r="I1463" s="1399">
        <v>19188526.219999999</v>
      </c>
    </row>
    <row r="1464" spans="2:9">
      <c r="B1464" s="1297"/>
      <c r="C1464" s="1297"/>
      <c r="D1464" s="1297" t="s">
        <v>908</v>
      </c>
      <c r="F1464" s="1399">
        <v>56682.93</v>
      </c>
      <c r="I1464" s="1399">
        <v>56682.93</v>
      </c>
    </row>
    <row r="1465" spans="2:9">
      <c r="B1465" s="1297"/>
      <c r="C1465" s="1297"/>
      <c r="D1465" s="1297" t="s">
        <v>909</v>
      </c>
      <c r="F1465" s="1399">
        <v>73219.899999999994</v>
      </c>
      <c r="I1465" s="1399">
        <v>73219.899999999994</v>
      </c>
    </row>
    <row r="1466" spans="2:9">
      <c r="B1466" s="1297"/>
      <c r="C1466" s="1297"/>
      <c r="D1466" s="1297" t="s">
        <v>1034</v>
      </c>
      <c r="F1466" s="1399">
        <v>512233.88</v>
      </c>
      <c r="I1466" s="1399">
        <v>512233.88</v>
      </c>
    </row>
    <row r="1467" spans="2:9">
      <c r="B1467" s="1297"/>
      <c r="C1467" s="1297"/>
      <c r="D1467" s="1297" t="s">
        <v>1035</v>
      </c>
      <c r="F1467" s="1399">
        <v>2300484.7000000002</v>
      </c>
      <c r="I1467" s="1399">
        <v>2300484.7000000002</v>
      </c>
    </row>
    <row r="1468" spans="2:9">
      <c r="B1468" s="1297"/>
      <c r="C1468" s="1297"/>
      <c r="D1468" s="1297" t="s">
        <v>1036</v>
      </c>
      <c r="F1468" s="1399">
        <v>586180.12</v>
      </c>
      <c r="I1468" s="1399">
        <v>586180.12</v>
      </c>
    </row>
    <row r="1469" spans="2:9">
      <c r="B1469" s="1297"/>
      <c r="C1469" s="1297"/>
      <c r="D1469" s="1297" t="s">
        <v>1037</v>
      </c>
      <c r="F1469" s="1399">
        <v>48400</v>
      </c>
      <c r="I1469" s="1399">
        <v>48400</v>
      </c>
    </row>
    <row r="1470" spans="2:9">
      <c r="B1470" s="1297"/>
      <c r="C1470" s="1297"/>
      <c r="D1470" s="1297" t="s">
        <v>1039</v>
      </c>
      <c r="F1470" s="1399">
        <v>177703.58</v>
      </c>
      <c r="I1470" s="1399">
        <v>177703.58</v>
      </c>
    </row>
    <row r="1471" spans="2:9">
      <c r="B1471" s="1297"/>
      <c r="C1471" s="1297"/>
      <c r="D1471" s="1297" t="s">
        <v>1040</v>
      </c>
      <c r="F1471" s="1399">
        <v>2781167.6400000011</v>
      </c>
      <c r="I1471" s="1399">
        <v>2781167.6400000011</v>
      </c>
    </row>
    <row r="1472" spans="2:9">
      <c r="B1472" s="1297"/>
      <c r="C1472" s="1297"/>
      <c r="D1472" s="1297" t="s">
        <v>1041</v>
      </c>
      <c r="F1472" s="1399">
        <v>109897.68</v>
      </c>
      <c r="I1472" s="1399">
        <v>109897.68</v>
      </c>
    </row>
    <row r="1473" spans="2:9">
      <c r="B1473" s="1297"/>
      <c r="C1473" s="1297"/>
      <c r="D1473" s="1297" t="s">
        <v>1042</v>
      </c>
      <c r="F1473" s="1399">
        <v>214087.50000000003</v>
      </c>
      <c r="I1473" s="1399">
        <v>214087.50000000003</v>
      </c>
    </row>
    <row r="1474" spans="2:9">
      <c r="B1474" s="1297"/>
      <c r="C1474" s="1297"/>
      <c r="D1474" s="1297" t="s">
        <v>985</v>
      </c>
      <c r="F1474" s="1399">
        <v>994443</v>
      </c>
      <c r="I1474" s="1399">
        <v>994443</v>
      </c>
    </row>
    <row r="1475" spans="2:9">
      <c r="B1475" s="1297"/>
      <c r="C1475" s="1297"/>
      <c r="D1475" s="1297" t="s">
        <v>1044</v>
      </c>
      <c r="F1475" s="1399">
        <v>244307.92</v>
      </c>
      <c r="I1475" s="1399">
        <v>244307.92</v>
      </c>
    </row>
    <row r="1476" spans="2:9">
      <c r="B1476" s="1297"/>
      <c r="C1476" s="1297"/>
      <c r="D1476" s="1297" t="s">
        <v>1045</v>
      </c>
      <c r="F1476" s="1399">
        <v>1031304.4099999999</v>
      </c>
      <c r="I1476" s="1399">
        <v>1031304.4099999999</v>
      </c>
    </row>
    <row r="1477" spans="2:9">
      <c r="B1477" s="1297"/>
      <c r="C1477" s="1297"/>
      <c r="D1477" s="1297" t="s">
        <v>1046</v>
      </c>
      <c r="H1477" s="1399">
        <v>118804604</v>
      </c>
      <c r="I1477" s="1399">
        <v>118804604</v>
      </c>
    </row>
    <row r="1478" spans="2:9">
      <c r="B1478" s="1297"/>
      <c r="C1478" s="1297"/>
      <c r="D1478" s="1297" t="s">
        <v>1129</v>
      </c>
      <c r="H1478" s="1399">
        <v>-14832476</v>
      </c>
      <c r="I1478" s="1399">
        <v>-14832476</v>
      </c>
    </row>
    <row r="1479" spans="2:9">
      <c r="B1479" s="1297"/>
      <c r="C1479" s="1297"/>
      <c r="D1479" s="1297" t="s">
        <v>1047</v>
      </c>
      <c r="H1479" s="1399">
        <v>2082429</v>
      </c>
      <c r="I1479" s="1399">
        <v>2082429</v>
      </c>
    </row>
    <row r="1480" spans="2:9">
      <c r="B1480" s="1297"/>
      <c r="C1480" s="1297"/>
      <c r="D1480" s="1297" t="s">
        <v>1048</v>
      </c>
      <c r="H1480" s="1399">
        <v>-20594102</v>
      </c>
      <c r="I1480" s="1399">
        <v>-20594102</v>
      </c>
    </row>
    <row r="1481" spans="2:9">
      <c r="B1481" s="1297"/>
      <c r="C1481" s="1297"/>
      <c r="D1481" s="1297" t="s">
        <v>932</v>
      </c>
      <c r="H1481" s="1399">
        <v>3510445</v>
      </c>
      <c r="I1481" s="1399">
        <v>3510445</v>
      </c>
    </row>
    <row r="1482" spans="2:9">
      <c r="B1482" s="1297"/>
      <c r="C1482" s="1297"/>
      <c r="D1482" s="1297" t="s">
        <v>955</v>
      </c>
      <c r="H1482" s="1399">
        <v>2520060.96</v>
      </c>
      <c r="I1482" s="1399">
        <v>2520060.96</v>
      </c>
    </row>
    <row r="1483" spans="2:9">
      <c r="B1483" s="1297"/>
      <c r="C1483" s="1297"/>
      <c r="D1483" s="1297" t="s">
        <v>934</v>
      </c>
      <c r="H1483" s="1399">
        <v>295742</v>
      </c>
      <c r="I1483" s="1399">
        <v>295742</v>
      </c>
    </row>
    <row r="1484" spans="2:9">
      <c r="B1484" s="1297"/>
      <c r="C1484" s="1297"/>
      <c r="D1484" s="1297" t="s">
        <v>1130</v>
      </c>
      <c r="H1484" s="1399">
        <v>2970251.88</v>
      </c>
      <c r="I1484" s="1399">
        <v>2970251.88</v>
      </c>
    </row>
    <row r="1485" spans="2:9">
      <c r="B1485" s="1297"/>
      <c r="C1485" s="1297"/>
      <c r="D1485" s="1297" t="s">
        <v>935</v>
      </c>
      <c r="H1485" s="1399">
        <v>1260595.4400000002</v>
      </c>
      <c r="I1485" s="1399">
        <v>1260595.4400000002</v>
      </c>
    </row>
    <row r="1486" spans="2:9">
      <c r="B1486" s="1297"/>
      <c r="C1486" s="1297"/>
      <c r="D1486" s="1297" t="s">
        <v>936</v>
      </c>
      <c r="H1486" s="1399">
        <v>335444.21000000002</v>
      </c>
      <c r="I1486" s="1399">
        <v>335444.21000000002</v>
      </c>
    </row>
    <row r="1487" spans="2:9">
      <c r="B1487" s="1297"/>
      <c r="C1487" s="1297"/>
      <c r="D1487" s="1297" t="s">
        <v>938</v>
      </c>
      <c r="H1487" s="1399">
        <v>125022</v>
      </c>
      <c r="I1487" s="1399">
        <v>125022</v>
      </c>
    </row>
    <row r="1488" spans="2:9">
      <c r="B1488" s="1297"/>
      <c r="C1488" s="1297"/>
      <c r="D1488" s="1297" t="s">
        <v>939</v>
      </c>
      <c r="H1488" s="1399">
        <v>40755.89</v>
      </c>
      <c r="I1488" s="1399">
        <v>40755.89</v>
      </c>
    </row>
    <row r="1489" spans="2:9">
      <c r="B1489" s="1297"/>
      <c r="C1489" s="1297"/>
      <c r="D1489" s="1297" t="s">
        <v>1131</v>
      </c>
      <c r="E1489" s="1399">
        <v>190339.52</v>
      </c>
      <c r="I1489" s="1399">
        <v>190339.52</v>
      </c>
    </row>
    <row r="1490" spans="2:9">
      <c r="B1490" s="1297"/>
      <c r="C1490" s="1297"/>
      <c r="D1490" s="1297" t="s">
        <v>940</v>
      </c>
      <c r="E1490" s="1399">
        <v>3968224.3999999994</v>
      </c>
      <c r="I1490" s="1399">
        <v>3968224.3999999994</v>
      </c>
    </row>
    <row r="1491" spans="2:9">
      <c r="B1491" s="1297"/>
      <c r="C1491" s="1297"/>
      <c r="D1491" s="1297" t="s">
        <v>941</v>
      </c>
      <c r="E1491" s="1399">
        <v>1042471.2600000002</v>
      </c>
      <c r="I1491" s="1399">
        <v>1042471.2600000002</v>
      </c>
    </row>
    <row r="1492" spans="2:9">
      <c r="B1492" s="1297"/>
      <c r="C1492" s="1297"/>
      <c r="D1492" s="1297" t="s">
        <v>944</v>
      </c>
      <c r="E1492" s="1399">
        <v>8268146.9299999997</v>
      </c>
      <c r="I1492" s="1399">
        <v>8268146.9299999997</v>
      </c>
    </row>
    <row r="1493" spans="2:9">
      <c r="B1493" s="1297"/>
      <c r="C1493" s="1297"/>
      <c r="D1493" s="1297" t="s">
        <v>945</v>
      </c>
      <c r="E1493" s="1399">
        <v>6995934.7299999995</v>
      </c>
      <c r="I1493" s="1399">
        <v>6995934.7299999995</v>
      </c>
    </row>
    <row r="1494" spans="2:9">
      <c r="B1494" s="1297"/>
      <c r="C1494" s="1297"/>
      <c r="D1494" s="1297" t="s">
        <v>946</v>
      </c>
      <c r="E1494" s="1399">
        <v>823248.13</v>
      </c>
      <c r="I1494" s="1399">
        <v>823248.13</v>
      </c>
    </row>
    <row r="1495" spans="2:9">
      <c r="B1495" s="1297"/>
      <c r="C1495" s="1297"/>
      <c r="D1495" s="1297" t="s">
        <v>947</v>
      </c>
      <c r="E1495" s="1399">
        <v>276717.33</v>
      </c>
      <c r="I1495" s="1399">
        <v>276717.33</v>
      </c>
    </row>
    <row r="1496" spans="2:9">
      <c r="B1496" s="1297"/>
      <c r="C1496" s="1297"/>
      <c r="D1496" s="1297" t="s">
        <v>948</v>
      </c>
      <c r="G1496" s="1399">
        <v>15766588.520000001</v>
      </c>
      <c r="I1496" s="1399">
        <v>15766588.520000001</v>
      </c>
    </row>
    <row r="1497" spans="2:9">
      <c r="B1497" s="1297"/>
      <c r="C1497" s="1297"/>
      <c r="D1497" s="1297" t="s">
        <v>956</v>
      </c>
      <c r="G1497" s="1399">
        <v>119568.12000000001</v>
      </c>
      <c r="I1497" s="1399">
        <v>119568.12000000001</v>
      </c>
    </row>
    <row r="1498" spans="2:9">
      <c r="B1498" s="1297"/>
      <c r="C1498" s="1400" t="s">
        <v>1087</v>
      </c>
      <c r="D1498" s="1400"/>
      <c r="E1498" s="1401">
        <v>21565082.299999997</v>
      </c>
      <c r="F1498" s="1401">
        <v>102924037.19000001</v>
      </c>
      <c r="G1498" s="1401">
        <v>15886156.640000001</v>
      </c>
      <c r="H1498" s="1401">
        <v>96518772.37999998</v>
      </c>
      <c r="I1498" s="1401">
        <v>236894048.51000002</v>
      </c>
    </row>
    <row r="1499" spans="2:9">
      <c r="B1499" s="1297" t="s">
        <v>1088</v>
      </c>
      <c r="C1499" s="1297" t="s">
        <v>1089</v>
      </c>
      <c r="D1499" s="1297" t="s">
        <v>906</v>
      </c>
      <c r="F1499" s="1399">
        <v>3978390.69</v>
      </c>
      <c r="I1499" s="1399">
        <v>3978390.69</v>
      </c>
    </row>
    <row r="1500" spans="2:9">
      <c r="B1500" s="1297"/>
      <c r="C1500" s="1297"/>
      <c r="D1500" s="1297" t="s">
        <v>952</v>
      </c>
      <c r="F1500" s="1399">
        <v>35506.14</v>
      </c>
      <c r="I1500" s="1399">
        <v>35506.14</v>
      </c>
    </row>
    <row r="1501" spans="2:9">
      <c r="B1501" s="1297"/>
      <c r="C1501" s="1297"/>
      <c r="D1501" s="1297" t="s">
        <v>907</v>
      </c>
      <c r="F1501" s="1399">
        <v>593403.49</v>
      </c>
      <c r="I1501" s="1399">
        <v>593403.49</v>
      </c>
    </row>
    <row r="1502" spans="2:9">
      <c r="B1502" s="1297"/>
      <c r="C1502" s="1297"/>
      <c r="D1502" s="1297" t="s">
        <v>908</v>
      </c>
      <c r="F1502" s="1399">
        <v>4262</v>
      </c>
      <c r="I1502" s="1399">
        <v>4262</v>
      </c>
    </row>
    <row r="1503" spans="2:9">
      <c r="B1503" s="1297"/>
      <c r="C1503" s="1297"/>
      <c r="D1503" s="1297" t="s">
        <v>909</v>
      </c>
      <c r="F1503" s="1399">
        <v>8243.0600000000013</v>
      </c>
      <c r="I1503" s="1399">
        <v>8243.0600000000013</v>
      </c>
    </row>
    <row r="1504" spans="2:9">
      <c r="B1504" s="1297"/>
      <c r="C1504" s="1297"/>
      <c r="D1504" s="1297" t="s">
        <v>910</v>
      </c>
      <c r="F1504" s="1399">
        <v>137635.85999999999</v>
      </c>
      <c r="I1504" s="1399">
        <v>137635.85999999999</v>
      </c>
    </row>
    <row r="1505" spans="2:9">
      <c r="B1505" s="1297"/>
      <c r="C1505" s="1297"/>
      <c r="D1505" s="1297" t="s">
        <v>1034</v>
      </c>
      <c r="F1505" s="1399">
        <v>16188.259999999998</v>
      </c>
      <c r="I1505" s="1399">
        <v>16188.259999999998</v>
      </c>
    </row>
    <row r="1506" spans="2:9">
      <c r="B1506" s="1297"/>
      <c r="C1506" s="1297"/>
      <c r="D1506" s="1297" t="s">
        <v>1035</v>
      </c>
      <c r="F1506" s="1399">
        <v>144240.60999999999</v>
      </c>
      <c r="I1506" s="1399">
        <v>144240.60999999999</v>
      </c>
    </row>
    <row r="1507" spans="2:9">
      <c r="B1507" s="1297"/>
      <c r="C1507" s="1297"/>
      <c r="D1507" s="1297" t="s">
        <v>1036</v>
      </c>
      <c r="F1507" s="1399">
        <v>55080.25</v>
      </c>
      <c r="I1507" s="1399">
        <v>55080.25</v>
      </c>
    </row>
    <row r="1508" spans="2:9">
      <c r="B1508" s="1297"/>
      <c r="C1508" s="1297"/>
      <c r="D1508" s="1297" t="s">
        <v>1039</v>
      </c>
      <c r="F1508" s="1399">
        <v>5240.45</v>
      </c>
      <c r="I1508" s="1399">
        <v>5240.45</v>
      </c>
    </row>
    <row r="1509" spans="2:9">
      <c r="B1509" s="1297"/>
      <c r="C1509" s="1297"/>
      <c r="D1509" s="1297" t="s">
        <v>1040</v>
      </c>
      <c r="F1509" s="1399">
        <v>115796.65</v>
      </c>
      <c r="I1509" s="1399">
        <v>115796.65</v>
      </c>
    </row>
    <row r="1510" spans="2:9">
      <c r="B1510" s="1297"/>
      <c r="C1510" s="1297"/>
      <c r="D1510" s="1297" t="s">
        <v>1041</v>
      </c>
      <c r="F1510" s="1399">
        <v>30519.200000000001</v>
      </c>
      <c r="I1510" s="1399">
        <v>30519.200000000001</v>
      </c>
    </row>
    <row r="1511" spans="2:9">
      <c r="B1511" s="1297"/>
      <c r="C1511" s="1297"/>
      <c r="D1511" s="1297" t="s">
        <v>1042</v>
      </c>
      <c r="F1511" s="1399">
        <v>39260.980000000003</v>
      </c>
      <c r="I1511" s="1399">
        <v>39260.980000000003</v>
      </c>
    </row>
    <row r="1512" spans="2:9">
      <c r="B1512" s="1297"/>
      <c r="C1512" s="1297"/>
      <c r="D1512" s="1297" t="s">
        <v>1045</v>
      </c>
      <c r="F1512" s="1399">
        <v>130524.79</v>
      </c>
      <c r="I1512" s="1399">
        <v>130524.79</v>
      </c>
    </row>
    <row r="1513" spans="2:9">
      <c r="B1513" s="1297"/>
      <c r="C1513" s="1297"/>
      <c r="D1513" s="1297" t="s">
        <v>1046</v>
      </c>
      <c r="H1513" s="1399">
        <v>10356672</v>
      </c>
      <c r="I1513" s="1399">
        <v>10356672</v>
      </c>
    </row>
    <row r="1514" spans="2:9">
      <c r="B1514" s="1297"/>
      <c r="C1514" s="1297"/>
      <c r="D1514" s="1297" t="s">
        <v>1129</v>
      </c>
      <c r="H1514" s="1399">
        <v>-1254798</v>
      </c>
      <c r="I1514" s="1399">
        <v>-1254798</v>
      </c>
    </row>
    <row r="1515" spans="2:9">
      <c r="B1515" s="1297"/>
      <c r="C1515" s="1297"/>
      <c r="D1515" s="1297" t="s">
        <v>1047</v>
      </c>
      <c r="H1515" s="1399">
        <v>369566</v>
      </c>
      <c r="I1515" s="1399">
        <v>369566</v>
      </c>
    </row>
    <row r="1516" spans="2:9">
      <c r="B1516" s="1297"/>
      <c r="C1516" s="1297"/>
      <c r="D1516" s="1297" t="s">
        <v>1048</v>
      </c>
      <c r="H1516" s="1399">
        <v>-1336712</v>
      </c>
      <c r="I1516" s="1399">
        <v>-1336712</v>
      </c>
    </row>
    <row r="1517" spans="2:9">
      <c r="B1517" s="1297"/>
      <c r="C1517" s="1297"/>
      <c r="D1517" s="1297" t="s">
        <v>932</v>
      </c>
      <c r="H1517" s="1399">
        <v>613294</v>
      </c>
      <c r="I1517" s="1399">
        <v>613294</v>
      </c>
    </row>
    <row r="1518" spans="2:9">
      <c r="B1518" s="1297"/>
      <c r="C1518" s="1297"/>
      <c r="D1518" s="1297" t="s">
        <v>933</v>
      </c>
      <c r="H1518" s="1399">
        <v>445286.96</v>
      </c>
      <c r="I1518" s="1399">
        <v>445286.96</v>
      </c>
    </row>
    <row r="1519" spans="2:9">
      <c r="B1519" s="1297"/>
      <c r="C1519" s="1297"/>
      <c r="D1519" s="1297" t="s">
        <v>934</v>
      </c>
      <c r="H1519" s="1399">
        <v>33538</v>
      </c>
      <c r="I1519" s="1399">
        <v>33538</v>
      </c>
    </row>
    <row r="1520" spans="2:9">
      <c r="B1520" s="1297"/>
      <c r="C1520" s="1297"/>
      <c r="D1520" s="1297" t="s">
        <v>1130</v>
      </c>
      <c r="H1520" s="1399">
        <v>496498</v>
      </c>
      <c r="I1520" s="1399">
        <v>496498</v>
      </c>
    </row>
    <row r="1521" spans="2:9">
      <c r="B1521" s="1297"/>
      <c r="C1521" s="1297"/>
      <c r="D1521" s="1297" t="s">
        <v>935</v>
      </c>
      <c r="H1521" s="1399">
        <v>-347136.67000000004</v>
      </c>
      <c r="I1521" s="1399">
        <v>-347136.67000000004</v>
      </c>
    </row>
    <row r="1522" spans="2:9">
      <c r="B1522" s="1297"/>
      <c r="C1522" s="1297"/>
      <c r="D1522" s="1297" t="s">
        <v>936</v>
      </c>
      <c r="H1522" s="1399">
        <v>27661.89</v>
      </c>
      <c r="I1522" s="1399">
        <v>27661.89</v>
      </c>
    </row>
    <row r="1523" spans="2:9">
      <c r="B1523" s="1297"/>
      <c r="C1523" s="1297"/>
      <c r="D1523" s="1297" t="s">
        <v>937</v>
      </c>
      <c r="H1523" s="1399">
        <v>14234.79</v>
      </c>
      <c r="I1523" s="1399">
        <v>14234.79</v>
      </c>
    </row>
    <row r="1524" spans="2:9">
      <c r="B1524" s="1297"/>
      <c r="C1524" s="1297"/>
      <c r="D1524" s="1297" t="s">
        <v>938</v>
      </c>
      <c r="H1524" s="1399">
        <v>10855</v>
      </c>
      <c r="I1524" s="1399">
        <v>10855</v>
      </c>
    </row>
    <row r="1525" spans="2:9">
      <c r="B1525" s="1297"/>
      <c r="C1525" s="1297"/>
      <c r="D1525" s="1297" t="s">
        <v>939</v>
      </c>
      <c r="H1525" s="1399">
        <v>6880.13</v>
      </c>
      <c r="I1525" s="1399">
        <v>6880.13</v>
      </c>
    </row>
    <row r="1526" spans="2:9">
      <c r="B1526" s="1297"/>
      <c r="C1526" s="1297"/>
      <c r="D1526" s="1297" t="s">
        <v>1131</v>
      </c>
      <c r="E1526" s="1399">
        <v>60353.61</v>
      </c>
      <c r="I1526" s="1399">
        <v>60353.61</v>
      </c>
    </row>
    <row r="1527" spans="2:9">
      <c r="B1527" s="1297"/>
      <c r="C1527" s="1297"/>
      <c r="D1527" s="1297" t="s">
        <v>940</v>
      </c>
      <c r="E1527" s="1399">
        <v>609572.48</v>
      </c>
      <c r="I1527" s="1399">
        <v>609572.48</v>
      </c>
    </row>
    <row r="1528" spans="2:9">
      <c r="B1528" s="1297"/>
      <c r="C1528" s="1297"/>
      <c r="D1528" s="1297" t="s">
        <v>941</v>
      </c>
      <c r="E1528" s="1399">
        <v>268246.68</v>
      </c>
      <c r="I1528" s="1399">
        <v>268246.68</v>
      </c>
    </row>
    <row r="1529" spans="2:9">
      <c r="B1529" s="1297"/>
      <c r="C1529" s="1297"/>
      <c r="D1529" s="1297" t="s">
        <v>944</v>
      </c>
      <c r="E1529" s="1399">
        <v>1400865.83</v>
      </c>
      <c r="I1529" s="1399">
        <v>1400865.83</v>
      </c>
    </row>
    <row r="1530" spans="2:9">
      <c r="B1530" s="1297"/>
      <c r="C1530" s="1297"/>
      <c r="D1530" s="1297" t="s">
        <v>945</v>
      </c>
      <c r="E1530" s="1399">
        <v>740220.23</v>
      </c>
      <c r="I1530" s="1399">
        <v>740220.23</v>
      </c>
    </row>
    <row r="1531" spans="2:9">
      <c r="B1531" s="1297"/>
      <c r="C1531" s="1297"/>
      <c r="D1531" s="1297" t="s">
        <v>947</v>
      </c>
      <c r="E1531" s="1399">
        <v>72328.66</v>
      </c>
      <c r="I1531" s="1399">
        <v>72328.66</v>
      </c>
    </row>
    <row r="1532" spans="2:9">
      <c r="B1532" s="1297"/>
      <c r="C1532" s="1297"/>
      <c r="D1532" s="1297" t="s">
        <v>948</v>
      </c>
      <c r="G1532" s="1399">
        <v>78693.34</v>
      </c>
      <c r="I1532" s="1399">
        <v>78693.34</v>
      </c>
    </row>
    <row r="1533" spans="2:9">
      <c r="B1533" s="1297"/>
      <c r="C1533" s="1297"/>
      <c r="D1533" s="1297" t="s">
        <v>1051</v>
      </c>
      <c r="G1533" s="1399">
        <v>209478.44</v>
      </c>
      <c r="I1533" s="1399">
        <v>209478.44</v>
      </c>
    </row>
    <row r="1534" spans="2:9">
      <c r="B1534" s="1297"/>
      <c r="C1534" s="1400" t="s">
        <v>1090</v>
      </c>
      <c r="D1534" s="1400"/>
      <c r="E1534" s="1401">
        <v>3151587.49</v>
      </c>
      <c r="F1534" s="1401">
        <v>5294292.4300000016</v>
      </c>
      <c r="G1534" s="1401">
        <v>288171.78000000003</v>
      </c>
      <c r="H1534" s="1401">
        <v>9435840.1000000015</v>
      </c>
      <c r="I1534" s="1401">
        <v>18169891.800000004</v>
      </c>
    </row>
    <row r="1535" spans="2:9">
      <c r="B1535" s="1297" t="s">
        <v>1091</v>
      </c>
      <c r="C1535" s="1297" t="s">
        <v>1092</v>
      </c>
      <c r="D1535" s="1297" t="s">
        <v>906</v>
      </c>
      <c r="F1535" s="1399">
        <v>8374983.4000000004</v>
      </c>
      <c r="I1535" s="1399">
        <v>8374983.4000000004</v>
      </c>
    </row>
    <row r="1536" spans="2:9">
      <c r="B1536" s="1297"/>
      <c r="C1536" s="1297"/>
      <c r="D1536" s="1297" t="s">
        <v>952</v>
      </c>
      <c r="F1536" s="1399">
        <v>86798.51</v>
      </c>
      <c r="I1536" s="1399">
        <v>86798.51</v>
      </c>
    </row>
    <row r="1537" spans="2:9">
      <c r="B1537" s="1297"/>
      <c r="C1537" s="1297"/>
      <c r="D1537" s="1297" t="s">
        <v>907</v>
      </c>
      <c r="F1537" s="1399">
        <v>3826976.84</v>
      </c>
      <c r="I1537" s="1399">
        <v>3826976.84</v>
      </c>
    </row>
    <row r="1538" spans="2:9">
      <c r="B1538" s="1297"/>
      <c r="C1538" s="1297"/>
      <c r="D1538" s="1297" t="s">
        <v>908</v>
      </c>
      <c r="F1538" s="1399">
        <v>41362.92</v>
      </c>
      <c r="I1538" s="1399">
        <v>41362.92</v>
      </c>
    </row>
    <row r="1539" spans="2:9">
      <c r="B1539" s="1297"/>
      <c r="C1539" s="1297"/>
      <c r="D1539" s="1297" t="s">
        <v>909</v>
      </c>
      <c r="F1539" s="1399">
        <v>35388.46</v>
      </c>
      <c r="I1539" s="1399">
        <v>35388.46</v>
      </c>
    </row>
    <row r="1540" spans="2:9">
      <c r="B1540" s="1297"/>
      <c r="C1540" s="1297"/>
      <c r="D1540" s="1297" t="s">
        <v>910</v>
      </c>
      <c r="F1540" s="1399">
        <v>140296.37</v>
      </c>
      <c r="I1540" s="1399">
        <v>140296.37</v>
      </c>
    </row>
    <row r="1541" spans="2:9">
      <c r="B1541" s="1297"/>
      <c r="C1541" s="1297"/>
      <c r="D1541" s="1297" t="s">
        <v>1034</v>
      </c>
      <c r="F1541" s="1399">
        <v>31092.16</v>
      </c>
      <c r="I1541" s="1399">
        <v>31092.16</v>
      </c>
    </row>
    <row r="1542" spans="2:9">
      <c r="B1542" s="1297"/>
      <c r="C1542" s="1297"/>
      <c r="D1542" s="1297" t="s">
        <v>1035</v>
      </c>
      <c r="F1542" s="1399">
        <v>193301.45</v>
      </c>
      <c r="I1542" s="1399">
        <v>193301.45</v>
      </c>
    </row>
    <row r="1543" spans="2:9">
      <c r="B1543" s="1297"/>
      <c r="C1543" s="1297"/>
      <c r="D1543" s="1297" t="s">
        <v>1036</v>
      </c>
      <c r="F1543" s="1399">
        <v>120506.32999999999</v>
      </c>
      <c r="I1543" s="1399">
        <v>120506.32999999999</v>
      </c>
    </row>
    <row r="1544" spans="2:9">
      <c r="B1544" s="1297"/>
      <c r="C1544" s="1297"/>
      <c r="D1544" s="1297" t="s">
        <v>1037</v>
      </c>
      <c r="F1544" s="1399">
        <v>58000.62</v>
      </c>
      <c r="I1544" s="1399">
        <v>58000.62</v>
      </c>
    </row>
    <row r="1545" spans="2:9">
      <c r="B1545" s="1297"/>
      <c r="C1545" s="1297"/>
      <c r="D1545" s="1297" t="s">
        <v>1039</v>
      </c>
      <c r="F1545" s="1399">
        <v>37616.229999999996</v>
      </c>
      <c r="I1545" s="1399">
        <v>37616.229999999996</v>
      </c>
    </row>
    <row r="1546" spans="2:9">
      <c r="B1546" s="1297"/>
      <c r="C1546" s="1297"/>
      <c r="D1546" s="1297" t="s">
        <v>1040</v>
      </c>
      <c r="F1546" s="1399">
        <v>143183.9</v>
      </c>
      <c r="I1546" s="1399">
        <v>143183.9</v>
      </c>
    </row>
    <row r="1547" spans="2:9">
      <c r="B1547" s="1297"/>
      <c r="C1547" s="1297"/>
      <c r="D1547" s="1297" t="s">
        <v>1041</v>
      </c>
      <c r="F1547" s="1399">
        <v>81327.520000000004</v>
      </c>
      <c r="I1547" s="1399">
        <v>81327.520000000004</v>
      </c>
    </row>
    <row r="1548" spans="2:9">
      <c r="B1548" s="1297"/>
      <c r="C1548" s="1297"/>
      <c r="D1548" s="1297" t="s">
        <v>1042</v>
      </c>
      <c r="F1548" s="1399">
        <v>56594.34</v>
      </c>
      <c r="I1548" s="1399">
        <v>56594.34</v>
      </c>
    </row>
    <row r="1549" spans="2:9">
      <c r="B1549" s="1297"/>
      <c r="C1549" s="1297"/>
      <c r="D1549" s="1297" t="s">
        <v>953</v>
      </c>
      <c r="F1549" s="1399">
        <v>49171.81</v>
      </c>
      <c r="I1549" s="1399">
        <v>49171.81</v>
      </c>
    </row>
    <row r="1550" spans="2:9">
      <c r="B1550" s="1297"/>
      <c r="C1550" s="1297"/>
      <c r="D1550" s="1297" t="s">
        <v>1043</v>
      </c>
      <c r="F1550" s="1399">
        <v>16095</v>
      </c>
      <c r="I1550" s="1399">
        <v>16095</v>
      </c>
    </row>
    <row r="1551" spans="2:9">
      <c r="B1551" s="1297"/>
      <c r="C1551" s="1297"/>
      <c r="D1551" s="1297" t="s">
        <v>1044</v>
      </c>
      <c r="F1551" s="1399">
        <v>33776.269999999997</v>
      </c>
      <c r="I1551" s="1399">
        <v>33776.269999999997</v>
      </c>
    </row>
    <row r="1552" spans="2:9">
      <c r="B1552" s="1297"/>
      <c r="C1552" s="1297"/>
      <c r="D1552" s="1297" t="s">
        <v>1045</v>
      </c>
      <c r="F1552" s="1399">
        <v>228534.43000000002</v>
      </c>
      <c r="I1552" s="1399">
        <v>228534.43000000002</v>
      </c>
    </row>
    <row r="1553" spans="2:9">
      <c r="B1553" s="1297"/>
      <c r="C1553" s="1297"/>
      <c r="D1553" s="1297" t="s">
        <v>1046</v>
      </c>
      <c r="H1553" s="1399">
        <v>21767236</v>
      </c>
      <c r="I1553" s="1399">
        <v>21767236</v>
      </c>
    </row>
    <row r="1554" spans="2:9">
      <c r="B1554" s="1297"/>
      <c r="C1554" s="1297"/>
      <c r="D1554" s="1297" t="s">
        <v>1128</v>
      </c>
      <c r="H1554" s="1399">
        <v>1715498</v>
      </c>
      <c r="I1554" s="1399">
        <v>1715498</v>
      </c>
    </row>
    <row r="1555" spans="2:9">
      <c r="B1555" s="1297"/>
      <c r="C1555" s="1297"/>
      <c r="D1555" s="1297" t="s">
        <v>1129</v>
      </c>
      <c r="H1555" s="1399">
        <v>-3090113</v>
      </c>
      <c r="I1555" s="1399">
        <v>-3090113</v>
      </c>
    </row>
    <row r="1556" spans="2:9">
      <c r="B1556" s="1297"/>
      <c r="C1556" s="1297"/>
      <c r="D1556" s="1297" t="s">
        <v>1047</v>
      </c>
      <c r="H1556" s="1399">
        <v>597922</v>
      </c>
      <c r="I1556" s="1399">
        <v>597922</v>
      </c>
    </row>
    <row r="1557" spans="2:9">
      <c r="B1557" s="1297"/>
      <c r="C1557" s="1297"/>
      <c r="D1557" s="1297" t="s">
        <v>1048</v>
      </c>
      <c r="H1557" s="1399">
        <v>-2841899</v>
      </c>
      <c r="I1557" s="1399">
        <v>-2841899</v>
      </c>
    </row>
    <row r="1558" spans="2:9">
      <c r="B1558" s="1297"/>
      <c r="C1558" s="1297"/>
      <c r="D1558" s="1297" t="s">
        <v>932</v>
      </c>
      <c r="H1558" s="1399">
        <v>1922707</v>
      </c>
      <c r="I1558" s="1399">
        <v>1922707</v>
      </c>
    </row>
    <row r="1559" spans="2:9">
      <c r="B1559" s="1297"/>
      <c r="C1559" s="1297"/>
      <c r="D1559" s="1297" t="s">
        <v>955</v>
      </c>
      <c r="H1559" s="1399">
        <v>1353278.95</v>
      </c>
      <c r="I1559" s="1399">
        <v>1353278.95</v>
      </c>
    </row>
    <row r="1560" spans="2:9">
      <c r="B1560" s="1297"/>
      <c r="C1560" s="1297"/>
      <c r="D1560" s="1297" t="s">
        <v>934</v>
      </c>
      <c r="H1560" s="1399">
        <v>74790</v>
      </c>
      <c r="I1560" s="1399">
        <v>74790</v>
      </c>
    </row>
    <row r="1561" spans="2:9">
      <c r="B1561" s="1297"/>
      <c r="C1561" s="1297"/>
      <c r="D1561" s="1297" t="s">
        <v>935</v>
      </c>
      <c r="H1561" s="1399">
        <v>1586035.33</v>
      </c>
      <c r="I1561" s="1399">
        <v>1586035.33</v>
      </c>
    </row>
    <row r="1562" spans="2:9">
      <c r="B1562" s="1297"/>
      <c r="C1562" s="1297"/>
      <c r="D1562" s="1297" t="s">
        <v>936</v>
      </c>
      <c r="H1562" s="1399">
        <v>81234.92</v>
      </c>
      <c r="I1562" s="1399">
        <v>81234.92</v>
      </c>
    </row>
    <row r="1563" spans="2:9">
      <c r="B1563" s="1297"/>
      <c r="C1563" s="1297"/>
      <c r="D1563" s="1297" t="s">
        <v>937</v>
      </c>
      <c r="H1563" s="1399">
        <v>24356.65</v>
      </c>
      <c r="I1563" s="1399">
        <v>24356.65</v>
      </c>
    </row>
    <row r="1564" spans="2:9">
      <c r="B1564" s="1297"/>
      <c r="C1564" s="1297"/>
      <c r="D1564" s="1297" t="s">
        <v>938</v>
      </c>
      <c r="H1564" s="1399">
        <v>26202</v>
      </c>
      <c r="I1564" s="1399">
        <v>26202</v>
      </c>
    </row>
    <row r="1565" spans="2:9">
      <c r="B1565" s="1297"/>
      <c r="C1565" s="1297"/>
      <c r="D1565" s="1297" t="s">
        <v>940</v>
      </c>
      <c r="E1565" s="1399">
        <v>1450475.14</v>
      </c>
      <c r="I1565" s="1399">
        <v>1450475.14</v>
      </c>
    </row>
    <row r="1566" spans="2:9">
      <c r="B1566" s="1297"/>
      <c r="C1566" s="1297"/>
      <c r="D1566" s="1297" t="s">
        <v>941</v>
      </c>
      <c r="E1566" s="1399">
        <v>508601</v>
      </c>
      <c r="I1566" s="1399">
        <v>508601</v>
      </c>
    </row>
    <row r="1567" spans="2:9">
      <c r="B1567" s="1297"/>
      <c r="C1567" s="1297"/>
      <c r="D1567" s="1297" t="s">
        <v>943</v>
      </c>
      <c r="E1567" s="1399">
        <v>11052.64</v>
      </c>
      <c r="I1567" s="1399">
        <v>11052.64</v>
      </c>
    </row>
    <row r="1568" spans="2:9">
      <c r="B1568" s="1297"/>
      <c r="C1568" s="1297"/>
      <c r="D1568" s="1297" t="s">
        <v>944</v>
      </c>
      <c r="E1568" s="1399">
        <v>4450978.92</v>
      </c>
      <c r="I1568" s="1399">
        <v>4450978.92</v>
      </c>
    </row>
    <row r="1569" spans="2:9">
      <c r="B1569" s="1297"/>
      <c r="C1569" s="1297"/>
      <c r="D1569" s="1297" t="s">
        <v>945</v>
      </c>
      <c r="E1569" s="1399">
        <v>2188464.83</v>
      </c>
      <c r="I1569" s="1399">
        <v>2188464.83</v>
      </c>
    </row>
    <row r="1570" spans="2:9">
      <c r="B1570" s="1297"/>
      <c r="C1570" s="1297"/>
      <c r="D1570" s="1297" t="s">
        <v>946</v>
      </c>
      <c r="E1570" s="1399">
        <v>69819.570000000007</v>
      </c>
      <c r="I1570" s="1399">
        <v>69819.570000000007</v>
      </c>
    </row>
    <row r="1571" spans="2:9">
      <c r="B1571" s="1297"/>
      <c r="C1571" s="1297"/>
      <c r="D1571" s="1297" t="s">
        <v>978</v>
      </c>
      <c r="E1571" s="1399">
        <v>29990.47</v>
      </c>
      <c r="I1571" s="1399">
        <v>29990.47</v>
      </c>
    </row>
    <row r="1572" spans="2:9">
      <c r="B1572" s="1297"/>
      <c r="C1572" s="1297"/>
      <c r="D1572" s="1297" t="s">
        <v>1006</v>
      </c>
      <c r="E1572" s="1399">
        <v>13370.04</v>
      </c>
      <c r="I1572" s="1399">
        <v>13370.04</v>
      </c>
    </row>
    <row r="1573" spans="2:9">
      <c r="B1573" s="1297"/>
      <c r="C1573" s="1297"/>
      <c r="D1573" s="1297" t="s">
        <v>947</v>
      </c>
      <c r="E1573" s="1399">
        <v>90323.15</v>
      </c>
      <c r="I1573" s="1399">
        <v>90323.15</v>
      </c>
    </row>
    <row r="1574" spans="2:9">
      <c r="B1574" s="1297"/>
      <c r="C1574" s="1297"/>
      <c r="D1574" s="1297" t="s">
        <v>948</v>
      </c>
      <c r="G1574" s="1399">
        <v>523402.30999999994</v>
      </c>
      <c r="I1574" s="1399">
        <v>523402.30999999994</v>
      </c>
    </row>
    <row r="1575" spans="2:9">
      <c r="B1575" s="1297"/>
      <c r="C1575" s="1400" t="s">
        <v>1093</v>
      </c>
      <c r="D1575" s="1400"/>
      <c r="E1575" s="1401">
        <v>8813075.7599999998</v>
      </c>
      <c r="F1575" s="1401">
        <v>13555006.559999999</v>
      </c>
      <c r="G1575" s="1401">
        <v>523402.30999999994</v>
      </c>
      <c r="H1575" s="1401">
        <v>23217248.850000001</v>
      </c>
      <c r="I1575" s="1401">
        <v>46108733.480000004</v>
      </c>
    </row>
    <row r="1576" spans="2:9">
      <c r="B1576" s="1297" t="s">
        <v>1094</v>
      </c>
      <c r="C1576" s="1297" t="s">
        <v>1095</v>
      </c>
      <c r="D1576" s="1297" t="s">
        <v>906</v>
      </c>
      <c r="F1576" s="1399">
        <v>5174587.59</v>
      </c>
      <c r="I1576" s="1399">
        <v>5174587.59</v>
      </c>
    </row>
    <row r="1577" spans="2:9">
      <c r="B1577" s="1297"/>
      <c r="C1577" s="1297"/>
      <c r="D1577" s="1297" t="s">
        <v>952</v>
      </c>
      <c r="F1577" s="1399">
        <v>83520.44</v>
      </c>
      <c r="I1577" s="1399">
        <v>83520.44</v>
      </c>
    </row>
    <row r="1578" spans="2:9">
      <c r="B1578" s="1297"/>
      <c r="C1578" s="1297"/>
      <c r="D1578" s="1297" t="s">
        <v>907</v>
      </c>
      <c r="F1578" s="1399">
        <v>1943255.73</v>
      </c>
      <c r="I1578" s="1399">
        <v>1943255.73</v>
      </c>
    </row>
    <row r="1579" spans="2:9">
      <c r="B1579" s="1297"/>
      <c r="C1579" s="1297"/>
      <c r="D1579" s="1297" t="s">
        <v>908</v>
      </c>
      <c r="F1579" s="1399">
        <v>206797.84</v>
      </c>
      <c r="I1579" s="1399">
        <v>206797.84</v>
      </c>
    </row>
    <row r="1580" spans="2:9">
      <c r="B1580" s="1297"/>
      <c r="C1580" s="1297"/>
      <c r="D1580" s="1297" t="s">
        <v>1036</v>
      </c>
      <c r="F1580" s="1399">
        <v>115508.6</v>
      </c>
      <c r="I1580" s="1399">
        <v>115508.6</v>
      </c>
    </row>
    <row r="1581" spans="2:9">
      <c r="B1581" s="1297"/>
      <c r="C1581" s="1297"/>
      <c r="D1581" s="1297" t="s">
        <v>1037</v>
      </c>
      <c r="F1581" s="1399">
        <v>2238</v>
      </c>
      <c r="I1581" s="1399">
        <v>2238</v>
      </c>
    </row>
    <row r="1582" spans="2:9">
      <c r="B1582" s="1297"/>
      <c r="C1582" s="1297"/>
      <c r="D1582" s="1297" t="s">
        <v>1039</v>
      </c>
      <c r="F1582" s="1399">
        <v>238547.27</v>
      </c>
      <c r="I1582" s="1399">
        <v>238547.27</v>
      </c>
    </row>
    <row r="1583" spans="2:9">
      <c r="B1583" s="1297"/>
      <c r="C1583" s="1297"/>
      <c r="D1583" s="1297" t="s">
        <v>1040</v>
      </c>
      <c r="F1583" s="1399">
        <v>354822.32</v>
      </c>
      <c r="I1583" s="1399">
        <v>354822.32</v>
      </c>
    </row>
    <row r="1584" spans="2:9">
      <c r="B1584" s="1297"/>
      <c r="C1584" s="1297"/>
      <c r="D1584" s="1297" t="s">
        <v>1041</v>
      </c>
      <c r="F1584" s="1399">
        <v>22859.93</v>
      </c>
      <c r="I1584" s="1399">
        <v>22859.93</v>
      </c>
    </row>
    <row r="1585" spans="2:9">
      <c r="B1585" s="1297"/>
      <c r="C1585" s="1297"/>
      <c r="D1585" s="1297" t="s">
        <v>1042</v>
      </c>
      <c r="F1585" s="1399">
        <v>37950.1</v>
      </c>
      <c r="I1585" s="1399">
        <v>37950.1</v>
      </c>
    </row>
    <row r="1586" spans="2:9">
      <c r="B1586" s="1297"/>
      <c r="C1586" s="1297"/>
      <c r="D1586" s="1297" t="s">
        <v>953</v>
      </c>
      <c r="F1586" s="1399">
        <v>44597.05</v>
      </c>
      <c r="I1586" s="1399">
        <v>44597.05</v>
      </c>
    </row>
    <row r="1587" spans="2:9">
      <c r="B1587" s="1297"/>
      <c r="C1587" s="1297"/>
      <c r="D1587" s="1297" t="s">
        <v>986</v>
      </c>
      <c r="F1587" s="1399">
        <v>25173.01</v>
      </c>
      <c r="I1587" s="1399">
        <v>25173.01</v>
      </c>
    </row>
    <row r="1588" spans="2:9">
      <c r="B1588" s="1297"/>
      <c r="C1588" s="1297"/>
      <c r="D1588" s="1297" t="s">
        <v>1044</v>
      </c>
      <c r="F1588" s="1399">
        <v>4234.45</v>
      </c>
      <c r="I1588" s="1399">
        <v>4234.45</v>
      </c>
    </row>
    <row r="1589" spans="2:9">
      <c r="B1589" s="1297"/>
      <c r="C1589" s="1297"/>
      <c r="D1589" s="1297" t="s">
        <v>1045</v>
      </c>
      <c r="F1589" s="1399">
        <v>614214.55999999994</v>
      </c>
      <c r="I1589" s="1399">
        <v>614214.55999999994</v>
      </c>
    </row>
    <row r="1590" spans="2:9">
      <c r="B1590" s="1297"/>
      <c r="C1590" s="1297"/>
      <c r="D1590" s="1297" t="s">
        <v>1046</v>
      </c>
      <c r="H1590" s="1399">
        <v>12123461</v>
      </c>
      <c r="I1590" s="1399">
        <v>12123461</v>
      </c>
    </row>
    <row r="1591" spans="2:9">
      <c r="B1591" s="1297"/>
      <c r="C1591" s="1297"/>
      <c r="D1591" s="1297" t="s">
        <v>1047</v>
      </c>
      <c r="H1591" s="1399">
        <v>338015</v>
      </c>
      <c r="I1591" s="1399">
        <v>338015</v>
      </c>
    </row>
    <row r="1592" spans="2:9">
      <c r="B1592" s="1297"/>
      <c r="C1592" s="1297"/>
      <c r="D1592" s="1297" t="s">
        <v>1048</v>
      </c>
      <c r="H1592" s="1399">
        <v>-1961377</v>
      </c>
      <c r="I1592" s="1399">
        <v>-1961377</v>
      </c>
    </row>
    <row r="1593" spans="2:9">
      <c r="B1593" s="1297"/>
      <c r="C1593" s="1297"/>
      <c r="D1593" s="1297" t="s">
        <v>932</v>
      </c>
      <c r="H1593" s="1399">
        <v>552582</v>
      </c>
      <c r="I1593" s="1399">
        <v>552582</v>
      </c>
    </row>
    <row r="1594" spans="2:9">
      <c r="B1594" s="1297"/>
      <c r="C1594" s="1297"/>
      <c r="D1594" s="1297" t="s">
        <v>933</v>
      </c>
      <c r="H1594" s="1399">
        <v>716028.38</v>
      </c>
      <c r="I1594" s="1399">
        <v>716028.38</v>
      </c>
    </row>
    <row r="1595" spans="2:9">
      <c r="B1595" s="1297"/>
      <c r="C1595" s="1297"/>
      <c r="D1595" s="1297" t="s">
        <v>934</v>
      </c>
      <c r="H1595" s="1399">
        <v>39988</v>
      </c>
      <c r="I1595" s="1399">
        <v>39988</v>
      </c>
    </row>
    <row r="1596" spans="2:9">
      <c r="B1596" s="1297"/>
      <c r="C1596" s="1297"/>
      <c r="D1596" s="1297" t="s">
        <v>935</v>
      </c>
      <c r="H1596" s="1399">
        <v>288427.90999999997</v>
      </c>
      <c r="I1596" s="1399">
        <v>288427.90999999997</v>
      </c>
    </row>
    <row r="1597" spans="2:9">
      <c r="B1597" s="1297"/>
      <c r="C1597" s="1297"/>
      <c r="D1597" s="1297" t="s">
        <v>936</v>
      </c>
      <c r="H1597" s="1399">
        <v>37816.26</v>
      </c>
      <c r="I1597" s="1399">
        <v>37816.26</v>
      </c>
    </row>
    <row r="1598" spans="2:9">
      <c r="B1598" s="1297"/>
      <c r="C1598" s="1297"/>
      <c r="D1598" s="1297" t="s">
        <v>938</v>
      </c>
      <c r="H1598" s="1399">
        <v>11604</v>
      </c>
      <c r="I1598" s="1399">
        <v>11604</v>
      </c>
    </row>
    <row r="1599" spans="2:9">
      <c r="B1599" s="1297"/>
      <c r="C1599" s="1297"/>
      <c r="D1599" s="1297" t="s">
        <v>939</v>
      </c>
      <c r="H1599" s="1399">
        <v>104674.66</v>
      </c>
      <c r="I1599" s="1399">
        <v>104674.66</v>
      </c>
    </row>
    <row r="1600" spans="2:9">
      <c r="B1600" s="1297"/>
      <c r="C1600" s="1297"/>
      <c r="D1600" s="1297" t="s">
        <v>940</v>
      </c>
      <c r="E1600" s="1399">
        <v>548854.98</v>
      </c>
      <c r="I1600" s="1399">
        <v>548854.98</v>
      </c>
    </row>
    <row r="1601" spans="2:9">
      <c r="B1601" s="1297"/>
      <c r="C1601" s="1297"/>
      <c r="D1601" s="1297" t="s">
        <v>941</v>
      </c>
      <c r="E1601" s="1399">
        <v>181186.4</v>
      </c>
      <c r="I1601" s="1399">
        <v>181186.4</v>
      </c>
    </row>
    <row r="1602" spans="2:9">
      <c r="B1602" s="1297"/>
      <c r="C1602" s="1297"/>
      <c r="D1602" s="1297" t="s">
        <v>943</v>
      </c>
      <c r="E1602" s="1399">
        <v>2148.2199999999998</v>
      </c>
      <c r="I1602" s="1399">
        <v>2148.2199999999998</v>
      </c>
    </row>
    <row r="1603" spans="2:9">
      <c r="B1603" s="1297"/>
      <c r="C1603" s="1297"/>
      <c r="D1603" s="1297" t="s">
        <v>944</v>
      </c>
      <c r="E1603" s="1399">
        <v>1177639.6399999999</v>
      </c>
      <c r="I1603" s="1399">
        <v>1177639.6399999999</v>
      </c>
    </row>
    <row r="1604" spans="2:9">
      <c r="B1604" s="1297"/>
      <c r="C1604" s="1297"/>
      <c r="D1604" s="1297" t="s">
        <v>945</v>
      </c>
      <c r="E1604" s="1399">
        <v>1668072.8199999998</v>
      </c>
      <c r="I1604" s="1399">
        <v>1668072.8199999998</v>
      </c>
    </row>
    <row r="1605" spans="2:9">
      <c r="B1605" s="1297"/>
      <c r="C1605" s="1297"/>
      <c r="D1605" s="1297" t="s">
        <v>947</v>
      </c>
      <c r="E1605" s="1399">
        <v>90943.86</v>
      </c>
      <c r="I1605" s="1399">
        <v>90943.86</v>
      </c>
    </row>
    <row r="1606" spans="2:9">
      <c r="B1606" s="1297"/>
      <c r="C1606" s="1297"/>
      <c r="D1606" s="1297" t="s">
        <v>948</v>
      </c>
      <c r="G1606" s="1399">
        <v>2375412.98</v>
      </c>
      <c r="I1606" s="1399">
        <v>2375412.98</v>
      </c>
    </row>
    <row r="1607" spans="2:9">
      <c r="B1607" s="1297"/>
      <c r="C1607" s="1297"/>
      <c r="D1607" s="1297" t="s">
        <v>1051</v>
      </c>
      <c r="G1607" s="1399">
        <v>200000</v>
      </c>
      <c r="I1607" s="1399">
        <v>200000</v>
      </c>
    </row>
    <row r="1608" spans="2:9">
      <c r="B1608" s="1297"/>
      <c r="C1608" s="1400" t="s">
        <v>1096</v>
      </c>
      <c r="D1608" s="1400"/>
      <c r="E1608" s="1401">
        <v>3668845.9199999995</v>
      </c>
      <c r="F1608" s="1401">
        <v>8868306.8899999987</v>
      </c>
      <c r="G1608" s="1401">
        <v>2575412.98</v>
      </c>
      <c r="H1608" s="1401">
        <v>12251220.210000001</v>
      </c>
      <c r="I1608" s="1401">
        <v>27363786</v>
      </c>
    </row>
    <row r="1609" spans="2:9">
      <c r="B1609" s="1297" t="s">
        <v>1097</v>
      </c>
      <c r="C1609" s="1297" t="s">
        <v>1098</v>
      </c>
      <c r="D1609" s="1297" t="s">
        <v>906</v>
      </c>
      <c r="F1609" s="1399">
        <v>19634715.949999999</v>
      </c>
      <c r="I1609" s="1399">
        <v>19634715.949999999</v>
      </c>
    </row>
    <row r="1610" spans="2:9">
      <c r="B1610" s="1297"/>
      <c r="C1610" s="1297"/>
      <c r="D1610" s="1297" t="s">
        <v>952</v>
      </c>
      <c r="F1610" s="1399">
        <v>263834.98</v>
      </c>
      <c r="I1610" s="1399">
        <v>263834.98</v>
      </c>
    </row>
    <row r="1611" spans="2:9">
      <c r="B1611" s="1297"/>
      <c r="C1611" s="1297"/>
      <c r="D1611" s="1297" t="s">
        <v>907</v>
      </c>
      <c r="F1611" s="1399">
        <v>4904355.63</v>
      </c>
      <c r="I1611" s="1399">
        <v>4904355.63</v>
      </c>
    </row>
    <row r="1612" spans="2:9">
      <c r="B1612" s="1297"/>
      <c r="C1612" s="1297"/>
      <c r="D1612" s="1297" t="s">
        <v>909</v>
      </c>
      <c r="F1612" s="1399">
        <v>26431.16</v>
      </c>
      <c r="I1612" s="1399">
        <v>26431.16</v>
      </c>
    </row>
    <row r="1613" spans="2:9">
      <c r="B1613" s="1297"/>
      <c r="C1613" s="1297"/>
      <c r="D1613" s="1297" t="s">
        <v>910</v>
      </c>
      <c r="F1613" s="1399">
        <v>27794</v>
      </c>
      <c r="I1613" s="1399">
        <v>27794</v>
      </c>
    </row>
    <row r="1614" spans="2:9">
      <c r="B1614" s="1297"/>
      <c r="C1614" s="1297"/>
      <c r="D1614" s="1297" t="s">
        <v>1034</v>
      </c>
      <c r="F1614" s="1399">
        <v>18773.25</v>
      </c>
      <c r="I1614" s="1399">
        <v>18773.25</v>
      </c>
    </row>
    <row r="1615" spans="2:9">
      <c r="B1615" s="1297"/>
      <c r="C1615" s="1297"/>
      <c r="D1615" s="1297" t="s">
        <v>1035</v>
      </c>
      <c r="F1615" s="1399">
        <v>69128.600000000006</v>
      </c>
      <c r="I1615" s="1399">
        <v>69128.600000000006</v>
      </c>
    </row>
    <row r="1616" spans="2:9">
      <c r="B1616" s="1297"/>
      <c r="C1616" s="1297"/>
      <c r="D1616" s="1297" t="s">
        <v>1036</v>
      </c>
      <c r="F1616" s="1399">
        <v>117729.45</v>
      </c>
      <c r="I1616" s="1399">
        <v>117729.45</v>
      </c>
    </row>
    <row r="1617" spans="2:9">
      <c r="B1617" s="1297"/>
      <c r="C1617" s="1297"/>
      <c r="D1617" s="1297" t="s">
        <v>1039</v>
      </c>
      <c r="F1617" s="1399">
        <v>51910.09</v>
      </c>
      <c r="I1617" s="1399">
        <v>51910.09</v>
      </c>
    </row>
    <row r="1618" spans="2:9">
      <c r="B1618" s="1297"/>
      <c r="C1618" s="1297"/>
      <c r="D1618" s="1297" t="s">
        <v>1040</v>
      </c>
      <c r="F1618" s="1399">
        <v>594927.59</v>
      </c>
      <c r="I1618" s="1399">
        <v>594927.59</v>
      </c>
    </row>
    <row r="1619" spans="2:9">
      <c r="B1619" s="1297"/>
      <c r="C1619" s="1297"/>
      <c r="D1619" s="1297" t="s">
        <v>1041</v>
      </c>
      <c r="F1619" s="1399">
        <v>183351</v>
      </c>
      <c r="I1619" s="1399">
        <v>183351</v>
      </c>
    </row>
    <row r="1620" spans="2:9">
      <c r="B1620" s="1297"/>
      <c r="C1620" s="1297"/>
      <c r="D1620" s="1297" t="s">
        <v>1042</v>
      </c>
      <c r="F1620" s="1399">
        <v>90740.4</v>
      </c>
      <c r="I1620" s="1399">
        <v>90740.4</v>
      </c>
    </row>
    <row r="1621" spans="2:9">
      <c r="B1621" s="1297"/>
      <c r="C1621" s="1297"/>
      <c r="D1621" s="1297" t="s">
        <v>986</v>
      </c>
      <c r="F1621" s="1399">
        <v>66128.95</v>
      </c>
      <c r="I1621" s="1399">
        <v>66128.95</v>
      </c>
    </row>
    <row r="1622" spans="2:9">
      <c r="B1622" s="1297"/>
      <c r="C1622" s="1297"/>
      <c r="D1622" s="1297" t="s">
        <v>1044</v>
      </c>
      <c r="F1622" s="1399">
        <v>17056</v>
      </c>
      <c r="I1622" s="1399">
        <v>17056</v>
      </c>
    </row>
    <row r="1623" spans="2:9">
      <c r="B1623" s="1297"/>
      <c r="C1623" s="1297"/>
      <c r="D1623" s="1297" t="s">
        <v>1045</v>
      </c>
      <c r="F1623" s="1399">
        <v>835313.12999999989</v>
      </c>
      <c r="I1623" s="1399">
        <v>835313.12999999989</v>
      </c>
    </row>
    <row r="1624" spans="2:9">
      <c r="B1624" s="1297"/>
      <c r="C1624" s="1297"/>
      <c r="D1624" s="1297" t="s">
        <v>1046</v>
      </c>
      <c r="H1624" s="1399">
        <v>18302384</v>
      </c>
      <c r="I1624" s="1399">
        <v>18302384</v>
      </c>
    </row>
    <row r="1625" spans="2:9">
      <c r="B1625" s="1297"/>
      <c r="C1625" s="1297"/>
      <c r="D1625" s="1297" t="s">
        <v>1047</v>
      </c>
      <c r="H1625" s="1399">
        <v>440152</v>
      </c>
      <c r="I1625" s="1399">
        <v>440152</v>
      </c>
    </row>
    <row r="1626" spans="2:9">
      <c r="B1626" s="1297"/>
      <c r="C1626" s="1297"/>
      <c r="D1626" s="1297" t="s">
        <v>1048</v>
      </c>
      <c r="H1626" s="1399">
        <v>-6538429</v>
      </c>
      <c r="I1626" s="1399">
        <v>-6538429</v>
      </c>
    </row>
    <row r="1627" spans="2:9">
      <c r="B1627" s="1297"/>
      <c r="C1627" s="1297"/>
      <c r="D1627" s="1297" t="s">
        <v>955</v>
      </c>
      <c r="H1627" s="1399">
        <v>251991.79</v>
      </c>
      <c r="I1627" s="1399">
        <v>251991.79</v>
      </c>
    </row>
    <row r="1628" spans="2:9">
      <c r="B1628" s="1297"/>
      <c r="C1628" s="1297"/>
      <c r="D1628" s="1297" t="s">
        <v>934</v>
      </c>
      <c r="H1628" s="1399">
        <v>55028</v>
      </c>
      <c r="I1628" s="1399">
        <v>55028</v>
      </c>
    </row>
    <row r="1629" spans="2:9">
      <c r="B1629" s="1297"/>
      <c r="C1629" s="1297"/>
      <c r="D1629" s="1297" t="s">
        <v>935</v>
      </c>
      <c r="H1629" s="1399">
        <v>378428.88</v>
      </c>
      <c r="I1629" s="1399">
        <v>378428.88</v>
      </c>
    </row>
    <row r="1630" spans="2:9">
      <c r="B1630" s="1297"/>
      <c r="C1630" s="1297"/>
      <c r="D1630" s="1297" t="s">
        <v>936</v>
      </c>
      <c r="H1630" s="1399">
        <v>70030.11</v>
      </c>
      <c r="I1630" s="1399">
        <v>70030.11</v>
      </c>
    </row>
    <row r="1631" spans="2:9">
      <c r="B1631" s="1297"/>
      <c r="C1631" s="1297"/>
      <c r="D1631" s="1297" t="s">
        <v>937</v>
      </c>
      <c r="H1631" s="1399">
        <v>51310.9</v>
      </c>
      <c r="I1631" s="1399">
        <v>51310.9</v>
      </c>
    </row>
    <row r="1632" spans="2:9">
      <c r="B1632" s="1297"/>
      <c r="C1632" s="1297"/>
      <c r="D1632" s="1297" t="s">
        <v>938</v>
      </c>
      <c r="H1632" s="1399">
        <v>18529</v>
      </c>
      <c r="I1632" s="1399">
        <v>18529</v>
      </c>
    </row>
    <row r="1633" spans="2:9">
      <c r="B1633" s="1297"/>
      <c r="C1633" s="1297"/>
      <c r="D1633" s="1297" t="s">
        <v>940</v>
      </c>
      <c r="E1633" s="1399">
        <v>692909.96</v>
      </c>
      <c r="I1633" s="1399">
        <v>692909.96</v>
      </c>
    </row>
    <row r="1634" spans="2:9">
      <c r="B1634" s="1297"/>
      <c r="C1634" s="1297"/>
      <c r="D1634" s="1297" t="s">
        <v>941</v>
      </c>
      <c r="E1634" s="1399">
        <v>200974.2</v>
      </c>
      <c r="I1634" s="1399">
        <v>200974.2</v>
      </c>
    </row>
    <row r="1635" spans="2:9">
      <c r="B1635" s="1297"/>
      <c r="C1635" s="1297"/>
      <c r="D1635" s="1297" t="s">
        <v>943</v>
      </c>
      <c r="E1635" s="1399">
        <v>2405.7399999999998</v>
      </c>
      <c r="I1635" s="1399">
        <v>2405.7399999999998</v>
      </c>
    </row>
    <row r="1636" spans="2:9">
      <c r="B1636" s="1297"/>
      <c r="C1636" s="1297"/>
      <c r="D1636" s="1297" t="s">
        <v>944</v>
      </c>
      <c r="E1636" s="1399">
        <v>1488468.2299999997</v>
      </c>
      <c r="I1636" s="1399">
        <v>1488468.2299999997</v>
      </c>
    </row>
    <row r="1637" spans="2:9">
      <c r="B1637" s="1297"/>
      <c r="C1637" s="1297"/>
      <c r="D1637" s="1297" t="s">
        <v>945</v>
      </c>
      <c r="E1637" s="1399">
        <v>1470183.86</v>
      </c>
      <c r="I1637" s="1399">
        <v>1470183.86</v>
      </c>
    </row>
    <row r="1638" spans="2:9">
      <c r="B1638" s="1297"/>
      <c r="C1638" s="1297"/>
      <c r="D1638" s="1297" t="s">
        <v>1214</v>
      </c>
      <c r="E1638" s="1399">
        <v>18063.02</v>
      </c>
      <c r="I1638" s="1399">
        <v>18063.02</v>
      </c>
    </row>
    <row r="1639" spans="2:9">
      <c r="B1639" s="1297"/>
      <c r="C1639" s="1297"/>
      <c r="D1639" s="1297" t="s">
        <v>947</v>
      </c>
      <c r="E1639" s="1399">
        <v>99656.610000000015</v>
      </c>
      <c r="I1639" s="1399">
        <v>99656.610000000015</v>
      </c>
    </row>
    <row r="1640" spans="2:9">
      <c r="B1640" s="1297"/>
      <c r="C1640" s="1297"/>
      <c r="D1640" s="1297" t="s">
        <v>1115</v>
      </c>
      <c r="E1640" s="1399">
        <v>1688.8500000000001</v>
      </c>
      <c r="I1640" s="1399">
        <v>1688.8500000000001</v>
      </c>
    </row>
    <row r="1641" spans="2:9">
      <c r="B1641" s="1297"/>
      <c r="C1641" s="1297"/>
      <c r="D1641" s="1297" t="s">
        <v>948</v>
      </c>
      <c r="G1641" s="1399">
        <v>14398458.300000001</v>
      </c>
      <c r="I1641" s="1399">
        <v>14398458.300000001</v>
      </c>
    </row>
    <row r="1642" spans="2:9">
      <c r="B1642" s="1297"/>
      <c r="C1642" s="1400" t="s">
        <v>1099</v>
      </c>
      <c r="D1642" s="1400"/>
      <c r="E1642" s="1401">
        <v>3974350.47</v>
      </c>
      <c r="F1642" s="1401">
        <v>26902190.179999996</v>
      </c>
      <c r="G1642" s="1401">
        <v>14398458.300000001</v>
      </c>
      <c r="H1642" s="1401">
        <v>13029425.68</v>
      </c>
      <c r="I1642" s="1401">
        <v>58304424.629999995</v>
      </c>
    </row>
    <row r="1643" spans="2:9">
      <c r="B1643" s="1297" t="s">
        <v>1100</v>
      </c>
      <c r="C1643" s="1297" t="s">
        <v>1101</v>
      </c>
      <c r="D1643" s="1297" t="s">
        <v>906</v>
      </c>
      <c r="F1643" s="1399">
        <v>10745033.85</v>
      </c>
      <c r="I1643" s="1399">
        <v>10745033.85</v>
      </c>
    </row>
    <row r="1644" spans="2:9">
      <c r="B1644" s="1297"/>
      <c r="C1644" s="1297"/>
      <c r="D1644" s="1297" t="s">
        <v>952</v>
      </c>
      <c r="F1644" s="1399">
        <v>79053.259999999995</v>
      </c>
      <c r="I1644" s="1399">
        <v>79053.259999999995</v>
      </c>
    </row>
    <row r="1645" spans="2:9">
      <c r="B1645" s="1297"/>
      <c r="C1645" s="1297"/>
      <c r="D1645" s="1297" t="s">
        <v>907</v>
      </c>
      <c r="F1645" s="1399">
        <v>4712515.55</v>
      </c>
      <c r="I1645" s="1399">
        <v>4712515.55</v>
      </c>
    </row>
    <row r="1646" spans="2:9">
      <c r="B1646" s="1297"/>
      <c r="C1646" s="1297"/>
      <c r="D1646" s="1297" t="s">
        <v>908</v>
      </c>
      <c r="F1646" s="1399">
        <v>29879.78</v>
      </c>
      <c r="I1646" s="1399">
        <v>29879.78</v>
      </c>
    </row>
    <row r="1647" spans="2:9">
      <c r="B1647" s="1297"/>
      <c r="C1647" s="1297"/>
      <c r="D1647" s="1297" t="s">
        <v>1037</v>
      </c>
      <c r="F1647" s="1399">
        <v>1400</v>
      </c>
      <c r="I1647" s="1399">
        <v>1400</v>
      </c>
    </row>
    <row r="1648" spans="2:9">
      <c r="B1648" s="1297"/>
      <c r="C1648" s="1297"/>
      <c r="D1648" s="1297" t="s">
        <v>1039</v>
      </c>
      <c r="F1648" s="1399">
        <v>27300.67</v>
      </c>
      <c r="I1648" s="1399">
        <v>27300.67</v>
      </c>
    </row>
    <row r="1649" spans="2:9">
      <c r="B1649" s="1297"/>
      <c r="C1649" s="1297"/>
      <c r="D1649" s="1297" t="s">
        <v>1040</v>
      </c>
      <c r="F1649" s="1399">
        <v>328799.48</v>
      </c>
      <c r="I1649" s="1399">
        <v>328799.48</v>
      </c>
    </row>
    <row r="1650" spans="2:9">
      <c r="B1650" s="1297"/>
      <c r="C1650" s="1297"/>
      <c r="D1650" s="1297" t="s">
        <v>1041</v>
      </c>
      <c r="F1650" s="1399">
        <v>37240.79</v>
      </c>
      <c r="I1650" s="1399">
        <v>37240.79</v>
      </c>
    </row>
    <row r="1651" spans="2:9">
      <c r="B1651" s="1297"/>
      <c r="C1651" s="1297"/>
      <c r="D1651" s="1297" t="s">
        <v>1042</v>
      </c>
      <c r="F1651" s="1399">
        <v>45970.87</v>
      </c>
      <c r="I1651" s="1399">
        <v>45970.87</v>
      </c>
    </row>
    <row r="1652" spans="2:9">
      <c r="B1652" s="1297"/>
      <c r="C1652" s="1297"/>
      <c r="D1652" s="1297" t="s">
        <v>954</v>
      </c>
      <c r="F1652" s="1399">
        <v>1275149.8</v>
      </c>
      <c r="I1652" s="1399">
        <v>1275149.8</v>
      </c>
    </row>
    <row r="1653" spans="2:9">
      <c r="B1653" s="1297"/>
      <c r="C1653" s="1297"/>
      <c r="D1653" s="1297" t="s">
        <v>1043</v>
      </c>
      <c r="F1653" s="1399">
        <v>6000</v>
      </c>
      <c r="I1653" s="1399">
        <v>6000</v>
      </c>
    </row>
    <row r="1654" spans="2:9">
      <c r="B1654" s="1297"/>
      <c r="C1654" s="1297"/>
      <c r="D1654" s="1297" t="s">
        <v>986</v>
      </c>
      <c r="F1654" s="1399">
        <v>26557.919999999998</v>
      </c>
      <c r="I1654" s="1399">
        <v>26557.919999999998</v>
      </c>
    </row>
    <row r="1655" spans="2:9">
      <c r="B1655" s="1297"/>
      <c r="C1655" s="1297"/>
      <c r="D1655" s="1297" t="s">
        <v>1044</v>
      </c>
      <c r="F1655" s="1399">
        <v>39053.519999999997</v>
      </c>
      <c r="I1655" s="1399">
        <v>39053.519999999997</v>
      </c>
    </row>
    <row r="1656" spans="2:9">
      <c r="B1656" s="1297"/>
      <c r="C1656" s="1297"/>
      <c r="D1656" s="1297" t="s">
        <v>1045</v>
      </c>
      <c r="F1656" s="1399">
        <v>362561.84</v>
      </c>
      <c r="I1656" s="1399">
        <v>362561.84</v>
      </c>
    </row>
    <row r="1657" spans="2:9">
      <c r="B1657" s="1297"/>
      <c r="C1657" s="1297"/>
      <c r="D1657" s="1297" t="s">
        <v>1046</v>
      </c>
      <c r="H1657" s="1399">
        <v>28062223</v>
      </c>
      <c r="I1657" s="1399">
        <v>28062223</v>
      </c>
    </row>
    <row r="1658" spans="2:9">
      <c r="B1658" s="1297"/>
      <c r="C1658" s="1297"/>
      <c r="D1658" s="1297" t="s">
        <v>1128</v>
      </c>
      <c r="H1658" s="1399">
        <v>2287908</v>
      </c>
      <c r="I1658" s="1399">
        <v>2287908</v>
      </c>
    </row>
    <row r="1659" spans="2:9">
      <c r="B1659" s="1297"/>
      <c r="C1659" s="1297"/>
      <c r="D1659" s="1297" t="s">
        <v>1129</v>
      </c>
      <c r="H1659" s="1399">
        <v>-3867672</v>
      </c>
      <c r="I1659" s="1399">
        <v>-3867672</v>
      </c>
    </row>
    <row r="1660" spans="2:9">
      <c r="B1660" s="1297"/>
      <c r="C1660" s="1297"/>
      <c r="D1660" s="1297" t="s">
        <v>1047</v>
      </c>
      <c r="H1660" s="1399">
        <v>914587</v>
      </c>
      <c r="I1660" s="1399">
        <v>914587</v>
      </c>
    </row>
    <row r="1661" spans="2:9">
      <c r="B1661" s="1297"/>
      <c r="C1661" s="1297"/>
      <c r="D1661" s="1297" t="s">
        <v>1048</v>
      </c>
      <c r="H1661" s="1399">
        <v>-4133722</v>
      </c>
      <c r="I1661" s="1399">
        <v>-4133722</v>
      </c>
    </row>
    <row r="1662" spans="2:9">
      <c r="B1662" s="1297"/>
      <c r="C1662" s="1297"/>
      <c r="D1662" s="1297" t="s">
        <v>932</v>
      </c>
      <c r="H1662" s="1399">
        <v>1702187</v>
      </c>
      <c r="I1662" s="1399">
        <v>1702187</v>
      </c>
    </row>
    <row r="1663" spans="2:9">
      <c r="B1663" s="1297"/>
      <c r="C1663" s="1297"/>
      <c r="D1663" s="1297" t="s">
        <v>933</v>
      </c>
      <c r="H1663" s="1399">
        <v>1496664.74</v>
      </c>
      <c r="I1663" s="1399">
        <v>1496664.74</v>
      </c>
    </row>
    <row r="1664" spans="2:9">
      <c r="B1664" s="1297"/>
      <c r="C1664" s="1297"/>
      <c r="D1664" s="1297" t="s">
        <v>934</v>
      </c>
      <c r="H1664" s="1399">
        <v>92128</v>
      </c>
      <c r="I1664" s="1399">
        <v>92128</v>
      </c>
    </row>
    <row r="1665" spans="2:9">
      <c r="B1665" s="1297"/>
      <c r="C1665" s="1297"/>
      <c r="D1665" s="1297" t="s">
        <v>935</v>
      </c>
      <c r="H1665" s="1399">
        <v>682121.08000000007</v>
      </c>
      <c r="I1665" s="1399">
        <v>682121.08000000007</v>
      </c>
    </row>
    <row r="1666" spans="2:9">
      <c r="B1666" s="1297"/>
      <c r="C1666" s="1297"/>
      <c r="D1666" s="1297" t="s">
        <v>936</v>
      </c>
      <c r="H1666" s="1399">
        <v>107496.21</v>
      </c>
      <c r="I1666" s="1399">
        <v>107496.21</v>
      </c>
    </row>
    <row r="1667" spans="2:9">
      <c r="B1667" s="1297"/>
      <c r="C1667" s="1297"/>
      <c r="D1667" s="1297" t="s">
        <v>937</v>
      </c>
      <c r="H1667" s="1399">
        <v>17991.16</v>
      </c>
      <c r="I1667" s="1399">
        <v>17991.16</v>
      </c>
    </row>
    <row r="1668" spans="2:9">
      <c r="B1668" s="1297"/>
      <c r="C1668" s="1297"/>
      <c r="D1668" s="1297" t="s">
        <v>938</v>
      </c>
      <c r="H1668" s="1399">
        <v>31068</v>
      </c>
      <c r="I1668" s="1399">
        <v>31068</v>
      </c>
    </row>
    <row r="1669" spans="2:9">
      <c r="B1669" s="1297"/>
      <c r="C1669" s="1297"/>
      <c r="D1669" s="1297" t="s">
        <v>939</v>
      </c>
      <c r="H1669" s="1399">
        <v>201834.02</v>
      </c>
      <c r="I1669" s="1399">
        <v>201834.02</v>
      </c>
    </row>
    <row r="1670" spans="2:9">
      <c r="B1670" s="1297"/>
      <c r="C1670" s="1297"/>
      <c r="D1670" s="1297" t="s">
        <v>940</v>
      </c>
      <c r="E1670" s="1399">
        <v>1720068.58</v>
      </c>
      <c r="I1670" s="1399">
        <v>1720068.58</v>
      </c>
    </row>
    <row r="1671" spans="2:9">
      <c r="B1671" s="1297"/>
      <c r="C1671" s="1297"/>
      <c r="D1671" s="1297" t="s">
        <v>941</v>
      </c>
      <c r="E1671" s="1399">
        <v>877641.04</v>
      </c>
      <c r="I1671" s="1399">
        <v>877641.04</v>
      </c>
    </row>
    <row r="1672" spans="2:9">
      <c r="B1672" s="1297"/>
      <c r="C1672" s="1297"/>
      <c r="D1672" s="1297" t="s">
        <v>943</v>
      </c>
      <c r="E1672" s="1399">
        <v>31184.34</v>
      </c>
      <c r="I1672" s="1399">
        <v>31184.34</v>
      </c>
    </row>
    <row r="1673" spans="2:9">
      <c r="B1673" s="1297"/>
      <c r="C1673" s="1297"/>
      <c r="D1673" s="1297" t="s">
        <v>944</v>
      </c>
      <c r="E1673" s="1399">
        <v>5447897.1099999994</v>
      </c>
      <c r="I1673" s="1399">
        <v>5447897.1099999994</v>
      </c>
    </row>
    <row r="1674" spans="2:9">
      <c r="B1674" s="1297"/>
      <c r="C1674" s="1297"/>
      <c r="D1674" s="1297" t="s">
        <v>945</v>
      </c>
      <c r="E1674" s="1399">
        <v>2840240.1700000004</v>
      </c>
      <c r="I1674" s="1399">
        <v>2840240.1700000004</v>
      </c>
    </row>
    <row r="1675" spans="2:9">
      <c r="B1675" s="1297"/>
      <c r="C1675" s="1297"/>
      <c r="D1675" s="1297" t="s">
        <v>946</v>
      </c>
      <c r="E1675" s="1399">
        <v>196215.28</v>
      </c>
      <c r="I1675" s="1399">
        <v>196215.28</v>
      </c>
    </row>
    <row r="1676" spans="2:9">
      <c r="B1676" s="1297"/>
      <c r="C1676" s="1297"/>
      <c r="D1676" s="1297" t="s">
        <v>947</v>
      </c>
      <c r="E1676" s="1399">
        <v>155535.59</v>
      </c>
      <c r="I1676" s="1399">
        <v>155535.59</v>
      </c>
    </row>
    <row r="1677" spans="2:9">
      <c r="B1677" s="1297"/>
      <c r="C1677" s="1297"/>
      <c r="D1677" s="1297" t="s">
        <v>948</v>
      </c>
      <c r="G1677" s="1399">
        <v>5743059.2299999995</v>
      </c>
      <c r="I1677" s="1399">
        <v>5743059.2299999995</v>
      </c>
    </row>
    <row r="1678" spans="2:9">
      <c r="B1678" s="1297"/>
      <c r="C1678" s="1297"/>
      <c r="D1678" s="1297" t="s">
        <v>956</v>
      </c>
      <c r="G1678" s="1399">
        <v>181634</v>
      </c>
      <c r="I1678" s="1399">
        <v>181634</v>
      </c>
    </row>
    <row r="1679" spans="2:9">
      <c r="B1679" s="1297"/>
      <c r="C1679" s="1400" t="s">
        <v>1102</v>
      </c>
      <c r="D1679" s="1400"/>
      <c r="E1679" s="1401">
        <v>11268782.109999999</v>
      </c>
      <c r="F1679" s="1401">
        <v>17716517.329999998</v>
      </c>
      <c r="G1679" s="1401">
        <v>5924693.2299999995</v>
      </c>
      <c r="H1679" s="1401">
        <v>27594814.210000001</v>
      </c>
      <c r="I1679" s="1401">
        <v>62504806.880000003</v>
      </c>
    </row>
    <row r="1680" spans="2:9">
      <c r="B1680" s="1297" t="s">
        <v>1103</v>
      </c>
      <c r="C1680" s="1297" t="s">
        <v>1104</v>
      </c>
      <c r="D1680" s="1297" t="s">
        <v>906</v>
      </c>
      <c r="F1680" s="1399">
        <v>446762804.91000003</v>
      </c>
      <c r="I1680" s="1399">
        <v>446762804.91000003</v>
      </c>
    </row>
    <row r="1681" spans="2:9">
      <c r="B1681" s="1297"/>
      <c r="C1681" s="1297"/>
      <c r="D1681" s="1297" t="s">
        <v>952</v>
      </c>
      <c r="F1681" s="1399">
        <v>5245556.91</v>
      </c>
      <c r="I1681" s="1399">
        <v>5245556.91</v>
      </c>
    </row>
    <row r="1682" spans="2:9">
      <c r="B1682" s="1297"/>
      <c r="C1682" s="1297"/>
      <c r="D1682" s="1297" t="s">
        <v>907</v>
      </c>
      <c r="F1682" s="1399">
        <v>104440242.56</v>
      </c>
      <c r="I1682" s="1399">
        <v>104440242.56</v>
      </c>
    </row>
    <row r="1683" spans="2:9">
      <c r="B1683" s="1297"/>
      <c r="C1683" s="1297"/>
      <c r="D1683" s="1297" t="s">
        <v>908</v>
      </c>
      <c r="F1683" s="1399">
        <v>5358375.92</v>
      </c>
      <c r="I1683" s="1399">
        <v>5358375.92</v>
      </c>
    </row>
    <row r="1684" spans="2:9">
      <c r="B1684" s="1297"/>
      <c r="C1684" s="1297"/>
      <c r="D1684" s="1297" t="s">
        <v>1035</v>
      </c>
      <c r="F1684" s="1399">
        <v>8165594.4000000004</v>
      </c>
      <c r="I1684" s="1399">
        <v>8165594.4000000004</v>
      </c>
    </row>
    <row r="1685" spans="2:9">
      <c r="B1685" s="1297"/>
      <c r="C1685" s="1297"/>
      <c r="D1685" s="1297" t="s">
        <v>1036</v>
      </c>
      <c r="F1685" s="1399">
        <v>10562284.57</v>
      </c>
      <c r="I1685" s="1399">
        <v>10562284.57</v>
      </c>
    </row>
    <row r="1686" spans="2:9">
      <c r="B1686" s="1297"/>
      <c r="C1686" s="1297"/>
      <c r="D1686" s="1297" t="s">
        <v>1105</v>
      </c>
      <c r="F1686" s="1399">
        <v>17994.8</v>
      </c>
      <c r="I1686" s="1399">
        <v>17994.8</v>
      </c>
    </row>
    <row r="1687" spans="2:9">
      <c r="B1687" s="1297"/>
      <c r="C1687" s="1297"/>
      <c r="D1687" s="1297" t="s">
        <v>1038</v>
      </c>
      <c r="F1687" s="1399">
        <v>50050</v>
      </c>
      <c r="I1687" s="1399">
        <v>50050</v>
      </c>
    </row>
    <row r="1688" spans="2:9">
      <c r="B1688" s="1297"/>
      <c r="C1688" s="1297"/>
      <c r="D1688" s="1297" t="s">
        <v>1003</v>
      </c>
      <c r="F1688" s="1399">
        <v>709973.81</v>
      </c>
      <c r="I1688" s="1399">
        <v>709973.81</v>
      </c>
    </row>
    <row r="1689" spans="2:9">
      <c r="B1689" s="1297"/>
      <c r="C1689" s="1297"/>
      <c r="D1689" s="1297" t="s">
        <v>1039</v>
      </c>
      <c r="F1689" s="1399">
        <v>2298416.7000000002</v>
      </c>
      <c r="I1689" s="1399">
        <v>2298416.7000000002</v>
      </c>
    </row>
    <row r="1690" spans="2:9">
      <c r="B1690" s="1297"/>
      <c r="C1690" s="1297"/>
      <c r="D1690" s="1297" t="s">
        <v>1040</v>
      </c>
      <c r="F1690" s="1399">
        <v>3060997.3300000005</v>
      </c>
      <c r="I1690" s="1399">
        <v>3060997.3300000005</v>
      </c>
    </row>
    <row r="1691" spans="2:9">
      <c r="B1691" s="1297"/>
      <c r="C1691" s="1297"/>
      <c r="D1691" s="1297" t="s">
        <v>1127</v>
      </c>
      <c r="F1691" s="1399">
        <v>47827.549999999988</v>
      </c>
      <c r="I1691" s="1399">
        <v>47827.549999999988</v>
      </c>
    </row>
    <row r="1692" spans="2:9">
      <c r="B1692" s="1297"/>
      <c r="C1692" s="1297"/>
      <c r="D1692" s="1297" t="s">
        <v>1041</v>
      </c>
      <c r="F1692" s="1399">
        <v>735265.99</v>
      </c>
      <c r="I1692" s="1399">
        <v>735265.99</v>
      </c>
    </row>
    <row r="1693" spans="2:9">
      <c r="B1693" s="1297"/>
      <c r="C1693" s="1297"/>
      <c r="D1693" s="1297" t="s">
        <v>1042</v>
      </c>
      <c r="F1693" s="1399">
        <v>635087.79</v>
      </c>
      <c r="I1693" s="1399">
        <v>635087.79</v>
      </c>
    </row>
    <row r="1694" spans="2:9">
      <c r="B1694" s="1297"/>
      <c r="C1694" s="1297"/>
      <c r="D1694" s="1297" t="s">
        <v>1043</v>
      </c>
      <c r="F1694" s="1399">
        <v>-680</v>
      </c>
      <c r="I1694" s="1399">
        <v>-680</v>
      </c>
    </row>
    <row r="1695" spans="2:9">
      <c r="B1695" s="1297"/>
      <c r="C1695" s="1297"/>
      <c r="D1695" s="1297" t="s">
        <v>1045</v>
      </c>
      <c r="F1695" s="1399">
        <v>31644188.000000004</v>
      </c>
      <c r="I1695" s="1399">
        <v>31644188.000000004</v>
      </c>
    </row>
    <row r="1696" spans="2:9">
      <c r="B1696" s="1297"/>
      <c r="C1696" s="1297"/>
      <c r="D1696" s="1297" t="s">
        <v>1046</v>
      </c>
      <c r="H1696" s="1399">
        <v>480203456.99999994</v>
      </c>
      <c r="I1696" s="1399">
        <v>480203456.99999994</v>
      </c>
    </row>
    <row r="1697" spans="2:9">
      <c r="B1697" s="1297"/>
      <c r="C1697" s="1297"/>
      <c r="D1697" s="1297" t="s">
        <v>1128</v>
      </c>
      <c r="H1697" s="1399">
        <v>41113467</v>
      </c>
      <c r="I1697" s="1399">
        <v>41113467</v>
      </c>
    </row>
    <row r="1698" spans="2:9">
      <c r="B1698" s="1297"/>
      <c r="C1698" s="1297"/>
      <c r="D1698" s="1297" t="s">
        <v>1129</v>
      </c>
      <c r="H1698" s="1399">
        <v>-61457248</v>
      </c>
      <c r="I1698" s="1399">
        <v>-61457248</v>
      </c>
    </row>
    <row r="1699" spans="2:9">
      <c r="B1699" s="1297"/>
      <c r="C1699" s="1297"/>
      <c r="D1699" s="1297" t="s">
        <v>1047</v>
      </c>
      <c r="H1699" s="1399">
        <v>9812982</v>
      </c>
      <c r="I1699" s="1399">
        <v>9812982</v>
      </c>
    </row>
    <row r="1700" spans="2:9">
      <c r="B1700" s="1297"/>
      <c r="C1700" s="1297"/>
      <c r="D1700" s="1297" t="s">
        <v>1048</v>
      </c>
      <c r="H1700" s="1399">
        <v>-113919515</v>
      </c>
      <c r="I1700" s="1399">
        <v>-113919515</v>
      </c>
    </row>
    <row r="1701" spans="2:9">
      <c r="B1701" s="1297"/>
      <c r="C1701" s="1297"/>
      <c r="D1701" s="1297" t="s">
        <v>955</v>
      </c>
      <c r="H1701" s="1399">
        <v>8934160.0099999998</v>
      </c>
      <c r="I1701" s="1399">
        <v>8934160.0099999998</v>
      </c>
    </row>
    <row r="1702" spans="2:9">
      <c r="B1702" s="1297"/>
      <c r="C1702" s="1297"/>
      <c r="D1702" s="1297" t="s">
        <v>934</v>
      </c>
      <c r="H1702" s="1399">
        <v>1407904.5800000003</v>
      </c>
      <c r="I1702" s="1399">
        <v>1407904.5800000003</v>
      </c>
    </row>
    <row r="1703" spans="2:9">
      <c r="B1703" s="1297"/>
      <c r="C1703" s="1297"/>
      <c r="D1703" s="1297" t="s">
        <v>1130</v>
      </c>
      <c r="H1703" s="1399">
        <v>448403.8</v>
      </c>
      <c r="I1703" s="1399">
        <v>448403.8</v>
      </c>
    </row>
    <row r="1704" spans="2:9">
      <c r="B1704" s="1297"/>
      <c r="C1704" s="1297"/>
      <c r="D1704" s="1297" t="s">
        <v>935</v>
      </c>
      <c r="H1704" s="1399">
        <v>6504188.4900000002</v>
      </c>
      <c r="I1704" s="1399">
        <v>6504188.4900000002</v>
      </c>
    </row>
    <row r="1705" spans="2:9">
      <c r="B1705" s="1297"/>
      <c r="C1705" s="1297"/>
      <c r="D1705" s="1297" t="s">
        <v>936</v>
      </c>
      <c r="H1705" s="1399">
        <v>1546264.76</v>
      </c>
      <c r="I1705" s="1399">
        <v>1546264.76</v>
      </c>
    </row>
    <row r="1706" spans="2:9">
      <c r="B1706" s="1297"/>
      <c r="C1706" s="1297"/>
      <c r="D1706" s="1297" t="s">
        <v>937</v>
      </c>
      <c r="H1706" s="1399">
        <v>632924.77</v>
      </c>
      <c r="I1706" s="1399">
        <v>632924.77</v>
      </c>
    </row>
    <row r="1707" spans="2:9">
      <c r="B1707" s="1297"/>
      <c r="C1707" s="1297"/>
      <c r="D1707" s="1297" t="s">
        <v>938</v>
      </c>
      <c r="H1707" s="1399">
        <v>434021</v>
      </c>
      <c r="I1707" s="1399">
        <v>434021</v>
      </c>
    </row>
    <row r="1708" spans="2:9">
      <c r="B1708" s="1297"/>
      <c r="C1708" s="1297"/>
      <c r="D1708" s="1297" t="s">
        <v>939</v>
      </c>
      <c r="H1708" s="1399">
        <v>27709.83</v>
      </c>
      <c r="I1708" s="1399">
        <v>27709.83</v>
      </c>
    </row>
    <row r="1709" spans="2:9">
      <c r="B1709" s="1297"/>
      <c r="C1709" s="1297"/>
      <c r="D1709" s="1297" t="s">
        <v>1131</v>
      </c>
      <c r="E1709" s="1399">
        <v>1938128.12</v>
      </c>
      <c r="I1709" s="1399">
        <v>1938128.12</v>
      </c>
    </row>
    <row r="1710" spans="2:9">
      <c r="B1710" s="1297"/>
      <c r="C1710" s="1297"/>
      <c r="D1710" s="1297" t="s">
        <v>940</v>
      </c>
      <c r="E1710" s="1399">
        <v>27576216.460000008</v>
      </c>
      <c r="I1710" s="1399">
        <v>27576216.460000008</v>
      </c>
    </row>
    <row r="1711" spans="2:9">
      <c r="B1711" s="1297"/>
      <c r="C1711" s="1297"/>
      <c r="D1711" s="1297" t="s">
        <v>941</v>
      </c>
      <c r="E1711" s="1399">
        <v>7864429.299999997</v>
      </c>
      <c r="I1711" s="1399">
        <v>7864429.299999997</v>
      </c>
    </row>
    <row r="1712" spans="2:9">
      <c r="B1712" s="1297"/>
      <c r="C1712" s="1297"/>
      <c r="D1712" s="1297" t="s">
        <v>943</v>
      </c>
      <c r="E1712" s="1399">
        <v>260462.46000000014</v>
      </c>
      <c r="I1712" s="1399">
        <v>260462.46000000014</v>
      </c>
    </row>
    <row r="1713" spans="2:9">
      <c r="B1713" s="1297"/>
      <c r="C1713" s="1297"/>
      <c r="D1713" s="1297" t="s">
        <v>944</v>
      </c>
      <c r="E1713" s="1399">
        <v>54536423.250000022</v>
      </c>
      <c r="I1713" s="1399">
        <v>54536423.250000022</v>
      </c>
    </row>
    <row r="1714" spans="2:9">
      <c r="B1714" s="1297"/>
      <c r="C1714" s="1297"/>
      <c r="D1714" s="1297" t="s">
        <v>945</v>
      </c>
      <c r="E1714" s="1399">
        <v>42735961.240000002</v>
      </c>
      <c r="I1714" s="1399">
        <v>42735961.240000002</v>
      </c>
    </row>
    <row r="1715" spans="2:9">
      <c r="B1715" s="1297"/>
      <c r="C1715" s="1297"/>
      <c r="D1715" s="1297" t="s">
        <v>946</v>
      </c>
      <c r="E1715" s="1399">
        <v>1658420.3</v>
      </c>
      <c r="I1715" s="1399">
        <v>1658420.3</v>
      </c>
    </row>
    <row r="1716" spans="2:9">
      <c r="B1716" s="1297"/>
      <c r="C1716" s="1297"/>
      <c r="D1716" s="1297" t="s">
        <v>978</v>
      </c>
      <c r="E1716" s="1399">
        <v>3600</v>
      </c>
      <c r="I1716" s="1399">
        <v>3600</v>
      </c>
    </row>
    <row r="1717" spans="2:9">
      <c r="B1717" s="1297"/>
      <c r="C1717" s="1297"/>
      <c r="D1717" s="1297" t="s">
        <v>947</v>
      </c>
      <c r="E1717" s="1399">
        <v>6135464.3800000045</v>
      </c>
      <c r="I1717" s="1399">
        <v>6135464.3800000045</v>
      </c>
    </row>
    <row r="1718" spans="2:9">
      <c r="B1718" s="1297"/>
      <c r="C1718" s="1297"/>
      <c r="D1718" s="1297" t="s">
        <v>948</v>
      </c>
      <c r="G1718" s="1399">
        <v>98424434.530000001</v>
      </c>
      <c r="I1718" s="1399">
        <v>98424434.530000001</v>
      </c>
    </row>
    <row r="1719" spans="2:9">
      <c r="B1719" s="1297"/>
      <c r="C1719" s="1297"/>
      <c r="D1719" s="1297" t="s">
        <v>956</v>
      </c>
      <c r="G1719" s="1399">
        <v>2933.05</v>
      </c>
      <c r="I1719" s="1399">
        <v>2933.05</v>
      </c>
    </row>
    <row r="1720" spans="2:9">
      <c r="B1720" s="1297"/>
      <c r="C1720" s="1297"/>
      <c r="D1720" s="1297" t="s">
        <v>1118</v>
      </c>
      <c r="G1720" s="1399">
        <v>2062299.81</v>
      </c>
      <c r="I1720" s="1399">
        <v>2062299.81</v>
      </c>
    </row>
    <row r="1721" spans="2:9">
      <c r="B1721" s="1297"/>
      <c r="C1721" s="1297"/>
      <c r="D1721" s="1297" t="s">
        <v>1051</v>
      </c>
      <c r="G1721" s="1399">
        <v>300000</v>
      </c>
      <c r="I1721" s="1399">
        <v>300000</v>
      </c>
    </row>
    <row r="1722" spans="2:9">
      <c r="B1722" s="1297"/>
      <c r="C1722" s="1400" t="s">
        <v>1106</v>
      </c>
      <c r="D1722" s="1400"/>
      <c r="E1722" s="1401">
        <v>142709105.51000005</v>
      </c>
      <c r="F1722" s="1401">
        <v>619733981.24000001</v>
      </c>
      <c r="G1722" s="1401">
        <v>100789667.39</v>
      </c>
      <c r="H1722" s="1401">
        <v>375688720.23999989</v>
      </c>
      <c r="I1722" s="1401">
        <v>1238921474.3800001</v>
      </c>
    </row>
    <row r="1723" spans="2:9">
      <c r="B1723" s="1297" t="s">
        <v>1107</v>
      </c>
      <c r="C1723" s="1297" t="s">
        <v>1108</v>
      </c>
      <c r="D1723" s="1297" t="s">
        <v>906</v>
      </c>
      <c r="F1723" s="1399">
        <v>4426909.45</v>
      </c>
      <c r="I1723" s="1399">
        <v>4426909.45</v>
      </c>
    </row>
    <row r="1724" spans="2:9">
      <c r="B1724" s="1297"/>
      <c r="C1724" s="1297"/>
      <c r="D1724" s="1297" t="s">
        <v>952</v>
      </c>
      <c r="F1724" s="1399">
        <v>35884.449999999997</v>
      </c>
      <c r="I1724" s="1399">
        <v>35884.449999999997</v>
      </c>
    </row>
    <row r="1725" spans="2:9">
      <c r="B1725" s="1297"/>
      <c r="C1725" s="1297"/>
      <c r="D1725" s="1297" t="s">
        <v>907</v>
      </c>
      <c r="F1725" s="1399">
        <v>1945875.75</v>
      </c>
      <c r="I1725" s="1399">
        <v>1945875.75</v>
      </c>
    </row>
    <row r="1726" spans="2:9">
      <c r="B1726" s="1297"/>
      <c r="C1726" s="1297"/>
      <c r="D1726" s="1297" t="s">
        <v>908</v>
      </c>
      <c r="F1726" s="1399">
        <v>21452.19</v>
      </c>
      <c r="I1726" s="1399">
        <v>21452.19</v>
      </c>
    </row>
    <row r="1727" spans="2:9">
      <c r="B1727" s="1297"/>
      <c r="C1727" s="1297"/>
      <c r="D1727" s="1297" t="s">
        <v>1035</v>
      </c>
      <c r="F1727" s="1399">
        <v>234095.84</v>
      </c>
      <c r="I1727" s="1399">
        <v>234095.84</v>
      </c>
    </row>
    <row r="1728" spans="2:9">
      <c r="B1728" s="1297"/>
      <c r="C1728" s="1297"/>
      <c r="D1728" s="1297" t="s">
        <v>1038</v>
      </c>
      <c r="F1728" s="1399">
        <v>15064</v>
      </c>
      <c r="I1728" s="1399">
        <v>15064</v>
      </c>
    </row>
    <row r="1729" spans="2:9">
      <c r="B1729" s="1297"/>
      <c r="C1729" s="1297"/>
      <c r="D1729" s="1297" t="s">
        <v>1039</v>
      </c>
      <c r="F1729" s="1399">
        <v>8312.15</v>
      </c>
      <c r="I1729" s="1399">
        <v>8312.15</v>
      </c>
    </row>
    <row r="1730" spans="2:9">
      <c r="B1730" s="1297"/>
      <c r="C1730" s="1297"/>
      <c r="D1730" s="1297" t="s">
        <v>1040</v>
      </c>
      <c r="F1730" s="1399">
        <v>228540.33</v>
      </c>
      <c r="I1730" s="1399">
        <v>228540.33</v>
      </c>
    </row>
    <row r="1731" spans="2:9">
      <c r="B1731" s="1297"/>
      <c r="C1731" s="1297"/>
      <c r="D1731" s="1297" t="s">
        <v>1041</v>
      </c>
      <c r="F1731" s="1399">
        <v>31130.53</v>
      </c>
      <c r="I1731" s="1399">
        <v>31130.53</v>
      </c>
    </row>
    <row r="1732" spans="2:9">
      <c r="B1732" s="1297"/>
      <c r="C1732" s="1297"/>
      <c r="D1732" s="1297" t="s">
        <v>1042</v>
      </c>
      <c r="F1732" s="1399">
        <v>67736.83</v>
      </c>
      <c r="I1732" s="1399">
        <v>67736.83</v>
      </c>
    </row>
    <row r="1733" spans="2:9">
      <c r="B1733" s="1297"/>
      <c r="C1733" s="1297"/>
      <c r="D1733" s="1297" t="s">
        <v>1045</v>
      </c>
      <c r="F1733" s="1399">
        <v>1340661.8599999999</v>
      </c>
      <c r="I1733" s="1399">
        <v>1340661.8599999999</v>
      </c>
    </row>
    <row r="1734" spans="2:9">
      <c r="B1734" s="1297"/>
      <c r="C1734" s="1297"/>
      <c r="D1734" s="1297" t="s">
        <v>1046</v>
      </c>
      <c r="H1734" s="1399">
        <v>16155369</v>
      </c>
      <c r="I1734" s="1399">
        <v>16155369</v>
      </c>
    </row>
    <row r="1735" spans="2:9">
      <c r="B1735" s="1297"/>
      <c r="C1735" s="1297"/>
      <c r="D1735" s="1297" t="s">
        <v>1047</v>
      </c>
      <c r="H1735" s="1399">
        <v>671659</v>
      </c>
      <c r="I1735" s="1399">
        <v>671659</v>
      </c>
    </row>
    <row r="1736" spans="2:9">
      <c r="B1736" s="1297"/>
      <c r="C1736" s="1297"/>
      <c r="D1736" s="1297" t="s">
        <v>1048</v>
      </c>
      <c r="H1736" s="1399">
        <v>-1613376</v>
      </c>
      <c r="I1736" s="1399">
        <v>-1613376</v>
      </c>
    </row>
    <row r="1737" spans="2:9">
      <c r="B1737" s="1297"/>
      <c r="C1737" s="1297"/>
      <c r="D1737" s="1297" t="s">
        <v>932</v>
      </c>
      <c r="H1737" s="1399">
        <v>2106401</v>
      </c>
      <c r="I1737" s="1399">
        <v>2106401</v>
      </c>
    </row>
    <row r="1738" spans="2:9">
      <c r="B1738" s="1297"/>
      <c r="C1738" s="1297"/>
      <c r="D1738" s="1297" t="s">
        <v>933</v>
      </c>
      <c r="H1738" s="1399">
        <v>748047</v>
      </c>
      <c r="I1738" s="1399">
        <v>748047</v>
      </c>
    </row>
    <row r="1739" spans="2:9">
      <c r="B1739" s="1297"/>
      <c r="C1739" s="1297"/>
      <c r="D1739" s="1297" t="s">
        <v>934</v>
      </c>
      <c r="H1739" s="1399">
        <v>61870</v>
      </c>
      <c r="I1739" s="1399">
        <v>61870</v>
      </c>
    </row>
    <row r="1740" spans="2:9">
      <c r="B1740" s="1297"/>
      <c r="C1740" s="1297"/>
      <c r="D1740" s="1297" t="s">
        <v>935</v>
      </c>
      <c r="H1740" s="1399">
        <v>428102.92000000004</v>
      </c>
      <c r="I1740" s="1399">
        <v>428102.92000000004</v>
      </c>
    </row>
    <row r="1741" spans="2:9">
      <c r="B1741" s="1297"/>
      <c r="C1741" s="1297"/>
      <c r="D1741" s="1297" t="s">
        <v>936</v>
      </c>
      <c r="H1741" s="1399">
        <v>60225.89</v>
      </c>
      <c r="I1741" s="1399">
        <v>60225.89</v>
      </c>
    </row>
    <row r="1742" spans="2:9">
      <c r="B1742" s="1297"/>
      <c r="C1742" s="1297"/>
      <c r="D1742" s="1297" t="s">
        <v>937</v>
      </c>
      <c r="H1742" s="1399">
        <v>17212.23</v>
      </c>
      <c r="I1742" s="1399">
        <v>17212.23</v>
      </c>
    </row>
    <row r="1743" spans="2:9">
      <c r="B1743" s="1297"/>
      <c r="C1743" s="1297"/>
      <c r="D1743" s="1297" t="s">
        <v>938</v>
      </c>
      <c r="H1743" s="1399">
        <v>18903</v>
      </c>
      <c r="I1743" s="1399">
        <v>18903</v>
      </c>
    </row>
    <row r="1744" spans="2:9">
      <c r="B1744" s="1297"/>
      <c r="C1744" s="1297"/>
      <c r="D1744" s="1297" t="s">
        <v>1131</v>
      </c>
      <c r="E1744" s="1399">
        <v>498579.16</v>
      </c>
      <c r="I1744" s="1399">
        <v>498579.16</v>
      </c>
    </row>
    <row r="1745" spans="2:9">
      <c r="B1745" s="1297"/>
      <c r="C1745" s="1297"/>
      <c r="D1745" s="1297" t="s">
        <v>940</v>
      </c>
      <c r="E1745" s="1399">
        <v>1207174.22</v>
      </c>
      <c r="I1745" s="1399">
        <v>1207174.22</v>
      </c>
    </row>
    <row r="1746" spans="2:9">
      <c r="B1746" s="1297"/>
      <c r="C1746" s="1297"/>
      <c r="D1746" s="1297" t="s">
        <v>941</v>
      </c>
      <c r="E1746" s="1399">
        <v>393653.2</v>
      </c>
      <c r="I1746" s="1399">
        <v>393653.2</v>
      </c>
    </row>
    <row r="1747" spans="2:9">
      <c r="B1747" s="1297"/>
      <c r="C1747" s="1297"/>
      <c r="D1747" s="1297" t="s">
        <v>943</v>
      </c>
      <c r="E1747" s="1399">
        <v>21135.88</v>
      </c>
      <c r="I1747" s="1399">
        <v>21135.88</v>
      </c>
    </row>
    <row r="1748" spans="2:9">
      <c r="B1748" s="1297"/>
      <c r="C1748" s="1297"/>
      <c r="D1748" s="1297" t="s">
        <v>944</v>
      </c>
      <c r="E1748" s="1399">
        <v>2733443.59</v>
      </c>
      <c r="I1748" s="1399">
        <v>2733443.59</v>
      </c>
    </row>
    <row r="1749" spans="2:9">
      <c r="B1749" s="1297"/>
      <c r="C1749" s="1297"/>
      <c r="D1749" s="1297" t="s">
        <v>945</v>
      </c>
      <c r="E1749" s="1399">
        <v>1485848.25</v>
      </c>
      <c r="I1749" s="1399">
        <v>1485848.25</v>
      </c>
    </row>
    <row r="1750" spans="2:9">
      <c r="B1750" s="1297"/>
      <c r="C1750" s="1297"/>
      <c r="D1750" s="1297" t="s">
        <v>946</v>
      </c>
      <c r="E1750" s="1399">
        <v>386485.92</v>
      </c>
      <c r="I1750" s="1399">
        <v>386485.92</v>
      </c>
    </row>
    <row r="1751" spans="2:9">
      <c r="B1751" s="1297"/>
      <c r="C1751" s="1297"/>
      <c r="D1751" s="1297" t="s">
        <v>947</v>
      </c>
      <c r="E1751" s="1399">
        <v>107349.41</v>
      </c>
      <c r="I1751" s="1399">
        <v>107349.41</v>
      </c>
    </row>
    <row r="1752" spans="2:9">
      <c r="B1752" s="1297"/>
      <c r="C1752" s="1297"/>
      <c r="D1752" s="1297" t="s">
        <v>1115</v>
      </c>
      <c r="E1752" s="1399">
        <v>0</v>
      </c>
      <c r="I1752" s="1399">
        <v>0</v>
      </c>
    </row>
    <row r="1753" spans="2:9">
      <c r="B1753" s="1297"/>
      <c r="C1753" s="1297"/>
      <c r="D1753" s="1297" t="s">
        <v>948</v>
      </c>
      <c r="G1753" s="1399">
        <v>2134103.84</v>
      </c>
      <c r="I1753" s="1399">
        <v>2134103.84</v>
      </c>
    </row>
    <row r="1754" spans="2:9">
      <c r="B1754" s="1297"/>
      <c r="C1754" s="1297"/>
      <c r="D1754" s="1297" t="s">
        <v>956</v>
      </c>
      <c r="G1754" s="1399">
        <v>6185</v>
      </c>
      <c r="I1754" s="1399">
        <v>6185</v>
      </c>
    </row>
    <row r="1755" spans="2:9">
      <c r="B1755" s="1297"/>
      <c r="C1755" s="1400" t="s">
        <v>1109</v>
      </c>
      <c r="D1755" s="1400"/>
      <c r="E1755" s="1401">
        <v>6833669.6299999999</v>
      </c>
      <c r="F1755" s="1401">
        <v>8355663.3800000008</v>
      </c>
      <c r="G1755" s="1401">
        <v>2140288.84</v>
      </c>
      <c r="H1755" s="1401">
        <v>18654414.040000003</v>
      </c>
      <c r="I1755" s="1401">
        <v>35984035.890000001</v>
      </c>
    </row>
    <row r="1756" spans="2:9">
      <c r="B1756" s="1297" t="s">
        <v>1110</v>
      </c>
      <c r="C1756" s="1297" t="s">
        <v>1111</v>
      </c>
      <c r="D1756" s="1297" t="s">
        <v>906</v>
      </c>
      <c r="F1756" s="1399">
        <v>4230476.6900000004</v>
      </c>
      <c r="I1756" s="1399">
        <v>4230476.6900000004</v>
      </c>
    </row>
    <row r="1757" spans="2:9">
      <c r="B1757" s="1297"/>
      <c r="C1757" s="1297"/>
      <c r="D1757" s="1297" t="s">
        <v>952</v>
      </c>
      <c r="F1757" s="1399">
        <v>29906.720000000001</v>
      </c>
      <c r="I1757" s="1399">
        <v>29906.720000000001</v>
      </c>
    </row>
    <row r="1758" spans="2:9">
      <c r="B1758" s="1297"/>
      <c r="C1758" s="1297"/>
      <c r="D1758" s="1297" t="s">
        <v>907</v>
      </c>
      <c r="F1758" s="1399">
        <v>1583064.18</v>
      </c>
      <c r="I1758" s="1399">
        <v>1583064.18</v>
      </c>
    </row>
    <row r="1759" spans="2:9">
      <c r="B1759" s="1297"/>
      <c r="C1759" s="1297"/>
      <c r="D1759" s="1297" t="s">
        <v>908</v>
      </c>
      <c r="F1759" s="1399">
        <v>22843.89</v>
      </c>
      <c r="I1759" s="1399">
        <v>22843.89</v>
      </c>
    </row>
    <row r="1760" spans="2:9">
      <c r="B1760" s="1297"/>
      <c r="C1760" s="1297"/>
      <c r="D1760" s="1297" t="s">
        <v>1035</v>
      </c>
      <c r="F1760" s="1399">
        <v>289761.01</v>
      </c>
      <c r="I1760" s="1399">
        <v>289761.01</v>
      </c>
    </row>
    <row r="1761" spans="2:9">
      <c r="B1761" s="1297"/>
      <c r="C1761" s="1297"/>
      <c r="D1761" s="1297" t="s">
        <v>1039</v>
      </c>
      <c r="F1761" s="1399">
        <v>18676.829999999998</v>
      </c>
      <c r="I1761" s="1399">
        <v>18676.829999999998</v>
      </c>
    </row>
    <row r="1762" spans="2:9">
      <c r="B1762" s="1297"/>
      <c r="C1762" s="1297"/>
      <c r="D1762" s="1297" t="s">
        <v>1041</v>
      </c>
      <c r="F1762" s="1399">
        <v>3058.21</v>
      </c>
      <c r="I1762" s="1399">
        <v>3058.21</v>
      </c>
    </row>
    <row r="1763" spans="2:9">
      <c r="B1763" s="1297"/>
      <c r="C1763" s="1297"/>
      <c r="D1763" s="1297" t="s">
        <v>1042</v>
      </c>
      <c r="F1763" s="1399">
        <v>19619.21</v>
      </c>
      <c r="I1763" s="1399">
        <v>19619.21</v>
      </c>
    </row>
    <row r="1764" spans="2:9">
      <c r="B1764" s="1297"/>
      <c r="C1764" s="1297"/>
      <c r="D1764" s="1297" t="s">
        <v>953</v>
      </c>
      <c r="F1764" s="1399">
        <v>2867.99</v>
      </c>
      <c r="I1764" s="1399">
        <v>2867.99</v>
      </c>
    </row>
    <row r="1765" spans="2:9">
      <c r="B1765" s="1297"/>
      <c r="C1765" s="1297"/>
      <c r="D1765" s="1297" t="s">
        <v>986</v>
      </c>
      <c r="F1765" s="1399">
        <v>19570</v>
      </c>
      <c r="I1765" s="1399">
        <v>19570</v>
      </c>
    </row>
    <row r="1766" spans="2:9">
      <c r="B1766" s="1297"/>
      <c r="C1766" s="1297"/>
      <c r="D1766" s="1297" t="s">
        <v>1045</v>
      </c>
      <c r="F1766" s="1399">
        <v>56030.42</v>
      </c>
      <c r="I1766" s="1399">
        <v>56030.42</v>
      </c>
    </row>
    <row r="1767" spans="2:9">
      <c r="B1767" s="1297"/>
      <c r="C1767" s="1297"/>
      <c r="D1767" s="1297" t="s">
        <v>1046</v>
      </c>
      <c r="H1767" s="1399">
        <v>7080828</v>
      </c>
      <c r="I1767" s="1399">
        <v>7080828</v>
      </c>
    </row>
    <row r="1768" spans="2:9">
      <c r="B1768" s="1297"/>
      <c r="C1768" s="1297"/>
      <c r="D1768" s="1297" t="s">
        <v>1047</v>
      </c>
      <c r="H1768" s="1399">
        <v>364884</v>
      </c>
      <c r="I1768" s="1399">
        <v>364884</v>
      </c>
    </row>
    <row r="1769" spans="2:9">
      <c r="B1769" s="1297"/>
      <c r="C1769" s="1297"/>
      <c r="D1769" s="1297" t="s">
        <v>1048</v>
      </c>
      <c r="H1769" s="1399">
        <v>-1292918</v>
      </c>
      <c r="I1769" s="1399">
        <v>-1292918</v>
      </c>
    </row>
    <row r="1770" spans="2:9">
      <c r="B1770" s="1297"/>
      <c r="C1770" s="1297"/>
      <c r="D1770" s="1297" t="s">
        <v>932</v>
      </c>
      <c r="H1770" s="1399">
        <v>168536</v>
      </c>
      <c r="I1770" s="1399">
        <v>168536</v>
      </c>
    </row>
    <row r="1771" spans="2:9">
      <c r="B1771" s="1297"/>
      <c r="C1771" s="1297"/>
      <c r="D1771" s="1297" t="s">
        <v>955</v>
      </c>
      <c r="H1771" s="1399">
        <v>511333.71</v>
      </c>
      <c r="I1771" s="1399">
        <v>511333.71</v>
      </c>
    </row>
    <row r="1772" spans="2:9">
      <c r="B1772" s="1297"/>
      <c r="C1772" s="1297"/>
      <c r="D1772" s="1297" t="s">
        <v>934</v>
      </c>
      <c r="H1772" s="1399">
        <v>27452</v>
      </c>
      <c r="I1772" s="1399">
        <v>27452</v>
      </c>
    </row>
    <row r="1773" spans="2:9">
      <c r="B1773" s="1297"/>
      <c r="C1773" s="1297"/>
      <c r="D1773" s="1297" t="s">
        <v>935</v>
      </c>
      <c r="H1773" s="1399">
        <v>243722.04</v>
      </c>
      <c r="I1773" s="1399">
        <v>243722.04</v>
      </c>
    </row>
    <row r="1774" spans="2:9">
      <c r="B1774" s="1297"/>
      <c r="C1774" s="1297"/>
      <c r="D1774" s="1297" t="s">
        <v>936</v>
      </c>
      <c r="H1774" s="1399">
        <v>31513.55</v>
      </c>
      <c r="I1774" s="1399">
        <v>31513.55</v>
      </c>
    </row>
    <row r="1775" spans="2:9">
      <c r="B1775" s="1297"/>
      <c r="C1775" s="1297"/>
      <c r="D1775" s="1297" t="s">
        <v>937</v>
      </c>
      <c r="H1775" s="1399">
        <v>5795.51</v>
      </c>
      <c r="I1775" s="1399">
        <v>5795.51</v>
      </c>
    </row>
    <row r="1776" spans="2:9">
      <c r="B1776" s="1297"/>
      <c r="C1776" s="1297"/>
      <c r="D1776" s="1297" t="s">
        <v>938</v>
      </c>
      <c r="H1776" s="1399">
        <v>11604</v>
      </c>
      <c r="I1776" s="1399">
        <v>11604</v>
      </c>
    </row>
    <row r="1777" spans="2:9">
      <c r="B1777" s="1297"/>
      <c r="C1777" s="1297"/>
      <c r="D1777" s="1297" t="s">
        <v>939</v>
      </c>
      <c r="H1777" s="1399">
        <v>77460.84</v>
      </c>
      <c r="I1777" s="1399">
        <v>77460.84</v>
      </c>
    </row>
    <row r="1778" spans="2:9">
      <c r="B1778" s="1297"/>
      <c r="C1778" s="1297"/>
      <c r="D1778" s="1297" t="s">
        <v>1131</v>
      </c>
      <c r="E1778" s="1399">
        <v>140595.85999999999</v>
      </c>
      <c r="I1778" s="1399">
        <v>140595.85999999999</v>
      </c>
    </row>
    <row r="1779" spans="2:9">
      <c r="B1779" s="1297"/>
      <c r="C1779" s="1297"/>
      <c r="D1779" s="1297" t="s">
        <v>940</v>
      </c>
      <c r="E1779" s="1399">
        <v>553221.81999999995</v>
      </c>
      <c r="I1779" s="1399">
        <v>553221.81999999995</v>
      </c>
    </row>
    <row r="1780" spans="2:9">
      <c r="B1780" s="1297"/>
      <c r="C1780" s="1297"/>
      <c r="D1780" s="1297" t="s">
        <v>941</v>
      </c>
      <c r="E1780" s="1399">
        <v>258789.16</v>
      </c>
      <c r="I1780" s="1399">
        <v>258789.16</v>
      </c>
    </row>
    <row r="1781" spans="2:9">
      <c r="B1781" s="1297"/>
      <c r="C1781" s="1297"/>
      <c r="D1781" s="1297" t="s">
        <v>943</v>
      </c>
      <c r="E1781" s="1399">
        <v>2456.06</v>
      </c>
      <c r="I1781" s="1399">
        <v>2456.06</v>
      </c>
    </row>
    <row r="1782" spans="2:9">
      <c r="B1782" s="1297"/>
      <c r="C1782" s="1297"/>
      <c r="D1782" s="1297" t="s">
        <v>944</v>
      </c>
      <c r="E1782" s="1399">
        <v>1645859.5499999998</v>
      </c>
      <c r="I1782" s="1399">
        <v>1645859.5499999998</v>
      </c>
    </row>
    <row r="1783" spans="2:9">
      <c r="B1783" s="1297"/>
      <c r="C1783" s="1297"/>
      <c r="D1783" s="1297" t="s">
        <v>945</v>
      </c>
      <c r="E1783" s="1399">
        <v>2032851.32</v>
      </c>
      <c r="I1783" s="1399">
        <v>2032851.32</v>
      </c>
    </row>
    <row r="1784" spans="2:9">
      <c r="B1784" s="1297"/>
      <c r="C1784" s="1297"/>
      <c r="D1784" s="1297" t="s">
        <v>946</v>
      </c>
      <c r="E1784" s="1399">
        <v>35526.61</v>
      </c>
      <c r="I1784" s="1399">
        <v>35526.61</v>
      </c>
    </row>
    <row r="1785" spans="2:9">
      <c r="B1785" s="1297"/>
      <c r="C1785" s="1297"/>
      <c r="D1785" s="1297" t="s">
        <v>978</v>
      </c>
      <c r="E1785" s="1399">
        <v>18285.599999999999</v>
      </c>
      <c r="I1785" s="1399">
        <v>18285.599999999999</v>
      </c>
    </row>
    <row r="1786" spans="2:9">
      <c r="B1786" s="1297"/>
      <c r="C1786" s="1297"/>
      <c r="D1786" s="1297" t="s">
        <v>1006</v>
      </c>
      <c r="E1786" s="1399">
        <v>7487.01</v>
      </c>
      <c r="I1786" s="1399">
        <v>7487.01</v>
      </c>
    </row>
    <row r="1787" spans="2:9">
      <c r="B1787" s="1297"/>
      <c r="C1787" s="1297"/>
      <c r="D1787" s="1297" t="s">
        <v>947</v>
      </c>
      <c r="E1787" s="1399">
        <v>52396.08</v>
      </c>
      <c r="I1787" s="1399">
        <v>52396.08</v>
      </c>
    </row>
    <row r="1788" spans="2:9">
      <c r="B1788" s="1297"/>
      <c r="C1788" s="1297"/>
      <c r="D1788" s="1297" t="s">
        <v>1115</v>
      </c>
      <c r="E1788" s="1399">
        <v>348.87</v>
      </c>
      <c r="I1788" s="1399">
        <v>348.87</v>
      </c>
    </row>
    <row r="1789" spans="2:9">
      <c r="B1789" s="1297"/>
      <c r="C1789" s="1297"/>
      <c r="D1789" s="1297" t="s">
        <v>948</v>
      </c>
      <c r="G1789" s="1399">
        <v>1229977.7100000002</v>
      </c>
      <c r="I1789" s="1399">
        <v>1229977.7100000002</v>
      </c>
    </row>
    <row r="1790" spans="2:9">
      <c r="B1790" s="1297"/>
      <c r="C1790" s="1297"/>
      <c r="D1790" s="1297" t="s">
        <v>1118</v>
      </c>
      <c r="G1790" s="1399">
        <v>71.69</v>
      </c>
      <c r="I1790" s="1399">
        <v>71.69</v>
      </c>
    </row>
    <row r="1791" spans="2:9">
      <c r="B1791" s="1297"/>
      <c r="C1791" s="1400" t="s">
        <v>1112</v>
      </c>
      <c r="D1791" s="1400"/>
      <c r="E1791" s="1401">
        <v>4747817.9399999995</v>
      </c>
      <c r="F1791" s="1401">
        <v>6275875.1499999994</v>
      </c>
      <c r="G1791" s="1401">
        <v>1230049.4000000001</v>
      </c>
      <c r="H1791" s="1401">
        <v>7230211.6499999994</v>
      </c>
      <c r="I1791" s="1401">
        <v>19483954.140000004</v>
      </c>
    </row>
    <row r="1792" spans="2:9">
      <c r="B1792" s="1297" t="s">
        <v>1113</v>
      </c>
      <c r="C1792" s="1297" t="s">
        <v>1114</v>
      </c>
      <c r="D1792" s="1297" t="s">
        <v>906</v>
      </c>
      <c r="F1792" s="1399">
        <v>39170979.039999999</v>
      </c>
      <c r="I1792" s="1399">
        <v>39170979.039999999</v>
      </c>
    </row>
    <row r="1793" spans="2:9">
      <c r="B1793" s="1297"/>
      <c r="C1793" s="1297"/>
      <c r="D1793" s="1297" t="s">
        <v>952</v>
      </c>
      <c r="F1793" s="1399">
        <v>221370.14</v>
      </c>
      <c r="I1793" s="1399">
        <v>221370.14</v>
      </c>
    </row>
    <row r="1794" spans="2:9">
      <c r="B1794" s="1297"/>
      <c r="C1794" s="1297"/>
      <c r="D1794" s="1297" t="s">
        <v>907</v>
      </c>
      <c r="F1794" s="1399">
        <v>18160512.710000001</v>
      </c>
      <c r="I1794" s="1399">
        <v>18160512.710000001</v>
      </c>
    </row>
    <row r="1795" spans="2:9">
      <c r="B1795" s="1297"/>
      <c r="C1795" s="1297"/>
      <c r="D1795" s="1297" t="s">
        <v>908</v>
      </c>
      <c r="F1795" s="1399">
        <v>45379.73</v>
      </c>
      <c r="I1795" s="1399">
        <v>45379.73</v>
      </c>
    </row>
    <row r="1796" spans="2:9">
      <c r="B1796" s="1297"/>
      <c r="C1796" s="1297"/>
      <c r="D1796" s="1297" t="s">
        <v>909</v>
      </c>
      <c r="F1796" s="1399">
        <v>85406.63</v>
      </c>
      <c r="I1796" s="1399">
        <v>85406.63</v>
      </c>
    </row>
    <row r="1797" spans="2:9">
      <c r="B1797" s="1297"/>
      <c r="C1797" s="1297"/>
      <c r="D1797" s="1297" t="s">
        <v>1034</v>
      </c>
      <c r="F1797" s="1399">
        <v>91302.77</v>
      </c>
      <c r="I1797" s="1399">
        <v>91302.77</v>
      </c>
    </row>
    <row r="1798" spans="2:9">
      <c r="B1798" s="1297"/>
      <c r="C1798" s="1297"/>
      <c r="D1798" s="1297" t="s">
        <v>1035</v>
      </c>
      <c r="F1798" s="1399">
        <v>376846.62000000011</v>
      </c>
      <c r="I1798" s="1399">
        <v>376846.62000000011</v>
      </c>
    </row>
    <row r="1799" spans="2:9">
      <c r="B1799" s="1297"/>
      <c r="C1799" s="1297"/>
      <c r="D1799" s="1297" t="s">
        <v>1036</v>
      </c>
      <c r="F1799" s="1399">
        <v>698</v>
      </c>
      <c r="I1799" s="1399">
        <v>698</v>
      </c>
    </row>
    <row r="1800" spans="2:9">
      <c r="B1800" s="1297"/>
      <c r="C1800" s="1297"/>
      <c r="D1800" s="1297" t="s">
        <v>1037</v>
      </c>
      <c r="F1800" s="1399">
        <v>475435.45</v>
      </c>
      <c r="I1800" s="1399">
        <v>475435.45</v>
      </c>
    </row>
    <row r="1801" spans="2:9">
      <c r="B1801" s="1297"/>
      <c r="C1801" s="1297"/>
      <c r="D1801" s="1297" t="s">
        <v>1105</v>
      </c>
      <c r="F1801" s="1399">
        <v>46210</v>
      </c>
      <c r="I1801" s="1399">
        <v>46210</v>
      </c>
    </row>
    <row r="1802" spans="2:9">
      <c r="B1802" s="1297"/>
      <c r="C1802" s="1297"/>
      <c r="D1802" s="1297" t="s">
        <v>1003</v>
      </c>
      <c r="F1802" s="1399">
        <v>175269.7</v>
      </c>
      <c r="I1802" s="1399">
        <v>175269.7</v>
      </c>
    </row>
    <row r="1803" spans="2:9">
      <c r="B1803" s="1297"/>
      <c r="C1803" s="1297"/>
      <c r="D1803" s="1297" t="s">
        <v>1039</v>
      </c>
      <c r="F1803" s="1399">
        <v>61299.28</v>
      </c>
      <c r="I1803" s="1399">
        <v>61299.28</v>
      </c>
    </row>
    <row r="1804" spans="2:9">
      <c r="B1804" s="1297"/>
      <c r="C1804" s="1297"/>
      <c r="D1804" s="1297" t="s">
        <v>1040</v>
      </c>
      <c r="F1804" s="1399">
        <v>481721.81000000006</v>
      </c>
      <c r="I1804" s="1399">
        <v>481721.81000000006</v>
      </c>
    </row>
    <row r="1805" spans="2:9">
      <c r="B1805" s="1297"/>
      <c r="C1805" s="1297"/>
      <c r="D1805" s="1297" t="s">
        <v>1041</v>
      </c>
      <c r="F1805" s="1399">
        <v>63338.36</v>
      </c>
      <c r="I1805" s="1399">
        <v>63338.36</v>
      </c>
    </row>
    <row r="1806" spans="2:9">
      <c r="B1806" s="1297"/>
      <c r="C1806" s="1297"/>
      <c r="D1806" s="1297" t="s">
        <v>1042</v>
      </c>
      <c r="F1806" s="1399">
        <v>98988.71</v>
      </c>
      <c r="I1806" s="1399">
        <v>98988.71</v>
      </c>
    </row>
    <row r="1807" spans="2:9">
      <c r="B1807" s="1297"/>
      <c r="C1807" s="1297"/>
      <c r="D1807" s="1297" t="s">
        <v>953</v>
      </c>
      <c r="F1807" s="1399">
        <v>50696.25</v>
      </c>
      <c r="I1807" s="1399">
        <v>50696.25</v>
      </c>
    </row>
    <row r="1808" spans="2:9">
      <c r="B1808" s="1297"/>
      <c r="C1808" s="1297"/>
      <c r="D1808" s="1297" t="s">
        <v>954</v>
      </c>
      <c r="F1808" s="1399">
        <v>577867.44999999995</v>
      </c>
      <c r="I1808" s="1399">
        <v>577867.44999999995</v>
      </c>
    </row>
    <row r="1809" spans="2:9">
      <c r="B1809" s="1297"/>
      <c r="C1809" s="1297"/>
      <c r="D1809" s="1297" t="s">
        <v>1043</v>
      </c>
      <c r="F1809" s="1399">
        <v>65299.089999999989</v>
      </c>
      <c r="I1809" s="1399">
        <v>65299.089999999989</v>
      </c>
    </row>
    <row r="1810" spans="2:9">
      <c r="B1810" s="1297"/>
      <c r="C1810" s="1297"/>
      <c r="D1810" s="1297" t="s">
        <v>986</v>
      </c>
      <c r="F1810" s="1399">
        <v>179674.63</v>
      </c>
      <c r="I1810" s="1399">
        <v>179674.63</v>
      </c>
    </row>
    <row r="1811" spans="2:9">
      <c r="B1811" s="1297"/>
      <c r="C1811" s="1297"/>
      <c r="D1811" s="1297" t="s">
        <v>996</v>
      </c>
      <c r="F1811" s="1399">
        <v>191413.51</v>
      </c>
      <c r="I1811" s="1399">
        <v>191413.51</v>
      </c>
    </row>
    <row r="1812" spans="2:9">
      <c r="B1812" s="1297"/>
      <c r="C1812" s="1297"/>
      <c r="D1812" s="1297" t="s">
        <v>1044</v>
      </c>
      <c r="F1812" s="1399">
        <v>655092.65</v>
      </c>
      <c r="I1812" s="1399">
        <v>655092.65</v>
      </c>
    </row>
    <row r="1813" spans="2:9">
      <c r="B1813" s="1297"/>
      <c r="C1813" s="1297"/>
      <c r="D1813" s="1297" t="s">
        <v>1045</v>
      </c>
      <c r="F1813" s="1399">
        <v>1689331.3699999996</v>
      </c>
      <c r="I1813" s="1399">
        <v>1689331.3699999996</v>
      </c>
    </row>
    <row r="1814" spans="2:9">
      <c r="B1814" s="1297"/>
      <c r="C1814" s="1297"/>
      <c r="D1814" s="1297" t="s">
        <v>1046</v>
      </c>
      <c r="H1814" s="1399">
        <v>77529421</v>
      </c>
      <c r="I1814" s="1399">
        <v>77529421</v>
      </c>
    </row>
    <row r="1815" spans="2:9">
      <c r="B1815" s="1297"/>
      <c r="C1815" s="1297"/>
      <c r="D1815" s="1297" t="s">
        <v>1128</v>
      </c>
      <c r="H1815" s="1399">
        <v>6585115</v>
      </c>
      <c r="I1815" s="1399">
        <v>6585115</v>
      </c>
    </row>
    <row r="1816" spans="2:9">
      <c r="B1816" s="1297"/>
      <c r="C1816" s="1297"/>
      <c r="D1816" s="1297" t="s">
        <v>1129</v>
      </c>
      <c r="H1816" s="1399">
        <v>-11051841</v>
      </c>
      <c r="I1816" s="1399">
        <v>-11051841</v>
      </c>
    </row>
    <row r="1817" spans="2:9">
      <c r="B1817" s="1297"/>
      <c r="C1817" s="1297"/>
      <c r="D1817" s="1297" t="s">
        <v>1047</v>
      </c>
      <c r="H1817" s="1399">
        <v>1910014</v>
      </c>
      <c r="I1817" s="1399">
        <v>1910014</v>
      </c>
    </row>
    <row r="1818" spans="2:9">
      <c r="B1818" s="1297"/>
      <c r="C1818" s="1297"/>
      <c r="D1818" s="1297" t="s">
        <v>1048</v>
      </c>
      <c r="H1818" s="1399">
        <v>-10524484</v>
      </c>
      <c r="I1818" s="1399">
        <v>-10524484</v>
      </c>
    </row>
    <row r="1819" spans="2:9">
      <c r="B1819" s="1297"/>
      <c r="C1819" s="1297"/>
      <c r="D1819" s="1297" t="s">
        <v>932</v>
      </c>
      <c r="H1819" s="1399">
        <v>9558626</v>
      </c>
      <c r="I1819" s="1399">
        <v>9558626</v>
      </c>
    </row>
    <row r="1820" spans="2:9">
      <c r="B1820" s="1297"/>
      <c r="C1820" s="1297"/>
      <c r="D1820" s="1297" t="s">
        <v>955</v>
      </c>
      <c r="H1820" s="1399">
        <v>1113568.6000000001</v>
      </c>
      <c r="I1820" s="1399">
        <v>1113568.6000000001</v>
      </c>
    </row>
    <row r="1821" spans="2:9">
      <c r="B1821" s="1297"/>
      <c r="C1821" s="1297"/>
      <c r="D1821" s="1297" t="s">
        <v>934</v>
      </c>
      <c r="H1821" s="1399">
        <v>266983.64</v>
      </c>
      <c r="I1821" s="1399">
        <v>266983.64</v>
      </c>
    </row>
    <row r="1822" spans="2:9">
      <c r="B1822" s="1297"/>
      <c r="C1822" s="1297"/>
      <c r="D1822" s="1297" t="s">
        <v>935</v>
      </c>
      <c r="H1822" s="1399">
        <v>3066730.74</v>
      </c>
      <c r="I1822" s="1399">
        <v>3066730.74</v>
      </c>
    </row>
    <row r="1823" spans="2:9">
      <c r="B1823" s="1297"/>
      <c r="C1823" s="1297"/>
      <c r="D1823" s="1297" t="s">
        <v>936</v>
      </c>
      <c r="H1823" s="1399">
        <v>283972.08</v>
      </c>
      <c r="I1823" s="1399">
        <v>283972.08</v>
      </c>
    </row>
    <row r="1824" spans="2:9">
      <c r="B1824" s="1297"/>
      <c r="C1824" s="1297"/>
      <c r="D1824" s="1297" t="s">
        <v>937</v>
      </c>
      <c r="H1824" s="1399">
        <v>51483.82</v>
      </c>
      <c r="I1824" s="1399">
        <v>51483.82</v>
      </c>
    </row>
    <row r="1825" spans="2:9">
      <c r="B1825" s="1297"/>
      <c r="C1825" s="1297"/>
      <c r="D1825" s="1297" t="s">
        <v>938</v>
      </c>
      <c r="H1825" s="1399">
        <v>94702</v>
      </c>
      <c r="I1825" s="1399">
        <v>94702</v>
      </c>
    </row>
    <row r="1826" spans="2:9">
      <c r="B1826" s="1297"/>
      <c r="C1826" s="1297"/>
      <c r="D1826" s="1297" t="s">
        <v>1131</v>
      </c>
      <c r="E1826" s="1399">
        <v>248892.93</v>
      </c>
      <c r="I1826" s="1399">
        <v>248892.93</v>
      </c>
    </row>
    <row r="1827" spans="2:9">
      <c r="B1827" s="1297"/>
      <c r="C1827" s="1297"/>
      <c r="D1827" s="1297" t="s">
        <v>940</v>
      </c>
      <c r="E1827" s="1399">
        <v>5569711.3200000003</v>
      </c>
      <c r="I1827" s="1399">
        <v>5569711.3200000003</v>
      </c>
    </row>
    <row r="1828" spans="2:9">
      <c r="B1828" s="1297"/>
      <c r="C1828" s="1297"/>
      <c r="D1828" s="1297" t="s">
        <v>941</v>
      </c>
      <c r="E1828" s="1399">
        <v>2507484.48</v>
      </c>
      <c r="I1828" s="1399">
        <v>2507484.48</v>
      </c>
    </row>
    <row r="1829" spans="2:9">
      <c r="B1829" s="1297"/>
      <c r="C1829" s="1297"/>
      <c r="D1829" s="1297" t="s">
        <v>943</v>
      </c>
      <c r="E1829" s="1399">
        <v>106166.85999999999</v>
      </c>
      <c r="I1829" s="1399">
        <v>106166.85999999999</v>
      </c>
    </row>
    <row r="1830" spans="2:9">
      <c r="B1830" s="1297"/>
      <c r="C1830" s="1297"/>
      <c r="D1830" s="1297" t="s">
        <v>944</v>
      </c>
      <c r="E1830" s="1399">
        <v>14046194.749999996</v>
      </c>
      <c r="I1830" s="1399">
        <v>14046194.749999996</v>
      </c>
    </row>
    <row r="1831" spans="2:9">
      <c r="B1831" s="1297"/>
      <c r="C1831" s="1297"/>
      <c r="D1831" s="1297" t="s">
        <v>945</v>
      </c>
      <c r="E1831" s="1399">
        <v>8325692.9399999995</v>
      </c>
      <c r="I1831" s="1399">
        <v>8325692.9399999995</v>
      </c>
    </row>
    <row r="1832" spans="2:9">
      <c r="B1832" s="1297"/>
      <c r="C1832" s="1297"/>
      <c r="D1832" s="1297" t="s">
        <v>946</v>
      </c>
      <c r="E1832" s="1399">
        <v>85801.84</v>
      </c>
      <c r="I1832" s="1399">
        <v>85801.84</v>
      </c>
    </row>
    <row r="1833" spans="2:9">
      <c r="B1833" s="1297"/>
      <c r="C1833" s="1297"/>
      <c r="D1833" s="1297" t="s">
        <v>1006</v>
      </c>
      <c r="E1833" s="1399">
        <v>59270.78</v>
      </c>
      <c r="I1833" s="1399">
        <v>59270.78</v>
      </c>
    </row>
    <row r="1834" spans="2:9">
      <c r="B1834" s="1297"/>
      <c r="C1834" s="1297"/>
      <c r="D1834" s="1297" t="s">
        <v>947</v>
      </c>
      <c r="E1834" s="1399">
        <v>527097.31000000006</v>
      </c>
      <c r="I1834" s="1399">
        <v>527097.31000000006</v>
      </c>
    </row>
    <row r="1835" spans="2:9">
      <c r="B1835" s="1297"/>
      <c r="C1835" s="1297"/>
      <c r="D1835" s="1297" t="s">
        <v>948</v>
      </c>
      <c r="G1835" s="1399">
        <v>20774224.930000003</v>
      </c>
      <c r="I1835" s="1399">
        <v>20774224.930000003</v>
      </c>
    </row>
    <row r="1836" spans="2:9">
      <c r="B1836" s="1297"/>
      <c r="C1836" s="1297"/>
      <c r="D1836" s="1297" t="s">
        <v>956</v>
      </c>
      <c r="G1836" s="1399">
        <v>18649.96</v>
      </c>
      <c r="I1836" s="1399">
        <v>18649.96</v>
      </c>
    </row>
    <row r="1837" spans="2:9">
      <c r="B1837" s="1297"/>
      <c r="C1837" s="1297"/>
      <c r="D1837" s="1297" t="s">
        <v>1118</v>
      </c>
      <c r="G1837" s="1399">
        <v>2485787.83</v>
      </c>
      <c r="I1837" s="1399">
        <v>2485787.83</v>
      </c>
    </row>
    <row r="1838" spans="2:9">
      <c r="B1838" s="1297"/>
      <c r="C1838" s="1400" t="s">
        <v>1291</v>
      </c>
      <c r="D1838" s="1400"/>
      <c r="E1838" s="1401">
        <v>31476313.209999993</v>
      </c>
      <c r="F1838" s="1401">
        <v>62964133.900000013</v>
      </c>
      <c r="G1838" s="1401">
        <v>23278662.720000006</v>
      </c>
      <c r="H1838" s="1401">
        <v>78884291.87999998</v>
      </c>
      <c r="I1838" s="1401">
        <v>196603401.71000004</v>
      </c>
    </row>
    <row r="1839" spans="2:9">
      <c r="B1839" s="1297" t="s">
        <v>1292</v>
      </c>
      <c r="C1839" s="1297" t="s">
        <v>1293</v>
      </c>
      <c r="D1839" s="1297" t="s">
        <v>906</v>
      </c>
      <c r="F1839" s="1399">
        <v>81626660.859999999</v>
      </c>
      <c r="I1839" s="1399">
        <v>81626660.859999999</v>
      </c>
    </row>
    <row r="1840" spans="2:9">
      <c r="B1840" s="1297"/>
      <c r="C1840" s="1297"/>
      <c r="D1840" s="1297" t="s">
        <v>952</v>
      </c>
      <c r="F1840" s="1399">
        <v>912209.14999999991</v>
      </c>
      <c r="I1840" s="1399">
        <v>912209.14999999991</v>
      </c>
    </row>
    <row r="1841" spans="2:9">
      <c r="B1841" s="1297"/>
      <c r="C1841" s="1297"/>
      <c r="D1841" s="1297" t="s">
        <v>907</v>
      </c>
      <c r="F1841" s="1399">
        <v>20567360.07</v>
      </c>
      <c r="I1841" s="1399">
        <v>20567360.07</v>
      </c>
    </row>
    <row r="1842" spans="2:9">
      <c r="B1842" s="1297"/>
      <c r="C1842" s="1297"/>
      <c r="D1842" s="1297" t="s">
        <v>910</v>
      </c>
      <c r="F1842" s="1399">
        <v>174740.87</v>
      </c>
      <c r="I1842" s="1399">
        <v>174740.87</v>
      </c>
    </row>
    <row r="1843" spans="2:9">
      <c r="B1843" s="1297"/>
      <c r="C1843" s="1297"/>
      <c r="D1843" s="1297" t="s">
        <v>1034</v>
      </c>
      <c r="F1843" s="1399">
        <v>326839.15000000002</v>
      </c>
      <c r="I1843" s="1399">
        <v>326839.15000000002</v>
      </c>
    </row>
    <row r="1844" spans="2:9">
      <c r="B1844" s="1297"/>
      <c r="C1844" s="1297"/>
      <c r="D1844" s="1297" t="s">
        <v>1035</v>
      </c>
      <c r="F1844" s="1399">
        <v>3552342.0100000002</v>
      </c>
      <c r="I1844" s="1399">
        <v>3552342.0100000002</v>
      </c>
    </row>
    <row r="1845" spans="2:9">
      <c r="B1845" s="1297"/>
      <c r="C1845" s="1297"/>
      <c r="D1845" s="1297" t="s">
        <v>1036</v>
      </c>
      <c r="F1845" s="1399">
        <v>877101.11</v>
      </c>
      <c r="I1845" s="1399">
        <v>877101.11</v>
      </c>
    </row>
    <row r="1846" spans="2:9">
      <c r="B1846" s="1297"/>
      <c r="C1846" s="1297"/>
      <c r="D1846" s="1297" t="s">
        <v>1039</v>
      </c>
      <c r="F1846" s="1399">
        <v>389392.77</v>
      </c>
      <c r="I1846" s="1399">
        <v>389392.77</v>
      </c>
    </row>
    <row r="1847" spans="2:9">
      <c r="B1847" s="1297"/>
      <c r="C1847" s="1297"/>
      <c r="D1847" s="1297" t="s">
        <v>1040</v>
      </c>
      <c r="F1847" s="1399">
        <v>1906214.38</v>
      </c>
      <c r="I1847" s="1399">
        <v>1906214.38</v>
      </c>
    </row>
    <row r="1848" spans="2:9">
      <c r="B1848" s="1297"/>
      <c r="C1848" s="1297"/>
      <c r="D1848" s="1297" t="s">
        <v>1127</v>
      </c>
      <c r="F1848" s="1399">
        <v>492428.13</v>
      </c>
      <c r="I1848" s="1399">
        <v>492428.13</v>
      </c>
    </row>
    <row r="1849" spans="2:9">
      <c r="B1849" s="1297"/>
      <c r="C1849" s="1297"/>
      <c r="D1849" s="1297" t="s">
        <v>1207</v>
      </c>
      <c r="F1849" s="1399">
        <v>30845.1</v>
      </c>
      <c r="I1849" s="1399">
        <v>30845.1</v>
      </c>
    </row>
    <row r="1850" spans="2:9">
      <c r="B1850" s="1297"/>
      <c r="C1850" s="1297"/>
      <c r="D1850" s="1297" t="s">
        <v>1041</v>
      </c>
      <c r="F1850" s="1399">
        <v>333362.36</v>
      </c>
      <c r="I1850" s="1399">
        <v>333362.36</v>
      </c>
    </row>
    <row r="1851" spans="2:9">
      <c r="B1851" s="1297"/>
      <c r="C1851" s="1297"/>
      <c r="D1851" s="1297" t="s">
        <v>1042</v>
      </c>
      <c r="F1851" s="1399">
        <v>268036.45</v>
      </c>
      <c r="I1851" s="1399">
        <v>268036.45</v>
      </c>
    </row>
    <row r="1852" spans="2:9">
      <c r="B1852" s="1297"/>
      <c r="C1852" s="1297"/>
      <c r="D1852" s="1297" t="s">
        <v>1005</v>
      </c>
      <c r="F1852" s="1399">
        <v>107131.1</v>
      </c>
      <c r="I1852" s="1399">
        <v>107131.1</v>
      </c>
    </row>
    <row r="1853" spans="2:9">
      <c r="B1853" s="1297"/>
      <c r="C1853" s="1297"/>
      <c r="D1853" s="1297" t="s">
        <v>1044</v>
      </c>
      <c r="F1853" s="1399">
        <v>183354.13</v>
      </c>
      <c r="I1853" s="1399">
        <v>183354.13</v>
      </c>
    </row>
    <row r="1854" spans="2:9">
      <c r="B1854" s="1297"/>
      <c r="C1854" s="1297"/>
      <c r="D1854" s="1297" t="s">
        <v>1045</v>
      </c>
      <c r="F1854" s="1399">
        <v>1730845.37</v>
      </c>
      <c r="I1854" s="1399">
        <v>1730845.37</v>
      </c>
    </row>
    <row r="1855" spans="2:9">
      <c r="B1855" s="1297"/>
      <c r="C1855" s="1297"/>
      <c r="D1855" s="1297" t="s">
        <v>1046</v>
      </c>
      <c r="H1855" s="1399">
        <v>121270963</v>
      </c>
      <c r="I1855" s="1399">
        <v>121270963</v>
      </c>
    </row>
    <row r="1856" spans="2:9">
      <c r="B1856" s="1297"/>
      <c r="C1856" s="1297"/>
      <c r="D1856" s="1297" t="s">
        <v>1128</v>
      </c>
      <c r="H1856" s="1399">
        <v>10553117</v>
      </c>
      <c r="I1856" s="1399">
        <v>10553117</v>
      </c>
    </row>
    <row r="1857" spans="2:9">
      <c r="B1857" s="1297"/>
      <c r="C1857" s="1297"/>
      <c r="D1857" s="1297" t="s">
        <v>1129</v>
      </c>
      <c r="H1857" s="1399">
        <v>-16334460</v>
      </c>
      <c r="I1857" s="1399">
        <v>-16334460</v>
      </c>
    </row>
    <row r="1858" spans="2:9">
      <c r="B1858" s="1297"/>
      <c r="C1858" s="1297"/>
      <c r="D1858" s="1297" t="s">
        <v>1047</v>
      </c>
      <c r="H1858" s="1399">
        <v>2007078</v>
      </c>
      <c r="I1858" s="1399">
        <v>2007078</v>
      </c>
    </row>
    <row r="1859" spans="2:9">
      <c r="B1859" s="1297"/>
      <c r="C1859" s="1297"/>
      <c r="D1859" s="1297" t="s">
        <v>1048</v>
      </c>
      <c r="H1859" s="1399">
        <v>-21106454</v>
      </c>
      <c r="I1859" s="1399">
        <v>-21106454</v>
      </c>
    </row>
    <row r="1860" spans="2:9">
      <c r="B1860" s="1297"/>
      <c r="C1860" s="1297"/>
      <c r="D1860" s="1297" t="s">
        <v>932</v>
      </c>
      <c r="H1860" s="1399">
        <v>7500778</v>
      </c>
      <c r="I1860" s="1399">
        <v>7500778</v>
      </c>
    </row>
    <row r="1861" spans="2:9">
      <c r="B1861" s="1297"/>
      <c r="C1861" s="1297"/>
      <c r="D1861" s="1297" t="s">
        <v>934</v>
      </c>
      <c r="H1861" s="1399">
        <v>379910</v>
      </c>
      <c r="I1861" s="1399">
        <v>379910</v>
      </c>
    </row>
    <row r="1862" spans="2:9">
      <c r="B1862" s="1297"/>
      <c r="C1862" s="1297"/>
      <c r="D1862" s="1297" t="s">
        <v>1130</v>
      </c>
      <c r="H1862" s="1399">
        <v>18963475.859999999</v>
      </c>
      <c r="I1862" s="1399">
        <v>18963475.859999999</v>
      </c>
    </row>
    <row r="1863" spans="2:9">
      <c r="B1863" s="1297"/>
      <c r="C1863" s="1297"/>
      <c r="D1863" s="1297" t="s">
        <v>935</v>
      </c>
      <c r="H1863" s="1399">
        <v>2033476.5</v>
      </c>
      <c r="I1863" s="1399">
        <v>2033476.5</v>
      </c>
    </row>
    <row r="1864" spans="2:9">
      <c r="B1864" s="1297"/>
      <c r="C1864" s="1297"/>
      <c r="D1864" s="1297" t="s">
        <v>936</v>
      </c>
      <c r="H1864" s="1399">
        <v>336844.82</v>
      </c>
      <c r="I1864" s="1399">
        <v>336844.82</v>
      </c>
    </row>
    <row r="1865" spans="2:9">
      <c r="B1865" s="1297"/>
      <c r="C1865" s="1297"/>
      <c r="D1865" s="1297" t="s">
        <v>937</v>
      </c>
      <c r="H1865" s="1399">
        <v>49377</v>
      </c>
      <c r="I1865" s="1399">
        <v>49377</v>
      </c>
    </row>
    <row r="1866" spans="2:9">
      <c r="B1866" s="1297"/>
      <c r="C1866" s="1297"/>
      <c r="D1866" s="1297" t="s">
        <v>938</v>
      </c>
      <c r="H1866" s="1399">
        <v>125584</v>
      </c>
      <c r="I1866" s="1399">
        <v>125584</v>
      </c>
    </row>
    <row r="1867" spans="2:9">
      <c r="B1867" s="1297"/>
      <c r="C1867" s="1297"/>
      <c r="D1867" s="1297" t="s">
        <v>939</v>
      </c>
      <c r="H1867" s="1399">
        <v>1068382.43</v>
      </c>
      <c r="I1867" s="1399">
        <v>1068382.43</v>
      </c>
    </row>
    <row r="1868" spans="2:9">
      <c r="B1868" s="1297"/>
      <c r="C1868" s="1297"/>
      <c r="D1868" s="1297" t="s">
        <v>1131</v>
      </c>
      <c r="E1868" s="1399">
        <v>1186085.05</v>
      </c>
      <c r="I1868" s="1399">
        <v>1186085.05</v>
      </c>
    </row>
    <row r="1869" spans="2:9">
      <c r="B1869" s="1297"/>
      <c r="C1869" s="1297"/>
      <c r="D1869" s="1297" t="s">
        <v>940</v>
      </c>
      <c r="E1869" s="1399">
        <v>6123386.1799999997</v>
      </c>
      <c r="I1869" s="1399">
        <v>6123386.1799999997</v>
      </c>
    </row>
    <row r="1870" spans="2:9">
      <c r="B1870" s="1297"/>
      <c r="C1870" s="1297"/>
      <c r="D1870" s="1297" t="s">
        <v>941</v>
      </c>
      <c r="E1870" s="1399">
        <v>2401556.1800000002</v>
      </c>
      <c r="I1870" s="1399">
        <v>2401556.1800000002</v>
      </c>
    </row>
    <row r="1871" spans="2:9">
      <c r="B1871" s="1297"/>
      <c r="C1871" s="1297"/>
      <c r="D1871" s="1297" t="s">
        <v>943</v>
      </c>
      <c r="E1871" s="1399">
        <v>139708.81</v>
      </c>
      <c r="I1871" s="1399">
        <v>139708.81</v>
      </c>
    </row>
    <row r="1872" spans="2:9">
      <c r="B1872" s="1297"/>
      <c r="C1872" s="1297"/>
      <c r="D1872" s="1297" t="s">
        <v>944</v>
      </c>
      <c r="E1872" s="1399">
        <v>12557394.670000002</v>
      </c>
      <c r="I1872" s="1399">
        <v>12557394.670000002</v>
      </c>
    </row>
    <row r="1873" spans="2:9">
      <c r="B1873" s="1297"/>
      <c r="C1873" s="1297"/>
      <c r="D1873" s="1297" t="s">
        <v>945</v>
      </c>
      <c r="E1873" s="1399">
        <v>10004042.119999999</v>
      </c>
      <c r="I1873" s="1399">
        <v>10004042.119999999</v>
      </c>
    </row>
    <row r="1874" spans="2:9">
      <c r="B1874" s="1297"/>
      <c r="C1874" s="1297"/>
      <c r="D1874" s="1297" t="s">
        <v>946</v>
      </c>
      <c r="E1874" s="1399">
        <v>242570.12</v>
      </c>
      <c r="I1874" s="1399">
        <v>242570.12</v>
      </c>
    </row>
    <row r="1875" spans="2:9">
      <c r="B1875" s="1297"/>
      <c r="C1875" s="1297"/>
      <c r="D1875" s="1297" t="s">
        <v>947</v>
      </c>
      <c r="E1875" s="1399">
        <v>790162.89</v>
      </c>
      <c r="I1875" s="1399">
        <v>790162.89</v>
      </c>
    </row>
    <row r="1876" spans="2:9">
      <c r="B1876" s="1297"/>
      <c r="C1876" s="1297"/>
      <c r="D1876" s="1297" t="s">
        <v>1115</v>
      </c>
      <c r="E1876" s="1399">
        <v>-157.08000000000001</v>
      </c>
      <c r="I1876" s="1399">
        <v>-157.08000000000001</v>
      </c>
    </row>
    <row r="1877" spans="2:9">
      <c r="B1877" s="1297"/>
      <c r="C1877" s="1297"/>
      <c r="D1877" s="1297" t="s">
        <v>948</v>
      </c>
      <c r="G1877" s="1399">
        <v>33137807.039999999</v>
      </c>
      <c r="I1877" s="1399">
        <v>33137807.039999999</v>
      </c>
    </row>
    <row r="1878" spans="2:9">
      <c r="B1878" s="1297"/>
      <c r="C1878" s="1297"/>
      <c r="D1878" s="1297" t="s">
        <v>956</v>
      </c>
      <c r="G1878" s="1399">
        <v>46268.97</v>
      </c>
      <c r="I1878" s="1399">
        <v>46268.97</v>
      </c>
    </row>
    <row r="1879" spans="2:9">
      <c r="B1879" s="1297"/>
      <c r="C1879" s="1297"/>
      <c r="D1879" s="1297" t="s">
        <v>1118</v>
      </c>
      <c r="G1879" s="1399">
        <v>3860.35</v>
      </c>
      <c r="I1879" s="1399">
        <v>3860.35</v>
      </c>
    </row>
    <row r="1880" spans="2:9">
      <c r="B1880" s="1297"/>
      <c r="C1880" s="1400" t="s">
        <v>1294</v>
      </c>
      <c r="D1880" s="1400"/>
      <c r="E1880" s="1401">
        <v>33444748.940000001</v>
      </c>
      <c r="F1880" s="1401">
        <v>113478863.01000001</v>
      </c>
      <c r="G1880" s="1401">
        <v>33187936.359999999</v>
      </c>
      <c r="H1880" s="1401">
        <v>126848072.61</v>
      </c>
      <c r="I1880" s="1401">
        <v>306959620.92000014</v>
      </c>
    </row>
    <row r="1881" spans="2:9">
      <c r="B1881" s="1297" t="s">
        <v>1295</v>
      </c>
      <c r="C1881" s="1297" t="s">
        <v>1296</v>
      </c>
      <c r="D1881" s="1297" t="s">
        <v>906</v>
      </c>
      <c r="F1881" s="1399">
        <v>5504121.4699999997</v>
      </c>
      <c r="I1881" s="1399">
        <v>5504121.4699999997</v>
      </c>
    </row>
    <row r="1882" spans="2:9">
      <c r="B1882" s="1297"/>
      <c r="C1882" s="1297"/>
      <c r="D1882" s="1297" t="s">
        <v>907</v>
      </c>
      <c r="F1882" s="1399">
        <v>2016609.9100000001</v>
      </c>
      <c r="I1882" s="1399">
        <v>2016609.9100000001</v>
      </c>
    </row>
    <row r="1883" spans="2:9">
      <c r="B1883" s="1297"/>
      <c r="C1883" s="1297"/>
      <c r="D1883" s="1297" t="s">
        <v>908</v>
      </c>
      <c r="F1883" s="1399">
        <v>379040.88</v>
      </c>
      <c r="I1883" s="1399">
        <v>379040.88</v>
      </c>
    </row>
    <row r="1884" spans="2:9">
      <c r="B1884" s="1297"/>
      <c r="C1884" s="1297"/>
      <c r="D1884" s="1297" t="s">
        <v>1122</v>
      </c>
      <c r="F1884" s="1399">
        <v>-49410</v>
      </c>
      <c r="I1884" s="1399">
        <v>-49410</v>
      </c>
    </row>
    <row r="1885" spans="2:9">
      <c r="B1885" s="1297"/>
      <c r="C1885" s="1297"/>
      <c r="D1885" s="1297" t="s">
        <v>909</v>
      </c>
      <c r="F1885" s="1399">
        <v>62334.03</v>
      </c>
      <c r="I1885" s="1399">
        <v>62334.03</v>
      </c>
    </row>
    <row r="1886" spans="2:9">
      <c r="B1886" s="1297"/>
      <c r="C1886" s="1297"/>
      <c r="D1886" s="1297" t="s">
        <v>1034</v>
      </c>
      <c r="F1886" s="1399">
        <v>2327</v>
      </c>
      <c r="I1886" s="1399">
        <v>2327</v>
      </c>
    </row>
    <row r="1887" spans="2:9">
      <c r="B1887" s="1297"/>
      <c r="C1887" s="1297"/>
      <c r="D1887" s="1297" t="s">
        <v>1035</v>
      </c>
      <c r="F1887" s="1399">
        <v>383692.87999999995</v>
      </c>
      <c r="I1887" s="1399">
        <v>383692.87999999995</v>
      </c>
    </row>
    <row r="1888" spans="2:9">
      <c r="B1888" s="1297"/>
      <c r="C1888" s="1297"/>
      <c r="D1888" s="1297" t="s">
        <v>1036</v>
      </c>
      <c r="F1888" s="1399">
        <v>105276.28</v>
      </c>
      <c r="I1888" s="1399">
        <v>105276.28</v>
      </c>
    </row>
    <row r="1889" spans="2:9">
      <c r="B1889" s="1297"/>
      <c r="C1889" s="1297"/>
      <c r="D1889" s="1297" t="s">
        <v>1037</v>
      </c>
      <c r="F1889" s="1399">
        <v>53488.29</v>
      </c>
      <c r="I1889" s="1399">
        <v>53488.29</v>
      </c>
    </row>
    <row r="1890" spans="2:9">
      <c r="B1890" s="1297"/>
      <c r="C1890" s="1297"/>
      <c r="D1890" s="1297" t="s">
        <v>1039</v>
      </c>
      <c r="F1890" s="1399">
        <v>120294.54000000002</v>
      </c>
      <c r="I1890" s="1399">
        <v>120294.54000000002</v>
      </c>
    </row>
    <row r="1891" spans="2:9">
      <c r="B1891" s="1297"/>
      <c r="C1891" s="1297"/>
      <c r="D1891" s="1297" t="s">
        <v>1040</v>
      </c>
      <c r="F1891" s="1399">
        <v>98637.38</v>
      </c>
      <c r="I1891" s="1399">
        <v>98637.38</v>
      </c>
    </row>
    <row r="1892" spans="2:9">
      <c r="B1892" s="1297"/>
      <c r="C1892" s="1297"/>
      <c r="D1892" s="1297" t="s">
        <v>1041</v>
      </c>
      <c r="F1892" s="1399">
        <v>33673.56</v>
      </c>
      <c r="I1892" s="1399">
        <v>33673.56</v>
      </c>
    </row>
    <row r="1893" spans="2:9">
      <c r="B1893" s="1297"/>
      <c r="C1893" s="1297"/>
      <c r="D1893" s="1297" t="s">
        <v>1042</v>
      </c>
      <c r="F1893" s="1399">
        <v>14230.15</v>
      </c>
      <c r="I1893" s="1399">
        <v>14230.15</v>
      </c>
    </row>
    <row r="1894" spans="2:9">
      <c r="B1894" s="1297"/>
      <c r="C1894" s="1297"/>
      <c r="D1894" s="1297" t="s">
        <v>953</v>
      </c>
      <c r="F1894" s="1399">
        <v>19040</v>
      </c>
      <c r="I1894" s="1399">
        <v>19040</v>
      </c>
    </row>
    <row r="1895" spans="2:9">
      <c r="B1895" s="1297"/>
      <c r="C1895" s="1297"/>
      <c r="D1895" s="1297" t="s">
        <v>991</v>
      </c>
      <c r="F1895" s="1399">
        <v>25498.489999999998</v>
      </c>
      <c r="I1895" s="1399">
        <v>25498.489999999998</v>
      </c>
    </row>
    <row r="1896" spans="2:9">
      <c r="B1896" s="1297"/>
      <c r="C1896" s="1297"/>
      <c r="D1896" s="1297" t="s">
        <v>1044</v>
      </c>
      <c r="F1896" s="1399">
        <v>26359.13</v>
      </c>
      <c r="I1896" s="1399">
        <v>26359.13</v>
      </c>
    </row>
    <row r="1897" spans="2:9">
      <c r="B1897" s="1297"/>
      <c r="C1897" s="1297"/>
      <c r="D1897" s="1297" t="s">
        <v>1045</v>
      </c>
      <c r="F1897" s="1399">
        <v>131893.48000000001</v>
      </c>
      <c r="I1897" s="1399">
        <v>131893.48000000001</v>
      </c>
    </row>
    <row r="1898" spans="2:9">
      <c r="B1898" s="1297"/>
      <c r="C1898" s="1297"/>
      <c r="D1898" s="1297" t="s">
        <v>1046</v>
      </c>
      <c r="H1898" s="1399">
        <v>11803727.5</v>
      </c>
      <c r="I1898" s="1399">
        <v>11803727.5</v>
      </c>
    </row>
    <row r="1899" spans="2:9">
      <c r="B1899" s="1297"/>
      <c r="C1899" s="1297"/>
      <c r="D1899" s="1297" t="s">
        <v>1047</v>
      </c>
      <c r="H1899" s="1399">
        <v>391365</v>
      </c>
      <c r="I1899" s="1399">
        <v>391365</v>
      </c>
    </row>
    <row r="1900" spans="2:9">
      <c r="B1900" s="1297"/>
      <c r="C1900" s="1297"/>
      <c r="D1900" s="1297" t="s">
        <v>1048</v>
      </c>
      <c r="H1900" s="1399">
        <v>-1786618.5</v>
      </c>
      <c r="I1900" s="1399">
        <v>-1786618.5</v>
      </c>
    </row>
    <row r="1901" spans="2:9">
      <c r="B1901" s="1297"/>
      <c r="C1901" s="1297"/>
      <c r="D1901" s="1297" t="s">
        <v>932</v>
      </c>
      <c r="H1901" s="1399">
        <v>867793</v>
      </c>
      <c r="I1901" s="1399">
        <v>867793</v>
      </c>
    </row>
    <row r="1902" spans="2:9">
      <c r="B1902" s="1297"/>
      <c r="C1902" s="1297"/>
      <c r="D1902" s="1297" t="s">
        <v>955</v>
      </c>
      <c r="H1902" s="1399">
        <v>569302.1</v>
      </c>
      <c r="I1902" s="1399">
        <v>569302.1</v>
      </c>
    </row>
    <row r="1903" spans="2:9">
      <c r="B1903" s="1297"/>
      <c r="C1903" s="1297"/>
      <c r="D1903" s="1297" t="s">
        <v>934</v>
      </c>
      <c r="H1903" s="1399">
        <v>37572</v>
      </c>
      <c r="I1903" s="1399">
        <v>37572</v>
      </c>
    </row>
    <row r="1904" spans="2:9">
      <c r="B1904" s="1297"/>
      <c r="C1904" s="1297"/>
      <c r="D1904" s="1297" t="s">
        <v>1130</v>
      </c>
      <c r="H1904" s="1399">
        <v>1348422.3</v>
      </c>
      <c r="I1904" s="1399">
        <v>1348422.3</v>
      </c>
    </row>
    <row r="1905" spans="2:9">
      <c r="B1905" s="1297"/>
      <c r="C1905" s="1297"/>
      <c r="D1905" s="1297" t="s">
        <v>935</v>
      </c>
      <c r="H1905" s="1399">
        <v>321754.71999999997</v>
      </c>
      <c r="I1905" s="1399">
        <v>321754.71999999997</v>
      </c>
    </row>
    <row r="1906" spans="2:9">
      <c r="B1906" s="1297"/>
      <c r="C1906" s="1297"/>
      <c r="D1906" s="1297" t="s">
        <v>936</v>
      </c>
      <c r="H1906" s="1399">
        <v>38166.410000000003</v>
      </c>
      <c r="I1906" s="1399">
        <v>38166.410000000003</v>
      </c>
    </row>
    <row r="1907" spans="2:9">
      <c r="B1907" s="1297"/>
      <c r="C1907" s="1297"/>
      <c r="D1907" s="1297" t="s">
        <v>937</v>
      </c>
      <c r="H1907" s="1399">
        <v>11670.68</v>
      </c>
      <c r="I1907" s="1399">
        <v>11670.68</v>
      </c>
    </row>
    <row r="1908" spans="2:9">
      <c r="B1908" s="1297"/>
      <c r="C1908" s="1297"/>
      <c r="D1908" s="1297" t="s">
        <v>938</v>
      </c>
      <c r="H1908" s="1399">
        <v>9732</v>
      </c>
      <c r="I1908" s="1399">
        <v>9732</v>
      </c>
    </row>
    <row r="1909" spans="2:9">
      <c r="B1909" s="1297"/>
      <c r="C1909" s="1297"/>
      <c r="D1909" s="1297" t="s">
        <v>940</v>
      </c>
      <c r="E1909" s="1399">
        <v>714157.58</v>
      </c>
      <c r="I1909" s="1399">
        <v>714157.58</v>
      </c>
    </row>
    <row r="1910" spans="2:9">
      <c r="B1910" s="1297"/>
      <c r="C1910" s="1297"/>
      <c r="D1910" s="1297" t="s">
        <v>941</v>
      </c>
      <c r="E1910" s="1399">
        <v>216266.01999999996</v>
      </c>
      <c r="I1910" s="1399">
        <v>216266.01999999996</v>
      </c>
    </row>
    <row r="1911" spans="2:9">
      <c r="B1911" s="1297"/>
      <c r="C1911" s="1297"/>
      <c r="D1911" s="1297" t="s">
        <v>943</v>
      </c>
      <c r="E1911" s="1399">
        <v>3698.52</v>
      </c>
      <c r="I1911" s="1399">
        <v>3698.52</v>
      </c>
    </row>
    <row r="1912" spans="2:9">
      <c r="B1912" s="1297"/>
      <c r="C1912" s="1297"/>
      <c r="D1912" s="1297" t="s">
        <v>944</v>
      </c>
      <c r="E1912" s="1399">
        <v>3416952.58</v>
      </c>
      <c r="I1912" s="1399">
        <v>3416952.58</v>
      </c>
    </row>
    <row r="1913" spans="2:9">
      <c r="B1913" s="1297"/>
      <c r="C1913" s="1297"/>
      <c r="D1913" s="1297" t="s">
        <v>945</v>
      </c>
      <c r="E1913" s="1399">
        <v>1441803.71</v>
      </c>
      <c r="I1913" s="1399">
        <v>1441803.71</v>
      </c>
    </row>
    <row r="1914" spans="2:9">
      <c r="B1914" s="1297"/>
      <c r="C1914" s="1297"/>
      <c r="D1914" s="1297" t="s">
        <v>946</v>
      </c>
      <c r="E1914" s="1399">
        <v>68380.83</v>
      </c>
      <c r="I1914" s="1399">
        <v>68380.83</v>
      </c>
    </row>
    <row r="1915" spans="2:9">
      <c r="B1915" s="1297"/>
      <c r="C1915" s="1297"/>
      <c r="D1915" s="1297" t="s">
        <v>947</v>
      </c>
      <c r="E1915" s="1399">
        <v>33944.67</v>
      </c>
      <c r="I1915" s="1399">
        <v>33944.67</v>
      </c>
    </row>
    <row r="1916" spans="2:9">
      <c r="B1916" s="1297"/>
      <c r="C1916" s="1297"/>
      <c r="D1916" s="1297" t="s">
        <v>948</v>
      </c>
      <c r="G1916" s="1399">
        <v>5386.34</v>
      </c>
      <c r="I1916" s="1399">
        <v>5386.34</v>
      </c>
    </row>
    <row r="1917" spans="2:9">
      <c r="B1917" s="1297"/>
      <c r="C1917" s="1297"/>
      <c r="D1917" s="1297" t="s">
        <v>1118</v>
      </c>
      <c r="G1917" s="1399">
        <v>35371.89</v>
      </c>
      <c r="I1917" s="1399">
        <v>35371.89</v>
      </c>
    </row>
    <row r="1918" spans="2:9">
      <c r="B1918" s="1297"/>
      <c r="C1918" s="1400" t="s">
        <v>1297</v>
      </c>
      <c r="D1918" s="1400"/>
      <c r="E1918" s="1401">
        <v>5895203.9100000001</v>
      </c>
      <c r="F1918" s="1401">
        <v>8927107.4700000007</v>
      </c>
      <c r="G1918" s="1401">
        <v>40758.229999999996</v>
      </c>
      <c r="H1918" s="1401">
        <v>13612887.210000001</v>
      </c>
      <c r="I1918" s="1401">
        <v>28475956.819999997</v>
      </c>
    </row>
    <row r="1919" spans="2:9">
      <c r="B1919" s="1297" t="s">
        <v>1298</v>
      </c>
      <c r="C1919" s="1297" t="s">
        <v>1299</v>
      </c>
      <c r="D1919" s="1297" t="s">
        <v>906</v>
      </c>
      <c r="F1919" s="1399">
        <v>2045996.7</v>
      </c>
      <c r="I1919" s="1399">
        <v>2045996.7</v>
      </c>
    </row>
    <row r="1920" spans="2:9">
      <c r="B1920" s="1297"/>
      <c r="C1920" s="1297"/>
      <c r="D1920" s="1297" t="s">
        <v>952</v>
      </c>
      <c r="F1920" s="1399">
        <v>7552.46</v>
      </c>
      <c r="I1920" s="1399">
        <v>7552.46</v>
      </c>
    </row>
    <row r="1921" spans="2:9">
      <c r="B1921" s="1297"/>
      <c r="C1921" s="1297"/>
      <c r="D1921" s="1297" t="s">
        <v>907</v>
      </c>
      <c r="F1921" s="1399">
        <v>164111.43</v>
      </c>
      <c r="I1921" s="1399">
        <v>164111.43</v>
      </c>
    </row>
    <row r="1922" spans="2:9">
      <c r="B1922" s="1297"/>
      <c r="C1922" s="1297"/>
      <c r="D1922" s="1297" t="s">
        <v>908</v>
      </c>
      <c r="F1922" s="1399">
        <v>13831.9</v>
      </c>
      <c r="I1922" s="1399">
        <v>13831.9</v>
      </c>
    </row>
    <row r="1923" spans="2:9">
      <c r="B1923" s="1297"/>
      <c r="C1923" s="1297"/>
      <c r="D1923" s="1297" t="s">
        <v>1034</v>
      </c>
      <c r="F1923" s="1399">
        <v>250</v>
      </c>
      <c r="I1923" s="1399">
        <v>250</v>
      </c>
    </row>
    <row r="1924" spans="2:9">
      <c r="B1924" s="1297"/>
      <c r="C1924" s="1297"/>
      <c r="D1924" s="1297" t="s">
        <v>1037</v>
      </c>
      <c r="F1924" s="1399">
        <v>7265.59</v>
      </c>
      <c r="I1924" s="1399">
        <v>7265.59</v>
      </c>
    </row>
    <row r="1925" spans="2:9">
      <c r="B1925" s="1297"/>
      <c r="C1925" s="1297"/>
      <c r="D1925" s="1297" t="s">
        <v>1039</v>
      </c>
      <c r="F1925" s="1399">
        <v>32963.980000000003</v>
      </c>
      <c r="I1925" s="1399">
        <v>32963.980000000003</v>
      </c>
    </row>
    <row r="1926" spans="2:9">
      <c r="B1926" s="1297"/>
      <c r="C1926" s="1297"/>
      <c r="D1926" s="1297" t="s">
        <v>1040</v>
      </c>
      <c r="F1926" s="1399">
        <v>42015.23</v>
      </c>
      <c r="I1926" s="1399">
        <v>42015.23</v>
      </c>
    </row>
    <row r="1927" spans="2:9">
      <c r="B1927" s="1297"/>
      <c r="C1927" s="1297"/>
      <c r="D1927" s="1297" t="s">
        <v>1041</v>
      </c>
      <c r="F1927" s="1399">
        <v>1691.65</v>
      </c>
      <c r="I1927" s="1399">
        <v>1691.65</v>
      </c>
    </row>
    <row r="1928" spans="2:9">
      <c r="B1928" s="1297"/>
      <c r="C1928" s="1297"/>
      <c r="D1928" s="1297" t="s">
        <v>1042</v>
      </c>
      <c r="F1928" s="1399">
        <v>18296.75</v>
      </c>
      <c r="I1928" s="1399">
        <v>18296.75</v>
      </c>
    </row>
    <row r="1929" spans="2:9">
      <c r="B1929" s="1297"/>
      <c r="C1929" s="1297"/>
      <c r="D1929" s="1297" t="s">
        <v>1043</v>
      </c>
      <c r="F1929" s="1399">
        <v>2000</v>
      </c>
      <c r="I1929" s="1399">
        <v>2000</v>
      </c>
    </row>
    <row r="1930" spans="2:9">
      <c r="B1930" s="1297"/>
      <c r="C1930" s="1297"/>
      <c r="D1930" s="1297" t="s">
        <v>986</v>
      </c>
      <c r="F1930" s="1399">
        <v>18017.07</v>
      </c>
      <c r="I1930" s="1399">
        <v>18017.07</v>
      </c>
    </row>
    <row r="1931" spans="2:9">
      <c r="B1931" s="1297"/>
      <c r="C1931" s="1297"/>
      <c r="D1931" s="1297" t="s">
        <v>1045</v>
      </c>
      <c r="F1931" s="1399">
        <v>209238.96</v>
      </c>
      <c r="I1931" s="1399">
        <v>209238.96</v>
      </c>
    </row>
    <row r="1932" spans="2:9">
      <c r="B1932" s="1297"/>
      <c r="C1932" s="1297"/>
      <c r="D1932" s="1297" t="s">
        <v>1046</v>
      </c>
      <c r="H1932" s="1399">
        <v>3763021</v>
      </c>
      <c r="I1932" s="1399">
        <v>3763021</v>
      </c>
    </row>
    <row r="1933" spans="2:9">
      <c r="B1933" s="1297"/>
      <c r="C1933" s="1297"/>
      <c r="D1933" s="1297" t="s">
        <v>1047</v>
      </c>
      <c r="H1933" s="1399">
        <v>425329</v>
      </c>
      <c r="I1933" s="1399">
        <v>425329</v>
      </c>
    </row>
    <row r="1934" spans="2:9">
      <c r="B1934" s="1297"/>
      <c r="C1934" s="1297"/>
      <c r="D1934" s="1297" t="s">
        <v>1048</v>
      </c>
      <c r="H1934" s="1399">
        <v>-460678</v>
      </c>
      <c r="I1934" s="1399">
        <v>-460678</v>
      </c>
    </row>
    <row r="1935" spans="2:9">
      <c r="B1935" s="1297"/>
      <c r="C1935" s="1297"/>
      <c r="D1935" s="1297" t="s">
        <v>932</v>
      </c>
      <c r="H1935" s="1399">
        <v>399674</v>
      </c>
      <c r="I1935" s="1399">
        <v>399674</v>
      </c>
    </row>
    <row r="1936" spans="2:9">
      <c r="B1936" s="1297"/>
      <c r="C1936" s="1297"/>
      <c r="D1936" s="1297" t="s">
        <v>955</v>
      </c>
      <c r="H1936" s="1399">
        <v>252877.29</v>
      </c>
      <c r="I1936" s="1399">
        <v>252877.29</v>
      </c>
    </row>
    <row r="1937" spans="2:9">
      <c r="B1937" s="1297"/>
      <c r="C1937" s="1297"/>
      <c r="D1937" s="1297" t="s">
        <v>934</v>
      </c>
      <c r="H1937" s="1399">
        <v>12138</v>
      </c>
      <c r="I1937" s="1399">
        <v>12138</v>
      </c>
    </row>
    <row r="1938" spans="2:9">
      <c r="B1938" s="1297"/>
      <c r="C1938" s="1297"/>
      <c r="D1938" s="1297" t="s">
        <v>935</v>
      </c>
      <c r="H1938" s="1399">
        <v>123423.84</v>
      </c>
      <c r="I1938" s="1399">
        <v>123423.84</v>
      </c>
    </row>
    <row r="1939" spans="2:9">
      <c r="B1939" s="1297"/>
      <c r="C1939" s="1297"/>
      <c r="D1939" s="1297" t="s">
        <v>936</v>
      </c>
      <c r="H1939" s="1399">
        <v>12605.42</v>
      </c>
      <c r="I1939" s="1399">
        <v>12605.42</v>
      </c>
    </row>
    <row r="1940" spans="2:9">
      <c r="B1940" s="1297"/>
      <c r="C1940" s="1297"/>
      <c r="D1940" s="1297" t="s">
        <v>937</v>
      </c>
      <c r="H1940" s="1399">
        <v>11776.72</v>
      </c>
      <c r="I1940" s="1399">
        <v>11776.72</v>
      </c>
    </row>
    <row r="1941" spans="2:9">
      <c r="B1941" s="1297"/>
      <c r="C1941" s="1297"/>
      <c r="D1941" s="1297" t="s">
        <v>938</v>
      </c>
      <c r="H1941" s="1399">
        <v>3556</v>
      </c>
      <c r="I1941" s="1399">
        <v>3556</v>
      </c>
    </row>
    <row r="1942" spans="2:9">
      <c r="B1942" s="1297"/>
      <c r="C1942" s="1297"/>
      <c r="D1942" s="1297" t="s">
        <v>939</v>
      </c>
      <c r="H1942" s="1399">
        <v>34928.639999999999</v>
      </c>
      <c r="I1942" s="1399">
        <v>34928.639999999999</v>
      </c>
    </row>
    <row r="1943" spans="2:9">
      <c r="B1943" s="1297"/>
      <c r="C1943" s="1297"/>
      <c r="D1943" s="1297" t="s">
        <v>940</v>
      </c>
      <c r="E1943" s="1399">
        <v>234686.8</v>
      </c>
      <c r="I1943" s="1399">
        <v>234686.8</v>
      </c>
    </row>
    <row r="1944" spans="2:9">
      <c r="B1944" s="1297"/>
      <c r="C1944" s="1297"/>
      <c r="D1944" s="1297" t="s">
        <v>941</v>
      </c>
      <c r="E1944" s="1399">
        <v>81711.960000000006</v>
      </c>
      <c r="I1944" s="1399">
        <v>81711.960000000006</v>
      </c>
    </row>
    <row r="1945" spans="2:9">
      <c r="B1945" s="1297"/>
      <c r="C1945" s="1297"/>
      <c r="D1945" s="1297" t="s">
        <v>944</v>
      </c>
      <c r="E1945" s="1399">
        <v>734708.55999999994</v>
      </c>
      <c r="I1945" s="1399">
        <v>734708.55999999994</v>
      </c>
    </row>
    <row r="1946" spans="2:9">
      <c r="B1946" s="1297"/>
      <c r="C1946" s="1297"/>
      <c r="D1946" s="1297" t="s">
        <v>945</v>
      </c>
      <c r="E1946" s="1399">
        <v>288192.29000000004</v>
      </c>
      <c r="I1946" s="1399">
        <v>288192.29000000004</v>
      </c>
    </row>
    <row r="1947" spans="2:9">
      <c r="B1947" s="1297"/>
      <c r="C1947" s="1297"/>
      <c r="D1947" s="1297" t="s">
        <v>947</v>
      </c>
      <c r="E1947" s="1399">
        <v>21873.38</v>
      </c>
      <c r="I1947" s="1399">
        <v>21873.38</v>
      </c>
    </row>
    <row r="1948" spans="2:9">
      <c r="B1948" s="1297"/>
      <c r="C1948" s="1297"/>
      <c r="D1948" s="1297" t="s">
        <v>948</v>
      </c>
      <c r="G1948" s="1399">
        <v>256407.15</v>
      </c>
      <c r="I1948" s="1399">
        <v>256407.15</v>
      </c>
    </row>
    <row r="1949" spans="2:9">
      <c r="B1949" s="1297"/>
      <c r="C1949" s="1297"/>
      <c r="D1949" s="1297" t="s">
        <v>956</v>
      </c>
      <c r="G1949" s="1399">
        <v>3011.17</v>
      </c>
      <c r="I1949" s="1399">
        <v>3011.17</v>
      </c>
    </row>
    <row r="1950" spans="2:9">
      <c r="B1950" s="1297"/>
      <c r="C1950" s="1297"/>
      <c r="D1950" s="1297" t="s">
        <v>1218</v>
      </c>
      <c r="G1950" s="1399">
        <v>368610.45</v>
      </c>
      <c r="I1950" s="1399">
        <v>368610.45</v>
      </c>
    </row>
    <row r="1951" spans="2:9">
      <c r="B1951" s="1297"/>
      <c r="C1951" s="1400" t="s">
        <v>1300</v>
      </c>
      <c r="D1951" s="1400"/>
      <c r="E1951" s="1401">
        <v>1361172.9899999998</v>
      </c>
      <c r="F1951" s="1401">
        <v>2563231.7199999993</v>
      </c>
      <c r="G1951" s="1401">
        <v>628028.77</v>
      </c>
      <c r="H1951" s="1401">
        <v>4578651.9099999992</v>
      </c>
      <c r="I1951" s="1401">
        <v>9131085.3899999987</v>
      </c>
    </row>
    <row r="1952" spans="2:9">
      <c r="B1952" s="1297" t="s">
        <v>1301</v>
      </c>
      <c r="C1952" s="1297" t="s">
        <v>1302</v>
      </c>
      <c r="D1952" s="1297" t="s">
        <v>906</v>
      </c>
      <c r="F1952" s="1399">
        <v>26394812.969999999</v>
      </c>
      <c r="I1952" s="1399">
        <v>26394812.969999999</v>
      </c>
    </row>
    <row r="1953" spans="2:9">
      <c r="B1953" s="1297"/>
      <c r="C1953" s="1297"/>
      <c r="D1953" s="1297" t="s">
        <v>907</v>
      </c>
      <c r="F1953" s="1399">
        <v>8835412.1400000006</v>
      </c>
      <c r="I1953" s="1399">
        <v>8835412.1400000006</v>
      </c>
    </row>
    <row r="1954" spans="2:9">
      <c r="B1954" s="1297"/>
      <c r="C1954" s="1297"/>
      <c r="D1954" s="1297" t="s">
        <v>908</v>
      </c>
      <c r="F1954" s="1399">
        <v>1578939.26</v>
      </c>
      <c r="I1954" s="1399">
        <v>1578939.26</v>
      </c>
    </row>
    <row r="1955" spans="2:9">
      <c r="B1955" s="1297"/>
      <c r="C1955" s="1297"/>
      <c r="D1955" s="1297" t="s">
        <v>909</v>
      </c>
      <c r="F1955" s="1399">
        <v>97578.03</v>
      </c>
      <c r="I1955" s="1399">
        <v>97578.03</v>
      </c>
    </row>
    <row r="1956" spans="2:9">
      <c r="B1956" s="1297"/>
      <c r="C1956" s="1297"/>
      <c r="D1956" s="1297" t="s">
        <v>910</v>
      </c>
      <c r="F1956" s="1399">
        <v>270250.02</v>
      </c>
      <c r="I1956" s="1399">
        <v>270250.02</v>
      </c>
    </row>
    <row r="1957" spans="2:9">
      <c r="B1957" s="1297"/>
      <c r="C1957" s="1297"/>
      <c r="D1957" s="1297" t="s">
        <v>1034</v>
      </c>
      <c r="F1957" s="1399">
        <v>102205.22</v>
      </c>
      <c r="I1957" s="1399">
        <v>102205.22</v>
      </c>
    </row>
    <row r="1958" spans="2:9">
      <c r="B1958" s="1297"/>
      <c r="C1958" s="1297"/>
      <c r="D1958" s="1297" t="s">
        <v>1035</v>
      </c>
      <c r="F1958" s="1399">
        <v>1612110.8199999998</v>
      </c>
      <c r="I1958" s="1399">
        <v>1612110.8199999998</v>
      </c>
    </row>
    <row r="1959" spans="2:9">
      <c r="B1959" s="1297"/>
      <c r="C1959" s="1297"/>
      <c r="D1959" s="1297" t="s">
        <v>1036</v>
      </c>
      <c r="F1959" s="1399">
        <v>272743.71000000002</v>
      </c>
      <c r="I1959" s="1399">
        <v>272743.71000000002</v>
      </c>
    </row>
    <row r="1960" spans="2:9">
      <c r="B1960" s="1297"/>
      <c r="C1960" s="1297"/>
      <c r="D1960" s="1297" t="s">
        <v>1039</v>
      </c>
      <c r="F1960" s="1399">
        <v>260102.58</v>
      </c>
      <c r="I1960" s="1399">
        <v>260102.58</v>
      </c>
    </row>
    <row r="1961" spans="2:9">
      <c r="B1961" s="1297"/>
      <c r="C1961" s="1297"/>
      <c r="D1961" s="1297" t="s">
        <v>1040</v>
      </c>
      <c r="F1961" s="1399">
        <v>1251779.3400000001</v>
      </c>
      <c r="I1961" s="1399">
        <v>1251779.3400000001</v>
      </c>
    </row>
    <row r="1962" spans="2:9">
      <c r="B1962" s="1297"/>
      <c r="C1962" s="1297"/>
      <c r="D1962" s="1297" t="s">
        <v>1127</v>
      </c>
      <c r="F1962" s="1399">
        <v>186707.49</v>
      </c>
      <c r="I1962" s="1399">
        <v>186707.49</v>
      </c>
    </row>
    <row r="1963" spans="2:9">
      <c r="B1963" s="1297"/>
      <c r="C1963" s="1297"/>
      <c r="D1963" s="1297" t="s">
        <v>1041</v>
      </c>
      <c r="F1963" s="1399">
        <v>238109.18</v>
      </c>
      <c r="I1963" s="1399">
        <v>238109.18</v>
      </c>
    </row>
    <row r="1964" spans="2:9">
      <c r="B1964" s="1297"/>
      <c r="C1964" s="1297"/>
      <c r="D1964" s="1297" t="s">
        <v>1042</v>
      </c>
      <c r="F1964" s="1399">
        <v>132844.06</v>
      </c>
      <c r="I1964" s="1399">
        <v>132844.06</v>
      </c>
    </row>
    <row r="1965" spans="2:9">
      <c r="B1965" s="1297"/>
      <c r="C1965" s="1297"/>
      <c r="D1965" s="1297" t="s">
        <v>953</v>
      </c>
      <c r="F1965" s="1399">
        <v>57671</v>
      </c>
      <c r="I1965" s="1399">
        <v>57671</v>
      </c>
    </row>
    <row r="1966" spans="2:9">
      <c r="B1966" s="1297"/>
      <c r="C1966" s="1297"/>
      <c r="D1966" s="1297" t="s">
        <v>986</v>
      </c>
      <c r="F1966" s="1399">
        <v>6818.32</v>
      </c>
      <c r="I1966" s="1399">
        <v>6818.32</v>
      </c>
    </row>
    <row r="1967" spans="2:9">
      <c r="B1967" s="1297"/>
      <c r="C1967" s="1297"/>
      <c r="D1967" s="1297" t="s">
        <v>1203</v>
      </c>
      <c r="F1967" s="1399">
        <v>16709</v>
      </c>
      <c r="I1967" s="1399">
        <v>16709</v>
      </c>
    </row>
    <row r="1968" spans="2:9">
      <c r="B1968" s="1297"/>
      <c r="C1968" s="1297"/>
      <c r="D1968" s="1297" t="s">
        <v>996</v>
      </c>
      <c r="F1968" s="1399">
        <v>27400.21</v>
      </c>
      <c r="I1968" s="1399">
        <v>27400.21</v>
      </c>
    </row>
    <row r="1969" spans="2:9">
      <c r="B1969" s="1297"/>
      <c r="C1969" s="1297"/>
      <c r="D1969" s="1297" t="s">
        <v>1045</v>
      </c>
      <c r="F1969" s="1399">
        <v>879696.38000000012</v>
      </c>
      <c r="I1969" s="1399">
        <v>879696.38000000012</v>
      </c>
    </row>
    <row r="1970" spans="2:9">
      <c r="B1970" s="1297"/>
      <c r="C1970" s="1297"/>
      <c r="D1970" s="1297" t="s">
        <v>1046</v>
      </c>
      <c r="H1970" s="1399">
        <v>56285902</v>
      </c>
      <c r="I1970" s="1399">
        <v>56285902</v>
      </c>
    </row>
    <row r="1971" spans="2:9">
      <c r="B1971" s="1297"/>
      <c r="C1971" s="1297"/>
      <c r="D1971" s="1297" t="s">
        <v>1128</v>
      </c>
      <c r="H1971" s="1399">
        <v>4814613</v>
      </c>
      <c r="I1971" s="1399">
        <v>4814613</v>
      </c>
    </row>
    <row r="1972" spans="2:9">
      <c r="B1972" s="1297"/>
      <c r="C1972" s="1297"/>
      <c r="D1972" s="1297" t="s">
        <v>1129</v>
      </c>
      <c r="H1972" s="1399">
        <v>-7883630</v>
      </c>
      <c r="I1972" s="1399">
        <v>-7883630</v>
      </c>
    </row>
    <row r="1973" spans="2:9">
      <c r="B1973" s="1297"/>
      <c r="C1973" s="1297"/>
      <c r="D1973" s="1297" t="s">
        <v>1047</v>
      </c>
      <c r="H1973" s="1399">
        <v>1400958</v>
      </c>
      <c r="I1973" s="1399">
        <v>1400958</v>
      </c>
    </row>
    <row r="1974" spans="2:9">
      <c r="B1974" s="1297"/>
      <c r="C1974" s="1297"/>
      <c r="D1974" s="1297" t="s">
        <v>1048</v>
      </c>
      <c r="H1974" s="1399">
        <v>-7472115</v>
      </c>
      <c r="I1974" s="1399">
        <v>-7472115</v>
      </c>
    </row>
    <row r="1975" spans="2:9">
      <c r="B1975" s="1297"/>
      <c r="C1975" s="1297"/>
      <c r="D1975" s="1297" t="s">
        <v>932</v>
      </c>
      <c r="H1975" s="1399">
        <v>6119179</v>
      </c>
      <c r="I1975" s="1399">
        <v>6119179</v>
      </c>
    </row>
    <row r="1976" spans="2:9">
      <c r="B1976" s="1297"/>
      <c r="C1976" s="1297"/>
      <c r="D1976" s="1297" t="s">
        <v>955</v>
      </c>
      <c r="H1976" s="1399">
        <v>2237488.9700000002</v>
      </c>
      <c r="I1976" s="1399">
        <v>2237488.9700000002</v>
      </c>
    </row>
    <row r="1977" spans="2:9">
      <c r="B1977" s="1297"/>
      <c r="C1977" s="1297"/>
      <c r="D1977" s="1297" t="s">
        <v>934</v>
      </c>
      <c r="H1977" s="1399">
        <v>163865.74</v>
      </c>
      <c r="I1977" s="1399">
        <v>163865.74</v>
      </c>
    </row>
    <row r="1978" spans="2:9">
      <c r="B1978" s="1297"/>
      <c r="C1978" s="1297"/>
      <c r="D1978" s="1297" t="s">
        <v>935</v>
      </c>
      <c r="H1978" s="1399">
        <v>970162.44</v>
      </c>
      <c r="I1978" s="1399">
        <v>970162.44</v>
      </c>
    </row>
    <row r="1979" spans="2:9">
      <c r="B1979" s="1297"/>
      <c r="C1979" s="1297"/>
      <c r="D1979" s="1297" t="s">
        <v>936</v>
      </c>
      <c r="H1979" s="1399">
        <v>160368.95000000001</v>
      </c>
      <c r="I1979" s="1399">
        <v>160368.95000000001</v>
      </c>
    </row>
    <row r="1980" spans="2:9">
      <c r="B1980" s="1297"/>
      <c r="C1980" s="1297"/>
      <c r="D1980" s="1297" t="s">
        <v>937</v>
      </c>
      <c r="H1980" s="1399">
        <v>48960.959999999999</v>
      </c>
      <c r="I1980" s="1399">
        <v>48960.959999999999</v>
      </c>
    </row>
    <row r="1981" spans="2:9">
      <c r="B1981" s="1297"/>
      <c r="C1981" s="1297"/>
      <c r="D1981" s="1297" t="s">
        <v>938</v>
      </c>
      <c r="H1981" s="1399">
        <v>54089</v>
      </c>
      <c r="I1981" s="1399">
        <v>54089</v>
      </c>
    </row>
    <row r="1982" spans="2:9">
      <c r="B1982" s="1297"/>
      <c r="C1982" s="1297"/>
      <c r="D1982" s="1297" t="s">
        <v>1131</v>
      </c>
      <c r="E1982" s="1399">
        <v>20594.23</v>
      </c>
      <c r="I1982" s="1399">
        <v>20594.23</v>
      </c>
    </row>
    <row r="1983" spans="2:9">
      <c r="B1983" s="1297"/>
      <c r="C1983" s="1297"/>
      <c r="D1983" s="1297" t="s">
        <v>940</v>
      </c>
      <c r="E1983" s="1399">
        <v>1965326.59</v>
      </c>
      <c r="I1983" s="1399">
        <v>1965326.59</v>
      </c>
    </row>
    <row r="1984" spans="2:9">
      <c r="B1984" s="1297"/>
      <c r="C1984" s="1297"/>
      <c r="D1984" s="1297" t="s">
        <v>941</v>
      </c>
      <c r="E1984" s="1399">
        <v>609663.26</v>
      </c>
      <c r="I1984" s="1399">
        <v>609663.26</v>
      </c>
    </row>
    <row r="1985" spans="2:9">
      <c r="B1985" s="1297"/>
      <c r="C1985" s="1297"/>
      <c r="D1985" s="1297" t="s">
        <v>944</v>
      </c>
      <c r="E1985" s="1399">
        <v>4605907.6500000004</v>
      </c>
      <c r="I1985" s="1399">
        <v>4605907.6500000004</v>
      </c>
    </row>
    <row r="1986" spans="2:9">
      <c r="B1986" s="1297"/>
      <c r="C1986" s="1297"/>
      <c r="D1986" s="1297" t="s">
        <v>945</v>
      </c>
      <c r="E1986" s="1399">
        <v>4508018.7700000005</v>
      </c>
      <c r="I1986" s="1399">
        <v>4508018.7700000005</v>
      </c>
    </row>
    <row r="1987" spans="2:9">
      <c r="B1987" s="1297"/>
      <c r="C1987" s="1297"/>
      <c r="D1987" s="1297" t="s">
        <v>946</v>
      </c>
      <c r="E1987" s="1399">
        <v>124790.62</v>
      </c>
      <c r="I1987" s="1399">
        <v>124790.62</v>
      </c>
    </row>
    <row r="1988" spans="2:9">
      <c r="B1988" s="1297"/>
      <c r="C1988" s="1297"/>
      <c r="D1988" s="1297" t="s">
        <v>947</v>
      </c>
      <c r="E1988" s="1399">
        <v>367408.16</v>
      </c>
      <c r="I1988" s="1399">
        <v>367408.16</v>
      </c>
    </row>
    <row r="1989" spans="2:9">
      <c r="B1989" s="1297"/>
      <c r="C1989" s="1297"/>
      <c r="D1989" s="1297" t="s">
        <v>948</v>
      </c>
      <c r="G1989" s="1399">
        <v>5036077.63</v>
      </c>
      <c r="I1989" s="1399">
        <v>5036077.63</v>
      </c>
    </row>
    <row r="1990" spans="2:9">
      <c r="B1990" s="1297"/>
      <c r="C1990" s="1400" t="s">
        <v>1303</v>
      </c>
      <c r="D1990" s="1400"/>
      <c r="E1990" s="1401">
        <v>12201709.279999999</v>
      </c>
      <c r="F1990" s="1401">
        <v>42221889.730000012</v>
      </c>
      <c r="G1990" s="1401">
        <v>5036077.63</v>
      </c>
      <c r="H1990" s="1401">
        <v>56899843.060000002</v>
      </c>
      <c r="I1990" s="1401">
        <v>116359519.70000002</v>
      </c>
    </row>
    <row r="1991" spans="2:9">
      <c r="B1991" s="1297" t="s">
        <v>1304</v>
      </c>
      <c r="C1991" s="1297" t="s">
        <v>1305</v>
      </c>
      <c r="D1991" s="1297" t="s">
        <v>906</v>
      </c>
      <c r="F1991" s="1399">
        <v>8814861.0800000001</v>
      </c>
      <c r="I1991" s="1399">
        <v>8814861.0800000001</v>
      </c>
    </row>
    <row r="1992" spans="2:9">
      <c r="B1992" s="1297"/>
      <c r="C1992" s="1297"/>
      <c r="D1992" s="1297" t="s">
        <v>907</v>
      </c>
      <c r="F1992" s="1399">
        <v>2199893.39</v>
      </c>
      <c r="I1992" s="1399">
        <v>2199893.39</v>
      </c>
    </row>
    <row r="1993" spans="2:9">
      <c r="B1993" s="1297"/>
      <c r="C1993" s="1297"/>
      <c r="D1993" s="1297" t="s">
        <v>1034</v>
      </c>
      <c r="F1993" s="1399">
        <v>2879</v>
      </c>
      <c r="I1993" s="1399">
        <v>2879</v>
      </c>
    </row>
    <row r="1994" spans="2:9">
      <c r="B1994" s="1297"/>
      <c r="C1994" s="1297"/>
      <c r="D1994" s="1297" t="s">
        <v>1037</v>
      </c>
      <c r="F1994" s="1399">
        <v>2476.14</v>
      </c>
      <c r="I1994" s="1399">
        <v>2476.14</v>
      </c>
    </row>
    <row r="1995" spans="2:9">
      <c r="B1995" s="1297"/>
      <c r="C1995" s="1297"/>
      <c r="D1995" s="1297" t="s">
        <v>1039</v>
      </c>
      <c r="F1995" s="1399">
        <v>9997.2199999999993</v>
      </c>
      <c r="I1995" s="1399">
        <v>9997.2199999999993</v>
      </c>
    </row>
    <row r="1996" spans="2:9">
      <c r="B1996" s="1297"/>
      <c r="C1996" s="1297"/>
      <c r="D1996" s="1297" t="s">
        <v>1040</v>
      </c>
      <c r="F1996" s="1399">
        <v>339378.23000000004</v>
      </c>
      <c r="I1996" s="1399">
        <v>339378.23000000004</v>
      </c>
    </row>
    <row r="1997" spans="2:9">
      <c r="B1997" s="1297"/>
      <c r="C1997" s="1297"/>
      <c r="D1997" s="1297" t="s">
        <v>1041</v>
      </c>
      <c r="F1997" s="1399">
        <v>42991.680000000008</v>
      </c>
      <c r="I1997" s="1399">
        <v>42991.680000000008</v>
      </c>
    </row>
    <row r="1998" spans="2:9">
      <c r="B1998" s="1297"/>
      <c r="C1998" s="1297"/>
      <c r="D1998" s="1297" t="s">
        <v>1042</v>
      </c>
      <c r="F1998" s="1399">
        <v>64497.80000000001</v>
      </c>
      <c r="I1998" s="1399">
        <v>64497.80000000001</v>
      </c>
    </row>
    <row r="1999" spans="2:9">
      <c r="B1999" s="1297"/>
      <c r="C1999" s="1297"/>
      <c r="D1999" s="1297" t="s">
        <v>953</v>
      </c>
      <c r="F1999" s="1399">
        <v>16544.349999999999</v>
      </c>
      <c r="I1999" s="1399">
        <v>16544.349999999999</v>
      </c>
    </row>
    <row r="2000" spans="2:9">
      <c r="B2000" s="1297"/>
      <c r="C2000" s="1297"/>
      <c r="D2000" s="1297" t="s">
        <v>1005</v>
      </c>
      <c r="F2000" s="1399">
        <v>16634.64</v>
      </c>
      <c r="I2000" s="1399">
        <v>16634.64</v>
      </c>
    </row>
    <row r="2001" spans="2:9">
      <c r="B2001" s="1297"/>
      <c r="C2001" s="1297"/>
      <c r="D2001" s="1297" t="s">
        <v>1044</v>
      </c>
      <c r="F2001" s="1399">
        <v>162129.5</v>
      </c>
      <c r="I2001" s="1399">
        <v>162129.5</v>
      </c>
    </row>
    <row r="2002" spans="2:9">
      <c r="B2002" s="1297"/>
      <c r="C2002" s="1297"/>
      <c r="D2002" s="1297" t="s">
        <v>1045</v>
      </c>
      <c r="F2002" s="1399">
        <v>170588.24</v>
      </c>
      <c r="I2002" s="1399">
        <v>170588.24</v>
      </c>
    </row>
    <row r="2003" spans="2:9">
      <c r="B2003" s="1297"/>
      <c r="C2003" s="1297"/>
      <c r="D2003" s="1297" t="s">
        <v>1046</v>
      </c>
      <c r="H2003" s="1399">
        <v>18866684</v>
      </c>
      <c r="I2003" s="1399">
        <v>18866684</v>
      </c>
    </row>
    <row r="2004" spans="2:9">
      <c r="B2004" s="1297"/>
      <c r="C2004" s="1297"/>
      <c r="D2004" s="1297" t="s">
        <v>1128</v>
      </c>
      <c r="H2004" s="1399">
        <v>1401289</v>
      </c>
      <c r="I2004" s="1399">
        <v>1401289</v>
      </c>
    </row>
    <row r="2005" spans="2:9">
      <c r="B2005" s="1297"/>
      <c r="C2005" s="1297"/>
      <c r="D2005" s="1297" t="s">
        <v>1129</v>
      </c>
      <c r="H2005" s="1399">
        <v>-2675939</v>
      </c>
      <c r="I2005" s="1399">
        <v>-2675939</v>
      </c>
    </row>
    <row r="2006" spans="2:9">
      <c r="B2006" s="1297"/>
      <c r="C2006" s="1297"/>
      <c r="D2006" s="1297" t="s">
        <v>1047</v>
      </c>
      <c r="H2006" s="1399">
        <v>662546</v>
      </c>
      <c r="I2006" s="1399">
        <v>662546</v>
      </c>
    </row>
    <row r="2007" spans="2:9">
      <c r="B2007" s="1297"/>
      <c r="C2007" s="1297"/>
      <c r="D2007" s="1297" t="s">
        <v>1048</v>
      </c>
      <c r="H2007" s="1399">
        <v>-2324933</v>
      </c>
      <c r="I2007" s="1399">
        <v>-2324933</v>
      </c>
    </row>
    <row r="2008" spans="2:9">
      <c r="B2008" s="1297"/>
      <c r="C2008" s="1297"/>
      <c r="D2008" s="1297" t="s">
        <v>932</v>
      </c>
      <c r="H2008" s="1399">
        <v>1970263</v>
      </c>
      <c r="I2008" s="1399">
        <v>1970263</v>
      </c>
    </row>
    <row r="2009" spans="2:9">
      <c r="B2009" s="1297"/>
      <c r="C2009" s="1297"/>
      <c r="D2009" s="1297" t="s">
        <v>955</v>
      </c>
      <c r="H2009" s="1399">
        <v>838868.31</v>
      </c>
      <c r="I2009" s="1399">
        <v>838868.31</v>
      </c>
    </row>
    <row r="2010" spans="2:9">
      <c r="B2010" s="1297"/>
      <c r="C2010" s="1297"/>
      <c r="D2010" s="1297" t="s">
        <v>934</v>
      </c>
      <c r="H2010" s="1399">
        <v>61890</v>
      </c>
      <c r="I2010" s="1399">
        <v>61890</v>
      </c>
    </row>
    <row r="2011" spans="2:9">
      <c r="B2011" s="1297"/>
      <c r="C2011" s="1297"/>
      <c r="D2011" s="1297" t="s">
        <v>935</v>
      </c>
      <c r="H2011" s="1399">
        <v>344996.28</v>
      </c>
      <c r="I2011" s="1399">
        <v>344996.28</v>
      </c>
    </row>
    <row r="2012" spans="2:9">
      <c r="B2012" s="1297"/>
      <c r="C2012" s="1297"/>
      <c r="D2012" s="1297" t="s">
        <v>936</v>
      </c>
      <c r="H2012" s="1399">
        <v>75982.67</v>
      </c>
      <c r="I2012" s="1399">
        <v>75982.67</v>
      </c>
    </row>
    <row r="2013" spans="2:9">
      <c r="B2013" s="1297"/>
      <c r="C2013" s="1297"/>
      <c r="D2013" s="1297" t="s">
        <v>937</v>
      </c>
      <c r="H2013" s="1399">
        <v>27602.400000000001</v>
      </c>
      <c r="I2013" s="1399">
        <v>27602.400000000001</v>
      </c>
    </row>
    <row r="2014" spans="2:9">
      <c r="B2014" s="1297"/>
      <c r="C2014" s="1297"/>
      <c r="D2014" s="1297" t="s">
        <v>938</v>
      </c>
      <c r="H2014" s="1399">
        <v>19465</v>
      </c>
      <c r="I2014" s="1399">
        <v>19465</v>
      </c>
    </row>
    <row r="2015" spans="2:9">
      <c r="B2015" s="1297"/>
      <c r="C2015" s="1297"/>
      <c r="D2015" s="1297" t="s">
        <v>1131</v>
      </c>
      <c r="E2015" s="1399">
        <v>86626.53</v>
      </c>
      <c r="I2015" s="1399">
        <v>86626.53</v>
      </c>
    </row>
    <row r="2016" spans="2:9">
      <c r="B2016" s="1297"/>
      <c r="C2016" s="1297"/>
      <c r="D2016" s="1297" t="s">
        <v>940</v>
      </c>
      <c r="E2016" s="1399">
        <v>1026704.54</v>
      </c>
      <c r="I2016" s="1399">
        <v>1026704.54</v>
      </c>
    </row>
    <row r="2017" spans="2:9">
      <c r="B2017" s="1297"/>
      <c r="C2017" s="1297"/>
      <c r="D2017" s="1297" t="s">
        <v>941</v>
      </c>
      <c r="E2017" s="1399">
        <v>415991.80000000005</v>
      </c>
      <c r="I2017" s="1399">
        <v>415991.80000000005</v>
      </c>
    </row>
    <row r="2018" spans="2:9">
      <c r="B2018" s="1297"/>
      <c r="C2018" s="1297"/>
      <c r="D2018" s="1297" t="s">
        <v>943</v>
      </c>
      <c r="E2018" s="1399">
        <v>19749.120000000003</v>
      </c>
      <c r="I2018" s="1399">
        <v>19749.120000000003</v>
      </c>
    </row>
    <row r="2019" spans="2:9">
      <c r="B2019" s="1297"/>
      <c r="C2019" s="1297"/>
      <c r="D2019" s="1297" t="s">
        <v>944</v>
      </c>
      <c r="E2019" s="1399">
        <v>3423236.9</v>
      </c>
      <c r="I2019" s="1399">
        <v>3423236.9</v>
      </c>
    </row>
    <row r="2020" spans="2:9">
      <c r="B2020" s="1297"/>
      <c r="C2020" s="1297"/>
      <c r="D2020" s="1297" t="s">
        <v>945</v>
      </c>
      <c r="E2020" s="1399">
        <v>722403</v>
      </c>
      <c r="I2020" s="1399">
        <v>722403</v>
      </c>
    </row>
    <row r="2021" spans="2:9">
      <c r="B2021" s="1297"/>
      <c r="C2021" s="1297"/>
      <c r="D2021" s="1297" t="s">
        <v>947</v>
      </c>
      <c r="E2021" s="1399">
        <v>119292.23</v>
      </c>
      <c r="I2021" s="1399">
        <v>119292.23</v>
      </c>
    </row>
    <row r="2022" spans="2:9">
      <c r="B2022" s="1297"/>
      <c r="C2022" s="1400" t="s">
        <v>1306</v>
      </c>
      <c r="D2022" s="1400"/>
      <c r="E2022" s="1401">
        <v>5814004.120000001</v>
      </c>
      <c r="F2022" s="1401">
        <v>11842871.270000003</v>
      </c>
      <c r="G2022" s="1401"/>
      <c r="H2022" s="1401">
        <v>19268714.66</v>
      </c>
      <c r="I2022" s="1401">
        <v>36925590.050000004</v>
      </c>
    </row>
    <row r="2023" spans="2:9">
      <c r="B2023" s="1297" t="s">
        <v>1307</v>
      </c>
      <c r="C2023" s="1297" t="s">
        <v>1308</v>
      </c>
      <c r="D2023" s="1297" t="s">
        <v>906</v>
      </c>
      <c r="F2023" s="1399">
        <v>5837684.5099999998</v>
      </c>
      <c r="I2023" s="1399">
        <v>5837684.5099999998</v>
      </c>
    </row>
    <row r="2024" spans="2:9">
      <c r="B2024" s="1297"/>
      <c r="C2024" s="1297"/>
      <c r="D2024" s="1297" t="s">
        <v>952</v>
      </c>
      <c r="F2024" s="1399">
        <v>8024.22</v>
      </c>
      <c r="I2024" s="1399">
        <v>8024.22</v>
      </c>
    </row>
    <row r="2025" spans="2:9">
      <c r="B2025" s="1297"/>
      <c r="C2025" s="1297"/>
      <c r="D2025" s="1297" t="s">
        <v>907</v>
      </c>
      <c r="F2025" s="1399">
        <v>2611381.5300000003</v>
      </c>
      <c r="I2025" s="1399">
        <v>2611381.5300000003</v>
      </c>
    </row>
    <row r="2026" spans="2:9">
      <c r="B2026" s="1297"/>
      <c r="C2026" s="1297"/>
      <c r="D2026" s="1297" t="s">
        <v>909</v>
      </c>
      <c r="F2026" s="1399">
        <v>25479.550000000003</v>
      </c>
      <c r="I2026" s="1399">
        <v>25479.550000000003</v>
      </c>
    </row>
    <row r="2027" spans="2:9">
      <c r="B2027" s="1297"/>
      <c r="C2027" s="1297"/>
      <c r="D2027" s="1297" t="s">
        <v>910</v>
      </c>
      <c r="F2027" s="1399">
        <v>17331.239999999998</v>
      </c>
      <c r="I2027" s="1399">
        <v>17331.239999999998</v>
      </c>
    </row>
    <row r="2028" spans="2:9">
      <c r="B2028" s="1297"/>
      <c r="C2028" s="1297"/>
      <c r="D2028" s="1297" t="s">
        <v>1035</v>
      </c>
      <c r="F2028" s="1399">
        <v>266673.50999999995</v>
      </c>
      <c r="I2028" s="1399">
        <v>266673.50999999995</v>
      </c>
    </row>
    <row r="2029" spans="2:9">
      <c r="B2029" s="1297"/>
      <c r="C2029" s="1297"/>
      <c r="D2029" s="1297" t="s">
        <v>1036</v>
      </c>
      <c r="F2029" s="1399">
        <v>234970.23999999999</v>
      </c>
      <c r="I2029" s="1399">
        <v>234970.23999999999</v>
      </c>
    </row>
    <row r="2030" spans="2:9">
      <c r="B2030" s="1297"/>
      <c r="C2030" s="1297"/>
      <c r="D2030" s="1297" t="s">
        <v>1039</v>
      </c>
      <c r="F2030" s="1399">
        <v>23333.57</v>
      </c>
      <c r="I2030" s="1399">
        <v>23333.57</v>
      </c>
    </row>
    <row r="2031" spans="2:9">
      <c r="B2031" s="1297"/>
      <c r="C2031" s="1297"/>
      <c r="D2031" s="1297" t="s">
        <v>1040</v>
      </c>
      <c r="F2031" s="1399">
        <v>220302.87</v>
      </c>
      <c r="I2031" s="1399">
        <v>220302.87</v>
      </c>
    </row>
    <row r="2032" spans="2:9">
      <c r="B2032" s="1297"/>
      <c r="C2032" s="1297"/>
      <c r="D2032" s="1297" t="s">
        <v>1041</v>
      </c>
      <c r="F2032" s="1399">
        <v>67993.960000000006</v>
      </c>
      <c r="I2032" s="1399">
        <v>67993.960000000006</v>
      </c>
    </row>
    <row r="2033" spans="2:9">
      <c r="B2033" s="1297"/>
      <c r="C2033" s="1297"/>
      <c r="D2033" s="1297" t="s">
        <v>1042</v>
      </c>
      <c r="F2033" s="1399">
        <v>94826.25</v>
      </c>
      <c r="I2033" s="1399">
        <v>94826.25</v>
      </c>
    </row>
    <row r="2034" spans="2:9">
      <c r="B2034" s="1297"/>
      <c r="C2034" s="1297"/>
      <c r="D2034" s="1297" t="s">
        <v>954</v>
      </c>
      <c r="F2034" s="1399">
        <v>349694.93</v>
      </c>
      <c r="I2034" s="1399">
        <v>349694.93</v>
      </c>
    </row>
    <row r="2035" spans="2:9">
      <c r="B2035" s="1297"/>
      <c r="C2035" s="1297"/>
      <c r="D2035" s="1297" t="s">
        <v>1043</v>
      </c>
      <c r="F2035" s="1399">
        <v>200</v>
      </c>
      <c r="I2035" s="1399">
        <v>200</v>
      </c>
    </row>
    <row r="2036" spans="2:9">
      <c r="B2036" s="1297"/>
      <c r="C2036" s="1297"/>
      <c r="D2036" s="1297" t="s">
        <v>986</v>
      </c>
      <c r="F2036" s="1399">
        <v>147757.53999999998</v>
      </c>
      <c r="I2036" s="1399">
        <v>147757.53999999998</v>
      </c>
    </row>
    <row r="2037" spans="2:9">
      <c r="B2037" s="1297"/>
      <c r="C2037" s="1297"/>
      <c r="D2037" s="1297" t="s">
        <v>1044</v>
      </c>
      <c r="F2037" s="1399">
        <v>88453.01</v>
      </c>
      <c r="I2037" s="1399">
        <v>88453.01</v>
      </c>
    </row>
    <row r="2038" spans="2:9">
      <c r="B2038" s="1297"/>
      <c r="C2038" s="1297"/>
      <c r="D2038" s="1297" t="s">
        <v>1045</v>
      </c>
      <c r="F2038" s="1399">
        <v>562402.6</v>
      </c>
      <c r="I2038" s="1399">
        <v>562402.6</v>
      </c>
    </row>
    <row r="2039" spans="2:9">
      <c r="B2039" s="1297"/>
      <c r="C2039" s="1297"/>
      <c r="D2039" s="1297" t="s">
        <v>1046</v>
      </c>
      <c r="H2039" s="1399">
        <v>21982815</v>
      </c>
      <c r="I2039" s="1399">
        <v>21982815</v>
      </c>
    </row>
    <row r="2040" spans="2:9">
      <c r="B2040" s="1297"/>
      <c r="C2040" s="1297"/>
      <c r="D2040" s="1297" t="s">
        <v>1128</v>
      </c>
      <c r="H2040" s="1399">
        <v>2161090</v>
      </c>
      <c r="I2040" s="1399">
        <v>2161090</v>
      </c>
    </row>
    <row r="2041" spans="2:9">
      <c r="B2041" s="1297"/>
      <c r="C2041" s="1297"/>
      <c r="D2041" s="1297" t="s">
        <v>1129</v>
      </c>
      <c r="H2041" s="1399">
        <v>-3182433</v>
      </c>
      <c r="I2041" s="1399">
        <v>-3182433</v>
      </c>
    </row>
    <row r="2042" spans="2:9">
      <c r="B2042" s="1297"/>
      <c r="C2042" s="1297"/>
      <c r="D2042" s="1297" t="s">
        <v>1047</v>
      </c>
      <c r="H2042" s="1399">
        <v>739640</v>
      </c>
      <c r="I2042" s="1399">
        <v>739640</v>
      </c>
    </row>
    <row r="2043" spans="2:9">
      <c r="B2043" s="1297"/>
      <c r="C2043" s="1297"/>
      <c r="D2043" s="1297" t="s">
        <v>1048</v>
      </c>
      <c r="H2043" s="1399">
        <v>-1903717</v>
      </c>
      <c r="I2043" s="1399">
        <v>-1903717</v>
      </c>
    </row>
    <row r="2044" spans="2:9">
      <c r="B2044" s="1297"/>
      <c r="C2044" s="1297"/>
      <c r="D2044" s="1297" t="s">
        <v>932</v>
      </c>
      <c r="H2044" s="1399">
        <v>3138114</v>
      </c>
      <c r="I2044" s="1399">
        <v>3138114</v>
      </c>
    </row>
    <row r="2045" spans="2:9">
      <c r="B2045" s="1297"/>
      <c r="C2045" s="1297"/>
      <c r="D2045" s="1297" t="s">
        <v>955</v>
      </c>
      <c r="H2045" s="1399">
        <v>1400357.93</v>
      </c>
      <c r="I2045" s="1399">
        <v>1400357.93</v>
      </c>
    </row>
    <row r="2046" spans="2:9">
      <c r="B2046" s="1297"/>
      <c r="C2046" s="1297"/>
      <c r="D2046" s="1297" t="s">
        <v>934</v>
      </c>
      <c r="H2046" s="1399">
        <v>78526</v>
      </c>
      <c r="I2046" s="1399">
        <v>78526</v>
      </c>
    </row>
    <row r="2047" spans="2:9">
      <c r="B2047" s="1297"/>
      <c r="C2047" s="1297"/>
      <c r="D2047" s="1297" t="s">
        <v>935</v>
      </c>
      <c r="H2047" s="1399">
        <v>916137.04</v>
      </c>
      <c r="I2047" s="1399">
        <v>916137.04</v>
      </c>
    </row>
    <row r="2048" spans="2:9">
      <c r="B2048" s="1297"/>
      <c r="C2048" s="1297"/>
      <c r="D2048" s="1297" t="s">
        <v>936</v>
      </c>
      <c r="H2048" s="1399">
        <v>80534.62</v>
      </c>
      <c r="I2048" s="1399">
        <v>80534.62</v>
      </c>
    </row>
    <row r="2049" spans="2:9">
      <c r="B2049" s="1297"/>
      <c r="C2049" s="1297"/>
      <c r="D2049" s="1297" t="s">
        <v>937</v>
      </c>
      <c r="H2049" s="1399">
        <v>28454.46</v>
      </c>
      <c r="I2049" s="1399">
        <v>28454.46</v>
      </c>
    </row>
    <row r="2050" spans="2:9">
      <c r="B2050" s="1297"/>
      <c r="C2050" s="1297"/>
      <c r="D2050" s="1297" t="s">
        <v>938</v>
      </c>
      <c r="H2050" s="1399">
        <v>23956</v>
      </c>
      <c r="I2050" s="1399">
        <v>23956</v>
      </c>
    </row>
    <row r="2051" spans="2:9">
      <c r="B2051" s="1297"/>
      <c r="C2051" s="1297"/>
      <c r="D2051" s="1297" t="s">
        <v>939</v>
      </c>
      <c r="H2051" s="1399">
        <v>199355.38</v>
      </c>
      <c r="I2051" s="1399">
        <v>199355.38</v>
      </c>
    </row>
    <row r="2052" spans="2:9">
      <c r="B2052" s="1297"/>
      <c r="C2052" s="1297"/>
      <c r="D2052" s="1297" t="s">
        <v>940</v>
      </c>
      <c r="E2052" s="1399">
        <v>1457702.2</v>
      </c>
      <c r="I2052" s="1399">
        <v>1457702.2</v>
      </c>
    </row>
    <row r="2053" spans="2:9">
      <c r="B2053" s="1297"/>
      <c r="C2053" s="1297"/>
      <c r="D2053" s="1297" t="s">
        <v>941</v>
      </c>
      <c r="E2053" s="1399">
        <v>513971.02</v>
      </c>
      <c r="I2053" s="1399">
        <v>513971.02</v>
      </c>
    </row>
    <row r="2054" spans="2:9">
      <c r="B2054" s="1297"/>
      <c r="C2054" s="1297"/>
      <c r="D2054" s="1297" t="s">
        <v>943</v>
      </c>
      <c r="E2054" s="1399">
        <v>2351.7199999999998</v>
      </c>
      <c r="I2054" s="1399">
        <v>2351.7199999999998</v>
      </c>
    </row>
    <row r="2055" spans="2:9">
      <c r="B2055" s="1297"/>
      <c r="C2055" s="1297"/>
      <c r="D2055" s="1297" t="s">
        <v>944</v>
      </c>
      <c r="E2055" s="1399">
        <v>3686233.38</v>
      </c>
      <c r="I2055" s="1399">
        <v>3686233.38</v>
      </c>
    </row>
    <row r="2056" spans="2:9">
      <c r="B2056" s="1297"/>
      <c r="C2056" s="1297"/>
      <c r="D2056" s="1297" t="s">
        <v>945</v>
      </c>
      <c r="E2056" s="1399">
        <v>3500059.7099999995</v>
      </c>
      <c r="I2056" s="1399">
        <v>3500059.7099999995</v>
      </c>
    </row>
    <row r="2057" spans="2:9">
      <c r="B2057" s="1297"/>
      <c r="C2057" s="1297"/>
      <c r="D2057" s="1297" t="s">
        <v>946</v>
      </c>
      <c r="E2057" s="1399">
        <v>715274.12</v>
      </c>
      <c r="I2057" s="1399">
        <v>715274.12</v>
      </c>
    </row>
    <row r="2058" spans="2:9">
      <c r="B2058" s="1297"/>
      <c r="C2058" s="1297"/>
      <c r="D2058" s="1297" t="s">
        <v>947</v>
      </c>
      <c r="E2058" s="1399">
        <v>183093.15</v>
      </c>
      <c r="I2058" s="1399">
        <v>183093.15</v>
      </c>
    </row>
    <row r="2059" spans="2:9">
      <c r="B2059" s="1297"/>
      <c r="C2059" s="1297"/>
      <c r="D2059" s="1297" t="s">
        <v>1115</v>
      </c>
      <c r="E2059" s="1399">
        <v>1171.8599999999999</v>
      </c>
      <c r="I2059" s="1399">
        <v>1171.8599999999999</v>
      </c>
    </row>
    <row r="2060" spans="2:9">
      <c r="B2060" s="1297"/>
      <c r="C2060" s="1297"/>
      <c r="D2060" s="1297" t="s">
        <v>948</v>
      </c>
      <c r="G2060" s="1399">
        <v>145361.19999999998</v>
      </c>
      <c r="I2060" s="1399">
        <v>145361.19999999998</v>
      </c>
    </row>
    <row r="2061" spans="2:9">
      <c r="B2061" s="1297"/>
      <c r="C2061" s="1400" t="s">
        <v>1309</v>
      </c>
      <c r="D2061" s="1400"/>
      <c r="E2061" s="1401">
        <v>10059857.159999998</v>
      </c>
      <c r="F2061" s="1401">
        <v>10556509.529999999</v>
      </c>
      <c r="G2061" s="1401">
        <v>145361.19999999998</v>
      </c>
      <c r="H2061" s="1401">
        <v>25662830.43</v>
      </c>
      <c r="I2061" s="1401">
        <v>46424558.320000008</v>
      </c>
    </row>
    <row r="2062" spans="2:9">
      <c r="B2062" s="1297" t="s">
        <v>1310</v>
      </c>
      <c r="C2062" s="1297" t="s">
        <v>1311</v>
      </c>
      <c r="D2062" s="1297" t="s">
        <v>906</v>
      </c>
      <c r="F2062" s="1399">
        <v>2858742.11</v>
      </c>
      <c r="I2062" s="1399">
        <v>2858742.11</v>
      </c>
    </row>
    <row r="2063" spans="2:9">
      <c r="B2063" s="1297"/>
      <c r="C2063" s="1297"/>
      <c r="D2063" s="1297" t="s">
        <v>952</v>
      </c>
      <c r="F2063" s="1399">
        <v>3453.24</v>
      </c>
      <c r="I2063" s="1399">
        <v>3453.24</v>
      </c>
    </row>
    <row r="2064" spans="2:9">
      <c r="B2064" s="1297"/>
      <c r="C2064" s="1297"/>
      <c r="D2064" s="1297" t="s">
        <v>907</v>
      </c>
      <c r="F2064" s="1399">
        <v>1329883.48</v>
      </c>
      <c r="I2064" s="1399">
        <v>1329883.48</v>
      </c>
    </row>
    <row r="2065" spans="2:9">
      <c r="B2065" s="1297"/>
      <c r="C2065" s="1297"/>
      <c r="D2065" s="1297" t="s">
        <v>908</v>
      </c>
      <c r="F2065" s="1399">
        <v>7288.74</v>
      </c>
      <c r="I2065" s="1399">
        <v>7288.74</v>
      </c>
    </row>
    <row r="2066" spans="2:9">
      <c r="B2066" s="1297"/>
      <c r="C2066" s="1297"/>
      <c r="D2066" s="1297" t="s">
        <v>909</v>
      </c>
      <c r="F2066" s="1399">
        <v>4608.63</v>
      </c>
      <c r="I2066" s="1399">
        <v>4608.63</v>
      </c>
    </row>
    <row r="2067" spans="2:9">
      <c r="B2067" s="1297"/>
      <c r="C2067" s="1297"/>
      <c r="D2067" s="1297" t="s">
        <v>1035</v>
      </c>
      <c r="F2067" s="1399">
        <v>43128.31</v>
      </c>
      <c r="I2067" s="1399">
        <v>43128.31</v>
      </c>
    </row>
    <row r="2068" spans="2:9">
      <c r="B2068" s="1297"/>
      <c r="C2068" s="1297"/>
      <c r="D2068" s="1297" t="s">
        <v>1036</v>
      </c>
      <c r="F2068" s="1399">
        <v>91547.35</v>
      </c>
      <c r="I2068" s="1399">
        <v>91547.35</v>
      </c>
    </row>
    <row r="2069" spans="2:9">
      <c r="B2069" s="1297"/>
      <c r="C2069" s="1297"/>
      <c r="D2069" s="1297" t="s">
        <v>1039</v>
      </c>
      <c r="F2069" s="1399">
        <v>32918.32</v>
      </c>
      <c r="I2069" s="1399">
        <v>32918.32</v>
      </c>
    </row>
    <row r="2070" spans="2:9">
      <c r="B2070" s="1297"/>
      <c r="C2070" s="1297"/>
      <c r="D2070" s="1297" t="s">
        <v>1040</v>
      </c>
      <c r="F2070" s="1399">
        <v>104804.38</v>
      </c>
      <c r="I2070" s="1399">
        <v>104804.38</v>
      </c>
    </row>
    <row r="2071" spans="2:9">
      <c r="B2071" s="1297"/>
      <c r="C2071" s="1297"/>
      <c r="D2071" s="1297" t="s">
        <v>1041</v>
      </c>
      <c r="F2071" s="1399">
        <v>42423.82</v>
      </c>
      <c r="I2071" s="1399">
        <v>42423.82</v>
      </c>
    </row>
    <row r="2072" spans="2:9">
      <c r="B2072" s="1297"/>
      <c r="C2072" s="1297"/>
      <c r="D2072" s="1297" t="s">
        <v>1042</v>
      </c>
      <c r="F2072" s="1399">
        <v>43511.01</v>
      </c>
      <c r="I2072" s="1399">
        <v>43511.01</v>
      </c>
    </row>
    <row r="2073" spans="2:9">
      <c r="B2073" s="1297"/>
      <c r="C2073" s="1297"/>
      <c r="D2073" s="1297" t="s">
        <v>986</v>
      </c>
      <c r="F2073" s="1399">
        <v>171617.33</v>
      </c>
      <c r="I2073" s="1399">
        <v>171617.33</v>
      </c>
    </row>
    <row r="2074" spans="2:9">
      <c r="B2074" s="1297"/>
      <c r="C2074" s="1297"/>
      <c r="D2074" s="1297" t="s">
        <v>1044</v>
      </c>
      <c r="F2074" s="1399">
        <v>101816.89</v>
      </c>
      <c r="I2074" s="1399">
        <v>101816.89</v>
      </c>
    </row>
    <row r="2075" spans="2:9">
      <c r="B2075" s="1297"/>
      <c r="C2075" s="1297"/>
      <c r="D2075" s="1297" t="s">
        <v>1045</v>
      </c>
      <c r="F2075" s="1399">
        <v>401149.99</v>
      </c>
      <c r="I2075" s="1399">
        <v>401149.99</v>
      </c>
    </row>
    <row r="2076" spans="2:9">
      <c r="B2076" s="1297"/>
      <c r="C2076" s="1297"/>
      <c r="D2076" s="1297" t="s">
        <v>1046</v>
      </c>
      <c r="H2076" s="1399">
        <v>10062172</v>
      </c>
      <c r="I2076" s="1399">
        <v>10062172</v>
      </c>
    </row>
    <row r="2077" spans="2:9">
      <c r="B2077" s="1297"/>
      <c r="C2077" s="1297"/>
      <c r="D2077" s="1297" t="s">
        <v>1129</v>
      </c>
      <c r="H2077" s="1399">
        <v>-1274377</v>
      </c>
      <c r="I2077" s="1399">
        <v>-1274377</v>
      </c>
    </row>
    <row r="2078" spans="2:9">
      <c r="B2078" s="1297"/>
      <c r="C2078" s="1297"/>
      <c r="D2078" s="1297" t="s">
        <v>1047</v>
      </c>
      <c r="H2078" s="1399">
        <v>303193</v>
      </c>
      <c r="I2078" s="1399">
        <v>303193</v>
      </c>
    </row>
    <row r="2079" spans="2:9">
      <c r="B2079" s="1297"/>
      <c r="C2079" s="1297"/>
      <c r="D2079" s="1297" t="s">
        <v>1048</v>
      </c>
      <c r="H2079" s="1399">
        <v>-1003724</v>
      </c>
      <c r="I2079" s="1399">
        <v>-1003724</v>
      </c>
    </row>
    <row r="2080" spans="2:9">
      <c r="B2080" s="1297"/>
      <c r="C2080" s="1297"/>
      <c r="D2080" s="1297" t="s">
        <v>932</v>
      </c>
      <c r="H2080" s="1399">
        <v>888317</v>
      </c>
      <c r="I2080" s="1399">
        <v>888317</v>
      </c>
    </row>
    <row r="2081" spans="2:9">
      <c r="B2081" s="1297"/>
      <c r="C2081" s="1297"/>
      <c r="D2081" s="1297" t="s">
        <v>934</v>
      </c>
      <c r="H2081" s="1399">
        <v>34198</v>
      </c>
      <c r="I2081" s="1399">
        <v>34198</v>
      </c>
    </row>
    <row r="2082" spans="2:9">
      <c r="B2082" s="1297"/>
      <c r="C2082" s="1297"/>
      <c r="D2082" s="1297" t="s">
        <v>935</v>
      </c>
      <c r="H2082" s="1399">
        <v>108154.66999999998</v>
      </c>
      <c r="I2082" s="1399">
        <v>108154.66999999998</v>
      </c>
    </row>
    <row r="2083" spans="2:9">
      <c r="B2083" s="1297"/>
      <c r="C2083" s="1297"/>
      <c r="D2083" s="1297" t="s">
        <v>936</v>
      </c>
      <c r="H2083" s="1399">
        <v>28712.34</v>
      </c>
      <c r="I2083" s="1399">
        <v>28712.34</v>
      </c>
    </row>
    <row r="2084" spans="2:9">
      <c r="B2084" s="1297"/>
      <c r="C2084" s="1297"/>
      <c r="D2084" s="1297" t="s">
        <v>937</v>
      </c>
      <c r="H2084" s="1399">
        <v>10095.58</v>
      </c>
      <c r="I2084" s="1399">
        <v>10095.58</v>
      </c>
    </row>
    <row r="2085" spans="2:9">
      <c r="B2085" s="1297"/>
      <c r="C2085" s="1297"/>
      <c r="D2085" s="1297" t="s">
        <v>938</v>
      </c>
      <c r="H2085" s="1399">
        <v>9171</v>
      </c>
      <c r="I2085" s="1399">
        <v>9171</v>
      </c>
    </row>
    <row r="2086" spans="2:9">
      <c r="B2086" s="1297"/>
      <c r="C2086" s="1297"/>
      <c r="D2086" s="1297" t="s">
        <v>939</v>
      </c>
      <c r="H2086" s="1399">
        <v>750668.3</v>
      </c>
      <c r="I2086" s="1399">
        <v>750668.3</v>
      </c>
    </row>
    <row r="2087" spans="2:9">
      <c r="B2087" s="1297"/>
      <c r="C2087" s="1297"/>
      <c r="D2087" s="1297" t="s">
        <v>940</v>
      </c>
      <c r="E2087" s="1399">
        <v>701126.72</v>
      </c>
      <c r="I2087" s="1399">
        <v>701126.72</v>
      </c>
    </row>
    <row r="2088" spans="2:9">
      <c r="B2088" s="1297"/>
      <c r="C2088" s="1297"/>
      <c r="D2088" s="1297" t="s">
        <v>941</v>
      </c>
      <c r="E2088" s="1399">
        <v>267825.14</v>
      </c>
      <c r="I2088" s="1399">
        <v>267825.14</v>
      </c>
    </row>
    <row r="2089" spans="2:9">
      <c r="B2089" s="1297"/>
      <c r="C2089" s="1297"/>
      <c r="D2089" s="1297" t="s">
        <v>943</v>
      </c>
      <c r="E2089" s="1399">
        <v>2085.3200000000002</v>
      </c>
      <c r="I2089" s="1399">
        <v>2085.3200000000002</v>
      </c>
    </row>
    <row r="2090" spans="2:9">
      <c r="B2090" s="1297"/>
      <c r="C2090" s="1297"/>
      <c r="D2090" s="1297" t="s">
        <v>944</v>
      </c>
      <c r="E2090" s="1399">
        <v>1802063.96</v>
      </c>
      <c r="I2090" s="1399">
        <v>1802063.96</v>
      </c>
    </row>
    <row r="2091" spans="2:9">
      <c r="B2091" s="1297"/>
      <c r="C2091" s="1297"/>
      <c r="D2091" s="1297" t="s">
        <v>945</v>
      </c>
      <c r="E2091" s="1399">
        <v>969903.33</v>
      </c>
      <c r="I2091" s="1399">
        <v>969903.33</v>
      </c>
    </row>
    <row r="2092" spans="2:9">
      <c r="B2092" s="1297"/>
      <c r="C2092" s="1297"/>
      <c r="D2092" s="1297" t="s">
        <v>947</v>
      </c>
      <c r="E2092" s="1399">
        <v>58428.02</v>
      </c>
      <c r="I2092" s="1399">
        <v>58428.02</v>
      </c>
    </row>
    <row r="2093" spans="2:9">
      <c r="B2093" s="1297"/>
      <c r="C2093" s="1297"/>
      <c r="D2093" s="1297" t="s">
        <v>948</v>
      </c>
      <c r="G2093" s="1399">
        <v>23094.01</v>
      </c>
      <c r="I2093" s="1399">
        <v>23094.01</v>
      </c>
    </row>
    <row r="2094" spans="2:9">
      <c r="B2094" s="1297"/>
      <c r="C2094" s="1400" t="s">
        <v>1312</v>
      </c>
      <c r="D2094" s="1400"/>
      <c r="E2094" s="1401">
        <v>3801432.4899999998</v>
      </c>
      <c r="F2094" s="1401">
        <v>5236893.5999999996</v>
      </c>
      <c r="G2094" s="1401">
        <v>23094.01</v>
      </c>
      <c r="H2094" s="1401">
        <v>9916580.8900000006</v>
      </c>
      <c r="I2094" s="1401">
        <v>18978000.990000002</v>
      </c>
    </row>
    <row r="2095" spans="2:9">
      <c r="B2095" s="1297" t="s">
        <v>1313</v>
      </c>
      <c r="C2095" s="1297" t="s">
        <v>1314</v>
      </c>
      <c r="D2095" s="1297" t="s">
        <v>906</v>
      </c>
      <c r="F2095" s="1399">
        <v>14413670.57</v>
      </c>
      <c r="I2095" s="1399">
        <v>14413670.57</v>
      </c>
    </row>
    <row r="2096" spans="2:9">
      <c r="B2096" s="1297"/>
      <c r="C2096" s="1297"/>
      <c r="D2096" s="1297" t="s">
        <v>952</v>
      </c>
      <c r="F2096" s="1399">
        <v>356665.37</v>
      </c>
      <c r="I2096" s="1399">
        <v>356665.37</v>
      </c>
    </row>
    <row r="2097" spans="2:9">
      <c r="B2097" s="1297"/>
      <c r="C2097" s="1297"/>
      <c r="D2097" s="1297" t="s">
        <v>907</v>
      </c>
      <c r="F2097" s="1399">
        <v>3430656.62</v>
      </c>
      <c r="I2097" s="1399">
        <v>3430656.62</v>
      </c>
    </row>
    <row r="2098" spans="2:9">
      <c r="B2098" s="1297"/>
      <c r="C2098" s="1297"/>
      <c r="D2098" s="1297" t="s">
        <v>908</v>
      </c>
      <c r="F2098" s="1399">
        <v>1125525.05</v>
      </c>
      <c r="I2098" s="1399">
        <v>1125525.05</v>
      </c>
    </row>
    <row r="2099" spans="2:9">
      <c r="B2099" s="1297"/>
      <c r="C2099" s="1297"/>
      <c r="D2099" s="1297" t="s">
        <v>1034</v>
      </c>
      <c r="F2099" s="1399">
        <v>137722.04999999999</v>
      </c>
      <c r="I2099" s="1399">
        <v>137722.04999999999</v>
      </c>
    </row>
    <row r="2100" spans="2:9">
      <c r="B2100" s="1297"/>
      <c r="C2100" s="1297"/>
      <c r="D2100" s="1297" t="s">
        <v>1035</v>
      </c>
      <c r="F2100" s="1399">
        <v>133306.45000000001</v>
      </c>
      <c r="I2100" s="1399">
        <v>133306.45000000001</v>
      </c>
    </row>
    <row r="2101" spans="2:9">
      <c r="B2101" s="1297"/>
      <c r="C2101" s="1297"/>
      <c r="D2101" s="1297" t="s">
        <v>1036</v>
      </c>
      <c r="F2101" s="1399">
        <v>117444.25</v>
      </c>
      <c r="I2101" s="1399">
        <v>117444.25</v>
      </c>
    </row>
    <row r="2102" spans="2:9">
      <c r="B2102" s="1297"/>
      <c r="C2102" s="1297"/>
      <c r="D2102" s="1297" t="s">
        <v>1039</v>
      </c>
      <c r="F2102" s="1399">
        <v>225263.34</v>
      </c>
      <c r="I2102" s="1399">
        <v>225263.34</v>
      </c>
    </row>
    <row r="2103" spans="2:9">
      <c r="B2103" s="1297"/>
      <c r="C2103" s="1297"/>
      <c r="D2103" s="1297" t="s">
        <v>1040</v>
      </c>
      <c r="F2103" s="1399">
        <v>252490.13</v>
      </c>
      <c r="I2103" s="1399">
        <v>252490.13</v>
      </c>
    </row>
    <row r="2104" spans="2:9">
      <c r="B2104" s="1297"/>
      <c r="C2104" s="1297"/>
      <c r="D2104" s="1297" t="s">
        <v>1041</v>
      </c>
      <c r="F2104" s="1399">
        <v>51662.67</v>
      </c>
      <c r="I2104" s="1399">
        <v>51662.67</v>
      </c>
    </row>
    <row r="2105" spans="2:9">
      <c r="B2105" s="1297"/>
      <c r="C2105" s="1297"/>
      <c r="D2105" s="1297" t="s">
        <v>1042</v>
      </c>
      <c r="F2105" s="1399">
        <v>49988.99</v>
      </c>
      <c r="I2105" s="1399">
        <v>49988.99</v>
      </c>
    </row>
    <row r="2106" spans="2:9">
      <c r="B2106" s="1297"/>
      <c r="C2106" s="1297"/>
      <c r="D2106" s="1297" t="s">
        <v>953</v>
      </c>
      <c r="F2106" s="1399">
        <v>21620.82</v>
      </c>
      <c r="I2106" s="1399">
        <v>21620.82</v>
      </c>
    </row>
    <row r="2107" spans="2:9">
      <c r="B2107" s="1297"/>
      <c r="C2107" s="1297"/>
      <c r="D2107" s="1297" t="s">
        <v>954</v>
      </c>
      <c r="F2107" s="1399">
        <v>63628.89</v>
      </c>
      <c r="I2107" s="1399">
        <v>63628.89</v>
      </c>
    </row>
    <row r="2108" spans="2:9">
      <c r="B2108" s="1297"/>
      <c r="C2108" s="1297"/>
      <c r="D2108" s="1297" t="s">
        <v>985</v>
      </c>
      <c r="F2108" s="1399">
        <v>11926</v>
      </c>
      <c r="I2108" s="1399">
        <v>11926</v>
      </c>
    </row>
    <row r="2109" spans="2:9">
      <c r="B2109" s="1297"/>
      <c r="C2109" s="1297"/>
      <c r="D2109" s="1297" t="s">
        <v>986</v>
      </c>
      <c r="F2109" s="1399">
        <v>168986.65000000002</v>
      </c>
      <c r="I2109" s="1399">
        <v>168986.65000000002</v>
      </c>
    </row>
    <row r="2110" spans="2:9">
      <c r="B2110" s="1297"/>
      <c r="C2110" s="1297"/>
      <c r="D2110" s="1297" t="s">
        <v>1045</v>
      </c>
      <c r="F2110" s="1399">
        <v>215810.65000000002</v>
      </c>
      <c r="I2110" s="1399">
        <v>215810.65000000002</v>
      </c>
    </row>
    <row r="2111" spans="2:9">
      <c r="B2111" s="1297"/>
      <c r="C2111" s="1297"/>
      <c r="D2111" s="1297" t="s">
        <v>1046</v>
      </c>
      <c r="H2111" s="1399">
        <v>18574588</v>
      </c>
      <c r="I2111" s="1399">
        <v>18574588</v>
      </c>
    </row>
    <row r="2112" spans="2:9">
      <c r="B2112" s="1297"/>
      <c r="C2112" s="1297"/>
      <c r="D2112" s="1297" t="s">
        <v>1129</v>
      </c>
      <c r="H2112" s="1399">
        <v>-2070055</v>
      </c>
      <c r="I2112" s="1399">
        <v>-2070055</v>
      </c>
    </row>
    <row r="2113" spans="2:9">
      <c r="B2113" s="1297"/>
      <c r="C2113" s="1297"/>
      <c r="D2113" s="1297" t="s">
        <v>1047</v>
      </c>
      <c r="H2113" s="1399">
        <v>561591</v>
      </c>
      <c r="I2113" s="1399">
        <v>561591</v>
      </c>
    </row>
    <row r="2114" spans="2:9">
      <c r="B2114" s="1297"/>
      <c r="C2114" s="1297"/>
      <c r="D2114" s="1297" t="s">
        <v>1048</v>
      </c>
      <c r="H2114" s="1399">
        <v>-4789754</v>
      </c>
      <c r="I2114" s="1399">
        <v>-4789754</v>
      </c>
    </row>
    <row r="2115" spans="2:9">
      <c r="B2115" s="1297"/>
      <c r="C2115" s="1297"/>
      <c r="D2115" s="1297" t="s">
        <v>934</v>
      </c>
      <c r="H2115" s="1399">
        <v>47258</v>
      </c>
      <c r="I2115" s="1399">
        <v>47258</v>
      </c>
    </row>
    <row r="2116" spans="2:9">
      <c r="B2116" s="1297"/>
      <c r="C2116" s="1297"/>
      <c r="D2116" s="1297" t="s">
        <v>935</v>
      </c>
      <c r="H2116" s="1399">
        <v>400613.9</v>
      </c>
      <c r="I2116" s="1399">
        <v>400613.9</v>
      </c>
    </row>
    <row r="2117" spans="2:9">
      <c r="B2117" s="1297"/>
      <c r="C2117" s="1297"/>
      <c r="D2117" s="1297" t="s">
        <v>936</v>
      </c>
      <c r="H2117" s="1399">
        <v>72831.31</v>
      </c>
      <c r="I2117" s="1399">
        <v>72831.31</v>
      </c>
    </row>
    <row r="2118" spans="2:9">
      <c r="B2118" s="1297"/>
      <c r="C2118" s="1297"/>
      <c r="D2118" s="1297" t="s">
        <v>937</v>
      </c>
      <c r="H2118" s="1399">
        <v>35788.160000000003</v>
      </c>
      <c r="I2118" s="1399">
        <v>35788.160000000003</v>
      </c>
    </row>
    <row r="2119" spans="2:9">
      <c r="B2119" s="1297"/>
      <c r="C2119" s="1297"/>
      <c r="D2119" s="1297" t="s">
        <v>938</v>
      </c>
      <c r="H2119" s="1399">
        <v>17967</v>
      </c>
      <c r="I2119" s="1399">
        <v>17967</v>
      </c>
    </row>
    <row r="2120" spans="2:9">
      <c r="B2120" s="1297"/>
      <c r="C2120" s="1297"/>
      <c r="D2120" s="1297" t="s">
        <v>940</v>
      </c>
      <c r="E2120" s="1399">
        <v>769878.86</v>
      </c>
      <c r="I2120" s="1399">
        <v>769878.86</v>
      </c>
    </row>
    <row r="2121" spans="2:9">
      <c r="B2121" s="1297"/>
      <c r="C2121" s="1297"/>
      <c r="D2121" s="1297" t="s">
        <v>941</v>
      </c>
      <c r="E2121" s="1399">
        <v>358299.32</v>
      </c>
      <c r="I2121" s="1399">
        <v>358299.32</v>
      </c>
    </row>
    <row r="2122" spans="2:9">
      <c r="B2122" s="1297"/>
      <c r="C2122" s="1297"/>
      <c r="D2122" s="1297" t="s">
        <v>944</v>
      </c>
      <c r="E2122" s="1399">
        <v>2002827.7999999998</v>
      </c>
      <c r="I2122" s="1399">
        <v>2002827.7999999998</v>
      </c>
    </row>
    <row r="2123" spans="2:9">
      <c r="B2123" s="1297"/>
      <c r="C2123" s="1297"/>
      <c r="D2123" s="1297" t="s">
        <v>945</v>
      </c>
      <c r="E2123" s="1399">
        <v>1269438.1000000001</v>
      </c>
      <c r="I2123" s="1399">
        <v>1269438.1000000001</v>
      </c>
    </row>
    <row r="2124" spans="2:9">
      <c r="B2124" s="1297"/>
      <c r="C2124" s="1297"/>
      <c r="D2124" s="1297" t="s">
        <v>1214</v>
      </c>
      <c r="E2124" s="1399">
        <v>0</v>
      </c>
      <c r="I2124" s="1399">
        <v>0</v>
      </c>
    </row>
    <row r="2125" spans="2:9">
      <c r="B2125" s="1297"/>
      <c r="C2125" s="1297"/>
      <c r="D2125" s="1297" t="s">
        <v>947</v>
      </c>
      <c r="E2125" s="1399">
        <v>86131.64</v>
      </c>
      <c r="I2125" s="1399">
        <v>86131.64</v>
      </c>
    </row>
    <row r="2126" spans="2:9">
      <c r="B2126" s="1297"/>
      <c r="C2126" s="1297"/>
      <c r="D2126" s="1297" t="s">
        <v>948</v>
      </c>
      <c r="G2126" s="1399">
        <v>5171646.76</v>
      </c>
      <c r="I2126" s="1399">
        <v>5171646.76</v>
      </c>
    </row>
    <row r="2127" spans="2:9">
      <c r="B2127" s="1297"/>
      <c r="C2127" s="1400" t="s">
        <v>1315</v>
      </c>
      <c r="D2127" s="1400"/>
      <c r="E2127" s="1401">
        <v>4486575.72</v>
      </c>
      <c r="F2127" s="1401">
        <v>20776368.499999996</v>
      </c>
      <c r="G2127" s="1401">
        <v>5171646.76</v>
      </c>
      <c r="H2127" s="1401">
        <v>12850828.370000001</v>
      </c>
      <c r="I2127" s="1401">
        <v>43285419.349999994</v>
      </c>
    </row>
    <row r="2128" spans="2:9">
      <c r="B2128" s="1297" t="s">
        <v>1316</v>
      </c>
      <c r="C2128" s="1297" t="s">
        <v>1317</v>
      </c>
      <c r="D2128" s="1297" t="s">
        <v>906</v>
      </c>
      <c r="F2128" s="1399">
        <v>102059055.41</v>
      </c>
      <c r="I2128" s="1399">
        <v>102059055.41</v>
      </c>
    </row>
    <row r="2129" spans="2:9">
      <c r="B2129" s="1297"/>
      <c r="C2129" s="1297"/>
      <c r="D2129" s="1297" t="s">
        <v>907</v>
      </c>
      <c r="F2129" s="1399">
        <v>18620275.280000001</v>
      </c>
      <c r="I2129" s="1399">
        <v>18620275.280000001</v>
      </c>
    </row>
    <row r="2130" spans="2:9">
      <c r="B2130" s="1297"/>
      <c r="C2130" s="1297"/>
      <c r="D2130" s="1297" t="s">
        <v>1039</v>
      </c>
      <c r="F2130" s="1399">
        <v>108536.70999999999</v>
      </c>
      <c r="I2130" s="1399">
        <v>108536.70999999999</v>
      </c>
    </row>
    <row r="2131" spans="2:9">
      <c r="B2131" s="1297"/>
      <c r="C2131" s="1297"/>
      <c r="D2131" s="1297" t="s">
        <v>1040</v>
      </c>
      <c r="F2131" s="1399">
        <v>3070322.27</v>
      </c>
      <c r="I2131" s="1399">
        <v>3070322.27</v>
      </c>
    </row>
    <row r="2132" spans="2:9">
      <c r="B2132" s="1297"/>
      <c r="C2132" s="1297"/>
      <c r="D2132" s="1297" t="s">
        <v>1127</v>
      </c>
      <c r="F2132" s="1399">
        <v>171.35</v>
      </c>
      <c r="I2132" s="1399">
        <v>171.35</v>
      </c>
    </row>
    <row r="2133" spans="2:9">
      <c r="B2133" s="1297"/>
      <c r="C2133" s="1297"/>
      <c r="D2133" s="1297" t="s">
        <v>1041</v>
      </c>
      <c r="F2133" s="1399">
        <v>630105.88</v>
      </c>
      <c r="I2133" s="1399">
        <v>630105.88</v>
      </c>
    </row>
    <row r="2134" spans="2:9">
      <c r="B2134" s="1297"/>
      <c r="C2134" s="1297"/>
      <c r="D2134" s="1297" t="s">
        <v>1042</v>
      </c>
      <c r="F2134" s="1399">
        <v>221677.51</v>
      </c>
      <c r="I2134" s="1399">
        <v>221677.51</v>
      </c>
    </row>
    <row r="2135" spans="2:9">
      <c r="B2135" s="1297"/>
      <c r="C2135" s="1297"/>
      <c r="D2135" s="1297" t="s">
        <v>1045</v>
      </c>
      <c r="F2135" s="1399">
        <v>11214468.359999999</v>
      </c>
      <c r="I2135" s="1399">
        <v>11214468.359999999</v>
      </c>
    </row>
    <row r="2136" spans="2:9">
      <c r="B2136" s="1297"/>
      <c r="C2136" s="1297"/>
      <c r="D2136" s="1297" t="s">
        <v>1046</v>
      </c>
      <c r="H2136" s="1399">
        <v>120920996</v>
      </c>
      <c r="I2136" s="1399">
        <v>120920996</v>
      </c>
    </row>
    <row r="2137" spans="2:9">
      <c r="B2137" s="1297"/>
      <c r="C2137" s="1297"/>
      <c r="D2137" s="1297" t="s">
        <v>1129</v>
      </c>
      <c r="H2137" s="1399">
        <v>-14432172</v>
      </c>
      <c r="I2137" s="1399">
        <v>-14432172</v>
      </c>
    </row>
    <row r="2138" spans="2:9">
      <c r="B2138" s="1297"/>
      <c r="C2138" s="1297"/>
      <c r="D2138" s="1297" t="s">
        <v>1047</v>
      </c>
      <c r="H2138" s="1399">
        <v>1728212</v>
      </c>
      <c r="I2138" s="1399">
        <v>1728212</v>
      </c>
    </row>
    <row r="2139" spans="2:9">
      <c r="B2139" s="1297"/>
      <c r="C2139" s="1297"/>
      <c r="D2139" s="1297" t="s">
        <v>1048</v>
      </c>
      <c r="H2139" s="1399">
        <v>-24913965</v>
      </c>
      <c r="I2139" s="1399">
        <v>-24913965</v>
      </c>
    </row>
    <row r="2140" spans="2:9">
      <c r="B2140" s="1297"/>
      <c r="C2140" s="1297"/>
      <c r="D2140" s="1297" t="s">
        <v>933</v>
      </c>
      <c r="H2140" s="1399">
        <v>790036.84</v>
      </c>
      <c r="I2140" s="1399">
        <v>790036.84</v>
      </c>
    </row>
    <row r="2141" spans="2:9">
      <c r="B2141" s="1297"/>
      <c r="C2141" s="1297"/>
      <c r="D2141" s="1297" t="s">
        <v>934</v>
      </c>
      <c r="H2141" s="1399">
        <v>206462</v>
      </c>
      <c r="I2141" s="1399">
        <v>206462</v>
      </c>
    </row>
    <row r="2142" spans="2:9">
      <c r="B2142" s="1297"/>
      <c r="C2142" s="1297"/>
      <c r="D2142" s="1297" t="s">
        <v>935</v>
      </c>
      <c r="H2142" s="1399">
        <v>953058.46</v>
      </c>
      <c r="I2142" s="1399">
        <v>953058.46</v>
      </c>
    </row>
    <row r="2143" spans="2:9">
      <c r="B2143" s="1297"/>
      <c r="C2143" s="1297"/>
      <c r="D2143" s="1297" t="s">
        <v>936</v>
      </c>
      <c r="H2143" s="1399">
        <v>335444.21000000002</v>
      </c>
      <c r="I2143" s="1399">
        <v>335444.21000000002</v>
      </c>
    </row>
    <row r="2144" spans="2:9">
      <c r="B2144" s="1297"/>
      <c r="C2144" s="1297"/>
      <c r="D2144" s="1297" t="s">
        <v>937</v>
      </c>
      <c r="H2144" s="1399">
        <v>169171</v>
      </c>
      <c r="I2144" s="1399">
        <v>169171</v>
      </c>
    </row>
    <row r="2145" spans="2:9">
      <c r="B2145" s="1297"/>
      <c r="C2145" s="1297"/>
      <c r="D2145" s="1297" t="s">
        <v>938</v>
      </c>
      <c r="H2145" s="1399">
        <v>81227</v>
      </c>
      <c r="I2145" s="1399">
        <v>81227</v>
      </c>
    </row>
    <row r="2146" spans="2:9">
      <c r="B2146" s="1297"/>
      <c r="C2146" s="1297"/>
      <c r="D2146" s="1297" t="s">
        <v>939</v>
      </c>
      <c r="H2146" s="1399">
        <v>797869.57</v>
      </c>
      <c r="I2146" s="1399">
        <v>797869.57</v>
      </c>
    </row>
    <row r="2147" spans="2:9">
      <c r="B2147" s="1297"/>
      <c r="C2147" s="1297"/>
      <c r="D2147" s="1297" t="s">
        <v>940</v>
      </c>
      <c r="E2147" s="1399">
        <v>1971402.88</v>
      </c>
      <c r="I2147" s="1399">
        <v>1971402.88</v>
      </c>
    </row>
    <row r="2148" spans="2:9">
      <c r="B2148" s="1297"/>
      <c r="C2148" s="1297"/>
      <c r="D2148" s="1297" t="s">
        <v>941</v>
      </c>
      <c r="E2148" s="1399">
        <v>218184.28</v>
      </c>
      <c r="I2148" s="1399">
        <v>218184.28</v>
      </c>
    </row>
    <row r="2149" spans="2:9">
      <c r="B2149" s="1297"/>
      <c r="C2149" s="1297"/>
      <c r="D2149" s="1297" t="s">
        <v>943</v>
      </c>
      <c r="E2149" s="1399">
        <v>28033.73</v>
      </c>
      <c r="I2149" s="1399">
        <v>28033.73</v>
      </c>
    </row>
    <row r="2150" spans="2:9">
      <c r="B2150" s="1297"/>
      <c r="C2150" s="1297"/>
      <c r="D2150" s="1297" t="s">
        <v>944</v>
      </c>
      <c r="E2150" s="1399">
        <v>5439025.330000001</v>
      </c>
      <c r="I2150" s="1399">
        <v>5439025.330000001</v>
      </c>
    </row>
    <row r="2151" spans="2:9">
      <c r="B2151" s="1297"/>
      <c r="C2151" s="1297"/>
      <c r="D2151" s="1297" t="s">
        <v>945</v>
      </c>
      <c r="E2151" s="1399">
        <v>6039085.1200000001</v>
      </c>
      <c r="I2151" s="1399">
        <v>6039085.1200000001</v>
      </c>
    </row>
    <row r="2152" spans="2:9">
      <c r="B2152" s="1297"/>
      <c r="C2152" s="1297"/>
      <c r="D2152" s="1297" t="s">
        <v>946</v>
      </c>
      <c r="E2152" s="1399">
        <v>858477.74</v>
      </c>
      <c r="I2152" s="1399">
        <v>858477.74</v>
      </c>
    </row>
    <row r="2153" spans="2:9">
      <c r="B2153" s="1297"/>
      <c r="C2153" s="1297"/>
      <c r="D2153" s="1297" t="s">
        <v>947</v>
      </c>
      <c r="E2153" s="1399">
        <v>418757.1</v>
      </c>
      <c r="I2153" s="1399">
        <v>418757.1</v>
      </c>
    </row>
    <row r="2154" spans="2:9">
      <c r="B2154" s="1297"/>
      <c r="C2154" s="1297"/>
      <c r="D2154" s="1297" t="s">
        <v>948</v>
      </c>
      <c r="G2154" s="1399">
        <v>10940930.309999999</v>
      </c>
      <c r="I2154" s="1399">
        <v>10940930.309999999</v>
      </c>
    </row>
    <row r="2155" spans="2:9">
      <c r="B2155" s="1297"/>
      <c r="C2155" s="1400" t="s">
        <v>1318</v>
      </c>
      <c r="D2155" s="1400"/>
      <c r="E2155" s="1401">
        <v>14972966.18</v>
      </c>
      <c r="F2155" s="1401">
        <v>135924612.76999998</v>
      </c>
      <c r="G2155" s="1401">
        <v>10940930.309999999</v>
      </c>
      <c r="H2155" s="1401">
        <v>86636340.079999983</v>
      </c>
      <c r="I2155" s="1401">
        <v>248474849.34</v>
      </c>
    </row>
    <row r="2156" spans="2:9">
      <c r="B2156" s="1297" t="s">
        <v>1319</v>
      </c>
      <c r="C2156" s="1297" t="s">
        <v>1320</v>
      </c>
      <c r="D2156" s="1297" t="s">
        <v>906</v>
      </c>
      <c r="F2156" s="1399">
        <v>31556951.27</v>
      </c>
      <c r="I2156" s="1399">
        <v>31556951.27</v>
      </c>
    </row>
    <row r="2157" spans="2:9">
      <c r="B2157" s="1297"/>
      <c r="C2157" s="1297"/>
      <c r="D2157" s="1297" t="s">
        <v>952</v>
      </c>
      <c r="F2157" s="1399">
        <v>363285.72</v>
      </c>
      <c r="I2157" s="1399">
        <v>363285.72</v>
      </c>
    </row>
    <row r="2158" spans="2:9">
      <c r="B2158" s="1297"/>
      <c r="C2158" s="1297"/>
      <c r="D2158" s="1297" t="s">
        <v>907</v>
      </c>
      <c r="F2158" s="1399">
        <v>9554879.9699999988</v>
      </c>
      <c r="I2158" s="1399">
        <v>9554879.9699999988</v>
      </c>
    </row>
    <row r="2159" spans="2:9">
      <c r="B2159" s="1297"/>
      <c r="C2159" s="1297"/>
      <c r="D2159" s="1297" t="s">
        <v>908</v>
      </c>
      <c r="F2159" s="1399">
        <v>40904.29</v>
      </c>
      <c r="I2159" s="1399">
        <v>40904.29</v>
      </c>
    </row>
    <row r="2160" spans="2:9">
      <c r="B2160" s="1297"/>
      <c r="C2160" s="1297"/>
      <c r="D2160" s="1297" t="s">
        <v>909</v>
      </c>
      <c r="F2160" s="1399">
        <v>156870.99</v>
      </c>
      <c r="I2160" s="1399">
        <v>156870.99</v>
      </c>
    </row>
    <row r="2161" spans="2:9">
      <c r="B2161" s="1297"/>
      <c r="C2161" s="1297"/>
      <c r="D2161" s="1297" t="s">
        <v>910</v>
      </c>
      <c r="F2161" s="1399">
        <v>515959.05999999988</v>
      </c>
      <c r="I2161" s="1399">
        <v>515959.05999999988</v>
      </c>
    </row>
    <row r="2162" spans="2:9">
      <c r="B2162" s="1297"/>
      <c r="C2162" s="1297"/>
      <c r="D2162" s="1297" t="s">
        <v>1034</v>
      </c>
      <c r="F2162" s="1399">
        <v>499574.70999999996</v>
      </c>
      <c r="I2162" s="1399">
        <v>499574.70999999996</v>
      </c>
    </row>
    <row r="2163" spans="2:9">
      <c r="B2163" s="1297"/>
      <c r="C2163" s="1297"/>
      <c r="D2163" s="1297" t="s">
        <v>1035</v>
      </c>
      <c r="F2163" s="1399">
        <v>1483520.1699999997</v>
      </c>
      <c r="I2163" s="1399">
        <v>1483520.1699999997</v>
      </c>
    </row>
    <row r="2164" spans="2:9">
      <c r="B2164" s="1297"/>
      <c r="C2164" s="1297"/>
      <c r="D2164" s="1297" t="s">
        <v>1036</v>
      </c>
      <c r="F2164" s="1399">
        <v>372051.87</v>
      </c>
      <c r="I2164" s="1399">
        <v>372051.87</v>
      </c>
    </row>
    <row r="2165" spans="2:9">
      <c r="B2165" s="1297"/>
      <c r="C2165" s="1297"/>
      <c r="D2165" s="1297" t="s">
        <v>1037</v>
      </c>
      <c r="F2165" s="1399">
        <v>222991.55000000002</v>
      </c>
      <c r="I2165" s="1399">
        <v>222991.55000000002</v>
      </c>
    </row>
    <row r="2166" spans="2:9">
      <c r="B2166" s="1297"/>
      <c r="C2166" s="1297"/>
      <c r="D2166" s="1297" t="s">
        <v>1038</v>
      </c>
      <c r="F2166" s="1399">
        <v>86534.66</v>
      </c>
      <c r="I2166" s="1399">
        <v>86534.66</v>
      </c>
    </row>
    <row r="2167" spans="2:9">
      <c r="B2167" s="1297"/>
      <c r="C2167" s="1297"/>
      <c r="D2167" s="1297" t="s">
        <v>1003</v>
      </c>
      <c r="F2167" s="1399">
        <v>33369.01</v>
      </c>
      <c r="I2167" s="1399">
        <v>33369.01</v>
      </c>
    </row>
    <row r="2168" spans="2:9">
      <c r="B2168" s="1297"/>
      <c r="C2168" s="1297"/>
      <c r="D2168" s="1297" t="s">
        <v>1039</v>
      </c>
      <c r="F2168" s="1399">
        <v>106393.53000000003</v>
      </c>
      <c r="I2168" s="1399">
        <v>106393.53000000003</v>
      </c>
    </row>
    <row r="2169" spans="2:9">
      <c r="B2169" s="1297"/>
      <c r="C2169" s="1297"/>
      <c r="D2169" s="1297" t="s">
        <v>1040</v>
      </c>
      <c r="F2169" s="1399">
        <v>965727.77</v>
      </c>
      <c r="I2169" s="1399">
        <v>965727.77</v>
      </c>
    </row>
    <row r="2170" spans="2:9">
      <c r="B2170" s="1297"/>
      <c r="C2170" s="1297"/>
      <c r="D2170" s="1297" t="s">
        <v>1041</v>
      </c>
      <c r="F2170" s="1399">
        <v>443899.65</v>
      </c>
      <c r="I2170" s="1399">
        <v>443899.65</v>
      </c>
    </row>
    <row r="2171" spans="2:9">
      <c r="B2171" s="1297"/>
      <c r="C2171" s="1297"/>
      <c r="D2171" s="1297" t="s">
        <v>1042</v>
      </c>
      <c r="F2171" s="1399">
        <v>152522.54999999996</v>
      </c>
      <c r="I2171" s="1399">
        <v>152522.54999999996</v>
      </c>
    </row>
    <row r="2172" spans="2:9">
      <c r="B2172" s="1297"/>
      <c r="C2172" s="1297"/>
      <c r="D2172" s="1297" t="s">
        <v>986</v>
      </c>
      <c r="F2172" s="1399">
        <v>21399.37</v>
      </c>
      <c r="I2172" s="1399">
        <v>21399.37</v>
      </c>
    </row>
    <row r="2173" spans="2:9">
      <c r="B2173" s="1297"/>
      <c r="C2173" s="1297"/>
      <c r="D2173" s="1297" t="s">
        <v>996</v>
      </c>
      <c r="F2173" s="1399">
        <v>120805.8</v>
      </c>
      <c r="I2173" s="1399">
        <v>120805.8</v>
      </c>
    </row>
    <row r="2174" spans="2:9">
      <c r="B2174" s="1297"/>
      <c r="C2174" s="1297"/>
      <c r="D2174" s="1297" t="s">
        <v>1044</v>
      </c>
      <c r="F2174" s="1399">
        <v>104366.29</v>
      </c>
      <c r="I2174" s="1399">
        <v>104366.29</v>
      </c>
    </row>
    <row r="2175" spans="2:9">
      <c r="B2175" s="1297"/>
      <c r="C2175" s="1297"/>
      <c r="D2175" s="1297" t="s">
        <v>1045</v>
      </c>
      <c r="F2175" s="1399">
        <v>1030689.0900000001</v>
      </c>
      <c r="I2175" s="1399">
        <v>1030689.0900000001</v>
      </c>
    </row>
    <row r="2176" spans="2:9">
      <c r="B2176" s="1297"/>
      <c r="C2176" s="1297"/>
      <c r="D2176" s="1297" t="s">
        <v>1046</v>
      </c>
      <c r="H2176" s="1399">
        <v>63084283</v>
      </c>
      <c r="I2176" s="1399">
        <v>63084283</v>
      </c>
    </row>
    <row r="2177" spans="2:9">
      <c r="B2177" s="1297"/>
      <c r="C2177" s="1297"/>
      <c r="D2177" s="1297" t="s">
        <v>1128</v>
      </c>
      <c r="H2177" s="1399">
        <v>4423047</v>
      </c>
      <c r="I2177" s="1399">
        <v>4423047</v>
      </c>
    </row>
    <row r="2178" spans="2:9">
      <c r="B2178" s="1297"/>
      <c r="C2178" s="1297"/>
      <c r="D2178" s="1297" t="s">
        <v>1129</v>
      </c>
      <c r="H2178" s="1399">
        <v>-8522354</v>
      </c>
      <c r="I2178" s="1399">
        <v>-8522354</v>
      </c>
    </row>
    <row r="2179" spans="2:9">
      <c r="B2179" s="1297"/>
      <c r="C2179" s="1297"/>
      <c r="D2179" s="1297" t="s">
        <v>1047</v>
      </c>
      <c r="H2179" s="1399">
        <v>1445244</v>
      </c>
      <c r="I2179" s="1399">
        <v>1445244</v>
      </c>
    </row>
    <row r="2180" spans="2:9">
      <c r="B2180" s="1297"/>
      <c r="C2180" s="1297"/>
      <c r="D2180" s="1297" t="s">
        <v>1048</v>
      </c>
      <c r="H2180" s="1399">
        <v>-7762129</v>
      </c>
      <c r="I2180" s="1399">
        <v>-7762129</v>
      </c>
    </row>
    <row r="2181" spans="2:9">
      <c r="B2181" s="1297"/>
      <c r="C2181" s="1297"/>
      <c r="D2181" s="1297" t="s">
        <v>932</v>
      </c>
      <c r="H2181" s="1399">
        <v>6607324</v>
      </c>
      <c r="I2181" s="1399">
        <v>6607324</v>
      </c>
    </row>
    <row r="2182" spans="2:9">
      <c r="B2182" s="1297"/>
      <c r="C2182" s="1297"/>
      <c r="D2182" s="1297" t="s">
        <v>955</v>
      </c>
      <c r="H2182" s="1399">
        <v>1802635.58</v>
      </c>
      <c r="I2182" s="1399">
        <v>1802635.58</v>
      </c>
    </row>
    <row r="2183" spans="2:9">
      <c r="B2183" s="1297"/>
      <c r="C2183" s="1297"/>
      <c r="D2183" s="1297" t="s">
        <v>934</v>
      </c>
      <c r="H2183" s="1399">
        <v>167020</v>
      </c>
      <c r="I2183" s="1399">
        <v>167020</v>
      </c>
    </row>
    <row r="2184" spans="2:9">
      <c r="B2184" s="1297"/>
      <c r="C2184" s="1297"/>
      <c r="D2184" s="1297" t="s">
        <v>1130</v>
      </c>
      <c r="H2184" s="1399">
        <v>805546</v>
      </c>
      <c r="I2184" s="1399">
        <v>805546</v>
      </c>
    </row>
    <row r="2185" spans="2:9">
      <c r="B2185" s="1297"/>
      <c r="C2185" s="1297"/>
      <c r="D2185" s="1297" t="s">
        <v>935</v>
      </c>
      <c r="H2185" s="1399">
        <v>1159050.83</v>
      </c>
      <c r="I2185" s="1399">
        <v>1159050.83</v>
      </c>
    </row>
    <row r="2186" spans="2:9">
      <c r="B2186" s="1297"/>
      <c r="C2186" s="1297"/>
      <c r="D2186" s="1297" t="s">
        <v>936</v>
      </c>
      <c r="H2186" s="1399">
        <v>181728.13</v>
      </c>
      <c r="I2186" s="1399">
        <v>181728.13</v>
      </c>
    </row>
    <row r="2187" spans="2:9">
      <c r="B2187" s="1297"/>
      <c r="C2187" s="1297"/>
      <c r="D2187" s="1297" t="s">
        <v>937</v>
      </c>
      <c r="H2187" s="1399">
        <v>30782.52</v>
      </c>
      <c r="I2187" s="1399">
        <v>30782.52</v>
      </c>
    </row>
    <row r="2188" spans="2:9">
      <c r="B2188" s="1297"/>
      <c r="C2188" s="1297"/>
      <c r="D2188" s="1297" t="s">
        <v>938</v>
      </c>
      <c r="H2188" s="1399">
        <v>43982</v>
      </c>
      <c r="I2188" s="1399">
        <v>43982</v>
      </c>
    </row>
    <row r="2189" spans="2:9">
      <c r="B2189" s="1297"/>
      <c r="C2189" s="1297"/>
      <c r="D2189" s="1297" t="s">
        <v>939</v>
      </c>
      <c r="H2189" s="1399">
        <v>25658</v>
      </c>
      <c r="I2189" s="1399">
        <v>25658</v>
      </c>
    </row>
    <row r="2190" spans="2:9">
      <c r="B2190" s="1297"/>
      <c r="C2190" s="1297"/>
      <c r="D2190" s="1297" t="s">
        <v>940</v>
      </c>
      <c r="E2190" s="1399">
        <v>2370089.7399999998</v>
      </c>
      <c r="I2190" s="1399">
        <v>2370089.7399999998</v>
      </c>
    </row>
    <row r="2191" spans="2:9">
      <c r="B2191" s="1297"/>
      <c r="C2191" s="1297"/>
      <c r="D2191" s="1297" t="s">
        <v>941</v>
      </c>
      <c r="E2191" s="1399">
        <v>770609.40000000014</v>
      </c>
      <c r="I2191" s="1399">
        <v>770609.40000000014</v>
      </c>
    </row>
    <row r="2192" spans="2:9">
      <c r="B2192" s="1297"/>
      <c r="C2192" s="1297"/>
      <c r="D2192" s="1297" t="s">
        <v>943</v>
      </c>
      <c r="E2192" s="1399">
        <v>44459.94</v>
      </c>
      <c r="I2192" s="1399">
        <v>44459.94</v>
      </c>
    </row>
    <row r="2193" spans="2:9">
      <c r="B2193" s="1297"/>
      <c r="C2193" s="1297"/>
      <c r="D2193" s="1297" t="s">
        <v>944</v>
      </c>
      <c r="E2193" s="1399">
        <v>5383241.3500000006</v>
      </c>
      <c r="I2193" s="1399">
        <v>5383241.3500000006</v>
      </c>
    </row>
    <row r="2194" spans="2:9">
      <c r="B2194" s="1297"/>
      <c r="C2194" s="1297"/>
      <c r="D2194" s="1297" t="s">
        <v>945</v>
      </c>
      <c r="E2194" s="1399">
        <v>4177780.05</v>
      </c>
      <c r="I2194" s="1399">
        <v>4177780.05</v>
      </c>
    </row>
    <row r="2195" spans="2:9">
      <c r="B2195" s="1297"/>
      <c r="C2195" s="1297"/>
      <c r="D2195" s="1297" t="s">
        <v>946</v>
      </c>
      <c r="E2195" s="1399">
        <v>4776.6899999999996</v>
      </c>
      <c r="I2195" s="1399">
        <v>4776.6899999999996</v>
      </c>
    </row>
    <row r="2196" spans="2:9">
      <c r="B2196" s="1297"/>
      <c r="C2196" s="1297"/>
      <c r="D2196" s="1297" t="s">
        <v>947</v>
      </c>
      <c r="E2196" s="1399">
        <v>496006.40999999992</v>
      </c>
      <c r="I2196" s="1399">
        <v>496006.40999999992</v>
      </c>
    </row>
    <row r="2197" spans="2:9">
      <c r="B2197" s="1297"/>
      <c r="C2197" s="1297"/>
      <c r="D2197" s="1297" t="s">
        <v>1115</v>
      </c>
      <c r="E2197" s="1399">
        <v>646929.5</v>
      </c>
      <c r="I2197" s="1399">
        <v>646929.5</v>
      </c>
    </row>
    <row r="2198" spans="2:9">
      <c r="B2198" s="1297"/>
      <c r="C2198" s="1297"/>
      <c r="D2198" s="1297" t="s">
        <v>948</v>
      </c>
      <c r="G2198" s="1399">
        <v>11896077.01</v>
      </c>
      <c r="I2198" s="1399">
        <v>11896077.01</v>
      </c>
    </row>
    <row r="2199" spans="2:9">
      <c r="B2199" s="1297"/>
      <c r="C2199" s="1297"/>
      <c r="D2199" s="1297" t="s">
        <v>956</v>
      </c>
      <c r="G2199" s="1399">
        <v>272390.81000000006</v>
      </c>
      <c r="I2199" s="1399">
        <v>272390.81000000006</v>
      </c>
    </row>
    <row r="2200" spans="2:9">
      <c r="B2200" s="1297"/>
      <c r="C2200" s="1400" t="s">
        <v>1321</v>
      </c>
      <c r="D2200" s="1400"/>
      <c r="E2200" s="1401">
        <v>13893893.08</v>
      </c>
      <c r="F2200" s="1401">
        <v>47832697.319999985</v>
      </c>
      <c r="G2200" s="1401">
        <v>12168467.82</v>
      </c>
      <c r="H2200" s="1401">
        <v>63491818.060000002</v>
      </c>
      <c r="I2200" s="1401">
        <v>137386876.27999997</v>
      </c>
    </row>
    <row r="2201" spans="2:9">
      <c r="B2201" s="1297" t="s">
        <v>1322</v>
      </c>
      <c r="C2201" s="1297" t="s">
        <v>1323</v>
      </c>
      <c r="D2201" s="1297" t="s">
        <v>906</v>
      </c>
      <c r="F2201" s="1399">
        <v>141862011.48000002</v>
      </c>
      <c r="I2201" s="1399">
        <v>141862011.48000002</v>
      </c>
    </row>
    <row r="2202" spans="2:9">
      <c r="B2202" s="1297"/>
      <c r="C2202" s="1297"/>
      <c r="D2202" s="1297" t="s">
        <v>907</v>
      </c>
      <c r="F2202" s="1399">
        <v>27759501.399999999</v>
      </c>
      <c r="I2202" s="1399">
        <v>27759501.399999999</v>
      </c>
    </row>
    <row r="2203" spans="2:9">
      <c r="B2203" s="1297"/>
      <c r="C2203" s="1297"/>
      <c r="D2203" s="1297" t="s">
        <v>908</v>
      </c>
      <c r="F2203" s="1399">
        <v>3673486.78</v>
      </c>
      <c r="I2203" s="1399">
        <v>3673486.78</v>
      </c>
    </row>
    <row r="2204" spans="2:9">
      <c r="B2204" s="1297"/>
      <c r="C2204" s="1297"/>
      <c r="D2204" s="1297" t="s">
        <v>909</v>
      </c>
      <c r="F2204" s="1399">
        <v>65308.78</v>
      </c>
      <c r="I2204" s="1399">
        <v>65308.78</v>
      </c>
    </row>
    <row r="2205" spans="2:9">
      <c r="B2205" s="1297"/>
      <c r="C2205" s="1297"/>
      <c r="D2205" s="1297" t="s">
        <v>1035</v>
      </c>
      <c r="F2205" s="1399">
        <v>1701136.86</v>
      </c>
      <c r="I2205" s="1399">
        <v>1701136.86</v>
      </c>
    </row>
    <row r="2206" spans="2:9">
      <c r="B2206" s="1297"/>
      <c r="C2206" s="1297"/>
      <c r="D2206" s="1297" t="s">
        <v>1036</v>
      </c>
      <c r="F2206" s="1399">
        <v>1097744.22</v>
      </c>
      <c r="I2206" s="1399">
        <v>1097744.22</v>
      </c>
    </row>
    <row r="2207" spans="2:9">
      <c r="B2207" s="1297"/>
      <c r="C2207" s="1297"/>
      <c r="D2207" s="1297" t="s">
        <v>1037</v>
      </c>
      <c r="F2207" s="1399">
        <v>199164.5</v>
      </c>
      <c r="I2207" s="1399">
        <v>199164.5</v>
      </c>
    </row>
    <row r="2208" spans="2:9">
      <c r="B2208" s="1297"/>
      <c r="C2208" s="1297"/>
      <c r="D2208" s="1297" t="s">
        <v>1039</v>
      </c>
      <c r="F2208" s="1399">
        <v>230374.48</v>
      </c>
      <c r="I2208" s="1399">
        <v>230374.48</v>
      </c>
    </row>
    <row r="2209" spans="2:9">
      <c r="B2209" s="1297"/>
      <c r="C2209" s="1297"/>
      <c r="D2209" s="1297" t="s">
        <v>1040</v>
      </c>
      <c r="F2209" s="1399">
        <v>6342247.2800000003</v>
      </c>
      <c r="I2209" s="1399">
        <v>6342247.2800000003</v>
      </c>
    </row>
    <row r="2210" spans="2:9">
      <c r="B2210" s="1297"/>
      <c r="C2210" s="1297"/>
      <c r="D2210" s="1297" t="s">
        <v>1041</v>
      </c>
      <c r="F2210" s="1399">
        <v>1832545.63</v>
      </c>
      <c r="I2210" s="1399">
        <v>1832545.63</v>
      </c>
    </row>
    <row r="2211" spans="2:9">
      <c r="B2211" s="1297"/>
      <c r="C2211" s="1297"/>
      <c r="D2211" s="1297" t="s">
        <v>1042</v>
      </c>
      <c r="F2211" s="1399">
        <v>390877.1</v>
      </c>
      <c r="I2211" s="1399">
        <v>390877.1</v>
      </c>
    </row>
    <row r="2212" spans="2:9">
      <c r="B2212" s="1297"/>
      <c r="C2212" s="1297"/>
      <c r="D2212" s="1297" t="s">
        <v>986</v>
      </c>
      <c r="F2212" s="1399">
        <v>170967.67</v>
      </c>
      <c r="I2212" s="1399">
        <v>170967.67</v>
      </c>
    </row>
    <row r="2213" spans="2:9">
      <c r="B2213" s="1297"/>
      <c r="C2213" s="1297"/>
      <c r="D2213" s="1297" t="s">
        <v>1044</v>
      </c>
      <c r="F2213" s="1399">
        <v>50444.35</v>
      </c>
      <c r="I2213" s="1399">
        <v>50444.35</v>
      </c>
    </row>
    <row r="2214" spans="2:9">
      <c r="B2214" s="1297"/>
      <c r="C2214" s="1297"/>
      <c r="D2214" s="1297" t="s">
        <v>1045</v>
      </c>
      <c r="F2214" s="1399">
        <v>9540827.2999999989</v>
      </c>
      <c r="I2214" s="1399">
        <v>9540827.2999999989</v>
      </c>
    </row>
    <row r="2215" spans="2:9">
      <c r="B2215" s="1297"/>
      <c r="C2215" s="1297"/>
      <c r="D2215" s="1297" t="s">
        <v>1046</v>
      </c>
      <c r="H2215" s="1399">
        <v>175029617</v>
      </c>
      <c r="I2215" s="1399">
        <v>175029617</v>
      </c>
    </row>
    <row r="2216" spans="2:9">
      <c r="B2216" s="1297"/>
      <c r="C2216" s="1297"/>
      <c r="D2216" s="1297" t="s">
        <v>1128</v>
      </c>
      <c r="H2216" s="1399">
        <v>15265763</v>
      </c>
      <c r="I2216" s="1399">
        <v>15265763</v>
      </c>
    </row>
    <row r="2217" spans="2:9">
      <c r="B2217" s="1297"/>
      <c r="C2217" s="1297"/>
      <c r="D2217" s="1297" t="s">
        <v>1129</v>
      </c>
      <c r="H2217" s="1399">
        <v>-20057476</v>
      </c>
      <c r="I2217" s="1399">
        <v>-20057476</v>
      </c>
    </row>
    <row r="2218" spans="2:9">
      <c r="B2218" s="1297"/>
      <c r="C2218" s="1297"/>
      <c r="D2218" s="1297" t="s">
        <v>1047</v>
      </c>
      <c r="H2218" s="1399">
        <v>1991415</v>
      </c>
      <c r="I2218" s="1399">
        <v>1991415</v>
      </c>
    </row>
    <row r="2219" spans="2:9">
      <c r="B2219" s="1297"/>
      <c r="C2219" s="1297"/>
      <c r="D2219" s="1297" t="s">
        <v>1048</v>
      </c>
      <c r="H2219" s="1399">
        <v>-44539944</v>
      </c>
      <c r="I2219" s="1399">
        <v>-44539944</v>
      </c>
    </row>
    <row r="2220" spans="2:9">
      <c r="B2220" s="1297"/>
      <c r="C2220" s="1297"/>
      <c r="D2220" s="1297" t="s">
        <v>934</v>
      </c>
      <c r="H2220" s="1399">
        <v>410642</v>
      </c>
      <c r="I2220" s="1399">
        <v>410642</v>
      </c>
    </row>
    <row r="2221" spans="2:9">
      <c r="B2221" s="1297"/>
      <c r="C2221" s="1297"/>
      <c r="D2221" s="1297" t="s">
        <v>1130</v>
      </c>
      <c r="H2221" s="1399">
        <v>430982.2</v>
      </c>
      <c r="I2221" s="1399">
        <v>430982.2</v>
      </c>
    </row>
    <row r="2222" spans="2:9">
      <c r="B2222" s="1297"/>
      <c r="C2222" s="1297"/>
      <c r="D2222" s="1297" t="s">
        <v>935</v>
      </c>
      <c r="H2222" s="1399">
        <v>1911178.42</v>
      </c>
      <c r="I2222" s="1399">
        <v>1911178.42</v>
      </c>
    </row>
    <row r="2223" spans="2:9">
      <c r="B2223" s="1297"/>
      <c r="C2223" s="1297"/>
      <c r="D2223" s="1297" t="s">
        <v>940</v>
      </c>
      <c r="E2223" s="1399">
        <v>3457713.92</v>
      </c>
      <c r="I2223" s="1399">
        <v>3457713.92</v>
      </c>
    </row>
    <row r="2224" spans="2:9">
      <c r="B2224" s="1297"/>
      <c r="C2224" s="1297"/>
      <c r="D2224" s="1297" t="s">
        <v>941</v>
      </c>
      <c r="E2224" s="1399">
        <v>988905.08</v>
      </c>
      <c r="I2224" s="1399">
        <v>988905.08</v>
      </c>
    </row>
    <row r="2225" spans="2:9">
      <c r="B2225" s="1297"/>
      <c r="C2225" s="1297"/>
      <c r="D2225" s="1297" t="s">
        <v>944</v>
      </c>
      <c r="E2225" s="1399">
        <v>6279789.5399999991</v>
      </c>
      <c r="I2225" s="1399">
        <v>6279789.5399999991</v>
      </c>
    </row>
    <row r="2226" spans="2:9">
      <c r="B2226" s="1297"/>
      <c r="C2226" s="1297"/>
      <c r="D2226" s="1297" t="s">
        <v>945</v>
      </c>
      <c r="E2226" s="1399">
        <v>10974447.359999999</v>
      </c>
      <c r="I2226" s="1399">
        <v>10974447.359999999</v>
      </c>
    </row>
    <row r="2227" spans="2:9">
      <c r="B2227" s="1297"/>
      <c r="C2227" s="1297"/>
      <c r="D2227" s="1297" t="s">
        <v>946</v>
      </c>
      <c r="E2227" s="1399">
        <v>66328.12</v>
      </c>
      <c r="I2227" s="1399">
        <v>66328.12</v>
      </c>
    </row>
    <row r="2228" spans="2:9">
      <c r="B2228" s="1297"/>
      <c r="C2228" s="1297"/>
      <c r="D2228" s="1297" t="s">
        <v>1214</v>
      </c>
      <c r="E2228" s="1399">
        <v>175984.9</v>
      </c>
      <c r="I2228" s="1399">
        <v>175984.9</v>
      </c>
    </row>
    <row r="2229" spans="2:9">
      <c r="B2229" s="1297"/>
      <c r="C2229" s="1297"/>
      <c r="D2229" s="1297" t="s">
        <v>947</v>
      </c>
      <c r="E2229" s="1399">
        <v>795724.67</v>
      </c>
      <c r="I2229" s="1399">
        <v>795724.67</v>
      </c>
    </row>
    <row r="2230" spans="2:9">
      <c r="B2230" s="1297"/>
      <c r="C2230" s="1297"/>
      <c r="D2230" s="1297" t="s">
        <v>1116</v>
      </c>
      <c r="G2230" s="1399">
        <v>25865650</v>
      </c>
      <c r="I2230" s="1399">
        <v>25865650</v>
      </c>
    </row>
    <row r="2231" spans="2:9">
      <c r="B2231" s="1297"/>
      <c r="C2231" s="1297"/>
      <c r="D2231" s="1297" t="s">
        <v>948</v>
      </c>
      <c r="G2231" s="1399">
        <v>30958425</v>
      </c>
      <c r="I2231" s="1399">
        <v>30958425</v>
      </c>
    </row>
    <row r="2232" spans="2:9">
      <c r="B2232" s="1297"/>
      <c r="C2232" s="1297"/>
      <c r="D2232" s="1297" t="s">
        <v>956</v>
      </c>
      <c r="G2232" s="1399">
        <v>216601.5</v>
      </c>
      <c r="I2232" s="1399">
        <v>216601.5</v>
      </c>
    </row>
    <row r="2233" spans="2:9">
      <c r="B2233" s="1297"/>
      <c r="C2233" s="1400" t="s">
        <v>1132</v>
      </c>
      <c r="D2233" s="1400"/>
      <c r="E2233" s="1401">
        <v>22738893.59</v>
      </c>
      <c r="F2233" s="1401">
        <v>194916637.83000001</v>
      </c>
      <c r="G2233" s="1401">
        <v>57040676.5</v>
      </c>
      <c r="H2233" s="1401">
        <v>130442177.62</v>
      </c>
      <c r="I2233" s="1401">
        <v>405138385.54000008</v>
      </c>
    </row>
    <row r="2234" spans="2:9">
      <c r="B2234" s="1297" t="s">
        <v>1133</v>
      </c>
      <c r="C2234" s="1297" t="s">
        <v>1134</v>
      </c>
      <c r="D2234" s="1297" t="s">
        <v>906</v>
      </c>
      <c r="F2234" s="1399">
        <v>9528335.75</v>
      </c>
      <c r="I2234" s="1399">
        <v>9528335.75</v>
      </c>
    </row>
    <row r="2235" spans="2:9">
      <c r="B2235" s="1297"/>
      <c r="C2235" s="1297"/>
      <c r="D2235" s="1297" t="s">
        <v>907</v>
      </c>
      <c r="F2235" s="1399">
        <v>2921555.48</v>
      </c>
      <c r="I2235" s="1399">
        <v>2921555.48</v>
      </c>
    </row>
    <row r="2236" spans="2:9">
      <c r="B2236" s="1297"/>
      <c r="C2236" s="1297"/>
      <c r="D2236" s="1297" t="s">
        <v>908</v>
      </c>
      <c r="F2236" s="1399">
        <v>139833.29</v>
      </c>
      <c r="I2236" s="1399">
        <v>139833.29</v>
      </c>
    </row>
    <row r="2237" spans="2:9">
      <c r="B2237" s="1297"/>
      <c r="C2237" s="1297"/>
      <c r="D2237" s="1297" t="s">
        <v>909</v>
      </c>
      <c r="F2237" s="1399">
        <v>49838.14</v>
      </c>
      <c r="I2237" s="1399">
        <v>49838.14</v>
      </c>
    </row>
    <row r="2238" spans="2:9">
      <c r="B2238" s="1297"/>
      <c r="C2238" s="1297"/>
      <c r="D2238" s="1297" t="s">
        <v>910</v>
      </c>
      <c r="F2238" s="1399">
        <v>122300.26</v>
      </c>
      <c r="I2238" s="1399">
        <v>122300.26</v>
      </c>
    </row>
    <row r="2239" spans="2:9">
      <c r="B2239" s="1297"/>
      <c r="C2239" s="1297"/>
      <c r="D2239" s="1297" t="s">
        <v>1034</v>
      </c>
      <c r="F2239" s="1399">
        <v>303333.40999999997</v>
      </c>
      <c r="I2239" s="1399">
        <v>303333.40999999997</v>
      </c>
    </row>
    <row r="2240" spans="2:9">
      <c r="B2240" s="1297"/>
      <c r="C2240" s="1297"/>
      <c r="D2240" s="1297" t="s">
        <v>1035</v>
      </c>
      <c r="F2240" s="1399">
        <v>496905.64</v>
      </c>
      <c r="I2240" s="1399">
        <v>496905.64</v>
      </c>
    </row>
    <row r="2241" spans="2:9">
      <c r="B2241" s="1297"/>
      <c r="C2241" s="1297"/>
      <c r="D2241" s="1297" t="s">
        <v>1036</v>
      </c>
      <c r="F2241" s="1399">
        <v>130953.20999999999</v>
      </c>
      <c r="I2241" s="1399">
        <v>130953.20999999999</v>
      </c>
    </row>
    <row r="2242" spans="2:9">
      <c r="B2242" s="1297"/>
      <c r="C2242" s="1297"/>
      <c r="D2242" s="1297" t="s">
        <v>1037</v>
      </c>
      <c r="F2242" s="1399">
        <v>14800</v>
      </c>
      <c r="I2242" s="1399">
        <v>14800</v>
      </c>
    </row>
    <row r="2243" spans="2:9">
      <c r="B2243" s="1297"/>
      <c r="C2243" s="1297"/>
      <c r="D2243" s="1297" t="s">
        <v>1003</v>
      </c>
      <c r="F2243" s="1399">
        <v>66629.649999999994</v>
      </c>
      <c r="I2243" s="1399">
        <v>66629.649999999994</v>
      </c>
    </row>
    <row r="2244" spans="2:9">
      <c r="B2244" s="1297"/>
      <c r="C2244" s="1297"/>
      <c r="D2244" s="1297" t="s">
        <v>1039</v>
      </c>
      <c r="F2244" s="1399">
        <v>52190.85</v>
      </c>
      <c r="I2244" s="1399">
        <v>52190.85</v>
      </c>
    </row>
    <row r="2245" spans="2:9">
      <c r="B2245" s="1297"/>
      <c r="C2245" s="1297"/>
      <c r="D2245" s="1297" t="s">
        <v>1040</v>
      </c>
      <c r="F2245" s="1399">
        <v>325342.08999999997</v>
      </c>
      <c r="I2245" s="1399">
        <v>325342.08999999997</v>
      </c>
    </row>
    <row r="2246" spans="2:9">
      <c r="B2246" s="1297"/>
      <c r="C2246" s="1297"/>
      <c r="D2246" s="1297" t="s">
        <v>1041</v>
      </c>
      <c r="F2246" s="1399">
        <v>26682.92</v>
      </c>
      <c r="I2246" s="1399">
        <v>26682.92</v>
      </c>
    </row>
    <row r="2247" spans="2:9">
      <c r="B2247" s="1297"/>
      <c r="C2247" s="1297"/>
      <c r="D2247" s="1297" t="s">
        <v>1042</v>
      </c>
      <c r="F2247" s="1399">
        <v>54014.18</v>
      </c>
      <c r="I2247" s="1399">
        <v>54014.18</v>
      </c>
    </row>
    <row r="2248" spans="2:9">
      <c r="B2248" s="1297"/>
      <c r="C2248" s="1297"/>
      <c r="D2248" s="1297" t="s">
        <v>985</v>
      </c>
      <c r="F2248" s="1399">
        <v>2239.65</v>
      </c>
      <c r="I2248" s="1399">
        <v>2239.65</v>
      </c>
    </row>
    <row r="2249" spans="2:9">
      <c r="B2249" s="1297"/>
      <c r="C2249" s="1297"/>
      <c r="D2249" s="1297" t="s">
        <v>1043</v>
      </c>
      <c r="F2249" s="1399">
        <v>53025</v>
      </c>
      <c r="I2249" s="1399">
        <v>53025</v>
      </c>
    </row>
    <row r="2250" spans="2:9">
      <c r="B2250" s="1297"/>
      <c r="C2250" s="1297"/>
      <c r="D2250" s="1297" t="s">
        <v>986</v>
      </c>
      <c r="F2250" s="1399">
        <v>20042.12</v>
      </c>
      <c r="I2250" s="1399">
        <v>20042.12</v>
      </c>
    </row>
    <row r="2251" spans="2:9">
      <c r="B2251" s="1297"/>
      <c r="C2251" s="1297"/>
      <c r="D2251" s="1297" t="s">
        <v>1045</v>
      </c>
      <c r="F2251" s="1399">
        <v>45742.48</v>
      </c>
      <c r="I2251" s="1399">
        <v>45742.48</v>
      </c>
    </row>
    <row r="2252" spans="2:9">
      <c r="B2252" s="1297"/>
      <c r="C2252" s="1297"/>
      <c r="D2252" s="1297" t="s">
        <v>1046</v>
      </c>
      <c r="H2252" s="1399">
        <v>20131702</v>
      </c>
      <c r="I2252" s="1399">
        <v>20131702</v>
      </c>
    </row>
    <row r="2253" spans="2:9">
      <c r="B2253" s="1297"/>
      <c r="C2253" s="1297"/>
      <c r="D2253" s="1297" t="s">
        <v>1128</v>
      </c>
      <c r="H2253" s="1399">
        <v>1579408</v>
      </c>
      <c r="I2253" s="1399">
        <v>1579408</v>
      </c>
    </row>
    <row r="2254" spans="2:9">
      <c r="B2254" s="1297"/>
      <c r="C2254" s="1297"/>
      <c r="D2254" s="1297" t="s">
        <v>1129</v>
      </c>
      <c r="H2254" s="1399">
        <v>-2740308</v>
      </c>
      <c r="I2254" s="1399">
        <v>-2740308</v>
      </c>
    </row>
    <row r="2255" spans="2:9">
      <c r="B2255" s="1297"/>
      <c r="C2255" s="1297"/>
      <c r="D2255" s="1297" t="s">
        <v>1047</v>
      </c>
      <c r="H2255" s="1399">
        <v>666697</v>
      </c>
      <c r="I2255" s="1399">
        <v>666697</v>
      </c>
    </row>
    <row r="2256" spans="2:9">
      <c r="B2256" s="1297"/>
      <c r="C2256" s="1297"/>
      <c r="D2256" s="1297" t="s">
        <v>1048</v>
      </c>
      <c r="H2256" s="1399">
        <v>-3039270</v>
      </c>
      <c r="I2256" s="1399">
        <v>-3039270</v>
      </c>
    </row>
    <row r="2257" spans="2:9">
      <c r="B2257" s="1297"/>
      <c r="C2257" s="1297"/>
      <c r="D2257" s="1297" t="s">
        <v>932</v>
      </c>
      <c r="H2257" s="1399">
        <v>920599</v>
      </c>
      <c r="I2257" s="1399">
        <v>920599</v>
      </c>
    </row>
    <row r="2258" spans="2:9">
      <c r="B2258" s="1297"/>
      <c r="C2258" s="1297"/>
      <c r="D2258" s="1297" t="s">
        <v>934</v>
      </c>
      <c r="H2258" s="1399">
        <v>56616</v>
      </c>
      <c r="I2258" s="1399">
        <v>56616</v>
      </c>
    </row>
    <row r="2259" spans="2:9">
      <c r="B2259" s="1297"/>
      <c r="C2259" s="1297"/>
      <c r="D2259" s="1297" t="s">
        <v>935</v>
      </c>
      <c r="H2259" s="1399">
        <v>550731.48</v>
      </c>
      <c r="I2259" s="1399">
        <v>550731.48</v>
      </c>
    </row>
    <row r="2260" spans="2:9">
      <c r="B2260" s="1297"/>
      <c r="C2260" s="1297"/>
      <c r="D2260" s="1297" t="s">
        <v>936</v>
      </c>
      <c r="H2260" s="1399">
        <v>67929.2</v>
      </c>
      <c r="I2260" s="1399">
        <v>67929.2</v>
      </c>
    </row>
    <row r="2261" spans="2:9">
      <c r="B2261" s="1297"/>
      <c r="C2261" s="1297"/>
      <c r="D2261" s="1297" t="s">
        <v>937</v>
      </c>
      <c r="H2261" s="1399">
        <v>16970.72</v>
      </c>
      <c r="I2261" s="1399">
        <v>16970.72</v>
      </c>
    </row>
    <row r="2262" spans="2:9">
      <c r="B2262" s="1297"/>
      <c r="C2262" s="1297"/>
      <c r="D2262" s="1297" t="s">
        <v>938</v>
      </c>
      <c r="H2262" s="1399">
        <v>25266</v>
      </c>
      <c r="I2262" s="1399">
        <v>25266</v>
      </c>
    </row>
    <row r="2263" spans="2:9">
      <c r="B2263" s="1297"/>
      <c r="C2263" s="1297"/>
      <c r="D2263" s="1297" t="s">
        <v>939</v>
      </c>
      <c r="H2263" s="1399">
        <v>40944.15</v>
      </c>
      <c r="I2263" s="1399">
        <v>40944.15</v>
      </c>
    </row>
    <row r="2264" spans="2:9">
      <c r="B2264" s="1297"/>
      <c r="C2264" s="1297"/>
      <c r="D2264" s="1297" t="s">
        <v>940</v>
      </c>
      <c r="E2264" s="1399">
        <v>809301.1</v>
      </c>
      <c r="I2264" s="1399">
        <v>809301.1</v>
      </c>
    </row>
    <row r="2265" spans="2:9">
      <c r="B2265" s="1297"/>
      <c r="C2265" s="1297"/>
      <c r="D2265" s="1297" t="s">
        <v>941</v>
      </c>
      <c r="E2265" s="1399">
        <v>248308.48000000001</v>
      </c>
      <c r="I2265" s="1399">
        <v>248308.48000000001</v>
      </c>
    </row>
    <row r="2266" spans="2:9">
      <c r="B2266" s="1297"/>
      <c r="C2266" s="1297"/>
      <c r="D2266" s="1297" t="s">
        <v>943</v>
      </c>
      <c r="E2266" s="1399">
        <v>2863.8</v>
      </c>
      <c r="I2266" s="1399">
        <v>2863.8</v>
      </c>
    </row>
    <row r="2267" spans="2:9">
      <c r="B2267" s="1297"/>
      <c r="C2267" s="1297"/>
      <c r="D2267" s="1297" t="s">
        <v>944</v>
      </c>
      <c r="E2267" s="1399">
        <v>2673703.3100000005</v>
      </c>
      <c r="I2267" s="1399">
        <v>2673703.3100000005</v>
      </c>
    </row>
    <row r="2268" spans="2:9">
      <c r="B2268" s="1297"/>
      <c r="C2268" s="1297"/>
      <c r="D2268" s="1297" t="s">
        <v>945</v>
      </c>
      <c r="E2268" s="1399">
        <v>1059197.5899999999</v>
      </c>
      <c r="I2268" s="1399">
        <v>1059197.5899999999</v>
      </c>
    </row>
    <row r="2269" spans="2:9">
      <c r="B2269" s="1297"/>
      <c r="C2269" s="1297"/>
      <c r="D2269" s="1297" t="s">
        <v>947</v>
      </c>
      <c r="E2269" s="1399">
        <v>38879.089999999997</v>
      </c>
      <c r="I2269" s="1399">
        <v>38879.089999999997</v>
      </c>
    </row>
    <row r="2270" spans="2:9">
      <c r="B2270" s="1297"/>
      <c r="C2270" s="1297"/>
      <c r="D2270" s="1297" t="s">
        <v>948</v>
      </c>
      <c r="G2270" s="1399">
        <v>383636.37999999995</v>
      </c>
      <c r="I2270" s="1399">
        <v>383636.37999999995</v>
      </c>
    </row>
    <row r="2271" spans="2:9">
      <c r="B2271" s="1297"/>
      <c r="C2271" s="1297"/>
      <c r="D2271" s="1297" t="s">
        <v>1118</v>
      </c>
      <c r="G2271" s="1399">
        <v>46329.36</v>
      </c>
      <c r="I2271" s="1399">
        <v>46329.36</v>
      </c>
    </row>
    <row r="2272" spans="2:9">
      <c r="B2272" s="1297"/>
      <c r="C2272" s="1400" t="s">
        <v>1135</v>
      </c>
      <c r="D2272" s="1400"/>
      <c r="E2272" s="1401">
        <v>4832253.37</v>
      </c>
      <c r="F2272" s="1401">
        <v>14353764.120000001</v>
      </c>
      <c r="G2272" s="1401">
        <v>429965.73999999993</v>
      </c>
      <c r="H2272" s="1401">
        <v>18277285.549999997</v>
      </c>
      <c r="I2272" s="1401">
        <v>37893268.780000009</v>
      </c>
    </row>
    <row r="2273" spans="2:9">
      <c r="B2273" s="1297" t="s">
        <v>1136</v>
      </c>
      <c r="C2273" s="1297" t="s">
        <v>1137</v>
      </c>
      <c r="D2273" s="1297" t="s">
        <v>906</v>
      </c>
      <c r="F2273" s="1399">
        <v>534160031.81</v>
      </c>
      <c r="I2273" s="1399">
        <v>534160031.81</v>
      </c>
    </row>
    <row r="2274" spans="2:9">
      <c r="B2274" s="1297"/>
      <c r="C2274" s="1297"/>
      <c r="D2274" s="1297" t="s">
        <v>907</v>
      </c>
      <c r="F2274" s="1399">
        <v>130265771.02</v>
      </c>
      <c r="I2274" s="1399">
        <v>130265771.02</v>
      </c>
    </row>
    <row r="2275" spans="2:9">
      <c r="B2275" s="1297"/>
      <c r="C2275" s="1297"/>
      <c r="D2275" s="1297" t="s">
        <v>908</v>
      </c>
      <c r="F2275" s="1399">
        <v>1387621.51</v>
      </c>
      <c r="I2275" s="1399">
        <v>1387621.51</v>
      </c>
    </row>
    <row r="2276" spans="2:9">
      <c r="B2276" s="1297"/>
      <c r="C2276" s="1297"/>
      <c r="D2276" s="1297" t="s">
        <v>1122</v>
      </c>
      <c r="F2276" s="1399">
        <v>-476313</v>
      </c>
      <c r="I2276" s="1399">
        <v>-476313</v>
      </c>
    </row>
    <row r="2277" spans="2:9">
      <c r="B2277" s="1297"/>
      <c r="C2277" s="1297"/>
      <c r="D2277" s="1297" t="s">
        <v>1034</v>
      </c>
      <c r="F2277" s="1399">
        <v>76965.06</v>
      </c>
      <c r="I2277" s="1399">
        <v>76965.06</v>
      </c>
    </row>
    <row r="2278" spans="2:9">
      <c r="B2278" s="1297"/>
      <c r="C2278" s="1297"/>
      <c r="D2278" s="1297" t="s">
        <v>1035</v>
      </c>
      <c r="F2278" s="1399">
        <v>9311</v>
      </c>
      <c r="I2278" s="1399">
        <v>9311</v>
      </c>
    </row>
    <row r="2279" spans="2:9">
      <c r="B2279" s="1297"/>
      <c r="C2279" s="1297"/>
      <c r="D2279" s="1297" t="s">
        <v>1037</v>
      </c>
      <c r="F2279" s="1399">
        <v>292811.46999999997</v>
      </c>
      <c r="I2279" s="1399">
        <v>292811.46999999997</v>
      </c>
    </row>
    <row r="2280" spans="2:9">
      <c r="B2280" s="1297"/>
      <c r="C2280" s="1297"/>
      <c r="D2280" s="1297" t="s">
        <v>1038</v>
      </c>
      <c r="F2280" s="1399">
        <v>484751.59</v>
      </c>
      <c r="I2280" s="1399">
        <v>484751.59</v>
      </c>
    </row>
    <row r="2281" spans="2:9">
      <c r="B2281" s="1297"/>
      <c r="C2281" s="1297"/>
      <c r="D2281" s="1297" t="s">
        <v>1039</v>
      </c>
      <c r="F2281" s="1399">
        <v>830474.47</v>
      </c>
      <c r="I2281" s="1399">
        <v>830474.47</v>
      </c>
    </row>
    <row r="2282" spans="2:9">
      <c r="B2282" s="1297"/>
      <c r="C2282" s="1297"/>
      <c r="D2282" s="1297" t="s">
        <v>1040</v>
      </c>
      <c r="F2282" s="1399">
        <v>6206395.0999999987</v>
      </c>
      <c r="I2282" s="1399">
        <v>6206395.0999999987</v>
      </c>
    </row>
    <row r="2283" spans="2:9">
      <c r="B2283" s="1297"/>
      <c r="C2283" s="1297"/>
      <c r="D2283" s="1297" t="s">
        <v>1041</v>
      </c>
      <c r="F2283" s="1399">
        <v>8382524.9400000004</v>
      </c>
      <c r="I2283" s="1399">
        <v>8382524.9400000004</v>
      </c>
    </row>
    <row r="2284" spans="2:9">
      <c r="B2284" s="1297"/>
      <c r="C2284" s="1297"/>
      <c r="D2284" s="1297" t="s">
        <v>1042</v>
      </c>
      <c r="F2284" s="1399">
        <v>395325.37999999983</v>
      </c>
      <c r="I2284" s="1399">
        <v>395325.37999999983</v>
      </c>
    </row>
    <row r="2285" spans="2:9">
      <c r="B2285" s="1297"/>
      <c r="C2285" s="1297"/>
      <c r="D2285" s="1297" t="s">
        <v>953</v>
      </c>
      <c r="F2285" s="1399">
        <v>365645.6999999999</v>
      </c>
      <c r="I2285" s="1399">
        <v>365645.6999999999</v>
      </c>
    </row>
    <row r="2286" spans="2:9">
      <c r="B2286" s="1297"/>
      <c r="C2286" s="1297"/>
      <c r="D2286" s="1297" t="s">
        <v>954</v>
      </c>
      <c r="F2286" s="1399">
        <v>781787.8</v>
      </c>
      <c r="I2286" s="1399">
        <v>781787.8</v>
      </c>
    </row>
    <row r="2287" spans="2:9">
      <c r="B2287" s="1297"/>
      <c r="C2287" s="1297"/>
      <c r="D2287" s="1297" t="s">
        <v>1043</v>
      </c>
      <c r="F2287" s="1399">
        <v>1226485.18</v>
      </c>
      <c r="I2287" s="1399">
        <v>1226485.18</v>
      </c>
    </row>
    <row r="2288" spans="2:9">
      <c r="B2288" s="1297"/>
      <c r="C2288" s="1297"/>
      <c r="D2288" s="1297" t="s">
        <v>986</v>
      </c>
      <c r="F2288" s="1399">
        <v>412996.45</v>
      </c>
      <c r="I2288" s="1399">
        <v>412996.45</v>
      </c>
    </row>
    <row r="2289" spans="2:9">
      <c r="B2289" s="1297"/>
      <c r="C2289" s="1297"/>
      <c r="D2289" s="1297" t="s">
        <v>1005</v>
      </c>
      <c r="F2289" s="1399">
        <v>586597.14</v>
      </c>
      <c r="I2289" s="1399">
        <v>586597.14</v>
      </c>
    </row>
    <row r="2290" spans="2:9">
      <c r="B2290" s="1297"/>
      <c r="C2290" s="1297"/>
      <c r="D2290" s="1297" t="s">
        <v>1044</v>
      </c>
      <c r="F2290" s="1399">
        <v>2749759.76</v>
      </c>
      <c r="I2290" s="1399">
        <v>2749759.76</v>
      </c>
    </row>
    <row r="2291" spans="2:9">
      <c r="B2291" s="1297"/>
      <c r="C2291" s="1297"/>
      <c r="D2291" s="1297" t="s">
        <v>1045</v>
      </c>
      <c r="F2291" s="1399">
        <v>42700171.349999994</v>
      </c>
      <c r="I2291" s="1399">
        <v>42700171.349999994</v>
      </c>
    </row>
    <row r="2292" spans="2:9">
      <c r="B2292" s="1297"/>
      <c r="C2292" s="1297"/>
      <c r="D2292" s="1297" t="s">
        <v>1046</v>
      </c>
      <c r="H2292" s="1399">
        <v>440772565</v>
      </c>
      <c r="I2292" s="1399">
        <v>440772565</v>
      </c>
    </row>
    <row r="2293" spans="2:9">
      <c r="B2293" s="1297"/>
      <c r="C2293" s="1297"/>
      <c r="D2293" s="1297" t="s">
        <v>1128</v>
      </c>
      <c r="H2293" s="1399">
        <v>39949156</v>
      </c>
      <c r="I2293" s="1399">
        <v>39949156</v>
      </c>
    </row>
    <row r="2294" spans="2:9">
      <c r="B2294" s="1297"/>
      <c r="C2294" s="1297"/>
      <c r="D2294" s="1297" t="s">
        <v>1129</v>
      </c>
      <c r="H2294" s="1399">
        <v>-50343585</v>
      </c>
      <c r="I2294" s="1399">
        <v>-50343585</v>
      </c>
    </row>
    <row r="2295" spans="2:9">
      <c r="B2295" s="1297"/>
      <c r="C2295" s="1297"/>
      <c r="D2295" s="1297" t="s">
        <v>1047</v>
      </c>
      <c r="H2295" s="1399">
        <v>6240199</v>
      </c>
      <c r="I2295" s="1399">
        <v>6240199</v>
      </c>
    </row>
    <row r="2296" spans="2:9">
      <c r="B2296" s="1297"/>
      <c r="C2296" s="1297"/>
      <c r="D2296" s="1297" t="s">
        <v>1048</v>
      </c>
      <c r="H2296" s="1399">
        <v>-151179186</v>
      </c>
      <c r="I2296" s="1399">
        <v>-151179186</v>
      </c>
    </row>
    <row r="2297" spans="2:9">
      <c r="B2297" s="1297"/>
      <c r="C2297" s="1297"/>
      <c r="D2297" s="1297" t="s">
        <v>955</v>
      </c>
      <c r="H2297" s="1399">
        <v>5668445.4800000004</v>
      </c>
      <c r="I2297" s="1399">
        <v>5668445.4800000004</v>
      </c>
    </row>
    <row r="2298" spans="2:9">
      <c r="B2298" s="1297"/>
      <c r="C2298" s="1297"/>
      <c r="D2298" s="1297" t="s">
        <v>934</v>
      </c>
      <c r="H2298" s="1399">
        <v>969998</v>
      </c>
      <c r="I2298" s="1399">
        <v>969998</v>
      </c>
    </row>
    <row r="2299" spans="2:9">
      <c r="B2299" s="1297"/>
      <c r="C2299" s="1297"/>
      <c r="D2299" s="1297" t="s">
        <v>1130</v>
      </c>
      <c r="H2299" s="1399">
        <v>13179901.5</v>
      </c>
      <c r="I2299" s="1399">
        <v>13179901.5</v>
      </c>
    </row>
    <row r="2300" spans="2:9">
      <c r="B2300" s="1297"/>
      <c r="C2300" s="1297"/>
      <c r="D2300" s="1297" t="s">
        <v>935</v>
      </c>
      <c r="H2300" s="1399">
        <v>4521147.7299999995</v>
      </c>
      <c r="I2300" s="1399">
        <v>4521147.7299999995</v>
      </c>
    </row>
    <row r="2301" spans="2:9">
      <c r="B2301" s="1297"/>
      <c r="C2301" s="1297"/>
      <c r="D2301" s="1297" t="s">
        <v>936</v>
      </c>
      <c r="H2301" s="1399">
        <v>1184209.1100000001</v>
      </c>
      <c r="I2301" s="1399">
        <v>1184209.1100000001</v>
      </c>
    </row>
    <row r="2302" spans="2:9">
      <c r="B2302" s="1297"/>
      <c r="C2302" s="1297"/>
      <c r="D2302" s="1297" t="s">
        <v>937</v>
      </c>
      <c r="H2302" s="1399">
        <v>67627.17</v>
      </c>
      <c r="I2302" s="1399">
        <v>67627.17</v>
      </c>
    </row>
    <row r="2303" spans="2:9">
      <c r="B2303" s="1297"/>
      <c r="C2303" s="1297"/>
      <c r="D2303" s="1297" t="s">
        <v>1131</v>
      </c>
      <c r="E2303" s="1399">
        <v>2540034.7399999998</v>
      </c>
      <c r="I2303" s="1399">
        <v>2540034.7399999998</v>
      </c>
    </row>
    <row r="2304" spans="2:9">
      <c r="B2304" s="1297"/>
      <c r="C2304" s="1297"/>
      <c r="D2304" s="1297" t="s">
        <v>940</v>
      </c>
      <c r="E2304" s="1399">
        <v>15151517.840000004</v>
      </c>
      <c r="I2304" s="1399">
        <v>15151517.840000004</v>
      </c>
    </row>
    <row r="2305" spans="2:9">
      <c r="B2305" s="1297"/>
      <c r="C2305" s="1297"/>
      <c r="D2305" s="1297" t="s">
        <v>941</v>
      </c>
      <c r="E2305" s="1399">
        <v>5196159.26</v>
      </c>
      <c r="I2305" s="1399">
        <v>5196159.26</v>
      </c>
    </row>
    <row r="2306" spans="2:9">
      <c r="B2306" s="1297"/>
      <c r="C2306" s="1297"/>
      <c r="D2306" s="1297" t="s">
        <v>943</v>
      </c>
      <c r="E2306" s="1399">
        <v>97617.989999999947</v>
      </c>
      <c r="I2306" s="1399">
        <v>97617.989999999947</v>
      </c>
    </row>
    <row r="2307" spans="2:9">
      <c r="B2307" s="1297"/>
      <c r="C2307" s="1297"/>
      <c r="D2307" s="1297" t="s">
        <v>944</v>
      </c>
      <c r="E2307" s="1399">
        <v>39766151.75</v>
      </c>
      <c r="I2307" s="1399">
        <v>39766151.75</v>
      </c>
    </row>
    <row r="2308" spans="2:9">
      <c r="B2308" s="1297"/>
      <c r="C2308" s="1297"/>
      <c r="D2308" s="1297" t="s">
        <v>945</v>
      </c>
      <c r="E2308" s="1399">
        <v>29856814.489999998</v>
      </c>
      <c r="I2308" s="1399">
        <v>29856814.489999998</v>
      </c>
    </row>
    <row r="2309" spans="2:9">
      <c r="B2309" s="1297"/>
      <c r="C2309" s="1297"/>
      <c r="D2309" s="1297" t="s">
        <v>946</v>
      </c>
      <c r="E2309" s="1399">
        <v>836373.04</v>
      </c>
      <c r="I2309" s="1399">
        <v>836373.04</v>
      </c>
    </row>
    <row r="2310" spans="2:9">
      <c r="B2310" s="1297"/>
      <c r="C2310" s="1297"/>
      <c r="D2310" s="1297" t="s">
        <v>1138</v>
      </c>
      <c r="E2310" s="1399">
        <v>36792.25</v>
      </c>
      <c r="I2310" s="1399">
        <v>36792.25</v>
      </c>
    </row>
    <row r="2311" spans="2:9">
      <c r="B2311" s="1297"/>
      <c r="C2311" s="1297"/>
      <c r="D2311" s="1297" t="s">
        <v>947</v>
      </c>
      <c r="E2311" s="1399">
        <v>1970704.95</v>
      </c>
      <c r="I2311" s="1399">
        <v>1970704.95</v>
      </c>
    </row>
    <row r="2312" spans="2:9">
      <c r="B2312" s="1297"/>
      <c r="C2312" s="1297"/>
      <c r="D2312" s="1297" t="s">
        <v>948</v>
      </c>
      <c r="G2312" s="1399">
        <v>23942778.370000001</v>
      </c>
      <c r="I2312" s="1399">
        <v>23942778.370000001</v>
      </c>
    </row>
    <row r="2313" spans="2:9">
      <c r="B2313" s="1297"/>
      <c r="C2313" s="1297"/>
      <c r="D2313" s="1297" t="s">
        <v>956</v>
      </c>
      <c r="G2313" s="1399">
        <v>41261.229999999996</v>
      </c>
      <c r="I2313" s="1399">
        <v>41261.229999999996</v>
      </c>
    </row>
    <row r="2314" spans="2:9">
      <c r="B2314" s="1297"/>
      <c r="C2314" s="1400" t="s">
        <v>1139</v>
      </c>
      <c r="D2314" s="1400"/>
      <c r="E2314" s="1401">
        <v>95452166.310000002</v>
      </c>
      <c r="F2314" s="1401">
        <v>730839113.73000014</v>
      </c>
      <c r="G2314" s="1401">
        <v>23984039.600000001</v>
      </c>
      <c r="H2314" s="1401">
        <v>311030477.99000007</v>
      </c>
      <c r="I2314" s="1401">
        <v>1161305797.6300001</v>
      </c>
    </row>
    <row r="2315" spans="2:9">
      <c r="B2315" s="1297" t="s">
        <v>1140</v>
      </c>
      <c r="C2315" s="1297" t="s">
        <v>1141</v>
      </c>
      <c r="D2315" s="1297" t="s">
        <v>906</v>
      </c>
      <c r="F2315" s="1399">
        <v>19887613.16</v>
      </c>
      <c r="I2315" s="1399">
        <v>19887613.16</v>
      </c>
    </row>
    <row r="2316" spans="2:9">
      <c r="B2316" s="1297"/>
      <c r="C2316" s="1297"/>
      <c r="D2316" s="1297" t="s">
        <v>952</v>
      </c>
      <c r="F2316" s="1399">
        <v>73029.850000000006</v>
      </c>
      <c r="I2316" s="1399">
        <v>73029.850000000006</v>
      </c>
    </row>
    <row r="2317" spans="2:9">
      <c r="B2317" s="1297"/>
      <c r="C2317" s="1297"/>
      <c r="D2317" s="1297" t="s">
        <v>907</v>
      </c>
      <c r="F2317" s="1399">
        <v>3587502.36</v>
      </c>
      <c r="I2317" s="1399">
        <v>3587502.36</v>
      </c>
    </row>
    <row r="2318" spans="2:9">
      <c r="B2318" s="1297"/>
      <c r="C2318" s="1297"/>
      <c r="D2318" s="1297" t="s">
        <v>908</v>
      </c>
      <c r="F2318" s="1399">
        <v>6413.76</v>
      </c>
      <c r="I2318" s="1399">
        <v>6413.76</v>
      </c>
    </row>
    <row r="2319" spans="2:9">
      <c r="B2319" s="1297"/>
      <c r="C2319" s="1297"/>
      <c r="D2319" s="1297" t="s">
        <v>909</v>
      </c>
      <c r="F2319" s="1399">
        <v>1266.8</v>
      </c>
      <c r="I2319" s="1399">
        <v>1266.8</v>
      </c>
    </row>
    <row r="2320" spans="2:9">
      <c r="B2320" s="1297"/>
      <c r="C2320" s="1297"/>
      <c r="D2320" s="1297" t="s">
        <v>1034</v>
      </c>
      <c r="F2320" s="1399">
        <v>41448.97</v>
      </c>
      <c r="I2320" s="1399">
        <v>41448.97</v>
      </c>
    </row>
    <row r="2321" spans="2:9">
      <c r="B2321" s="1297"/>
      <c r="C2321" s="1297"/>
      <c r="D2321" s="1297" t="s">
        <v>1035</v>
      </c>
      <c r="F2321" s="1399">
        <v>414414.5</v>
      </c>
      <c r="I2321" s="1399">
        <v>414414.5</v>
      </c>
    </row>
    <row r="2322" spans="2:9">
      <c r="B2322" s="1297"/>
      <c r="C2322" s="1297"/>
      <c r="D2322" s="1297" t="s">
        <v>1036</v>
      </c>
      <c r="F2322" s="1399">
        <v>85914</v>
      </c>
      <c r="I2322" s="1399">
        <v>85914</v>
      </c>
    </row>
    <row r="2323" spans="2:9">
      <c r="B2323" s="1297"/>
      <c r="C2323" s="1297"/>
      <c r="D2323" s="1297" t="s">
        <v>1039</v>
      </c>
      <c r="F2323" s="1399">
        <v>431868.42</v>
      </c>
      <c r="I2323" s="1399">
        <v>431868.42</v>
      </c>
    </row>
    <row r="2324" spans="2:9">
      <c r="B2324" s="1297"/>
      <c r="C2324" s="1297"/>
      <c r="D2324" s="1297" t="s">
        <v>1040</v>
      </c>
      <c r="F2324" s="1399">
        <v>273830.83999999997</v>
      </c>
      <c r="I2324" s="1399">
        <v>273830.83999999997</v>
      </c>
    </row>
    <row r="2325" spans="2:9">
      <c r="B2325" s="1297"/>
      <c r="C2325" s="1297"/>
      <c r="D2325" s="1297" t="s">
        <v>1127</v>
      </c>
      <c r="F2325" s="1399">
        <v>85044.140000000014</v>
      </c>
      <c r="I2325" s="1399">
        <v>85044.140000000014</v>
      </c>
    </row>
    <row r="2326" spans="2:9">
      <c r="B2326" s="1297"/>
      <c r="C2326" s="1297"/>
      <c r="D2326" s="1297" t="s">
        <v>1041</v>
      </c>
      <c r="F2326" s="1399">
        <v>32005.890000000003</v>
      </c>
      <c r="I2326" s="1399">
        <v>32005.890000000003</v>
      </c>
    </row>
    <row r="2327" spans="2:9">
      <c r="B2327" s="1297"/>
      <c r="C2327" s="1297"/>
      <c r="D2327" s="1297" t="s">
        <v>1042</v>
      </c>
      <c r="F2327" s="1399">
        <v>71015.650000000009</v>
      </c>
      <c r="I2327" s="1399">
        <v>71015.650000000009</v>
      </c>
    </row>
    <row r="2328" spans="2:9">
      <c r="B2328" s="1297"/>
      <c r="C2328" s="1297"/>
      <c r="D2328" s="1297" t="s">
        <v>986</v>
      </c>
      <c r="F2328" s="1399">
        <v>185663.39</v>
      </c>
      <c r="I2328" s="1399">
        <v>185663.39</v>
      </c>
    </row>
    <row r="2329" spans="2:9">
      <c r="B2329" s="1297"/>
      <c r="C2329" s="1297"/>
      <c r="D2329" s="1297" t="s">
        <v>1045</v>
      </c>
      <c r="F2329" s="1399">
        <v>792378.71</v>
      </c>
      <c r="I2329" s="1399">
        <v>792378.71</v>
      </c>
    </row>
    <row r="2330" spans="2:9">
      <c r="B2330" s="1297"/>
      <c r="C2330" s="1297"/>
      <c r="D2330" s="1297" t="s">
        <v>1046</v>
      </c>
      <c r="H2330" s="1399">
        <v>22694304</v>
      </c>
      <c r="I2330" s="1399">
        <v>22694304</v>
      </c>
    </row>
    <row r="2331" spans="2:9">
      <c r="B2331" s="1297"/>
      <c r="C2331" s="1297"/>
      <c r="D2331" s="1297" t="s">
        <v>1047</v>
      </c>
      <c r="H2331" s="1399">
        <v>564004</v>
      </c>
      <c r="I2331" s="1399">
        <v>564004</v>
      </c>
    </row>
    <row r="2332" spans="2:9">
      <c r="B2332" s="1297"/>
      <c r="C2332" s="1297"/>
      <c r="D2332" s="1297" t="s">
        <v>1048</v>
      </c>
      <c r="H2332" s="1399">
        <v>-7229289</v>
      </c>
      <c r="I2332" s="1399">
        <v>-7229289</v>
      </c>
    </row>
    <row r="2333" spans="2:9">
      <c r="B2333" s="1297"/>
      <c r="C2333" s="1297"/>
      <c r="D2333" s="1297" t="s">
        <v>955</v>
      </c>
      <c r="H2333" s="1399">
        <v>746730.5</v>
      </c>
      <c r="I2333" s="1399">
        <v>746730.5</v>
      </c>
    </row>
    <row r="2334" spans="2:9">
      <c r="B2334" s="1297"/>
      <c r="C2334" s="1297"/>
      <c r="D2334" s="1297" t="s">
        <v>934</v>
      </c>
      <c r="H2334" s="1399">
        <v>73176</v>
      </c>
      <c r="I2334" s="1399">
        <v>73176</v>
      </c>
    </row>
    <row r="2335" spans="2:9">
      <c r="B2335" s="1297"/>
      <c r="C2335" s="1297"/>
      <c r="D2335" s="1297" t="s">
        <v>935</v>
      </c>
      <c r="H2335" s="1399">
        <v>475523.77</v>
      </c>
      <c r="I2335" s="1399">
        <v>475523.77</v>
      </c>
    </row>
    <row r="2336" spans="2:9">
      <c r="B2336" s="1297"/>
      <c r="C2336" s="1297"/>
      <c r="D2336" s="1297" t="s">
        <v>936</v>
      </c>
      <c r="H2336" s="1399">
        <v>94540.64</v>
      </c>
      <c r="I2336" s="1399">
        <v>94540.64</v>
      </c>
    </row>
    <row r="2337" spans="2:9">
      <c r="B2337" s="1297"/>
      <c r="C2337" s="1297"/>
      <c r="D2337" s="1297" t="s">
        <v>937</v>
      </c>
      <c r="H2337" s="1399">
        <v>27820.9</v>
      </c>
      <c r="I2337" s="1399">
        <v>27820.9</v>
      </c>
    </row>
    <row r="2338" spans="2:9">
      <c r="B2338" s="1297"/>
      <c r="C2338" s="1297"/>
      <c r="D2338" s="1297" t="s">
        <v>938</v>
      </c>
      <c r="H2338" s="1399">
        <v>24518</v>
      </c>
      <c r="I2338" s="1399">
        <v>24518</v>
      </c>
    </row>
    <row r="2339" spans="2:9">
      <c r="B2339" s="1297"/>
      <c r="C2339" s="1297"/>
      <c r="D2339" s="1297" t="s">
        <v>939</v>
      </c>
      <c r="H2339" s="1399">
        <v>20568.79</v>
      </c>
      <c r="I2339" s="1399">
        <v>20568.79</v>
      </c>
    </row>
    <row r="2340" spans="2:9">
      <c r="B2340" s="1297"/>
      <c r="C2340" s="1297"/>
      <c r="D2340" s="1297" t="s">
        <v>940</v>
      </c>
      <c r="E2340" s="1399">
        <v>1247018.08</v>
      </c>
      <c r="I2340" s="1399">
        <v>1247018.08</v>
      </c>
    </row>
    <row r="2341" spans="2:9">
      <c r="B2341" s="1297"/>
      <c r="C2341" s="1297"/>
      <c r="D2341" s="1297" t="s">
        <v>941</v>
      </c>
      <c r="E2341" s="1399">
        <v>395106.94</v>
      </c>
      <c r="I2341" s="1399">
        <v>395106.94</v>
      </c>
    </row>
    <row r="2342" spans="2:9">
      <c r="B2342" s="1297"/>
      <c r="C2342" s="1297"/>
      <c r="D2342" s="1297" t="s">
        <v>943</v>
      </c>
      <c r="E2342" s="1399">
        <v>14572.82</v>
      </c>
      <c r="I2342" s="1399">
        <v>14572.82</v>
      </c>
    </row>
    <row r="2343" spans="2:9">
      <c r="B2343" s="1297"/>
      <c r="C2343" s="1297"/>
      <c r="D2343" s="1297" t="s">
        <v>944</v>
      </c>
      <c r="E2343" s="1399">
        <v>2867298.9700000007</v>
      </c>
      <c r="I2343" s="1399">
        <v>2867298.9700000007</v>
      </c>
    </row>
    <row r="2344" spans="2:9">
      <c r="B2344" s="1297"/>
      <c r="C2344" s="1297"/>
      <c r="D2344" s="1297" t="s">
        <v>945</v>
      </c>
      <c r="E2344" s="1399">
        <v>1144560.25</v>
      </c>
      <c r="I2344" s="1399">
        <v>1144560.25</v>
      </c>
    </row>
    <row r="2345" spans="2:9">
      <c r="B2345" s="1297"/>
      <c r="C2345" s="1297"/>
      <c r="D2345" s="1297" t="s">
        <v>946</v>
      </c>
      <c r="E2345" s="1399">
        <v>368729.07</v>
      </c>
      <c r="I2345" s="1399">
        <v>368729.07</v>
      </c>
    </row>
    <row r="2346" spans="2:9">
      <c r="B2346" s="1297"/>
      <c r="C2346" s="1297"/>
      <c r="D2346" s="1297" t="s">
        <v>947</v>
      </c>
      <c r="E2346" s="1399">
        <v>188019.66</v>
      </c>
      <c r="I2346" s="1399">
        <v>188019.66</v>
      </c>
    </row>
    <row r="2347" spans="2:9">
      <c r="B2347" s="1297"/>
      <c r="C2347" s="1297"/>
      <c r="D2347" s="1297" t="s">
        <v>1116</v>
      </c>
      <c r="G2347" s="1399">
        <v>0</v>
      </c>
      <c r="I2347" s="1399">
        <v>0</v>
      </c>
    </row>
    <row r="2348" spans="2:9">
      <c r="B2348" s="1297"/>
      <c r="C2348" s="1297"/>
      <c r="D2348" s="1297" t="s">
        <v>948</v>
      </c>
      <c r="G2348" s="1399">
        <v>8004477.2400000002</v>
      </c>
      <c r="I2348" s="1399">
        <v>8004477.2400000002</v>
      </c>
    </row>
    <row r="2349" spans="2:9">
      <c r="B2349" s="1297"/>
      <c r="C2349" s="1297"/>
      <c r="D2349" s="1297" t="s">
        <v>956</v>
      </c>
      <c r="G2349" s="1399">
        <v>50</v>
      </c>
      <c r="I2349" s="1399">
        <v>50</v>
      </c>
    </row>
    <row r="2350" spans="2:9">
      <c r="B2350" s="1297"/>
      <c r="C2350" s="1297"/>
      <c r="D2350" s="1297" t="s">
        <v>1118</v>
      </c>
      <c r="G2350" s="1399">
        <v>431818.01999999996</v>
      </c>
      <c r="I2350" s="1399">
        <v>431818.01999999996</v>
      </c>
    </row>
    <row r="2351" spans="2:9">
      <c r="B2351" s="1297"/>
      <c r="C2351" s="1400" t="s">
        <v>1142</v>
      </c>
      <c r="D2351" s="1400"/>
      <c r="E2351" s="1401">
        <v>6225305.790000001</v>
      </c>
      <c r="F2351" s="1401">
        <v>25969410.440000005</v>
      </c>
      <c r="G2351" s="1401">
        <v>8436345.2599999998</v>
      </c>
      <c r="H2351" s="1401">
        <v>17491897.599999998</v>
      </c>
      <c r="I2351" s="1401">
        <v>58122959.090000004</v>
      </c>
    </row>
    <row r="2352" spans="2:9">
      <c r="B2352" s="1297" t="s">
        <v>1143</v>
      </c>
      <c r="C2352" s="1297" t="s">
        <v>1144</v>
      </c>
      <c r="D2352" s="1297" t="s">
        <v>906</v>
      </c>
      <c r="F2352" s="1399">
        <v>969659.37</v>
      </c>
      <c r="I2352" s="1399">
        <v>969659.37</v>
      </c>
    </row>
    <row r="2353" spans="2:9">
      <c r="B2353" s="1297"/>
      <c r="C2353" s="1297"/>
      <c r="D2353" s="1297" t="s">
        <v>1126</v>
      </c>
      <c r="F2353" s="1399">
        <v>196220.57</v>
      </c>
      <c r="I2353" s="1399">
        <v>196220.57</v>
      </c>
    </row>
    <row r="2354" spans="2:9">
      <c r="B2354" s="1297"/>
      <c r="C2354" s="1297"/>
      <c r="D2354" s="1297" t="s">
        <v>952</v>
      </c>
      <c r="F2354" s="1399">
        <v>6887.3</v>
      </c>
      <c r="I2354" s="1399">
        <v>6887.3</v>
      </c>
    </row>
    <row r="2355" spans="2:9">
      <c r="B2355" s="1297"/>
      <c r="C2355" s="1297"/>
      <c r="D2355" s="1297" t="s">
        <v>1145</v>
      </c>
      <c r="F2355" s="1399">
        <v>31837.15</v>
      </c>
      <c r="I2355" s="1399">
        <v>31837.15</v>
      </c>
    </row>
    <row r="2356" spans="2:9">
      <c r="B2356" s="1297"/>
      <c r="C2356" s="1297"/>
      <c r="D2356" s="1297" t="s">
        <v>908</v>
      </c>
      <c r="F2356" s="1399">
        <v>29629.82</v>
      </c>
      <c r="I2356" s="1399">
        <v>29629.82</v>
      </c>
    </row>
    <row r="2357" spans="2:9">
      <c r="B2357" s="1297"/>
      <c r="C2357" s="1297"/>
      <c r="D2357" s="1297" t="s">
        <v>1034</v>
      </c>
      <c r="F2357" s="1399">
        <v>12984.15</v>
      </c>
      <c r="I2357" s="1399">
        <v>12984.15</v>
      </c>
    </row>
    <row r="2358" spans="2:9">
      <c r="B2358" s="1297"/>
      <c r="C2358" s="1297"/>
      <c r="D2358" s="1297" t="s">
        <v>1035</v>
      </c>
      <c r="F2358" s="1399">
        <v>242901.34000000003</v>
      </c>
      <c r="I2358" s="1399">
        <v>242901.34000000003</v>
      </c>
    </row>
    <row r="2359" spans="2:9">
      <c r="B2359" s="1297"/>
      <c r="C2359" s="1297"/>
      <c r="D2359" s="1297" t="s">
        <v>1036</v>
      </c>
      <c r="F2359" s="1399">
        <v>31968.87</v>
      </c>
      <c r="I2359" s="1399">
        <v>31968.87</v>
      </c>
    </row>
    <row r="2360" spans="2:9">
      <c r="B2360" s="1297"/>
      <c r="C2360" s="1297"/>
      <c r="D2360" s="1297" t="s">
        <v>1037</v>
      </c>
      <c r="F2360" s="1399">
        <v>11765.76</v>
      </c>
      <c r="I2360" s="1399">
        <v>11765.76</v>
      </c>
    </row>
    <row r="2361" spans="2:9">
      <c r="B2361" s="1297"/>
      <c r="C2361" s="1297"/>
      <c r="D2361" s="1297" t="s">
        <v>1039</v>
      </c>
      <c r="F2361" s="1399">
        <v>3703.92</v>
      </c>
      <c r="I2361" s="1399">
        <v>3703.92</v>
      </c>
    </row>
    <row r="2362" spans="2:9">
      <c r="B2362" s="1297"/>
      <c r="C2362" s="1297"/>
      <c r="D2362" s="1297" t="s">
        <v>1040</v>
      </c>
      <c r="F2362" s="1399">
        <v>85432.99</v>
      </c>
      <c r="I2362" s="1399">
        <v>85432.99</v>
      </c>
    </row>
    <row r="2363" spans="2:9">
      <c r="B2363" s="1297"/>
      <c r="C2363" s="1297"/>
      <c r="D2363" s="1297" t="s">
        <v>1041</v>
      </c>
      <c r="F2363" s="1399">
        <v>544.78</v>
      </c>
      <c r="I2363" s="1399">
        <v>544.78</v>
      </c>
    </row>
    <row r="2364" spans="2:9">
      <c r="B2364" s="1297"/>
      <c r="C2364" s="1297"/>
      <c r="D2364" s="1297" t="s">
        <v>1042</v>
      </c>
      <c r="F2364" s="1399">
        <v>14983.85</v>
      </c>
      <c r="I2364" s="1399">
        <v>14983.85</v>
      </c>
    </row>
    <row r="2365" spans="2:9">
      <c r="B2365" s="1297"/>
      <c r="C2365" s="1297"/>
      <c r="D2365" s="1297" t="s">
        <v>953</v>
      </c>
      <c r="F2365" s="1399">
        <v>12035.25</v>
      </c>
      <c r="I2365" s="1399">
        <v>12035.25</v>
      </c>
    </row>
    <row r="2366" spans="2:9">
      <c r="B2366" s="1297"/>
      <c r="C2366" s="1297"/>
      <c r="D2366" s="1297" t="s">
        <v>991</v>
      </c>
      <c r="F2366" s="1399">
        <v>9499.33</v>
      </c>
      <c r="I2366" s="1399">
        <v>9499.33</v>
      </c>
    </row>
    <row r="2367" spans="2:9">
      <c r="B2367" s="1297"/>
      <c r="C2367" s="1297"/>
      <c r="D2367" s="1297" t="s">
        <v>1045</v>
      </c>
      <c r="F2367" s="1399">
        <v>4979.96</v>
      </c>
      <c r="I2367" s="1399">
        <v>4979.96</v>
      </c>
    </row>
    <row r="2368" spans="2:9">
      <c r="B2368" s="1297"/>
      <c r="C2368" s="1297"/>
      <c r="D2368" s="1297" t="s">
        <v>1046</v>
      </c>
      <c r="H2368" s="1399">
        <v>2933680</v>
      </c>
      <c r="I2368" s="1399">
        <v>2933680</v>
      </c>
    </row>
    <row r="2369" spans="2:9">
      <c r="B2369" s="1297"/>
      <c r="C2369" s="1297"/>
      <c r="D2369" s="1297" t="s">
        <v>1047</v>
      </c>
      <c r="H2369" s="1399">
        <v>151132</v>
      </c>
      <c r="I2369" s="1399">
        <v>151132</v>
      </c>
    </row>
    <row r="2370" spans="2:9">
      <c r="B2370" s="1297"/>
      <c r="C2370" s="1297"/>
      <c r="D2370" s="1297" t="s">
        <v>1048</v>
      </c>
      <c r="H2370" s="1399">
        <v>-391540</v>
      </c>
      <c r="I2370" s="1399">
        <v>-391540</v>
      </c>
    </row>
    <row r="2371" spans="2:9">
      <c r="B2371" s="1297"/>
      <c r="C2371" s="1297"/>
      <c r="D2371" s="1297" t="s">
        <v>932</v>
      </c>
      <c r="H2371" s="1399">
        <v>180894</v>
      </c>
      <c r="I2371" s="1399">
        <v>180894</v>
      </c>
    </row>
    <row r="2372" spans="2:9">
      <c r="B2372" s="1297"/>
      <c r="C2372" s="1297"/>
      <c r="D2372" s="1297" t="s">
        <v>955</v>
      </c>
      <c r="H2372" s="1399">
        <v>165846.56</v>
      </c>
      <c r="I2372" s="1399">
        <v>165846.56</v>
      </c>
    </row>
    <row r="2373" spans="2:9">
      <c r="B2373" s="1297"/>
      <c r="C2373" s="1297"/>
      <c r="D2373" s="1297" t="s">
        <v>934</v>
      </c>
      <c r="H2373" s="1399">
        <v>10792</v>
      </c>
      <c r="I2373" s="1399">
        <v>10792</v>
      </c>
    </row>
    <row r="2374" spans="2:9">
      <c r="B2374" s="1297"/>
      <c r="C2374" s="1297"/>
      <c r="D2374" s="1297" t="s">
        <v>935</v>
      </c>
      <c r="H2374" s="1399">
        <v>44470</v>
      </c>
      <c r="I2374" s="1399">
        <v>44470</v>
      </c>
    </row>
    <row r="2375" spans="2:9">
      <c r="B2375" s="1297"/>
      <c r="C2375" s="1297"/>
      <c r="D2375" s="1297" t="s">
        <v>936</v>
      </c>
      <c r="H2375" s="1399">
        <v>12605.42</v>
      </c>
      <c r="I2375" s="1399">
        <v>12605.42</v>
      </c>
    </row>
    <row r="2376" spans="2:9">
      <c r="B2376" s="1297"/>
      <c r="C2376" s="1297"/>
      <c r="D2376" s="1297" t="s">
        <v>938</v>
      </c>
      <c r="H2376" s="1399">
        <v>4492</v>
      </c>
      <c r="I2376" s="1399">
        <v>4492</v>
      </c>
    </row>
    <row r="2377" spans="2:9">
      <c r="B2377" s="1297"/>
      <c r="C2377" s="1297"/>
      <c r="D2377" s="1297" t="s">
        <v>939</v>
      </c>
      <c r="H2377" s="1399">
        <v>282159.15999999997</v>
      </c>
      <c r="I2377" s="1399">
        <v>282159.15999999997</v>
      </c>
    </row>
    <row r="2378" spans="2:9">
      <c r="B2378" s="1297"/>
      <c r="C2378" s="1297"/>
      <c r="D2378" s="1297" t="s">
        <v>1131</v>
      </c>
      <c r="E2378" s="1399">
        <v>6616.31</v>
      </c>
      <c r="I2378" s="1399">
        <v>6616.31</v>
      </c>
    </row>
    <row r="2379" spans="2:9">
      <c r="B2379" s="1297"/>
      <c r="C2379" s="1297"/>
      <c r="D2379" s="1297" t="s">
        <v>940</v>
      </c>
      <c r="E2379" s="1399">
        <v>147149.82</v>
      </c>
      <c r="I2379" s="1399">
        <v>147149.82</v>
      </c>
    </row>
    <row r="2380" spans="2:9">
      <c r="B2380" s="1297"/>
      <c r="C2380" s="1297"/>
      <c r="D2380" s="1297" t="s">
        <v>941</v>
      </c>
      <c r="E2380" s="1399">
        <v>36635.72</v>
      </c>
      <c r="I2380" s="1399">
        <v>36635.72</v>
      </c>
    </row>
    <row r="2381" spans="2:9">
      <c r="B2381" s="1297"/>
      <c r="C2381" s="1297"/>
      <c r="D2381" s="1297" t="s">
        <v>942</v>
      </c>
      <c r="E2381" s="1399">
        <v>5840.89</v>
      </c>
      <c r="I2381" s="1399">
        <v>5840.89</v>
      </c>
    </row>
    <row r="2382" spans="2:9">
      <c r="B2382" s="1297"/>
      <c r="C2382" s="1297"/>
      <c r="D2382" s="1297" t="s">
        <v>944</v>
      </c>
      <c r="E2382" s="1399">
        <v>539113.52</v>
      </c>
      <c r="I2382" s="1399">
        <v>539113.52</v>
      </c>
    </row>
    <row r="2383" spans="2:9">
      <c r="B2383" s="1297"/>
      <c r="C2383" s="1297"/>
      <c r="D2383" s="1297" t="s">
        <v>945</v>
      </c>
      <c r="E2383" s="1399">
        <v>189679.11000000002</v>
      </c>
      <c r="I2383" s="1399">
        <v>189679.11000000002</v>
      </c>
    </row>
    <row r="2384" spans="2:9">
      <c r="B2384" s="1297"/>
      <c r="C2384" s="1297"/>
      <c r="D2384" s="1297" t="s">
        <v>978</v>
      </c>
      <c r="E2384" s="1399">
        <v>1200</v>
      </c>
      <c r="I2384" s="1399">
        <v>1200</v>
      </c>
    </row>
    <row r="2385" spans="2:9">
      <c r="B2385" s="1297"/>
      <c r="C2385" s="1297"/>
      <c r="D2385" s="1297" t="s">
        <v>947</v>
      </c>
      <c r="E2385" s="1399">
        <v>28475.09</v>
      </c>
      <c r="I2385" s="1399">
        <v>28475.09</v>
      </c>
    </row>
    <row r="2386" spans="2:9">
      <c r="B2386" s="1297"/>
      <c r="C2386" s="1297"/>
      <c r="D2386" s="1297" t="s">
        <v>1115</v>
      </c>
      <c r="E2386" s="1399">
        <v>42229.31</v>
      </c>
      <c r="I2386" s="1399">
        <v>42229.31</v>
      </c>
    </row>
    <row r="2387" spans="2:9">
      <c r="B2387" s="1297"/>
      <c r="C2387" s="1297"/>
      <c r="D2387" s="1297" t="s">
        <v>1118</v>
      </c>
      <c r="G2387" s="1399">
        <v>71476.83</v>
      </c>
      <c r="I2387" s="1399">
        <v>71476.83</v>
      </c>
    </row>
    <row r="2388" spans="2:9">
      <c r="B2388" s="1297"/>
      <c r="C2388" s="1400" t="s">
        <v>1146</v>
      </c>
      <c r="D2388" s="1400"/>
      <c r="E2388" s="1401">
        <v>996939.77</v>
      </c>
      <c r="F2388" s="1401">
        <v>1665034.4100000001</v>
      </c>
      <c r="G2388" s="1401">
        <v>71476.83</v>
      </c>
      <c r="H2388" s="1401">
        <v>3394531.14</v>
      </c>
      <c r="I2388" s="1401">
        <v>6127982.1499999985</v>
      </c>
    </row>
    <row r="2389" spans="2:9">
      <c r="B2389" s="1297" t="s">
        <v>1147</v>
      </c>
      <c r="C2389" s="1297" t="s">
        <v>1148</v>
      </c>
      <c r="D2389" s="1297" t="s">
        <v>906</v>
      </c>
      <c r="F2389" s="1399">
        <v>71443355.859999999</v>
      </c>
      <c r="I2389" s="1399">
        <v>71443355.859999999</v>
      </c>
    </row>
    <row r="2390" spans="2:9">
      <c r="B2390" s="1297"/>
      <c r="C2390" s="1297"/>
      <c r="D2390" s="1297" t="s">
        <v>907</v>
      </c>
      <c r="F2390" s="1399">
        <v>17585815.039999999</v>
      </c>
      <c r="I2390" s="1399">
        <v>17585815.039999999</v>
      </c>
    </row>
    <row r="2391" spans="2:9">
      <c r="B2391" s="1297"/>
      <c r="C2391" s="1297"/>
      <c r="D2391" s="1297" t="s">
        <v>908</v>
      </c>
      <c r="F2391" s="1399">
        <v>1072556.25</v>
      </c>
      <c r="I2391" s="1399">
        <v>1072556.25</v>
      </c>
    </row>
    <row r="2392" spans="2:9">
      <c r="B2392" s="1297"/>
      <c r="C2392" s="1297"/>
      <c r="D2392" s="1297" t="s">
        <v>1064</v>
      </c>
      <c r="F2392" s="1399">
        <v>13790.58</v>
      </c>
      <c r="I2392" s="1399">
        <v>13790.58</v>
      </c>
    </row>
    <row r="2393" spans="2:9">
      <c r="B2393" s="1297"/>
      <c r="C2393" s="1297"/>
      <c r="D2393" s="1297" t="s">
        <v>1039</v>
      </c>
      <c r="F2393" s="1399">
        <v>407617.81000000006</v>
      </c>
      <c r="I2393" s="1399">
        <v>407617.81000000006</v>
      </c>
    </row>
    <row r="2394" spans="2:9">
      <c r="B2394" s="1297"/>
      <c r="C2394" s="1297"/>
      <c r="D2394" s="1297" t="s">
        <v>1040</v>
      </c>
      <c r="F2394" s="1399">
        <v>792407.63</v>
      </c>
      <c r="I2394" s="1399">
        <v>792407.63</v>
      </c>
    </row>
    <row r="2395" spans="2:9">
      <c r="B2395" s="1297"/>
      <c r="C2395" s="1297"/>
      <c r="D2395" s="1297" t="s">
        <v>1207</v>
      </c>
      <c r="F2395" s="1399">
        <v>17742.75</v>
      </c>
      <c r="I2395" s="1399">
        <v>17742.75</v>
      </c>
    </row>
    <row r="2396" spans="2:9">
      <c r="B2396" s="1297"/>
      <c r="C2396" s="1297"/>
      <c r="D2396" s="1297" t="s">
        <v>1041</v>
      </c>
      <c r="F2396" s="1399">
        <v>313575.8</v>
      </c>
      <c r="I2396" s="1399">
        <v>313575.8</v>
      </c>
    </row>
    <row r="2397" spans="2:9">
      <c r="B2397" s="1297"/>
      <c r="C2397" s="1297"/>
      <c r="D2397" s="1297" t="s">
        <v>1042</v>
      </c>
      <c r="F2397" s="1399">
        <v>135941</v>
      </c>
      <c r="I2397" s="1399">
        <v>135941</v>
      </c>
    </row>
    <row r="2398" spans="2:9">
      <c r="B2398" s="1297"/>
      <c r="C2398" s="1297"/>
      <c r="D2398" s="1297" t="s">
        <v>953</v>
      </c>
      <c r="F2398" s="1399">
        <v>36358.300000000003</v>
      </c>
      <c r="I2398" s="1399">
        <v>36358.300000000003</v>
      </c>
    </row>
    <row r="2399" spans="2:9">
      <c r="B2399" s="1297"/>
      <c r="C2399" s="1297"/>
      <c r="D2399" s="1297" t="s">
        <v>954</v>
      </c>
      <c r="F2399" s="1399">
        <v>303771.02</v>
      </c>
      <c r="I2399" s="1399">
        <v>303771.02</v>
      </c>
    </row>
    <row r="2400" spans="2:9">
      <c r="B2400" s="1297"/>
      <c r="C2400" s="1297"/>
      <c r="D2400" s="1297" t="s">
        <v>986</v>
      </c>
      <c r="F2400" s="1399">
        <v>5398.17</v>
      </c>
      <c r="I2400" s="1399">
        <v>5398.17</v>
      </c>
    </row>
    <row r="2401" spans="2:9">
      <c r="B2401" s="1297"/>
      <c r="C2401" s="1297"/>
      <c r="D2401" s="1297" t="s">
        <v>1203</v>
      </c>
      <c r="F2401" s="1399">
        <v>15352.53</v>
      </c>
      <c r="I2401" s="1399">
        <v>15352.53</v>
      </c>
    </row>
    <row r="2402" spans="2:9">
      <c r="B2402" s="1297"/>
      <c r="C2402" s="1297"/>
      <c r="D2402" s="1297" t="s">
        <v>1044</v>
      </c>
      <c r="F2402" s="1399">
        <v>181393.97</v>
      </c>
      <c r="I2402" s="1399">
        <v>181393.97</v>
      </c>
    </row>
    <row r="2403" spans="2:9">
      <c r="B2403" s="1297"/>
      <c r="C2403" s="1297"/>
      <c r="D2403" s="1297" t="s">
        <v>1045</v>
      </c>
      <c r="F2403" s="1399">
        <v>4167247.1599999997</v>
      </c>
      <c r="I2403" s="1399">
        <v>4167247.1599999997</v>
      </c>
    </row>
    <row r="2404" spans="2:9">
      <c r="B2404" s="1297"/>
      <c r="C2404" s="1297"/>
      <c r="D2404" s="1297" t="s">
        <v>1046</v>
      </c>
      <c r="H2404" s="1399">
        <v>63596669</v>
      </c>
      <c r="I2404" s="1399">
        <v>63596669</v>
      </c>
    </row>
    <row r="2405" spans="2:9">
      <c r="B2405" s="1297"/>
      <c r="C2405" s="1297"/>
      <c r="D2405" s="1297" t="s">
        <v>1128</v>
      </c>
      <c r="H2405" s="1399">
        <v>5277803</v>
      </c>
      <c r="I2405" s="1399">
        <v>5277803</v>
      </c>
    </row>
    <row r="2406" spans="2:9">
      <c r="B2406" s="1297"/>
      <c r="C2406" s="1297"/>
      <c r="D2406" s="1297" t="s">
        <v>1129</v>
      </c>
      <c r="H2406" s="1399">
        <v>-6402694</v>
      </c>
      <c r="I2406" s="1399">
        <v>-6402694</v>
      </c>
    </row>
    <row r="2407" spans="2:9">
      <c r="B2407" s="1297"/>
      <c r="C2407" s="1297"/>
      <c r="D2407" s="1297" t="s">
        <v>1047</v>
      </c>
      <c r="H2407" s="1399">
        <v>1389837</v>
      </c>
      <c r="I2407" s="1399">
        <v>1389837</v>
      </c>
    </row>
    <row r="2408" spans="2:9">
      <c r="B2408" s="1297"/>
      <c r="C2408" s="1297"/>
      <c r="D2408" s="1297" t="s">
        <v>1048</v>
      </c>
      <c r="H2408" s="1399">
        <v>-28293570</v>
      </c>
      <c r="I2408" s="1399">
        <v>-28293570</v>
      </c>
    </row>
    <row r="2409" spans="2:9">
      <c r="B2409" s="1297"/>
      <c r="C2409" s="1297"/>
      <c r="D2409" s="1297" t="s">
        <v>955</v>
      </c>
      <c r="H2409" s="1399">
        <v>2117210.15</v>
      </c>
      <c r="I2409" s="1399">
        <v>2117210.15</v>
      </c>
    </row>
    <row r="2410" spans="2:9">
      <c r="B2410" s="1297"/>
      <c r="C2410" s="1297"/>
      <c r="D2410" s="1297" t="s">
        <v>934</v>
      </c>
      <c r="H2410" s="1399">
        <v>185492</v>
      </c>
      <c r="I2410" s="1399">
        <v>185492</v>
      </c>
    </row>
    <row r="2411" spans="2:9">
      <c r="B2411" s="1297"/>
      <c r="C2411" s="1297"/>
      <c r="D2411" s="1297" t="s">
        <v>1130</v>
      </c>
      <c r="H2411" s="1399">
        <v>1135530</v>
      </c>
      <c r="I2411" s="1399">
        <v>1135530</v>
      </c>
    </row>
    <row r="2412" spans="2:9">
      <c r="B2412" s="1297"/>
      <c r="C2412" s="1297"/>
      <c r="D2412" s="1297" t="s">
        <v>935</v>
      </c>
      <c r="H2412" s="1399">
        <v>-551104.67000000004</v>
      </c>
      <c r="I2412" s="1399">
        <v>-551104.67000000004</v>
      </c>
    </row>
    <row r="2413" spans="2:9">
      <c r="B2413" s="1297"/>
      <c r="C2413" s="1297"/>
      <c r="D2413" s="1297" t="s">
        <v>936</v>
      </c>
      <c r="H2413" s="1399">
        <v>217793.63</v>
      </c>
      <c r="I2413" s="1399">
        <v>217793.63</v>
      </c>
    </row>
    <row r="2414" spans="2:9">
      <c r="B2414" s="1297"/>
      <c r="C2414" s="1297"/>
      <c r="D2414" s="1297" t="s">
        <v>937</v>
      </c>
      <c r="H2414" s="1399">
        <v>13531.72</v>
      </c>
      <c r="I2414" s="1399">
        <v>13531.72</v>
      </c>
    </row>
    <row r="2415" spans="2:9">
      <c r="B2415" s="1297"/>
      <c r="C2415" s="1297"/>
      <c r="D2415" s="1297" t="s">
        <v>938</v>
      </c>
      <c r="H2415" s="1399">
        <v>69249</v>
      </c>
      <c r="I2415" s="1399">
        <v>69249</v>
      </c>
    </row>
    <row r="2416" spans="2:9">
      <c r="B2416" s="1297"/>
      <c r="C2416" s="1297"/>
      <c r="D2416" s="1297" t="s">
        <v>939</v>
      </c>
      <c r="H2416" s="1399">
        <v>50087.6</v>
      </c>
      <c r="I2416" s="1399">
        <v>50087.6</v>
      </c>
    </row>
    <row r="2417" spans="2:9">
      <c r="B2417" s="1297"/>
      <c r="C2417" s="1297"/>
      <c r="D2417" s="1297" t="s">
        <v>940</v>
      </c>
      <c r="E2417" s="1399">
        <v>3332567.58</v>
      </c>
      <c r="I2417" s="1399">
        <v>3332567.58</v>
      </c>
    </row>
    <row r="2418" spans="2:9">
      <c r="B2418" s="1297"/>
      <c r="C2418" s="1297"/>
      <c r="D2418" s="1297" t="s">
        <v>941</v>
      </c>
      <c r="E2418" s="1399">
        <v>1450570.7399999998</v>
      </c>
      <c r="I2418" s="1399">
        <v>1450570.7399999998</v>
      </c>
    </row>
    <row r="2419" spans="2:9">
      <c r="B2419" s="1297"/>
      <c r="C2419" s="1297"/>
      <c r="D2419" s="1297" t="s">
        <v>942</v>
      </c>
      <c r="E2419" s="1399">
        <v>100458.67</v>
      </c>
      <c r="I2419" s="1399">
        <v>100458.67</v>
      </c>
    </row>
    <row r="2420" spans="2:9">
      <c r="B2420" s="1297"/>
      <c r="C2420" s="1297"/>
      <c r="D2420" s="1297" t="s">
        <v>944</v>
      </c>
      <c r="E2420" s="1399">
        <v>11294395.68</v>
      </c>
      <c r="I2420" s="1399">
        <v>11294395.68</v>
      </c>
    </row>
    <row r="2421" spans="2:9">
      <c r="B2421" s="1297"/>
      <c r="C2421" s="1297"/>
      <c r="D2421" s="1297" t="s">
        <v>945</v>
      </c>
      <c r="E2421" s="1399">
        <v>2496689</v>
      </c>
      <c r="I2421" s="1399">
        <v>2496689</v>
      </c>
    </row>
    <row r="2422" spans="2:9">
      <c r="B2422" s="1297"/>
      <c r="C2422" s="1297"/>
      <c r="D2422" s="1297" t="s">
        <v>946</v>
      </c>
      <c r="E2422" s="1399">
        <v>233746.3</v>
      </c>
      <c r="I2422" s="1399">
        <v>233746.3</v>
      </c>
    </row>
    <row r="2423" spans="2:9">
      <c r="B2423" s="1297"/>
      <c r="C2423" s="1297"/>
      <c r="D2423" s="1297" t="s">
        <v>1006</v>
      </c>
      <c r="E2423" s="1399">
        <v>17731.669999999998</v>
      </c>
      <c r="I2423" s="1399">
        <v>17731.669999999998</v>
      </c>
    </row>
    <row r="2424" spans="2:9">
      <c r="B2424" s="1297"/>
      <c r="C2424" s="1297"/>
      <c r="D2424" s="1297" t="s">
        <v>1116</v>
      </c>
      <c r="G2424" s="1399">
        <v>56538149.979999997</v>
      </c>
      <c r="I2424" s="1399">
        <v>56538149.979999997</v>
      </c>
    </row>
    <row r="2425" spans="2:9">
      <c r="B2425" s="1297"/>
      <c r="C2425" s="1297"/>
      <c r="D2425" s="1297" t="s">
        <v>948</v>
      </c>
      <c r="G2425" s="1399">
        <v>15624028.899999999</v>
      </c>
      <c r="I2425" s="1399">
        <v>15624028.899999999</v>
      </c>
    </row>
    <row r="2426" spans="2:9">
      <c r="B2426" s="1297"/>
      <c r="C2426" s="1297"/>
      <c r="D2426" s="1297" t="s">
        <v>956</v>
      </c>
      <c r="G2426" s="1399">
        <v>23200.5</v>
      </c>
      <c r="I2426" s="1399">
        <v>23200.5</v>
      </c>
    </row>
    <row r="2427" spans="2:9">
      <c r="B2427" s="1297"/>
      <c r="C2427" s="1297"/>
      <c r="D2427" s="1297" t="s">
        <v>1118</v>
      </c>
      <c r="G2427" s="1399">
        <v>249756</v>
      </c>
      <c r="I2427" s="1399">
        <v>249756</v>
      </c>
    </row>
    <row r="2428" spans="2:9">
      <c r="B2428" s="1297"/>
      <c r="C2428" s="1400" t="s">
        <v>1149</v>
      </c>
      <c r="D2428" s="1400"/>
      <c r="E2428" s="1401">
        <v>18926159.640000004</v>
      </c>
      <c r="F2428" s="1401">
        <v>96492323.86999999</v>
      </c>
      <c r="G2428" s="1401">
        <v>72435135.379999995</v>
      </c>
      <c r="H2428" s="1401">
        <v>38805834.43</v>
      </c>
      <c r="I2428" s="1401">
        <v>226659453.32000002</v>
      </c>
    </row>
    <row r="2429" spans="2:9">
      <c r="B2429" s="1297" t="s">
        <v>1150</v>
      </c>
      <c r="C2429" s="1297" t="s">
        <v>1151</v>
      </c>
      <c r="D2429" s="1297" t="s">
        <v>906</v>
      </c>
      <c r="F2429" s="1399">
        <v>14448871.33</v>
      </c>
      <c r="I2429" s="1399">
        <v>14448871.33</v>
      </c>
    </row>
    <row r="2430" spans="2:9">
      <c r="B2430" s="1297"/>
      <c r="C2430" s="1297"/>
      <c r="D2430" s="1297" t="s">
        <v>952</v>
      </c>
      <c r="F2430" s="1399">
        <v>276006.40000000002</v>
      </c>
      <c r="I2430" s="1399">
        <v>276006.40000000002</v>
      </c>
    </row>
    <row r="2431" spans="2:9">
      <c r="B2431" s="1297"/>
      <c r="C2431" s="1297"/>
      <c r="D2431" s="1297" t="s">
        <v>907</v>
      </c>
      <c r="F2431" s="1399">
        <v>5148650.37</v>
      </c>
      <c r="I2431" s="1399">
        <v>5148650.37</v>
      </c>
    </row>
    <row r="2432" spans="2:9">
      <c r="B2432" s="1297"/>
      <c r="C2432" s="1297"/>
      <c r="D2432" s="1297" t="s">
        <v>908</v>
      </c>
      <c r="F2432" s="1399">
        <v>496916.45</v>
      </c>
      <c r="I2432" s="1399">
        <v>496916.45</v>
      </c>
    </row>
    <row r="2433" spans="2:9">
      <c r="B2433" s="1297"/>
      <c r="C2433" s="1297"/>
      <c r="D2433" s="1297" t="s">
        <v>909</v>
      </c>
      <c r="F2433" s="1399">
        <v>19580.150000000001</v>
      </c>
      <c r="I2433" s="1399">
        <v>19580.150000000001</v>
      </c>
    </row>
    <row r="2434" spans="2:9">
      <c r="B2434" s="1297"/>
      <c r="C2434" s="1297"/>
      <c r="D2434" s="1297" t="s">
        <v>910</v>
      </c>
      <c r="F2434" s="1399">
        <v>38867.299999999996</v>
      </c>
      <c r="I2434" s="1399">
        <v>38867.299999999996</v>
      </c>
    </row>
    <row r="2435" spans="2:9">
      <c r="B2435" s="1297"/>
      <c r="C2435" s="1297"/>
      <c r="D2435" s="1297" t="s">
        <v>1034</v>
      </c>
      <c r="F2435" s="1399">
        <v>142843.64000000001</v>
      </c>
      <c r="I2435" s="1399">
        <v>142843.64000000001</v>
      </c>
    </row>
    <row r="2436" spans="2:9">
      <c r="B2436" s="1297"/>
      <c r="C2436" s="1297"/>
      <c r="D2436" s="1297" t="s">
        <v>1035</v>
      </c>
      <c r="F2436" s="1399">
        <v>457653.44</v>
      </c>
      <c r="I2436" s="1399">
        <v>457653.44</v>
      </c>
    </row>
    <row r="2437" spans="2:9">
      <c r="B2437" s="1297"/>
      <c r="C2437" s="1297"/>
      <c r="D2437" s="1297" t="s">
        <v>1036</v>
      </c>
      <c r="F2437" s="1399">
        <v>178650.95</v>
      </c>
      <c r="I2437" s="1399">
        <v>178650.95</v>
      </c>
    </row>
    <row r="2438" spans="2:9">
      <c r="B2438" s="1297"/>
      <c r="C2438" s="1297"/>
      <c r="D2438" s="1297" t="s">
        <v>1038</v>
      </c>
      <c r="F2438" s="1399">
        <v>7565</v>
      </c>
      <c r="I2438" s="1399">
        <v>7565</v>
      </c>
    </row>
    <row r="2439" spans="2:9">
      <c r="B2439" s="1297"/>
      <c r="C2439" s="1297"/>
      <c r="D2439" s="1297" t="s">
        <v>1039</v>
      </c>
      <c r="F2439" s="1399">
        <v>28881.249999999993</v>
      </c>
      <c r="I2439" s="1399">
        <v>28881.249999999993</v>
      </c>
    </row>
    <row r="2440" spans="2:9">
      <c r="B2440" s="1297"/>
      <c r="C2440" s="1297"/>
      <c r="D2440" s="1297" t="s">
        <v>1040</v>
      </c>
      <c r="F2440" s="1399">
        <v>702617.84</v>
      </c>
      <c r="I2440" s="1399">
        <v>702617.84</v>
      </c>
    </row>
    <row r="2441" spans="2:9">
      <c r="B2441" s="1297"/>
      <c r="C2441" s="1297"/>
      <c r="D2441" s="1297" t="s">
        <v>1041</v>
      </c>
      <c r="F2441" s="1399">
        <v>251239.84999999998</v>
      </c>
      <c r="I2441" s="1399">
        <v>251239.84999999998</v>
      </c>
    </row>
    <row r="2442" spans="2:9">
      <c r="B2442" s="1297"/>
      <c r="C2442" s="1297"/>
      <c r="D2442" s="1297" t="s">
        <v>1042</v>
      </c>
      <c r="F2442" s="1399">
        <v>101307.74</v>
      </c>
      <c r="I2442" s="1399">
        <v>101307.74</v>
      </c>
    </row>
    <row r="2443" spans="2:9">
      <c r="B2443" s="1297"/>
      <c r="C2443" s="1297"/>
      <c r="D2443" s="1297" t="s">
        <v>954</v>
      </c>
      <c r="F2443" s="1399">
        <v>557478.99999999988</v>
      </c>
      <c r="I2443" s="1399">
        <v>557478.99999999988</v>
      </c>
    </row>
    <row r="2444" spans="2:9">
      <c r="B2444" s="1297"/>
      <c r="C2444" s="1297"/>
      <c r="D2444" s="1297" t="s">
        <v>985</v>
      </c>
      <c r="F2444" s="1399">
        <v>308132.64</v>
      </c>
      <c r="I2444" s="1399">
        <v>308132.64</v>
      </c>
    </row>
    <row r="2445" spans="2:9">
      <c r="B2445" s="1297"/>
      <c r="C2445" s="1297"/>
      <c r="D2445" s="1297" t="s">
        <v>1043</v>
      </c>
      <c r="F2445" s="1399">
        <v>10066.67</v>
      </c>
      <c r="I2445" s="1399">
        <v>10066.67</v>
      </c>
    </row>
    <row r="2446" spans="2:9">
      <c r="B2446" s="1297"/>
      <c r="C2446" s="1297"/>
      <c r="D2446" s="1297" t="s">
        <v>1203</v>
      </c>
      <c r="F2446" s="1399">
        <v>30000</v>
      </c>
      <c r="I2446" s="1399">
        <v>30000</v>
      </c>
    </row>
    <row r="2447" spans="2:9">
      <c r="B2447" s="1297"/>
      <c r="C2447" s="1297"/>
      <c r="D2447" s="1297" t="s">
        <v>991</v>
      </c>
      <c r="F2447" s="1399">
        <v>12563.31</v>
      </c>
      <c r="I2447" s="1399">
        <v>12563.31</v>
      </c>
    </row>
    <row r="2448" spans="2:9">
      <c r="B2448" s="1297"/>
      <c r="C2448" s="1297"/>
      <c r="D2448" s="1297" t="s">
        <v>1045</v>
      </c>
      <c r="F2448" s="1399">
        <v>1076498.5100000002</v>
      </c>
      <c r="I2448" s="1399">
        <v>1076498.5100000002</v>
      </c>
    </row>
    <row r="2449" spans="2:9">
      <c r="B2449" s="1297"/>
      <c r="C2449" s="1297"/>
      <c r="D2449" s="1297" t="s">
        <v>1046</v>
      </c>
      <c r="H2449" s="1399">
        <v>34205691</v>
      </c>
      <c r="I2449" s="1399">
        <v>34205691</v>
      </c>
    </row>
    <row r="2450" spans="2:9">
      <c r="B2450" s="1297"/>
      <c r="C2450" s="1297"/>
      <c r="D2450" s="1297" t="s">
        <v>1128</v>
      </c>
      <c r="H2450" s="1399">
        <v>2832071</v>
      </c>
      <c r="I2450" s="1399">
        <v>2832071</v>
      </c>
    </row>
    <row r="2451" spans="2:9">
      <c r="B2451" s="1297"/>
      <c r="C2451" s="1297"/>
      <c r="D2451" s="1297" t="s">
        <v>1129</v>
      </c>
      <c r="H2451" s="1399">
        <v>-4748788</v>
      </c>
      <c r="I2451" s="1399">
        <v>-4748788</v>
      </c>
    </row>
    <row r="2452" spans="2:9">
      <c r="B2452" s="1297"/>
      <c r="C2452" s="1297"/>
      <c r="D2452" s="1297" t="s">
        <v>1047</v>
      </c>
      <c r="H2452" s="1399">
        <v>1142819</v>
      </c>
      <c r="I2452" s="1399">
        <v>1142819</v>
      </c>
    </row>
    <row r="2453" spans="2:9">
      <c r="B2453" s="1297"/>
      <c r="C2453" s="1297"/>
      <c r="D2453" s="1297" t="s">
        <v>1048</v>
      </c>
      <c r="H2453" s="1399">
        <v>-4428808</v>
      </c>
      <c r="I2453" s="1399">
        <v>-4428808</v>
      </c>
    </row>
    <row r="2454" spans="2:9">
      <c r="B2454" s="1297"/>
      <c r="C2454" s="1297"/>
      <c r="D2454" s="1297" t="s">
        <v>932</v>
      </c>
      <c r="H2454" s="1399">
        <v>3818490</v>
      </c>
      <c r="I2454" s="1399">
        <v>3818490</v>
      </c>
    </row>
    <row r="2455" spans="2:9">
      <c r="B2455" s="1297"/>
      <c r="C2455" s="1297"/>
      <c r="D2455" s="1297" t="s">
        <v>955</v>
      </c>
      <c r="H2455" s="1399">
        <v>1812187.51</v>
      </c>
      <c r="I2455" s="1399">
        <v>1812187.51</v>
      </c>
    </row>
    <row r="2456" spans="2:9">
      <c r="B2456" s="1297"/>
      <c r="C2456" s="1297"/>
      <c r="D2456" s="1297" t="s">
        <v>934</v>
      </c>
      <c r="H2456" s="1399">
        <v>114192</v>
      </c>
      <c r="I2456" s="1399">
        <v>114192</v>
      </c>
    </row>
    <row r="2457" spans="2:9">
      <c r="B2457" s="1297"/>
      <c r="C2457" s="1297"/>
      <c r="D2457" s="1297" t="s">
        <v>935</v>
      </c>
      <c r="H2457" s="1399">
        <v>684789.88</v>
      </c>
      <c r="I2457" s="1399">
        <v>684789.88</v>
      </c>
    </row>
    <row r="2458" spans="2:9">
      <c r="B2458" s="1297"/>
      <c r="C2458" s="1297"/>
      <c r="D2458" s="1297" t="s">
        <v>936</v>
      </c>
      <c r="H2458" s="1399">
        <v>103294.41</v>
      </c>
      <c r="I2458" s="1399">
        <v>103294.41</v>
      </c>
    </row>
    <row r="2459" spans="2:9">
      <c r="B2459" s="1297"/>
      <c r="C2459" s="1297"/>
      <c r="D2459" s="1297" t="s">
        <v>937</v>
      </c>
      <c r="H2459" s="1399">
        <v>31035.32</v>
      </c>
      <c r="I2459" s="1399">
        <v>31035.32</v>
      </c>
    </row>
    <row r="2460" spans="2:9">
      <c r="B2460" s="1297"/>
      <c r="C2460" s="1297"/>
      <c r="D2460" s="1297" t="s">
        <v>938</v>
      </c>
      <c r="H2460" s="1399">
        <v>26015</v>
      </c>
      <c r="I2460" s="1399">
        <v>26015</v>
      </c>
    </row>
    <row r="2461" spans="2:9">
      <c r="B2461" s="1297"/>
      <c r="C2461" s="1297"/>
      <c r="D2461" s="1297" t="s">
        <v>939</v>
      </c>
      <c r="H2461" s="1399">
        <v>84477.17</v>
      </c>
      <c r="I2461" s="1399">
        <v>84477.17</v>
      </c>
    </row>
    <row r="2462" spans="2:9">
      <c r="B2462" s="1297"/>
      <c r="C2462" s="1297"/>
      <c r="D2462" s="1297" t="s">
        <v>1131</v>
      </c>
      <c r="E2462" s="1399">
        <v>46946.26</v>
      </c>
      <c r="I2462" s="1399">
        <v>46946.26</v>
      </c>
    </row>
    <row r="2463" spans="2:9">
      <c r="B2463" s="1297"/>
      <c r="C2463" s="1297"/>
      <c r="D2463" s="1297" t="s">
        <v>940</v>
      </c>
      <c r="E2463" s="1399">
        <v>1811573.5000000002</v>
      </c>
      <c r="I2463" s="1399">
        <v>1811573.5000000002</v>
      </c>
    </row>
    <row r="2464" spans="2:9">
      <c r="B2464" s="1297"/>
      <c r="C2464" s="1297"/>
      <c r="D2464" s="1297" t="s">
        <v>941</v>
      </c>
      <c r="E2464" s="1399">
        <v>656905.46</v>
      </c>
      <c r="I2464" s="1399">
        <v>656905.46</v>
      </c>
    </row>
    <row r="2465" spans="2:9">
      <c r="B2465" s="1297"/>
      <c r="C2465" s="1297"/>
      <c r="D2465" s="1297" t="s">
        <v>943</v>
      </c>
      <c r="E2465" s="1399">
        <v>56596.68</v>
      </c>
      <c r="I2465" s="1399">
        <v>56596.68</v>
      </c>
    </row>
    <row r="2466" spans="2:9">
      <c r="B2466" s="1297"/>
      <c r="C2466" s="1297"/>
      <c r="D2466" s="1297" t="s">
        <v>944</v>
      </c>
      <c r="E2466" s="1399">
        <v>3750673.66</v>
      </c>
      <c r="I2466" s="1399">
        <v>3750673.66</v>
      </c>
    </row>
    <row r="2467" spans="2:9">
      <c r="B2467" s="1297"/>
      <c r="C2467" s="1297"/>
      <c r="D2467" s="1297" t="s">
        <v>945</v>
      </c>
      <c r="E2467" s="1399">
        <v>1777482.05</v>
      </c>
      <c r="I2467" s="1399">
        <v>1777482.05</v>
      </c>
    </row>
    <row r="2468" spans="2:9">
      <c r="B2468" s="1297"/>
      <c r="C2468" s="1297"/>
      <c r="D2468" s="1297" t="s">
        <v>1214</v>
      </c>
      <c r="E2468" s="1399">
        <v>8439.07</v>
      </c>
      <c r="I2468" s="1399">
        <v>8439.07</v>
      </c>
    </row>
    <row r="2469" spans="2:9">
      <c r="B2469" s="1297"/>
      <c r="C2469" s="1297"/>
      <c r="D2469" s="1297" t="s">
        <v>947</v>
      </c>
      <c r="E2469" s="1399">
        <v>131182.97</v>
      </c>
      <c r="I2469" s="1399">
        <v>131182.97</v>
      </c>
    </row>
    <row r="2470" spans="2:9">
      <c r="B2470" s="1297"/>
      <c r="C2470" s="1297"/>
      <c r="D2470" s="1297" t="s">
        <v>948</v>
      </c>
      <c r="G2470" s="1399">
        <v>12160975.23</v>
      </c>
      <c r="I2470" s="1399">
        <v>12160975.23</v>
      </c>
    </row>
    <row r="2471" spans="2:9">
      <c r="B2471" s="1297"/>
      <c r="C2471" s="1297"/>
      <c r="D2471" s="1297" t="s">
        <v>956</v>
      </c>
      <c r="G2471" s="1399">
        <v>172867.26</v>
      </c>
      <c r="I2471" s="1399">
        <v>172867.26</v>
      </c>
    </row>
    <row r="2472" spans="2:9">
      <c r="B2472" s="1297"/>
      <c r="C2472" s="1400" t="s">
        <v>1152</v>
      </c>
      <c r="D2472" s="1400"/>
      <c r="E2472" s="1401">
        <v>8239799.6500000004</v>
      </c>
      <c r="F2472" s="1401">
        <v>24294391.840000004</v>
      </c>
      <c r="G2472" s="1401">
        <v>12333842.49</v>
      </c>
      <c r="H2472" s="1401">
        <v>35677466.289999999</v>
      </c>
      <c r="I2472" s="1401">
        <v>80545500.269999996</v>
      </c>
    </row>
    <row r="2473" spans="2:9">
      <c r="B2473" s="1297" t="s">
        <v>1153</v>
      </c>
      <c r="C2473" s="1297" t="s">
        <v>1154</v>
      </c>
      <c r="D2473" s="1297" t="s">
        <v>906</v>
      </c>
      <c r="F2473" s="1399">
        <v>7531688.2699999996</v>
      </c>
      <c r="I2473" s="1399">
        <v>7531688.2699999996</v>
      </c>
    </row>
    <row r="2474" spans="2:9">
      <c r="B2474" s="1297"/>
      <c r="C2474" s="1297"/>
      <c r="D2474" s="1297" t="s">
        <v>907</v>
      </c>
      <c r="F2474" s="1399">
        <v>2659638.12</v>
      </c>
      <c r="I2474" s="1399">
        <v>2659638.12</v>
      </c>
    </row>
    <row r="2475" spans="2:9">
      <c r="B2475" s="1297"/>
      <c r="C2475" s="1297"/>
      <c r="D2475" s="1297" t="s">
        <v>908</v>
      </c>
      <c r="F2475" s="1399">
        <v>91895.73</v>
      </c>
      <c r="I2475" s="1399">
        <v>91895.73</v>
      </c>
    </row>
    <row r="2476" spans="2:9">
      <c r="B2476" s="1297"/>
      <c r="C2476" s="1297"/>
      <c r="D2476" s="1297" t="s">
        <v>909</v>
      </c>
      <c r="F2476" s="1399">
        <v>68139.7</v>
      </c>
      <c r="I2476" s="1399">
        <v>68139.7</v>
      </c>
    </row>
    <row r="2477" spans="2:9">
      <c r="B2477" s="1297"/>
      <c r="C2477" s="1297"/>
      <c r="D2477" s="1297" t="s">
        <v>910</v>
      </c>
      <c r="F2477" s="1399">
        <v>294263.69</v>
      </c>
      <c r="I2477" s="1399">
        <v>294263.69</v>
      </c>
    </row>
    <row r="2478" spans="2:9">
      <c r="B2478" s="1297"/>
      <c r="C2478" s="1297"/>
      <c r="D2478" s="1297" t="s">
        <v>1034</v>
      </c>
      <c r="F2478" s="1399">
        <v>79582.31</v>
      </c>
      <c r="I2478" s="1399">
        <v>79582.31</v>
      </c>
    </row>
    <row r="2479" spans="2:9">
      <c r="B2479" s="1297"/>
      <c r="C2479" s="1297"/>
      <c r="D2479" s="1297" t="s">
        <v>1035</v>
      </c>
      <c r="F2479" s="1399">
        <v>412898.2</v>
      </c>
      <c r="I2479" s="1399">
        <v>412898.2</v>
      </c>
    </row>
    <row r="2480" spans="2:9">
      <c r="B2480" s="1297"/>
      <c r="C2480" s="1297"/>
      <c r="D2480" s="1297" t="s">
        <v>1036</v>
      </c>
      <c r="F2480" s="1399">
        <v>215880.68</v>
      </c>
      <c r="I2480" s="1399">
        <v>215880.68</v>
      </c>
    </row>
    <row r="2481" spans="2:9">
      <c r="B2481" s="1297"/>
      <c r="C2481" s="1297"/>
      <c r="D2481" s="1297" t="s">
        <v>1037</v>
      </c>
      <c r="F2481" s="1399">
        <v>9390</v>
      </c>
      <c r="I2481" s="1399">
        <v>9390</v>
      </c>
    </row>
    <row r="2482" spans="2:9">
      <c r="B2482" s="1297"/>
      <c r="C2482" s="1297"/>
      <c r="D2482" s="1297" t="s">
        <v>1039</v>
      </c>
      <c r="F2482" s="1399">
        <v>13062.32</v>
      </c>
      <c r="I2482" s="1399">
        <v>13062.32</v>
      </c>
    </row>
    <row r="2483" spans="2:9">
      <c r="B2483" s="1297"/>
      <c r="C2483" s="1297"/>
      <c r="D2483" s="1297" t="s">
        <v>1040</v>
      </c>
      <c r="F2483" s="1399">
        <v>174414.55</v>
      </c>
      <c r="I2483" s="1399">
        <v>174414.55</v>
      </c>
    </row>
    <row r="2484" spans="2:9">
      <c r="B2484" s="1297"/>
      <c r="C2484" s="1297"/>
      <c r="D2484" s="1297" t="s">
        <v>1041</v>
      </c>
      <c r="F2484" s="1399">
        <v>19509.8</v>
      </c>
      <c r="I2484" s="1399">
        <v>19509.8</v>
      </c>
    </row>
    <row r="2485" spans="2:9">
      <c r="B2485" s="1297"/>
      <c r="C2485" s="1297"/>
      <c r="D2485" s="1297" t="s">
        <v>1042</v>
      </c>
      <c r="F2485" s="1399">
        <v>50834</v>
      </c>
      <c r="I2485" s="1399">
        <v>50834</v>
      </c>
    </row>
    <row r="2486" spans="2:9">
      <c r="B2486" s="1297"/>
      <c r="C2486" s="1297"/>
      <c r="D2486" s="1297" t="s">
        <v>985</v>
      </c>
      <c r="F2486" s="1399">
        <v>91339.75</v>
      </c>
      <c r="I2486" s="1399">
        <v>91339.75</v>
      </c>
    </row>
    <row r="2487" spans="2:9">
      <c r="B2487" s="1297"/>
      <c r="C2487" s="1297"/>
      <c r="D2487" s="1297" t="s">
        <v>986</v>
      </c>
      <c r="F2487" s="1399">
        <v>86500</v>
      </c>
      <c r="I2487" s="1399">
        <v>86500</v>
      </c>
    </row>
    <row r="2488" spans="2:9">
      <c r="B2488" s="1297"/>
      <c r="C2488" s="1297"/>
      <c r="D2488" s="1297" t="s">
        <v>1044</v>
      </c>
      <c r="F2488" s="1399">
        <v>24753</v>
      </c>
      <c r="I2488" s="1399">
        <v>24753</v>
      </c>
    </row>
    <row r="2489" spans="2:9">
      <c r="B2489" s="1297"/>
      <c r="C2489" s="1297"/>
      <c r="D2489" s="1297" t="s">
        <v>1045</v>
      </c>
      <c r="F2489" s="1399">
        <v>153049.31999999998</v>
      </c>
      <c r="I2489" s="1399">
        <v>153049.31999999998</v>
      </c>
    </row>
    <row r="2490" spans="2:9">
      <c r="B2490" s="1297"/>
      <c r="C2490" s="1297"/>
      <c r="D2490" s="1297" t="s">
        <v>1046</v>
      </c>
      <c r="H2490" s="1399">
        <v>22824923</v>
      </c>
      <c r="I2490" s="1399">
        <v>22824923</v>
      </c>
    </row>
    <row r="2491" spans="2:9">
      <c r="B2491" s="1297"/>
      <c r="C2491" s="1297"/>
      <c r="D2491" s="1297" t="s">
        <v>1128</v>
      </c>
      <c r="H2491" s="1399">
        <v>1833449</v>
      </c>
      <c r="I2491" s="1399">
        <v>1833449</v>
      </c>
    </row>
    <row r="2492" spans="2:9">
      <c r="B2492" s="1297"/>
      <c r="C2492" s="1297"/>
      <c r="D2492" s="1297" t="s">
        <v>1129</v>
      </c>
      <c r="H2492" s="1399">
        <v>-3230025</v>
      </c>
      <c r="I2492" s="1399">
        <v>-3230025</v>
      </c>
    </row>
    <row r="2493" spans="2:9">
      <c r="B2493" s="1297"/>
      <c r="C2493" s="1297"/>
      <c r="D2493" s="1297" t="s">
        <v>1047</v>
      </c>
      <c r="H2493" s="1399">
        <v>641686</v>
      </c>
      <c r="I2493" s="1399">
        <v>641686</v>
      </c>
    </row>
    <row r="2494" spans="2:9">
      <c r="B2494" s="1297"/>
      <c r="C2494" s="1297"/>
      <c r="D2494" s="1297" t="s">
        <v>1048</v>
      </c>
      <c r="H2494" s="1399">
        <v>-2615676</v>
      </c>
      <c r="I2494" s="1399">
        <v>-2615676</v>
      </c>
    </row>
    <row r="2495" spans="2:9">
      <c r="B2495" s="1297"/>
      <c r="C2495" s="1297"/>
      <c r="D2495" s="1297" t="s">
        <v>932</v>
      </c>
      <c r="H2495" s="1399">
        <v>2051522</v>
      </c>
      <c r="I2495" s="1399">
        <v>2051522</v>
      </c>
    </row>
    <row r="2496" spans="2:9">
      <c r="B2496" s="1297"/>
      <c r="C2496" s="1297"/>
      <c r="D2496" s="1297" t="s">
        <v>955</v>
      </c>
      <c r="H2496" s="1399">
        <v>1044359.87</v>
      </c>
      <c r="I2496" s="1399">
        <v>1044359.87</v>
      </c>
    </row>
    <row r="2497" spans="2:9">
      <c r="B2497" s="1297"/>
      <c r="C2497" s="1297"/>
      <c r="D2497" s="1297" t="s">
        <v>934</v>
      </c>
      <c r="H2497" s="1399">
        <v>66950</v>
      </c>
      <c r="I2497" s="1399">
        <v>66950</v>
      </c>
    </row>
    <row r="2498" spans="2:9">
      <c r="B2498" s="1297"/>
      <c r="C2498" s="1297"/>
      <c r="D2498" s="1297" t="s">
        <v>935</v>
      </c>
      <c r="H2498" s="1399">
        <v>99349.03</v>
      </c>
      <c r="I2498" s="1399">
        <v>99349.03</v>
      </c>
    </row>
    <row r="2499" spans="2:9">
      <c r="B2499" s="1297"/>
      <c r="C2499" s="1297"/>
      <c r="D2499" s="1297" t="s">
        <v>936</v>
      </c>
      <c r="H2499" s="1399">
        <v>74932.210000000006</v>
      </c>
      <c r="I2499" s="1399">
        <v>74932.210000000006</v>
      </c>
    </row>
    <row r="2500" spans="2:9">
      <c r="B2500" s="1297"/>
      <c r="C2500" s="1297"/>
      <c r="D2500" s="1297" t="s">
        <v>938</v>
      </c>
      <c r="H2500" s="1399">
        <v>23395</v>
      </c>
      <c r="I2500" s="1399">
        <v>23395</v>
      </c>
    </row>
    <row r="2501" spans="2:9">
      <c r="B2501" s="1297"/>
      <c r="C2501" s="1297"/>
      <c r="D2501" s="1297" t="s">
        <v>940</v>
      </c>
      <c r="E2501" s="1399">
        <v>1333517.8999999999</v>
      </c>
      <c r="I2501" s="1399">
        <v>1333517.8999999999</v>
      </c>
    </row>
    <row r="2502" spans="2:9">
      <c r="B2502" s="1297"/>
      <c r="C2502" s="1297"/>
      <c r="D2502" s="1297" t="s">
        <v>941</v>
      </c>
      <c r="E2502" s="1399">
        <v>576495.1</v>
      </c>
      <c r="I2502" s="1399">
        <v>576495.1</v>
      </c>
    </row>
    <row r="2503" spans="2:9">
      <c r="B2503" s="1297"/>
      <c r="C2503" s="1297"/>
      <c r="D2503" s="1297" t="s">
        <v>943</v>
      </c>
      <c r="E2503" s="1399">
        <v>3850.22</v>
      </c>
      <c r="I2503" s="1399">
        <v>3850.22</v>
      </c>
    </row>
    <row r="2504" spans="2:9">
      <c r="B2504" s="1297"/>
      <c r="C2504" s="1297"/>
      <c r="D2504" s="1297" t="s">
        <v>944</v>
      </c>
      <c r="E2504" s="1399">
        <v>3518205.33</v>
      </c>
      <c r="I2504" s="1399">
        <v>3518205.33</v>
      </c>
    </row>
    <row r="2505" spans="2:9">
      <c r="B2505" s="1297"/>
      <c r="C2505" s="1297"/>
      <c r="D2505" s="1297" t="s">
        <v>945</v>
      </c>
      <c r="E2505" s="1399">
        <v>1917365.52</v>
      </c>
      <c r="I2505" s="1399">
        <v>1917365.52</v>
      </c>
    </row>
    <row r="2506" spans="2:9">
      <c r="B2506" s="1297"/>
      <c r="C2506" s="1297"/>
      <c r="D2506" s="1297" t="s">
        <v>946</v>
      </c>
      <c r="E2506" s="1399">
        <v>194911.71000000002</v>
      </c>
      <c r="I2506" s="1399">
        <v>194911.71000000002</v>
      </c>
    </row>
    <row r="2507" spans="2:9">
      <c r="B2507" s="1297"/>
      <c r="C2507" s="1297"/>
      <c r="D2507" s="1297" t="s">
        <v>947</v>
      </c>
      <c r="E2507" s="1399">
        <v>160321.59</v>
      </c>
      <c r="I2507" s="1399">
        <v>160321.59</v>
      </c>
    </row>
    <row r="2508" spans="2:9">
      <c r="B2508" s="1297"/>
      <c r="C2508" s="1297"/>
      <c r="D2508" s="1297" t="s">
        <v>948</v>
      </c>
      <c r="G2508" s="1399">
        <v>315395.37</v>
      </c>
      <c r="I2508" s="1399">
        <v>315395.37</v>
      </c>
    </row>
    <row r="2509" spans="2:9">
      <c r="B2509" s="1297"/>
      <c r="C2509" s="1297"/>
      <c r="D2509" s="1297" t="s">
        <v>956</v>
      </c>
      <c r="G2509" s="1399">
        <v>679.1</v>
      </c>
      <c r="I2509" s="1399">
        <v>679.1</v>
      </c>
    </row>
    <row r="2510" spans="2:9">
      <c r="B2510" s="1297"/>
      <c r="C2510" s="1400" t="s">
        <v>1155</v>
      </c>
      <c r="D2510" s="1400"/>
      <c r="E2510" s="1401">
        <v>7704667.3700000001</v>
      </c>
      <c r="F2510" s="1401">
        <v>11976839.440000001</v>
      </c>
      <c r="G2510" s="1401">
        <v>316074.46999999997</v>
      </c>
      <c r="H2510" s="1401">
        <v>22814865.110000003</v>
      </c>
      <c r="I2510" s="1401">
        <v>42812446.390000001</v>
      </c>
    </row>
    <row r="2511" spans="2:9">
      <c r="B2511" s="1297" t="s">
        <v>1156</v>
      </c>
      <c r="C2511" s="1297" t="s">
        <v>1157</v>
      </c>
      <c r="D2511" s="1297" t="s">
        <v>906</v>
      </c>
      <c r="F2511" s="1399">
        <v>17693729.260000002</v>
      </c>
      <c r="I2511" s="1399">
        <v>17693729.260000002</v>
      </c>
    </row>
    <row r="2512" spans="2:9">
      <c r="B2512" s="1297"/>
      <c r="C2512" s="1297"/>
      <c r="D2512" s="1297" t="s">
        <v>907</v>
      </c>
      <c r="F2512" s="1399">
        <v>2978428.74</v>
      </c>
      <c r="I2512" s="1399">
        <v>2978428.74</v>
      </c>
    </row>
    <row r="2513" spans="2:9">
      <c r="B2513" s="1297"/>
      <c r="C2513" s="1297"/>
      <c r="D2513" s="1297" t="s">
        <v>908</v>
      </c>
      <c r="F2513" s="1399">
        <v>121537.36</v>
      </c>
      <c r="I2513" s="1399">
        <v>121537.36</v>
      </c>
    </row>
    <row r="2514" spans="2:9">
      <c r="B2514" s="1297"/>
      <c r="C2514" s="1297"/>
      <c r="D2514" s="1297" t="s">
        <v>909</v>
      </c>
      <c r="F2514" s="1399">
        <v>12622.52</v>
      </c>
      <c r="I2514" s="1399">
        <v>12622.52</v>
      </c>
    </row>
    <row r="2515" spans="2:9">
      <c r="B2515" s="1297"/>
      <c r="C2515" s="1297"/>
      <c r="D2515" s="1297" t="s">
        <v>910</v>
      </c>
      <c r="F2515" s="1399">
        <v>2067.9</v>
      </c>
      <c r="I2515" s="1399">
        <v>2067.9</v>
      </c>
    </row>
    <row r="2516" spans="2:9">
      <c r="B2516" s="1297"/>
      <c r="C2516" s="1297"/>
      <c r="D2516" s="1297" t="s">
        <v>1034</v>
      </c>
      <c r="F2516" s="1399">
        <v>8530.57</v>
      </c>
      <c r="I2516" s="1399">
        <v>8530.57</v>
      </c>
    </row>
    <row r="2517" spans="2:9">
      <c r="B2517" s="1297"/>
      <c r="C2517" s="1297"/>
      <c r="D2517" s="1297" t="s">
        <v>1035</v>
      </c>
      <c r="F2517" s="1399">
        <v>81961.210000000006</v>
      </c>
      <c r="I2517" s="1399">
        <v>81961.210000000006</v>
      </c>
    </row>
    <row r="2518" spans="2:9">
      <c r="B2518" s="1297"/>
      <c r="C2518" s="1297"/>
      <c r="D2518" s="1297" t="s">
        <v>1036</v>
      </c>
      <c r="F2518" s="1399">
        <v>97772.43</v>
      </c>
      <c r="I2518" s="1399">
        <v>97772.43</v>
      </c>
    </row>
    <row r="2519" spans="2:9">
      <c r="B2519" s="1297"/>
      <c r="C2519" s="1297"/>
      <c r="D2519" s="1297" t="s">
        <v>1105</v>
      </c>
      <c r="F2519" s="1399">
        <v>37919.520000000004</v>
      </c>
      <c r="I2519" s="1399">
        <v>37919.520000000004</v>
      </c>
    </row>
    <row r="2520" spans="2:9">
      <c r="B2520" s="1297"/>
      <c r="C2520" s="1297"/>
      <c r="D2520" s="1297" t="s">
        <v>1039</v>
      </c>
      <c r="F2520" s="1399">
        <v>92372.85</v>
      </c>
      <c r="I2520" s="1399">
        <v>92372.85</v>
      </c>
    </row>
    <row r="2521" spans="2:9">
      <c r="B2521" s="1297"/>
      <c r="C2521" s="1297"/>
      <c r="D2521" s="1297" t="s">
        <v>1041</v>
      </c>
      <c r="F2521" s="1399">
        <v>5224.26</v>
      </c>
      <c r="I2521" s="1399">
        <v>5224.26</v>
      </c>
    </row>
    <row r="2522" spans="2:9">
      <c r="B2522" s="1297"/>
      <c r="C2522" s="1297"/>
      <c r="D2522" s="1297" t="s">
        <v>1042</v>
      </c>
      <c r="F2522" s="1399">
        <v>42706.39</v>
      </c>
      <c r="I2522" s="1399">
        <v>42706.39</v>
      </c>
    </row>
    <row r="2523" spans="2:9">
      <c r="B2523" s="1297"/>
      <c r="C2523" s="1297"/>
      <c r="D2523" s="1297" t="s">
        <v>986</v>
      </c>
      <c r="F2523" s="1399">
        <v>60262.38</v>
      </c>
      <c r="I2523" s="1399">
        <v>60262.38</v>
      </c>
    </row>
    <row r="2524" spans="2:9">
      <c r="B2524" s="1297"/>
      <c r="C2524" s="1297"/>
      <c r="D2524" s="1297" t="s">
        <v>991</v>
      </c>
      <c r="F2524" s="1399">
        <v>90</v>
      </c>
      <c r="I2524" s="1399">
        <v>90</v>
      </c>
    </row>
    <row r="2525" spans="2:9">
      <c r="B2525" s="1297"/>
      <c r="C2525" s="1297"/>
      <c r="D2525" s="1297" t="s">
        <v>1044</v>
      </c>
      <c r="F2525" s="1399">
        <v>44166</v>
      </c>
      <c r="I2525" s="1399">
        <v>44166</v>
      </c>
    </row>
    <row r="2526" spans="2:9">
      <c r="B2526" s="1297"/>
      <c r="C2526" s="1297"/>
      <c r="D2526" s="1297" t="s">
        <v>1045</v>
      </c>
      <c r="F2526" s="1399">
        <v>1406391.9900000002</v>
      </c>
      <c r="I2526" s="1399">
        <v>1406391.9900000002</v>
      </c>
    </row>
    <row r="2527" spans="2:9">
      <c r="B2527" s="1297"/>
      <c r="C2527" s="1297"/>
      <c r="D2527" s="1297" t="s">
        <v>1046</v>
      </c>
      <c r="H2527" s="1399">
        <v>11040897</v>
      </c>
      <c r="I2527" s="1399">
        <v>11040897</v>
      </c>
    </row>
    <row r="2528" spans="2:9">
      <c r="B2528" s="1297"/>
      <c r="C2528" s="1297"/>
      <c r="D2528" s="1297" t="s">
        <v>1047</v>
      </c>
      <c r="H2528" s="1399">
        <v>408104</v>
      </c>
      <c r="I2528" s="1399">
        <v>408104</v>
      </c>
    </row>
    <row r="2529" spans="2:9">
      <c r="B2529" s="1297"/>
      <c r="C2529" s="1297"/>
      <c r="D2529" s="1297" t="s">
        <v>1048</v>
      </c>
      <c r="H2529" s="1399">
        <v>-7664471</v>
      </c>
      <c r="I2529" s="1399">
        <v>-7664471</v>
      </c>
    </row>
    <row r="2530" spans="2:9">
      <c r="B2530" s="1297"/>
      <c r="C2530" s="1297"/>
      <c r="D2530" s="1297" t="s">
        <v>933</v>
      </c>
      <c r="H2530" s="1399">
        <v>537965.01</v>
      </c>
      <c r="I2530" s="1399">
        <v>537965.01</v>
      </c>
    </row>
    <row r="2531" spans="2:9">
      <c r="B2531" s="1297"/>
      <c r="C2531" s="1297"/>
      <c r="D2531" s="1297" t="s">
        <v>934</v>
      </c>
      <c r="H2531" s="1399">
        <v>36656</v>
      </c>
      <c r="I2531" s="1399">
        <v>36656</v>
      </c>
    </row>
    <row r="2532" spans="2:9">
      <c r="B2532" s="1297"/>
      <c r="C2532" s="1297"/>
      <c r="D2532" s="1297" t="s">
        <v>935</v>
      </c>
      <c r="H2532" s="1399">
        <v>316196.74</v>
      </c>
      <c r="I2532" s="1399">
        <v>316196.74</v>
      </c>
    </row>
    <row r="2533" spans="2:9">
      <c r="B2533" s="1297"/>
      <c r="C2533" s="1297"/>
      <c r="D2533" s="1297" t="s">
        <v>936</v>
      </c>
      <c r="H2533" s="1399">
        <v>39917.160000000003</v>
      </c>
      <c r="I2533" s="1399">
        <v>39917.160000000003</v>
      </c>
    </row>
    <row r="2534" spans="2:9">
      <c r="B2534" s="1297"/>
      <c r="C2534" s="1297"/>
      <c r="D2534" s="1297" t="s">
        <v>937</v>
      </c>
      <c r="H2534" s="1399">
        <v>37618.04</v>
      </c>
      <c r="I2534" s="1399">
        <v>37618.04</v>
      </c>
    </row>
    <row r="2535" spans="2:9">
      <c r="B2535" s="1297"/>
      <c r="C2535" s="1297"/>
      <c r="D2535" s="1297" t="s">
        <v>938</v>
      </c>
      <c r="H2535" s="1399">
        <v>11978</v>
      </c>
      <c r="I2535" s="1399">
        <v>11978</v>
      </c>
    </row>
    <row r="2536" spans="2:9">
      <c r="B2536" s="1297"/>
      <c r="C2536" s="1297"/>
      <c r="D2536" s="1297" t="s">
        <v>939</v>
      </c>
      <c r="H2536" s="1399">
        <v>85092.41</v>
      </c>
      <c r="I2536" s="1399">
        <v>85092.41</v>
      </c>
    </row>
    <row r="2537" spans="2:9">
      <c r="B2537" s="1297"/>
      <c r="C2537" s="1297"/>
      <c r="D2537" s="1297" t="s">
        <v>1131</v>
      </c>
      <c r="E2537" s="1399">
        <v>533070.05000000005</v>
      </c>
      <c r="I2537" s="1399">
        <v>533070.05000000005</v>
      </c>
    </row>
    <row r="2538" spans="2:9">
      <c r="B2538" s="1297"/>
      <c r="C2538" s="1297"/>
      <c r="D2538" s="1297" t="s">
        <v>940</v>
      </c>
      <c r="E2538" s="1399">
        <v>741560.94</v>
      </c>
      <c r="I2538" s="1399">
        <v>741560.94</v>
      </c>
    </row>
    <row r="2539" spans="2:9">
      <c r="B2539" s="1297"/>
      <c r="C2539" s="1297"/>
      <c r="D2539" s="1297" t="s">
        <v>941</v>
      </c>
      <c r="E2539" s="1399">
        <v>398318.3</v>
      </c>
      <c r="I2539" s="1399">
        <v>398318.3</v>
      </c>
    </row>
    <row r="2540" spans="2:9">
      <c r="B2540" s="1297"/>
      <c r="C2540" s="1297"/>
      <c r="D2540" s="1297" t="s">
        <v>943</v>
      </c>
      <c r="E2540" s="1399">
        <v>19050.560000000001</v>
      </c>
      <c r="I2540" s="1399">
        <v>19050.560000000001</v>
      </c>
    </row>
    <row r="2541" spans="2:9">
      <c r="B2541" s="1297"/>
      <c r="C2541" s="1297"/>
      <c r="D2541" s="1297" t="s">
        <v>944</v>
      </c>
      <c r="E2541" s="1399">
        <v>2153924.15</v>
      </c>
      <c r="I2541" s="1399">
        <v>2153924.15</v>
      </c>
    </row>
    <row r="2542" spans="2:9">
      <c r="B2542" s="1297"/>
      <c r="C2542" s="1297"/>
      <c r="D2542" s="1297" t="s">
        <v>945</v>
      </c>
      <c r="E2542" s="1399">
        <v>740046</v>
      </c>
      <c r="I2542" s="1399">
        <v>740046</v>
      </c>
    </row>
    <row r="2543" spans="2:9">
      <c r="B2543" s="1297"/>
      <c r="C2543" s="1297"/>
      <c r="D2543" s="1297" t="s">
        <v>1214</v>
      </c>
      <c r="E2543" s="1399">
        <v>33954.639999999999</v>
      </c>
      <c r="I2543" s="1399">
        <v>33954.639999999999</v>
      </c>
    </row>
    <row r="2544" spans="2:9">
      <c r="B2544" s="1297"/>
      <c r="C2544" s="1297"/>
      <c r="D2544" s="1297" t="s">
        <v>947</v>
      </c>
      <c r="E2544" s="1399">
        <v>77831.929999999993</v>
      </c>
      <c r="I2544" s="1399">
        <v>77831.929999999993</v>
      </c>
    </row>
    <row r="2545" spans="2:9">
      <c r="B2545" s="1297"/>
      <c r="C2545" s="1297"/>
      <c r="D2545" s="1297" t="s">
        <v>948</v>
      </c>
      <c r="G2545" s="1399">
        <v>4835314.0100000007</v>
      </c>
      <c r="I2545" s="1399">
        <v>4835314.0100000007</v>
      </c>
    </row>
    <row r="2546" spans="2:9">
      <c r="B2546" s="1297"/>
      <c r="C2546" s="1297"/>
      <c r="D2546" s="1297" t="s">
        <v>1118</v>
      </c>
      <c r="G2546" s="1399">
        <v>13602.28</v>
      </c>
      <c r="I2546" s="1399">
        <v>13602.28</v>
      </c>
    </row>
    <row r="2547" spans="2:9">
      <c r="B2547" s="1297"/>
      <c r="C2547" s="1400" t="s">
        <v>1158</v>
      </c>
      <c r="D2547" s="1400"/>
      <c r="E2547" s="1401">
        <v>4697756.5699999994</v>
      </c>
      <c r="F2547" s="1401">
        <v>22685783.380000003</v>
      </c>
      <c r="G2547" s="1401">
        <v>4848916.290000001</v>
      </c>
      <c r="H2547" s="1401">
        <v>4849953.3600000003</v>
      </c>
      <c r="I2547" s="1401">
        <v>37082409.600000001</v>
      </c>
    </row>
    <row r="2548" spans="2:9">
      <c r="B2548" s="1297" t="s">
        <v>1159</v>
      </c>
      <c r="C2548" s="1297" t="s">
        <v>1160</v>
      </c>
      <c r="D2548" s="1297" t="s">
        <v>906</v>
      </c>
      <c r="F2548" s="1399">
        <v>557912137.34000003</v>
      </c>
      <c r="I2548" s="1399">
        <v>557912137.34000003</v>
      </c>
    </row>
    <row r="2549" spans="2:9">
      <c r="B2549" s="1297"/>
      <c r="C2549" s="1297"/>
      <c r="D2549" s="1297" t="s">
        <v>952</v>
      </c>
      <c r="F2549" s="1399">
        <v>7078157.5499999998</v>
      </c>
      <c r="I2549" s="1399">
        <v>7078157.5499999998</v>
      </c>
    </row>
    <row r="2550" spans="2:9">
      <c r="B2550" s="1297"/>
      <c r="C2550" s="1297"/>
      <c r="D2550" s="1297" t="s">
        <v>907</v>
      </c>
      <c r="F2550" s="1399">
        <v>128178527.06</v>
      </c>
      <c r="I2550" s="1399">
        <v>128178527.06</v>
      </c>
    </row>
    <row r="2551" spans="2:9">
      <c r="B2551" s="1297"/>
      <c r="C2551" s="1297"/>
      <c r="D2551" s="1297" t="s">
        <v>908</v>
      </c>
      <c r="F2551" s="1399">
        <v>59262.09</v>
      </c>
      <c r="I2551" s="1399">
        <v>59262.09</v>
      </c>
    </row>
    <row r="2552" spans="2:9">
      <c r="B2552" s="1297"/>
      <c r="C2552" s="1297"/>
      <c r="D2552" s="1297" t="s">
        <v>1122</v>
      </c>
      <c r="F2552" s="1399">
        <v>-1102776</v>
      </c>
      <c r="I2552" s="1399">
        <v>-1102776</v>
      </c>
    </row>
    <row r="2553" spans="2:9">
      <c r="B2553" s="1297"/>
      <c r="C2553" s="1297"/>
      <c r="D2553" s="1297" t="s">
        <v>909</v>
      </c>
      <c r="F2553" s="1399">
        <v>3339314.8599999985</v>
      </c>
      <c r="I2553" s="1399">
        <v>3339314.8599999985</v>
      </c>
    </row>
    <row r="2554" spans="2:9">
      <c r="B2554" s="1297"/>
      <c r="C2554" s="1297"/>
      <c r="D2554" s="1297" t="s">
        <v>910</v>
      </c>
      <c r="F2554" s="1399">
        <v>13430200.320000008</v>
      </c>
      <c r="I2554" s="1399">
        <v>13430200.320000008</v>
      </c>
    </row>
    <row r="2555" spans="2:9">
      <c r="B2555" s="1297"/>
      <c r="C2555" s="1297"/>
      <c r="D2555" s="1297" t="s">
        <v>1034</v>
      </c>
      <c r="F2555" s="1399">
        <v>2956248.060000001</v>
      </c>
      <c r="I2555" s="1399">
        <v>2956248.060000001</v>
      </c>
    </row>
    <row r="2556" spans="2:9">
      <c r="B2556" s="1297"/>
      <c r="C2556" s="1297"/>
      <c r="D2556" s="1297" t="s">
        <v>1035</v>
      </c>
      <c r="F2556" s="1399">
        <v>5239168.0400000038</v>
      </c>
      <c r="I2556" s="1399">
        <v>5239168.0400000038</v>
      </c>
    </row>
    <row r="2557" spans="2:9">
      <c r="B2557" s="1297"/>
      <c r="C2557" s="1297"/>
      <c r="D2557" s="1297" t="s">
        <v>1036</v>
      </c>
      <c r="F2557" s="1399">
        <v>3085313.7500000005</v>
      </c>
      <c r="I2557" s="1399">
        <v>3085313.7500000005</v>
      </c>
    </row>
    <row r="2558" spans="2:9">
      <c r="B2558" s="1297"/>
      <c r="C2558" s="1297"/>
      <c r="D2558" s="1297" t="s">
        <v>1037</v>
      </c>
      <c r="F2558" s="1399">
        <v>289615.61</v>
      </c>
      <c r="I2558" s="1399">
        <v>289615.61</v>
      </c>
    </row>
    <row r="2559" spans="2:9">
      <c r="B2559" s="1297"/>
      <c r="C2559" s="1297"/>
      <c r="D2559" s="1297" t="s">
        <v>1105</v>
      </c>
      <c r="F2559" s="1399">
        <v>656897.31999999995</v>
      </c>
      <c r="I2559" s="1399">
        <v>656897.31999999995</v>
      </c>
    </row>
    <row r="2560" spans="2:9">
      <c r="B2560" s="1297"/>
      <c r="C2560" s="1297"/>
      <c r="D2560" s="1297" t="s">
        <v>1038</v>
      </c>
      <c r="F2560" s="1399">
        <v>1178624.5499999998</v>
      </c>
      <c r="I2560" s="1399">
        <v>1178624.5499999998</v>
      </c>
    </row>
    <row r="2561" spans="2:9">
      <c r="B2561" s="1297"/>
      <c r="C2561" s="1297"/>
      <c r="D2561" s="1297" t="s">
        <v>1039</v>
      </c>
      <c r="F2561" s="1399">
        <v>1198194.7899999996</v>
      </c>
      <c r="I2561" s="1399">
        <v>1198194.7899999996</v>
      </c>
    </row>
    <row r="2562" spans="2:9">
      <c r="B2562" s="1297"/>
      <c r="C2562" s="1297"/>
      <c r="D2562" s="1297" t="s">
        <v>1040</v>
      </c>
      <c r="F2562" s="1399">
        <v>17472611.630000006</v>
      </c>
      <c r="I2562" s="1399">
        <v>17472611.630000006</v>
      </c>
    </row>
    <row r="2563" spans="2:9">
      <c r="B2563" s="1297"/>
      <c r="C2563" s="1297"/>
      <c r="D2563" s="1297" t="s">
        <v>1127</v>
      </c>
      <c r="F2563" s="1399">
        <v>1569687.0099999988</v>
      </c>
      <c r="I2563" s="1399">
        <v>1569687.0099999988</v>
      </c>
    </row>
    <row r="2564" spans="2:9">
      <c r="B2564" s="1297"/>
      <c r="C2564" s="1297"/>
      <c r="D2564" s="1297" t="s">
        <v>1041</v>
      </c>
      <c r="F2564" s="1399">
        <v>3300887.3200000008</v>
      </c>
      <c r="I2564" s="1399">
        <v>3300887.3200000008</v>
      </c>
    </row>
    <row r="2565" spans="2:9">
      <c r="B2565" s="1297"/>
      <c r="C2565" s="1297"/>
      <c r="D2565" s="1297" t="s">
        <v>1042</v>
      </c>
      <c r="F2565" s="1399">
        <v>1986634.7799999984</v>
      </c>
      <c r="I2565" s="1399">
        <v>1986634.7799999984</v>
      </c>
    </row>
    <row r="2566" spans="2:9">
      <c r="B2566" s="1297"/>
      <c r="C2566" s="1297"/>
      <c r="D2566" s="1297" t="s">
        <v>986</v>
      </c>
      <c r="F2566" s="1399">
        <v>180651.06</v>
      </c>
      <c r="I2566" s="1399">
        <v>180651.06</v>
      </c>
    </row>
    <row r="2567" spans="2:9">
      <c r="B2567" s="1297"/>
      <c r="C2567" s="1297"/>
      <c r="D2567" s="1297" t="s">
        <v>1203</v>
      </c>
      <c r="F2567" s="1399">
        <v>-85289.19</v>
      </c>
      <c r="I2567" s="1399">
        <v>-85289.19</v>
      </c>
    </row>
    <row r="2568" spans="2:9">
      <c r="B2568" s="1297"/>
      <c r="C2568" s="1297"/>
      <c r="D2568" s="1297" t="s">
        <v>996</v>
      </c>
      <c r="F2568" s="1399">
        <v>110017.75</v>
      </c>
      <c r="I2568" s="1399">
        <v>110017.75</v>
      </c>
    </row>
    <row r="2569" spans="2:9">
      <c r="B2569" s="1297"/>
      <c r="C2569" s="1297"/>
      <c r="D2569" s="1297" t="s">
        <v>1004</v>
      </c>
      <c r="F2569" s="1399">
        <v>-11799810.310000001</v>
      </c>
      <c r="I2569" s="1399">
        <v>-11799810.310000001</v>
      </c>
    </row>
    <row r="2570" spans="2:9">
      <c r="B2570" s="1297"/>
      <c r="C2570" s="1297"/>
      <c r="D2570" s="1297" t="s">
        <v>1005</v>
      </c>
      <c r="F2570" s="1399">
        <v>17987291.330000002</v>
      </c>
      <c r="I2570" s="1399">
        <v>17987291.330000002</v>
      </c>
    </row>
    <row r="2571" spans="2:9">
      <c r="B2571" s="1297"/>
      <c r="C2571" s="1297"/>
      <c r="D2571" s="1297" t="s">
        <v>991</v>
      </c>
      <c r="F2571" s="1399">
        <v>549633.42000000004</v>
      </c>
      <c r="I2571" s="1399">
        <v>549633.42000000004</v>
      </c>
    </row>
    <row r="2572" spans="2:9">
      <c r="B2572" s="1297"/>
      <c r="C2572" s="1297"/>
      <c r="D2572" s="1297" t="s">
        <v>1044</v>
      </c>
      <c r="F2572" s="1399">
        <v>5544572.6900000004</v>
      </c>
      <c r="I2572" s="1399">
        <v>5544572.6900000004</v>
      </c>
    </row>
    <row r="2573" spans="2:9">
      <c r="B2573" s="1297"/>
      <c r="C2573" s="1297"/>
      <c r="D2573" s="1297" t="s">
        <v>1045</v>
      </c>
      <c r="F2573" s="1399">
        <v>29565191.669999983</v>
      </c>
      <c r="I2573" s="1399">
        <v>29565191.669999983</v>
      </c>
    </row>
    <row r="2574" spans="2:9">
      <c r="B2574" s="1297"/>
      <c r="C2574" s="1297"/>
      <c r="D2574" s="1297" t="s">
        <v>1046</v>
      </c>
      <c r="H2574" s="1399">
        <v>808707844</v>
      </c>
      <c r="I2574" s="1399">
        <v>808707844</v>
      </c>
    </row>
    <row r="2575" spans="2:9">
      <c r="B2575" s="1297"/>
      <c r="C2575" s="1297"/>
      <c r="D2575" s="1297" t="s">
        <v>1128</v>
      </c>
      <c r="H2575" s="1399">
        <v>68616611.010000005</v>
      </c>
      <c r="I2575" s="1399">
        <v>68616611.010000005</v>
      </c>
    </row>
    <row r="2576" spans="2:9">
      <c r="B2576" s="1297"/>
      <c r="C2576" s="1297"/>
      <c r="D2576" s="1297" t="s">
        <v>1129</v>
      </c>
      <c r="H2576" s="1399">
        <v>-107906576</v>
      </c>
      <c r="I2576" s="1399">
        <v>-107906576</v>
      </c>
    </row>
    <row r="2577" spans="2:9">
      <c r="B2577" s="1297"/>
      <c r="C2577" s="1297"/>
      <c r="D2577" s="1297" t="s">
        <v>1047</v>
      </c>
      <c r="H2577" s="1399">
        <v>7687864</v>
      </c>
      <c r="I2577" s="1399">
        <v>7687864</v>
      </c>
    </row>
    <row r="2578" spans="2:9">
      <c r="B2578" s="1297"/>
      <c r="C2578" s="1297"/>
      <c r="D2578" s="1297" t="s">
        <v>1048</v>
      </c>
      <c r="H2578" s="1399">
        <v>-147960534</v>
      </c>
      <c r="I2578" s="1399">
        <v>-147960534</v>
      </c>
    </row>
    <row r="2579" spans="2:9">
      <c r="B2579" s="1297"/>
      <c r="C2579" s="1297"/>
      <c r="D2579" s="1297" t="s">
        <v>932</v>
      </c>
      <c r="H2579" s="1399">
        <v>37297686</v>
      </c>
      <c r="I2579" s="1399">
        <v>37297686</v>
      </c>
    </row>
    <row r="2580" spans="2:9">
      <c r="B2580" s="1297"/>
      <c r="C2580" s="1297"/>
      <c r="D2580" s="1297" t="s">
        <v>934</v>
      </c>
      <c r="H2580" s="1399">
        <v>2361880</v>
      </c>
      <c r="I2580" s="1399">
        <v>2361880</v>
      </c>
    </row>
    <row r="2581" spans="2:9">
      <c r="B2581" s="1297"/>
      <c r="C2581" s="1297"/>
      <c r="D2581" s="1297" t="s">
        <v>1130</v>
      </c>
      <c r="H2581" s="1399">
        <v>45542245.539999999</v>
      </c>
      <c r="I2581" s="1399">
        <v>45542245.539999999</v>
      </c>
    </row>
    <row r="2582" spans="2:9">
      <c r="B2582" s="1297"/>
      <c r="C2582" s="1297"/>
      <c r="D2582" s="1297" t="s">
        <v>935</v>
      </c>
      <c r="H2582" s="1399">
        <v>4123174.12</v>
      </c>
      <c r="I2582" s="1399">
        <v>4123174.12</v>
      </c>
    </row>
    <row r="2583" spans="2:9">
      <c r="B2583" s="1297"/>
      <c r="C2583" s="1297"/>
      <c r="D2583" s="1297" t="s">
        <v>936</v>
      </c>
      <c r="H2583" s="1399">
        <v>2235361.02</v>
      </c>
      <c r="I2583" s="1399">
        <v>2235361.02</v>
      </c>
    </row>
    <row r="2584" spans="2:9">
      <c r="B2584" s="1297"/>
      <c r="C2584" s="1297"/>
      <c r="D2584" s="1297" t="s">
        <v>937</v>
      </c>
      <c r="H2584" s="1399">
        <v>419832.18</v>
      </c>
      <c r="I2584" s="1399">
        <v>419832.18</v>
      </c>
    </row>
    <row r="2585" spans="2:9">
      <c r="B2585" s="1297"/>
      <c r="C2585" s="1297"/>
      <c r="D2585" s="1297" t="s">
        <v>938</v>
      </c>
      <c r="H2585" s="1399">
        <v>659739</v>
      </c>
      <c r="I2585" s="1399">
        <v>659739</v>
      </c>
    </row>
    <row r="2586" spans="2:9">
      <c r="B2586" s="1297"/>
      <c r="C2586" s="1297"/>
      <c r="D2586" s="1297" t="s">
        <v>939</v>
      </c>
      <c r="H2586" s="1399">
        <v>242074.32</v>
      </c>
      <c r="I2586" s="1399">
        <v>242074.32</v>
      </c>
    </row>
    <row r="2587" spans="2:9">
      <c r="B2587" s="1297"/>
      <c r="C2587" s="1297"/>
      <c r="D2587" s="1297" t="s">
        <v>1131</v>
      </c>
      <c r="E2587" s="1399">
        <v>1253351.28</v>
      </c>
      <c r="I2587" s="1399">
        <v>1253351.28</v>
      </c>
    </row>
    <row r="2588" spans="2:9">
      <c r="B2588" s="1297"/>
      <c r="C2588" s="1297"/>
      <c r="D2588" s="1297" t="s">
        <v>940</v>
      </c>
      <c r="E2588" s="1399">
        <v>38138602.260000005</v>
      </c>
      <c r="I2588" s="1399">
        <v>38138602.260000005</v>
      </c>
    </row>
    <row r="2589" spans="2:9">
      <c r="B2589" s="1297"/>
      <c r="C2589" s="1297"/>
      <c r="D2589" s="1297" t="s">
        <v>941</v>
      </c>
      <c r="E2589" s="1399">
        <v>13812630.540000001</v>
      </c>
      <c r="I2589" s="1399">
        <v>13812630.540000001</v>
      </c>
    </row>
    <row r="2590" spans="2:9">
      <c r="B2590" s="1297"/>
      <c r="C2590" s="1297"/>
      <c r="D2590" s="1297" t="s">
        <v>943</v>
      </c>
      <c r="E2590" s="1399">
        <v>78901.760000000009</v>
      </c>
      <c r="I2590" s="1399">
        <v>78901.760000000009</v>
      </c>
    </row>
    <row r="2591" spans="2:9">
      <c r="B2591" s="1297"/>
      <c r="C2591" s="1297"/>
      <c r="D2591" s="1297" t="s">
        <v>944</v>
      </c>
      <c r="E2591" s="1399">
        <v>60250114.780000009</v>
      </c>
      <c r="I2591" s="1399">
        <v>60250114.780000009</v>
      </c>
    </row>
    <row r="2592" spans="2:9">
      <c r="B2592" s="1297"/>
      <c r="C2592" s="1297"/>
      <c r="D2592" s="1297" t="s">
        <v>945</v>
      </c>
      <c r="E2592" s="1399">
        <v>51698032.850000001</v>
      </c>
      <c r="I2592" s="1399">
        <v>51698032.850000001</v>
      </c>
    </row>
    <row r="2593" spans="2:9">
      <c r="B2593" s="1297"/>
      <c r="C2593" s="1297"/>
      <c r="D2593" s="1297" t="s">
        <v>946</v>
      </c>
      <c r="E2593" s="1399">
        <v>175536.83000000002</v>
      </c>
      <c r="I2593" s="1399">
        <v>175536.83000000002</v>
      </c>
    </row>
    <row r="2594" spans="2:9">
      <c r="B2594" s="1297"/>
      <c r="C2594" s="1297"/>
      <c r="D2594" s="1297" t="s">
        <v>947</v>
      </c>
      <c r="E2594" s="1399">
        <v>2147901.0699999998</v>
      </c>
      <c r="I2594" s="1399">
        <v>2147901.0699999998</v>
      </c>
    </row>
    <row r="2595" spans="2:9">
      <c r="B2595" s="1297"/>
      <c r="C2595" s="1297"/>
      <c r="D2595" s="1297" t="s">
        <v>1115</v>
      </c>
      <c r="E2595" s="1399">
        <v>209084.17</v>
      </c>
      <c r="I2595" s="1399">
        <v>209084.17</v>
      </c>
    </row>
    <row r="2596" spans="2:9">
      <c r="B2596" s="1297"/>
      <c r="C2596" s="1297"/>
      <c r="D2596" s="1297" t="s">
        <v>1116</v>
      </c>
      <c r="G2596" s="1399">
        <v>19640000</v>
      </c>
      <c r="I2596" s="1399">
        <v>19640000</v>
      </c>
    </row>
    <row r="2597" spans="2:9">
      <c r="B2597" s="1297"/>
      <c r="C2597" s="1297"/>
      <c r="D2597" s="1297" t="s">
        <v>948</v>
      </c>
      <c r="G2597" s="1399">
        <v>85454032.450000003</v>
      </c>
      <c r="I2597" s="1399">
        <v>85454032.450000003</v>
      </c>
    </row>
    <row r="2598" spans="2:9">
      <c r="B2598" s="1297"/>
      <c r="C2598" s="1297"/>
      <c r="D2598" s="1297" t="s">
        <v>956</v>
      </c>
      <c r="G2598" s="1399">
        <v>-687041.19</v>
      </c>
      <c r="I2598" s="1399">
        <v>-687041.19</v>
      </c>
    </row>
    <row r="2599" spans="2:9">
      <c r="B2599" s="1297"/>
      <c r="C2599" s="1297"/>
      <c r="D2599" s="1297" t="s">
        <v>1118</v>
      </c>
      <c r="G2599" s="1399">
        <v>509210.46</v>
      </c>
      <c r="I2599" s="1399">
        <v>509210.46</v>
      </c>
    </row>
    <row r="2600" spans="2:9">
      <c r="B2600" s="1297"/>
      <c r="C2600" s="1400" t="s">
        <v>1161</v>
      </c>
      <c r="D2600" s="1400"/>
      <c r="E2600" s="1401">
        <v>167764155.53999999</v>
      </c>
      <c r="F2600" s="1401">
        <v>789880964.5</v>
      </c>
      <c r="G2600" s="1401">
        <v>104916201.72</v>
      </c>
      <c r="H2600" s="1401">
        <v>722027201.18999994</v>
      </c>
      <c r="I2600" s="1401">
        <v>1784588522.9499996</v>
      </c>
    </row>
    <row r="2601" spans="2:9">
      <c r="B2601" s="1297" t="s">
        <v>1162</v>
      </c>
      <c r="C2601" s="1297" t="s">
        <v>1163</v>
      </c>
      <c r="D2601" s="1297" t="s">
        <v>906</v>
      </c>
      <c r="F2601" s="1399">
        <v>16156368.140000001</v>
      </c>
      <c r="I2601" s="1399">
        <v>16156368.140000001</v>
      </c>
    </row>
    <row r="2602" spans="2:9">
      <c r="B2602" s="1297"/>
      <c r="C2602" s="1297"/>
      <c r="D2602" s="1297" t="s">
        <v>1126</v>
      </c>
      <c r="F2602" s="1399">
        <v>5137251.2</v>
      </c>
      <c r="I2602" s="1399">
        <v>5137251.2</v>
      </c>
    </row>
    <row r="2603" spans="2:9">
      <c r="B2603" s="1297"/>
      <c r="C2603" s="1297"/>
      <c r="D2603" s="1297" t="s">
        <v>952</v>
      </c>
      <c r="F2603" s="1399">
        <v>259744.17</v>
      </c>
      <c r="I2603" s="1399">
        <v>259744.17</v>
      </c>
    </row>
    <row r="2604" spans="2:9">
      <c r="B2604" s="1297"/>
      <c r="C2604" s="1297"/>
      <c r="D2604" s="1297" t="s">
        <v>907</v>
      </c>
      <c r="F2604" s="1399">
        <v>5138076.3899999997</v>
      </c>
      <c r="I2604" s="1399">
        <v>5138076.3899999997</v>
      </c>
    </row>
    <row r="2605" spans="2:9">
      <c r="B2605" s="1297"/>
      <c r="C2605" s="1297"/>
      <c r="D2605" s="1297" t="s">
        <v>908</v>
      </c>
      <c r="F2605" s="1399">
        <v>305428.26</v>
      </c>
      <c r="I2605" s="1399">
        <v>305428.26</v>
      </c>
    </row>
    <row r="2606" spans="2:9">
      <c r="B2606" s="1297"/>
      <c r="C2606" s="1297"/>
      <c r="D2606" s="1297" t="s">
        <v>909</v>
      </c>
      <c r="F2606" s="1399">
        <v>37555.69</v>
      </c>
      <c r="I2606" s="1399">
        <v>37555.69</v>
      </c>
    </row>
    <row r="2607" spans="2:9">
      <c r="B2607" s="1297"/>
      <c r="C2607" s="1297"/>
      <c r="D2607" s="1297" t="s">
        <v>910</v>
      </c>
      <c r="F2607" s="1399">
        <v>459202.32</v>
      </c>
      <c r="I2607" s="1399">
        <v>459202.32</v>
      </c>
    </row>
    <row r="2608" spans="2:9">
      <c r="B2608" s="1297"/>
      <c r="C2608" s="1297"/>
      <c r="D2608" s="1297" t="s">
        <v>1034</v>
      </c>
      <c r="F2608" s="1399">
        <v>99293.88</v>
      </c>
      <c r="I2608" s="1399">
        <v>99293.88</v>
      </c>
    </row>
    <row r="2609" spans="2:9">
      <c r="B2609" s="1297"/>
      <c r="C2609" s="1297"/>
      <c r="D2609" s="1297" t="s">
        <v>1035</v>
      </c>
      <c r="F2609" s="1399">
        <v>104950.82</v>
      </c>
      <c r="I2609" s="1399">
        <v>104950.82</v>
      </c>
    </row>
    <row r="2610" spans="2:9">
      <c r="B2610" s="1297"/>
      <c r="C2610" s="1297"/>
      <c r="D2610" s="1297" t="s">
        <v>1036</v>
      </c>
      <c r="F2610" s="1399">
        <v>225676.5</v>
      </c>
      <c r="I2610" s="1399">
        <v>225676.5</v>
      </c>
    </row>
    <row r="2611" spans="2:9">
      <c r="B2611" s="1297"/>
      <c r="C2611" s="1297"/>
      <c r="D2611" s="1297" t="s">
        <v>1037</v>
      </c>
      <c r="F2611" s="1399">
        <v>2000</v>
      </c>
      <c r="I2611" s="1399">
        <v>2000</v>
      </c>
    </row>
    <row r="2612" spans="2:9">
      <c r="B2612" s="1297"/>
      <c r="C2612" s="1297"/>
      <c r="D2612" s="1297" t="s">
        <v>1105</v>
      </c>
      <c r="F2612" s="1399">
        <v>17201.62</v>
      </c>
      <c r="I2612" s="1399">
        <v>17201.62</v>
      </c>
    </row>
    <row r="2613" spans="2:9">
      <c r="B2613" s="1297"/>
      <c r="C2613" s="1297"/>
      <c r="D2613" s="1297" t="s">
        <v>1039</v>
      </c>
      <c r="F2613" s="1399">
        <v>98262.900000000009</v>
      </c>
      <c r="I2613" s="1399">
        <v>98262.900000000009</v>
      </c>
    </row>
    <row r="2614" spans="2:9">
      <c r="B2614" s="1297"/>
      <c r="C2614" s="1297"/>
      <c r="D2614" s="1297" t="s">
        <v>1040</v>
      </c>
      <c r="F2614" s="1399">
        <v>536283.62000000011</v>
      </c>
      <c r="I2614" s="1399">
        <v>536283.62000000011</v>
      </c>
    </row>
    <row r="2615" spans="2:9">
      <c r="B2615" s="1297"/>
      <c r="C2615" s="1297"/>
      <c r="D2615" s="1297" t="s">
        <v>1041</v>
      </c>
      <c r="F2615" s="1399">
        <v>134814.39999999999</v>
      </c>
      <c r="I2615" s="1399">
        <v>134814.39999999999</v>
      </c>
    </row>
    <row r="2616" spans="2:9">
      <c r="B2616" s="1297"/>
      <c r="C2616" s="1297"/>
      <c r="D2616" s="1297" t="s">
        <v>1042</v>
      </c>
      <c r="F2616" s="1399">
        <v>96261.06</v>
      </c>
      <c r="I2616" s="1399">
        <v>96261.06</v>
      </c>
    </row>
    <row r="2617" spans="2:9">
      <c r="B2617" s="1297"/>
      <c r="C2617" s="1297"/>
      <c r="D2617" s="1297" t="s">
        <v>953</v>
      </c>
      <c r="F2617" s="1399">
        <v>4029.79</v>
      </c>
      <c r="I2617" s="1399">
        <v>4029.79</v>
      </c>
    </row>
    <row r="2618" spans="2:9">
      <c r="B2618" s="1297"/>
      <c r="C2618" s="1297"/>
      <c r="D2618" s="1297" t="s">
        <v>985</v>
      </c>
      <c r="F2618" s="1399">
        <v>3192.26</v>
      </c>
      <c r="I2618" s="1399">
        <v>3192.26</v>
      </c>
    </row>
    <row r="2619" spans="2:9">
      <c r="B2619" s="1297"/>
      <c r="C2619" s="1297"/>
      <c r="D2619" s="1297" t="s">
        <v>1203</v>
      </c>
      <c r="F2619" s="1399">
        <v>-22218.65</v>
      </c>
      <c r="I2619" s="1399">
        <v>-22218.65</v>
      </c>
    </row>
    <row r="2620" spans="2:9">
      <c r="B2620" s="1297"/>
      <c r="C2620" s="1297"/>
      <c r="D2620" s="1297" t="s">
        <v>996</v>
      </c>
      <c r="F2620" s="1399">
        <v>1715</v>
      </c>
      <c r="I2620" s="1399">
        <v>1715</v>
      </c>
    </row>
    <row r="2621" spans="2:9">
      <c r="B2621" s="1297"/>
      <c r="C2621" s="1297"/>
      <c r="D2621" s="1297" t="s">
        <v>1045</v>
      </c>
      <c r="F2621" s="1399">
        <v>1014173.3</v>
      </c>
      <c r="I2621" s="1399">
        <v>1014173.3</v>
      </c>
    </row>
    <row r="2622" spans="2:9">
      <c r="B2622" s="1297"/>
      <c r="C2622" s="1297"/>
      <c r="D2622" s="1297" t="s">
        <v>1046</v>
      </c>
      <c r="H2622" s="1399">
        <v>38068021</v>
      </c>
      <c r="I2622" s="1399">
        <v>38068021</v>
      </c>
    </row>
    <row r="2623" spans="2:9">
      <c r="B2623" s="1297"/>
      <c r="C2623" s="1297"/>
      <c r="D2623" s="1297" t="s">
        <v>1128</v>
      </c>
      <c r="H2623" s="1399">
        <v>2934247</v>
      </c>
      <c r="I2623" s="1399">
        <v>2934247</v>
      </c>
    </row>
    <row r="2624" spans="2:9">
      <c r="B2624" s="1297"/>
      <c r="C2624" s="1297"/>
      <c r="D2624" s="1297" t="s">
        <v>1129</v>
      </c>
      <c r="H2624" s="1399">
        <v>-5209868</v>
      </c>
      <c r="I2624" s="1399">
        <v>-5209868</v>
      </c>
    </row>
    <row r="2625" spans="2:9">
      <c r="B2625" s="1297"/>
      <c r="C2625" s="1297"/>
      <c r="D2625" s="1297" t="s">
        <v>1047</v>
      </c>
      <c r="H2625" s="1399">
        <v>901606</v>
      </c>
      <c r="I2625" s="1399">
        <v>901606</v>
      </c>
    </row>
    <row r="2626" spans="2:9">
      <c r="B2626" s="1297"/>
      <c r="C2626" s="1297"/>
      <c r="D2626" s="1297" t="s">
        <v>1048</v>
      </c>
      <c r="H2626" s="1399">
        <v>-6166417</v>
      </c>
      <c r="I2626" s="1399">
        <v>-6166417</v>
      </c>
    </row>
    <row r="2627" spans="2:9">
      <c r="B2627" s="1297"/>
      <c r="C2627" s="1297"/>
      <c r="D2627" s="1297" t="s">
        <v>932</v>
      </c>
      <c r="H2627" s="1399">
        <v>2063651</v>
      </c>
      <c r="I2627" s="1399">
        <v>2063651</v>
      </c>
    </row>
    <row r="2628" spans="2:9">
      <c r="B2628" s="1297"/>
      <c r="C2628" s="1297"/>
      <c r="D2628" s="1297" t="s">
        <v>955</v>
      </c>
      <c r="H2628" s="1399">
        <v>464986.15</v>
      </c>
      <c r="I2628" s="1399">
        <v>464986.15</v>
      </c>
    </row>
    <row r="2629" spans="2:9">
      <c r="B2629" s="1297"/>
      <c r="C2629" s="1297"/>
      <c r="D2629" s="1297" t="s">
        <v>934</v>
      </c>
      <c r="H2629" s="1399">
        <v>116812</v>
      </c>
      <c r="I2629" s="1399">
        <v>116812</v>
      </c>
    </row>
    <row r="2630" spans="2:9">
      <c r="B2630" s="1297"/>
      <c r="C2630" s="1297"/>
      <c r="D2630" s="1297" t="s">
        <v>935</v>
      </c>
      <c r="H2630" s="1399">
        <v>562296.94000000006</v>
      </c>
      <c r="I2630" s="1399">
        <v>562296.94000000006</v>
      </c>
    </row>
    <row r="2631" spans="2:9">
      <c r="B2631" s="1297"/>
      <c r="C2631" s="1297"/>
      <c r="D2631" s="1297" t="s">
        <v>936</v>
      </c>
      <c r="H2631" s="1399">
        <v>114149.07</v>
      </c>
      <c r="I2631" s="1399">
        <v>114149.07</v>
      </c>
    </row>
    <row r="2632" spans="2:9">
      <c r="B2632" s="1297"/>
      <c r="C2632" s="1297"/>
      <c r="D2632" s="1297" t="s">
        <v>937</v>
      </c>
      <c r="H2632" s="1399">
        <v>21437.56</v>
      </c>
      <c r="I2632" s="1399">
        <v>21437.56</v>
      </c>
    </row>
    <row r="2633" spans="2:9">
      <c r="B2633" s="1297"/>
      <c r="C2633" s="1297"/>
      <c r="D2633" s="1297" t="s">
        <v>938</v>
      </c>
      <c r="H2633" s="1399">
        <v>37432</v>
      </c>
      <c r="I2633" s="1399">
        <v>37432</v>
      </c>
    </row>
    <row r="2634" spans="2:9">
      <c r="B2634" s="1297"/>
      <c r="C2634" s="1297"/>
      <c r="D2634" s="1297" t="s">
        <v>939</v>
      </c>
      <c r="H2634" s="1399">
        <v>136058.03</v>
      </c>
      <c r="I2634" s="1399">
        <v>136058.03</v>
      </c>
    </row>
    <row r="2635" spans="2:9">
      <c r="B2635" s="1297"/>
      <c r="C2635" s="1297"/>
      <c r="D2635" s="1297" t="s">
        <v>1131</v>
      </c>
      <c r="E2635" s="1399">
        <v>62332.45</v>
      </c>
      <c r="I2635" s="1399">
        <v>62332.45</v>
      </c>
    </row>
    <row r="2636" spans="2:9">
      <c r="B2636" s="1297"/>
      <c r="C2636" s="1297"/>
      <c r="D2636" s="1297" t="s">
        <v>940</v>
      </c>
      <c r="E2636" s="1399">
        <v>1716302.16</v>
      </c>
      <c r="I2636" s="1399">
        <v>1716302.16</v>
      </c>
    </row>
    <row r="2637" spans="2:9">
      <c r="B2637" s="1297"/>
      <c r="C2637" s="1297"/>
      <c r="D2637" s="1297" t="s">
        <v>941</v>
      </c>
      <c r="E2637" s="1399">
        <v>624721.93999999994</v>
      </c>
      <c r="I2637" s="1399">
        <v>624721.93999999994</v>
      </c>
    </row>
    <row r="2638" spans="2:9">
      <c r="B2638" s="1297"/>
      <c r="C2638" s="1297"/>
      <c r="D2638" s="1297" t="s">
        <v>943</v>
      </c>
      <c r="E2638" s="1399">
        <v>21620.09</v>
      </c>
      <c r="I2638" s="1399">
        <v>21620.09</v>
      </c>
    </row>
    <row r="2639" spans="2:9">
      <c r="B2639" s="1297"/>
      <c r="C2639" s="1297"/>
      <c r="D2639" s="1297" t="s">
        <v>944</v>
      </c>
      <c r="E2639" s="1399">
        <v>3399402.2599999993</v>
      </c>
      <c r="I2639" s="1399">
        <v>3399402.2599999993</v>
      </c>
    </row>
    <row r="2640" spans="2:9">
      <c r="B2640" s="1297"/>
      <c r="C2640" s="1297"/>
      <c r="D2640" s="1297" t="s">
        <v>945</v>
      </c>
      <c r="E2640" s="1399">
        <v>2545112.02</v>
      </c>
      <c r="I2640" s="1399">
        <v>2545112.02</v>
      </c>
    </row>
    <row r="2641" spans="2:9">
      <c r="B2641" s="1297"/>
      <c r="C2641" s="1297"/>
      <c r="D2641" s="1297" t="s">
        <v>946</v>
      </c>
      <c r="E2641" s="1399">
        <v>126207.35</v>
      </c>
      <c r="I2641" s="1399">
        <v>126207.35</v>
      </c>
    </row>
    <row r="2642" spans="2:9">
      <c r="B2642" s="1297"/>
      <c r="C2642" s="1297"/>
      <c r="D2642" s="1297" t="s">
        <v>1214</v>
      </c>
      <c r="E2642" s="1399">
        <v>40571.74</v>
      </c>
      <c r="I2642" s="1399">
        <v>40571.74</v>
      </c>
    </row>
    <row r="2643" spans="2:9">
      <c r="B2643" s="1297"/>
      <c r="C2643" s="1297"/>
      <c r="D2643" s="1297" t="s">
        <v>947</v>
      </c>
      <c r="E2643" s="1399">
        <v>260116.01000000004</v>
      </c>
      <c r="I2643" s="1399">
        <v>260116.01000000004</v>
      </c>
    </row>
    <row r="2644" spans="2:9">
      <c r="B2644" s="1297"/>
      <c r="C2644" s="1297"/>
      <c r="D2644" s="1297" t="s">
        <v>948</v>
      </c>
      <c r="G2644" s="1399">
        <v>46230765.350000001</v>
      </c>
      <c r="I2644" s="1399">
        <v>46230765.350000001</v>
      </c>
    </row>
    <row r="2645" spans="2:9">
      <c r="B2645" s="1297"/>
      <c r="C2645" s="1297"/>
      <c r="D2645" s="1297" t="s">
        <v>956</v>
      </c>
      <c r="G2645" s="1399">
        <v>17000</v>
      </c>
      <c r="I2645" s="1399">
        <v>17000</v>
      </c>
    </row>
    <row r="2646" spans="2:9">
      <c r="B2646" s="1297"/>
      <c r="C2646" s="1400" t="s">
        <v>1164</v>
      </c>
      <c r="D2646" s="1400"/>
      <c r="E2646" s="1401">
        <v>8796386.0199999977</v>
      </c>
      <c r="F2646" s="1401">
        <v>29809262.670000006</v>
      </c>
      <c r="G2646" s="1401">
        <v>46247765.350000001</v>
      </c>
      <c r="H2646" s="1401">
        <v>34044411.75</v>
      </c>
      <c r="I2646" s="1401">
        <v>118897825.78999999</v>
      </c>
    </row>
    <row r="2647" spans="2:9">
      <c r="B2647" s="1297" t="s">
        <v>1165</v>
      </c>
      <c r="C2647" s="1297" t="s">
        <v>1166</v>
      </c>
      <c r="D2647" s="1297" t="s">
        <v>906</v>
      </c>
      <c r="F2647" s="1399">
        <v>76512307.480000004</v>
      </c>
      <c r="I2647" s="1399">
        <v>76512307.480000004</v>
      </c>
    </row>
    <row r="2648" spans="2:9">
      <c r="B2648" s="1297"/>
      <c r="C2648" s="1297"/>
      <c r="D2648" s="1297" t="s">
        <v>952</v>
      </c>
      <c r="F2648" s="1399">
        <v>1243506.82</v>
      </c>
      <c r="I2648" s="1399">
        <v>1243506.82</v>
      </c>
    </row>
    <row r="2649" spans="2:9">
      <c r="B2649" s="1297"/>
      <c r="C2649" s="1297"/>
      <c r="D2649" s="1297" t="s">
        <v>907</v>
      </c>
      <c r="F2649" s="1399">
        <v>18749473.84</v>
      </c>
      <c r="I2649" s="1399">
        <v>18749473.84</v>
      </c>
    </row>
    <row r="2650" spans="2:9">
      <c r="B2650" s="1297"/>
      <c r="C2650" s="1297"/>
      <c r="D2650" s="1297" t="s">
        <v>908</v>
      </c>
      <c r="F2650" s="1399">
        <v>34982.449999999997</v>
      </c>
      <c r="I2650" s="1399">
        <v>34982.449999999997</v>
      </c>
    </row>
    <row r="2651" spans="2:9">
      <c r="B2651" s="1297"/>
      <c r="C2651" s="1297"/>
      <c r="D2651" s="1297" t="s">
        <v>910</v>
      </c>
      <c r="F2651" s="1399">
        <v>913542.62000000011</v>
      </c>
      <c r="I2651" s="1399">
        <v>913542.62000000011</v>
      </c>
    </row>
    <row r="2652" spans="2:9">
      <c r="B2652" s="1297"/>
      <c r="C2652" s="1297"/>
      <c r="D2652" s="1297" t="s">
        <v>1034</v>
      </c>
      <c r="F2652" s="1399">
        <v>582988.59</v>
      </c>
      <c r="I2652" s="1399">
        <v>582988.59</v>
      </c>
    </row>
    <row r="2653" spans="2:9">
      <c r="B2653" s="1297"/>
      <c r="C2653" s="1297"/>
      <c r="D2653" s="1297" t="s">
        <v>1035</v>
      </c>
      <c r="F2653" s="1399">
        <v>1524464.7799999998</v>
      </c>
      <c r="I2653" s="1399">
        <v>1524464.7799999998</v>
      </c>
    </row>
    <row r="2654" spans="2:9">
      <c r="B2654" s="1297"/>
      <c r="C2654" s="1297"/>
      <c r="D2654" s="1297" t="s">
        <v>1036</v>
      </c>
      <c r="F2654" s="1399">
        <v>595081.87000000011</v>
      </c>
      <c r="I2654" s="1399">
        <v>595081.87000000011</v>
      </c>
    </row>
    <row r="2655" spans="2:9">
      <c r="B2655" s="1297"/>
      <c r="C2655" s="1297"/>
      <c r="D2655" s="1297" t="s">
        <v>1037</v>
      </c>
      <c r="F2655" s="1399">
        <v>9931.5</v>
      </c>
      <c r="I2655" s="1399">
        <v>9931.5</v>
      </c>
    </row>
    <row r="2656" spans="2:9">
      <c r="B2656" s="1297"/>
      <c r="C2656" s="1297"/>
      <c r="D2656" s="1297" t="s">
        <v>1064</v>
      </c>
      <c r="F2656" s="1399">
        <v>21440</v>
      </c>
      <c r="I2656" s="1399">
        <v>21440</v>
      </c>
    </row>
    <row r="2657" spans="2:9">
      <c r="B2657" s="1297"/>
      <c r="C2657" s="1297"/>
      <c r="D2657" s="1297" t="s">
        <v>1038</v>
      </c>
      <c r="F2657" s="1399">
        <v>49675</v>
      </c>
      <c r="I2657" s="1399">
        <v>49675</v>
      </c>
    </row>
    <row r="2658" spans="2:9">
      <c r="B2658" s="1297"/>
      <c r="C2658" s="1297"/>
      <c r="D2658" s="1297" t="s">
        <v>1039</v>
      </c>
      <c r="F2658" s="1399">
        <v>216460.07</v>
      </c>
      <c r="I2658" s="1399">
        <v>216460.07</v>
      </c>
    </row>
    <row r="2659" spans="2:9">
      <c r="B2659" s="1297"/>
      <c r="C2659" s="1297"/>
      <c r="D2659" s="1297" t="s">
        <v>1040</v>
      </c>
      <c r="F2659" s="1399">
        <v>2243344.31</v>
      </c>
      <c r="I2659" s="1399">
        <v>2243344.31</v>
      </c>
    </row>
    <row r="2660" spans="2:9">
      <c r="B2660" s="1297"/>
      <c r="C2660" s="1297"/>
      <c r="D2660" s="1297" t="s">
        <v>1041</v>
      </c>
      <c r="F2660" s="1399">
        <v>62643.100000000006</v>
      </c>
      <c r="I2660" s="1399">
        <v>62643.100000000006</v>
      </c>
    </row>
    <row r="2661" spans="2:9">
      <c r="B2661" s="1297"/>
      <c r="C2661" s="1297"/>
      <c r="D2661" s="1297" t="s">
        <v>1042</v>
      </c>
      <c r="F2661" s="1399">
        <v>307591.34000000008</v>
      </c>
      <c r="I2661" s="1399">
        <v>307591.34000000008</v>
      </c>
    </row>
    <row r="2662" spans="2:9">
      <c r="B2662" s="1297"/>
      <c r="C2662" s="1297"/>
      <c r="D2662" s="1297" t="s">
        <v>953</v>
      </c>
      <c r="F2662" s="1399">
        <v>196588.48</v>
      </c>
      <c r="I2662" s="1399">
        <v>196588.48</v>
      </c>
    </row>
    <row r="2663" spans="2:9">
      <c r="B2663" s="1297"/>
      <c r="C2663" s="1297"/>
      <c r="D2663" s="1297" t="s">
        <v>1043</v>
      </c>
      <c r="F2663" s="1399">
        <v>37862.6</v>
      </c>
      <c r="I2663" s="1399">
        <v>37862.6</v>
      </c>
    </row>
    <row r="2664" spans="2:9">
      <c r="B2664" s="1297"/>
      <c r="C2664" s="1297"/>
      <c r="D2664" s="1297" t="s">
        <v>996</v>
      </c>
      <c r="F2664" s="1399">
        <v>89090.22</v>
      </c>
      <c r="I2664" s="1399">
        <v>89090.22</v>
      </c>
    </row>
    <row r="2665" spans="2:9">
      <c r="B2665" s="1297"/>
      <c r="C2665" s="1297"/>
      <c r="D2665" s="1297" t="s">
        <v>1004</v>
      </c>
      <c r="F2665" s="1399">
        <v>-809221.49</v>
      </c>
      <c r="I2665" s="1399">
        <v>-809221.49</v>
      </c>
    </row>
    <row r="2666" spans="2:9">
      <c r="B2666" s="1297"/>
      <c r="C2666" s="1297"/>
      <c r="D2666" s="1297" t="s">
        <v>991</v>
      </c>
      <c r="F2666" s="1399">
        <v>657468.00000000023</v>
      </c>
      <c r="I2666" s="1399">
        <v>657468.00000000023</v>
      </c>
    </row>
    <row r="2667" spans="2:9">
      <c r="B2667" s="1297"/>
      <c r="C2667" s="1297"/>
      <c r="D2667" s="1297" t="s">
        <v>1044</v>
      </c>
      <c r="F2667" s="1399">
        <v>492457.33</v>
      </c>
      <c r="I2667" s="1399">
        <v>492457.33</v>
      </c>
    </row>
    <row r="2668" spans="2:9">
      <c r="B2668" s="1297"/>
      <c r="C2668" s="1297"/>
      <c r="D2668" s="1297" t="s">
        <v>1045</v>
      </c>
      <c r="F2668" s="1399">
        <v>927952.7000000003</v>
      </c>
      <c r="I2668" s="1399">
        <v>927952.7000000003</v>
      </c>
    </row>
    <row r="2669" spans="2:9">
      <c r="B2669" s="1297"/>
      <c r="C2669" s="1297"/>
      <c r="D2669" s="1297" t="s">
        <v>1046</v>
      </c>
      <c r="H2669" s="1399">
        <v>143694843</v>
      </c>
      <c r="I2669" s="1399">
        <v>143694843</v>
      </c>
    </row>
    <row r="2670" spans="2:9">
      <c r="B2670" s="1297"/>
      <c r="C2670" s="1297"/>
      <c r="D2670" s="1297" t="s">
        <v>1129</v>
      </c>
      <c r="H2670" s="1399">
        <v>-18321064</v>
      </c>
      <c r="I2670" s="1399">
        <v>-18321064</v>
      </c>
    </row>
    <row r="2671" spans="2:9">
      <c r="B2671" s="1297"/>
      <c r="C2671" s="1297"/>
      <c r="D2671" s="1297" t="s">
        <v>1047</v>
      </c>
      <c r="H2671" s="1399">
        <v>2258402</v>
      </c>
      <c r="I2671" s="1399">
        <v>2258402</v>
      </c>
    </row>
    <row r="2672" spans="2:9">
      <c r="B2672" s="1297"/>
      <c r="C2672" s="1297"/>
      <c r="D2672" s="1297" t="s">
        <v>1048</v>
      </c>
      <c r="H2672" s="1399">
        <v>-24732814</v>
      </c>
      <c r="I2672" s="1399">
        <v>-24732814</v>
      </c>
    </row>
    <row r="2673" spans="2:9">
      <c r="B2673" s="1297"/>
      <c r="C2673" s="1297"/>
      <c r="D2673" s="1297" t="s">
        <v>932</v>
      </c>
      <c r="H2673" s="1399">
        <v>4530396</v>
      </c>
      <c r="I2673" s="1399">
        <v>4530396</v>
      </c>
    </row>
    <row r="2674" spans="2:9">
      <c r="B2674" s="1297"/>
      <c r="C2674" s="1297"/>
      <c r="D2674" s="1297" t="s">
        <v>955</v>
      </c>
      <c r="H2674" s="1399">
        <v>380577.39</v>
      </c>
      <c r="I2674" s="1399">
        <v>380577.39</v>
      </c>
    </row>
    <row r="2675" spans="2:9">
      <c r="B2675" s="1297"/>
      <c r="C2675" s="1297"/>
      <c r="D2675" s="1297" t="s">
        <v>934</v>
      </c>
      <c r="H2675" s="1399">
        <v>393642</v>
      </c>
      <c r="I2675" s="1399">
        <v>393642</v>
      </c>
    </row>
    <row r="2676" spans="2:9">
      <c r="B2676" s="1297"/>
      <c r="C2676" s="1297"/>
      <c r="D2676" s="1297" t="s">
        <v>1130</v>
      </c>
      <c r="H2676" s="1399">
        <v>3288530.59</v>
      </c>
      <c r="I2676" s="1399">
        <v>3288530.59</v>
      </c>
    </row>
    <row r="2677" spans="2:9">
      <c r="B2677" s="1297"/>
      <c r="C2677" s="1297"/>
      <c r="D2677" s="1297" t="s">
        <v>935</v>
      </c>
      <c r="H2677" s="1399">
        <v>1052264.2600000002</v>
      </c>
      <c r="I2677" s="1399">
        <v>1052264.2600000002</v>
      </c>
    </row>
    <row r="2678" spans="2:9">
      <c r="B2678" s="1297"/>
      <c r="C2678" s="1297"/>
      <c r="D2678" s="1297" t="s">
        <v>936</v>
      </c>
      <c r="H2678" s="1399">
        <v>399521.76</v>
      </c>
      <c r="I2678" s="1399">
        <v>399521.76</v>
      </c>
    </row>
    <row r="2679" spans="2:9">
      <c r="B2679" s="1297"/>
      <c r="C2679" s="1297"/>
      <c r="D2679" s="1297" t="s">
        <v>937</v>
      </c>
      <c r="H2679" s="1399">
        <v>176210.92</v>
      </c>
      <c r="I2679" s="1399">
        <v>176210.92</v>
      </c>
    </row>
    <row r="2680" spans="2:9">
      <c r="B2680" s="1297"/>
      <c r="C2680" s="1297"/>
      <c r="D2680" s="1297" t="s">
        <v>938</v>
      </c>
      <c r="H2680" s="1399">
        <v>133631</v>
      </c>
      <c r="I2680" s="1399">
        <v>133631</v>
      </c>
    </row>
    <row r="2681" spans="2:9">
      <c r="B2681" s="1297"/>
      <c r="C2681" s="1297"/>
      <c r="D2681" s="1297" t="s">
        <v>939</v>
      </c>
      <c r="H2681" s="1399">
        <v>70000</v>
      </c>
      <c r="I2681" s="1399">
        <v>70000</v>
      </c>
    </row>
    <row r="2682" spans="2:9">
      <c r="B2682" s="1297"/>
      <c r="C2682" s="1297"/>
      <c r="D2682" s="1297" t="s">
        <v>1131</v>
      </c>
      <c r="E2682" s="1399">
        <v>116170.55</v>
      </c>
      <c r="I2682" s="1399">
        <v>116170.55</v>
      </c>
    </row>
    <row r="2683" spans="2:9">
      <c r="B2683" s="1297"/>
      <c r="C2683" s="1297"/>
      <c r="D2683" s="1297" t="s">
        <v>940</v>
      </c>
      <c r="E2683" s="1399">
        <v>6486667.0199999986</v>
      </c>
      <c r="I2683" s="1399">
        <v>6486667.0199999986</v>
      </c>
    </row>
    <row r="2684" spans="2:9">
      <c r="B2684" s="1297"/>
      <c r="C2684" s="1297"/>
      <c r="D2684" s="1297" t="s">
        <v>941</v>
      </c>
      <c r="E2684" s="1399">
        <v>2725259.5599999996</v>
      </c>
      <c r="I2684" s="1399">
        <v>2725259.5599999996</v>
      </c>
    </row>
    <row r="2685" spans="2:9">
      <c r="B2685" s="1297"/>
      <c r="C2685" s="1297"/>
      <c r="D2685" s="1297" t="s">
        <v>943</v>
      </c>
      <c r="E2685" s="1399">
        <v>73021.659999999989</v>
      </c>
      <c r="I2685" s="1399">
        <v>73021.659999999989</v>
      </c>
    </row>
    <row r="2686" spans="2:9">
      <c r="B2686" s="1297"/>
      <c r="C2686" s="1297"/>
      <c r="D2686" s="1297" t="s">
        <v>944</v>
      </c>
      <c r="E2686" s="1399">
        <v>12470438.509999998</v>
      </c>
      <c r="I2686" s="1399">
        <v>12470438.509999998</v>
      </c>
    </row>
    <row r="2687" spans="2:9">
      <c r="B2687" s="1297"/>
      <c r="C2687" s="1297"/>
      <c r="D2687" s="1297" t="s">
        <v>945</v>
      </c>
      <c r="E2687" s="1399">
        <v>11730509.42</v>
      </c>
      <c r="I2687" s="1399">
        <v>11730509.42</v>
      </c>
    </row>
    <row r="2688" spans="2:9">
      <c r="B2688" s="1297"/>
      <c r="C2688" s="1297"/>
      <c r="D2688" s="1297" t="s">
        <v>946</v>
      </c>
      <c r="E2688" s="1399">
        <v>232390.1</v>
      </c>
      <c r="I2688" s="1399">
        <v>232390.1</v>
      </c>
    </row>
    <row r="2689" spans="2:9">
      <c r="B2689" s="1297"/>
      <c r="C2689" s="1297"/>
      <c r="D2689" s="1297" t="s">
        <v>1214</v>
      </c>
      <c r="E2689" s="1399">
        <v>264090.53000000003</v>
      </c>
      <c r="I2689" s="1399">
        <v>264090.53000000003</v>
      </c>
    </row>
    <row r="2690" spans="2:9">
      <c r="B2690" s="1297"/>
      <c r="C2690" s="1297"/>
      <c r="D2690" s="1297" t="s">
        <v>947</v>
      </c>
      <c r="E2690" s="1399">
        <v>613365.42999999993</v>
      </c>
      <c r="I2690" s="1399">
        <v>613365.42999999993</v>
      </c>
    </row>
    <row r="2691" spans="2:9">
      <c r="B2691" s="1297"/>
      <c r="C2691" s="1297"/>
      <c r="D2691" s="1297" t="s">
        <v>1115</v>
      </c>
      <c r="E2691" s="1399">
        <v>22833.55</v>
      </c>
      <c r="I2691" s="1399">
        <v>22833.55</v>
      </c>
    </row>
    <row r="2692" spans="2:9">
      <c r="B2692" s="1297"/>
      <c r="C2692" s="1297"/>
      <c r="D2692" s="1297" t="s">
        <v>1116</v>
      </c>
      <c r="G2692" s="1399">
        <v>9500000</v>
      </c>
      <c r="I2692" s="1399">
        <v>9500000</v>
      </c>
    </row>
    <row r="2693" spans="2:9">
      <c r="B2693" s="1297"/>
      <c r="C2693" s="1297"/>
      <c r="D2693" s="1297" t="s">
        <v>948</v>
      </c>
      <c r="G2693" s="1399">
        <v>58503730.370000005</v>
      </c>
      <c r="I2693" s="1399">
        <v>58503730.370000005</v>
      </c>
    </row>
    <row r="2694" spans="2:9">
      <c r="B2694" s="1297"/>
      <c r="C2694" s="1297"/>
      <c r="D2694" s="1297" t="s">
        <v>956</v>
      </c>
      <c r="G2694" s="1399">
        <v>148142.58000000002</v>
      </c>
      <c r="I2694" s="1399">
        <v>148142.58000000002</v>
      </c>
    </row>
    <row r="2695" spans="2:9">
      <c r="B2695" s="1297"/>
      <c r="C2695" s="1297"/>
      <c r="D2695" s="1297" t="s">
        <v>1167</v>
      </c>
      <c r="G2695" s="1399">
        <v>3000000</v>
      </c>
      <c r="I2695" s="1399">
        <v>3000000</v>
      </c>
    </row>
    <row r="2696" spans="2:9">
      <c r="B2696" s="1297"/>
      <c r="C2696" s="1400" t="s">
        <v>1168</v>
      </c>
      <c r="D2696" s="1400"/>
      <c r="E2696" s="1401">
        <v>34734746.329999998</v>
      </c>
      <c r="F2696" s="1401">
        <v>104659631.61000001</v>
      </c>
      <c r="G2696" s="1401">
        <v>71151872.950000003</v>
      </c>
      <c r="H2696" s="1401">
        <v>113324140.92000002</v>
      </c>
      <c r="I2696" s="1401">
        <v>323870391.81</v>
      </c>
    </row>
    <row r="2697" spans="2:9">
      <c r="B2697" s="1297" t="s">
        <v>1169</v>
      </c>
      <c r="C2697" s="1297" t="s">
        <v>1170</v>
      </c>
      <c r="D2697" s="1297" t="s">
        <v>906</v>
      </c>
      <c r="F2697" s="1399">
        <v>5291478.6900000004</v>
      </c>
      <c r="I2697" s="1399">
        <v>5291478.6900000004</v>
      </c>
    </row>
    <row r="2698" spans="2:9">
      <c r="B2698" s="1297"/>
      <c r="C2698" s="1297"/>
      <c r="D2698" s="1297" t="s">
        <v>907</v>
      </c>
      <c r="F2698" s="1399">
        <v>449613.72</v>
      </c>
      <c r="I2698" s="1399">
        <v>449613.72</v>
      </c>
    </row>
    <row r="2699" spans="2:9">
      <c r="B2699" s="1297"/>
      <c r="C2699" s="1297"/>
      <c r="D2699" s="1297" t="s">
        <v>1039</v>
      </c>
      <c r="F2699" s="1399">
        <v>7116.4699999999993</v>
      </c>
      <c r="I2699" s="1399">
        <v>7116.4699999999993</v>
      </c>
    </row>
    <row r="2700" spans="2:9">
      <c r="B2700" s="1297"/>
      <c r="C2700" s="1297"/>
      <c r="D2700" s="1297" t="s">
        <v>1041</v>
      </c>
      <c r="F2700" s="1399">
        <v>62.55</v>
      </c>
      <c r="I2700" s="1399">
        <v>62.55</v>
      </c>
    </row>
    <row r="2701" spans="2:9">
      <c r="B2701" s="1297"/>
      <c r="C2701" s="1297"/>
      <c r="D2701" s="1297" t="s">
        <v>1042</v>
      </c>
      <c r="F2701" s="1399">
        <v>33230.61</v>
      </c>
      <c r="I2701" s="1399">
        <v>33230.61</v>
      </c>
    </row>
    <row r="2702" spans="2:9">
      <c r="B2702" s="1297"/>
      <c r="C2702" s="1297"/>
      <c r="D2702" s="1297" t="s">
        <v>954</v>
      </c>
      <c r="F2702" s="1399">
        <v>250387.54</v>
      </c>
      <c r="I2702" s="1399">
        <v>250387.54</v>
      </c>
    </row>
    <row r="2703" spans="2:9">
      <c r="B2703" s="1297"/>
      <c r="C2703" s="1297"/>
      <c r="D2703" s="1297" t="s">
        <v>1044</v>
      </c>
      <c r="F2703" s="1399">
        <v>96698.07</v>
      </c>
      <c r="I2703" s="1399">
        <v>96698.07</v>
      </c>
    </row>
    <row r="2704" spans="2:9">
      <c r="B2704" s="1297"/>
      <c r="C2704" s="1297"/>
      <c r="D2704" s="1297" t="s">
        <v>1045</v>
      </c>
      <c r="F2704" s="1399">
        <v>273818.96000000002</v>
      </c>
      <c r="I2704" s="1399">
        <v>273818.96000000002</v>
      </c>
    </row>
    <row r="2705" spans="2:9">
      <c r="B2705" s="1297"/>
      <c r="C2705" s="1297"/>
      <c r="D2705" s="1297" t="s">
        <v>1046</v>
      </c>
      <c r="H2705" s="1399">
        <v>6511392</v>
      </c>
      <c r="I2705" s="1399">
        <v>6511392</v>
      </c>
    </row>
    <row r="2706" spans="2:9">
      <c r="B2706" s="1297"/>
      <c r="C2706" s="1297"/>
      <c r="D2706" s="1297" t="s">
        <v>1128</v>
      </c>
      <c r="H2706" s="1399">
        <v>478464</v>
      </c>
      <c r="I2706" s="1399">
        <v>478464</v>
      </c>
    </row>
    <row r="2707" spans="2:9">
      <c r="B2707" s="1297"/>
      <c r="C2707" s="1297"/>
      <c r="D2707" s="1297" t="s">
        <v>1129</v>
      </c>
      <c r="H2707" s="1399">
        <v>-778487</v>
      </c>
      <c r="I2707" s="1399">
        <v>-778487</v>
      </c>
    </row>
    <row r="2708" spans="2:9">
      <c r="B2708" s="1297"/>
      <c r="C2708" s="1297"/>
      <c r="D2708" s="1297" t="s">
        <v>1047</v>
      </c>
      <c r="H2708" s="1399">
        <v>362305</v>
      </c>
      <c r="I2708" s="1399">
        <v>362305</v>
      </c>
    </row>
    <row r="2709" spans="2:9">
      <c r="B2709" s="1297"/>
      <c r="C2709" s="1297"/>
      <c r="D2709" s="1297" t="s">
        <v>1048</v>
      </c>
      <c r="H2709" s="1399">
        <v>-2283612</v>
      </c>
      <c r="I2709" s="1399">
        <v>-2283612</v>
      </c>
    </row>
    <row r="2710" spans="2:9">
      <c r="B2710" s="1297"/>
      <c r="C2710" s="1297"/>
      <c r="D2710" s="1297" t="s">
        <v>934</v>
      </c>
      <c r="H2710" s="1399">
        <v>17992.900000000001</v>
      </c>
      <c r="I2710" s="1399">
        <v>17992.900000000001</v>
      </c>
    </row>
    <row r="2711" spans="2:9">
      <c r="B2711" s="1297"/>
      <c r="C2711" s="1297"/>
      <c r="D2711" s="1297" t="s">
        <v>935</v>
      </c>
      <c r="H2711" s="1399">
        <v>565872.5</v>
      </c>
      <c r="I2711" s="1399">
        <v>565872.5</v>
      </c>
    </row>
    <row r="2712" spans="2:9">
      <c r="B2712" s="1297"/>
      <c r="C2712" s="1297"/>
      <c r="D2712" s="1297" t="s">
        <v>939</v>
      </c>
      <c r="H2712" s="1399">
        <v>44395.76</v>
      </c>
      <c r="I2712" s="1399">
        <v>44395.76</v>
      </c>
    </row>
    <row r="2713" spans="2:9">
      <c r="B2713" s="1297"/>
      <c r="C2713" s="1297"/>
      <c r="D2713" s="1297" t="s">
        <v>1131</v>
      </c>
      <c r="E2713" s="1399">
        <v>2111905.52</v>
      </c>
      <c r="I2713" s="1399">
        <v>2111905.52</v>
      </c>
    </row>
    <row r="2714" spans="2:9">
      <c r="B2714" s="1297"/>
      <c r="C2714" s="1297"/>
      <c r="D2714" s="1297" t="s">
        <v>940</v>
      </c>
      <c r="E2714" s="1399">
        <v>513030.56</v>
      </c>
      <c r="I2714" s="1399">
        <v>513030.56</v>
      </c>
    </row>
    <row r="2715" spans="2:9">
      <c r="B2715" s="1297"/>
      <c r="C2715" s="1297"/>
      <c r="D2715" s="1297" t="s">
        <v>941</v>
      </c>
      <c r="E2715" s="1399">
        <v>237592.69999999998</v>
      </c>
      <c r="I2715" s="1399">
        <v>237592.69999999998</v>
      </c>
    </row>
    <row r="2716" spans="2:9">
      <c r="B2716" s="1297"/>
      <c r="C2716" s="1297"/>
      <c r="D2716" s="1297" t="s">
        <v>943</v>
      </c>
      <c r="E2716" s="1399">
        <v>36112</v>
      </c>
      <c r="I2716" s="1399">
        <v>36112</v>
      </c>
    </row>
    <row r="2717" spans="2:9">
      <c r="B2717" s="1297"/>
      <c r="C2717" s="1297"/>
      <c r="D2717" s="1297" t="s">
        <v>944</v>
      </c>
      <c r="E2717" s="1399">
        <v>1509113.47</v>
      </c>
      <c r="I2717" s="1399">
        <v>1509113.47</v>
      </c>
    </row>
    <row r="2718" spans="2:9">
      <c r="B2718" s="1297"/>
      <c r="C2718" s="1297"/>
      <c r="D2718" s="1297" t="s">
        <v>945</v>
      </c>
      <c r="E2718" s="1399">
        <v>346985.83999999997</v>
      </c>
      <c r="I2718" s="1399">
        <v>346985.83999999997</v>
      </c>
    </row>
    <row r="2719" spans="2:9">
      <c r="B2719" s="1297"/>
      <c r="C2719" s="1297"/>
      <c r="D2719" s="1297" t="s">
        <v>946</v>
      </c>
      <c r="E2719" s="1399">
        <v>16873.11</v>
      </c>
      <c r="I2719" s="1399">
        <v>16873.11</v>
      </c>
    </row>
    <row r="2720" spans="2:9">
      <c r="B2720" s="1297"/>
      <c r="C2720" s="1297"/>
      <c r="D2720" s="1297" t="s">
        <v>978</v>
      </c>
      <c r="E2720" s="1399">
        <v>26254.79</v>
      </c>
      <c r="I2720" s="1399">
        <v>26254.79</v>
      </c>
    </row>
    <row r="2721" spans="2:9">
      <c r="B2721" s="1297"/>
      <c r="C2721" s="1297"/>
      <c r="D2721" s="1297" t="s">
        <v>947</v>
      </c>
      <c r="E2721" s="1399">
        <v>15942.62</v>
      </c>
      <c r="I2721" s="1399">
        <v>15942.62</v>
      </c>
    </row>
    <row r="2722" spans="2:9">
      <c r="B2722" s="1297"/>
      <c r="C2722" s="1297"/>
      <c r="D2722" s="1297" t="s">
        <v>948</v>
      </c>
      <c r="G2722" s="1399">
        <v>790824.4800000001</v>
      </c>
      <c r="I2722" s="1399">
        <v>790824.4800000001</v>
      </c>
    </row>
    <row r="2723" spans="2:9">
      <c r="B2723" s="1297"/>
      <c r="C2723" s="1297"/>
      <c r="D2723" s="1297" t="s">
        <v>1118</v>
      </c>
      <c r="G2723" s="1399">
        <v>1500</v>
      </c>
      <c r="I2723" s="1399">
        <v>1500</v>
      </c>
    </row>
    <row r="2724" spans="2:9">
      <c r="B2724" s="1297"/>
      <c r="C2724" s="1400" t="s">
        <v>1171</v>
      </c>
      <c r="D2724" s="1400"/>
      <c r="E2724" s="1401">
        <v>4813810.6100000003</v>
      </c>
      <c r="F2724" s="1401">
        <v>6402406.6100000003</v>
      </c>
      <c r="G2724" s="1401">
        <v>792324.4800000001</v>
      </c>
      <c r="H2724" s="1401">
        <v>4918323.16</v>
      </c>
      <c r="I2724" s="1401">
        <v>16926864.859999996</v>
      </c>
    </row>
    <row r="2725" spans="2:9">
      <c r="B2725" s="1297" t="s">
        <v>1172</v>
      </c>
      <c r="C2725" s="1297" t="s">
        <v>1173</v>
      </c>
      <c r="D2725" s="1297" t="s">
        <v>906</v>
      </c>
      <c r="F2725" s="1399">
        <v>9902042.1099999994</v>
      </c>
      <c r="I2725" s="1399">
        <v>9902042.1099999994</v>
      </c>
    </row>
    <row r="2726" spans="2:9">
      <c r="B2726" s="1297"/>
      <c r="C2726" s="1297"/>
      <c r="D2726" s="1297" t="s">
        <v>952</v>
      </c>
      <c r="F2726" s="1399">
        <v>23602.41</v>
      </c>
      <c r="I2726" s="1399">
        <v>23602.41</v>
      </c>
    </row>
    <row r="2727" spans="2:9">
      <c r="B2727" s="1297"/>
      <c r="C2727" s="1297"/>
      <c r="D2727" s="1297" t="s">
        <v>907</v>
      </c>
      <c r="F2727" s="1399">
        <v>2422813.1100000003</v>
      </c>
      <c r="I2727" s="1399">
        <v>2422813.1100000003</v>
      </c>
    </row>
    <row r="2728" spans="2:9">
      <c r="B2728" s="1297"/>
      <c r="C2728" s="1297"/>
      <c r="D2728" s="1297" t="s">
        <v>908</v>
      </c>
      <c r="F2728" s="1399">
        <v>20529.37</v>
      </c>
      <c r="I2728" s="1399">
        <v>20529.37</v>
      </c>
    </row>
    <row r="2729" spans="2:9">
      <c r="B2729" s="1297"/>
      <c r="C2729" s="1297"/>
      <c r="D2729" s="1297" t="s">
        <v>1034</v>
      </c>
      <c r="F2729" s="1399">
        <v>5453.3</v>
      </c>
      <c r="I2729" s="1399">
        <v>5453.3</v>
      </c>
    </row>
    <row r="2730" spans="2:9">
      <c r="B2730" s="1297"/>
      <c r="C2730" s="1297"/>
      <c r="D2730" s="1297" t="s">
        <v>1037</v>
      </c>
      <c r="F2730" s="1399">
        <v>10954.41</v>
      </c>
      <c r="I2730" s="1399">
        <v>10954.41</v>
      </c>
    </row>
    <row r="2731" spans="2:9">
      <c r="B2731" s="1297"/>
      <c r="C2731" s="1297"/>
      <c r="D2731" s="1297" t="s">
        <v>1039</v>
      </c>
      <c r="F2731" s="1399">
        <v>97807.62000000001</v>
      </c>
      <c r="I2731" s="1399">
        <v>97807.62000000001</v>
      </c>
    </row>
    <row r="2732" spans="2:9">
      <c r="B2732" s="1297"/>
      <c r="C2732" s="1297"/>
      <c r="D2732" s="1297" t="s">
        <v>1040</v>
      </c>
      <c r="F2732" s="1399">
        <v>307199.69</v>
      </c>
      <c r="I2732" s="1399">
        <v>307199.69</v>
      </c>
    </row>
    <row r="2733" spans="2:9">
      <c r="B2733" s="1297"/>
      <c r="C2733" s="1297"/>
      <c r="D2733" s="1297" t="s">
        <v>1041</v>
      </c>
      <c r="F2733" s="1399">
        <v>10567.02</v>
      </c>
      <c r="I2733" s="1399">
        <v>10567.02</v>
      </c>
    </row>
    <row r="2734" spans="2:9">
      <c r="B2734" s="1297"/>
      <c r="C2734" s="1297"/>
      <c r="D2734" s="1297" t="s">
        <v>1042</v>
      </c>
      <c r="F2734" s="1399">
        <v>12221.82</v>
      </c>
      <c r="I2734" s="1399">
        <v>12221.82</v>
      </c>
    </row>
    <row r="2735" spans="2:9">
      <c r="B2735" s="1297"/>
      <c r="C2735" s="1297"/>
      <c r="D2735" s="1297" t="s">
        <v>954</v>
      </c>
      <c r="F2735" s="1399">
        <v>588539.76</v>
      </c>
      <c r="I2735" s="1399">
        <v>588539.76</v>
      </c>
    </row>
    <row r="2736" spans="2:9">
      <c r="B2736" s="1297"/>
      <c r="C2736" s="1297"/>
      <c r="D2736" s="1297" t="s">
        <v>986</v>
      </c>
      <c r="F2736" s="1399">
        <v>6910.02</v>
      </c>
      <c r="I2736" s="1399">
        <v>6910.02</v>
      </c>
    </row>
    <row r="2737" spans="2:9">
      <c r="B2737" s="1297"/>
      <c r="C2737" s="1297"/>
      <c r="D2737" s="1297" t="s">
        <v>991</v>
      </c>
      <c r="F2737" s="1399">
        <v>73983.909999999989</v>
      </c>
      <c r="I2737" s="1399">
        <v>73983.909999999989</v>
      </c>
    </row>
    <row r="2738" spans="2:9">
      <c r="B2738" s="1297"/>
      <c r="C2738" s="1297"/>
      <c r="D2738" s="1297" t="s">
        <v>1045</v>
      </c>
      <c r="F2738" s="1399">
        <v>418199.7</v>
      </c>
      <c r="I2738" s="1399">
        <v>418199.7</v>
      </c>
    </row>
    <row r="2739" spans="2:9">
      <c r="B2739" s="1297"/>
      <c r="C2739" s="1297"/>
      <c r="D2739" s="1297" t="s">
        <v>1046</v>
      </c>
      <c r="H2739" s="1399">
        <v>19216096</v>
      </c>
      <c r="I2739" s="1399">
        <v>19216096</v>
      </c>
    </row>
    <row r="2740" spans="2:9">
      <c r="B2740" s="1297"/>
      <c r="C2740" s="1297"/>
      <c r="D2740" s="1297" t="s">
        <v>1128</v>
      </c>
      <c r="H2740" s="1399">
        <v>1519530</v>
      </c>
      <c r="I2740" s="1399">
        <v>1519530</v>
      </c>
    </row>
    <row r="2741" spans="2:9">
      <c r="B2741" s="1297"/>
      <c r="C2741" s="1297"/>
      <c r="D2741" s="1297" t="s">
        <v>1129</v>
      </c>
      <c r="H2741" s="1399">
        <v>-2753779</v>
      </c>
      <c r="I2741" s="1399">
        <v>-2753779</v>
      </c>
    </row>
    <row r="2742" spans="2:9">
      <c r="B2742" s="1297"/>
      <c r="C2742" s="1297"/>
      <c r="D2742" s="1297" t="s">
        <v>1047</v>
      </c>
      <c r="H2742" s="1399">
        <v>636041</v>
      </c>
      <c r="I2742" s="1399">
        <v>636041</v>
      </c>
    </row>
    <row r="2743" spans="2:9">
      <c r="B2743" s="1297"/>
      <c r="C2743" s="1297"/>
      <c r="D2743" s="1297" t="s">
        <v>1048</v>
      </c>
      <c r="H2743" s="1399">
        <v>-2717482</v>
      </c>
      <c r="I2743" s="1399">
        <v>-2717482</v>
      </c>
    </row>
    <row r="2744" spans="2:9">
      <c r="B2744" s="1297"/>
      <c r="C2744" s="1297"/>
      <c r="D2744" s="1297" t="s">
        <v>932</v>
      </c>
      <c r="H2744" s="1399">
        <v>1872825</v>
      </c>
      <c r="I2744" s="1399">
        <v>1872825</v>
      </c>
    </row>
    <row r="2745" spans="2:9">
      <c r="B2745" s="1297"/>
      <c r="C2745" s="1297"/>
      <c r="D2745" s="1297" t="s">
        <v>934</v>
      </c>
      <c r="H2745" s="1399">
        <v>59728</v>
      </c>
      <c r="I2745" s="1399">
        <v>59728</v>
      </c>
    </row>
    <row r="2746" spans="2:9">
      <c r="B2746" s="1297"/>
      <c r="C2746" s="1297"/>
      <c r="D2746" s="1297" t="s">
        <v>935</v>
      </c>
      <c r="H2746" s="1399">
        <v>424825.86</v>
      </c>
      <c r="I2746" s="1399">
        <v>424825.86</v>
      </c>
    </row>
    <row r="2747" spans="2:9">
      <c r="B2747" s="1297"/>
      <c r="C2747" s="1297"/>
      <c r="D2747" s="1297" t="s">
        <v>936</v>
      </c>
      <c r="H2747" s="1399">
        <v>54973.63</v>
      </c>
      <c r="I2747" s="1399">
        <v>54973.63</v>
      </c>
    </row>
    <row r="2748" spans="2:9">
      <c r="B2748" s="1297"/>
      <c r="C2748" s="1297"/>
      <c r="D2748" s="1297" t="s">
        <v>937</v>
      </c>
      <c r="H2748" s="1399">
        <v>9735.76</v>
      </c>
      <c r="I2748" s="1399">
        <v>9735.76</v>
      </c>
    </row>
    <row r="2749" spans="2:9">
      <c r="B2749" s="1297"/>
      <c r="C2749" s="1297"/>
      <c r="D2749" s="1297" t="s">
        <v>938</v>
      </c>
      <c r="H2749" s="1399">
        <v>21336</v>
      </c>
      <c r="I2749" s="1399">
        <v>21336</v>
      </c>
    </row>
    <row r="2750" spans="2:9">
      <c r="B2750" s="1297"/>
      <c r="C2750" s="1297"/>
      <c r="D2750" s="1297" t="s">
        <v>939</v>
      </c>
      <c r="H2750" s="1399">
        <v>834443.79</v>
      </c>
      <c r="I2750" s="1399">
        <v>834443.79</v>
      </c>
    </row>
    <row r="2751" spans="2:9">
      <c r="B2751" s="1297"/>
      <c r="C2751" s="1297"/>
      <c r="D2751" s="1297" t="s">
        <v>1131</v>
      </c>
      <c r="E2751" s="1399">
        <v>340741.14</v>
      </c>
      <c r="I2751" s="1399">
        <v>340741.14</v>
      </c>
    </row>
    <row r="2752" spans="2:9">
      <c r="B2752" s="1297"/>
      <c r="C2752" s="1297"/>
      <c r="D2752" s="1297" t="s">
        <v>940</v>
      </c>
      <c r="E2752" s="1399">
        <v>740702.4</v>
      </c>
      <c r="I2752" s="1399">
        <v>740702.4</v>
      </c>
    </row>
    <row r="2753" spans="2:9">
      <c r="B2753" s="1297"/>
      <c r="C2753" s="1297"/>
      <c r="D2753" s="1297" t="s">
        <v>941</v>
      </c>
      <c r="E2753" s="1399">
        <v>257403.58</v>
      </c>
      <c r="I2753" s="1399">
        <v>257403.58</v>
      </c>
    </row>
    <row r="2754" spans="2:9">
      <c r="B2754" s="1297"/>
      <c r="C2754" s="1297"/>
      <c r="D2754" s="1297" t="s">
        <v>943</v>
      </c>
      <c r="E2754" s="1399">
        <v>5614.38</v>
      </c>
      <c r="I2754" s="1399">
        <v>5614.38</v>
      </c>
    </row>
    <row r="2755" spans="2:9">
      <c r="B2755" s="1297"/>
      <c r="C2755" s="1297"/>
      <c r="D2755" s="1297" t="s">
        <v>944</v>
      </c>
      <c r="E2755" s="1399">
        <v>3420952.1699999995</v>
      </c>
      <c r="I2755" s="1399">
        <v>3420952.1699999995</v>
      </c>
    </row>
    <row r="2756" spans="2:9">
      <c r="B2756" s="1297"/>
      <c r="C2756" s="1297"/>
      <c r="D2756" s="1297" t="s">
        <v>945</v>
      </c>
      <c r="E2756" s="1399">
        <v>2364753.14</v>
      </c>
      <c r="I2756" s="1399">
        <v>2364753.14</v>
      </c>
    </row>
    <row r="2757" spans="2:9">
      <c r="B2757" s="1297"/>
      <c r="C2757" s="1297"/>
      <c r="D2757" s="1297" t="s">
        <v>947</v>
      </c>
      <c r="E2757" s="1399">
        <v>53280.29</v>
      </c>
      <c r="I2757" s="1399">
        <v>53280.29</v>
      </c>
    </row>
    <row r="2758" spans="2:9">
      <c r="B2758" s="1297"/>
      <c r="C2758" s="1297"/>
      <c r="D2758" s="1297" t="s">
        <v>1115</v>
      </c>
      <c r="E2758" s="1399">
        <v>78260.97</v>
      </c>
      <c r="I2758" s="1399">
        <v>78260.97</v>
      </c>
    </row>
    <row r="2759" spans="2:9">
      <c r="B2759" s="1297"/>
      <c r="C2759" s="1297"/>
      <c r="D2759" s="1297" t="s">
        <v>948</v>
      </c>
      <c r="G2759" s="1399">
        <v>140806.32</v>
      </c>
      <c r="I2759" s="1399">
        <v>140806.32</v>
      </c>
    </row>
    <row r="2760" spans="2:9">
      <c r="B2760" s="1297"/>
      <c r="C2760" s="1400" t="s">
        <v>1174</v>
      </c>
      <c r="D2760" s="1400"/>
      <c r="E2760" s="1401">
        <v>7261708.0700000003</v>
      </c>
      <c r="F2760" s="1401">
        <v>13900824.249999996</v>
      </c>
      <c r="G2760" s="1401">
        <v>140806.32</v>
      </c>
      <c r="H2760" s="1401">
        <v>19178274.039999999</v>
      </c>
      <c r="I2760" s="1401">
        <v>40481612.68</v>
      </c>
    </row>
    <row r="2761" spans="2:9">
      <c r="B2761" s="1297" t="s">
        <v>1175</v>
      </c>
      <c r="C2761" s="1297" t="s">
        <v>1176</v>
      </c>
      <c r="D2761" s="1297" t="s">
        <v>906</v>
      </c>
      <c r="F2761" s="1399">
        <v>21480713.069999997</v>
      </c>
      <c r="I2761" s="1399">
        <v>21480713.069999997</v>
      </c>
    </row>
    <row r="2762" spans="2:9">
      <c r="B2762" s="1297"/>
      <c r="C2762" s="1297"/>
      <c r="D2762" s="1297" t="s">
        <v>952</v>
      </c>
      <c r="F2762" s="1399">
        <v>519482.76</v>
      </c>
      <c r="I2762" s="1399">
        <v>519482.76</v>
      </c>
    </row>
    <row r="2763" spans="2:9">
      <c r="B2763" s="1297"/>
      <c r="C2763" s="1297"/>
      <c r="D2763" s="1297" t="s">
        <v>907</v>
      </c>
      <c r="F2763" s="1399">
        <v>2343914.25</v>
      </c>
      <c r="I2763" s="1399">
        <v>2343914.25</v>
      </c>
    </row>
    <row r="2764" spans="2:9">
      <c r="B2764" s="1297"/>
      <c r="C2764" s="1297"/>
      <c r="D2764" s="1297" t="s">
        <v>908</v>
      </c>
      <c r="F2764" s="1399">
        <v>15109.87</v>
      </c>
      <c r="I2764" s="1399">
        <v>15109.87</v>
      </c>
    </row>
    <row r="2765" spans="2:9">
      <c r="B2765" s="1297"/>
      <c r="C2765" s="1297"/>
      <c r="D2765" s="1297" t="s">
        <v>909</v>
      </c>
      <c r="F2765" s="1399">
        <v>35048.61</v>
      </c>
      <c r="I2765" s="1399">
        <v>35048.61</v>
      </c>
    </row>
    <row r="2766" spans="2:9">
      <c r="B2766" s="1297"/>
      <c r="C2766" s="1297"/>
      <c r="D2766" s="1297" t="s">
        <v>910</v>
      </c>
      <c r="F2766" s="1399">
        <v>56702.38</v>
      </c>
      <c r="I2766" s="1399">
        <v>56702.38</v>
      </c>
    </row>
    <row r="2767" spans="2:9">
      <c r="B2767" s="1297"/>
      <c r="C2767" s="1297"/>
      <c r="D2767" s="1297" t="s">
        <v>1034</v>
      </c>
      <c r="F2767" s="1399">
        <v>94657.919999999998</v>
      </c>
      <c r="I2767" s="1399">
        <v>94657.919999999998</v>
      </c>
    </row>
    <row r="2768" spans="2:9">
      <c r="B2768" s="1297"/>
      <c r="C2768" s="1297"/>
      <c r="D2768" s="1297" t="s">
        <v>1035</v>
      </c>
      <c r="F2768" s="1399">
        <v>472747.58</v>
      </c>
      <c r="I2768" s="1399">
        <v>472747.58</v>
      </c>
    </row>
    <row r="2769" spans="2:9">
      <c r="B2769" s="1297"/>
      <c r="C2769" s="1297"/>
      <c r="D2769" s="1297" t="s">
        <v>1036</v>
      </c>
      <c r="F2769" s="1399">
        <v>91401.41</v>
      </c>
      <c r="I2769" s="1399">
        <v>91401.41</v>
      </c>
    </row>
    <row r="2770" spans="2:9">
      <c r="B2770" s="1297"/>
      <c r="C2770" s="1297"/>
      <c r="D2770" s="1297" t="s">
        <v>1037</v>
      </c>
      <c r="F2770" s="1399">
        <v>75600</v>
      </c>
      <c r="I2770" s="1399">
        <v>75600</v>
      </c>
    </row>
    <row r="2771" spans="2:9">
      <c r="B2771" s="1297"/>
      <c r="C2771" s="1297"/>
      <c r="D2771" s="1297" t="s">
        <v>1039</v>
      </c>
      <c r="F2771" s="1399">
        <v>18043.679999999997</v>
      </c>
      <c r="I2771" s="1399">
        <v>18043.679999999997</v>
      </c>
    </row>
    <row r="2772" spans="2:9">
      <c r="B2772" s="1297"/>
      <c r="C2772" s="1297"/>
      <c r="D2772" s="1297" t="s">
        <v>1040</v>
      </c>
      <c r="F2772" s="1399">
        <v>984073.45</v>
      </c>
      <c r="I2772" s="1399">
        <v>984073.45</v>
      </c>
    </row>
    <row r="2773" spans="2:9">
      <c r="B2773" s="1297"/>
      <c r="C2773" s="1297"/>
      <c r="D2773" s="1297" t="s">
        <v>1041</v>
      </c>
      <c r="F2773" s="1399">
        <v>85540.24</v>
      </c>
      <c r="I2773" s="1399">
        <v>85540.24</v>
      </c>
    </row>
    <row r="2774" spans="2:9">
      <c r="B2774" s="1297"/>
      <c r="C2774" s="1297"/>
      <c r="D2774" s="1297" t="s">
        <v>1042</v>
      </c>
      <c r="F2774" s="1399">
        <v>89101.48</v>
      </c>
      <c r="I2774" s="1399">
        <v>89101.48</v>
      </c>
    </row>
    <row r="2775" spans="2:9">
      <c r="B2775" s="1297"/>
      <c r="C2775" s="1297"/>
      <c r="D2775" s="1297" t="s">
        <v>954</v>
      </c>
      <c r="F2775" s="1399">
        <v>385632.75</v>
      </c>
      <c r="I2775" s="1399">
        <v>385632.75</v>
      </c>
    </row>
    <row r="2776" spans="2:9">
      <c r="B2776" s="1297"/>
      <c r="C2776" s="1297"/>
      <c r="D2776" s="1297" t="s">
        <v>985</v>
      </c>
      <c r="F2776" s="1399">
        <v>286467</v>
      </c>
      <c r="I2776" s="1399">
        <v>286467</v>
      </c>
    </row>
    <row r="2777" spans="2:9">
      <c r="B2777" s="1297"/>
      <c r="C2777" s="1297"/>
      <c r="D2777" s="1297" t="s">
        <v>1043</v>
      </c>
      <c r="F2777" s="1399">
        <v>11895.27</v>
      </c>
      <c r="I2777" s="1399">
        <v>11895.27</v>
      </c>
    </row>
    <row r="2778" spans="2:9">
      <c r="B2778" s="1297"/>
      <c r="C2778" s="1297"/>
      <c r="D2778" s="1297" t="s">
        <v>1044</v>
      </c>
      <c r="F2778" s="1399">
        <v>37426.15</v>
      </c>
      <c r="I2778" s="1399">
        <v>37426.15</v>
      </c>
    </row>
    <row r="2779" spans="2:9">
      <c r="B2779" s="1297"/>
      <c r="C2779" s="1297"/>
      <c r="D2779" s="1297" t="s">
        <v>1045</v>
      </c>
      <c r="F2779" s="1399">
        <v>304731.33</v>
      </c>
      <c r="I2779" s="1399">
        <v>304731.33</v>
      </c>
    </row>
    <row r="2780" spans="2:9">
      <c r="B2780" s="1297"/>
      <c r="C2780" s="1297"/>
      <c r="D2780" s="1297" t="s">
        <v>1046</v>
      </c>
      <c r="H2780" s="1399">
        <v>26169943</v>
      </c>
      <c r="I2780" s="1399">
        <v>26169943</v>
      </c>
    </row>
    <row r="2781" spans="2:9">
      <c r="B2781" s="1297"/>
      <c r="C2781" s="1297"/>
      <c r="D2781" s="1297" t="s">
        <v>1129</v>
      </c>
      <c r="H2781" s="1399">
        <v>-3021938</v>
      </c>
      <c r="I2781" s="1399">
        <v>-3021938</v>
      </c>
    </row>
    <row r="2782" spans="2:9">
      <c r="B2782" s="1297"/>
      <c r="C2782" s="1297"/>
      <c r="D2782" s="1297" t="s">
        <v>1047</v>
      </c>
      <c r="H2782" s="1399">
        <v>629164</v>
      </c>
      <c r="I2782" s="1399">
        <v>629164</v>
      </c>
    </row>
    <row r="2783" spans="2:9">
      <c r="B2783" s="1297"/>
      <c r="C2783" s="1297"/>
      <c r="D2783" s="1297" t="s">
        <v>1048</v>
      </c>
      <c r="H2783" s="1399">
        <v>-5586345</v>
      </c>
      <c r="I2783" s="1399">
        <v>-5586345</v>
      </c>
    </row>
    <row r="2784" spans="2:9">
      <c r="B2784" s="1297"/>
      <c r="C2784" s="1297"/>
      <c r="D2784" s="1297" t="s">
        <v>955</v>
      </c>
      <c r="H2784" s="1399">
        <v>1000687.71</v>
      </c>
      <c r="I2784" s="1399">
        <v>1000687.71</v>
      </c>
    </row>
    <row r="2785" spans="2:9">
      <c r="B2785" s="1297"/>
      <c r="C2785" s="1297"/>
      <c r="D2785" s="1297" t="s">
        <v>934</v>
      </c>
      <c r="H2785" s="1399">
        <v>74318</v>
      </c>
      <c r="I2785" s="1399">
        <v>74318</v>
      </c>
    </row>
    <row r="2786" spans="2:9">
      <c r="B2786" s="1297"/>
      <c r="C2786" s="1297"/>
      <c r="D2786" s="1297" t="s">
        <v>935</v>
      </c>
      <c r="H2786" s="1399">
        <v>122983.34</v>
      </c>
      <c r="I2786" s="1399">
        <v>122983.34</v>
      </c>
    </row>
    <row r="2787" spans="2:9">
      <c r="B2787" s="1297"/>
      <c r="C2787" s="1297"/>
      <c r="D2787" s="1297" t="s">
        <v>936</v>
      </c>
      <c r="H2787" s="1399">
        <v>84386.28</v>
      </c>
      <c r="I2787" s="1399">
        <v>84386.28</v>
      </c>
    </row>
    <row r="2788" spans="2:9">
      <c r="B2788" s="1297"/>
      <c r="C2788" s="1297"/>
      <c r="D2788" s="1297" t="s">
        <v>937</v>
      </c>
      <c r="H2788" s="1399">
        <v>11615.2</v>
      </c>
      <c r="I2788" s="1399">
        <v>11615.2</v>
      </c>
    </row>
    <row r="2789" spans="2:9">
      <c r="B2789" s="1297"/>
      <c r="C2789" s="1297"/>
      <c r="D2789" s="1297" t="s">
        <v>938</v>
      </c>
      <c r="H2789" s="1399">
        <v>26202</v>
      </c>
      <c r="I2789" s="1399">
        <v>26202</v>
      </c>
    </row>
    <row r="2790" spans="2:9">
      <c r="B2790" s="1297"/>
      <c r="C2790" s="1297"/>
      <c r="D2790" s="1297" t="s">
        <v>939</v>
      </c>
      <c r="H2790" s="1399">
        <v>49424.94</v>
      </c>
      <c r="I2790" s="1399">
        <v>49424.94</v>
      </c>
    </row>
    <row r="2791" spans="2:9">
      <c r="B2791" s="1297"/>
      <c r="C2791" s="1297"/>
      <c r="D2791" s="1297" t="s">
        <v>940</v>
      </c>
      <c r="E2791" s="1399">
        <v>749283.2</v>
      </c>
      <c r="I2791" s="1399">
        <v>749283.2</v>
      </c>
    </row>
    <row r="2792" spans="2:9">
      <c r="B2792" s="1297"/>
      <c r="C2792" s="1297"/>
      <c r="D2792" s="1297" t="s">
        <v>941</v>
      </c>
      <c r="E2792" s="1399">
        <v>220627.92</v>
      </c>
      <c r="I2792" s="1399">
        <v>220627.92</v>
      </c>
    </row>
    <row r="2793" spans="2:9">
      <c r="B2793" s="1297"/>
      <c r="C2793" s="1297"/>
      <c r="D2793" s="1297" t="s">
        <v>943</v>
      </c>
      <c r="E2793" s="1399">
        <v>16074.21</v>
      </c>
      <c r="I2793" s="1399">
        <v>16074.21</v>
      </c>
    </row>
    <row r="2794" spans="2:9">
      <c r="B2794" s="1297"/>
      <c r="C2794" s="1297"/>
      <c r="D2794" s="1297" t="s">
        <v>944</v>
      </c>
      <c r="E2794" s="1399">
        <v>1720318.22</v>
      </c>
      <c r="I2794" s="1399">
        <v>1720318.22</v>
      </c>
    </row>
    <row r="2795" spans="2:9">
      <c r="B2795" s="1297"/>
      <c r="C2795" s="1297"/>
      <c r="D2795" s="1297" t="s">
        <v>945</v>
      </c>
      <c r="E2795" s="1399">
        <v>1638996.71</v>
      </c>
      <c r="I2795" s="1399">
        <v>1638996.71</v>
      </c>
    </row>
    <row r="2796" spans="2:9">
      <c r="B2796" s="1297"/>
      <c r="C2796" s="1297"/>
      <c r="D2796" s="1297" t="s">
        <v>947</v>
      </c>
      <c r="E2796" s="1399">
        <v>69506.37999999999</v>
      </c>
      <c r="I2796" s="1399">
        <v>69506.37999999999</v>
      </c>
    </row>
    <row r="2797" spans="2:9">
      <c r="B2797" s="1297"/>
      <c r="C2797" s="1297"/>
      <c r="D2797" s="1297" t="s">
        <v>1115</v>
      </c>
      <c r="E2797" s="1399">
        <v>47363.55000000001</v>
      </c>
      <c r="I2797" s="1399">
        <v>47363.55000000001</v>
      </c>
    </row>
    <row r="2798" spans="2:9">
      <c r="B2798" s="1297"/>
      <c r="C2798" s="1297"/>
      <c r="D2798" s="1297" t="s">
        <v>948</v>
      </c>
      <c r="G2798" s="1399">
        <v>2124066.4</v>
      </c>
      <c r="I2798" s="1399">
        <v>2124066.4</v>
      </c>
    </row>
    <row r="2799" spans="2:9">
      <c r="B2799" s="1297"/>
      <c r="C2799" s="1400" t="s">
        <v>1177</v>
      </c>
      <c r="D2799" s="1400"/>
      <c r="E2799" s="1401">
        <v>4462170.1899999995</v>
      </c>
      <c r="F2799" s="1401">
        <v>27388289.199999992</v>
      </c>
      <c r="G2799" s="1401">
        <v>2124066.4</v>
      </c>
      <c r="H2799" s="1401">
        <v>19560441.470000003</v>
      </c>
      <c r="I2799" s="1401">
        <v>53534967.259999998</v>
      </c>
    </row>
    <row r="2800" spans="2:9">
      <c r="B2800" s="1297" t="s">
        <v>1178</v>
      </c>
      <c r="C2800" s="1297" t="s">
        <v>1179</v>
      </c>
      <c r="D2800" s="1297" t="s">
        <v>906</v>
      </c>
      <c r="F2800" s="1399">
        <v>12323259</v>
      </c>
      <c r="I2800" s="1399">
        <v>12323259</v>
      </c>
    </row>
    <row r="2801" spans="2:9">
      <c r="B2801" s="1297"/>
      <c r="C2801" s="1297"/>
      <c r="D2801" s="1297" t="s">
        <v>952</v>
      </c>
      <c r="F2801" s="1399">
        <v>191312.07</v>
      </c>
      <c r="I2801" s="1399">
        <v>191312.07</v>
      </c>
    </row>
    <row r="2802" spans="2:9">
      <c r="B2802" s="1297"/>
      <c r="C2802" s="1297"/>
      <c r="D2802" s="1297" t="s">
        <v>907</v>
      </c>
      <c r="F2802" s="1399">
        <v>3015784.26</v>
      </c>
      <c r="I2802" s="1399">
        <v>3015784.26</v>
      </c>
    </row>
    <row r="2803" spans="2:9">
      <c r="B2803" s="1297"/>
      <c r="C2803" s="1297"/>
      <c r="D2803" s="1297" t="s">
        <v>908</v>
      </c>
      <c r="F2803" s="1399">
        <v>5466.78</v>
      </c>
      <c r="I2803" s="1399">
        <v>5466.78</v>
      </c>
    </row>
    <row r="2804" spans="2:9">
      <c r="B2804" s="1297"/>
      <c r="C2804" s="1297"/>
      <c r="D2804" s="1297" t="s">
        <v>909</v>
      </c>
      <c r="F2804" s="1399">
        <v>67044.039999999994</v>
      </c>
      <c r="I2804" s="1399">
        <v>67044.039999999994</v>
      </c>
    </row>
    <row r="2805" spans="2:9">
      <c r="B2805" s="1297"/>
      <c r="C2805" s="1297"/>
      <c r="D2805" s="1297" t="s">
        <v>910</v>
      </c>
      <c r="F2805" s="1399">
        <v>102731.04</v>
      </c>
      <c r="I2805" s="1399">
        <v>102731.04</v>
      </c>
    </row>
    <row r="2806" spans="2:9">
      <c r="B2806" s="1297"/>
      <c r="C2806" s="1297"/>
      <c r="D2806" s="1297" t="s">
        <v>1034</v>
      </c>
      <c r="F2806" s="1399">
        <v>53909.85</v>
      </c>
      <c r="I2806" s="1399">
        <v>53909.85</v>
      </c>
    </row>
    <row r="2807" spans="2:9">
      <c r="B2807" s="1297"/>
      <c r="C2807" s="1297"/>
      <c r="D2807" s="1297" t="s">
        <v>1035</v>
      </c>
      <c r="F2807" s="1399">
        <v>402586.42</v>
      </c>
      <c r="I2807" s="1399">
        <v>402586.42</v>
      </c>
    </row>
    <row r="2808" spans="2:9">
      <c r="B2808" s="1297"/>
      <c r="C2808" s="1297"/>
      <c r="D2808" s="1297" t="s">
        <v>1036</v>
      </c>
      <c r="F2808" s="1399">
        <v>199960.03</v>
      </c>
      <c r="I2808" s="1399">
        <v>199960.03</v>
      </c>
    </row>
    <row r="2809" spans="2:9">
      <c r="B2809" s="1297"/>
      <c r="C2809" s="1297"/>
      <c r="D2809" s="1297" t="s">
        <v>1037</v>
      </c>
      <c r="F2809" s="1399">
        <v>4800</v>
      </c>
      <c r="I2809" s="1399">
        <v>4800</v>
      </c>
    </row>
    <row r="2810" spans="2:9">
      <c r="B2810" s="1297"/>
      <c r="C2810" s="1297"/>
      <c r="D2810" s="1297" t="s">
        <v>1039</v>
      </c>
      <c r="F2810" s="1399">
        <v>15644.34</v>
      </c>
      <c r="I2810" s="1399">
        <v>15644.34</v>
      </c>
    </row>
    <row r="2811" spans="2:9">
      <c r="B2811" s="1297"/>
      <c r="C2811" s="1297"/>
      <c r="D2811" s="1297" t="s">
        <v>1040</v>
      </c>
      <c r="F2811" s="1399">
        <v>315675.3</v>
      </c>
      <c r="I2811" s="1399">
        <v>315675.3</v>
      </c>
    </row>
    <row r="2812" spans="2:9">
      <c r="B2812" s="1297"/>
      <c r="C2812" s="1297"/>
      <c r="D2812" s="1297" t="s">
        <v>1041</v>
      </c>
      <c r="F2812" s="1399">
        <v>60033.120000000003</v>
      </c>
      <c r="I2812" s="1399">
        <v>60033.120000000003</v>
      </c>
    </row>
    <row r="2813" spans="2:9">
      <c r="B2813" s="1297"/>
      <c r="C2813" s="1297"/>
      <c r="D2813" s="1297" t="s">
        <v>1042</v>
      </c>
      <c r="F2813" s="1399">
        <v>40772.85</v>
      </c>
      <c r="I2813" s="1399">
        <v>40772.85</v>
      </c>
    </row>
    <row r="2814" spans="2:9">
      <c r="B2814" s="1297"/>
      <c r="C2814" s="1297"/>
      <c r="D2814" s="1297" t="s">
        <v>1043</v>
      </c>
      <c r="F2814" s="1399">
        <v>6700</v>
      </c>
      <c r="I2814" s="1399">
        <v>6700</v>
      </c>
    </row>
    <row r="2815" spans="2:9">
      <c r="B2815" s="1297"/>
      <c r="C2815" s="1297"/>
      <c r="D2815" s="1297" t="s">
        <v>986</v>
      </c>
      <c r="F2815" s="1399">
        <v>57632.18</v>
      </c>
      <c r="I2815" s="1399">
        <v>57632.18</v>
      </c>
    </row>
    <row r="2816" spans="2:9">
      <c r="B2816" s="1297"/>
      <c r="C2816" s="1297"/>
      <c r="D2816" s="1297" t="s">
        <v>1004</v>
      </c>
      <c r="F2816" s="1399">
        <v>-105961.78</v>
      </c>
      <c r="I2816" s="1399">
        <v>-105961.78</v>
      </c>
    </row>
    <row r="2817" spans="2:9">
      <c r="B2817" s="1297"/>
      <c r="C2817" s="1297"/>
      <c r="D2817" s="1297" t="s">
        <v>1005</v>
      </c>
      <c r="F2817" s="1399">
        <v>9571.2000000000007</v>
      </c>
      <c r="I2817" s="1399">
        <v>9571.2000000000007</v>
      </c>
    </row>
    <row r="2818" spans="2:9">
      <c r="B2818" s="1297"/>
      <c r="C2818" s="1297"/>
      <c r="D2818" s="1297" t="s">
        <v>1045</v>
      </c>
      <c r="F2818" s="1399">
        <v>177939.12000000002</v>
      </c>
      <c r="I2818" s="1399">
        <v>177939.12000000002</v>
      </c>
    </row>
    <row r="2819" spans="2:9">
      <c r="B2819" s="1297"/>
      <c r="C2819" s="1297"/>
      <c r="D2819" s="1297" t="s">
        <v>1046</v>
      </c>
      <c r="H2819" s="1399">
        <v>17838699</v>
      </c>
      <c r="I2819" s="1399">
        <v>17838699</v>
      </c>
    </row>
    <row r="2820" spans="2:9">
      <c r="B2820" s="1297"/>
      <c r="C2820" s="1297"/>
      <c r="D2820" s="1297" t="s">
        <v>1047</v>
      </c>
      <c r="H2820" s="1399">
        <v>550922</v>
      </c>
      <c r="I2820" s="1399">
        <v>550922</v>
      </c>
    </row>
    <row r="2821" spans="2:9">
      <c r="B2821" s="1297"/>
      <c r="C2821" s="1297"/>
      <c r="D2821" s="1297" t="s">
        <v>1048</v>
      </c>
      <c r="H2821" s="1399">
        <v>-5513663</v>
      </c>
      <c r="I2821" s="1399">
        <v>-5513663</v>
      </c>
    </row>
    <row r="2822" spans="2:9">
      <c r="B2822" s="1297"/>
      <c r="C2822" s="1297"/>
      <c r="D2822" s="1297" t="s">
        <v>934</v>
      </c>
      <c r="H2822" s="1399">
        <v>56992</v>
      </c>
      <c r="I2822" s="1399">
        <v>56992</v>
      </c>
    </row>
    <row r="2823" spans="2:9">
      <c r="B2823" s="1297"/>
      <c r="C2823" s="1297"/>
      <c r="D2823" s="1297" t="s">
        <v>935</v>
      </c>
      <c r="H2823" s="1399">
        <v>762591.39999999991</v>
      </c>
      <c r="I2823" s="1399">
        <v>762591.39999999991</v>
      </c>
    </row>
    <row r="2824" spans="2:9">
      <c r="B2824" s="1297"/>
      <c r="C2824" s="1297"/>
      <c r="D2824" s="1297" t="s">
        <v>936</v>
      </c>
      <c r="H2824" s="1399">
        <v>60225.89</v>
      </c>
      <c r="I2824" s="1399">
        <v>60225.89</v>
      </c>
    </row>
    <row r="2825" spans="2:9">
      <c r="B2825" s="1297"/>
      <c r="C2825" s="1297"/>
      <c r="D2825" s="1297" t="s">
        <v>937</v>
      </c>
      <c r="H2825" s="1399">
        <v>22358.49</v>
      </c>
      <c r="I2825" s="1399">
        <v>22358.49</v>
      </c>
    </row>
    <row r="2826" spans="2:9">
      <c r="B2826" s="1297"/>
      <c r="C2826" s="1297"/>
      <c r="D2826" s="1297" t="s">
        <v>938</v>
      </c>
      <c r="H2826" s="1399">
        <v>23769</v>
      </c>
      <c r="I2826" s="1399">
        <v>23769</v>
      </c>
    </row>
    <row r="2827" spans="2:9">
      <c r="B2827" s="1297"/>
      <c r="C2827" s="1297"/>
      <c r="D2827" s="1297" t="s">
        <v>939</v>
      </c>
      <c r="H2827" s="1399">
        <v>42237.58</v>
      </c>
      <c r="I2827" s="1399">
        <v>42237.58</v>
      </c>
    </row>
    <row r="2828" spans="2:9">
      <c r="B2828" s="1297"/>
      <c r="C2828" s="1297"/>
      <c r="D2828" s="1297" t="s">
        <v>940</v>
      </c>
      <c r="E2828" s="1399">
        <v>850365.02</v>
      </c>
      <c r="I2828" s="1399">
        <v>850365.02</v>
      </c>
    </row>
    <row r="2829" spans="2:9">
      <c r="B2829" s="1297"/>
      <c r="C2829" s="1297"/>
      <c r="D2829" s="1297" t="s">
        <v>941</v>
      </c>
      <c r="E2829" s="1399">
        <v>371949.56</v>
      </c>
      <c r="I2829" s="1399">
        <v>371949.56</v>
      </c>
    </row>
    <row r="2830" spans="2:9">
      <c r="B2830" s="1297"/>
      <c r="C2830" s="1297"/>
      <c r="D2830" s="1297" t="s">
        <v>944</v>
      </c>
      <c r="E2830" s="1399">
        <v>2230758.6899999995</v>
      </c>
      <c r="I2830" s="1399">
        <v>2230758.6899999995</v>
      </c>
    </row>
    <row r="2831" spans="2:9">
      <c r="B2831" s="1297"/>
      <c r="C2831" s="1297"/>
      <c r="D2831" s="1297" t="s">
        <v>945</v>
      </c>
      <c r="E2831" s="1399">
        <v>980848.14</v>
      </c>
      <c r="I2831" s="1399">
        <v>980848.14</v>
      </c>
    </row>
    <row r="2832" spans="2:9">
      <c r="B2832" s="1297"/>
      <c r="C2832" s="1297"/>
      <c r="D2832" s="1297" t="s">
        <v>947</v>
      </c>
      <c r="E2832" s="1399">
        <v>81996.58</v>
      </c>
      <c r="I2832" s="1399">
        <v>81996.58</v>
      </c>
    </row>
    <row r="2833" spans="2:9">
      <c r="B2833" s="1297"/>
      <c r="C2833" s="1297"/>
      <c r="D2833" s="1297" t="s">
        <v>948</v>
      </c>
      <c r="G2833" s="1399">
        <v>801.23</v>
      </c>
      <c r="I2833" s="1399">
        <v>801.23</v>
      </c>
    </row>
    <row r="2834" spans="2:9">
      <c r="B2834" s="1297"/>
      <c r="C2834" s="1297"/>
      <c r="D2834" s="1297" t="s">
        <v>1118</v>
      </c>
      <c r="G2834" s="1399">
        <v>0</v>
      </c>
      <c r="I2834" s="1399">
        <v>0</v>
      </c>
    </row>
    <row r="2835" spans="2:9">
      <c r="B2835" s="1297"/>
      <c r="C2835" s="1400" t="s">
        <v>1180</v>
      </c>
      <c r="D2835" s="1400"/>
      <c r="E2835" s="1401">
        <v>4515917.9899999993</v>
      </c>
      <c r="F2835" s="1401">
        <v>16944859.819999997</v>
      </c>
      <c r="G2835" s="1401">
        <v>801.23</v>
      </c>
      <c r="H2835" s="1401">
        <v>13844132.360000001</v>
      </c>
      <c r="I2835" s="1401">
        <v>35305711.399999984</v>
      </c>
    </row>
    <row r="2836" spans="2:9">
      <c r="B2836" s="1297" t="s">
        <v>1181</v>
      </c>
      <c r="C2836" s="1297" t="s">
        <v>1182</v>
      </c>
      <c r="D2836" s="1297" t="s">
        <v>906</v>
      </c>
      <c r="F2836" s="1399">
        <v>6539302.6799999997</v>
      </c>
      <c r="I2836" s="1399">
        <v>6539302.6799999997</v>
      </c>
    </row>
    <row r="2837" spans="2:9">
      <c r="B2837" s="1297"/>
      <c r="C2837" s="1297"/>
      <c r="D2837" s="1297" t="s">
        <v>952</v>
      </c>
      <c r="F2837" s="1399">
        <v>66423.25</v>
      </c>
      <c r="I2837" s="1399">
        <v>66423.25</v>
      </c>
    </row>
    <row r="2838" spans="2:9">
      <c r="B2838" s="1297"/>
      <c r="C2838" s="1297"/>
      <c r="D2838" s="1297" t="s">
        <v>907</v>
      </c>
      <c r="F2838" s="1399">
        <v>5617705.1399999997</v>
      </c>
      <c r="I2838" s="1399">
        <v>5617705.1399999997</v>
      </c>
    </row>
    <row r="2839" spans="2:9">
      <c r="B2839" s="1297"/>
      <c r="C2839" s="1297"/>
      <c r="D2839" s="1297" t="s">
        <v>1145</v>
      </c>
      <c r="F2839" s="1399">
        <v>0</v>
      </c>
      <c r="I2839" s="1399">
        <v>0</v>
      </c>
    </row>
    <row r="2840" spans="2:9">
      <c r="B2840" s="1297"/>
      <c r="C2840" s="1297"/>
      <c r="D2840" s="1297" t="s">
        <v>1036</v>
      </c>
      <c r="F2840" s="1399">
        <v>76490.78</v>
      </c>
      <c r="I2840" s="1399">
        <v>76490.78</v>
      </c>
    </row>
    <row r="2841" spans="2:9">
      <c r="B2841" s="1297"/>
      <c r="C2841" s="1297"/>
      <c r="D2841" s="1297" t="s">
        <v>1039</v>
      </c>
      <c r="F2841" s="1399">
        <v>93887.989999999991</v>
      </c>
      <c r="I2841" s="1399">
        <v>93887.989999999991</v>
      </c>
    </row>
    <row r="2842" spans="2:9">
      <c r="B2842" s="1297"/>
      <c r="C2842" s="1297"/>
      <c r="D2842" s="1297" t="s">
        <v>1040</v>
      </c>
      <c r="F2842" s="1399">
        <v>181313.03</v>
      </c>
      <c r="I2842" s="1399">
        <v>181313.03</v>
      </c>
    </row>
    <row r="2843" spans="2:9">
      <c r="B2843" s="1297"/>
      <c r="C2843" s="1297"/>
      <c r="D2843" s="1297" t="s">
        <v>1041</v>
      </c>
      <c r="F2843" s="1399">
        <v>32853.300000000003</v>
      </c>
      <c r="I2843" s="1399">
        <v>32853.300000000003</v>
      </c>
    </row>
    <row r="2844" spans="2:9">
      <c r="B2844" s="1297"/>
      <c r="C2844" s="1297"/>
      <c r="D2844" s="1297" t="s">
        <v>1042</v>
      </c>
      <c r="F2844" s="1399">
        <v>36900.300000000003</v>
      </c>
      <c r="I2844" s="1399">
        <v>36900.300000000003</v>
      </c>
    </row>
    <row r="2845" spans="2:9">
      <c r="B2845" s="1297"/>
      <c r="C2845" s="1297"/>
      <c r="D2845" s="1297" t="s">
        <v>953</v>
      </c>
      <c r="F2845" s="1399">
        <v>2489.9899999999998</v>
      </c>
      <c r="I2845" s="1399">
        <v>2489.9899999999998</v>
      </c>
    </row>
    <row r="2846" spans="2:9">
      <c r="B2846" s="1297"/>
      <c r="C2846" s="1297"/>
      <c r="D2846" s="1297" t="s">
        <v>1045</v>
      </c>
      <c r="F2846" s="1399">
        <v>734629.69000000006</v>
      </c>
      <c r="I2846" s="1399">
        <v>734629.69000000006</v>
      </c>
    </row>
    <row r="2847" spans="2:9">
      <c r="B2847" s="1297"/>
      <c r="C2847" s="1297"/>
      <c r="D2847" s="1297" t="s">
        <v>1046</v>
      </c>
      <c r="H2847" s="1399">
        <v>10331093</v>
      </c>
      <c r="I2847" s="1399">
        <v>10331093</v>
      </c>
    </row>
    <row r="2848" spans="2:9">
      <c r="B2848" s="1297"/>
      <c r="C2848" s="1297"/>
      <c r="D2848" s="1297" t="s">
        <v>1047</v>
      </c>
      <c r="H2848" s="1399">
        <v>344110</v>
      </c>
      <c r="I2848" s="1399">
        <v>344110</v>
      </c>
    </row>
    <row r="2849" spans="2:9">
      <c r="B2849" s="1297"/>
      <c r="C2849" s="1297"/>
      <c r="D2849" s="1297" t="s">
        <v>1048</v>
      </c>
      <c r="H2849" s="1399">
        <v>-1800344</v>
      </c>
      <c r="I2849" s="1399">
        <v>-1800344</v>
      </c>
    </row>
    <row r="2850" spans="2:9">
      <c r="B2850" s="1297"/>
      <c r="C2850" s="1297"/>
      <c r="D2850" s="1297" t="s">
        <v>932</v>
      </c>
      <c r="H2850" s="1399">
        <v>438084</v>
      </c>
      <c r="I2850" s="1399">
        <v>438084</v>
      </c>
    </row>
    <row r="2851" spans="2:9">
      <c r="B2851" s="1297"/>
      <c r="C2851" s="1297"/>
      <c r="D2851" s="1297" t="s">
        <v>955</v>
      </c>
      <c r="H2851" s="1399">
        <v>552703.9</v>
      </c>
      <c r="I2851" s="1399">
        <v>552703.9</v>
      </c>
    </row>
    <row r="2852" spans="2:9">
      <c r="B2852" s="1297"/>
      <c r="C2852" s="1297"/>
      <c r="D2852" s="1297" t="s">
        <v>934</v>
      </c>
      <c r="H2852" s="1399">
        <v>38127</v>
      </c>
      <c r="I2852" s="1399">
        <v>38127</v>
      </c>
    </row>
    <row r="2853" spans="2:9">
      <c r="B2853" s="1297"/>
      <c r="C2853" s="1297"/>
      <c r="D2853" s="1297" t="s">
        <v>935</v>
      </c>
      <c r="H2853" s="1399">
        <v>273465.34000000003</v>
      </c>
      <c r="I2853" s="1399">
        <v>273465.34000000003</v>
      </c>
    </row>
    <row r="2854" spans="2:9">
      <c r="B2854" s="1297"/>
      <c r="C2854" s="1297"/>
      <c r="D2854" s="1297" t="s">
        <v>936</v>
      </c>
      <c r="H2854" s="1399">
        <v>32914.15</v>
      </c>
      <c r="I2854" s="1399">
        <v>32914.15</v>
      </c>
    </row>
    <row r="2855" spans="2:9">
      <c r="B2855" s="1297"/>
      <c r="C2855" s="1297"/>
      <c r="D2855" s="1297" t="s">
        <v>938</v>
      </c>
      <c r="H2855" s="1399">
        <v>9545</v>
      </c>
      <c r="I2855" s="1399">
        <v>9545</v>
      </c>
    </row>
    <row r="2856" spans="2:9">
      <c r="B2856" s="1297"/>
      <c r="C2856" s="1297"/>
      <c r="D2856" s="1297" t="s">
        <v>940</v>
      </c>
      <c r="E2856" s="1399">
        <v>551509.56000000006</v>
      </c>
      <c r="I2856" s="1399">
        <v>551509.56000000006</v>
      </c>
    </row>
    <row r="2857" spans="2:9">
      <c r="B2857" s="1297"/>
      <c r="C2857" s="1297"/>
      <c r="D2857" s="1297" t="s">
        <v>941</v>
      </c>
      <c r="E2857" s="1399">
        <v>174927.46</v>
      </c>
      <c r="I2857" s="1399">
        <v>174927.46</v>
      </c>
    </row>
    <row r="2858" spans="2:9">
      <c r="B2858" s="1297"/>
      <c r="C2858" s="1297"/>
      <c r="D2858" s="1297" t="s">
        <v>942</v>
      </c>
      <c r="E2858" s="1399">
        <v>8648.5499999999993</v>
      </c>
      <c r="I2858" s="1399">
        <v>8648.5499999999993</v>
      </c>
    </row>
    <row r="2859" spans="2:9">
      <c r="B2859" s="1297"/>
      <c r="C2859" s="1297"/>
      <c r="D2859" s="1297" t="s">
        <v>943</v>
      </c>
      <c r="E2859" s="1399">
        <v>15572.56</v>
      </c>
      <c r="I2859" s="1399">
        <v>15572.56</v>
      </c>
    </row>
    <row r="2860" spans="2:9">
      <c r="B2860" s="1297"/>
      <c r="C2860" s="1297"/>
      <c r="D2860" s="1297" t="s">
        <v>944</v>
      </c>
      <c r="E2860" s="1399">
        <v>1220439.6399999999</v>
      </c>
      <c r="I2860" s="1399">
        <v>1220439.6399999999</v>
      </c>
    </row>
    <row r="2861" spans="2:9">
      <c r="B2861" s="1297"/>
      <c r="C2861" s="1297"/>
      <c r="D2861" s="1297" t="s">
        <v>945</v>
      </c>
      <c r="E2861" s="1399">
        <v>780062.05</v>
      </c>
      <c r="I2861" s="1399">
        <v>780062.05</v>
      </c>
    </row>
    <row r="2862" spans="2:9">
      <c r="B2862" s="1297"/>
      <c r="C2862" s="1297"/>
      <c r="D2862" s="1297" t="s">
        <v>946</v>
      </c>
      <c r="E2862" s="1399">
        <v>50</v>
      </c>
      <c r="I2862" s="1399">
        <v>50</v>
      </c>
    </row>
    <row r="2863" spans="2:9">
      <c r="B2863" s="1297"/>
      <c r="C2863" s="1297"/>
      <c r="D2863" s="1297" t="s">
        <v>947</v>
      </c>
      <c r="E2863" s="1399">
        <v>95313.87</v>
      </c>
      <c r="I2863" s="1399">
        <v>95313.87</v>
      </c>
    </row>
    <row r="2864" spans="2:9">
      <c r="B2864" s="1297"/>
      <c r="C2864" s="1297"/>
      <c r="D2864" s="1297" t="s">
        <v>1116</v>
      </c>
      <c r="G2864" s="1399">
        <v>11465000</v>
      </c>
      <c r="I2864" s="1399">
        <v>11465000</v>
      </c>
    </row>
    <row r="2865" spans="2:9">
      <c r="B2865" s="1297"/>
      <c r="C2865" s="1297"/>
      <c r="D2865" s="1297" t="s">
        <v>1117</v>
      </c>
      <c r="G2865" s="1399">
        <v>704585.35000000009</v>
      </c>
      <c r="I2865" s="1399">
        <v>704585.35000000009</v>
      </c>
    </row>
    <row r="2866" spans="2:9">
      <c r="B2866" s="1297"/>
      <c r="C2866" s="1297"/>
      <c r="D2866" s="1297" t="s">
        <v>948</v>
      </c>
      <c r="G2866" s="1399">
        <v>16795175.579999998</v>
      </c>
      <c r="I2866" s="1399">
        <v>16795175.579999998</v>
      </c>
    </row>
    <row r="2867" spans="2:9">
      <c r="B2867" s="1297"/>
      <c r="C2867" s="1297"/>
      <c r="D2867" s="1297" t="s">
        <v>956</v>
      </c>
      <c r="G2867" s="1399">
        <v>63000</v>
      </c>
      <c r="I2867" s="1399">
        <v>63000</v>
      </c>
    </row>
    <row r="2868" spans="2:9">
      <c r="B2868" s="1297"/>
      <c r="C2868" s="1400" t="s">
        <v>1183</v>
      </c>
      <c r="D2868" s="1400"/>
      <c r="E2868" s="1401">
        <v>2846523.6900000004</v>
      </c>
      <c r="F2868" s="1401">
        <v>13381996.15</v>
      </c>
      <c r="G2868" s="1401">
        <v>29027760.93</v>
      </c>
      <c r="H2868" s="1401">
        <v>10219698.390000001</v>
      </c>
      <c r="I2868" s="1401">
        <v>55475979.159999996</v>
      </c>
    </row>
    <row r="2869" spans="2:9">
      <c r="B2869" s="1297" t="s">
        <v>1184</v>
      </c>
      <c r="C2869" s="1297" t="s">
        <v>1185</v>
      </c>
      <c r="D2869" s="1297" t="s">
        <v>906</v>
      </c>
      <c r="F2869" s="1399">
        <v>137382774.94</v>
      </c>
      <c r="I2869" s="1399">
        <v>137382774.94</v>
      </c>
    </row>
    <row r="2870" spans="2:9">
      <c r="B2870" s="1297"/>
      <c r="C2870" s="1297"/>
      <c r="D2870" s="1297" t="s">
        <v>907</v>
      </c>
      <c r="F2870" s="1399">
        <v>28079306.390000001</v>
      </c>
      <c r="I2870" s="1399">
        <v>28079306.390000001</v>
      </c>
    </row>
    <row r="2871" spans="2:9">
      <c r="B2871" s="1297"/>
      <c r="C2871" s="1297"/>
      <c r="D2871" s="1297" t="s">
        <v>908</v>
      </c>
      <c r="F2871" s="1399">
        <v>1887756.07</v>
      </c>
      <c r="I2871" s="1399">
        <v>1887756.07</v>
      </c>
    </row>
    <row r="2872" spans="2:9">
      <c r="B2872" s="1297"/>
      <c r="C2872" s="1297"/>
      <c r="D2872" s="1297" t="s">
        <v>909</v>
      </c>
      <c r="F2872" s="1399">
        <v>257443.05000000002</v>
      </c>
      <c r="I2872" s="1399">
        <v>257443.05000000002</v>
      </c>
    </row>
    <row r="2873" spans="2:9">
      <c r="B2873" s="1297"/>
      <c r="C2873" s="1297"/>
      <c r="D2873" s="1297" t="s">
        <v>910</v>
      </c>
      <c r="F2873" s="1399">
        <v>1004716.6800000002</v>
      </c>
      <c r="I2873" s="1399">
        <v>1004716.6800000002</v>
      </c>
    </row>
    <row r="2874" spans="2:9">
      <c r="B2874" s="1297"/>
      <c r="C2874" s="1297"/>
      <c r="D2874" s="1297" t="s">
        <v>1034</v>
      </c>
      <c r="F2874" s="1399">
        <v>429934.87999999995</v>
      </c>
      <c r="I2874" s="1399">
        <v>429934.87999999995</v>
      </c>
    </row>
    <row r="2875" spans="2:9">
      <c r="B2875" s="1297"/>
      <c r="C2875" s="1297"/>
      <c r="D2875" s="1297" t="s">
        <v>1035</v>
      </c>
      <c r="F2875" s="1399">
        <v>3419170.1000000006</v>
      </c>
      <c r="I2875" s="1399">
        <v>3419170.1000000006</v>
      </c>
    </row>
    <row r="2876" spans="2:9">
      <c r="B2876" s="1297"/>
      <c r="C2876" s="1297"/>
      <c r="D2876" s="1297" t="s">
        <v>1036</v>
      </c>
      <c r="F2876" s="1399">
        <v>744044.08000000007</v>
      </c>
      <c r="I2876" s="1399">
        <v>744044.08000000007</v>
      </c>
    </row>
    <row r="2877" spans="2:9">
      <c r="B2877" s="1297"/>
      <c r="C2877" s="1297"/>
      <c r="D2877" s="1297" t="s">
        <v>1037</v>
      </c>
      <c r="F2877" s="1399">
        <v>2989316.11</v>
      </c>
      <c r="I2877" s="1399">
        <v>2989316.11</v>
      </c>
    </row>
    <row r="2878" spans="2:9">
      <c r="B2878" s="1297"/>
      <c r="C2878" s="1297"/>
      <c r="D2878" s="1297" t="s">
        <v>1105</v>
      </c>
      <c r="F2878" s="1399">
        <v>69150</v>
      </c>
      <c r="I2878" s="1399">
        <v>69150</v>
      </c>
    </row>
    <row r="2879" spans="2:9">
      <c r="B2879" s="1297"/>
      <c r="C2879" s="1297"/>
      <c r="D2879" s="1297" t="s">
        <v>1038</v>
      </c>
      <c r="F2879" s="1399">
        <v>25780</v>
      </c>
      <c r="I2879" s="1399">
        <v>25780</v>
      </c>
    </row>
    <row r="2880" spans="2:9">
      <c r="B2880" s="1297"/>
      <c r="C2880" s="1297"/>
      <c r="D2880" s="1297" t="s">
        <v>1039</v>
      </c>
      <c r="F2880" s="1399">
        <v>159036.9</v>
      </c>
      <c r="I2880" s="1399">
        <v>159036.9</v>
      </c>
    </row>
    <row r="2881" spans="2:9">
      <c r="B2881" s="1297"/>
      <c r="C2881" s="1297"/>
      <c r="D2881" s="1297" t="s">
        <v>1040</v>
      </c>
      <c r="F2881" s="1399">
        <v>3465649.0400000005</v>
      </c>
      <c r="I2881" s="1399">
        <v>3465649.0400000005</v>
      </c>
    </row>
    <row r="2882" spans="2:9">
      <c r="B2882" s="1297"/>
      <c r="C2882" s="1297"/>
      <c r="D2882" s="1297" t="s">
        <v>1127</v>
      </c>
      <c r="F2882" s="1399">
        <v>399450.94000000006</v>
      </c>
      <c r="I2882" s="1399">
        <v>399450.94000000006</v>
      </c>
    </row>
    <row r="2883" spans="2:9">
      <c r="B2883" s="1297"/>
      <c r="C2883" s="1297"/>
      <c r="D2883" s="1297" t="s">
        <v>1041</v>
      </c>
      <c r="F2883" s="1399">
        <v>321371.15999999997</v>
      </c>
      <c r="I2883" s="1399">
        <v>321371.15999999997</v>
      </c>
    </row>
    <row r="2884" spans="2:9">
      <c r="B2884" s="1297"/>
      <c r="C2884" s="1297"/>
      <c r="D2884" s="1297" t="s">
        <v>1042</v>
      </c>
      <c r="F2884" s="1399">
        <v>294880.73000000004</v>
      </c>
      <c r="I2884" s="1399">
        <v>294880.73000000004</v>
      </c>
    </row>
    <row r="2885" spans="2:9">
      <c r="B2885" s="1297"/>
      <c r="C2885" s="1297"/>
      <c r="D2885" s="1297" t="s">
        <v>1044</v>
      </c>
      <c r="F2885" s="1399">
        <v>486696</v>
      </c>
      <c r="I2885" s="1399">
        <v>486696</v>
      </c>
    </row>
    <row r="2886" spans="2:9">
      <c r="B2886" s="1297"/>
      <c r="C2886" s="1297"/>
      <c r="D2886" s="1297" t="s">
        <v>1045</v>
      </c>
      <c r="F2886" s="1399">
        <v>6907019.9499999993</v>
      </c>
      <c r="I2886" s="1399">
        <v>6907019.9499999993</v>
      </c>
    </row>
    <row r="2887" spans="2:9">
      <c r="B2887" s="1297"/>
      <c r="C2887" s="1297"/>
      <c r="D2887" s="1297" t="s">
        <v>1046</v>
      </c>
      <c r="H2887" s="1399">
        <v>209770791</v>
      </c>
      <c r="I2887" s="1399">
        <v>209770791</v>
      </c>
    </row>
    <row r="2888" spans="2:9">
      <c r="B2888" s="1297"/>
      <c r="C2888" s="1297"/>
      <c r="D2888" s="1297" t="s">
        <v>1128</v>
      </c>
      <c r="H2888" s="1399">
        <v>17690924</v>
      </c>
      <c r="I2888" s="1399">
        <v>17690924</v>
      </c>
    </row>
    <row r="2889" spans="2:9">
      <c r="B2889" s="1297"/>
      <c r="C2889" s="1297"/>
      <c r="D2889" s="1297" t="s">
        <v>1129</v>
      </c>
      <c r="H2889" s="1399">
        <v>-27568410</v>
      </c>
      <c r="I2889" s="1399">
        <v>-27568410</v>
      </c>
    </row>
    <row r="2890" spans="2:9">
      <c r="B2890" s="1297"/>
      <c r="C2890" s="1297"/>
      <c r="D2890" s="1297" t="s">
        <v>1047</v>
      </c>
      <c r="H2890" s="1399">
        <v>2096441</v>
      </c>
      <c r="I2890" s="1399">
        <v>2096441</v>
      </c>
    </row>
    <row r="2891" spans="2:9">
      <c r="B2891" s="1297"/>
      <c r="C2891" s="1297"/>
      <c r="D2891" s="1297" t="s">
        <v>1048</v>
      </c>
      <c r="H2891" s="1399">
        <v>-34993975</v>
      </c>
      <c r="I2891" s="1399">
        <v>-34993975</v>
      </c>
    </row>
    <row r="2892" spans="2:9">
      <c r="B2892" s="1297"/>
      <c r="C2892" s="1297"/>
      <c r="D2892" s="1297" t="s">
        <v>932</v>
      </c>
      <c r="H2892" s="1399">
        <v>12092484</v>
      </c>
      <c r="I2892" s="1399">
        <v>12092484</v>
      </c>
    </row>
    <row r="2893" spans="2:9">
      <c r="B2893" s="1297"/>
      <c r="C2893" s="1297"/>
      <c r="D2893" s="1297" t="s">
        <v>934</v>
      </c>
      <c r="H2893" s="1399">
        <v>1027228.62</v>
      </c>
      <c r="I2893" s="1399">
        <v>1027228.62</v>
      </c>
    </row>
    <row r="2894" spans="2:9">
      <c r="B2894" s="1297"/>
      <c r="C2894" s="1297"/>
      <c r="D2894" s="1297" t="s">
        <v>935</v>
      </c>
      <c r="H2894" s="1399">
        <v>1798875.23</v>
      </c>
      <c r="I2894" s="1399">
        <v>1798875.23</v>
      </c>
    </row>
    <row r="2895" spans="2:9">
      <c r="B2895" s="1297"/>
      <c r="C2895" s="1297"/>
      <c r="D2895" s="1297" t="s">
        <v>936</v>
      </c>
      <c r="H2895" s="1399">
        <v>448192.69</v>
      </c>
      <c r="I2895" s="1399">
        <v>448192.69</v>
      </c>
    </row>
    <row r="2896" spans="2:9">
      <c r="B2896" s="1297"/>
      <c r="C2896" s="1297"/>
      <c r="D2896" s="1297" t="s">
        <v>937</v>
      </c>
      <c r="H2896" s="1399">
        <v>236643.48</v>
      </c>
      <c r="I2896" s="1399">
        <v>236643.48</v>
      </c>
    </row>
    <row r="2897" spans="2:9">
      <c r="B2897" s="1297"/>
      <c r="C2897" s="1297"/>
      <c r="D2897" s="1297" t="s">
        <v>938</v>
      </c>
      <c r="H2897" s="1399">
        <v>172935</v>
      </c>
      <c r="I2897" s="1399">
        <v>172935</v>
      </c>
    </row>
    <row r="2898" spans="2:9">
      <c r="B2898" s="1297"/>
      <c r="C2898" s="1297"/>
      <c r="D2898" s="1297" t="s">
        <v>1131</v>
      </c>
      <c r="E2898" s="1399">
        <v>585212.14</v>
      </c>
      <c r="I2898" s="1399">
        <v>585212.14</v>
      </c>
    </row>
    <row r="2899" spans="2:9">
      <c r="B2899" s="1297"/>
      <c r="C2899" s="1297"/>
      <c r="D2899" s="1297" t="s">
        <v>940</v>
      </c>
      <c r="E2899" s="1399">
        <v>7771200.8200000003</v>
      </c>
      <c r="I2899" s="1399">
        <v>7771200.8200000003</v>
      </c>
    </row>
    <row r="2900" spans="2:9">
      <c r="B2900" s="1297"/>
      <c r="C2900" s="1297"/>
      <c r="D2900" s="1297" t="s">
        <v>941</v>
      </c>
      <c r="E2900" s="1399">
        <v>2303645.08</v>
      </c>
      <c r="I2900" s="1399">
        <v>2303645.08</v>
      </c>
    </row>
    <row r="2901" spans="2:9">
      <c r="B2901" s="1297"/>
      <c r="C2901" s="1297"/>
      <c r="D2901" s="1297" t="s">
        <v>944</v>
      </c>
      <c r="E2901" s="1399">
        <v>13082750.499999998</v>
      </c>
      <c r="I2901" s="1399">
        <v>13082750.499999998</v>
      </c>
    </row>
    <row r="2902" spans="2:9">
      <c r="B2902" s="1297"/>
      <c r="C2902" s="1297"/>
      <c r="D2902" s="1297" t="s">
        <v>945</v>
      </c>
      <c r="E2902" s="1399">
        <v>17319045.609999999</v>
      </c>
      <c r="I2902" s="1399">
        <v>17319045.609999999</v>
      </c>
    </row>
    <row r="2903" spans="2:9">
      <c r="B2903" s="1297"/>
      <c r="C2903" s="1297"/>
      <c r="D2903" s="1297" t="s">
        <v>946</v>
      </c>
      <c r="E2903" s="1399">
        <v>958060.36</v>
      </c>
      <c r="I2903" s="1399">
        <v>958060.36</v>
      </c>
    </row>
    <row r="2904" spans="2:9">
      <c r="B2904" s="1297"/>
      <c r="C2904" s="1297"/>
      <c r="D2904" s="1297" t="s">
        <v>947</v>
      </c>
      <c r="E2904" s="1399">
        <v>931989.45</v>
      </c>
      <c r="I2904" s="1399">
        <v>931989.45</v>
      </c>
    </row>
    <row r="2905" spans="2:9">
      <c r="B2905" s="1297"/>
      <c r="C2905" s="1297"/>
      <c r="D2905" s="1297" t="s">
        <v>1115</v>
      </c>
      <c r="E2905" s="1399">
        <v>745413.2</v>
      </c>
      <c r="I2905" s="1399">
        <v>745413.2</v>
      </c>
    </row>
    <row r="2906" spans="2:9">
      <c r="B2906" s="1297"/>
      <c r="C2906" s="1297"/>
      <c r="D2906" s="1297" t="s">
        <v>948</v>
      </c>
      <c r="G2906" s="1399">
        <v>14639195.199999997</v>
      </c>
      <c r="I2906" s="1399">
        <v>14639195.199999997</v>
      </c>
    </row>
    <row r="2907" spans="2:9">
      <c r="B2907" s="1297"/>
      <c r="C2907" s="1400" t="s">
        <v>1186</v>
      </c>
      <c r="D2907" s="1400"/>
      <c r="E2907" s="1401">
        <v>43697317.160000004</v>
      </c>
      <c r="F2907" s="1401">
        <v>188323497.01999998</v>
      </c>
      <c r="G2907" s="1401">
        <v>14639195.199999997</v>
      </c>
      <c r="H2907" s="1401">
        <v>182772130.01999998</v>
      </c>
      <c r="I2907" s="1401">
        <v>429432139.39999998</v>
      </c>
    </row>
    <row r="2908" spans="2:9">
      <c r="B2908" s="1297" t="s">
        <v>1187</v>
      </c>
      <c r="C2908" s="1297" t="s">
        <v>1188</v>
      </c>
      <c r="D2908" s="1297" t="s">
        <v>906</v>
      </c>
      <c r="F2908" s="1399">
        <v>48993245.75</v>
      </c>
      <c r="I2908" s="1399">
        <v>48993245.75</v>
      </c>
    </row>
    <row r="2909" spans="2:9">
      <c r="B2909" s="1297"/>
      <c r="C2909" s="1297"/>
      <c r="D2909" s="1297" t="s">
        <v>1126</v>
      </c>
      <c r="F2909" s="1399">
        <v>21202664.010000002</v>
      </c>
      <c r="I2909" s="1399">
        <v>21202664.010000002</v>
      </c>
    </row>
    <row r="2910" spans="2:9">
      <c r="B2910" s="1297"/>
      <c r="C2910" s="1297"/>
      <c r="D2910" s="1297" t="s">
        <v>952</v>
      </c>
      <c r="F2910" s="1399">
        <v>872056.21</v>
      </c>
      <c r="I2910" s="1399">
        <v>872056.21</v>
      </c>
    </row>
    <row r="2911" spans="2:9">
      <c r="B2911" s="1297"/>
      <c r="C2911" s="1297"/>
      <c r="D2911" s="1297" t="s">
        <v>907</v>
      </c>
      <c r="F2911" s="1399">
        <v>20301080.850000001</v>
      </c>
      <c r="I2911" s="1399">
        <v>20301080.850000001</v>
      </c>
    </row>
    <row r="2912" spans="2:9">
      <c r="B2912" s="1297"/>
      <c r="C2912" s="1297"/>
      <c r="D2912" s="1297" t="s">
        <v>908</v>
      </c>
      <c r="F2912" s="1399">
        <v>20738.79</v>
      </c>
      <c r="I2912" s="1399">
        <v>20738.79</v>
      </c>
    </row>
    <row r="2913" spans="2:9">
      <c r="B2913" s="1297"/>
      <c r="C2913" s="1297"/>
      <c r="D2913" s="1297" t="s">
        <v>909</v>
      </c>
      <c r="F2913" s="1399">
        <v>344609.47</v>
      </c>
      <c r="I2913" s="1399">
        <v>344609.47</v>
      </c>
    </row>
    <row r="2914" spans="2:9">
      <c r="B2914" s="1297"/>
      <c r="C2914" s="1297"/>
      <c r="D2914" s="1297" t="s">
        <v>910</v>
      </c>
      <c r="F2914" s="1399">
        <v>23085</v>
      </c>
      <c r="I2914" s="1399">
        <v>23085</v>
      </c>
    </row>
    <row r="2915" spans="2:9">
      <c r="B2915" s="1297"/>
      <c r="C2915" s="1297"/>
      <c r="D2915" s="1297" t="s">
        <v>1034</v>
      </c>
      <c r="F2915" s="1399">
        <v>649558.88</v>
      </c>
      <c r="I2915" s="1399">
        <v>649558.88</v>
      </c>
    </row>
    <row r="2916" spans="2:9">
      <c r="B2916" s="1297"/>
      <c r="C2916" s="1297"/>
      <c r="D2916" s="1297" t="s">
        <v>1035</v>
      </c>
      <c r="F2916" s="1399">
        <v>2186188.9500000002</v>
      </c>
      <c r="I2916" s="1399">
        <v>2186188.9500000002</v>
      </c>
    </row>
    <row r="2917" spans="2:9">
      <c r="B2917" s="1297"/>
      <c r="C2917" s="1297"/>
      <c r="D2917" s="1297" t="s">
        <v>1036</v>
      </c>
      <c r="F2917" s="1399">
        <v>752533.58</v>
      </c>
      <c r="I2917" s="1399">
        <v>752533.58</v>
      </c>
    </row>
    <row r="2918" spans="2:9">
      <c r="B2918" s="1297"/>
      <c r="C2918" s="1297"/>
      <c r="D2918" s="1297" t="s">
        <v>1037</v>
      </c>
      <c r="F2918" s="1399">
        <v>174421.86</v>
      </c>
      <c r="I2918" s="1399">
        <v>174421.86</v>
      </c>
    </row>
    <row r="2919" spans="2:9">
      <c r="B2919" s="1297"/>
      <c r="C2919" s="1297"/>
      <c r="D2919" s="1297" t="s">
        <v>1038</v>
      </c>
      <c r="F2919" s="1399">
        <v>104953.54000000001</v>
      </c>
      <c r="I2919" s="1399">
        <v>104953.54000000001</v>
      </c>
    </row>
    <row r="2920" spans="2:9">
      <c r="B2920" s="1297"/>
      <c r="C2920" s="1297"/>
      <c r="D2920" s="1297" t="s">
        <v>1003</v>
      </c>
      <c r="F2920" s="1399">
        <v>105076.93</v>
      </c>
      <c r="I2920" s="1399">
        <v>105076.93</v>
      </c>
    </row>
    <row r="2921" spans="2:9">
      <c r="B2921" s="1297"/>
      <c r="C2921" s="1297"/>
      <c r="D2921" s="1297" t="s">
        <v>1039</v>
      </c>
      <c r="F2921" s="1399">
        <v>177776.79</v>
      </c>
      <c r="I2921" s="1399">
        <v>177776.79</v>
      </c>
    </row>
    <row r="2922" spans="2:9">
      <c r="B2922" s="1297"/>
      <c r="C2922" s="1297"/>
      <c r="D2922" s="1297" t="s">
        <v>1040</v>
      </c>
      <c r="F2922" s="1399">
        <v>3997981.0500000003</v>
      </c>
      <c r="I2922" s="1399">
        <v>3997981.0500000003</v>
      </c>
    </row>
    <row r="2923" spans="2:9">
      <c r="B2923" s="1297"/>
      <c r="C2923" s="1297"/>
      <c r="D2923" s="1297" t="s">
        <v>1127</v>
      </c>
      <c r="F2923" s="1399">
        <v>14135.169999999998</v>
      </c>
      <c r="I2923" s="1399">
        <v>14135.169999999998</v>
      </c>
    </row>
    <row r="2924" spans="2:9">
      <c r="B2924" s="1297"/>
      <c r="C2924" s="1297"/>
      <c r="D2924" s="1297" t="s">
        <v>1041</v>
      </c>
      <c r="F2924" s="1399">
        <v>348625.8000000001</v>
      </c>
      <c r="I2924" s="1399">
        <v>348625.8000000001</v>
      </c>
    </row>
    <row r="2925" spans="2:9">
      <c r="B2925" s="1297"/>
      <c r="C2925" s="1297"/>
      <c r="D2925" s="1297" t="s">
        <v>1042</v>
      </c>
      <c r="F2925" s="1399">
        <v>347618.63</v>
      </c>
      <c r="I2925" s="1399">
        <v>347618.63</v>
      </c>
    </row>
    <row r="2926" spans="2:9">
      <c r="B2926" s="1297"/>
      <c r="C2926" s="1297"/>
      <c r="D2926" s="1297" t="s">
        <v>985</v>
      </c>
      <c r="F2926" s="1399">
        <v>1025020.42</v>
      </c>
      <c r="I2926" s="1399">
        <v>1025020.42</v>
      </c>
    </row>
    <row r="2927" spans="2:9">
      <c r="B2927" s="1297"/>
      <c r="C2927" s="1297"/>
      <c r="D2927" s="1297" t="s">
        <v>1043</v>
      </c>
      <c r="F2927" s="1399">
        <v>8502.6200000000008</v>
      </c>
      <c r="I2927" s="1399">
        <v>8502.6200000000008</v>
      </c>
    </row>
    <row r="2928" spans="2:9">
      <c r="B2928" s="1297"/>
      <c r="C2928" s="1297"/>
      <c r="D2928" s="1297" t="s">
        <v>986</v>
      </c>
      <c r="F2928" s="1399">
        <v>34852.68</v>
      </c>
      <c r="I2928" s="1399">
        <v>34852.68</v>
      </c>
    </row>
    <row r="2929" spans="2:9">
      <c r="B2929" s="1297"/>
      <c r="C2929" s="1297"/>
      <c r="D2929" s="1297" t="s">
        <v>1005</v>
      </c>
      <c r="F2929" s="1399">
        <v>185431.69999999998</v>
      </c>
      <c r="I2929" s="1399">
        <v>185431.69999999998</v>
      </c>
    </row>
    <row r="2930" spans="2:9">
      <c r="B2930" s="1297"/>
      <c r="C2930" s="1297"/>
      <c r="D2930" s="1297" t="s">
        <v>991</v>
      </c>
      <c r="F2930" s="1399">
        <v>40305.65</v>
      </c>
      <c r="I2930" s="1399">
        <v>40305.65</v>
      </c>
    </row>
    <row r="2931" spans="2:9">
      <c r="B2931" s="1297"/>
      <c r="C2931" s="1297"/>
      <c r="D2931" s="1297" t="s">
        <v>1044</v>
      </c>
      <c r="F2931" s="1399">
        <v>230093.7</v>
      </c>
      <c r="I2931" s="1399">
        <v>230093.7</v>
      </c>
    </row>
    <row r="2932" spans="2:9">
      <c r="B2932" s="1297"/>
      <c r="C2932" s="1297"/>
      <c r="D2932" s="1297" t="s">
        <v>1045</v>
      </c>
      <c r="F2932" s="1399">
        <v>4164285.4600000023</v>
      </c>
      <c r="I2932" s="1399">
        <v>4164285.4600000023</v>
      </c>
    </row>
    <row r="2933" spans="2:9">
      <c r="B2933" s="1297"/>
      <c r="C2933" s="1297"/>
      <c r="D2933" s="1297" t="s">
        <v>1046</v>
      </c>
      <c r="H2933" s="1399">
        <v>146610344</v>
      </c>
      <c r="I2933" s="1399">
        <v>146610344</v>
      </c>
    </row>
    <row r="2934" spans="2:9">
      <c r="B2934" s="1297"/>
      <c r="C2934" s="1297"/>
      <c r="D2934" s="1297" t="s">
        <v>1129</v>
      </c>
      <c r="H2934" s="1399">
        <v>-19023492</v>
      </c>
      <c r="I2934" s="1399">
        <v>-19023492</v>
      </c>
    </row>
    <row r="2935" spans="2:9">
      <c r="B2935" s="1297"/>
      <c r="C2935" s="1297"/>
      <c r="D2935" s="1297" t="s">
        <v>1047</v>
      </c>
      <c r="H2935" s="1399">
        <v>1943594</v>
      </c>
      <c r="I2935" s="1399">
        <v>1943594</v>
      </c>
    </row>
    <row r="2936" spans="2:9">
      <c r="B2936" s="1297"/>
      <c r="C2936" s="1297"/>
      <c r="D2936" s="1297" t="s">
        <v>1048</v>
      </c>
      <c r="H2936" s="1399">
        <v>-16483844</v>
      </c>
      <c r="I2936" s="1399">
        <v>-16483844</v>
      </c>
    </row>
    <row r="2937" spans="2:9">
      <c r="B2937" s="1297"/>
      <c r="C2937" s="1297"/>
      <c r="D2937" s="1297" t="s">
        <v>932</v>
      </c>
      <c r="H2937" s="1399">
        <v>21475487</v>
      </c>
      <c r="I2937" s="1399">
        <v>21475487</v>
      </c>
    </row>
    <row r="2938" spans="2:9">
      <c r="B2938" s="1297"/>
      <c r="C2938" s="1297"/>
      <c r="D2938" s="1297" t="s">
        <v>955</v>
      </c>
      <c r="H2938" s="1399">
        <v>4015246.33</v>
      </c>
      <c r="I2938" s="1399">
        <v>4015246.33</v>
      </c>
    </row>
    <row r="2939" spans="2:9">
      <c r="B2939" s="1297"/>
      <c r="C2939" s="1297"/>
      <c r="D2939" s="1297" t="s">
        <v>934</v>
      </c>
      <c r="H2939" s="1399">
        <v>414616</v>
      </c>
      <c r="I2939" s="1399">
        <v>414616</v>
      </c>
    </row>
    <row r="2940" spans="2:9">
      <c r="B2940" s="1297"/>
      <c r="C2940" s="1297"/>
      <c r="D2940" s="1297" t="s">
        <v>1130</v>
      </c>
      <c r="H2940" s="1399">
        <v>953882.31</v>
      </c>
      <c r="I2940" s="1399">
        <v>953882.31</v>
      </c>
    </row>
    <row r="2941" spans="2:9">
      <c r="B2941" s="1297"/>
      <c r="C2941" s="1297"/>
      <c r="D2941" s="1297" t="s">
        <v>935</v>
      </c>
      <c r="H2941" s="1399">
        <v>2006673.24</v>
      </c>
      <c r="I2941" s="1399">
        <v>2006673.24</v>
      </c>
    </row>
    <row r="2942" spans="2:9">
      <c r="B2942" s="1297"/>
      <c r="C2942" s="1297"/>
      <c r="D2942" s="1297" t="s">
        <v>936</v>
      </c>
      <c r="H2942" s="1399">
        <v>337895.27</v>
      </c>
      <c r="I2942" s="1399">
        <v>337895.27</v>
      </c>
    </row>
    <row r="2943" spans="2:9">
      <c r="B2943" s="1297"/>
      <c r="C2943" s="1297"/>
      <c r="D2943" s="1297" t="s">
        <v>937</v>
      </c>
      <c r="H2943" s="1399">
        <v>80250.59</v>
      </c>
      <c r="I2943" s="1399">
        <v>80250.59</v>
      </c>
    </row>
    <row r="2944" spans="2:9">
      <c r="B2944" s="1297"/>
      <c r="C2944" s="1297"/>
      <c r="D2944" s="1297" t="s">
        <v>938</v>
      </c>
      <c r="H2944" s="1399">
        <v>139246</v>
      </c>
      <c r="I2944" s="1399">
        <v>139246</v>
      </c>
    </row>
    <row r="2945" spans="2:9">
      <c r="B2945" s="1297"/>
      <c r="C2945" s="1297"/>
      <c r="D2945" s="1297" t="s">
        <v>939</v>
      </c>
      <c r="H2945" s="1399">
        <v>42250</v>
      </c>
      <c r="I2945" s="1399">
        <v>42250</v>
      </c>
    </row>
    <row r="2946" spans="2:9">
      <c r="B2946" s="1297"/>
      <c r="C2946" s="1297"/>
      <c r="D2946" s="1297" t="s">
        <v>1131</v>
      </c>
      <c r="E2946" s="1399">
        <v>808826</v>
      </c>
      <c r="I2946" s="1399">
        <v>808826</v>
      </c>
    </row>
    <row r="2947" spans="2:9">
      <c r="B2947" s="1297"/>
      <c r="C2947" s="1297"/>
      <c r="D2947" s="1297" t="s">
        <v>940</v>
      </c>
      <c r="E2947" s="1399">
        <v>6714274.5000000019</v>
      </c>
      <c r="I2947" s="1399">
        <v>6714274.5000000019</v>
      </c>
    </row>
    <row r="2948" spans="2:9">
      <c r="B2948" s="1297"/>
      <c r="C2948" s="1297"/>
      <c r="D2948" s="1297" t="s">
        <v>941</v>
      </c>
      <c r="E2948" s="1399">
        <v>2390341.6999999997</v>
      </c>
      <c r="I2948" s="1399">
        <v>2390341.6999999997</v>
      </c>
    </row>
    <row r="2949" spans="2:9">
      <c r="B2949" s="1297"/>
      <c r="C2949" s="1297"/>
      <c r="D2949" s="1297" t="s">
        <v>943</v>
      </c>
      <c r="E2949" s="1399">
        <v>43457.98</v>
      </c>
      <c r="I2949" s="1399">
        <v>43457.98</v>
      </c>
    </row>
    <row r="2950" spans="2:9">
      <c r="B2950" s="1297"/>
      <c r="C2950" s="1297"/>
      <c r="D2950" s="1297" t="s">
        <v>944</v>
      </c>
      <c r="E2950" s="1399">
        <v>11963478.009999998</v>
      </c>
      <c r="I2950" s="1399">
        <v>11963478.009999998</v>
      </c>
    </row>
    <row r="2951" spans="2:9">
      <c r="B2951" s="1297"/>
      <c r="C2951" s="1297"/>
      <c r="D2951" s="1297" t="s">
        <v>945</v>
      </c>
      <c r="E2951" s="1399">
        <v>10004270.289999999</v>
      </c>
      <c r="I2951" s="1399">
        <v>10004270.289999999</v>
      </c>
    </row>
    <row r="2952" spans="2:9">
      <c r="B2952" s="1297"/>
      <c r="C2952" s="1297"/>
      <c r="D2952" s="1297" t="s">
        <v>946</v>
      </c>
      <c r="E2952" s="1399">
        <v>61563.97</v>
      </c>
      <c r="I2952" s="1399">
        <v>61563.97</v>
      </c>
    </row>
    <row r="2953" spans="2:9">
      <c r="B2953" s="1297"/>
      <c r="C2953" s="1297"/>
      <c r="D2953" s="1297" t="s">
        <v>978</v>
      </c>
      <c r="E2953" s="1399">
        <v>107331.36</v>
      </c>
      <c r="I2953" s="1399">
        <v>107331.36</v>
      </c>
    </row>
    <row r="2954" spans="2:9">
      <c r="B2954" s="1297"/>
      <c r="C2954" s="1297"/>
      <c r="D2954" s="1297" t="s">
        <v>1006</v>
      </c>
      <c r="E2954" s="1399">
        <v>1925331.49</v>
      </c>
      <c r="I2954" s="1399">
        <v>1925331.49</v>
      </c>
    </row>
    <row r="2955" spans="2:9">
      <c r="B2955" s="1297"/>
      <c r="C2955" s="1297"/>
      <c r="D2955" s="1297" t="s">
        <v>947</v>
      </c>
      <c r="E2955" s="1399">
        <v>1091636.95</v>
      </c>
      <c r="I2955" s="1399">
        <v>1091636.95</v>
      </c>
    </row>
    <row r="2956" spans="2:9">
      <c r="B2956" s="1297"/>
      <c r="C2956" s="1297"/>
      <c r="D2956" s="1297" t="s">
        <v>948</v>
      </c>
      <c r="G2956" s="1399">
        <v>5145008.0600000005</v>
      </c>
      <c r="I2956" s="1399">
        <v>5145008.0600000005</v>
      </c>
    </row>
    <row r="2957" spans="2:9">
      <c r="B2957" s="1297"/>
      <c r="C2957" s="1400" t="s">
        <v>1189</v>
      </c>
      <c r="D2957" s="1400"/>
      <c r="E2957" s="1401">
        <v>35110512.25</v>
      </c>
      <c r="F2957" s="1401">
        <v>106304843.49000004</v>
      </c>
      <c r="G2957" s="1401">
        <v>5145008.0600000005</v>
      </c>
      <c r="H2957" s="1401">
        <v>142512148.74000004</v>
      </c>
      <c r="I2957" s="1401">
        <v>289072512.54000014</v>
      </c>
    </row>
    <row r="2958" spans="2:9">
      <c r="B2958" s="1297" t="s">
        <v>1190</v>
      </c>
      <c r="C2958" s="1297" t="s">
        <v>1191</v>
      </c>
      <c r="D2958" s="1297" t="s">
        <v>906</v>
      </c>
      <c r="F2958" s="1399">
        <v>3405146.9</v>
      </c>
      <c r="I2958" s="1399">
        <v>3405146.9</v>
      </c>
    </row>
    <row r="2959" spans="2:9">
      <c r="B2959" s="1297"/>
      <c r="C2959" s="1297"/>
      <c r="D2959" s="1297" t="s">
        <v>952</v>
      </c>
      <c r="F2959" s="1399">
        <v>23313.26</v>
      </c>
      <c r="I2959" s="1399">
        <v>23313.26</v>
      </c>
    </row>
    <row r="2960" spans="2:9">
      <c r="B2960" s="1297"/>
      <c r="C2960" s="1297"/>
      <c r="D2960" s="1297" t="s">
        <v>907</v>
      </c>
      <c r="F2960" s="1399">
        <v>674217.37</v>
      </c>
      <c r="I2960" s="1399">
        <v>674217.37</v>
      </c>
    </row>
    <row r="2961" spans="2:9">
      <c r="B2961" s="1297"/>
      <c r="C2961" s="1297"/>
      <c r="D2961" s="1297" t="s">
        <v>908</v>
      </c>
      <c r="F2961" s="1399">
        <v>7660.56</v>
      </c>
      <c r="I2961" s="1399">
        <v>7660.56</v>
      </c>
    </row>
    <row r="2962" spans="2:9">
      <c r="B2962" s="1297"/>
      <c r="C2962" s="1297"/>
      <c r="D2962" s="1297" t="s">
        <v>909</v>
      </c>
      <c r="F2962" s="1399">
        <v>55709.24</v>
      </c>
      <c r="I2962" s="1399">
        <v>55709.24</v>
      </c>
    </row>
    <row r="2963" spans="2:9">
      <c r="B2963" s="1297"/>
      <c r="C2963" s="1297"/>
      <c r="D2963" s="1297" t="s">
        <v>910</v>
      </c>
      <c r="F2963" s="1399">
        <v>111630.48</v>
      </c>
      <c r="I2963" s="1399">
        <v>111630.48</v>
      </c>
    </row>
    <row r="2964" spans="2:9">
      <c r="B2964" s="1297"/>
      <c r="C2964" s="1297"/>
      <c r="D2964" s="1297" t="s">
        <v>1034</v>
      </c>
      <c r="F2964" s="1399">
        <v>28544.959999999999</v>
      </c>
      <c r="I2964" s="1399">
        <v>28544.959999999999</v>
      </c>
    </row>
    <row r="2965" spans="2:9">
      <c r="B2965" s="1297"/>
      <c r="C2965" s="1297"/>
      <c r="D2965" s="1297" t="s">
        <v>1035</v>
      </c>
      <c r="F2965" s="1399">
        <v>177734.25</v>
      </c>
      <c r="I2965" s="1399">
        <v>177734.25</v>
      </c>
    </row>
    <row r="2966" spans="2:9">
      <c r="B2966" s="1297"/>
      <c r="C2966" s="1297"/>
      <c r="D2966" s="1297" t="s">
        <v>1036</v>
      </c>
      <c r="F2966" s="1399">
        <v>64098.25</v>
      </c>
      <c r="I2966" s="1399">
        <v>64098.25</v>
      </c>
    </row>
    <row r="2967" spans="2:9">
      <c r="B2967" s="1297"/>
      <c r="C2967" s="1297"/>
      <c r="D2967" s="1297" t="s">
        <v>1039</v>
      </c>
      <c r="F2967" s="1399">
        <v>23371.939999999995</v>
      </c>
      <c r="I2967" s="1399">
        <v>23371.939999999995</v>
      </c>
    </row>
    <row r="2968" spans="2:9">
      <c r="B2968" s="1297"/>
      <c r="C2968" s="1297"/>
      <c r="D2968" s="1297" t="s">
        <v>1040</v>
      </c>
      <c r="F2968" s="1399">
        <v>92403.6</v>
      </c>
      <c r="I2968" s="1399">
        <v>92403.6</v>
      </c>
    </row>
    <row r="2969" spans="2:9">
      <c r="B2969" s="1297"/>
      <c r="C2969" s="1297"/>
      <c r="D2969" s="1297" t="s">
        <v>1127</v>
      </c>
      <c r="F2969" s="1399">
        <v>7143.95</v>
      </c>
      <c r="I2969" s="1399">
        <v>7143.95</v>
      </c>
    </row>
    <row r="2970" spans="2:9">
      <c r="B2970" s="1297"/>
      <c r="C2970" s="1297"/>
      <c r="D2970" s="1297" t="s">
        <v>1041</v>
      </c>
      <c r="F2970" s="1399">
        <v>49265.91</v>
      </c>
      <c r="I2970" s="1399">
        <v>49265.91</v>
      </c>
    </row>
    <row r="2971" spans="2:9">
      <c r="B2971" s="1297"/>
      <c r="C2971" s="1297"/>
      <c r="D2971" s="1297" t="s">
        <v>1042</v>
      </c>
      <c r="F2971" s="1399">
        <v>32811.730000000003</v>
      </c>
      <c r="I2971" s="1399">
        <v>32811.730000000003</v>
      </c>
    </row>
    <row r="2972" spans="2:9">
      <c r="B2972" s="1297"/>
      <c r="C2972" s="1297"/>
      <c r="D2972" s="1297" t="s">
        <v>954</v>
      </c>
      <c r="F2972" s="1399">
        <v>0</v>
      </c>
      <c r="I2972" s="1399">
        <v>0</v>
      </c>
    </row>
    <row r="2973" spans="2:9">
      <c r="B2973" s="1297"/>
      <c r="C2973" s="1297"/>
      <c r="D2973" s="1297" t="s">
        <v>1043</v>
      </c>
      <c r="F2973" s="1399">
        <v>10050</v>
      </c>
      <c r="I2973" s="1399">
        <v>10050</v>
      </c>
    </row>
    <row r="2974" spans="2:9">
      <c r="B2974" s="1297"/>
      <c r="C2974" s="1297"/>
      <c r="D2974" s="1297" t="s">
        <v>986</v>
      </c>
      <c r="F2974" s="1399">
        <v>12775.3</v>
      </c>
      <c r="I2974" s="1399">
        <v>12775.3</v>
      </c>
    </row>
    <row r="2975" spans="2:9">
      <c r="B2975" s="1297"/>
      <c r="C2975" s="1297"/>
      <c r="D2975" s="1297" t="s">
        <v>990</v>
      </c>
      <c r="F2975" s="1399">
        <v>400</v>
      </c>
      <c r="I2975" s="1399">
        <v>400</v>
      </c>
    </row>
    <row r="2976" spans="2:9">
      <c r="B2976" s="1297"/>
      <c r="C2976" s="1297"/>
      <c r="D2976" s="1297" t="s">
        <v>996</v>
      </c>
      <c r="F2976" s="1399">
        <v>2500</v>
      </c>
      <c r="I2976" s="1399">
        <v>2500</v>
      </c>
    </row>
    <row r="2977" spans="2:9">
      <c r="B2977" s="1297"/>
      <c r="C2977" s="1297"/>
      <c r="D2977" s="1297" t="s">
        <v>1045</v>
      </c>
      <c r="F2977" s="1399">
        <v>311683.65000000002</v>
      </c>
      <c r="I2977" s="1399">
        <v>311683.65000000002</v>
      </c>
    </row>
    <row r="2978" spans="2:9">
      <c r="B2978" s="1297"/>
      <c r="C2978" s="1297"/>
      <c r="D2978" s="1297" t="s">
        <v>1046</v>
      </c>
      <c r="H2978" s="1399">
        <v>7771092</v>
      </c>
      <c r="I2978" s="1399">
        <v>7771092</v>
      </c>
    </row>
    <row r="2979" spans="2:9">
      <c r="B2979" s="1297"/>
      <c r="C2979" s="1297"/>
      <c r="D2979" s="1297" t="s">
        <v>1128</v>
      </c>
      <c r="H2979" s="1399">
        <v>885292</v>
      </c>
      <c r="I2979" s="1399">
        <v>885292</v>
      </c>
    </row>
    <row r="2980" spans="2:9">
      <c r="B2980" s="1297"/>
      <c r="C2980" s="1297"/>
      <c r="D2980" s="1297" t="s">
        <v>1047</v>
      </c>
      <c r="H2980" s="1399">
        <v>286217</v>
      </c>
      <c r="I2980" s="1399">
        <v>286217</v>
      </c>
    </row>
    <row r="2981" spans="2:9">
      <c r="B2981" s="1297"/>
      <c r="C2981" s="1297"/>
      <c r="D2981" s="1297" t="s">
        <v>1048</v>
      </c>
      <c r="H2981" s="1399">
        <v>-960179</v>
      </c>
      <c r="I2981" s="1399">
        <v>-960179</v>
      </c>
    </row>
    <row r="2982" spans="2:9">
      <c r="B2982" s="1297"/>
      <c r="C2982" s="1297"/>
      <c r="D2982" s="1297" t="s">
        <v>932</v>
      </c>
      <c r="H2982" s="1399">
        <v>1156744</v>
      </c>
      <c r="I2982" s="1399">
        <v>1156744</v>
      </c>
    </row>
    <row r="2983" spans="2:9">
      <c r="B2983" s="1297"/>
      <c r="C2983" s="1297"/>
      <c r="D2983" s="1297" t="s">
        <v>955</v>
      </c>
      <c r="H2983" s="1399">
        <v>539004.36</v>
      </c>
      <c r="I2983" s="1399">
        <v>539004.36</v>
      </c>
    </row>
    <row r="2984" spans="2:9">
      <c r="B2984" s="1297"/>
      <c r="C2984" s="1297"/>
      <c r="D2984" s="1297" t="s">
        <v>934</v>
      </c>
      <c r="H2984" s="1399">
        <v>26588</v>
      </c>
      <c r="I2984" s="1399">
        <v>26588</v>
      </c>
    </row>
    <row r="2985" spans="2:9">
      <c r="B2985" s="1297"/>
      <c r="C2985" s="1297"/>
      <c r="D2985" s="1297" t="s">
        <v>935</v>
      </c>
      <c r="H2985" s="1399">
        <v>342318.56</v>
      </c>
      <c r="I2985" s="1399">
        <v>342318.56</v>
      </c>
    </row>
    <row r="2986" spans="2:9">
      <c r="B2986" s="1297"/>
      <c r="C2986" s="1297"/>
      <c r="D2986" s="1297" t="s">
        <v>936</v>
      </c>
      <c r="H2986" s="1399">
        <v>23460.09</v>
      </c>
      <c r="I2986" s="1399">
        <v>23460.09</v>
      </c>
    </row>
    <row r="2987" spans="2:9">
      <c r="B2987" s="1297"/>
      <c r="C2987" s="1297"/>
      <c r="D2987" s="1297" t="s">
        <v>938</v>
      </c>
      <c r="H2987" s="1399">
        <v>7486</v>
      </c>
      <c r="I2987" s="1399">
        <v>7486</v>
      </c>
    </row>
    <row r="2988" spans="2:9">
      <c r="B2988" s="1297"/>
      <c r="C2988" s="1297"/>
      <c r="D2988" s="1297" t="s">
        <v>939</v>
      </c>
      <c r="H2988" s="1399">
        <v>42250</v>
      </c>
      <c r="I2988" s="1399">
        <v>42250</v>
      </c>
    </row>
    <row r="2989" spans="2:9">
      <c r="B2989" s="1297"/>
      <c r="C2989" s="1297"/>
      <c r="D2989" s="1297" t="s">
        <v>1131</v>
      </c>
      <c r="E2989" s="1399">
        <v>100000</v>
      </c>
      <c r="I2989" s="1399">
        <v>100000</v>
      </c>
    </row>
    <row r="2990" spans="2:9">
      <c r="B2990" s="1297"/>
      <c r="C2990" s="1297"/>
      <c r="D2990" s="1297" t="s">
        <v>940</v>
      </c>
      <c r="E2990" s="1399">
        <v>473616.8</v>
      </c>
      <c r="I2990" s="1399">
        <v>473616.8</v>
      </c>
    </row>
    <row r="2991" spans="2:9">
      <c r="B2991" s="1297"/>
      <c r="C2991" s="1297"/>
      <c r="D2991" s="1297" t="s">
        <v>941</v>
      </c>
      <c r="E2991" s="1399">
        <v>158056.66</v>
      </c>
      <c r="I2991" s="1399">
        <v>158056.66</v>
      </c>
    </row>
    <row r="2992" spans="2:9">
      <c r="B2992" s="1297"/>
      <c r="C2992" s="1297"/>
      <c r="D2992" s="1297" t="s">
        <v>943</v>
      </c>
      <c r="E2992" s="1399">
        <v>12139.7</v>
      </c>
      <c r="I2992" s="1399">
        <v>12139.7</v>
      </c>
    </row>
    <row r="2993" spans="2:9">
      <c r="B2993" s="1297"/>
      <c r="C2993" s="1297"/>
      <c r="D2993" s="1297" t="s">
        <v>944</v>
      </c>
      <c r="E2993" s="1399">
        <v>1080064.6899999997</v>
      </c>
      <c r="I2993" s="1399">
        <v>1080064.6899999997</v>
      </c>
    </row>
    <row r="2994" spans="2:9">
      <c r="B2994" s="1297"/>
      <c r="C2994" s="1297"/>
      <c r="D2994" s="1297" t="s">
        <v>945</v>
      </c>
      <c r="E2994" s="1399">
        <v>875514.89999999991</v>
      </c>
      <c r="I2994" s="1399">
        <v>875514.89999999991</v>
      </c>
    </row>
    <row r="2995" spans="2:9">
      <c r="B2995" s="1297"/>
      <c r="C2995" s="1297"/>
      <c r="D2995" s="1297" t="s">
        <v>946</v>
      </c>
      <c r="E2995" s="1399">
        <v>92197.36</v>
      </c>
      <c r="I2995" s="1399">
        <v>92197.36</v>
      </c>
    </row>
    <row r="2996" spans="2:9">
      <c r="B2996" s="1297"/>
      <c r="C2996" s="1297"/>
      <c r="D2996" s="1297" t="s">
        <v>947</v>
      </c>
      <c r="E2996" s="1399">
        <v>52944.17</v>
      </c>
      <c r="I2996" s="1399">
        <v>52944.17</v>
      </c>
    </row>
    <row r="2997" spans="2:9">
      <c r="B2997" s="1297"/>
      <c r="C2997" s="1297"/>
      <c r="D2997" s="1297" t="s">
        <v>948</v>
      </c>
      <c r="G2997" s="1399">
        <v>878082.61</v>
      </c>
      <c r="I2997" s="1399">
        <v>878082.61</v>
      </c>
    </row>
    <row r="2998" spans="2:9">
      <c r="B2998" s="1297"/>
      <c r="C2998" s="1297"/>
      <c r="D2998" s="1297" t="s">
        <v>956</v>
      </c>
      <c r="G2998" s="1399">
        <v>55.8</v>
      </c>
      <c r="I2998" s="1399">
        <v>55.8</v>
      </c>
    </row>
    <row r="2999" spans="2:9">
      <c r="B2999" s="1297"/>
      <c r="C2999" s="1400" t="s">
        <v>1192</v>
      </c>
      <c r="D2999" s="1400"/>
      <c r="E2999" s="1401">
        <v>2844534.2799999993</v>
      </c>
      <c r="F2999" s="1401">
        <v>5090461.3500000015</v>
      </c>
      <c r="G2999" s="1401">
        <v>878138.41</v>
      </c>
      <c r="H2999" s="1401">
        <v>10120273.01</v>
      </c>
      <c r="I2999" s="1401">
        <v>18933407.050000001</v>
      </c>
    </row>
    <row r="3000" spans="2:9">
      <c r="B3000" s="1297" t="s">
        <v>1193</v>
      </c>
      <c r="C3000" s="1297" t="s">
        <v>1194</v>
      </c>
      <c r="D3000" s="1297" t="s">
        <v>906</v>
      </c>
      <c r="F3000" s="1399">
        <v>36308367.079999998</v>
      </c>
      <c r="I3000" s="1399">
        <v>36308367.079999998</v>
      </c>
    </row>
    <row r="3001" spans="2:9">
      <c r="B3001" s="1297"/>
      <c r="C3001" s="1297"/>
      <c r="D3001" s="1297" t="s">
        <v>952</v>
      </c>
      <c r="F3001" s="1399">
        <v>522583.94</v>
      </c>
      <c r="I3001" s="1399">
        <v>522583.94</v>
      </c>
    </row>
    <row r="3002" spans="2:9">
      <c r="B3002" s="1297"/>
      <c r="C3002" s="1297"/>
      <c r="D3002" s="1297" t="s">
        <v>907</v>
      </c>
      <c r="F3002" s="1399">
        <v>5244991.4800000004</v>
      </c>
      <c r="I3002" s="1399">
        <v>5244991.4800000004</v>
      </c>
    </row>
    <row r="3003" spans="2:9">
      <c r="B3003" s="1297"/>
      <c r="C3003" s="1297"/>
      <c r="D3003" s="1297" t="s">
        <v>908</v>
      </c>
      <c r="F3003" s="1399">
        <v>33963.410000000003</v>
      </c>
      <c r="I3003" s="1399">
        <v>33963.410000000003</v>
      </c>
    </row>
    <row r="3004" spans="2:9">
      <c r="B3004" s="1297"/>
      <c r="C3004" s="1297"/>
      <c r="D3004" s="1297" t="s">
        <v>909</v>
      </c>
      <c r="F3004" s="1399">
        <v>52290.84</v>
      </c>
      <c r="I3004" s="1399">
        <v>52290.84</v>
      </c>
    </row>
    <row r="3005" spans="2:9">
      <c r="B3005" s="1297"/>
      <c r="C3005" s="1297"/>
      <c r="D3005" s="1297" t="s">
        <v>910</v>
      </c>
      <c r="F3005" s="1399">
        <v>253860.25</v>
      </c>
      <c r="I3005" s="1399">
        <v>253860.25</v>
      </c>
    </row>
    <row r="3006" spans="2:9">
      <c r="B3006" s="1297"/>
      <c r="C3006" s="1297"/>
      <c r="D3006" s="1297" t="s">
        <v>1034</v>
      </c>
      <c r="F3006" s="1399">
        <v>150677.9</v>
      </c>
      <c r="I3006" s="1399">
        <v>150677.9</v>
      </c>
    </row>
    <row r="3007" spans="2:9">
      <c r="B3007" s="1297"/>
      <c r="C3007" s="1297"/>
      <c r="D3007" s="1297" t="s">
        <v>1035</v>
      </c>
      <c r="F3007" s="1399">
        <v>695170.95</v>
      </c>
      <c r="I3007" s="1399">
        <v>695170.95</v>
      </c>
    </row>
    <row r="3008" spans="2:9">
      <c r="B3008" s="1297"/>
      <c r="C3008" s="1297"/>
      <c r="D3008" s="1297" t="s">
        <v>1036</v>
      </c>
      <c r="F3008" s="1399">
        <v>198655.40000000002</v>
      </c>
      <c r="I3008" s="1399">
        <v>198655.40000000002</v>
      </c>
    </row>
    <row r="3009" spans="2:9">
      <c r="B3009" s="1297"/>
      <c r="C3009" s="1297"/>
      <c r="D3009" s="1297" t="s">
        <v>1039</v>
      </c>
      <c r="F3009" s="1399">
        <v>45814.479999999989</v>
      </c>
      <c r="I3009" s="1399">
        <v>45814.479999999989</v>
      </c>
    </row>
    <row r="3010" spans="2:9">
      <c r="B3010" s="1297"/>
      <c r="C3010" s="1297"/>
      <c r="D3010" s="1297" t="s">
        <v>1040</v>
      </c>
      <c r="F3010" s="1399">
        <v>1030633.03</v>
      </c>
      <c r="I3010" s="1399">
        <v>1030633.03</v>
      </c>
    </row>
    <row r="3011" spans="2:9">
      <c r="B3011" s="1297"/>
      <c r="C3011" s="1297"/>
      <c r="D3011" s="1297" t="s">
        <v>1041</v>
      </c>
      <c r="F3011" s="1399">
        <v>134886.01</v>
      </c>
      <c r="I3011" s="1399">
        <v>134886.01</v>
      </c>
    </row>
    <row r="3012" spans="2:9">
      <c r="B3012" s="1297"/>
      <c r="C3012" s="1297"/>
      <c r="D3012" s="1297" t="s">
        <v>1042</v>
      </c>
      <c r="F3012" s="1399">
        <v>98599.930000000008</v>
      </c>
      <c r="I3012" s="1399">
        <v>98599.930000000008</v>
      </c>
    </row>
    <row r="3013" spans="2:9">
      <c r="B3013" s="1297"/>
      <c r="C3013" s="1297"/>
      <c r="D3013" s="1297" t="s">
        <v>985</v>
      </c>
      <c r="F3013" s="1399">
        <v>353192.15</v>
      </c>
      <c r="I3013" s="1399">
        <v>353192.15</v>
      </c>
    </row>
    <row r="3014" spans="2:9">
      <c r="B3014" s="1297"/>
      <c r="C3014" s="1297"/>
      <c r="D3014" s="1297" t="s">
        <v>1043</v>
      </c>
      <c r="F3014" s="1399">
        <v>15405</v>
      </c>
      <c r="I3014" s="1399">
        <v>15405</v>
      </c>
    </row>
    <row r="3015" spans="2:9">
      <c r="B3015" s="1297"/>
      <c r="C3015" s="1297"/>
      <c r="D3015" s="1297" t="s">
        <v>986</v>
      </c>
      <c r="F3015" s="1399">
        <v>1000</v>
      </c>
      <c r="I3015" s="1399">
        <v>1000</v>
      </c>
    </row>
    <row r="3016" spans="2:9">
      <c r="B3016" s="1297"/>
      <c r="C3016" s="1297"/>
      <c r="D3016" s="1297" t="s">
        <v>990</v>
      </c>
      <c r="F3016" s="1399">
        <v>628.5</v>
      </c>
      <c r="I3016" s="1399">
        <v>628.5</v>
      </c>
    </row>
    <row r="3017" spans="2:9">
      <c r="B3017" s="1297"/>
      <c r="C3017" s="1297"/>
      <c r="D3017" s="1297" t="s">
        <v>996</v>
      </c>
      <c r="F3017" s="1399">
        <v>38699.050000000003</v>
      </c>
      <c r="I3017" s="1399">
        <v>38699.050000000003</v>
      </c>
    </row>
    <row r="3018" spans="2:9">
      <c r="B3018" s="1297"/>
      <c r="C3018" s="1297"/>
      <c r="D3018" s="1297" t="s">
        <v>1044</v>
      </c>
      <c r="F3018" s="1399">
        <v>2802.91</v>
      </c>
      <c r="I3018" s="1399">
        <v>2802.91</v>
      </c>
    </row>
    <row r="3019" spans="2:9">
      <c r="B3019" s="1297"/>
      <c r="C3019" s="1297"/>
      <c r="D3019" s="1297" t="s">
        <v>1045</v>
      </c>
      <c r="F3019" s="1399">
        <v>755094.6</v>
      </c>
      <c r="I3019" s="1399">
        <v>755094.6</v>
      </c>
    </row>
    <row r="3020" spans="2:9">
      <c r="B3020" s="1297"/>
      <c r="C3020" s="1297"/>
      <c r="D3020" s="1297" t="s">
        <v>1046</v>
      </c>
      <c r="H3020" s="1399">
        <v>38346364</v>
      </c>
      <c r="I3020" s="1399">
        <v>38346364</v>
      </c>
    </row>
    <row r="3021" spans="2:9">
      <c r="B3021" s="1297"/>
      <c r="C3021" s="1297"/>
      <c r="D3021" s="1297" t="s">
        <v>1128</v>
      </c>
      <c r="H3021" s="1399">
        <v>3131452</v>
      </c>
      <c r="I3021" s="1399">
        <v>3131452</v>
      </c>
    </row>
    <row r="3022" spans="2:9">
      <c r="B3022" s="1297"/>
      <c r="C3022" s="1297"/>
      <c r="D3022" s="1297" t="s">
        <v>1129</v>
      </c>
      <c r="H3022" s="1399">
        <v>-4535764</v>
      </c>
      <c r="I3022" s="1399">
        <v>-4535764</v>
      </c>
    </row>
    <row r="3023" spans="2:9">
      <c r="B3023" s="1297"/>
      <c r="C3023" s="1297"/>
      <c r="D3023" s="1297" t="s">
        <v>1047</v>
      </c>
      <c r="H3023" s="1399">
        <v>1011995</v>
      </c>
      <c r="I3023" s="1399">
        <v>1011995</v>
      </c>
    </row>
    <row r="3024" spans="2:9">
      <c r="B3024" s="1297"/>
      <c r="C3024" s="1297"/>
      <c r="D3024" s="1297" t="s">
        <v>1048</v>
      </c>
      <c r="H3024" s="1399">
        <v>-8594999</v>
      </c>
      <c r="I3024" s="1399">
        <v>-8594999</v>
      </c>
    </row>
    <row r="3025" spans="2:9">
      <c r="B3025" s="1297"/>
      <c r="C3025" s="1297"/>
      <c r="D3025" s="1297" t="s">
        <v>955</v>
      </c>
      <c r="H3025" s="1399">
        <v>977332.21</v>
      </c>
      <c r="I3025" s="1399">
        <v>977332.21</v>
      </c>
    </row>
    <row r="3026" spans="2:9">
      <c r="B3026" s="1297"/>
      <c r="C3026" s="1297"/>
      <c r="D3026" s="1297" t="s">
        <v>934</v>
      </c>
      <c r="H3026" s="1399">
        <v>112428</v>
      </c>
      <c r="I3026" s="1399">
        <v>112428</v>
      </c>
    </row>
    <row r="3027" spans="2:9">
      <c r="B3027" s="1297"/>
      <c r="C3027" s="1297"/>
      <c r="D3027" s="1297" t="s">
        <v>935</v>
      </c>
      <c r="H3027" s="1399">
        <v>705716.32</v>
      </c>
      <c r="I3027" s="1399">
        <v>705716.32</v>
      </c>
    </row>
    <row r="3028" spans="2:9">
      <c r="B3028" s="1297"/>
      <c r="C3028" s="1297"/>
      <c r="D3028" s="1297" t="s">
        <v>936</v>
      </c>
      <c r="H3028" s="1399">
        <v>122202.54</v>
      </c>
      <c r="I3028" s="1399">
        <v>122202.54</v>
      </c>
    </row>
    <row r="3029" spans="2:9">
      <c r="B3029" s="1297"/>
      <c r="C3029" s="1297"/>
      <c r="D3029" s="1297" t="s">
        <v>937</v>
      </c>
      <c r="H3029" s="1399">
        <v>26524.83</v>
      </c>
      <c r="I3029" s="1399">
        <v>26524.83</v>
      </c>
    </row>
    <row r="3030" spans="2:9">
      <c r="B3030" s="1297"/>
      <c r="C3030" s="1297"/>
      <c r="D3030" s="1297" t="s">
        <v>938</v>
      </c>
      <c r="H3030" s="1399">
        <v>40801</v>
      </c>
      <c r="I3030" s="1399">
        <v>40801</v>
      </c>
    </row>
    <row r="3031" spans="2:9">
      <c r="B3031" s="1297"/>
      <c r="C3031" s="1297"/>
      <c r="D3031" s="1297" t="s">
        <v>939</v>
      </c>
      <c r="H3031" s="1399">
        <v>55616.23</v>
      </c>
      <c r="I3031" s="1399">
        <v>55616.23</v>
      </c>
    </row>
    <row r="3032" spans="2:9">
      <c r="B3032" s="1297"/>
      <c r="C3032" s="1297"/>
      <c r="D3032" s="1297" t="s">
        <v>1131</v>
      </c>
      <c r="E3032" s="1399">
        <v>116556.82</v>
      </c>
      <c r="I3032" s="1399">
        <v>116556.82</v>
      </c>
    </row>
    <row r="3033" spans="2:9">
      <c r="B3033" s="1297"/>
      <c r="C3033" s="1297"/>
      <c r="D3033" s="1297" t="s">
        <v>940</v>
      </c>
      <c r="E3033" s="1399">
        <v>1632700.1400000001</v>
      </c>
      <c r="I3033" s="1399">
        <v>1632700.1400000001</v>
      </c>
    </row>
    <row r="3034" spans="2:9">
      <c r="B3034" s="1297"/>
      <c r="C3034" s="1297"/>
      <c r="D3034" s="1297" t="s">
        <v>941</v>
      </c>
      <c r="E3034" s="1399">
        <v>661419.00000000012</v>
      </c>
      <c r="I3034" s="1399">
        <v>661419.00000000012</v>
      </c>
    </row>
    <row r="3035" spans="2:9">
      <c r="B3035" s="1297"/>
      <c r="C3035" s="1297"/>
      <c r="D3035" s="1297" t="s">
        <v>943</v>
      </c>
      <c r="E3035" s="1399">
        <v>21288.32</v>
      </c>
      <c r="I3035" s="1399">
        <v>21288.32</v>
      </c>
    </row>
    <row r="3036" spans="2:9">
      <c r="B3036" s="1297"/>
      <c r="C3036" s="1297"/>
      <c r="D3036" s="1297" t="s">
        <v>944</v>
      </c>
      <c r="E3036" s="1399">
        <v>3499638.6800000006</v>
      </c>
      <c r="I3036" s="1399">
        <v>3499638.6800000006</v>
      </c>
    </row>
    <row r="3037" spans="2:9">
      <c r="B3037" s="1297"/>
      <c r="C3037" s="1297"/>
      <c r="D3037" s="1297" t="s">
        <v>945</v>
      </c>
      <c r="E3037" s="1399">
        <v>2383383.4499999997</v>
      </c>
      <c r="I3037" s="1399">
        <v>2383383.4499999997</v>
      </c>
    </row>
    <row r="3038" spans="2:9">
      <c r="B3038" s="1297"/>
      <c r="C3038" s="1297"/>
      <c r="D3038" s="1297" t="s">
        <v>946</v>
      </c>
      <c r="E3038" s="1399">
        <v>120704.35</v>
      </c>
      <c r="I3038" s="1399">
        <v>120704.35</v>
      </c>
    </row>
    <row r="3039" spans="2:9">
      <c r="B3039" s="1297"/>
      <c r="C3039" s="1297"/>
      <c r="D3039" s="1297" t="s">
        <v>947</v>
      </c>
      <c r="E3039" s="1399">
        <v>109205.97</v>
      </c>
      <c r="I3039" s="1399">
        <v>109205.97</v>
      </c>
    </row>
    <row r="3040" spans="2:9">
      <c r="B3040" s="1297"/>
      <c r="C3040" s="1297"/>
      <c r="D3040" s="1297" t="s">
        <v>948</v>
      </c>
      <c r="G3040" s="1399">
        <v>37922179.720000006</v>
      </c>
      <c r="I3040" s="1399">
        <v>37922179.720000006</v>
      </c>
    </row>
    <row r="3041" spans="2:9">
      <c r="B3041" s="1297"/>
      <c r="C3041" s="1297"/>
      <c r="D3041" s="1297" t="s">
        <v>1118</v>
      </c>
      <c r="G3041" s="1399">
        <v>3000.1600000000003</v>
      </c>
      <c r="I3041" s="1399">
        <v>3000.1600000000003</v>
      </c>
    </row>
    <row r="3042" spans="2:9">
      <c r="B3042" s="1297"/>
      <c r="C3042" s="1400" t="s">
        <v>1195</v>
      </c>
      <c r="D3042" s="1400"/>
      <c r="E3042" s="1401">
        <v>8544896.7300000004</v>
      </c>
      <c r="F3042" s="1401">
        <v>45937316.909999989</v>
      </c>
      <c r="G3042" s="1401">
        <v>37925179.880000003</v>
      </c>
      <c r="H3042" s="1401">
        <v>31399669.129999999</v>
      </c>
      <c r="I3042" s="1401">
        <v>123807062.64999998</v>
      </c>
    </row>
    <row r="3043" spans="2:9">
      <c r="B3043" s="1297" t="s">
        <v>1196</v>
      </c>
      <c r="C3043" s="1297" t="s">
        <v>1197</v>
      </c>
      <c r="D3043" s="1297" t="s">
        <v>906</v>
      </c>
      <c r="F3043" s="1399">
        <v>6485543.7199999997</v>
      </c>
      <c r="I3043" s="1399">
        <v>6485543.7199999997</v>
      </c>
    </row>
    <row r="3044" spans="2:9">
      <c r="B3044" s="1297"/>
      <c r="C3044" s="1297"/>
      <c r="D3044" s="1297" t="s">
        <v>952</v>
      </c>
      <c r="F3044" s="1399">
        <v>11485.01</v>
      </c>
      <c r="I3044" s="1399">
        <v>11485.01</v>
      </c>
    </row>
    <row r="3045" spans="2:9">
      <c r="B3045" s="1297"/>
      <c r="C3045" s="1297"/>
      <c r="D3045" s="1297" t="s">
        <v>907</v>
      </c>
      <c r="F3045" s="1399">
        <v>879329.21</v>
      </c>
      <c r="I3045" s="1399">
        <v>879329.21</v>
      </c>
    </row>
    <row r="3046" spans="2:9">
      <c r="B3046" s="1297"/>
      <c r="C3046" s="1297"/>
      <c r="D3046" s="1297" t="s">
        <v>908</v>
      </c>
      <c r="F3046" s="1399">
        <v>215259.87</v>
      </c>
      <c r="I3046" s="1399">
        <v>215259.87</v>
      </c>
    </row>
    <row r="3047" spans="2:9">
      <c r="B3047" s="1297"/>
      <c r="C3047" s="1297"/>
      <c r="D3047" s="1297" t="s">
        <v>910</v>
      </c>
      <c r="F3047" s="1399">
        <v>36189.820000000007</v>
      </c>
      <c r="I3047" s="1399">
        <v>36189.820000000007</v>
      </c>
    </row>
    <row r="3048" spans="2:9">
      <c r="B3048" s="1297"/>
      <c r="C3048" s="1297"/>
      <c r="D3048" s="1297" t="s">
        <v>1034</v>
      </c>
      <c r="F3048" s="1399">
        <v>29763.98</v>
      </c>
      <c r="I3048" s="1399">
        <v>29763.98</v>
      </c>
    </row>
    <row r="3049" spans="2:9">
      <c r="B3049" s="1297"/>
      <c r="C3049" s="1297"/>
      <c r="D3049" s="1297" t="s">
        <v>1035</v>
      </c>
      <c r="F3049" s="1399">
        <v>147870.28000000003</v>
      </c>
      <c r="I3049" s="1399">
        <v>147870.28000000003</v>
      </c>
    </row>
    <row r="3050" spans="2:9">
      <c r="B3050" s="1297"/>
      <c r="C3050" s="1297"/>
      <c r="D3050" s="1297" t="s">
        <v>1036</v>
      </c>
      <c r="F3050" s="1399">
        <v>60711.689999999995</v>
      </c>
      <c r="I3050" s="1399">
        <v>60711.689999999995</v>
      </c>
    </row>
    <row r="3051" spans="2:9">
      <c r="B3051" s="1297"/>
      <c r="C3051" s="1297"/>
      <c r="D3051" s="1297" t="s">
        <v>1039</v>
      </c>
      <c r="F3051" s="1399">
        <v>125815.20000000001</v>
      </c>
      <c r="I3051" s="1399">
        <v>125815.20000000001</v>
      </c>
    </row>
    <row r="3052" spans="2:9">
      <c r="B3052" s="1297"/>
      <c r="C3052" s="1297"/>
      <c r="D3052" s="1297" t="s">
        <v>1040</v>
      </c>
      <c r="F3052" s="1399">
        <v>148437.84</v>
      </c>
      <c r="I3052" s="1399">
        <v>148437.84</v>
      </c>
    </row>
    <row r="3053" spans="2:9">
      <c r="B3053" s="1297"/>
      <c r="C3053" s="1297"/>
      <c r="D3053" s="1297" t="s">
        <v>1207</v>
      </c>
      <c r="F3053" s="1399">
        <v>7872.75</v>
      </c>
      <c r="I3053" s="1399">
        <v>7872.75</v>
      </c>
    </row>
    <row r="3054" spans="2:9">
      <c r="B3054" s="1297"/>
      <c r="C3054" s="1297"/>
      <c r="D3054" s="1297" t="s">
        <v>1041</v>
      </c>
      <c r="F3054" s="1399">
        <v>38538.089999999997</v>
      </c>
      <c r="I3054" s="1399">
        <v>38538.089999999997</v>
      </c>
    </row>
    <row r="3055" spans="2:9">
      <c r="B3055" s="1297"/>
      <c r="C3055" s="1297"/>
      <c r="D3055" s="1297" t="s">
        <v>1042</v>
      </c>
      <c r="F3055" s="1399">
        <v>48930.99</v>
      </c>
      <c r="I3055" s="1399">
        <v>48930.99</v>
      </c>
    </row>
    <row r="3056" spans="2:9">
      <c r="B3056" s="1297"/>
      <c r="C3056" s="1297"/>
      <c r="D3056" s="1297" t="s">
        <v>1203</v>
      </c>
      <c r="F3056" s="1399">
        <v>11553</v>
      </c>
      <c r="I3056" s="1399">
        <v>11553</v>
      </c>
    </row>
    <row r="3057" spans="2:9">
      <c r="B3057" s="1297"/>
      <c r="C3057" s="1297"/>
      <c r="D3057" s="1297" t="s">
        <v>1004</v>
      </c>
      <c r="F3057" s="1399">
        <v>-101030.70000000001</v>
      </c>
      <c r="I3057" s="1399">
        <v>-101030.70000000001</v>
      </c>
    </row>
    <row r="3058" spans="2:9">
      <c r="B3058" s="1297"/>
      <c r="C3058" s="1297"/>
      <c r="D3058" s="1297" t="s">
        <v>1045</v>
      </c>
      <c r="F3058" s="1399">
        <v>136834.29999999999</v>
      </c>
      <c r="I3058" s="1399">
        <v>136834.29999999999</v>
      </c>
    </row>
    <row r="3059" spans="2:9">
      <c r="B3059" s="1297"/>
      <c r="C3059" s="1297"/>
      <c r="D3059" s="1297" t="s">
        <v>1046</v>
      </c>
      <c r="H3059" s="1399">
        <v>10362530</v>
      </c>
      <c r="I3059" s="1399">
        <v>10362530</v>
      </c>
    </row>
    <row r="3060" spans="2:9">
      <c r="B3060" s="1297"/>
      <c r="C3060" s="1297"/>
      <c r="D3060" s="1297" t="s">
        <v>1128</v>
      </c>
      <c r="H3060" s="1399">
        <v>898463</v>
      </c>
      <c r="I3060" s="1399">
        <v>898463</v>
      </c>
    </row>
    <row r="3061" spans="2:9">
      <c r="B3061" s="1297"/>
      <c r="C3061" s="1297"/>
      <c r="D3061" s="1297" t="s">
        <v>1129</v>
      </c>
      <c r="H3061" s="1399">
        <v>-1364802</v>
      </c>
      <c r="I3061" s="1399">
        <v>-1364802</v>
      </c>
    </row>
    <row r="3062" spans="2:9">
      <c r="B3062" s="1297"/>
      <c r="C3062" s="1297"/>
      <c r="D3062" s="1297" t="s">
        <v>1047</v>
      </c>
      <c r="H3062" s="1399">
        <v>373324</v>
      </c>
      <c r="I3062" s="1399">
        <v>373324</v>
      </c>
    </row>
    <row r="3063" spans="2:9">
      <c r="B3063" s="1297"/>
      <c r="C3063" s="1297"/>
      <c r="D3063" s="1297" t="s">
        <v>1048</v>
      </c>
      <c r="H3063" s="1399">
        <v>-1961432</v>
      </c>
      <c r="I3063" s="1399">
        <v>-1961432</v>
      </c>
    </row>
    <row r="3064" spans="2:9">
      <c r="B3064" s="1297"/>
      <c r="C3064" s="1297"/>
      <c r="D3064" s="1297" t="s">
        <v>932</v>
      </c>
      <c r="H3064" s="1399">
        <v>258173</v>
      </c>
      <c r="I3064" s="1399">
        <v>258173</v>
      </c>
    </row>
    <row r="3065" spans="2:9">
      <c r="B3065" s="1297"/>
      <c r="C3065" s="1297"/>
      <c r="D3065" s="1297" t="s">
        <v>955</v>
      </c>
      <c r="H3065" s="1399">
        <v>270666.46000000002</v>
      </c>
      <c r="I3065" s="1399">
        <v>270666.46000000002</v>
      </c>
    </row>
    <row r="3066" spans="2:9">
      <c r="B3066" s="1297"/>
      <c r="C3066" s="1297"/>
      <c r="D3066" s="1297" t="s">
        <v>934</v>
      </c>
      <c r="H3066" s="1399">
        <v>37202</v>
      </c>
      <c r="I3066" s="1399">
        <v>37202</v>
      </c>
    </row>
    <row r="3067" spans="2:9">
      <c r="B3067" s="1297"/>
      <c r="C3067" s="1297"/>
      <c r="D3067" s="1297" t="s">
        <v>935</v>
      </c>
      <c r="H3067" s="1399">
        <v>238218.44</v>
      </c>
      <c r="I3067" s="1399">
        <v>238218.44</v>
      </c>
    </row>
    <row r="3068" spans="2:9">
      <c r="B3068" s="1297"/>
      <c r="C3068" s="1297"/>
      <c r="D3068" s="1297" t="s">
        <v>936</v>
      </c>
      <c r="H3068" s="1399">
        <v>39917.160000000003</v>
      </c>
      <c r="I3068" s="1399">
        <v>39917.160000000003</v>
      </c>
    </row>
    <row r="3069" spans="2:9">
      <c r="B3069" s="1297"/>
      <c r="C3069" s="1297"/>
      <c r="D3069" s="1297" t="s">
        <v>937</v>
      </c>
      <c r="H3069" s="1399">
        <v>19629.23</v>
      </c>
      <c r="I3069" s="1399">
        <v>19629.23</v>
      </c>
    </row>
    <row r="3070" spans="2:9">
      <c r="B3070" s="1297"/>
      <c r="C3070" s="1297"/>
      <c r="D3070" s="1297" t="s">
        <v>938</v>
      </c>
      <c r="H3070" s="1399">
        <v>13288</v>
      </c>
      <c r="I3070" s="1399">
        <v>13288</v>
      </c>
    </row>
    <row r="3071" spans="2:9">
      <c r="B3071" s="1297"/>
      <c r="C3071" s="1297"/>
      <c r="D3071" s="1297" t="s">
        <v>1131</v>
      </c>
      <c r="E3071" s="1399">
        <v>604806</v>
      </c>
      <c r="I3071" s="1399">
        <v>604806</v>
      </c>
    </row>
    <row r="3072" spans="2:9">
      <c r="B3072" s="1297"/>
      <c r="C3072" s="1297"/>
      <c r="D3072" s="1297" t="s">
        <v>940</v>
      </c>
      <c r="E3072" s="1399">
        <v>654642.1</v>
      </c>
      <c r="I3072" s="1399">
        <v>654642.1</v>
      </c>
    </row>
    <row r="3073" spans="2:9">
      <c r="B3073" s="1297"/>
      <c r="C3073" s="1297"/>
      <c r="D3073" s="1297" t="s">
        <v>941</v>
      </c>
      <c r="E3073" s="1399">
        <v>297802.71999999997</v>
      </c>
      <c r="I3073" s="1399">
        <v>297802.71999999997</v>
      </c>
    </row>
    <row r="3074" spans="2:9">
      <c r="B3074" s="1297"/>
      <c r="C3074" s="1297"/>
      <c r="D3074" s="1297" t="s">
        <v>943</v>
      </c>
      <c r="E3074" s="1399">
        <v>0</v>
      </c>
      <c r="I3074" s="1399">
        <v>0</v>
      </c>
    </row>
    <row r="3075" spans="2:9">
      <c r="B3075" s="1297"/>
      <c r="C3075" s="1297"/>
      <c r="D3075" s="1297" t="s">
        <v>944</v>
      </c>
      <c r="E3075" s="1399">
        <v>2316498.1099999994</v>
      </c>
      <c r="I3075" s="1399">
        <v>2316498.1099999994</v>
      </c>
    </row>
    <row r="3076" spans="2:9">
      <c r="B3076" s="1297"/>
      <c r="C3076" s="1297"/>
      <c r="D3076" s="1297" t="s">
        <v>945</v>
      </c>
      <c r="E3076" s="1399">
        <v>734609.12</v>
      </c>
      <c r="I3076" s="1399">
        <v>734609.12</v>
      </c>
    </row>
    <row r="3077" spans="2:9">
      <c r="B3077" s="1297"/>
      <c r="C3077" s="1297"/>
      <c r="D3077" s="1297" t="s">
        <v>1214</v>
      </c>
      <c r="E3077" s="1399">
        <v>85666.21</v>
      </c>
      <c r="I3077" s="1399">
        <v>85666.21</v>
      </c>
    </row>
    <row r="3078" spans="2:9">
      <c r="B3078" s="1297"/>
      <c r="C3078" s="1297"/>
      <c r="D3078" s="1297" t="s">
        <v>947</v>
      </c>
      <c r="E3078" s="1399">
        <v>91691.74</v>
      </c>
      <c r="I3078" s="1399">
        <v>91691.74</v>
      </c>
    </row>
    <row r="3079" spans="2:9">
      <c r="B3079" s="1297"/>
      <c r="C3079" s="1297"/>
      <c r="D3079" s="1297" t="s">
        <v>948</v>
      </c>
      <c r="G3079" s="1399">
        <v>10997306.59</v>
      </c>
      <c r="I3079" s="1399">
        <v>10997306.59</v>
      </c>
    </row>
    <row r="3080" spans="2:9">
      <c r="B3080" s="1297"/>
      <c r="C3080" s="1297"/>
      <c r="D3080" s="1297" t="s">
        <v>1118</v>
      </c>
      <c r="G3080" s="1399">
        <v>278</v>
      </c>
      <c r="I3080" s="1399">
        <v>278</v>
      </c>
    </row>
    <row r="3081" spans="2:9">
      <c r="B3081" s="1297"/>
      <c r="C3081" s="1400" t="s">
        <v>1198</v>
      </c>
      <c r="D3081" s="1400"/>
      <c r="E3081" s="1401">
        <v>4785716</v>
      </c>
      <c r="F3081" s="1401">
        <v>8283105.0500000007</v>
      </c>
      <c r="G3081" s="1401">
        <v>10997584.59</v>
      </c>
      <c r="H3081" s="1401">
        <v>9185177.290000001</v>
      </c>
      <c r="I3081" s="1401">
        <v>33251582.930000003</v>
      </c>
    </row>
    <row r="3082" spans="2:9">
      <c r="B3082" s="1297" t="s">
        <v>1393</v>
      </c>
      <c r="C3082" s="1297" t="s">
        <v>1394</v>
      </c>
      <c r="D3082" s="1297" t="s">
        <v>906</v>
      </c>
      <c r="F3082" s="1399">
        <v>3249738.47</v>
      </c>
      <c r="I3082" s="1399">
        <v>3249738.47</v>
      </c>
    </row>
    <row r="3083" spans="2:9">
      <c r="B3083" s="1297"/>
      <c r="C3083" s="1297"/>
      <c r="D3083" s="1297" t="s">
        <v>952</v>
      </c>
      <c r="F3083" s="1399">
        <v>33616.629999999997</v>
      </c>
      <c r="I3083" s="1399">
        <v>33616.629999999997</v>
      </c>
    </row>
    <row r="3084" spans="2:9">
      <c r="B3084" s="1297"/>
      <c r="C3084" s="1297"/>
      <c r="D3084" s="1297" t="s">
        <v>907</v>
      </c>
      <c r="F3084" s="1399">
        <v>2002576.11</v>
      </c>
      <c r="I3084" s="1399">
        <v>2002576.11</v>
      </c>
    </row>
    <row r="3085" spans="2:9">
      <c r="B3085" s="1297"/>
      <c r="C3085" s="1297"/>
      <c r="D3085" s="1297" t="s">
        <v>908</v>
      </c>
      <c r="F3085" s="1399">
        <v>9992.16</v>
      </c>
      <c r="I3085" s="1399">
        <v>9992.16</v>
      </c>
    </row>
    <row r="3086" spans="2:9">
      <c r="B3086" s="1297"/>
      <c r="C3086" s="1297"/>
      <c r="D3086" s="1297" t="s">
        <v>909</v>
      </c>
      <c r="F3086" s="1399">
        <v>209091.53</v>
      </c>
      <c r="I3086" s="1399">
        <v>209091.53</v>
      </c>
    </row>
    <row r="3087" spans="2:9">
      <c r="B3087" s="1297"/>
      <c r="C3087" s="1297"/>
      <c r="D3087" s="1297" t="s">
        <v>910</v>
      </c>
      <c r="F3087" s="1399">
        <v>9773.0499999999993</v>
      </c>
      <c r="I3087" s="1399">
        <v>9773.0499999999993</v>
      </c>
    </row>
    <row r="3088" spans="2:9">
      <c r="B3088" s="1297"/>
      <c r="C3088" s="1297"/>
      <c r="D3088" s="1297" t="s">
        <v>1034</v>
      </c>
      <c r="F3088" s="1399">
        <v>108529.38999999998</v>
      </c>
      <c r="I3088" s="1399">
        <v>108529.38999999998</v>
      </c>
    </row>
    <row r="3089" spans="2:9">
      <c r="B3089" s="1297"/>
      <c r="C3089" s="1297"/>
      <c r="D3089" s="1297" t="s">
        <v>1035</v>
      </c>
      <c r="F3089" s="1399">
        <v>134381.51999999999</v>
      </c>
      <c r="I3089" s="1399">
        <v>134381.51999999999</v>
      </c>
    </row>
    <row r="3090" spans="2:9">
      <c r="B3090" s="1297"/>
      <c r="C3090" s="1297"/>
      <c r="D3090" s="1297" t="s">
        <v>1036</v>
      </c>
      <c r="F3090" s="1399">
        <v>33187.42</v>
      </c>
      <c r="I3090" s="1399">
        <v>33187.42</v>
      </c>
    </row>
    <row r="3091" spans="2:9">
      <c r="B3091" s="1297"/>
      <c r="C3091" s="1297"/>
      <c r="D3091" s="1297" t="s">
        <v>1037</v>
      </c>
      <c r="F3091" s="1399">
        <v>40116.33</v>
      </c>
      <c r="I3091" s="1399">
        <v>40116.33</v>
      </c>
    </row>
    <row r="3092" spans="2:9">
      <c r="B3092" s="1297"/>
      <c r="C3092" s="1297"/>
      <c r="D3092" s="1297" t="s">
        <v>1039</v>
      </c>
      <c r="F3092" s="1399">
        <v>38946.26</v>
      </c>
      <c r="I3092" s="1399">
        <v>38946.26</v>
      </c>
    </row>
    <row r="3093" spans="2:9">
      <c r="B3093" s="1297"/>
      <c r="C3093" s="1297"/>
      <c r="D3093" s="1297" t="s">
        <v>1040</v>
      </c>
      <c r="F3093" s="1399">
        <v>156251.72</v>
      </c>
      <c r="I3093" s="1399">
        <v>156251.72</v>
      </c>
    </row>
    <row r="3094" spans="2:9">
      <c r="B3094" s="1297"/>
      <c r="C3094" s="1297"/>
      <c r="D3094" s="1297" t="s">
        <v>1041</v>
      </c>
      <c r="F3094" s="1399">
        <v>13074.85</v>
      </c>
      <c r="I3094" s="1399">
        <v>13074.85</v>
      </c>
    </row>
    <row r="3095" spans="2:9">
      <c r="B3095" s="1297"/>
      <c r="C3095" s="1297"/>
      <c r="D3095" s="1297" t="s">
        <v>1042</v>
      </c>
      <c r="F3095" s="1399">
        <v>50704.51</v>
      </c>
      <c r="I3095" s="1399">
        <v>50704.51</v>
      </c>
    </row>
    <row r="3096" spans="2:9">
      <c r="B3096" s="1297"/>
      <c r="C3096" s="1297"/>
      <c r="D3096" s="1297" t="s">
        <v>953</v>
      </c>
      <c r="F3096" s="1399">
        <v>24686</v>
      </c>
      <c r="I3096" s="1399">
        <v>24686</v>
      </c>
    </row>
    <row r="3097" spans="2:9">
      <c r="B3097" s="1297"/>
      <c r="C3097" s="1297"/>
      <c r="D3097" s="1297" t="s">
        <v>985</v>
      </c>
      <c r="F3097" s="1399">
        <v>9992.31</v>
      </c>
      <c r="I3097" s="1399">
        <v>9992.31</v>
      </c>
    </row>
    <row r="3098" spans="2:9">
      <c r="B3098" s="1297"/>
      <c r="C3098" s="1297"/>
      <c r="D3098" s="1297" t="s">
        <v>1045</v>
      </c>
      <c r="F3098" s="1399">
        <v>193607.71</v>
      </c>
      <c r="I3098" s="1399">
        <v>193607.71</v>
      </c>
    </row>
    <row r="3099" spans="2:9">
      <c r="B3099" s="1297"/>
      <c r="C3099" s="1297"/>
      <c r="D3099" s="1297" t="s">
        <v>1046</v>
      </c>
      <c r="H3099" s="1399">
        <v>14292313</v>
      </c>
      <c r="I3099" s="1399">
        <v>14292313</v>
      </c>
    </row>
    <row r="3100" spans="2:9">
      <c r="B3100" s="1297"/>
      <c r="C3100" s="1297"/>
      <c r="D3100" s="1297" t="s">
        <v>1047</v>
      </c>
      <c r="H3100" s="1399">
        <v>466779</v>
      </c>
      <c r="I3100" s="1399">
        <v>466779</v>
      </c>
    </row>
    <row r="3101" spans="2:9">
      <c r="B3101" s="1297"/>
      <c r="C3101" s="1297"/>
      <c r="D3101" s="1297" t="s">
        <v>1048</v>
      </c>
      <c r="H3101" s="1399">
        <v>-1492121</v>
      </c>
      <c r="I3101" s="1399">
        <v>-1492121</v>
      </c>
    </row>
    <row r="3102" spans="2:9">
      <c r="B3102" s="1297"/>
      <c r="C3102" s="1297"/>
      <c r="D3102" s="1297" t="s">
        <v>932</v>
      </c>
      <c r="H3102" s="1399">
        <v>1277849</v>
      </c>
      <c r="I3102" s="1399">
        <v>1277849</v>
      </c>
    </row>
    <row r="3103" spans="2:9">
      <c r="B3103" s="1297"/>
      <c r="C3103" s="1297"/>
      <c r="D3103" s="1297" t="s">
        <v>955</v>
      </c>
      <c r="H3103" s="1399">
        <v>950323.81</v>
      </c>
      <c r="I3103" s="1399">
        <v>950323.81</v>
      </c>
    </row>
    <row r="3104" spans="2:9">
      <c r="B3104" s="1297"/>
      <c r="C3104" s="1297"/>
      <c r="D3104" s="1297" t="s">
        <v>934</v>
      </c>
      <c r="H3104" s="1399">
        <v>51616</v>
      </c>
      <c r="I3104" s="1399">
        <v>51616</v>
      </c>
    </row>
    <row r="3105" spans="2:9">
      <c r="B3105" s="1297"/>
      <c r="C3105" s="1297"/>
      <c r="D3105" s="1297" t="s">
        <v>1130</v>
      </c>
      <c r="H3105" s="1399">
        <v>1090303</v>
      </c>
      <c r="I3105" s="1399">
        <v>1090303</v>
      </c>
    </row>
    <row r="3106" spans="2:9">
      <c r="B3106" s="1297"/>
      <c r="C3106" s="1297"/>
      <c r="D3106" s="1297" t="s">
        <v>935</v>
      </c>
      <c r="H3106" s="1399">
        <v>358695.98000000004</v>
      </c>
      <c r="I3106" s="1399">
        <v>358695.98000000004</v>
      </c>
    </row>
    <row r="3107" spans="2:9">
      <c r="B3107" s="1297"/>
      <c r="C3107" s="1297"/>
      <c r="D3107" s="1297" t="s">
        <v>936</v>
      </c>
      <c r="H3107" s="1399">
        <v>46920.17</v>
      </c>
      <c r="I3107" s="1399">
        <v>46920.17</v>
      </c>
    </row>
    <row r="3108" spans="2:9">
      <c r="B3108" s="1297"/>
      <c r="C3108" s="1297"/>
      <c r="D3108" s="1297" t="s">
        <v>937</v>
      </c>
      <c r="H3108" s="1399">
        <v>13215.35</v>
      </c>
      <c r="I3108" s="1399">
        <v>13215.35</v>
      </c>
    </row>
    <row r="3109" spans="2:9">
      <c r="B3109" s="1297"/>
      <c r="C3109" s="1297"/>
      <c r="D3109" s="1297" t="s">
        <v>938</v>
      </c>
      <c r="H3109" s="1399">
        <v>15909</v>
      </c>
      <c r="I3109" s="1399">
        <v>15909</v>
      </c>
    </row>
    <row r="3110" spans="2:9">
      <c r="B3110" s="1297"/>
      <c r="C3110" s="1297"/>
      <c r="D3110" s="1297" t="s">
        <v>939</v>
      </c>
      <c r="H3110" s="1399">
        <v>146823.13</v>
      </c>
      <c r="I3110" s="1399">
        <v>146823.13</v>
      </c>
    </row>
    <row r="3111" spans="2:9">
      <c r="B3111" s="1297"/>
      <c r="C3111" s="1297"/>
      <c r="D3111" s="1297" t="s">
        <v>940</v>
      </c>
      <c r="E3111" s="1399">
        <v>929665.76</v>
      </c>
      <c r="I3111" s="1399">
        <v>929665.76</v>
      </c>
    </row>
    <row r="3112" spans="2:9">
      <c r="B3112" s="1297"/>
      <c r="C3112" s="1297"/>
      <c r="D3112" s="1297" t="s">
        <v>941</v>
      </c>
      <c r="E3112" s="1399">
        <v>298859.62</v>
      </c>
      <c r="I3112" s="1399">
        <v>298859.62</v>
      </c>
    </row>
    <row r="3113" spans="2:9">
      <c r="B3113" s="1297"/>
      <c r="C3113" s="1297"/>
      <c r="D3113" s="1297" t="s">
        <v>943</v>
      </c>
      <c r="E3113" s="1399">
        <v>15202.56</v>
      </c>
      <c r="I3113" s="1399">
        <v>15202.56</v>
      </c>
    </row>
    <row r="3114" spans="2:9">
      <c r="B3114" s="1297"/>
      <c r="C3114" s="1297"/>
      <c r="D3114" s="1297" t="s">
        <v>944</v>
      </c>
      <c r="E3114" s="1399">
        <v>1857877.8699999996</v>
      </c>
      <c r="I3114" s="1399">
        <v>1857877.8699999996</v>
      </c>
    </row>
    <row r="3115" spans="2:9">
      <c r="B3115" s="1297"/>
      <c r="C3115" s="1297"/>
      <c r="D3115" s="1297" t="s">
        <v>945</v>
      </c>
      <c r="E3115" s="1399">
        <v>1108010.6599999999</v>
      </c>
      <c r="I3115" s="1399">
        <v>1108010.6599999999</v>
      </c>
    </row>
    <row r="3116" spans="2:9">
      <c r="B3116" s="1297"/>
      <c r="C3116" s="1297"/>
      <c r="D3116" s="1297" t="s">
        <v>947</v>
      </c>
      <c r="E3116" s="1399">
        <v>78592.740000000005</v>
      </c>
      <c r="I3116" s="1399">
        <v>78592.740000000005</v>
      </c>
    </row>
    <row r="3117" spans="2:9">
      <c r="B3117" s="1297"/>
      <c r="C3117" s="1297"/>
      <c r="D3117" s="1297" t="s">
        <v>948</v>
      </c>
      <c r="G3117" s="1399">
        <v>1991949.73</v>
      </c>
      <c r="I3117" s="1399">
        <v>1991949.73</v>
      </c>
    </row>
    <row r="3118" spans="2:9">
      <c r="B3118" s="1297"/>
      <c r="C3118" s="1297"/>
      <c r="D3118" s="1297" t="s">
        <v>1118</v>
      </c>
      <c r="G3118" s="1399">
        <v>17273.55</v>
      </c>
      <c r="I3118" s="1399">
        <v>17273.55</v>
      </c>
    </row>
    <row r="3119" spans="2:9">
      <c r="B3119" s="1297"/>
      <c r="C3119" s="1400" t="s">
        <v>1395</v>
      </c>
      <c r="D3119" s="1400"/>
      <c r="E3119" s="1401">
        <v>4288209.21</v>
      </c>
      <c r="F3119" s="1401">
        <v>6318265.9699999979</v>
      </c>
      <c r="G3119" s="1401">
        <v>2009223.28</v>
      </c>
      <c r="H3119" s="1401">
        <v>17218626.440000001</v>
      </c>
      <c r="I3119" s="1401">
        <v>29834324.900000002</v>
      </c>
    </row>
    <row r="3120" spans="2:9">
      <c r="B3120" s="1297" t="s">
        <v>1396</v>
      </c>
      <c r="C3120" s="1297" t="s">
        <v>1397</v>
      </c>
      <c r="D3120" s="1297" t="s">
        <v>906</v>
      </c>
      <c r="F3120" s="1399">
        <v>5738790.25</v>
      </c>
      <c r="I3120" s="1399">
        <v>5738790.25</v>
      </c>
    </row>
    <row r="3121" spans="2:9">
      <c r="B3121" s="1297"/>
      <c r="C3121" s="1297"/>
      <c r="D3121" s="1297" t="s">
        <v>952</v>
      </c>
      <c r="F3121" s="1399">
        <v>8257.27</v>
      </c>
      <c r="I3121" s="1399">
        <v>8257.27</v>
      </c>
    </row>
    <row r="3122" spans="2:9">
      <c r="B3122" s="1297"/>
      <c r="C3122" s="1297"/>
      <c r="D3122" s="1297" t="s">
        <v>907</v>
      </c>
      <c r="F3122" s="1399">
        <v>1950911.97</v>
      </c>
      <c r="I3122" s="1399">
        <v>1950911.97</v>
      </c>
    </row>
    <row r="3123" spans="2:9">
      <c r="B3123" s="1297"/>
      <c r="C3123" s="1297"/>
      <c r="D3123" s="1297" t="s">
        <v>908</v>
      </c>
      <c r="F3123" s="1399">
        <v>25653.32</v>
      </c>
      <c r="I3123" s="1399">
        <v>25653.32</v>
      </c>
    </row>
    <row r="3124" spans="2:9">
      <c r="B3124" s="1297"/>
      <c r="C3124" s="1297"/>
      <c r="D3124" s="1297" t="s">
        <v>1003</v>
      </c>
      <c r="F3124" s="1399">
        <v>52800</v>
      </c>
      <c r="I3124" s="1399">
        <v>52800</v>
      </c>
    </row>
    <row r="3125" spans="2:9">
      <c r="B3125" s="1297"/>
      <c r="C3125" s="1297"/>
      <c r="D3125" s="1297" t="s">
        <v>1039</v>
      </c>
      <c r="F3125" s="1399">
        <v>26806.37</v>
      </c>
      <c r="I3125" s="1399">
        <v>26806.37</v>
      </c>
    </row>
    <row r="3126" spans="2:9">
      <c r="B3126" s="1297"/>
      <c r="C3126" s="1297"/>
      <c r="D3126" s="1297" t="s">
        <v>1040</v>
      </c>
      <c r="F3126" s="1399">
        <v>85133.86</v>
      </c>
      <c r="I3126" s="1399">
        <v>85133.86</v>
      </c>
    </row>
    <row r="3127" spans="2:9">
      <c r="B3127" s="1297"/>
      <c r="C3127" s="1297"/>
      <c r="D3127" s="1297" t="s">
        <v>1127</v>
      </c>
      <c r="F3127" s="1399">
        <v>10745.1</v>
      </c>
      <c r="I3127" s="1399">
        <v>10745.1</v>
      </c>
    </row>
    <row r="3128" spans="2:9">
      <c r="B3128" s="1297"/>
      <c r="C3128" s="1297"/>
      <c r="D3128" s="1297" t="s">
        <v>1041</v>
      </c>
      <c r="F3128" s="1399">
        <v>2121.0700000000002</v>
      </c>
      <c r="I3128" s="1399">
        <v>2121.0700000000002</v>
      </c>
    </row>
    <row r="3129" spans="2:9">
      <c r="B3129" s="1297"/>
      <c r="C3129" s="1297"/>
      <c r="D3129" s="1297" t="s">
        <v>1042</v>
      </c>
      <c r="F3129" s="1399">
        <v>48737.5</v>
      </c>
      <c r="I3129" s="1399">
        <v>48737.5</v>
      </c>
    </row>
    <row r="3130" spans="2:9">
      <c r="B3130" s="1297"/>
      <c r="C3130" s="1297"/>
      <c r="D3130" s="1297" t="s">
        <v>1043</v>
      </c>
      <c r="F3130" s="1399">
        <v>18000</v>
      </c>
      <c r="I3130" s="1399">
        <v>18000</v>
      </c>
    </row>
    <row r="3131" spans="2:9">
      <c r="B3131" s="1297"/>
      <c r="C3131" s="1297"/>
      <c r="D3131" s="1297" t="s">
        <v>986</v>
      </c>
      <c r="F3131" s="1399">
        <v>165284.18</v>
      </c>
      <c r="I3131" s="1399">
        <v>165284.18</v>
      </c>
    </row>
    <row r="3132" spans="2:9">
      <c r="B3132" s="1297"/>
      <c r="C3132" s="1297"/>
      <c r="D3132" s="1297" t="s">
        <v>1005</v>
      </c>
      <c r="F3132" s="1399">
        <v>248675.46999999997</v>
      </c>
      <c r="I3132" s="1399">
        <v>248675.46999999997</v>
      </c>
    </row>
    <row r="3133" spans="2:9">
      <c r="B3133" s="1297"/>
      <c r="C3133" s="1297"/>
      <c r="D3133" s="1297" t="s">
        <v>1045</v>
      </c>
      <c r="F3133" s="1399">
        <v>237529.34999999998</v>
      </c>
      <c r="I3133" s="1399">
        <v>237529.34999999998</v>
      </c>
    </row>
    <row r="3134" spans="2:9">
      <c r="B3134" s="1297"/>
      <c r="C3134" s="1297"/>
      <c r="D3134" s="1297" t="s">
        <v>1046</v>
      </c>
      <c r="H3134" s="1399">
        <v>14710896</v>
      </c>
      <c r="I3134" s="1399">
        <v>14710896</v>
      </c>
    </row>
    <row r="3135" spans="2:9">
      <c r="B3135" s="1297"/>
      <c r="C3135" s="1297"/>
      <c r="D3135" s="1297" t="s">
        <v>1047</v>
      </c>
      <c r="H3135" s="1399">
        <v>593694</v>
      </c>
      <c r="I3135" s="1399">
        <v>593694</v>
      </c>
    </row>
    <row r="3136" spans="2:9">
      <c r="B3136" s="1297"/>
      <c r="C3136" s="1297"/>
      <c r="D3136" s="1297" t="s">
        <v>1048</v>
      </c>
      <c r="H3136" s="1399">
        <v>-1976549</v>
      </c>
      <c r="I3136" s="1399">
        <v>-1976549</v>
      </c>
    </row>
    <row r="3137" spans="2:9">
      <c r="B3137" s="1297"/>
      <c r="C3137" s="1297"/>
      <c r="D3137" s="1297" t="s">
        <v>932</v>
      </c>
      <c r="H3137" s="1399">
        <v>1308675</v>
      </c>
      <c r="I3137" s="1399">
        <v>1308675</v>
      </c>
    </row>
    <row r="3138" spans="2:9">
      <c r="B3138" s="1297"/>
      <c r="C3138" s="1297"/>
      <c r="D3138" s="1297" t="s">
        <v>934</v>
      </c>
      <c r="H3138" s="1399">
        <v>54110</v>
      </c>
      <c r="I3138" s="1399">
        <v>54110</v>
      </c>
    </row>
    <row r="3139" spans="2:9">
      <c r="B3139" s="1297"/>
      <c r="C3139" s="1297"/>
      <c r="D3139" s="1297" t="s">
        <v>935</v>
      </c>
      <c r="H3139" s="1399">
        <v>377364</v>
      </c>
      <c r="I3139" s="1399">
        <v>377364</v>
      </c>
    </row>
    <row r="3140" spans="2:9">
      <c r="B3140" s="1297"/>
      <c r="C3140" s="1297"/>
      <c r="D3140" s="1297" t="s">
        <v>936</v>
      </c>
      <c r="H3140" s="1399">
        <v>52522.58</v>
      </c>
      <c r="I3140" s="1399">
        <v>52522.58</v>
      </c>
    </row>
    <row r="3141" spans="2:9">
      <c r="B3141" s="1297"/>
      <c r="C3141" s="1297"/>
      <c r="D3141" s="1297" t="s">
        <v>937</v>
      </c>
      <c r="H3141" s="1399">
        <v>980.13</v>
      </c>
      <c r="I3141" s="1399">
        <v>980.13</v>
      </c>
    </row>
    <row r="3142" spans="2:9">
      <c r="B3142" s="1297"/>
      <c r="C3142" s="1297"/>
      <c r="D3142" s="1297" t="s">
        <v>938</v>
      </c>
      <c r="H3142" s="1399">
        <v>19465</v>
      </c>
      <c r="I3142" s="1399">
        <v>19465</v>
      </c>
    </row>
    <row r="3143" spans="2:9">
      <c r="B3143" s="1297"/>
      <c r="C3143" s="1297"/>
      <c r="D3143" s="1297" t="s">
        <v>939</v>
      </c>
      <c r="H3143" s="1399">
        <v>853361.31</v>
      </c>
      <c r="I3143" s="1399">
        <v>853361.31</v>
      </c>
    </row>
    <row r="3144" spans="2:9">
      <c r="B3144" s="1297"/>
      <c r="C3144" s="1297"/>
      <c r="D3144" s="1297" t="s">
        <v>1131</v>
      </c>
      <c r="E3144" s="1399">
        <v>115943.84</v>
      </c>
      <c r="I3144" s="1399">
        <v>115943.84</v>
      </c>
    </row>
    <row r="3145" spans="2:9">
      <c r="B3145" s="1297"/>
      <c r="C3145" s="1297"/>
      <c r="D3145" s="1297" t="s">
        <v>940</v>
      </c>
      <c r="E3145" s="1399">
        <v>1091498.06</v>
      </c>
      <c r="I3145" s="1399">
        <v>1091498.06</v>
      </c>
    </row>
    <row r="3146" spans="2:9">
      <c r="B3146" s="1297"/>
      <c r="C3146" s="1297"/>
      <c r="D3146" s="1297" t="s">
        <v>941</v>
      </c>
      <c r="E3146" s="1399">
        <v>390970.82</v>
      </c>
      <c r="I3146" s="1399">
        <v>390970.82</v>
      </c>
    </row>
    <row r="3147" spans="2:9">
      <c r="B3147" s="1297"/>
      <c r="C3147" s="1297"/>
      <c r="D3147" s="1297" t="s">
        <v>944</v>
      </c>
      <c r="E3147" s="1399">
        <v>2121960.71</v>
      </c>
      <c r="I3147" s="1399">
        <v>2121960.71</v>
      </c>
    </row>
    <row r="3148" spans="2:9">
      <c r="B3148" s="1297"/>
      <c r="C3148" s="1297"/>
      <c r="D3148" s="1297" t="s">
        <v>945</v>
      </c>
      <c r="E3148" s="1399">
        <v>1599701.8499999999</v>
      </c>
      <c r="I3148" s="1399">
        <v>1599701.8499999999</v>
      </c>
    </row>
    <row r="3149" spans="2:9">
      <c r="B3149" s="1297"/>
      <c r="C3149" s="1297"/>
      <c r="D3149" s="1297" t="s">
        <v>946</v>
      </c>
      <c r="E3149" s="1399">
        <v>0</v>
      </c>
      <c r="I3149" s="1399">
        <v>0</v>
      </c>
    </row>
    <row r="3150" spans="2:9">
      <c r="B3150" s="1297"/>
      <c r="C3150" s="1297"/>
      <c r="D3150" s="1297" t="s">
        <v>947</v>
      </c>
      <c r="E3150" s="1399">
        <v>97870.2</v>
      </c>
      <c r="I3150" s="1399">
        <v>97870.2</v>
      </c>
    </row>
    <row r="3151" spans="2:9">
      <c r="B3151" s="1297"/>
      <c r="C3151" s="1297"/>
      <c r="D3151" s="1297" t="s">
        <v>948</v>
      </c>
      <c r="G3151" s="1399">
        <v>2713153.1199999996</v>
      </c>
      <c r="I3151" s="1399">
        <v>2713153.1199999996</v>
      </c>
    </row>
    <row r="3152" spans="2:9">
      <c r="B3152" s="1297"/>
      <c r="C3152" s="1400" t="s">
        <v>1398</v>
      </c>
      <c r="D3152" s="1400"/>
      <c r="E3152" s="1401">
        <v>5417945.4800000004</v>
      </c>
      <c r="F3152" s="1401">
        <v>8619445.709999999</v>
      </c>
      <c r="G3152" s="1401">
        <v>2713153.1199999996</v>
      </c>
      <c r="H3152" s="1401">
        <v>15994519.020000001</v>
      </c>
      <c r="I3152" s="1401">
        <v>32745063.329999998</v>
      </c>
    </row>
    <row r="3153" spans="2:9">
      <c r="B3153" s="1297" t="s">
        <v>1399</v>
      </c>
      <c r="C3153" s="1297" t="s">
        <v>1400</v>
      </c>
      <c r="D3153" s="1297" t="s">
        <v>906</v>
      </c>
      <c r="F3153" s="1399">
        <v>2577197.7000000002</v>
      </c>
      <c r="I3153" s="1399">
        <v>2577197.7000000002</v>
      </c>
    </row>
    <row r="3154" spans="2:9">
      <c r="B3154" s="1297"/>
      <c r="C3154" s="1297"/>
      <c r="D3154" s="1297" t="s">
        <v>952</v>
      </c>
      <c r="F3154" s="1399">
        <v>16773.09</v>
      </c>
      <c r="I3154" s="1399">
        <v>16773.09</v>
      </c>
    </row>
    <row r="3155" spans="2:9">
      <c r="B3155" s="1297"/>
      <c r="C3155" s="1297"/>
      <c r="D3155" s="1297" t="s">
        <v>907</v>
      </c>
      <c r="F3155" s="1399">
        <v>837857.8</v>
      </c>
      <c r="I3155" s="1399">
        <v>837857.8</v>
      </c>
    </row>
    <row r="3156" spans="2:9">
      <c r="B3156" s="1297"/>
      <c r="C3156" s="1297"/>
      <c r="D3156" s="1297" t="s">
        <v>908</v>
      </c>
      <c r="F3156" s="1399">
        <v>16005.11</v>
      </c>
      <c r="I3156" s="1399">
        <v>16005.11</v>
      </c>
    </row>
    <row r="3157" spans="2:9">
      <c r="B3157" s="1297"/>
      <c r="C3157" s="1297"/>
      <c r="D3157" s="1297" t="s">
        <v>910</v>
      </c>
      <c r="F3157" s="1399">
        <v>71404.63</v>
      </c>
      <c r="I3157" s="1399">
        <v>71404.63</v>
      </c>
    </row>
    <row r="3158" spans="2:9">
      <c r="B3158" s="1297"/>
      <c r="C3158" s="1297"/>
      <c r="D3158" s="1297" t="s">
        <v>1034</v>
      </c>
      <c r="F3158" s="1399">
        <v>60854.400000000001</v>
      </c>
      <c r="I3158" s="1399">
        <v>60854.400000000001</v>
      </c>
    </row>
    <row r="3159" spans="2:9">
      <c r="B3159" s="1297"/>
      <c r="C3159" s="1297"/>
      <c r="D3159" s="1297" t="s">
        <v>1035</v>
      </c>
      <c r="F3159" s="1399">
        <v>130317.67</v>
      </c>
      <c r="I3159" s="1399">
        <v>130317.67</v>
      </c>
    </row>
    <row r="3160" spans="2:9">
      <c r="B3160" s="1297"/>
      <c r="C3160" s="1297"/>
      <c r="D3160" s="1297" t="s">
        <v>1036</v>
      </c>
      <c r="F3160" s="1399">
        <v>56020.85</v>
      </c>
      <c r="I3160" s="1399">
        <v>56020.85</v>
      </c>
    </row>
    <row r="3161" spans="2:9">
      <c r="B3161" s="1297"/>
      <c r="C3161" s="1297"/>
      <c r="D3161" s="1297" t="s">
        <v>1038</v>
      </c>
      <c r="F3161" s="1399">
        <v>2400</v>
      </c>
      <c r="I3161" s="1399">
        <v>2400</v>
      </c>
    </row>
    <row r="3162" spans="2:9">
      <c r="B3162" s="1297"/>
      <c r="C3162" s="1297"/>
      <c r="D3162" s="1297" t="s">
        <v>1003</v>
      </c>
      <c r="F3162" s="1399">
        <v>19046.86</v>
      </c>
      <c r="I3162" s="1399">
        <v>19046.86</v>
      </c>
    </row>
    <row r="3163" spans="2:9">
      <c r="B3163" s="1297"/>
      <c r="C3163" s="1297"/>
      <c r="D3163" s="1297" t="s">
        <v>1039</v>
      </c>
      <c r="F3163" s="1399">
        <v>17720.830000000002</v>
      </c>
      <c r="I3163" s="1399">
        <v>17720.830000000002</v>
      </c>
    </row>
    <row r="3164" spans="2:9">
      <c r="B3164" s="1297"/>
      <c r="C3164" s="1297"/>
      <c r="D3164" s="1297" t="s">
        <v>1041</v>
      </c>
      <c r="F3164" s="1399">
        <v>12104.900000000001</v>
      </c>
      <c r="I3164" s="1399">
        <v>12104.900000000001</v>
      </c>
    </row>
    <row r="3165" spans="2:9">
      <c r="B3165" s="1297"/>
      <c r="C3165" s="1297"/>
      <c r="D3165" s="1297" t="s">
        <v>1042</v>
      </c>
      <c r="F3165" s="1399">
        <v>15871.1</v>
      </c>
      <c r="I3165" s="1399">
        <v>15871.1</v>
      </c>
    </row>
    <row r="3166" spans="2:9">
      <c r="B3166" s="1297"/>
      <c r="C3166" s="1297"/>
      <c r="D3166" s="1297" t="s">
        <v>1043</v>
      </c>
      <c r="F3166" s="1399">
        <v>4595</v>
      </c>
      <c r="I3166" s="1399">
        <v>4595</v>
      </c>
    </row>
    <row r="3167" spans="2:9">
      <c r="B3167" s="1297"/>
      <c r="C3167" s="1297"/>
      <c r="D3167" s="1297" t="s">
        <v>990</v>
      </c>
      <c r="F3167" s="1399">
        <v>500</v>
      </c>
      <c r="I3167" s="1399">
        <v>500</v>
      </c>
    </row>
    <row r="3168" spans="2:9">
      <c r="B3168" s="1297"/>
      <c r="C3168" s="1297"/>
      <c r="D3168" s="1297" t="s">
        <v>1044</v>
      </c>
      <c r="F3168" s="1399">
        <v>63731</v>
      </c>
      <c r="I3168" s="1399">
        <v>63731</v>
      </c>
    </row>
    <row r="3169" spans="2:9">
      <c r="B3169" s="1297"/>
      <c r="C3169" s="1297"/>
      <c r="D3169" s="1297" t="s">
        <v>1045</v>
      </c>
      <c r="F3169" s="1399">
        <v>14542.67</v>
      </c>
      <c r="I3169" s="1399">
        <v>14542.67</v>
      </c>
    </row>
    <row r="3170" spans="2:9">
      <c r="B3170" s="1297"/>
      <c r="C3170" s="1297"/>
      <c r="D3170" s="1297" t="s">
        <v>1046</v>
      </c>
      <c r="H3170" s="1399">
        <v>7530946</v>
      </c>
      <c r="I3170" s="1399">
        <v>7530946</v>
      </c>
    </row>
    <row r="3171" spans="2:9">
      <c r="B3171" s="1297"/>
      <c r="C3171" s="1297"/>
      <c r="D3171" s="1297" t="s">
        <v>1047</v>
      </c>
      <c r="H3171" s="1399">
        <v>303797</v>
      </c>
      <c r="I3171" s="1399">
        <v>303797</v>
      </c>
    </row>
    <row r="3172" spans="2:9">
      <c r="B3172" s="1297"/>
      <c r="C3172" s="1297"/>
      <c r="D3172" s="1297" t="s">
        <v>1048</v>
      </c>
      <c r="H3172" s="1399">
        <v>-1031650</v>
      </c>
      <c r="I3172" s="1399">
        <v>-1031650</v>
      </c>
    </row>
    <row r="3173" spans="2:9">
      <c r="B3173" s="1297"/>
      <c r="C3173" s="1297"/>
      <c r="D3173" s="1297" t="s">
        <v>932</v>
      </c>
      <c r="H3173" s="1399">
        <v>470712</v>
      </c>
      <c r="I3173" s="1399">
        <v>470712</v>
      </c>
    </row>
    <row r="3174" spans="2:9">
      <c r="B3174" s="1297"/>
      <c r="C3174" s="1297"/>
      <c r="D3174" s="1297" t="s">
        <v>955</v>
      </c>
      <c r="H3174" s="1399">
        <v>542671.35</v>
      </c>
      <c r="I3174" s="1399">
        <v>542671.35</v>
      </c>
    </row>
    <row r="3175" spans="2:9">
      <c r="B3175" s="1297"/>
      <c r="C3175" s="1297"/>
      <c r="D3175" s="1297" t="s">
        <v>934</v>
      </c>
      <c r="H3175" s="1399">
        <v>29326</v>
      </c>
      <c r="I3175" s="1399">
        <v>29326</v>
      </c>
    </row>
    <row r="3176" spans="2:9">
      <c r="B3176" s="1297"/>
      <c r="C3176" s="1297"/>
      <c r="D3176" s="1297" t="s">
        <v>935</v>
      </c>
      <c r="H3176" s="1399">
        <v>220769.79</v>
      </c>
      <c r="I3176" s="1399">
        <v>220769.79</v>
      </c>
    </row>
    <row r="3177" spans="2:9">
      <c r="B3177" s="1297"/>
      <c r="C3177" s="1297"/>
      <c r="D3177" s="1297" t="s">
        <v>936</v>
      </c>
      <c r="H3177" s="1399">
        <v>26961.59</v>
      </c>
      <c r="I3177" s="1399">
        <v>26961.59</v>
      </c>
    </row>
    <row r="3178" spans="2:9">
      <c r="B3178" s="1297"/>
      <c r="C3178" s="1297"/>
      <c r="D3178" s="1297" t="s">
        <v>937</v>
      </c>
      <c r="H3178" s="1399">
        <v>6995.75</v>
      </c>
      <c r="I3178" s="1399">
        <v>6995.75</v>
      </c>
    </row>
    <row r="3179" spans="2:9">
      <c r="B3179" s="1297"/>
      <c r="C3179" s="1297"/>
      <c r="D3179" s="1297" t="s">
        <v>938</v>
      </c>
      <c r="H3179" s="1399">
        <v>8984</v>
      </c>
      <c r="I3179" s="1399">
        <v>8984</v>
      </c>
    </row>
    <row r="3180" spans="2:9">
      <c r="B3180" s="1297"/>
      <c r="C3180" s="1297"/>
      <c r="D3180" s="1297" t="s">
        <v>939</v>
      </c>
      <c r="H3180" s="1399">
        <v>276835.15000000002</v>
      </c>
      <c r="I3180" s="1399">
        <v>276835.15000000002</v>
      </c>
    </row>
    <row r="3181" spans="2:9">
      <c r="B3181" s="1297"/>
      <c r="C3181" s="1297"/>
      <c r="D3181" s="1297" t="s">
        <v>1131</v>
      </c>
      <c r="E3181" s="1399">
        <v>56317.07</v>
      </c>
      <c r="I3181" s="1399">
        <v>56317.07</v>
      </c>
    </row>
    <row r="3182" spans="2:9">
      <c r="B3182" s="1297"/>
      <c r="C3182" s="1297"/>
      <c r="D3182" s="1297" t="s">
        <v>940</v>
      </c>
      <c r="E3182" s="1399">
        <v>513823.3</v>
      </c>
      <c r="I3182" s="1399">
        <v>513823.3</v>
      </c>
    </row>
    <row r="3183" spans="2:9">
      <c r="B3183" s="1297"/>
      <c r="C3183" s="1297"/>
      <c r="D3183" s="1297" t="s">
        <v>941</v>
      </c>
      <c r="E3183" s="1399">
        <v>233020.08000000002</v>
      </c>
      <c r="I3183" s="1399">
        <v>233020.08000000002</v>
      </c>
    </row>
    <row r="3184" spans="2:9">
      <c r="B3184" s="1297"/>
      <c r="C3184" s="1297"/>
      <c r="D3184" s="1297" t="s">
        <v>942</v>
      </c>
      <c r="E3184" s="1399">
        <v>7964.32</v>
      </c>
      <c r="I3184" s="1399">
        <v>7964.32</v>
      </c>
    </row>
    <row r="3185" spans="2:9">
      <c r="B3185" s="1297"/>
      <c r="C3185" s="1297"/>
      <c r="D3185" s="1297" t="s">
        <v>943</v>
      </c>
      <c r="E3185" s="1399">
        <v>3560.14</v>
      </c>
      <c r="I3185" s="1399">
        <v>3560.14</v>
      </c>
    </row>
    <row r="3186" spans="2:9">
      <c r="B3186" s="1297"/>
      <c r="C3186" s="1297"/>
      <c r="D3186" s="1297" t="s">
        <v>944</v>
      </c>
      <c r="E3186" s="1399">
        <v>1437993.22</v>
      </c>
      <c r="I3186" s="1399">
        <v>1437993.22</v>
      </c>
    </row>
    <row r="3187" spans="2:9">
      <c r="B3187" s="1297"/>
      <c r="C3187" s="1297"/>
      <c r="D3187" s="1297" t="s">
        <v>945</v>
      </c>
      <c r="E3187" s="1399">
        <v>1243626.5899999999</v>
      </c>
      <c r="I3187" s="1399">
        <v>1243626.5899999999</v>
      </c>
    </row>
    <row r="3188" spans="2:9">
      <c r="B3188" s="1297"/>
      <c r="C3188" s="1297"/>
      <c r="D3188" s="1297" t="s">
        <v>946</v>
      </c>
      <c r="E3188" s="1399">
        <v>19822.5</v>
      </c>
      <c r="I3188" s="1399">
        <v>19822.5</v>
      </c>
    </row>
    <row r="3189" spans="2:9">
      <c r="B3189" s="1297"/>
      <c r="C3189" s="1297"/>
      <c r="D3189" s="1297" t="s">
        <v>947</v>
      </c>
      <c r="E3189" s="1399">
        <v>62752.649999999994</v>
      </c>
      <c r="I3189" s="1399">
        <v>62752.649999999994</v>
      </c>
    </row>
    <row r="3190" spans="2:9">
      <c r="B3190" s="1297"/>
      <c r="C3190" s="1297"/>
      <c r="D3190" s="1297" t="s">
        <v>948</v>
      </c>
      <c r="G3190" s="1399">
        <v>89174.12000000001</v>
      </c>
      <c r="I3190" s="1399">
        <v>89174.12000000001</v>
      </c>
    </row>
    <row r="3191" spans="2:9">
      <c r="B3191" s="1297"/>
      <c r="C3191" s="1297"/>
      <c r="D3191" s="1297" t="s">
        <v>956</v>
      </c>
      <c r="G3191" s="1399">
        <v>600</v>
      </c>
      <c r="I3191" s="1399">
        <v>600</v>
      </c>
    </row>
    <row r="3192" spans="2:9">
      <c r="B3192" s="1297"/>
      <c r="C3192" s="1297"/>
      <c r="D3192" s="1297" t="s">
        <v>1118</v>
      </c>
      <c r="G3192" s="1399">
        <v>48257.32</v>
      </c>
      <c r="I3192" s="1399">
        <v>48257.32</v>
      </c>
    </row>
    <row r="3193" spans="2:9">
      <c r="B3193" s="1297"/>
      <c r="C3193" s="1400" t="s">
        <v>1401</v>
      </c>
      <c r="D3193" s="1400"/>
      <c r="E3193" s="1401">
        <v>3578879.8699999996</v>
      </c>
      <c r="F3193" s="1401">
        <v>3916943.6099999994</v>
      </c>
      <c r="G3193" s="1401">
        <v>138031.44</v>
      </c>
      <c r="H3193" s="1401">
        <v>8386348.6299999999</v>
      </c>
      <c r="I3193" s="1401">
        <v>16020203.550000001</v>
      </c>
    </row>
    <row r="3194" spans="2:9">
      <c r="B3194" s="1297" t="s">
        <v>1402</v>
      </c>
      <c r="C3194" s="1297" t="s">
        <v>1403</v>
      </c>
      <c r="D3194" s="1297" t="s">
        <v>906</v>
      </c>
      <c r="F3194" s="1399">
        <v>2140303.6</v>
      </c>
      <c r="I3194" s="1399">
        <v>2140303.6</v>
      </c>
    </row>
    <row r="3195" spans="2:9">
      <c r="B3195" s="1297"/>
      <c r="C3195" s="1297"/>
      <c r="D3195" s="1297" t="s">
        <v>952</v>
      </c>
      <c r="F3195" s="1399">
        <v>17584.55</v>
      </c>
      <c r="I3195" s="1399">
        <v>17584.55</v>
      </c>
    </row>
    <row r="3196" spans="2:9">
      <c r="B3196" s="1297"/>
      <c r="C3196" s="1297"/>
      <c r="D3196" s="1297" t="s">
        <v>907</v>
      </c>
      <c r="F3196" s="1399">
        <v>623712.53</v>
      </c>
      <c r="I3196" s="1399">
        <v>623712.53</v>
      </c>
    </row>
    <row r="3197" spans="2:9">
      <c r="B3197" s="1297"/>
      <c r="C3197" s="1297"/>
      <c r="D3197" s="1297" t="s">
        <v>1035</v>
      </c>
      <c r="F3197" s="1399">
        <v>134366.18</v>
      </c>
      <c r="I3197" s="1399">
        <v>134366.18</v>
      </c>
    </row>
    <row r="3198" spans="2:9">
      <c r="B3198" s="1297"/>
      <c r="C3198" s="1297"/>
      <c r="D3198" s="1297" t="s">
        <v>1039</v>
      </c>
      <c r="F3198" s="1399">
        <v>6541.79</v>
      </c>
      <c r="I3198" s="1399">
        <v>6541.79</v>
      </c>
    </row>
    <row r="3199" spans="2:9">
      <c r="B3199" s="1297"/>
      <c r="C3199" s="1297"/>
      <c r="D3199" s="1297" t="s">
        <v>1041</v>
      </c>
      <c r="F3199" s="1399">
        <v>58372.569999999992</v>
      </c>
      <c r="I3199" s="1399">
        <v>58372.569999999992</v>
      </c>
    </row>
    <row r="3200" spans="2:9">
      <c r="B3200" s="1297"/>
      <c r="C3200" s="1297"/>
      <c r="D3200" s="1297" t="s">
        <v>1042</v>
      </c>
      <c r="F3200" s="1399">
        <v>22419.75</v>
      </c>
      <c r="I3200" s="1399">
        <v>22419.75</v>
      </c>
    </row>
    <row r="3201" spans="2:9">
      <c r="B3201" s="1297"/>
      <c r="C3201" s="1297"/>
      <c r="D3201" s="1297" t="s">
        <v>986</v>
      </c>
      <c r="F3201" s="1399">
        <v>225100.71</v>
      </c>
      <c r="I3201" s="1399">
        <v>225100.71</v>
      </c>
    </row>
    <row r="3202" spans="2:9">
      <c r="B3202" s="1297"/>
      <c r="C3202" s="1297"/>
      <c r="D3202" s="1297" t="s">
        <v>1045</v>
      </c>
      <c r="F3202" s="1399">
        <v>383680.69</v>
      </c>
      <c r="I3202" s="1399">
        <v>383680.69</v>
      </c>
    </row>
    <row r="3203" spans="2:9">
      <c r="B3203" s="1297"/>
      <c r="C3203" s="1297"/>
      <c r="D3203" s="1297" t="s">
        <v>1046</v>
      </c>
      <c r="H3203" s="1399">
        <v>6149451</v>
      </c>
      <c r="I3203" s="1399">
        <v>6149451</v>
      </c>
    </row>
    <row r="3204" spans="2:9">
      <c r="B3204" s="1297"/>
      <c r="C3204" s="1297"/>
      <c r="D3204" s="1297" t="s">
        <v>1129</v>
      </c>
      <c r="H3204" s="1399">
        <v>-813844</v>
      </c>
      <c r="I3204" s="1399">
        <v>-813844</v>
      </c>
    </row>
    <row r="3205" spans="2:9">
      <c r="B3205" s="1297"/>
      <c r="C3205" s="1297"/>
      <c r="D3205" s="1297" t="s">
        <v>1047</v>
      </c>
      <c r="H3205" s="1399">
        <v>511716</v>
      </c>
      <c r="I3205" s="1399">
        <v>511716</v>
      </c>
    </row>
    <row r="3206" spans="2:9">
      <c r="B3206" s="1297"/>
      <c r="C3206" s="1297"/>
      <c r="D3206" s="1297" t="s">
        <v>1048</v>
      </c>
      <c r="H3206" s="1399">
        <v>-665903</v>
      </c>
      <c r="I3206" s="1399">
        <v>-665903</v>
      </c>
    </row>
    <row r="3207" spans="2:9">
      <c r="B3207" s="1297"/>
      <c r="C3207" s="1297"/>
      <c r="D3207" s="1297" t="s">
        <v>932</v>
      </c>
      <c r="H3207" s="1399">
        <v>450308</v>
      </c>
      <c r="I3207" s="1399">
        <v>450308</v>
      </c>
    </row>
    <row r="3208" spans="2:9">
      <c r="B3208" s="1297"/>
      <c r="C3208" s="1297"/>
      <c r="D3208" s="1297" t="s">
        <v>955</v>
      </c>
      <c r="H3208" s="1399">
        <v>394794.73</v>
      </c>
      <c r="I3208" s="1399">
        <v>394794.73</v>
      </c>
    </row>
    <row r="3209" spans="2:9">
      <c r="B3209" s="1297"/>
      <c r="C3209" s="1297"/>
      <c r="D3209" s="1297" t="s">
        <v>934</v>
      </c>
      <c r="H3209" s="1399">
        <v>24266</v>
      </c>
      <c r="I3209" s="1399">
        <v>24266</v>
      </c>
    </row>
    <row r="3210" spans="2:9">
      <c r="B3210" s="1297"/>
      <c r="C3210" s="1297"/>
      <c r="D3210" s="1297" t="s">
        <v>935</v>
      </c>
      <c r="H3210" s="1399">
        <v>316970.84999999998</v>
      </c>
      <c r="I3210" s="1399">
        <v>316970.84999999998</v>
      </c>
    </row>
    <row r="3211" spans="2:9">
      <c r="B3211" s="1297"/>
      <c r="C3211" s="1297"/>
      <c r="D3211" s="1297" t="s">
        <v>936</v>
      </c>
      <c r="H3211" s="1399">
        <v>24860.69</v>
      </c>
      <c r="I3211" s="1399">
        <v>24860.69</v>
      </c>
    </row>
    <row r="3212" spans="2:9">
      <c r="B3212" s="1297"/>
      <c r="C3212" s="1297"/>
      <c r="D3212" s="1297" t="s">
        <v>937</v>
      </c>
      <c r="H3212" s="1399">
        <v>13523.48</v>
      </c>
      <c r="I3212" s="1399">
        <v>13523.48</v>
      </c>
    </row>
    <row r="3213" spans="2:9">
      <c r="B3213" s="1297"/>
      <c r="C3213" s="1297"/>
      <c r="D3213" s="1297" t="s">
        <v>938</v>
      </c>
      <c r="H3213" s="1399">
        <v>7112</v>
      </c>
      <c r="I3213" s="1399">
        <v>7112</v>
      </c>
    </row>
    <row r="3214" spans="2:9">
      <c r="B3214" s="1297"/>
      <c r="C3214" s="1297"/>
      <c r="D3214" s="1297" t="s">
        <v>939</v>
      </c>
      <c r="H3214" s="1399">
        <v>106983.5</v>
      </c>
      <c r="I3214" s="1399">
        <v>106983.5</v>
      </c>
    </row>
    <row r="3215" spans="2:9">
      <c r="B3215" s="1297"/>
      <c r="C3215" s="1297"/>
      <c r="D3215" s="1297" t="s">
        <v>940</v>
      </c>
      <c r="E3215" s="1399">
        <v>458187</v>
      </c>
      <c r="I3215" s="1399">
        <v>458187</v>
      </c>
    </row>
    <row r="3216" spans="2:9">
      <c r="B3216" s="1297"/>
      <c r="C3216" s="1297"/>
      <c r="D3216" s="1297" t="s">
        <v>941</v>
      </c>
      <c r="E3216" s="1399">
        <v>237880.84</v>
      </c>
      <c r="I3216" s="1399">
        <v>237880.84</v>
      </c>
    </row>
    <row r="3217" spans="2:9">
      <c r="B3217" s="1297"/>
      <c r="C3217" s="1297"/>
      <c r="D3217" s="1297" t="s">
        <v>943</v>
      </c>
      <c r="E3217" s="1399">
        <v>8466.34</v>
      </c>
      <c r="I3217" s="1399">
        <v>8466.34</v>
      </c>
    </row>
    <row r="3218" spans="2:9">
      <c r="B3218" s="1297"/>
      <c r="C3218" s="1297"/>
      <c r="D3218" s="1297" t="s">
        <v>944</v>
      </c>
      <c r="E3218" s="1399">
        <v>1439818.83</v>
      </c>
      <c r="I3218" s="1399">
        <v>1439818.83</v>
      </c>
    </row>
    <row r="3219" spans="2:9">
      <c r="B3219" s="1297"/>
      <c r="C3219" s="1297"/>
      <c r="D3219" s="1297" t="s">
        <v>945</v>
      </c>
      <c r="E3219" s="1399">
        <v>667562.22</v>
      </c>
      <c r="I3219" s="1399">
        <v>667562.22</v>
      </c>
    </row>
    <row r="3220" spans="2:9">
      <c r="B3220" s="1297"/>
      <c r="C3220" s="1297"/>
      <c r="D3220" s="1297" t="s">
        <v>947</v>
      </c>
      <c r="E3220" s="1399">
        <v>36962.769999999997</v>
      </c>
      <c r="I3220" s="1399">
        <v>36962.769999999997</v>
      </c>
    </row>
    <row r="3221" spans="2:9">
      <c r="B3221" s="1297"/>
      <c r="C3221" s="1297"/>
      <c r="D3221" s="1297" t="s">
        <v>948</v>
      </c>
      <c r="G3221" s="1399">
        <v>0</v>
      </c>
      <c r="I3221" s="1399">
        <v>0</v>
      </c>
    </row>
    <row r="3222" spans="2:9">
      <c r="B3222" s="1297"/>
      <c r="C3222" s="1400" t="s">
        <v>1404</v>
      </c>
      <c r="D3222" s="1400"/>
      <c r="E3222" s="1401">
        <v>2848877.9999999995</v>
      </c>
      <c r="F3222" s="1401">
        <v>3612082.3699999996</v>
      </c>
      <c r="G3222" s="1401">
        <v>0</v>
      </c>
      <c r="H3222" s="1401">
        <v>6520239.2500000009</v>
      </c>
      <c r="I3222" s="1401">
        <v>12981199.619999999</v>
      </c>
    </row>
    <row r="3223" spans="2:9">
      <c r="B3223" s="1297" t="s">
        <v>1405</v>
      </c>
      <c r="C3223" s="1297" t="s">
        <v>1406</v>
      </c>
      <c r="D3223" s="1297" t="s">
        <v>906</v>
      </c>
      <c r="F3223" s="1399">
        <v>12702990.75</v>
      </c>
      <c r="I3223" s="1399">
        <v>12702990.75</v>
      </c>
    </row>
    <row r="3224" spans="2:9">
      <c r="B3224" s="1297"/>
      <c r="C3224" s="1297"/>
      <c r="D3224" s="1297" t="s">
        <v>952</v>
      </c>
      <c r="F3224" s="1399">
        <v>93323.55</v>
      </c>
      <c r="I3224" s="1399">
        <v>93323.55</v>
      </c>
    </row>
    <row r="3225" spans="2:9">
      <c r="B3225" s="1297"/>
      <c r="C3225" s="1297"/>
      <c r="D3225" s="1297" t="s">
        <v>907</v>
      </c>
      <c r="F3225" s="1399">
        <v>2500614.2200000002</v>
      </c>
      <c r="I3225" s="1399">
        <v>2500614.2200000002</v>
      </c>
    </row>
    <row r="3226" spans="2:9">
      <c r="B3226" s="1297"/>
      <c r="C3226" s="1297"/>
      <c r="D3226" s="1297" t="s">
        <v>908</v>
      </c>
      <c r="F3226" s="1399">
        <v>27294.12</v>
      </c>
      <c r="I3226" s="1399">
        <v>27294.12</v>
      </c>
    </row>
    <row r="3227" spans="2:9">
      <c r="B3227" s="1297"/>
      <c r="C3227" s="1297"/>
      <c r="D3227" s="1297" t="s">
        <v>909</v>
      </c>
      <c r="F3227" s="1399">
        <v>215902.04</v>
      </c>
      <c r="I3227" s="1399">
        <v>215902.04</v>
      </c>
    </row>
    <row r="3228" spans="2:9">
      <c r="B3228" s="1297"/>
      <c r="C3228" s="1297"/>
      <c r="D3228" s="1297" t="s">
        <v>910</v>
      </c>
      <c r="F3228" s="1399">
        <v>182470.65</v>
      </c>
      <c r="I3228" s="1399">
        <v>182470.65</v>
      </c>
    </row>
    <row r="3229" spans="2:9">
      <c r="B3229" s="1297"/>
      <c r="C3229" s="1297"/>
      <c r="D3229" s="1297" t="s">
        <v>1034</v>
      </c>
      <c r="F3229" s="1399">
        <v>146221.60000000003</v>
      </c>
      <c r="I3229" s="1399">
        <v>146221.60000000003</v>
      </c>
    </row>
    <row r="3230" spans="2:9">
      <c r="B3230" s="1297"/>
      <c r="C3230" s="1297"/>
      <c r="D3230" s="1297" t="s">
        <v>1035</v>
      </c>
      <c r="F3230" s="1399">
        <v>575542.12</v>
      </c>
      <c r="I3230" s="1399">
        <v>575542.12</v>
      </c>
    </row>
    <row r="3231" spans="2:9">
      <c r="B3231" s="1297"/>
      <c r="C3231" s="1297"/>
      <c r="D3231" s="1297" t="s">
        <v>1036</v>
      </c>
      <c r="F3231" s="1399">
        <v>108925.66</v>
      </c>
      <c r="I3231" s="1399">
        <v>108925.66</v>
      </c>
    </row>
    <row r="3232" spans="2:9">
      <c r="B3232" s="1297"/>
      <c r="C3232" s="1297"/>
      <c r="D3232" s="1297" t="s">
        <v>1039</v>
      </c>
      <c r="F3232" s="1399">
        <v>96445.459999999992</v>
      </c>
      <c r="I3232" s="1399">
        <v>96445.459999999992</v>
      </c>
    </row>
    <row r="3233" spans="2:9">
      <c r="B3233" s="1297"/>
      <c r="C3233" s="1297"/>
      <c r="D3233" s="1297" t="s">
        <v>1040</v>
      </c>
      <c r="F3233" s="1399">
        <v>283020.95</v>
      </c>
      <c r="I3233" s="1399">
        <v>283020.95</v>
      </c>
    </row>
    <row r="3234" spans="2:9">
      <c r="B3234" s="1297"/>
      <c r="C3234" s="1297"/>
      <c r="D3234" s="1297" t="s">
        <v>1127</v>
      </c>
      <c r="F3234" s="1399">
        <v>189256.38</v>
      </c>
      <c r="I3234" s="1399">
        <v>189256.38</v>
      </c>
    </row>
    <row r="3235" spans="2:9">
      <c r="B3235" s="1297"/>
      <c r="C3235" s="1297"/>
      <c r="D3235" s="1297" t="s">
        <v>1041</v>
      </c>
      <c r="F3235" s="1399">
        <v>72934.960000000006</v>
      </c>
      <c r="I3235" s="1399">
        <v>72934.960000000006</v>
      </c>
    </row>
    <row r="3236" spans="2:9">
      <c r="B3236" s="1297"/>
      <c r="C3236" s="1297"/>
      <c r="D3236" s="1297" t="s">
        <v>1042</v>
      </c>
      <c r="F3236" s="1399">
        <v>61883.03</v>
      </c>
      <c r="I3236" s="1399">
        <v>61883.03</v>
      </c>
    </row>
    <row r="3237" spans="2:9">
      <c r="B3237" s="1297"/>
      <c r="C3237" s="1297"/>
      <c r="D3237" s="1297" t="s">
        <v>954</v>
      </c>
      <c r="F3237" s="1399">
        <v>4757.6900000000005</v>
      </c>
      <c r="I3237" s="1399">
        <v>4757.6900000000005</v>
      </c>
    </row>
    <row r="3238" spans="2:9">
      <c r="B3238" s="1297"/>
      <c r="C3238" s="1297"/>
      <c r="D3238" s="1297" t="s">
        <v>985</v>
      </c>
      <c r="F3238" s="1399">
        <v>641.91</v>
      </c>
      <c r="I3238" s="1399">
        <v>641.91</v>
      </c>
    </row>
    <row r="3239" spans="2:9">
      <c r="B3239" s="1297"/>
      <c r="C3239" s="1297"/>
      <c r="D3239" s="1297" t="s">
        <v>991</v>
      </c>
      <c r="F3239" s="1399">
        <v>521608.95</v>
      </c>
      <c r="I3239" s="1399">
        <v>521608.95</v>
      </c>
    </row>
    <row r="3240" spans="2:9">
      <c r="B3240" s="1297"/>
      <c r="C3240" s="1297"/>
      <c r="D3240" s="1297" t="s">
        <v>1044</v>
      </c>
      <c r="F3240" s="1399">
        <v>3957</v>
      </c>
      <c r="I3240" s="1399">
        <v>3957</v>
      </c>
    </row>
    <row r="3241" spans="2:9">
      <c r="B3241" s="1297"/>
      <c r="C3241" s="1297"/>
      <c r="D3241" s="1297" t="s">
        <v>1045</v>
      </c>
      <c r="F3241" s="1399">
        <v>955331.10000000021</v>
      </c>
      <c r="I3241" s="1399">
        <v>955331.10000000021</v>
      </c>
    </row>
    <row r="3242" spans="2:9">
      <c r="B3242" s="1297"/>
      <c r="C3242" s="1297"/>
      <c r="D3242" s="1297" t="s">
        <v>1046</v>
      </c>
      <c r="H3242" s="1399">
        <v>28860806.999999996</v>
      </c>
      <c r="I3242" s="1399">
        <v>28860806.999999996</v>
      </c>
    </row>
    <row r="3243" spans="2:9">
      <c r="B3243" s="1297"/>
      <c r="C3243" s="1297"/>
      <c r="D3243" s="1297" t="s">
        <v>1128</v>
      </c>
      <c r="H3243" s="1399">
        <v>2316712</v>
      </c>
      <c r="I3243" s="1399">
        <v>2316712</v>
      </c>
    </row>
    <row r="3244" spans="2:9">
      <c r="B3244" s="1297"/>
      <c r="C3244" s="1297"/>
      <c r="D3244" s="1297" t="s">
        <v>1129</v>
      </c>
      <c r="H3244" s="1399">
        <v>-3950380</v>
      </c>
      <c r="I3244" s="1399">
        <v>-3950380</v>
      </c>
    </row>
    <row r="3245" spans="2:9">
      <c r="B3245" s="1297"/>
      <c r="C3245" s="1297"/>
      <c r="D3245" s="1297" t="s">
        <v>1047</v>
      </c>
      <c r="H3245" s="1399">
        <v>816264</v>
      </c>
      <c r="I3245" s="1399">
        <v>816264</v>
      </c>
    </row>
    <row r="3246" spans="2:9">
      <c r="B3246" s="1297"/>
      <c r="C3246" s="1297"/>
      <c r="D3246" s="1297" t="s">
        <v>1048</v>
      </c>
      <c r="H3246" s="1399">
        <v>-3336420</v>
      </c>
      <c r="I3246" s="1399">
        <v>-3336420</v>
      </c>
    </row>
    <row r="3247" spans="2:9">
      <c r="B3247" s="1297"/>
      <c r="C3247" s="1297"/>
      <c r="D3247" s="1297" t="s">
        <v>932</v>
      </c>
      <c r="H3247" s="1399">
        <v>3657313</v>
      </c>
      <c r="I3247" s="1399">
        <v>3657313</v>
      </c>
    </row>
    <row r="3248" spans="2:9">
      <c r="B3248" s="1297"/>
      <c r="C3248" s="1297"/>
      <c r="D3248" s="1297" t="s">
        <v>955</v>
      </c>
      <c r="H3248" s="1399">
        <v>1074144.1200000001</v>
      </c>
      <c r="I3248" s="1399">
        <v>1074144.1200000001</v>
      </c>
    </row>
    <row r="3249" spans="2:9">
      <c r="B3249" s="1297"/>
      <c r="C3249" s="1297"/>
      <c r="D3249" s="1297" t="s">
        <v>934</v>
      </c>
      <c r="H3249" s="1399">
        <v>77586</v>
      </c>
      <c r="I3249" s="1399">
        <v>77586</v>
      </c>
    </row>
    <row r="3250" spans="2:9">
      <c r="B3250" s="1297"/>
      <c r="C3250" s="1297"/>
      <c r="D3250" s="1297" t="s">
        <v>1130</v>
      </c>
      <c r="H3250" s="1399">
        <v>1261621</v>
      </c>
      <c r="I3250" s="1399">
        <v>1261621</v>
      </c>
    </row>
    <row r="3251" spans="2:9">
      <c r="B3251" s="1297"/>
      <c r="C3251" s="1297"/>
      <c r="D3251" s="1297" t="s">
        <v>935</v>
      </c>
      <c r="H3251" s="1399">
        <v>170534.23</v>
      </c>
      <c r="I3251" s="1399">
        <v>170534.23</v>
      </c>
    </row>
    <row r="3252" spans="2:9">
      <c r="B3252" s="1297"/>
      <c r="C3252" s="1297"/>
      <c r="D3252" s="1297" t="s">
        <v>936</v>
      </c>
      <c r="H3252" s="1399">
        <v>80534.62</v>
      </c>
      <c r="I3252" s="1399">
        <v>80534.62</v>
      </c>
    </row>
    <row r="3253" spans="2:9">
      <c r="B3253" s="1297"/>
      <c r="C3253" s="1297"/>
      <c r="D3253" s="1297" t="s">
        <v>937</v>
      </c>
      <c r="H3253" s="1399">
        <v>40010.29</v>
      </c>
      <c r="I3253" s="1399">
        <v>40010.29</v>
      </c>
    </row>
    <row r="3254" spans="2:9">
      <c r="B3254" s="1297"/>
      <c r="C3254" s="1297"/>
      <c r="D3254" s="1297" t="s">
        <v>938</v>
      </c>
      <c r="H3254" s="1399">
        <v>26951</v>
      </c>
      <c r="I3254" s="1399">
        <v>26951</v>
      </c>
    </row>
    <row r="3255" spans="2:9">
      <c r="B3255" s="1297"/>
      <c r="C3255" s="1297"/>
      <c r="D3255" s="1297" t="s">
        <v>939</v>
      </c>
      <c r="H3255" s="1399">
        <v>173939.46</v>
      </c>
      <c r="I3255" s="1399">
        <v>173939.46</v>
      </c>
    </row>
    <row r="3256" spans="2:9">
      <c r="B3256" s="1297"/>
      <c r="C3256" s="1297"/>
      <c r="D3256" s="1297" t="s">
        <v>1131</v>
      </c>
      <c r="E3256" s="1399">
        <v>1021135.24</v>
      </c>
      <c r="I3256" s="1399">
        <v>1021135.24</v>
      </c>
    </row>
    <row r="3257" spans="2:9">
      <c r="B3257" s="1297"/>
      <c r="C3257" s="1297"/>
      <c r="D3257" s="1297" t="s">
        <v>940</v>
      </c>
      <c r="E3257" s="1399">
        <v>1005940.02</v>
      </c>
      <c r="I3257" s="1399">
        <v>1005940.02</v>
      </c>
    </row>
    <row r="3258" spans="2:9">
      <c r="B3258" s="1297"/>
      <c r="C3258" s="1297"/>
      <c r="D3258" s="1297" t="s">
        <v>941</v>
      </c>
      <c r="E3258" s="1399">
        <v>385525.72</v>
      </c>
      <c r="I3258" s="1399">
        <v>385525.72</v>
      </c>
    </row>
    <row r="3259" spans="2:9">
      <c r="B3259" s="1297"/>
      <c r="C3259" s="1297"/>
      <c r="D3259" s="1297" t="s">
        <v>944</v>
      </c>
      <c r="E3259" s="1399">
        <v>1747650.1199999999</v>
      </c>
      <c r="I3259" s="1399">
        <v>1747650.1199999999</v>
      </c>
    </row>
    <row r="3260" spans="2:9">
      <c r="B3260" s="1297"/>
      <c r="C3260" s="1297"/>
      <c r="D3260" s="1297" t="s">
        <v>945</v>
      </c>
      <c r="E3260" s="1399">
        <v>1993261.59</v>
      </c>
      <c r="I3260" s="1399">
        <v>1993261.59</v>
      </c>
    </row>
    <row r="3261" spans="2:9">
      <c r="B3261" s="1297"/>
      <c r="C3261" s="1297"/>
      <c r="D3261" s="1297" t="s">
        <v>1214</v>
      </c>
      <c r="E3261" s="1399">
        <v>113661.26</v>
      </c>
      <c r="I3261" s="1399">
        <v>113661.26</v>
      </c>
    </row>
    <row r="3262" spans="2:9">
      <c r="B3262" s="1297"/>
      <c r="C3262" s="1297"/>
      <c r="D3262" s="1297" t="s">
        <v>947</v>
      </c>
      <c r="E3262" s="1399">
        <v>206887.25</v>
      </c>
      <c r="I3262" s="1399">
        <v>206887.25</v>
      </c>
    </row>
    <row r="3263" spans="2:9">
      <c r="B3263" s="1297"/>
      <c r="C3263" s="1297"/>
      <c r="D3263" s="1297" t="s">
        <v>1115</v>
      </c>
      <c r="E3263" s="1399">
        <v>106.26</v>
      </c>
      <c r="I3263" s="1399">
        <v>106.26</v>
      </c>
    </row>
    <row r="3264" spans="2:9">
      <c r="B3264" s="1297"/>
      <c r="C3264" s="1297"/>
      <c r="D3264" s="1297" t="s">
        <v>948</v>
      </c>
      <c r="G3264" s="1399">
        <v>9774948.8099999968</v>
      </c>
      <c r="I3264" s="1399">
        <v>9774948.8099999968</v>
      </c>
    </row>
    <row r="3265" spans="2:9">
      <c r="B3265" s="1297"/>
      <c r="C3265" s="1297"/>
      <c r="D3265" s="1297" t="s">
        <v>956</v>
      </c>
      <c r="G3265" s="1399">
        <v>21569.25</v>
      </c>
      <c r="I3265" s="1399">
        <v>21569.25</v>
      </c>
    </row>
    <row r="3266" spans="2:9">
      <c r="B3266" s="1297"/>
      <c r="C3266" s="1400" t="s">
        <v>1407</v>
      </c>
      <c r="D3266" s="1400"/>
      <c r="E3266" s="1401">
        <v>6474167.459999999</v>
      </c>
      <c r="F3266" s="1401">
        <v>18743122.140000004</v>
      </c>
      <c r="G3266" s="1401">
        <v>9796518.0599999968</v>
      </c>
      <c r="H3266" s="1401">
        <v>31269616.719999999</v>
      </c>
      <c r="I3266" s="1401">
        <v>66283424.379999988</v>
      </c>
    </row>
    <row r="3267" spans="2:9">
      <c r="B3267" s="1297" t="s">
        <v>1408</v>
      </c>
      <c r="C3267" s="1297" t="s">
        <v>1409</v>
      </c>
      <c r="D3267" s="1297" t="s">
        <v>906</v>
      </c>
      <c r="F3267" s="1399">
        <v>7607037.3399999999</v>
      </c>
      <c r="I3267" s="1399">
        <v>7607037.3399999999</v>
      </c>
    </row>
    <row r="3268" spans="2:9">
      <c r="B3268" s="1297"/>
      <c r="C3268" s="1297"/>
      <c r="D3268" s="1297" t="s">
        <v>952</v>
      </c>
      <c r="F3268" s="1399">
        <v>67839.11</v>
      </c>
      <c r="I3268" s="1399">
        <v>67839.11</v>
      </c>
    </row>
    <row r="3269" spans="2:9">
      <c r="B3269" s="1297"/>
      <c r="C3269" s="1297"/>
      <c r="D3269" s="1297" t="s">
        <v>907</v>
      </c>
      <c r="F3269" s="1399">
        <v>1574136.04</v>
      </c>
      <c r="I3269" s="1399">
        <v>1574136.04</v>
      </c>
    </row>
    <row r="3270" spans="2:9">
      <c r="B3270" s="1297"/>
      <c r="C3270" s="1297"/>
      <c r="D3270" s="1297" t="s">
        <v>908</v>
      </c>
      <c r="F3270" s="1399">
        <v>18337.04</v>
      </c>
      <c r="I3270" s="1399">
        <v>18337.04</v>
      </c>
    </row>
    <row r="3271" spans="2:9">
      <c r="B3271" s="1297"/>
      <c r="C3271" s="1297"/>
      <c r="D3271" s="1297" t="s">
        <v>909</v>
      </c>
      <c r="F3271" s="1399">
        <v>45475.59</v>
      </c>
      <c r="I3271" s="1399">
        <v>45475.59</v>
      </c>
    </row>
    <row r="3272" spans="2:9">
      <c r="B3272" s="1297"/>
      <c r="C3272" s="1297"/>
      <c r="D3272" s="1297" t="s">
        <v>1034</v>
      </c>
      <c r="F3272" s="1399">
        <v>2941</v>
      </c>
      <c r="I3272" s="1399">
        <v>2941</v>
      </c>
    </row>
    <row r="3273" spans="2:9">
      <c r="B3273" s="1297"/>
      <c r="C3273" s="1297"/>
      <c r="D3273" s="1297" t="s">
        <v>1035</v>
      </c>
      <c r="F3273" s="1399">
        <v>137380.60999999999</v>
      </c>
      <c r="I3273" s="1399">
        <v>137380.60999999999</v>
      </c>
    </row>
    <row r="3274" spans="2:9">
      <c r="B3274" s="1297"/>
      <c r="C3274" s="1297"/>
      <c r="D3274" s="1297" t="s">
        <v>1036</v>
      </c>
      <c r="F3274" s="1399">
        <v>97583.51</v>
      </c>
      <c r="I3274" s="1399">
        <v>97583.51</v>
      </c>
    </row>
    <row r="3275" spans="2:9">
      <c r="B3275" s="1297"/>
      <c r="C3275" s="1297"/>
      <c r="D3275" s="1297" t="s">
        <v>1037</v>
      </c>
      <c r="F3275" s="1399">
        <v>4450.1099999999997</v>
      </c>
      <c r="I3275" s="1399">
        <v>4450.1099999999997</v>
      </c>
    </row>
    <row r="3276" spans="2:9">
      <c r="B3276" s="1297"/>
      <c r="C3276" s="1297"/>
      <c r="D3276" s="1297" t="s">
        <v>1003</v>
      </c>
      <c r="F3276" s="1399">
        <v>15057.8</v>
      </c>
      <c r="I3276" s="1399">
        <v>15057.8</v>
      </c>
    </row>
    <row r="3277" spans="2:9">
      <c r="B3277" s="1297"/>
      <c r="C3277" s="1297"/>
      <c r="D3277" s="1297" t="s">
        <v>1039</v>
      </c>
      <c r="F3277" s="1399">
        <v>36981.78</v>
      </c>
      <c r="I3277" s="1399">
        <v>36981.78</v>
      </c>
    </row>
    <row r="3278" spans="2:9">
      <c r="B3278" s="1297"/>
      <c r="C3278" s="1297"/>
      <c r="D3278" s="1297" t="s">
        <v>1040</v>
      </c>
      <c r="F3278" s="1399">
        <v>189688.97</v>
      </c>
      <c r="I3278" s="1399">
        <v>189688.97</v>
      </c>
    </row>
    <row r="3279" spans="2:9">
      <c r="B3279" s="1297"/>
      <c r="C3279" s="1297"/>
      <c r="D3279" s="1297" t="s">
        <v>1041</v>
      </c>
      <c r="F3279" s="1399">
        <v>18349.75</v>
      </c>
      <c r="I3279" s="1399">
        <v>18349.75</v>
      </c>
    </row>
    <row r="3280" spans="2:9">
      <c r="B3280" s="1297"/>
      <c r="C3280" s="1297"/>
      <c r="D3280" s="1297" t="s">
        <v>1042</v>
      </c>
      <c r="F3280" s="1399">
        <v>43388.32</v>
      </c>
      <c r="I3280" s="1399">
        <v>43388.32</v>
      </c>
    </row>
    <row r="3281" spans="2:9">
      <c r="B3281" s="1297"/>
      <c r="C3281" s="1297"/>
      <c r="D3281" s="1297" t="s">
        <v>953</v>
      </c>
      <c r="F3281" s="1399">
        <v>31507.3</v>
      </c>
      <c r="I3281" s="1399">
        <v>31507.3</v>
      </c>
    </row>
    <row r="3282" spans="2:9">
      <c r="B3282" s="1297"/>
      <c r="C3282" s="1297"/>
      <c r="D3282" s="1297" t="s">
        <v>954</v>
      </c>
      <c r="F3282" s="1399">
        <v>72579.06</v>
      </c>
      <c r="I3282" s="1399">
        <v>72579.06</v>
      </c>
    </row>
    <row r="3283" spans="2:9">
      <c r="B3283" s="1297"/>
      <c r="C3283" s="1297"/>
      <c r="D3283" s="1297" t="s">
        <v>985</v>
      </c>
      <c r="F3283" s="1399">
        <v>38200.6</v>
      </c>
      <c r="I3283" s="1399">
        <v>38200.6</v>
      </c>
    </row>
    <row r="3284" spans="2:9">
      <c r="B3284" s="1297"/>
      <c r="C3284" s="1297"/>
      <c r="D3284" s="1297" t="s">
        <v>1043</v>
      </c>
      <c r="F3284" s="1399">
        <v>4262</v>
      </c>
      <c r="I3284" s="1399">
        <v>4262</v>
      </c>
    </row>
    <row r="3285" spans="2:9">
      <c r="B3285" s="1297"/>
      <c r="C3285" s="1297"/>
      <c r="D3285" s="1297" t="s">
        <v>986</v>
      </c>
      <c r="F3285" s="1399">
        <v>109290.55</v>
      </c>
      <c r="I3285" s="1399">
        <v>109290.55</v>
      </c>
    </row>
    <row r="3286" spans="2:9">
      <c r="B3286" s="1297"/>
      <c r="C3286" s="1297"/>
      <c r="D3286" s="1297" t="s">
        <v>996</v>
      </c>
      <c r="F3286" s="1399">
        <v>25326</v>
      </c>
      <c r="I3286" s="1399">
        <v>25326</v>
      </c>
    </row>
    <row r="3287" spans="2:9">
      <c r="B3287" s="1297"/>
      <c r="C3287" s="1297"/>
      <c r="D3287" s="1297" t="s">
        <v>1045</v>
      </c>
      <c r="F3287" s="1399">
        <v>451982.59999999992</v>
      </c>
      <c r="I3287" s="1399">
        <v>451982.59999999992</v>
      </c>
    </row>
    <row r="3288" spans="2:9">
      <c r="B3288" s="1297"/>
      <c r="C3288" s="1297"/>
      <c r="D3288" s="1297" t="s">
        <v>1046</v>
      </c>
      <c r="H3288" s="1399">
        <v>11950612</v>
      </c>
      <c r="I3288" s="1399">
        <v>11950612</v>
      </c>
    </row>
    <row r="3289" spans="2:9">
      <c r="B3289" s="1297"/>
      <c r="C3289" s="1297"/>
      <c r="D3289" s="1297" t="s">
        <v>1047</v>
      </c>
      <c r="H3289" s="1399">
        <v>502498</v>
      </c>
      <c r="I3289" s="1399">
        <v>502498</v>
      </c>
    </row>
    <row r="3290" spans="2:9">
      <c r="B3290" s="1297"/>
      <c r="C3290" s="1297"/>
      <c r="D3290" s="1297" t="s">
        <v>1048</v>
      </c>
      <c r="H3290" s="1399">
        <v>-2191267</v>
      </c>
      <c r="I3290" s="1399">
        <v>-2191267</v>
      </c>
    </row>
    <row r="3291" spans="2:9">
      <c r="B3291" s="1297"/>
      <c r="C3291" s="1297"/>
      <c r="D3291" s="1297" t="s">
        <v>932</v>
      </c>
      <c r="H3291" s="1399">
        <v>428395</v>
      </c>
      <c r="I3291" s="1399">
        <v>428395</v>
      </c>
    </row>
    <row r="3292" spans="2:9">
      <c r="B3292" s="1297"/>
      <c r="C3292" s="1297"/>
      <c r="D3292" s="1297" t="s">
        <v>955</v>
      </c>
      <c r="H3292" s="1399">
        <v>491736.86</v>
      </c>
      <c r="I3292" s="1399">
        <v>491736.86</v>
      </c>
    </row>
    <row r="3293" spans="2:9">
      <c r="B3293" s="1297"/>
      <c r="C3293" s="1297"/>
      <c r="D3293" s="1297" t="s">
        <v>934</v>
      </c>
      <c r="H3293" s="1399">
        <v>41818</v>
      </c>
      <c r="I3293" s="1399">
        <v>41818</v>
      </c>
    </row>
    <row r="3294" spans="2:9">
      <c r="B3294" s="1297"/>
      <c r="C3294" s="1297"/>
      <c r="D3294" s="1297" t="s">
        <v>935</v>
      </c>
      <c r="H3294" s="1399">
        <v>316802.13999999996</v>
      </c>
      <c r="I3294" s="1399">
        <v>316802.13999999996</v>
      </c>
    </row>
    <row r="3295" spans="2:9">
      <c r="B3295" s="1297"/>
      <c r="C3295" s="1297"/>
      <c r="D3295" s="1297" t="s">
        <v>936</v>
      </c>
      <c r="H3295" s="1399">
        <v>47270.32</v>
      </c>
      <c r="I3295" s="1399">
        <v>47270.32</v>
      </c>
    </row>
    <row r="3296" spans="2:9">
      <c r="B3296" s="1297"/>
      <c r="C3296" s="1297"/>
      <c r="D3296" s="1297" t="s">
        <v>937</v>
      </c>
      <c r="H3296" s="1399">
        <v>18513.52</v>
      </c>
      <c r="I3296" s="1399">
        <v>18513.52</v>
      </c>
    </row>
    <row r="3297" spans="2:9">
      <c r="B3297" s="1297"/>
      <c r="C3297" s="1297"/>
      <c r="D3297" s="1297" t="s">
        <v>938</v>
      </c>
      <c r="H3297" s="1399">
        <v>16470</v>
      </c>
      <c r="I3297" s="1399">
        <v>16470</v>
      </c>
    </row>
    <row r="3298" spans="2:9">
      <c r="B3298" s="1297"/>
      <c r="C3298" s="1297"/>
      <c r="D3298" s="1297" t="s">
        <v>939</v>
      </c>
      <c r="H3298" s="1399">
        <v>66050.740000000005</v>
      </c>
      <c r="I3298" s="1399">
        <v>66050.740000000005</v>
      </c>
    </row>
    <row r="3299" spans="2:9">
      <c r="B3299" s="1297"/>
      <c r="C3299" s="1297"/>
      <c r="D3299" s="1297" t="s">
        <v>940</v>
      </c>
      <c r="E3299" s="1399">
        <v>764931.2</v>
      </c>
      <c r="I3299" s="1399">
        <v>764931.2</v>
      </c>
    </row>
    <row r="3300" spans="2:9">
      <c r="B3300" s="1297"/>
      <c r="C3300" s="1297"/>
      <c r="D3300" s="1297" t="s">
        <v>941</v>
      </c>
      <c r="E3300" s="1399">
        <v>253500.1</v>
      </c>
      <c r="I3300" s="1399">
        <v>253500.1</v>
      </c>
    </row>
    <row r="3301" spans="2:9">
      <c r="B3301" s="1297"/>
      <c r="C3301" s="1297"/>
      <c r="D3301" s="1297" t="s">
        <v>942</v>
      </c>
      <c r="E3301" s="1399">
        <v>0</v>
      </c>
      <c r="I3301" s="1399">
        <v>0</v>
      </c>
    </row>
    <row r="3302" spans="2:9">
      <c r="B3302" s="1297"/>
      <c r="C3302" s="1297"/>
      <c r="D3302" s="1297" t="s">
        <v>943</v>
      </c>
      <c r="E3302" s="1399">
        <v>7623.48</v>
      </c>
      <c r="I3302" s="1399">
        <v>7623.48</v>
      </c>
    </row>
    <row r="3303" spans="2:9">
      <c r="B3303" s="1297"/>
      <c r="C3303" s="1297"/>
      <c r="D3303" s="1297" t="s">
        <v>944</v>
      </c>
      <c r="E3303" s="1399">
        <v>1556441.8299999996</v>
      </c>
      <c r="I3303" s="1399">
        <v>1556441.8299999996</v>
      </c>
    </row>
    <row r="3304" spans="2:9">
      <c r="B3304" s="1297"/>
      <c r="C3304" s="1297"/>
      <c r="D3304" s="1297" t="s">
        <v>945</v>
      </c>
      <c r="E3304" s="1399">
        <v>942202.70000000007</v>
      </c>
      <c r="I3304" s="1399">
        <v>942202.70000000007</v>
      </c>
    </row>
    <row r="3305" spans="2:9">
      <c r="B3305" s="1297"/>
      <c r="C3305" s="1297"/>
      <c r="D3305" s="1297" t="s">
        <v>946</v>
      </c>
      <c r="E3305" s="1399">
        <v>57569.07</v>
      </c>
      <c r="I3305" s="1399">
        <v>57569.07</v>
      </c>
    </row>
    <row r="3306" spans="2:9">
      <c r="B3306" s="1297"/>
      <c r="C3306" s="1297"/>
      <c r="D3306" s="1297" t="s">
        <v>947</v>
      </c>
      <c r="E3306" s="1399">
        <v>90862.15</v>
      </c>
      <c r="I3306" s="1399">
        <v>90862.15</v>
      </c>
    </row>
    <row r="3307" spans="2:9">
      <c r="B3307" s="1297"/>
      <c r="C3307" s="1297"/>
      <c r="D3307" s="1297" t="s">
        <v>948</v>
      </c>
      <c r="G3307" s="1399">
        <v>146051.4</v>
      </c>
      <c r="I3307" s="1399">
        <v>146051.4</v>
      </c>
    </row>
    <row r="3308" spans="2:9">
      <c r="B3308" s="1297"/>
      <c r="C3308" s="1297"/>
      <c r="D3308" s="1297" t="s">
        <v>956</v>
      </c>
      <c r="G3308" s="1399">
        <v>5818.98</v>
      </c>
      <c r="I3308" s="1399">
        <v>5818.98</v>
      </c>
    </row>
    <row r="3309" spans="2:9">
      <c r="B3309" s="1297"/>
      <c r="C3309" s="1297"/>
      <c r="D3309" s="1297" t="s">
        <v>1118</v>
      </c>
      <c r="G3309" s="1399">
        <v>41067</v>
      </c>
      <c r="I3309" s="1399">
        <v>41067</v>
      </c>
    </row>
    <row r="3310" spans="2:9">
      <c r="B3310" s="1297"/>
      <c r="C3310" s="1400" t="s">
        <v>1410</v>
      </c>
      <c r="D3310" s="1400"/>
      <c r="E3310" s="1401">
        <v>3673130.5299999993</v>
      </c>
      <c r="F3310" s="1401">
        <v>10591795.08</v>
      </c>
      <c r="G3310" s="1401">
        <v>192937.38</v>
      </c>
      <c r="H3310" s="1401">
        <v>11688899.58</v>
      </c>
      <c r="I3310" s="1401">
        <v>26146762.569999993</v>
      </c>
    </row>
    <row r="3311" spans="2:9">
      <c r="B3311" s="1297" t="s">
        <v>1411</v>
      </c>
      <c r="C3311" s="1297" t="s">
        <v>1412</v>
      </c>
      <c r="D3311" s="1297" t="s">
        <v>906</v>
      </c>
      <c r="F3311" s="1399">
        <v>2973000.77</v>
      </c>
      <c r="I3311" s="1399">
        <v>2973000.77</v>
      </c>
    </row>
    <row r="3312" spans="2:9">
      <c r="B3312" s="1297"/>
      <c r="C3312" s="1297"/>
      <c r="D3312" s="1297" t="s">
        <v>952</v>
      </c>
      <c r="F3312" s="1399">
        <v>50792.65</v>
      </c>
      <c r="I3312" s="1399">
        <v>50792.65</v>
      </c>
    </row>
    <row r="3313" spans="2:9">
      <c r="B3313" s="1297"/>
      <c r="C3313" s="1297"/>
      <c r="D3313" s="1297" t="s">
        <v>907</v>
      </c>
      <c r="F3313" s="1399">
        <v>561019.31000000006</v>
      </c>
      <c r="I3313" s="1399">
        <v>561019.31000000006</v>
      </c>
    </row>
    <row r="3314" spans="2:9">
      <c r="B3314" s="1297"/>
      <c r="C3314" s="1297"/>
      <c r="D3314" s="1297" t="s">
        <v>908</v>
      </c>
      <c r="F3314" s="1399">
        <v>4866.62</v>
      </c>
      <c r="I3314" s="1399">
        <v>4866.62</v>
      </c>
    </row>
    <row r="3315" spans="2:9">
      <c r="B3315" s="1297"/>
      <c r="C3315" s="1297"/>
      <c r="D3315" s="1297" t="s">
        <v>909</v>
      </c>
      <c r="F3315" s="1399">
        <v>18193.810000000001</v>
      </c>
      <c r="I3315" s="1399">
        <v>18193.810000000001</v>
      </c>
    </row>
    <row r="3316" spans="2:9">
      <c r="B3316" s="1297"/>
      <c r="C3316" s="1297"/>
      <c r="D3316" s="1297" t="s">
        <v>910</v>
      </c>
      <c r="F3316" s="1399">
        <v>18674.66</v>
      </c>
      <c r="I3316" s="1399">
        <v>18674.66</v>
      </c>
    </row>
    <row r="3317" spans="2:9">
      <c r="B3317" s="1297"/>
      <c r="C3317" s="1297"/>
      <c r="D3317" s="1297" t="s">
        <v>1034</v>
      </c>
      <c r="F3317" s="1399">
        <v>16417.36</v>
      </c>
      <c r="I3317" s="1399">
        <v>16417.36</v>
      </c>
    </row>
    <row r="3318" spans="2:9">
      <c r="B3318" s="1297"/>
      <c r="C3318" s="1297"/>
      <c r="D3318" s="1297" t="s">
        <v>1035</v>
      </c>
      <c r="F3318" s="1399">
        <v>229232.53999999998</v>
      </c>
      <c r="I3318" s="1399">
        <v>229232.53999999998</v>
      </c>
    </row>
    <row r="3319" spans="2:9">
      <c r="B3319" s="1297"/>
      <c r="C3319" s="1297"/>
      <c r="D3319" s="1297" t="s">
        <v>1036</v>
      </c>
      <c r="F3319" s="1399">
        <v>53951.94</v>
      </c>
      <c r="I3319" s="1399">
        <v>53951.94</v>
      </c>
    </row>
    <row r="3320" spans="2:9">
      <c r="B3320" s="1297"/>
      <c r="C3320" s="1297"/>
      <c r="D3320" s="1297" t="s">
        <v>1039</v>
      </c>
      <c r="F3320" s="1399">
        <v>63682.200000000004</v>
      </c>
      <c r="I3320" s="1399">
        <v>63682.200000000004</v>
      </c>
    </row>
    <row r="3321" spans="2:9">
      <c r="B3321" s="1297"/>
      <c r="C3321" s="1297"/>
      <c r="D3321" s="1297" t="s">
        <v>1040</v>
      </c>
      <c r="F3321" s="1399">
        <v>114614.56</v>
      </c>
      <c r="I3321" s="1399">
        <v>114614.56</v>
      </c>
    </row>
    <row r="3322" spans="2:9">
      <c r="B3322" s="1297"/>
      <c r="C3322" s="1297"/>
      <c r="D3322" s="1297" t="s">
        <v>1041</v>
      </c>
      <c r="F3322" s="1399">
        <v>27435.74</v>
      </c>
      <c r="I3322" s="1399">
        <v>27435.74</v>
      </c>
    </row>
    <row r="3323" spans="2:9">
      <c r="B3323" s="1297"/>
      <c r="C3323" s="1297"/>
      <c r="D3323" s="1297" t="s">
        <v>1042</v>
      </c>
      <c r="F3323" s="1399">
        <v>24253.200000000001</v>
      </c>
      <c r="I3323" s="1399">
        <v>24253.200000000001</v>
      </c>
    </row>
    <row r="3324" spans="2:9">
      <c r="B3324" s="1297"/>
      <c r="C3324" s="1297"/>
      <c r="D3324" s="1297" t="s">
        <v>986</v>
      </c>
      <c r="F3324" s="1399">
        <v>0</v>
      </c>
      <c r="I3324" s="1399">
        <v>0</v>
      </c>
    </row>
    <row r="3325" spans="2:9">
      <c r="B3325" s="1297"/>
      <c r="C3325" s="1297"/>
      <c r="D3325" s="1297" t="s">
        <v>1044</v>
      </c>
      <c r="F3325" s="1399">
        <v>72460.490000000005</v>
      </c>
      <c r="I3325" s="1399">
        <v>72460.490000000005</v>
      </c>
    </row>
    <row r="3326" spans="2:9">
      <c r="B3326" s="1297"/>
      <c r="C3326" s="1297"/>
      <c r="D3326" s="1297" t="s">
        <v>1045</v>
      </c>
      <c r="F3326" s="1399">
        <v>85272.63</v>
      </c>
      <c r="I3326" s="1399">
        <v>85272.63</v>
      </c>
    </row>
    <row r="3327" spans="2:9">
      <c r="B3327" s="1297"/>
      <c r="C3327" s="1297"/>
      <c r="D3327" s="1297" t="s">
        <v>1046</v>
      </c>
      <c r="H3327" s="1399">
        <v>7700326</v>
      </c>
      <c r="I3327" s="1399">
        <v>7700326</v>
      </c>
    </row>
    <row r="3328" spans="2:9">
      <c r="B3328" s="1297"/>
      <c r="C3328" s="1297"/>
      <c r="D3328" s="1297" t="s">
        <v>1047</v>
      </c>
      <c r="H3328" s="1399">
        <v>642687</v>
      </c>
      <c r="I3328" s="1399">
        <v>642687</v>
      </c>
    </row>
    <row r="3329" spans="2:9">
      <c r="B3329" s="1297"/>
      <c r="C3329" s="1297"/>
      <c r="D3329" s="1297" t="s">
        <v>1048</v>
      </c>
      <c r="H3329" s="1399">
        <v>-697424</v>
      </c>
      <c r="I3329" s="1399">
        <v>-697424</v>
      </c>
    </row>
    <row r="3330" spans="2:9">
      <c r="B3330" s="1297"/>
      <c r="C3330" s="1297"/>
      <c r="D3330" s="1297" t="s">
        <v>932</v>
      </c>
      <c r="H3330" s="1399">
        <v>1893801</v>
      </c>
      <c r="I3330" s="1399">
        <v>1893801</v>
      </c>
    </row>
    <row r="3331" spans="2:9">
      <c r="B3331" s="1297"/>
      <c r="C3331" s="1297"/>
      <c r="D3331" s="1297" t="s">
        <v>955</v>
      </c>
      <c r="H3331" s="1399">
        <v>679196.58</v>
      </c>
      <c r="I3331" s="1399">
        <v>679196.58</v>
      </c>
    </row>
    <row r="3332" spans="2:9">
      <c r="B3332" s="1297"/>
      <c r="C3332" s="1297"/>
      <c r="D3332" s="1297" t="s">
        <v>934</v>
      </c>
      <c r="H3332" s="1399">
        <v>28160</v>
      </c>
      <c r="I3332" s="1399">
        <v>28160</v>
      </c>
    </row>
    <row r="3333" spans="2:9">
      <c r="B3333" s="1297"/>
      <c r="C3333" s="1297"/>
      <c r="D3333" s="1297" t="s">
        <v>1130</v>
      </c>
      <c r="H3333" s="1399">
        <v>192</v>
      </c>
      <c r="I3333" s="1399">
        <v>192</v>
      </c>
    </row>
    <row r="3334" spans="2:9">
      <c r="B3334" s="1297"/>
      <c r="C3334" s="1297"/>
      <c r="D3334" s="1297" t="s">
        <v>935</v>
      </c>
      <c r="H3334" s="1399">
        <v>220583.85</v>
      </c>
      <c r="I3334" s="1399">
        <v>220583.85</v>
      </c>
    </row>
    <row r="3335" spans="2:9">
      <c r="B3335" s="1297"/>
      <c r="C3335" s="1297"/>
      <c r="D3335" s="1297" t="s">
        <v>936</v>
      </c>
      <c r="H3335" s="1399">
        <v>22409.63</v>
      </c>
      <c r="I3335" s="1399">
        <v>22409.63</v>
      </c>
    </row>
    <row r="3336" spans="2:9">
      <c r="B3336" s="1297"/>
      <c r="C3336" s="1297"/>
      <c r="D3336" s="1297" t="s">
        <v>937</v>
      </c>
      <c r="H3336" s="1399">
        <v>6889.66</v>
      </c>
      <c r="I3336" s="1399">
        <v>6889.66</v>
      </c>
    </row>
    <row r="3337" spans="2:9">
      <c r="B3337" s="1297"/>
      <c r="C3337" s="1297"/>
      <c r="D3337" s="1297" t="s">
        <v>938</v>
      </c>
      <c r="H3337" s="1399">
        <v>5989</v>
      </c>
      <c r="I3337" s="1399">
        <v>5989</v>
      </c>
    </row>
    <row r="3338" spans="2:9">
      <c r="B3338" s="1297"/>
      <c r="C3338" s="1297"/>
      <c r="D3338" s="1297" t="s">
        <v>939</v>
      </c>
      <c r="H3338" s="1399">
        <v>42250</v>
      </c>
      <c r="I3338" s="1399">
        <v>42250</v>
      </c>
    </row>
    <row r="3339" spans="2:9">
      <c r="B3339" s="1297"/>
      <c r="C3339" s="1297"/>
      <c r="D3339" s="1297" t="s">
        <v>940</v>
      </c>
      <c r="E3339" s="1399">
        <v>507566.68</v>
      </c>
      <c r="I3339" s="1399">
        <v>507566.68</v>
      </c>
    </row>
    <row r="3340" spans="2:9">
      <c r="B3340" s="1297"/>
      <c r="C3340" s="1297"/>
      <c r="D3340" s="1297" t="s">
        <v>941</v>
      </c>
      <c r="E3340" s="1399">
        <v>220260.08</v>
      </c>
      <c r="I3340" s="1399">
        <v>220260.08</v>
      </c>
    </row>
    <row r="3341" spans="2:9">
      <c r="B3341" s="1297"/>
      <c r="C3341" s="1297"/>
      <c r="D3341" s="1297" t="s">
        <v>943</v>
      </c>
      <c r="E3341" s="1399">
        <v>2387.2399999999998</v>
      </c>
      <c r="I3341" s="1399">
        <v>2387.2399999999998</v>
      </c>
    </row>
    <row r="3342" spans="2:9">
      <c r="B3342" s="1297"/>
      <c r="C3342" s="1297"/>
      <c r="D3342" s="1297" t="s">
        <v>944</v>
      </c>
      <c r="E3342" s="1399">
        <v>1119710.1599999999</v>
      </c>
      <c r="I3342" s="1399">
        <v>1119710.1599999999</v>
      </c>
    </row>
    <row r="3343" spans="2:9">
      <c r="B3343" s="1297"/>
      <c r="C3343" s="1297"/>
      <c r="D3343" s="1297" t="s">
        <v>945</v>
      </c>
      <c r="E3343" s="1399">
        <v>874975.94</v>
      </c>
      <c r="I3343" s="1399">
        <v>874975.94</v>
      </c>
    </row>
    <row r="3344" spans="2:9">
      <c r="B3344" s="1297"/>
      <c r="C3344" s="1297"/>
      <c r="D3344" s="1297" t="s">
        <v>947</v>
      </c>
      <c r="E3344" s="1399">
        <v>47445.440000000002</v>
      </c>
      <c r="I3344" s="1399">
        <v>47445.440000000002</v>
      </c>
    </row>
    <row r="3345" spans="2:9">
      <c r="B3345" s="1297"/>
      <c r="C3345" s="1297"/>
      <c r="D3345" s="1297" t="s">
        <v>948</v>
      </c>
      <c r="G3345" s="1399">
        <v>1055587.5</v>
      </c>
      <c r="I3345" s="1399">
        <v>1055587.5</v>
      </c>
    </row>
    <row r="3346" spans="2:9">
      <c r="B3346" s="1297"/>
      <c r="C3346" s="1400" t="s">
        <v>1413</v>
      </c>
      <c r="D3346" s="1400"/>
      <c r="E3346" s="1401">
        <v>2772345.5399999996</v>
      </c>
      <c r="F3346" s="1401">
        <v>4313868.4800000004</v>
      </c>
      <c r="G3346" s="1401">
        <v>1055587.5</v>
      </c>
      <c r="H3346" s="1401">
        <v>10545060.720000001</v>
      </c>
      <c r="I3346" s="1401">
        <v>18686862.240000002</v>
      </c>
    </row>
    <row r="3347" spans="2:9">
      <c r="B3347" s="1297" t="s">
        <v>1414</v>
      </c>
      <c r="C3347" s="1297" t="s">
        <v>1415</v>
      </c>
      <c r="D3347" s="1297" t="s">
        <v>906</v>
      </c>
      <c r="F3347" s="1399">
        <v>10187522.34</v>
      </c>
      <c r="I3347" s="1399">
        <v>10187522.34</v>
      </c>
    </row>
    <row r="3348" spans="2:9">
      <c r="B3348" s="1297"/>
      <c r="C3348" s="1297"/>
      <c r="D3348" s="1297" t="s">
        <v>952</v>
      </c>
      <c r="F3348" s="1399">
        <v>149257.09</v>
      </c>
      <c r="I3348" s="1399">
        <v>149257.09</v>
      </c>
    </row>
    <row r="3349" spans="2:9">
      <c r="B3349" s="1297"/>
      <c r="C3349" s="1297"/>
      <c r="D3349" s="1297" t="s">
        <v>907</v>
      </c>
      <c r="F3349" s="1399">
        <v>5491905.0299999993</v>
      </c>
      <c r="I3349" s="1399">
        <v>5491905.0299999993</v>
      </c>
    </row>
    <row r="3350" spans="2:9">
      <c r="B3350" s="1297"/>
      <c r="C3350" s="1297"/>
      <c r="D3350" s="1297" t="s">
        <v>908</v>
      </c>
      <c r="F3350" s="1399">
        <v>27504.06</v>
      </c>
      <c r="I3350" s="1399">
        <v>27504.06</v>
      </c>
    </row>
    <row r="3351" spans="2:9">
      <c r="B3351" s="1297"/>
      <c r="C3351" s="1297"/>
      <c r="D3351" s="1297" t="s">
        <v>1037</v>
      </c>
      <c r="F3351" s="1399">
        <v>127629.06000000001</v>
      </c>
      <c r="I3351" s="1399">
        <v>127629.06000000001</v>
      </c>
    </row>
    <row r="3352" spans="2:9">
      <c r="B3352" s="1297"/>
      <c r="C3352" s="1297"/>
      <c r="D3352" s="1297" t="s">
        <v>1039</v>
      </c>
      <c r="F3352" s="1399">
        <v>31384.859999999997</v>
      </c>
      <c r="I3352" s="1399">
        <v>31384.859999999997</v>
      </c>
    </row>
    <row r="3353" spans="2:9">
      <c r="B3353" s="1297"/>
      <c r="C3353" s="1297"/>
      <c r="D3353" s="1297" t="s">
        <v>1040</v>
      </c>
      <c r="F3353" s="1399">
        <v>291401.42000000004</v>
      </c>
      <c r="I3353" s="1399">
        <v>291401.42000000004</v>
      </c>
    </row>
    <row r="3354" spans="2:9">
      <c r="B3354" s="1297"/>
      <c r="C3354" s="1297"/>
      <c r="D3354" s="1297" t="s">
        <v>1041</v>
      </c>
      <c r="F3354" s="1399">
        <v>80015.679999999993</v>
      </c>
      <c r="I3354" s="1399">
        <v>80015.679999999993</v>
      </c>
    </row>
    <row r="3355" spans="2:9">
      <c r="B3355" s="1297"/>
      <c r="C3355" s="1297"/>
      <c r="D3355" s="1297" t="s">
        <v>1042</v>
      </c>
      <c r="F3355" s="1399">
        <v>91320.99</v>
      </c>
      <c r="I3355" s="1399">
        <v>91320.99</v>
      </c>
    </row>
    <row r="3356" spans="2:9">
      <c r="B3356" s="1297"/>
      <c r="C3356" s="1297"/>
      <c r="D3356" s="1297" t="s">
        <v>954</v>
      </c>
      <c r="F3356" s="1399">
        <v>894269.97000000009</v>
      </c>
      <c r="I3356" s="1399">
        <v>894269.97000000009</v>
      </c>
    </row>
    <row r="3357" spans="2:9">
      <c r="B3357" s="1297"/>
      <c r="C3357" s="1297"/>
      <c r="D3357" s="1297" t="s">
        <v>985</v>
      </c>
      <c r="F3357" s="1399">
        <v>250</v>
      </c>
      <c r="I3357" s="1399">
        <v>250</v>
      </c>
    </row>
    <row r="3358" spans="2:9">
      <c r="B3358" s="1297"/>
      <c r="C3358" s="1297"/>
      <c r="D3358" s="1297" t="s">
        <v>986</v>
      </c>
      <c r="F3358" s="1399">
        <v>83872.97</v>
      </c>
      <c r="I3358" s="1399">
        <v>83872.97</v>
      </c>
    </row>
    <row r="3359" spans="2:9">
      <c r="B3359" s="1297"/>
      <c r="C3359" s="1297"/>
      <c r="D3359" s="1297" t="s">
        <v>1044</v>
      </c>
      <c r="F3359" s="1399">
        <v>37495.25</v>
      </c>
      <c r="I3359" s="1399">
        <v>37495.25</v>
      </c>
    </row>
    <row r="3360" spans="2:9">
      <c r="B3360" s="1297"/>
      <c r="C3360" s="1297"/>
      <c r="D3360" s="1297" t="s">
        <v>1045</v>
      </c>
      <c r="F3360" s="1399">
        <v>873613.15</v>
      </c>
      <c r="I3360" s="1399">
        <v>873613.15</v>
      </c>
    </row>
    <row r="3361" spans="2:9">
      <c r="B3361" s="1297"/>
      <c r="C3361" s="1297"/>
      <c r="D3361" s="1297" t="s">
        <v>1046</v>
      </c>
      <c r="H3361" s="1399">
        <v>32791254</v>
      </c>
      <c r="I3361" s="1399">
        <v>32791254</v>
      </c>
    </row>
    <row r="3362" spans="2:9">
      <c r="B3362" s="1297"/>
      <c r="C3362" s="1297"/>
      <c r="D3362" s="1297" t="s">
        <v>1128</v>
      </c>
      <c r="H3362" s="1399">
        <v>2562306</v>
      </c>
      <c r="I3362" s="1399">
        <v>2562306</v>
      </c>
    </row>
    <row r="3363" spans="2:9">
      <c r="B3363" s="1297"/>
      <c r="C3363" s="1297"/>
      <c r="D3363" s="1297" t="s">
        <v>1129</v>
      </c>
      <c r="H3363" s="1399">
        <v>-4738203</v>
      </c>
      <c r="I3363" s="1399">
        <v>-4738203</v>
      </c>
    </row>
    <row r="3364" spans="2:9">
      <c r="B3364" s="1297"/>
      <c r="C3364" s="1297"/>
      <c r="D3364" s="1297" t="s">
        <v>1047</v>
      </c>
      <c r="H3364" s="1399">
        <v>1276821</v>
      </c>
      <c r="I3364" s="1399">
        <v>1276821</v>
      </c>
    </row>
    <row r="3365" spans="2:9">
      <c r="B3365" s="1297"/>
      <c r="C3365" s="1297"/>
      <c r="D3365" s="1297" t="s">
        <v>1048</v>
      </c>
      <c r="H3365" s="1399">
        <v>-3784731</v>
      </c>
      <c r="I3365" s="1399">
        <v>-3784731</v>
      </c>
    </row>
    <row r="3366" spans="2:9">
      <c r="B3366" s="1297"/>
      <c r="C3366" s="1297"/>
      <c r="D3366" s="1297" t="s">
        <v>932</v>
      </c>
      <c r="H3366" s="1399">
        <v>2793308</v>
      </c>
      <c r="I3366" s="1399">
        <v>2793308</v>
      </c>
    </row>
    <row r="3367" spans="2:9">
      <c r="B3367" s="1297"/>
      <c r="C3367" s="1297"/>
      <c r="D3367" s="1297" t="s">
        <v>955</v>
      </c>
      <c r="H3367" s="1399">
        <v>1598099.43</v>
      </c>
      <c r="I3367" s="1399">
        <v>1598099.43</v>
      </c>
    </row>
    <row r="3368" spans="2:9">
      <c r="B3368" s="1297"/>
      <c r="C3368" s="1297"/>
      <c r="D3368" s="1297" t="s">
        <v>934</v>
      </c>
      <c r="H3368" s="1399">
        <v>109716</v>
      </c>
      <c r="I3368" s="1399">
        <v>109716</v>
      </c>
    </row>
    <row r="3369" spans="2:9">
      <c r="B3369" s="1297"/>
      <c r="C3369" s="1297"/>
      <c r="D3369" s="1297" t="s">
        <v>935</v>
      </c>
      <c r="H3369" s="1399">
        <v>811398.5</v>
      </c>
      <c r="I3369" s="1399">
        <v>811398.5</v>
      </c>
    </row>
    <row r="3370" spans="2:9">
      <c r="B3370" s="1297"/>
      <c r="C3370" s="1297"/>
      <c r="D3370" s="1297" t="s">
        <v>936</v>
      </c>
      <c r="H3370" s="1399">
        <v>85086.58</v>
      </c>
      <c r="I3370" s="1399">
        <v>85086.58</v>
      </c>
    </row>
    <row r="3371" spans="2:9">
      <c r="B3371" s="1297"/>
      <c r="C3371" s="1297"/>
      <c r="D3371" s="1297" t="s">
        <v>937</v>
      </c>
      <c r="H3371" s="1399">
        <v>29328.49</v>
      </c>
      <c r="I3371" s="1399">
        <v>29328.49</v>
      </c>
    </row>
    <row r="3372" spans="2:9">
      <c r="B3372" s="1297"/>
      <c r="C3372" s="1297"/>
      <c r="D3372" s="1297" t="s">
        <v>938</v>
      </c>
      <c r="H3372" s="1399">
        <v>32378</v>
      </c>
      <c r="I3372" s="1399">
        <v>32378</v>
      </c>
    </row>
    <row r="3373" spans="2:9">
      <c r="B3373" s="1297"/>
      <c r="C3373" s="1297"/>
      <c r="D3373" s="1297" t="s">
        <v>940</v>
      </c>
      <c r="E3373" s="1399">
        <v>1792048.06</v>
      </c>
      <c r="I3373" s="1399">
        <v>1792048.06</v>
      </c>
    </row>
    <row r="3374" spans="2:9">
      <c r="B3374" s="1297"/>
      <c r="C3374" s="1297"/>
      <c r="D3374" s="1297" t="s">
        <v>941</v>
      </c>
      <c r="E3374" s="1399">
        <v>655228.12</v>
      </c>
      <c r="I3374" s="1399">
        <v>655228.12</v>
      </c>
    </row>
    <row r="3375" spans="2:9">
      <c r="B3375" s="1297"/>
      <c r="C3375" s="1297"/>
      <c r="D3375" s="1297" t="s">
        <v>943</v>
      </c>
      <c r="E3375" s="1399">
        <v>30621.200000000001</v>
      </c>
      <c r="I3375" s="1399">
        <v>30621.200000000001</v>
      </c>
    </row>
    <row r="3376" spans="2:9">
      <c r="B3376" s="1297"/>
      <c r="C3376" s="1297"/>
      <c r="D3376" s="1297" t="s">
        <v>944</v>
      </c>
      <c r="E3376" s="1399">
        <v>2956652</v>
      </c>
      <c r="I3376" s="1399">
        <v>2956652</v>
      </c>
    </row>
    <row r="3377" spans="2:9">
      <c r="B3377" s="1297"/>
      <c r="C3377" s="1297"/>
      <c r="D3377" s="1297" t="s">
        <v>945</v>
      </c>
      <c r="E3377" s="1399">
        <v>3041451.65</v>
      </c>
      <c r="I3377" s="1399">
        <v>3041451.65</v>
      </c>
    </row>
    <row r="3378" spans="2:9">
      <c r="B3378" s="1297"/>
      <c r="C3378" s="1297"/>
      <c r="D3378" s="1297" t="s">
        <v>946</v>
      </c>
      <c r="E3378" s="1399">
        <v>1440.66</v>
      </c>
      <c r="I3378" s="1399">
        <v>1440.66</v>
      </c>
    </row>
    <row r="3379" spans="2:9">
      <c r="B3379" s="1297"/>
      <c r="C3379" s="1297"/>
      <c r="D3379" s="1297" t="s">
        <v>978</v>
      </c>
      <c r="E3379" s="1399">
        <v>1200</v>
      </c>
      <c r="I3379" s="1399">
        <v>1200</v>
      </c>
    </row>
    <row r="3380" spans="2:9">
      <c r="B3380" s="1297"/>
      <c r="C3380" s="1297"/>
      <c r="D3380" s="1297" t="s">
        <v>947</v>
      </c>
      <c r="E3380" s="1399">
        <v>221223.33000000002</v>
      </c>
      <c r="I3380" s="1399">
        <v>221223.33000000002</v>
      </c>
    </row>
    <row r="3381" spans="2:9">
      <c r="B3381" s="1297"/>
      <c r="C3381" s="1297"/>
      <c r="D3381" s="1297" t="s">
        <v>948</v>
      </c>
      <c r="G3381" s="1399">
        <v>1092455.8500000001</v>
      </c>
      <c r="I3381" s="1399">
        <v>1092455.8500000001</v>
      </c>
    </row>
    <row r="3382" spans="2:9">
      <c r="B3382" s="1297"/>
      <c r="C3382" s="1400" t="s">
        <v>1416</v>
      </c>
      <c r="D3382" s="1400"/>
      <c r="E3382" s="1401">
        <v>8699865.0200000014</v>
      </c>
      <c r="F3382" s="1401">
        <v>18367441.869999997</v>
      </c>
      <c r="G3382" s="1401">
        <v>1092455.8500000001</v>
      </c>
      <c r="H3382" s="1401">
        <v>33566762</v>
      </c>
      <c r="I3382" s="1401">
        <v>61726524.739999995</v>
      </c>
    </row>
    <row r="3383" spans="2:9">
      <c r="B3383" s="1297" t="s">
        <v>1417</v>
      </c>
      <c r="C3383" s="1297" t="s">
        <v>1418</v>
      </c>
      <c r="D3383" s="1297" t="s">
        <v>906</v>
      </c>
      <c r="F3383" s="1399">
        <v>13252497.729999999</v>
      </c>
      <c r="I3383" s="1399">
        <v>13252497.729999999</v>
      </c>
    </row>
    <row r="3384" spans="2:9">
      <c r="B3384" s="1297"/>
      <c r="C3384" s="1297"/>
      <c r="D3384" s="1297" t="s">
        <v>952</v>
      </c>
      <c r="F3384" s="1399">
        <v>246736.59</v>
      </c>
      <c r="I3384" s="1399">
        <v>246736.59</v>
      </c>
    </row>
    <row r="3385" spans="2:9">
      <c r="B3385" s="1297"/>
      <c r="C3385" s="1297"/>
      <c r="D3385" s="1297" t="s">
        <v>907</v>
      </c>
      <c r="F3385" s="1399">
        <v>3507965.79</v>
      </c>
      <c r="I3385" s="1399">
        <v>3507965.79</v>
      </c>
    </row>
    <row r="3386" spans="2:9">
      <c r="B3386" s="1297"/>
      <c r="C3386" s="1297"/>
      <c r="D3386" s="1297" t="s">
        <v>908</v>
      </c>
      <c r="F3386" s="1399">
        <v>16044.8</v>
      </c>
      <c r="I3386" s="1399">
        <v>16044.8</v>
      </c>
    </row>
    <row r="3387" spans="2:9">
      <c r="B3387" s="1297"/>
      <c r="C3387" s="1297"/>
      <c r="D3387" s="1297" t="s">
        <v>1035</v>
      </c>
      <c r="F3387" s="1399">
        <v>360524.9</v>
      </c>
      <c r="I3387" s="1399">
        <v>360524.9</v>
      </c>
    </row>
    <row r="3388" spans="2:9">
      <c r="B3388" s="1297"/>
      <c r="C3388" s="1297"/>
      <c r="D3388" s="1297" t="s">
        <v>1037</v>
      </c>
      <c r="F3388" s="1399">
        <v>84697.37</v>
      </c>
      <c r="I3388" s="1399">
        <v>84697.37</v>
      </c>
    </row>
    <row r="3389" spans="2:9">
      <c r="B3389" s="1297"/>
      <c r="C3389" s="1297"/>
      <c r="D3389" s="1297" t="s">
        <v>1039</v>
      </c>
      <c r="F3389" s="1399">
        <v>116415.01999999999</v>
      </c>
      <c r="I3389" s="1399">
        <v>116415.01999999999</v>
      </c>
    </row>
    <row r="3390" spans="2:9">
      <c r="B3390" s="1297"/>
      <c r="C3390" s="1297"/>
      <c r="D3390" s="1297" t="s">
        <v>1040</v>
      </c>
      <c r="F3390" s="1399">
        <v>710145.94</v>
      </c>
      <c r="I3390" s="1399">
        <v>710145.94</v>
      </c>
    </row>
    <row r="3391" spans="2:9">
      <c r="B3391" s="1297"/>
      <c r="C3391" s="1297"/>
      <c r="D3391" s="1297" t="s">
        <v>1041</v>
      </c>
      <c r="F3391" s="1399">
        <v>92520.02</v>
      </c>
      <c r="I3391" s="1399">
        <v>92520.02</v>
      </c>
    </row>
    <row r="3392" spans="2:9">
      <c r="B3392" s="1297"/>
      <c r="C3392" s="1297"/>
      <c r="D3392" s="1297" t="s">
        <v>1042</v>
      </c>
      <c r="F3392" s="1399">
        <v>69297.100000000006</v>
      </c>
      <c r="I3392" s="1399">
        <v>69297.100000000006</v>
      </c>
    </row>
    <row r="3393" spans="2:9">
      <c r="B3393" s="1297"/>
      <c r="C3393" s="1297"/>
      <c r="D3393" s="1297" t="s">
        <v>985</v>
      </c>
      <c r="F3393" s="1399">
        <v>247039.5</v>
      </c>
      <c r="I3393" s="1399">
        <v>247039.5</v>
      </c>
    </row>
    <row r="3394" spans="2:9">
      <c r="B3394" s="1297"/>
      <c r="C3394" s="1297"/>
      <c r="D3394" s="1297" t="s">
        <v>1043</v>
      </c>
      <c r="F3394" s="1399">
        <v>26241</v>
      </c>
      <c r="I3394" s="1399">
        <v>26241</v>
      </c>
    </row>
    <row r="3395" spans="2:9">
      <c r="B3395" s="1297"/>
      <c r="C3395" s="1297"/>
      <c r="D3395" s="1297" t="s">
        <v>986</v>
      </c>
      <c r="F3395" s="1399">
        <v>741472.08</v>
      </c>
      <c r="I3395" s="1399">
        <v>741472.08</v>
      </c>
    </row>
    <row r="3396" spans="2:9">
      <c r="B3396" s="1297"/>
      <c r="C3396" s="1297"/>
      <c r="D3396" s="1297" t="s">
        <v>1045</v>
      </c>
      <c r="F3396" s="1399">
        <v>579498.17999999993</v>
      </c>
      <c r="I3396" s="1399">
        <v>579498.17999999993</v>
      </c>
    </row>
    <row r="3397" spans="2:9">
      <c r="B3397" s="1297"/>
      <c r="C3397" s="1297"/>
      <c r="D3397" s="1297" t="s">
        <v>1046</v>
      </c>
      <c r="H3397" s="1399">
        <v>27323140</v>
      </c>
      <c r="I3397" s="1399">
        <v>27323140</v>
      </c>
    </row>
    <row r="3398" spans="2:9">
      <c r="B3398" s="1297"/>
      <c r="C3398" s="1297"/>
      <c r="D3398" s="1297" t="s">
        <v>1047</v>
      </c>
      <c r="H3398" s="1399">
        <v>875907</v>
      </c>
      <c r="I3398" s="1399">
        <v>875907</v>
      </c>
    </row>
    <row r="3399" spans="2:9">
      <c r="B3399" s="1297"/>
      <c r="C3399" s="1297"/>
      <c r="D3399" s="1297" t="s">
        <v>1048</v>
      </c>
      <c r="H3399" s="1399">
        <v>-3914837</v>
      </c>
      <c r="I3399" s="1399">
        <v>-3914837</v>
      </c>
    </row>
    <row r="3400" spans="2:9">
      <c r="B3400" s="1297"/>
      <c r="C3400" s="1297"/>
      <c r="D3400" s="1297" t="s">
        <v>932</v>
      </c>
      <c r="H3400" s="1399">
        <v>2807865</v>
      </c>
      <c r="I3400" s="1399">
        <v>2807865</v>
      </c>
    </row>
    <row r="3401" spans="2:9">
      <c r="B3401" s="1297"/>
      <c r="C3401" s="1297"/>
      <c r="D3401" s="1297" t="s">
        <v>955</v>
      </c>
      <c r="H3401" s="1399">
        <v>1168636.97</v>
      </c>
      <c r="I3401" s="1399">
        <v>1168636.97</v>
      </c>
    </row>
    <row r="3402" spans="2:9">
      <c r="B3402" s="1297"/>
      <c r="C3402" s="1297"/>
      <c r="D3402" s="1297" t="s">
        <v>934</v>
      </c>
      <c r="H3402" s="1399">
        <v>93000</v>
      </c>
      <c r="I3402" s="1399">
        <v>93000</v>
      </c>
    </row>
    <row r="3403" spans="2:9">
      <c r="B3403" s="1297"/>
      <c r="C3403" s="1297"/>
      <c r="D3403" s="1297" t="s">
        <v>935</v>
      </c>
      <c r="H3403" s="1399">
        <v>532172.13</v>
      </c>
      <c r="I3403" s="1399">
        <v>532172.13</v>
      </c>
    </row>
    <row r="3404" spans="2:9">
      <c r="B3404" s="1297"/>
      <c r="C3404" s="1297"/>
      <c r="D3404" s="1297" t="s">
        <v>936</v>
      </c>
      <c r="H3404" s="1399">
        <v>77733.42</v>
      </c>
      <c r="I3404" s="1399">
        <v>77733.42</v>
      </c>
    </row>
    <row r="3405" spans="2:9">
      <c r="B3405" s="1297"/>
      <c r="C3405" s="1297"/>
      <c r="D3405" s="1297" t="s">
        <v>937</v>
      </c>
      <c r="H3405" s="1399">
        <v>12797.28</v>
      </c>
      <c r="I3405" s="1399">
        <v>12797.28</v>
      </c>
    </row>
    <row r="3406" spans="2:9">
      <c r="B3406" s="1297"/>
      <c r="C3406" s="1297"/>
      <c r="D3406" s="1297" t="s">
        <v>938</v>
      </c>
      <c r="H3406" s="1399">
        <v>31817</v>
      </c>
      <c r="I3406" s="1399">
        <v>31817</v>
      </c>
    </row>
    <row r="3407" spans="2:9">
      <c r="B3407" s="1297"/>
      <c r="C3407" s="1297"/>
      <c r="D3407" s="1297" t="s">
        <v>1131</v>
      </c>
      <c r="E3407" s="1399">
        <v>72858</v>
      </c>
      <c r="I3407" s="1399">
        <v>72858</v>
      </c>
    </row>
    <row r="3408" spans="2:9">
      <c r="B3408" s="1297"/>
      <c r="C3408" s="1297"/>
      <c r="D3408" s="1297" t="s">
        <v>940</v>
      </c>
      <c r="E3408" s="1399">
        <v>1146711.76</v>
      </c>
      <c r="I3408" s="1399">
        <v>1146711.76</v>
      </c>
    </row>
    <row r="3409" spans="2:9">
      <c r="B3409" s="1297"/>
      <c r="C3409" s="1297"/>
      <c r="D3409" s="1297" t="s">
        <v>941</v>
      </c>
      <c r="E3409" s="1399">
        <v>320630.64</v>
      </c>
      <c r="I3409" s="1399">
        <v>320630.64</v>
      </c>
    </row>
    <row r="3410" spans="2:9">
      <c r="B3410" s="1297"/>
      <c r="C3410" s="1297"/>
      <c r="D3410" s="1297" t="s">
        <v>944</v>
      </c>
      <c r="E3410" s="1399">
        <v>2229802.9300000002</v>
      </c>
      <c r="I3410" s="1399">
        <v>2229802.9300000002</v>
      </c>
    </row>
    <row r="3411" spans="2:9">
      <c r="B3411" s="1297"/>
      <c r="C3411" s="1297"/>
      <c r="D3411" s="1297" t="s">
        <v>945</v>
      </c>
      <c r="E3411" s="1399">
        <v>1890278.33</v>
      </c>
      <c r="I3411" s="1399">
        <v>1890278.33</v>
      </c>
    </row>
    <row r="3412" spans="2:9">
      <c r="B3412" s="1297"/>
      <c r="C3412" s="1297"/>
      <c r="D3412" s="1297" t="s">
        <v>946</v>
      </c>
      <c r="E3412" s="1399">
        <v>89.31</v>
      </c>
      <c r="I3412" s="1399">
        <v>89.31</v>
      </c>
    </row>
    <row r="3413" spans="2:9">
      <c r="B3413" s="1297"/>
      <c r="C3413" s="1297"/>
      <c r="D3413" s="1297" t="s">
        <v>978</v>
      </c>
      <c r="E3413" s="1399">
        <v>3600</v>
      </c>
      <c r="I3413" s="1399">
        <v>3600</v>
      </c>
    </row>
    <row r="3414" spans="2:9">
      <c r="B3414" s="1297"/>
      <c r="C3414" s="1297"/>
      <c r="D3414" s="1297" t="s">
        <v>947</v>
      </c>
      <c r="E3414" s="1399">
        <v>121266.97</v>
      </c>
      <c r="I3414" s="1399">
        <v>121266.97</v>
      </c>
    </row>
    <row r="3415" spans="2:9">
      <c r="B3415" s="1297"/>
      <c r="C3415" s="1297"/>
      <c r="D3415" s="1297" t="s">
        <v>948</v>
      </c>
      <c r="G3415" s="1399">
        <v>585317.44999999995</v>
      </c>
      <c r="I3415" s="1399">
        <v>585317.44999999995</v>
      </c>
    </row>
    <row r="3416" spans="2:9">
      <c r="B3416" s="1297"/>
      <c r="C3416" s="1297"/>
      <c r="D3416" s="1297" t="s">
        <v>956</v>
      </c>
      <c r="G3416" s="1399">
        <v>29019.41</v>
      </c>
      <c r="I3416" s="1399">
        <v>29019.41</v>
      </c>
    </row>
    <row r="3417" spans="2:9">
      <c r="B3417" s="1297"/>
      <c r="C3417" s="1297"/>
      <c r="D3417" s="1297" t="s">
        <v>1118</v>
      </c>
      <c r="G3417" s="1399">
        <v>231</v>
      </c>
      <c r="I3417" s="1399">
        <v>231</v>
      </c>
    </row>
    <row r="3418" spans="2:9">
      <c r="B3418" s="1297"/>
      <c r="C3418" s="1400" t="s">
        <v>1419</v>
      </c>
      <c r="D3418" s="1400"/>
      <c r="E3418" s="1401">
        <v>5785237.9399999995</v>
      </c>
      <c r="F3418" s="1401">
        <v>20051096.02</v>
      </c>
      <c r="G3418" s="1401">
        <v>614567.86</v>
      </c>
      <c r="H3418" s="1401">
        <v>29008231.800000001</v>
      </c>
      <c r="I3418" s="1401">
        <v>55459133.619999997</v>
      </c>
    </row>
    <row r="3419" spans="2:9">
      <c r="B3419" s="1297" t="s">
        <v>1420</v>
      </c>
      <c r="C3419" s="1297" t="s">
        <v>1421</v>
      </c>
      <c r="D3419" s="1297" t="s">
        <v>906</v>
      </c>
      <c r="F3419" s="1399">
        <v>17397972.890000001</v>
      </c>
      <c r="I3419" s="1399">
        <v>17397972.890000001</v>
      </c>
    </row>
    <row r="3420" spans="2:9">
      <c r="B3420" s="1297"/>
      <c r="C3420" s="1297"/>
      <c r="D3420" s="1297" t="s">
        <v>907</v>
      </c>
      <c r="F3420" s="1399">
        <v>7921039.7800000003</v>
      </c>
      <c r="I3420" s="1399">
        <v>7921039.7800000003</v>
      </c>
    </row>
    <row r="3421" spans="2:9">
      <c r="B3421" s="1297"/>
      <c r="C3421" s="1297"/>
      <c r="D3421" s="1297" t="s">
        <v>995</v>
      </c>
      <c r="F3421" s="1399">
        <v>51308.23</v>
      </c>
      <c r="I3421" s="1399">
        <v>51308.23</v>
      </c>
    </row>
    <row r="3422" spans="2:9">
      <c r="B3422" s="1297"/>
      <c r="C3422" s="1297"/>
      <c r="D3422" s="1297" t="s">
        <v>908</v>
      </c>
      <c r="F3422" s="1399">
        <v>32634.639999999999</v>
      </c>
      <c r="I3422" s="1399">
        <v>32634.639999999999</v>
      </c>
    </row>
    <row r="3423" spans="2:9">
      <c r="B3423" s="1297"/>
      <c r="C3423" s="1297"/>
      <c r="D3423" s="1297" t="s">
        <v>909</v>
      </c>
      <c r="F3423" s="1399">
        <v>34547.26</v>
      </c>
      <c r="I3423" s="1399">
        <v>34547.26</v>
      </c>
    </row>
    <row r="3424" spans="2:9">
      <c r="B3424" s="1297"/>
      <c r="C3424" s="1297"/>
      <c r="D3424" s="1297" t="s">
        <v>910</v>
      </c>
      <c r="F3424" s="1399">
        <v>99818.15</v>
      </c>
      <c r="I3424" s="1399">
        <v>99818.15</v>
      </c>
    </row>
    <row r="3425" spans="2:9">
      <c r="B3425" s="1297"/>
      <c r="C3425" s="1297"/>
      <c r="D3425" s="1297" t="s">
        <v>1034</v>
      </c>
      <c r="F3425" s="1399">
        <v>49421.01</v>
      </c>
      <c r="I3425" s="1399">
        <v>49421.01</v>
      </c>
    </row>
    <row r="3426" spans="2:9">
      <c r="B3426" s="1297"/>
      <c r="C3426" s="1297"/>
      <c r="D3426" s="1297" t="s">
        <v>1035</v>
      </c>
      <c r="F3426" s="1399">
        <v>1229070.4099999999</v>
      </c>
      <c r="I3426" s="1399">
        <v>1229070.4099999999</v>
      </c>
    </row>
    <row r="3427" spans="2:9">
      <c r="B3427" s="1297"/>
      <c r="C3427" s="1297"/>
      <c r="D3427" s="1297" t="s">
        <v>1036</v>
      </c>
      <c r="F3427" s="1399">
        <v>139131.82</v>
      </c>
      <c r="I3427" s="1399">
        <v>139131.82</v>
      </c>
    </row>
    <row r="3428" spans="2:9">
      <c r="B3428" s="1297"/>
      <c r="C3428" s="1297"/>
      <c r="D3428" s="1297" t="s">
        <v>1039</v>
      </c>
      <c r="F3428" s="1399">
        <v>154712.9</v>
      </c>
      <c r="I3428" s="1399">
        <v>154712.9</v>
      </c>
    </row>
    <row r="3429" spans="2:9">
      <c r="B3429" s="1297"/>
      <c r="C3429" s="1297"/>
      <c r="D3429" s="1297" t="s">
        <v>1040</v>
      </c>
      <c r="F3429" s="1399">
        <v>1082349.32</v>
      </c>
      <c r="I3429" s="1399">
        <v>1082349.32</v>
      </c>
    </row>
    <row r="3430" spans="2:9">
      <c r="B3430" s="1297"/>
      <c r="C3430" s="1297"/>
      <c r="D3430" s="1297" t="s">
        <v>1041</v>
      </c>
      <c r="F3430" s="1399">
        <v>18206.89</v>
      </c>
      <c r="I3430" s="1399">
        <v>18206.89</v>
      </c>
    </row>
    <row r="3431" spans="2:9">
      <c r="B3431" s="1297"/>
      <c r="C3431" s="1297"/>
      <c r="D3431" s="1297" t="s">
        <v>1042</v>
      </c>
      <c r="F3431" s="1399">
        <v>154135.28</v>
      </c>
      <c r="I3431" s="1399">
        <v>154135.28</v>
      </c>
    </row>
    <row r="3432" spans="2:9">
      <c r="B3432" s="1297"/>
      <c r="C3432" s="1297"/>
      <c r="D3432" s="1297" t="s">
        <v>1043</v>
      </c>
      <c r="F3432" s="1399">
        <v>33130</v>
      </c>
      <c r="I3432" s="1399">
        <v>33130</v>
      </c>
    </row>
    <row r="3433" spans="2:9">
      <c r="B3433" s="1297"/>
      <c r="C3433" s="1297"/>
      <c r="D3433" s="1297" t="s">
        <v>996</v>
      </c>
      <c r="F3433" s="1399">
        <v>5305.8</v>
      </c>
      <c r="I3433" s="1399">
        <v>5305.8</v>
      </c>
    </row>
    <row r="3434" spans="2:9">
      <c r="B3434" s="1297"/>
      <c r="C3434" s="1297"/>
      <c r="D3434" s="1297" t="s">
        <v>1044</v>
      </c>
      <c r="F3434" s="1399">
        <v>76453.98</v>
      </c>
      <c r="I3434" s="1399">
        <v>76453.98</v>
      </c>
    </row>
    <row r="3435" spans="2:9">
      <c r="B3435" s="1297"/>
      <c r="C3435" s="1297"/>
      <c r="D3435" s="1297" t="s">
        <v>1045</v>
      </c>
      <c r="F3435" s="1399">
        <v>247972.01</v>
      </c>
      <c r="I3435" s="1399">
        <v>247972.01</v>
      </c>
    </row>
    <row r="3436" spans="2:9">
      <c r="B3436" s="1297"/>
      <c r="C3436" s="1297"/>
      <c r="D3436" s="1297" t="s">
        <v>1046</v>
      </c>
      <c r="H3436" s="1399">
        <v>50540266</v>
      </c>
      <c r="I3436" s="1399">
        <v>50540266</v>
      </c>
    </row>
    <row r="3437" spans="2:9">
      <c r="B3437" s="1297"/>
      <c r="C3437" s="1297"/>
      <c r="D3437" s="1297" t="s">
        <v>1128</v>
      </c>
      <c r="H3437" s="1399">
        <v>4430790</v>
      </c>
      <c r="I3437" s="1399">
        <v>4430790</v>
      </c>
    </row>
    <row r="3438" spans="2:9">
      <c r="B3438" s="1297"/>
      <c r="C3438" s="1297"/>
      <c r="D3438" s="1297" t="s">
        <v>1129</v>
      </c>
      <c r="H3438" s="1399">
        <v>-8562440</v>
      </c>
      <c r="I3438" s="1399">
        <v>-8562440</v>
      </c>
    </row>
    <row r="3439" spans="2:9">
      <c r="B3439" s="1297"/>
      <c r="C3439" s="1297"/>
      <c r="D3439" s="1297" t="s">
        <v>1047</v>
      </c>
      <c r="H3439" s="1399">
        <v>1182872</v>
      </c>
      <c r="I3439" s="1399">
        <v>1182872</v>
      </c>
    </row>
    <row r="3440" spans="2:9">
      <c r="B3440" s="1297"/>
      <c r="C3440" s="1297"/>
      <c r="D3440" s="1297" t="s">
        <v>1048</v>
      </c>
      <c r="H3440" s="1399">
        <v>-5824647</v>
      </c>
      <c r="I3440" s="1399">
        <v>-5824647</v>
      </c>
    </row>
    <row r="3441" spans="2:9">
      <c r="B3441" s="1297"/>
      <c r="C3441" s="1297"/>
      <c r="D3441" s="1297" t="s">
        <v>932</v>
      </c>
      <c r="H3441" s="1399">
        <v>10905796</v>
      </c>
      <c r="I3441" s="1399">
        <v>10905796</v>
      </c>
    </row>
    <row r="3442" spans="2:9">
      <c r="B3442" s="1297"/>
      <c r="C3442" s="1297"/>
      <c r="D3442" s="1297" t="s">
        <v>955</v>
      </c>
      <c r="H3442" s="1399">
        <v>1694803.31</v>
      </c>
      <c r="I3442" s="1399">
        <v>1694803.31</v>
      </c>
    </row>
    <row r="3443" spans="2:9">
      <c r="B3443" s="1297"/>
      <c r="C3443" s="1297"/>
      <c r="D3443" s="1297" t="s">
        <v>934</v>
      </c>
      <c r="H3443" s="1399">
        <v>173656</v>
      </c>
      <c r="I3443" s="1399">
        <v>173656</v>
      </c>
    </row>
    <row r="3444" spans="2:9">
      <c r="B3444" s="1297"/>
      <c r="C3444" s="1297"/>
      <c r="D3444" s="1297" t="s">
        <v>935</v>
      </c>
      <c r="H3444" s="1399">
        <v>296429.98</v>
      </c>
      <c r="I3444" s="1399">
        <v>296429.98</v>
      </c>
    </row>
    <row r="3445" spans="2:9">
      <c r="B3445" s="1297"/>
      <c r="C3445" s="1297"/>
      <c r="D3445" s="1297" t="s">
        <v>936</v>
      </c>
      <c r="H3445" s="1399">
        <v>125704.04</v>
      </c>
      <c r="I3445" s="1399">
        <v>125704.04</v>
      </c>
    </row>
    <row r="3446" spans="2:9">
      <c r="B3446" s="1297"/>
      <c r="C3446" s="1297"/>
      <c r="D3446" s="1297" t="s">
        <v>937</v>
      </c>
      <c r="H3446" s="1399">
        <v>20300.689999999999</v>
      </c>
      <c r="I3446" s="1399">
        <v>20300.689999999999</v>
      </c>
    </row>
    <row r="3447" spans="2:9">
      <c r="B3447" s="1297"/>
      <c r="C3447" s="1297"/>
      <c r="D3447" s="1297" t="s">
        <v>938</v>
      </c>
      <c r="H3447" s="1399">
        <v>61950</v>
      </c>
      <c r="I3447" s="1399">
        <v>61950</v>
      </c>
    </row>
    <row r="3448" spans="2:9">
      <c r="B3448" s="1297"/>
      <c r="C3448" s="1297"/>
      <c r="D3448" s="1297" t="s">
        <v>939</v>
      </c>
      <c r="H3448" s="1399">
        <v>21573.360000000001</v>
      </c>
      <c r="I3448" s="1399">
        <v>21573.360000000001</v>
      </c>
    </row>
    <row r="3449" spans="2:9">
      <c r="B3449" s="1297"/>
      <c r="C3449" s="1297"/>
      <c r="D3449" s="1297" t="s">
        <v>1131</v>
      </c>
      <c r="E3449" s="1399">
        <v>173526.85</v>
      </c>
      <c r="I3449" s="1399">
        <v>173526.85</v>
      </c>
    </row>
    <row r="3450" spans="2:9">
      <c r="B3450" s="1297"/>
      <c r="C3450" s="1297"/>
      <c r="D3450" s="1297" t="s">
        <v>940</v>
      </c>
      <c r="E3450" s="1399">
        <v>2811134.48</v>
      </c>
      <c r="I3450" s="1399">
        <v>2811134.48</v>
      </c>
    </row>
    <row r="3451" spans="2:9">
      <c r="B3451" s="1297"/>
      <c r="C3451" s="1297"/>
      <c r="D3451" s="1297" t="s">
        <v>941</v>
      </c>
      <c r="E3451" s="1399">
        <v>1087048.26</v>
      </c>
      <c r="I3451" s="1399">
        <v>1087048.26</v>
      </c>
    </row>
    <row r="3452" spans="2:9">
      <c r="B3452" s="1297"/>
      <c r="C3452" s="1297"/>
      <c r="D3452" s="1297" t="s">
        <v>943</v>
      </c>
      <c r="E3452" s="1399">
        <v>11928.8</v>
      </c>
      <c r="I3452" s="1399">
        <v>11928.8</v>
      </c>
    </row>
    <row r="3453" spans="2:9">
      <c r="B3453" s="1297"/>
      <c r="C3453" s="1297"/>
      <c r="D3453" s="1297" t="s">
        <v>944</v>
      </c>
      <c r="E3453" s="1399">
        <v>5471228.2999999998</v>
      </c>
      <c r="I3453" s="1399">
        <v>5471228.2999999998</v>
      </c>
    </row>
    <row r="3454" spans="2:9">
      <c r="B3454" s="1297"/>
      <c r="C3454" s="1297"/>
      <c r="D3454" s="1297" t="s">
        <v>945</v>
      </c>
      <c r="E3454" s="1399">
        <v>3563202.44</v>
      </c>
      <c r="I3454" s="1399">
        <v>3563202.44</v>
      </c>
    </row>
    <row r="3455" spans="2:9">
      <c r="B3455" s="1297"/>
      <c r="C3455" s="1297"/>
      <c r="D3455" s="1297" t="s">
        <v>1006</v>
      </c>
      <c r="E3455" s="1399">
        <v>11001514.109999999</v>
      </c>
      <c r="I3455" s="1399">
        <v>11001514.109999999</v>
      </c>
    </row>
    <row r="3456" spans="2:9">
      <c r="B3456" s="1297"/>
      <c r="C3456" s="1297"/>
      <c r="D3456" s="1297" t="s">
        <v>947</v>
      </c>
      <c r="E3456" s="1399">
        <v>273574.81</v>
      </c>
      <c r="I3456" s="1399">
        <v>273574.81</v>
      </c>
    </row>
    <row r="3457" spans="2:9">
      <c r="B3457" s="1297"/>
      <c r="C3457" s="1297"/>
      <c r="D3457" s="1297" t="s">
        <v>1115</v>
      </c>
      <c r="E3457" s="1399">
        <v>841595</v>
      </c>
      <c r="I3457" s="1399">
        <v>841595</v>
      </c>
    </row>
    <row r="3458" spans="2:9">
      <c r="B3458" s="1297"/>
      <c r="C3458" s="1297"/>
      <c r="D3458" s="1297" t="s">
        <v>948</v>
      </c>
      <c r="G3458" s="1399">
        <v>5013512.84</v>
      </c>
      <c r="I3458" s="1399">
        <v>5013512.84</v>
      </c>
    </row>
    <row r="3459" spans="2:9">
      <c r="B3459" s="1297"/>
      <c r="C3459" s="1400" t="s">
        <v>1422</v>
      </c>
      <c r="D3459" s="1400"/>
      <c r="E3459" s="1401">
        <v>25234753.049999997</v>
      </c>
      <c r="F3459" s="1401">
        <v>28727210.370000008</v>
      </c>
      <c r="G3459" s="1401">
        <v>5013512.84</v>
      </c>
      <c r="H3459" s="1401">
        <v>55067054.379999995</v>
      </c>
      <c r="I3459" s="1401">
        <v>114042530.64000002</v>
      </c>
    </row>
    <row r="3460" spans="2:9">
      <c r="B3460" s="1297" t="s">
        <v>1423</v>
      </c>
      <c r="C3460" s="1297" t="s">
        <v>1424</v>
      </c>
      <c r="D3460" s="1297" t="s">
        <v>906</v>
      </c>
      <c r="F3460" s="1399">
        <v>4616863.96</v>
      </c>
      <c r="I3460" s="1399">
        <v>4616863.96</v>
      </c>
    </row>
    <row r="3461" spans="2:9">
      <c r="B3461" s="1297"/>
      <c r="C3461" s="1297"/>
      <c r="D3461" s="1297" t="s">
        <v>952</v>
      </c>
      <c r="F3461" s="1399">
        <v>36903.760000000002</v>
      </c>
      <c r="I3461" s="1399">
        <v>36903.760000000002</v>
      </c>
    </row>
    <row r="3462" spans="2:9">
      <c r="B3462" s="1297"/>
      <c r="C3462" s="1297"/>
      <c r="D3462" s="1297" t="s">
        <v>907</v>
      </c>
      <c r="F3462" s="1399">
        <v>730348.61</v>
      </c>
      <c r="I3462" s="1399">
        <v>730348.61</v>
      </c>
    </row>
    <row r="3463" spans="2:9">
      <c r="B3463" s="1297"/>
      <c r="C3463" s="1297"/>
      <c r="D3463" s="1297" t="s">
        <v>909</v>
      </c>
      <c r="F3463" s="1399">
        <v>27259.02</v>
      </c>
      <c r="I3463" s="1399">
        <v>27259.02</v>
      </c>
    </row>
    <row r="3464" spans="2:9">
      <c r="B3464" s="1297"/>
      <c r="C3464" s="1297"/>
      <c r="D3464" s="1297" t="s">
        <v>1034</v>
      </c>
      <c r="F3464" s="1399">
        <v>15498</v>
      </c>
      <c r="I3464" s="1399">
        <v>15498</v>
      </c>
    </row>
    <row r="3465" spans="2:9">
      <c r="B3465" s="1297"/>
      <c r="C3465" s="1297"/>
      <c r="D3465" s="1297" t="s">
        <v>1035</v>
      </c>
      <c r="F3465" s="1399">
        <v>292650.57</v>
      </c>
      <c r="I3465" s="1399">
        <v>292650.57</v>
      </c>
    </row>
    <row r="3466" spans="2:9">
      <c r="B3466" s="1297"/>
      <c r="C3466" s="1297"/>
      <c r="D3466" s="1297" t="s">
        <v>1036</v>
      </c>
      <c r="F3466" s="1399">
        <v>122368.1</v>
      </c>
      <c r="I3466" s="1399">
        <v>122368.1</v>
      </c>
    </row>
    <row r="3467" spans="2:9">
      <c r="B3467" s="1297"/>
      <c r="C3467" s="1297"/>
      <c r="D3467" s="1297" t="s">
        <v>1039</v>
      </c>
      <c r="F3467" s="1399">
        <v>58969.539999999994</v>
      </c>
      <c r="I3467" s="1399">
        <v>58969.539999999994</v>
      </c>
    </row>
    <row r="3468" spans="2:9">
      <c r="B3468" s="1297"/>
      <c r="C3468" s="1297"/>
      <c r="D3468" s="1297" t="s">
        <v>1040</v>
      </c>
      <c r="F3468" s="1399">
        <v>72401.59</v>
      </c>
      <c r="I3468" s="1399">
        <v>72401.59</v>
      </c>
    </row>
    <row r="3469" spans="2:9">
      <c r="B3469" s="1297"/>
      <c r="C3469" s="1297"/>
      <c r="D3469" s="1297" t="s">
        <v>1127</v>
      </c>
      <c r="F3469" s="1399">
        <v>11549.4</v>
      </c>
      <c r="I3469" s="1399">
        <v>11549.4</v>
      </c>
    </row>
    <row r="3470" spans="2:9">
      <c r="B3470" s="1297"/>
      <c r="C3470" s="1297"/>
      <c r="D3470" s="1297" t="s">
        <v>1041</v>
      </c>
      <c r="F3470" s="1399">
        <v>10473.52</v>
      </c>
      <c r="I3470" s="1399">
        <v>10473.52</v>
      </c>
    </row>
    <row r="3471" spans="2:9">
      <c r="B3471" s="1297"/>
      <c r="C3471" s="1297"/>
      <c r="D3471" s="1297" t="s">
        <v>1042</v>
      </c>
      <c r="F3471" s="1399">
        <v>24091.8</v>
      </c>
      <c r="I3471" s="1399">
        <v>24091.8</v>
      </c>
    </row>
    <row r="3472" spans="2:9">
      <c r="B3472" s="1297"/>
      <c r="C3472" s="1297"/>
      <c r="D3472" s="1297" t="s">
        <v>1043</v>
      </c>
      <c r="F3472" s="1399">
        <v>10540</v>
      </c>
      <c r="I3472" s="1399">
        <v>10540</v>
      </c>
    </row>
    <row r="3473" spans="2:9">
      <c r="B3473" s="1297"/>
      <c r="C3473" s="1297"/>
      <c r="D3473" s="1297" t="s">
        <v>996</v>
      </c>
      <c r="F3473" s="1399">
        <v>28893</v>
      </c>
      <c r="I3473" s="1399">
        <v>28893</v>
      </c>
    </row>
    <row r="3474" spans="2:9">
      <c r="B3474" s="1297"/>
      <c r="C3474" s="1297"/>
      <c r="D3474" s="1297" t="s">
        <v>1045</v>
      </c>
      <c r="F3474" s="1399">
        <v>12209.46</v>
      </c>
      <c r="I3474" s="1399">
        <v>12209.46</v>
      </c>
    </row>
    <row r="3475" spans="2:9">
      <c r="B3475" s="1297"/>
      <c r="C3475" s="1297"/>
      <c r="D3475" s="1297" t="s">
        <v>1046</v>
      </c>
      <c r="H3475" s="1399">
        <v>6970010</v>
      </c>
      <c r="I3475" s="1399">
        <v>6970010</v>
      </c>
    </row>
    <row r="3476" spans="2:9">
      <c r="B3476" s="1297"/>
      <c r="C3476" s="1297"/>
      <c r="D3476" s="1297" t="s">
        <v>1047</v>
      </c>
      <c r="H3476" s="1399">
        <v>367375</v>
      </c>
      <c r="I3476" s="1399">
        <v>367375</v>
      </c>
    </row>
    <row r="3477" spans="2:9">
      <c r="B3477" s="1297"/>
      <c r="C3477" s="1297"/>
      <c r="D3477" s="1297" t="s">
        <v>1048</v>
      </c>
      <c r="H3477" s="1399">
        <v>-1259158</v>
      </c>
      <c r="I3477" s="1399">
        <v>-1259158</v>
      </c>
    </row>
    <row r="3478" spans="2:9">
      <c r="B3478" s="1297"/>
      <c r="C3478" s="1297"/>
      <c r="D3478" s="1297" t="s">
        <v>932</v>
      </c>
      <c r="H3478" s="1399">
        <v>121940</v>
      </c>
      <c r="I3478" s="1399">
        <v>121940</v>
      </c>
    </row>
    <row r="3479" spans="2:9">
      <c r="B3479" s="1297"/>
      <c r="C3479" s="1297"/>
      <c r="D3479" s="1297" t="s">
        <v>955</v>
      </c>
      <c r="H3479" s="1399">
        <v>394894.22</v>
      </c>
      <c r="I3479" s="1399">
        <v>394894.22</v>
      </c>
    </row>
    <row r="3480" spans="2:9">
      <c r="B3480" s="1297"/>
      <c r="C3480" s="1297"/>
      <c r="D3480" s="1297" t="s">
        <v>934</v>
      </c>
      <c r="H3480" s="1399">
        <v>22332</v>
      </c>
      <c r="I3480" s="1399">
        <v>22332</v>
      </c>
    </row>
    <row r="3481" spans="2:9">
      <c r="B3481" s="1297"/>
      <c r="C3481" s="1297"/>
      <c r="D3481" s="1297" t="s">
        <v>935</v>
      </c>
      <c r="H3481" s="1399">
        <v>487432.13999999996</v>
      </c>
      <c r="I3481" s="1399">
        <v>487432.13999999996</v>
      </c>
    </row>
    <row r="3482" spans="2:9">
      <c r="B3482" s="1297"/>
      <c r="C3482" s="1297"/>
      <c r="D3482" s="1297" t="s">
        <v>936</v>
      </c>
      <c r="H3482" s="1399">
        <v>30463.1</v>
      </c>
      <c r="I3482" s="1399">
        <v>30463.1</v>
      </c>
    </row>
    <row r="3483" spans="2:9">
      <c r="B3483" s="1297"/>
      <c r="C3483" s="1297"/>
      <c r="D3483" s="1297" t="s">
        <v>937</v>
      </c>
      <c r="H3483" s="1399">
        <v>5985.08</v>
      </c>
      <c r="I3483" s="1399">
        <v>5985.08</v>
      </c>
    </row>
    <row r="3484" spans="2:9">
      <c r="B3484" s="1297"/>
      <c r="C3484" s="1297"/>
      <c r="D3484" s="1297" t="s">
        <v>938</v>
      </c>
      <c r="H3484" s="1399">
        <v>10107</v>
      </c>
      <c r="I3484" s="1399">
        <v>10107</v>
      </c>
    </row>
    <row r="3485" spans="2:9">
      <c r="B3485" s="1297"/>
      <c r="C3485" s="1297"/>
      <c r="D3485" s="1297" t="s">
        <v>939</v>
      </c>
      <c r="H3485" s="1399">
        <v>82870.51999999999</v>
      </c>
      <c r="I3485" s="1399">
        <v>82870.51999999999</v>
      </c>
    </row>
    <row r="3486" spans="2:9">
      <c r="B3486" s="1297"/>
      <c r="C3486" s="1297"/>
      <c r="D3486" s="1297" t="s">
        <v>940</v>
      </c>
      <c r="E3486" s="1399">
        <v>317314.86</v>
      </c>
      <c r="I3486" s="1399">
        <v>317314.86</v>
      </c>
    </row>
    <row r="3487" spans="2:9">
      <c r="B3487" s="1297"/>
      <c r="C3487" s="1297"/>
      <c r="D3487" s="1297" t="s">
        <v>941</v>
      </c>
      <c r="E3487" s="1399">
        <v>116700</v>
      </c>
      <c r="I3487" s="1399">
        <v>116700</v>
      </c>
    </row>
    <row r="3488" spans="2:9">
      <c r="B3488" s="1297"/>
      <c r="C3488" s="1297"/>
      <c r="D3488" s="1297" t="s">
        <v>942</v>
      </c>
      <c r="E3488" s="1399">
        <v>5234.18</v>
      </c>
      <c r="I3488" s="1399">
        <v>5234.18</v>
      </c>
    </row>
    <row r="3489" spans="2:9">
      <c r="B3489" s="1297"/>
      <c r="C3489" s="1297"/>
      <c r="D3489" s="1297" t="s">
        <v>943</v>
      </c>
      <c r="E3489" s="1399">
        <v>6270.02</v>
      </c>
      <c r="I3489" s="1399">
        <v>6270.02</v>
      </c>
    </row>
    <row r="3490" spans="2:9">
      <c r="B3490" s="1297"/>
      <c r="C3490" s="1297"/>
      <c r="D3490" s="1297" t="s">
        <v>944</v>
      </c>
      <c r="E3490" s="1399">
        <v>887092.31</v>
      </c>
      <c r="I3490" s="1399">
        <v>887092.31</v>
      </c>
    </row>
    <row r="3491" spans="2:9">
      <c r="B3491" s="1297"/>
      <c r="C3491" s="1297"/>
      <c r="D3491" s="1297" t="s">
        <v>945</v>
      </c>
      <c r="E3491" s="1399">
        <v>481556.91</v>
      </c>
      <c r="I3491" s="1399">
        <v>481556.91</v>
      </c>
    </row>
    <row r="3492" spans="2:9">
      <c r="B3492" s="1297"/>
      <c r="C3492" s="1297"/>
      <c r="D3492" s="1297" t="s">
        <v>1006</v>
      </c>
      <c r="E3492" s="1399">
        <v>192546</v>
      </c>
      <c r="I3492" s="1399">
        <v>192546</v>
      </c>
    </row>
    <row r="3493" spans="2:9">
      <c r="B3493" s="1297"/>
      <c r="C3493" s="1297"/>
      <c r="D3493" s="1297" t="s">
        <v>1214</v>
      </c>
      <c r="E3493" s="1399">
        <v>8175.06</v>
      </c>
      <c r="I3493" s="1399">
        <v>8175.06</v>
      </c>
    </row>
    <row r="3494" spans="2:9">
      <c r="B3494" s="1297"/>
      <c r="C3494" s="1297"/>
      <c r="D3494" s="1297" t="s">
        <v>947</v>
      </c>
      <c r="E3494" s="1399">
        <v>35493.61</v>
      </c>
      <c r="I3494" s="1399">
        <v>35493.61</v>
      </c>
    </row>
    <row r="3495" spans="2:9">
      <c r="B3495" s="1297"/>
      <c r="C3495" s="1297"/>
      <c r="D3495" s="1297" t="s">
        <v>1115</v>
      </c>
      <c r="E3495" s="1399">
        <v>68392.100000000006</v>
      </c>
      <c r="I3495" s="1399">
        <v>68392.100000000006</v>
      </c>
    </row>
    <row r="3496" spans="2:9">
      <c r="B3496" s="1297"/>
      <c r="C3496" s="1297"/>
      <c r="D3496" s="1297" t="s">
        <v>948</v>
      </c>
      <c r="G3496" s="1399">
        <v>1281702.74</v>
      </c>
      <c r="I3496" s="1399">
        <v>1281702.74</v>
      </c>
    </row>
    <row r="3497" spans="2:9">
      <c r="B3497" s="1297"/>
      <c r="C3497" s="1297"/>
      <c r="D3497" s="1297" t="s">
        <v>956</v>
      </c>
      <c r="G3497" s="1399">
        <v>15551.51</v>
      </c>
      <c r="I3497" s="1399">
        <v>15551.51</v>
      </c>
    </row>
    <row r="3498" spans="2:9">
      <c r="B3498" s="1297"/>
      <c r="C3498" s="1400" t="s">
        <v>1425</v>
      </c>
      <c r="D3498" s="1400"/>
      <c r="E3498" s="1401">
        <v>2118775.0500000003</v>
      </c>
      <c r="F3498" s="1401">
        <v>6071020.3299999991</v>
      </c>
      <c r="G3498" s="1401">
        <v>1297254.25</v>
      </c>
      <c r="H3498" s="1401">
        <v>7234251.0599999987</v>
      </c>
      <c r="I3498" s="1401">
        <v>16721300.689999998</v>
      </c>
    </row>
    <row r="3499" spans="2:9">
      <c r="B3499" s="1297" t="s">
        <v>1223</v>
      </c>
      <c r="C3499" s="1297" t="s">
        <v>1224</v>
      </c>
      <c r="D3499" s="1297" t="s">
        <v>906</v>
      </c>
      <c r="F3499" s="1399">
        <v>3407790.12</v>
      </c>
      <c r="I3499" s="1399">
        <v>3407790.12</v>
      </c>
    </row>
    <row r="3500" spans="2:9">
      <c r="B3500" s="1297"/>
      <c r="C3500" s="1297"/>
      <c r="D3500" s="1297" t="s">
        <v>952</v>
      </c>
      <c r="F3500" s="1399">
        <v>86946.22</v>
      </c>
      <c r="I3500" s="1399">
        <v>86946.22</v>
      </c>
    </row>
    <row r="3501" spans="2:9">
      <c r="B3501" s="1297"/>
      <c r="C3501" s="1297"/>
      <c r="D3501" s="1297" t="s">
        <v>907</v>
      </c>
      <c r="F3501" s="1399">
        <v>527465.53</v>
      </c>
      <c r="I3501" s="1399">
        <v>527465.53</v>
      </c>
    </row>
    <row r="3502" spans="2:9">
      <c r="B3502" s="1297"/>
      <c r="C3502" s="1297"/>
      <c r="D3502" s="1297" t="s">
        <v>908</v>
      </c>
      <c r="F3502" s="1399">
        <v>16366.15</v>
      </c>
      <c r="I3502" s="1399">
        <v>16366.15</v>
      </c>
    </row>
    <row r="3503" spans="2:9">
      <c r="B3503" s="1297"/>
      <c r="C3503" s="1297"/>
      <c r="D3503" s="1297" t="s">
        <v>909</v>
      </c>
      <c r="F3503" s="1399">
        <v>5457.89</v>
      </c>
      <c r="I3503" s="1399">
        <v>5457.89</v>
      </c>
    </row>
    <row r="3504" spans="2:9">
      <c r="B3504" s="1297"/>
      <c r="C3504" s="1297"/>
      <c r="D3504" s="1297" t="s">
        <v>910</v>
      </c>
      <c r="F3504" s="1399">
        <v>7400.04</v>
      </c>
      <c r="I3504" s="1399">
        <v>7400.04</v>
      </c>
    </row>
    <row r="3505" spans="2:9">
      <c r="B3505" s="1297"/>
      <c r="C3505" s="1297"/>
      <c r="D3505" s="1297" t="s">
        <v>1034</v>
      </c>
      <c r="F3505" s="1399">
        <v>10317.77</v>
      </c>
      <c r="I3505" s="1399">
        <v>10317.77</v>
      </c>
    </row>
    <row r="3506" spans="2:9">
      <c r="B3506" s="1297"/>
      <c r="C3506" s="1297"/>
      <c r="D3506" s="1297" t="s">
        <v>1035</v>
      </c>
      <c r="F3506" s="1399">
        <v>356755.22</v>
      </c>
      <c r="I3506" s="1399">
        <v>356755.22</v>
      </c>
    </row>
    <row r="3507" spans="2:9">
      <c r="B3507" s="1297"/>
      <c r="C3507" s="1297"/>
      <c r="D3507" s="1297" t="s">
        <v>1036</v>
      </c>
      <c r="F3507" s="1399">
        <v>67386.06</v>
      </c>
      <c r="I3507" s="1399">
        <v>67386.06</v>
      </c>
    </row>
    <row r="3508" spans="2:9">
      <c r="B3508" s="1297"/>
      <c r="C3508" s="1297"/>
      <c r="D3508" s="1297" t="s">
        <v>1039</v>
      </c>
      <c r="F3508" s="1399">
        <v>112745.55</v>
      </c>
      <c r="I3508" s="1399">
        <v>112745.55</v>
      </c>
    </row>
    <row r="3509" spans="2:9">
      <c r="B3509" s="1297"/>
      <c r="C3509" s="1297"/>
      <c r="D3509" s="1297" t="s">
        <v>1040</v>
      </c>
      <c r="F3509" s="1399">
        <v>144157.71</v>
      </c>
      <c r="I3509" s="1399">
        <v>144157.71</v>
      </c>
    </row>
    <row r="3510" spans="2:9">
      <c r="B3510" s="1297"/>
      <c r="C3510" s="1297"/>
      <c r="D3510" s="1297" t="s">
        <v>1041</v>
      </c>
      <c r="F3510" s="1399">
        <v>13868.81</v>
      </c>
      <c r="I3510" s="1399">
        <v>13868.81</v>
      </c>
    </row>
    <row r="3511" spans="2:9">
      <c r="B3511" s="1297"/>
      <c r="C3511" s="1297"/>
      <c r="D3511" s="1297" t="s">
        <v>1042</v>
      </c>
      <c r="F3511" s="1399">
        <v>38968.089999999997</v>
      </c>
      <c r="I3511" s="1399">
        <v>38968.089999999997</v>
      </c>
    </row>
    <row r="3512" spans="2:9">
      <c r="B3512" s="1297"/>
      <c r="C3512" s="1297"/>
      <c r="D3512" s="1297" t="s">
        <v>985</v>
      </c>
      <c r="F3512" s="1399">
        <v>84761.25</v>
      </c>
      <c r="I3512" s="1399">
        <v>84761.25</v>
      </c>
    </row>
    <row r="3513" spans="2:9">
      <c r="B3513" s="1297"/>
      <c r="C3513" s="1297"/>
      <c r="D3513" s="1297" t="s">
        <v>1044</v>
      </c>
      <c r="F3513" s="1399">
        <v>29713</v>
      </c>
      <c r="I3513" s="1399">
        <v>29713</v>
      </c>
    </row>
    <row r="3514" spans="2:9">
      <c r="B3514" s="1297"/>
      <c r="C3514" s="1297"/>
      <c r="D3514" s="1297" t="s">
        <v>1045</v>
      </c>
      <c r="F3514" s="1399">
        <v>48841.96</v>
      </c>
      <c r="I3514" s="1399">
        <v>48841.96</v>
      </c>
    </row>
    <row r="3515" spans="2:9">
      <c r="B3515" s="1297"/>
      <c r="C3515" s="1297"/>
      <c r="D3515" s="1297" t="s">
        <v>1046</v>
      </c>
      <c r="H3515" s="1399">
        <v>11072037</v>
      </c>
      <c r="I3515" s="1399">
        <v>11072037</v>
      </c>
    </row>
    <row r="3516" spans="2:9">
      <c r="B3516" s="1297"/>
      <c r="C3516" s="1297"/>
      <c r="D3516" s="1297" t="s">
        <v>1047</v>
      </c>
      <c r="H3516" s="1399">
        <v>343901</v>
      </c>
      <c r="I3516" s="1399">
        <v>343901</v>
      </c>
    </row>
    <row r="3517" spans="2:9">
      <c r="B3517" s="1297"/>
      <c r="C3517" s="1297"/>
      <c r="D3517" s="1297" t="s">
        <v>1048</v>
      </c>
      <c r="H3517" s="1399">
        <v>-968488</v>
      </c>
      <c r="I3517" s="1399">
        <v>-968488</v>
      </c>
    </row>
    <row r="3518" spans="2:9">
      <c r="B3518" s="1297"/>
      <c r="C3518" s="1297"/>
      <c r="D3518" s="1297" t="s">
        <v>932</v>
      </c>
      <c r="H3518" s="1399">
        <v>1382285</v>
      </c>
      <c r="I3518" s="1399">
        <v>1382285</v>
      </c>
    </row>
    <row r="3519" spans="2:9">
      <c r="B3519" s="1297"/>
      <c r="C3519" s="1297"/>
      <c r="D3519" s="1297" t="s">
        <v>955</v>
      </c>
      <c r="H3519" s="1399">
        <v>523907.61</v>
      </c>
      <c r="I3519" s="1399">
        <v>523907.61</v>
      </c>
    </row>
    <row r="3520" spans="2:9">
      <c r="B3520" s="1297"/>
      <c r="C3520" s="1297"/>
      <c r="D3520" s="1297" t="s">
        <v>934</v>
      </c>
      <c r="H3520" s="1399">
        <v>37236</v>
      </c>
      <c r="I3520" s="1399">
        <v>37236</v>
      </c>
    </row>
    <row r="3521" spans="2:9">
      <c r="B3521" s="1297"/>
      <c r="C3521" s="1297"/>
      <c r="D3521" s="1297" t="s">
        <v>935</v>
      </c>
      <c r="H3521" s="1399">
        <v>235206.21000000002</v>
      </c>
      <c r="I3521" s="1399">
        <v>235206.21000000002</v>
      </c>
    </row>
    <row r="3522" spans="2:9">
      <c r="B3522" s="1297"/>
      <c r="C3522" s="1297"/>
      <c r="D3522" s="1297" t="s">
        <v>936</v>
      </c>
      <c r="H3522" s="1399">
        <v>32564</v>
      </c>
      <c r="I3522" s="1399">
        <v>32564</v>
      </c>
    </row>
    <row r="3523" spans="2:9">
      <c r="B3523" s="1297"/>
      <c r="C3523" s="1297"/>
      <c r="D3523" s="1297" t="s">
        <v>937</v>
      </c>
      <c r="H3523" s="1399">
        <v>11699.76</v>
      </c>
      <c r="I3523" s="1399">
        <v>11699.76</v>
      </c>
    </row>
    <row r="3524" spans="2:9">
      <c r="B3524" s="1297"/>
      <c r="C3524" s="1297"/>
      <c r="D3524" s="1297" t="s">
        <v>938</v>
      </c>
      <c r="H3524" s="1399">
        <v>13663</v>
      </c>
      <c r="I3524" s="1399">
        <v>13663</v>
      </c>
    </row>
    <row r="3525" spans="2:9">
      <c r="B3525" s="1297"/>
      <c r="C3525" s="1297"/>
      <c r="D3525" s="1297" t="s">
        <v>939</v>
      </c>
      <c r="H3525" s="1399">
        <v>985.41</v>
      </c>
      <c r="I3525" s="1399">
        <v>985.41</v>
      </c>
    </row>
    <row r="3526" spans="2:9">
      <c r="B3526" s="1297"/>
      <c r="C3526" s="1297"/>
      <c r="D3526" s="1297" t="s">
        <v>940</v>
      </c>
      <c r="E3526" s="1399">
        <v>723065.14</v>
      </c>
      <c r="I3526" s="1399">
        <v>723065.14</v>
      </c>
    </row>
    <row r="3527" spans="2:9">
      <c r="B3527" s="1297"/>
      <c r="C3527" s="1297"/>
      <c r="D3527" s="1297" t="s">
        <v>941</v>
      </c>
      <c r="E3527" s="1399">
        <v>371422.96</v>
      </c>
      <c r="I3527" s="1399">
        <v>371422.96</v>
      </c>
    </row>
    <row r="3528" spans="2:9">
      <c r="B3528" s="1297"/>
      <c r="C3528" s="1297"/>
      <c r="D3528" s="1297" t="s">
        <v>943</v>
      </c>
      <c r="E3528" s="1399">
        <v>0</v>
      </c>
      <c r="I3528" s="1399">
        <v>0</v>
      </c>
    </row>
    <row r="3529" spans="2:9">
      <c r="B3529" s="1297"/>
      <c r="C3529" s="1297"/>
      <c r="D3529" s="1297" t="s">
        <v>944</v>
      </c>
      <c r="E3529" s="1399">
        <v>1776087.08</v>
      </c>
      <c r="I3529" s="1399">
        <v>1776087.08</v>
      </c>
    </row>
    <row r="3530" spans="2:9">
      <c r="B3530" s="1297"/>
      <c r="C3530" s="1297"/>
      <c r="D3530" s="1297" t="s">
        <v>945</v>
      </c>
      <c r="E3530" s="1399">
        <v>972171.6</v>
      </c>
      <c r="I3530" s="1399">
        <v>972171.6</v>
      </c>
    </row>
    <row r="3531" spans="2:9">
      <c r="B3531" s="1297"/>
      <c r="C3531" s="1297"/>
      <c r="D3531" s="1297" t="s">
        <v>1006</v>
      </c>
      <c r="E3531" s="1399">
        <v>237362.17</v>
      </c>
      <c r="I3531" s="1399">
        <v>237362.17</v>
      </c>
    </row>
    <row r="3532" spans="2:9">
      <c r="B3532" s="1297"/>
      <c r="C3532" s="1297"/>
      <c r="D3532" s="1297" t="s">
        <v>947</v>
      </c>
      <c r="E3532" s="1399">
        <v>29145.43</v>
      </c>
      <c r="I3532" s="1399">
        <v>29145.43</v>
      </c>
    </row>
    <row r="3533" spans="2:9">
      <c r="B3533" s="1297"/>
      <c r="C3533" s="1297"/>
      <c r="D3533" s="1297" t="s">
        <v>1115</v>
      </c>
      <c r="E3533" s="1399">
        <v>0</v>
      </c>
      <c r="I3533" s="1399">
        <v>0</v>
      </c>
    </row>
    <row r="3534" spans="2:9">
      <c r="B3534" s="1297"/>
      <c r="C3534" s="1297"/>
      <c r="D3534" s="1297" t="s">
        <v>1116</v>
      </c>
      <c r="G3534" s="1399">
        <v>5772991.7999999998</v>
      </c>
      <c r="I3534" s="1399">
        <v>5772991.7999999998</v>
      </c>
    </row>
    <row r="3535" spans="2:9">
      <c r="B3535" s="1297"/>
      <c r="C3535" s="1297"/>
      <c r="D3535" s="1297" t="s">
        <v>948</v>
      </c>
      <c r="G3535" s="1399">
        <v>527228.54999999993</v>
      </c>
      <c r="I3535" s="1399">
        <v>527228.54999999993</v>
      </c>
    </row>
    <row r="3536" spans="2:9">
      <c r="B3536" s="1297"/>
      <c r="C3536" s="1297"/>
      <c r="D3536" s="1297" t="s">
        <v>956</v>
      </c>
      <c r="G3536" s="1399">
        <v>1200</v>
      </c>
      <c r="I3536" s="1399">
        <v>1200</v>
      </c>
    </row>
    <row r="3537" spans="2:9">
      <c r="B3537" s="1297"/>
      <c r="C3537" s="1400" t="s">
        <v>1225</v>
      </c>
      <c r="D3537" s="1400"/>
      <c r="E3537" s="1401">
        <v>4109254.3800000004</v>
      </c>
      <c r="F3537" s="1401">
        <v>4958941.3699999992</v>
      </c>
      <c r="G3537" s="1401">
        <v>6301420.3499999996</v>
      </c>
      <c r="H3537" s="1401">
        <v>12684996.99</v>
      </c>
      <c r="I3537" s="1401">
        <v>28054613.090000004</v>
      </c>
    </row>
    <row r="3538" spans="2:9">
      <c r="B3538" s="1297" t="s">
        <v>1226</v>
      </c>
      <c r="C3538" s="1297" t="s">
        <v>1227</v>
      </c>
      <c r="D3538" s="1297" t="s">
        <v>906</v>
      </c>
      <c r="F3538" s="1399">
        <v>20334815.66</v>
      </c>
      <c r="I3538" s="1399">
        <v>20334815.66</v>
      </c>
    </row>
    <row r="3539" spans="2:9">
      <c r="B3539" s="1297"/>
      <c r="C3539" s="1297"/>
      <c r="D3539" s="1297" t="s">
        <v>952</v>
      </c>
      <c r="F3539" s="1399">
        <v>388086.68</v>
      </c>
      <c r="I3539" s="1399">
        <v>388086.68</v>
      </c>
    </row>
    <row r="3540" spans="2:9">
      <c r="B3540" s="1297"/>
      <c r="C3540" s="1297"/>
      <c r="D3540" s="1297" t="s">
        <v>907</v>
      </c>
      <c r="F3540" s="1399">
        <v>12215003.869999999</v>
      </c>
      <c r="I3540" s="1399">
        <v>12215003.869999999</v>
      </c>
    </row>
    <row r="3541" spans="2:9">
      <c r="B3541" s="1297"/>
      <c r="C3541" s="1297"/>
      <c r="D3541" s="1297" t="s">
        <v>908</v>
      </c>
      <c r="F3541" s="1399">
        <v>53077.85</v>
      </c>
      <c r="I3541" s="1399">
        <v>53077.85</v>
      </c>
    </row>
    <row r="3542" spans="2:9">
      <c r="B3542" s="1297"/>
      <c r="C3542" s="1297"/>
      <c r="D3542" s="1297" t="s">
        <v>910</v>
      </c>
      <c r="F3542" s="1399">
        <v>101402.71</v>
      </c>
      <c r="I3542" s="1399">
        <v>101402.71</v>
      </c>
    </row>
    <row r="3543" spans="2:9">
      <c r="B3543" s="1297"/>
      <c r="C3543" s="1297"/>
      <c r="D3543" s="1297" t="s">
        <v>1034</v>
      </c>
      <c r="F3543" s="1399">
        <v>93621.82</v>
      </c>
      <c r="I3543" s="1399">
        <v>93621.82</v>
      </c>
    </row>
    <row r="3544" spans="2:9">
      <c r="B3544" s="1297"/>
      <c r="C3544" s="1297"/>
      <c r="D3544" s="1297" t="s">
        <v>1035</v>
      </c>
      <c r="F3544" s="1399">
        <v>2246897.17</v>
      </c>
      <c r="I3544" s="1399">
        <v>2246897.17</v>
      </c>
    </row>
    <row r="3545" spans="2:9">
      <c r="B3545" s="1297"/>
      <c r="C3545" s="1297"/>
      <c r="D3545" s="1297" t="s">
        <v>1036</v>
      </c>
      <c r="F3545" s="1399">
        <v>437567.04</v>
      </c>
      <c r="I3545" s="1399">
        <v>437567.04</v>
      </c>
    </row>
    <row r="3546" spans="2:9">
      <c r="B3546" s="1297"/>
      <c r="C3546" s="1297"/>
      <c r="D3546" s="1297" t="s">
        <v>1037</v>
      </c>
      <c r="F3546" s="1399">
        <v>222688.75</v>
      </c>
      <c r="I3546" s="1399">
        <v>222688.75</v>
      </c>
    </row>
    <row r="3547" spans="2:9">
      <c r="B3547" s="1297"/>
      <c r="C3547" s="1297"/>
      <c r="D3547" s="1297" t="s">
        <v>1039</v>
      </c>
      <c r="F3547" s="1399">
        <v>194656.55</v>
      </c>
      <c r="I3547" s="1399">
        <v>194656.55</v>
      </c>
    </row>
    <row r="3548" spans="2:9">
      <c r="B3548" s="1297"/>
      <c r="C3548" s="1297"/>
      <c r="D3548" s="1297" t="s">
        <v>1040</v>
      </c>
      <c r="F3548" s="1399">
        <v>1135666.1399999999</v>
      </c>
      <c r="I3548" s="1399">
        <v>1135666.1399999999</v>
      </c>
    </row>
    <row r="3549" spans="2:9">
      <c r="B3549" s="1297"/>
      <c r="C3549" s="1297"/>
      <c r="D3549" s="1297" t="s">
        <v>1041</v>
      </c>
      <c r="F3549" s="1399">
        <v>239044.79</v>
      </c>
      <c r="I3549" s="1399">
        <v>239044.79</v>
      </c>
    </row>
    <row r="3550" spans="2:9">
      <c r="B3550" s="1297"/>
      <c r="C3550" s="1297"/>
      <c r="D3550" s="1297" t="s">
        <v>1042</v>
      </c>
      <c r="F3550" s="1399">
        <v>130246.82</v>
      </c>
      <c r="I3550" s="1399">
        <v>130246.82</v>
      </c>
    </row>
    <row r="3551" spans="2:9">
      <c r="B3551" s="1297"/>
      <c r="C3551" s="1297"/>
      <c r="D3551" s="1297" t="s">
        <v>996</v>
      </c>
      <c r="F3551" s="1399">
        <v>8521.630000000001</v>
      </c>
      <c r="I3551" s="1399">
        <v>8521.630000000001</v>
      </c>
    </row>
    <row r="3552" spans="2:9">
      <c r="B3552" s="1297"/>
      <c r="C3552" s="1297"/>
      <c r="D3552" s="1297" t="s">
        <v>1044</v>
      </c>
      <c r="F3552" s="1399">
        <v>306607.09000000003</v>
      </c>
      <c r="I3552" s="1399">
        <v>306607.09000000003</v>
      </c>
    </row>
    <row r="3553" spans="2:9">
      <c r="B3553" s="1297"/>
      <c r="C3553" s="1297"/>
      <c r="D3553" s="1297" t="s">
        <v>1045</v>
      </c>
      <c r="F3553" s="1399">
        <v>271086.01</v>
      </c>
      <c r="I3553" s="1399">
        <v>271086.01</v>
      </c>
    </row>
    <row r="3554" spans="2:9">
      <c r="B3554" s="1297"/>
      <c r="C3554" s="1297"/>
      <c r="D3554" s="1297" t="s">
        <v>1046</v>
      </c>
      <c r="H3554" s="1399">
        <v>50350207</v>
      </c>
      <c r="I3554" s="1399">
        <v>50350207</v>
      </c>
    </row>
    <row r="3555" spans="2:9">
      <c r="B3555" s="1297"/>
      <c r="C3555" s="1297"/>
      <c r="D3555" s="1297" t="s">
        <v>1128</v>
      </c>
      <c r="H3555" s="1399">
        <v>4552741</v>
      </c>
      <c r="I3555" s="1399">
        <v>4552741</v>
      </c>
    </row>
    <row r="3556" spans="2:9">
      <c r="B3556" s="1297"/>
      <c r="C3556" s="1297"/>
      <c r="D3556" s="1297" t="s">
        <v>1129</v>
      </c>
      <c r="H3556" s="1399">
        <v>-7168760</v>
      </c>
      <c r="I3556" s="1399">
        <v>-7168760</v>
      </c>
    </row>
    <row r="3557" spans="2:9">
      <c r="B3557" s="1297"/>
      <c r="C3557" s="1297"/>
      <c r="D3557" s="1297" t="s">
        <v>1047</v>
      </c>
      <c r="H3557" s="1399">
        <v>1179831</v>
      </c>
      <c r="I3557" s="1399">
        <v>1179831</v>
      </c>
    </row>
    <row r="3558" spans="2:9">
      <c r="B3558" s="1297"/>
      <c r="C3558" s="1297"/>
      <c r="D3558" s="1297" t="s">
        <v>1048</v>
      </c>
      <c r="H3558" s="1399">
        <v>-6669209</v>
      </c>
      <c r="I3558" s="1399">
        <v>-6669209</v>
      </c>
    </row>
    <row r="3559" spans="2:9">
      <c r="B3559" s="1297"/>
      <c r="C3559" s="1297"/>
      <c r="D3559" s="1297" t="s">
        <v>932</v>
      </c>
      <c r="H3559" s="1399">
        <v>4232648</v>
      </c>
      <c r="I3559" s="1399">
        <v>4232648</v>
      </c>
    </row>
    <row r="3560" spans="2:9">
      <c r="B3560" s="1297"/>
      <c r="C3560" s="1297"/>
      <c r="D3560" s="1297" t="s">
        <v>955</v>
      </c>
      <c r="H3560" s="1399">
        <v>1711351.96</v>
      </c>
      <c r="I3560" s="1399">
        <v>1711351.96</v>
      </c>
    </row>
    <row r="3561" spans="2:9">
      <c r="B3561" s="1297"/>
      <c r="C3561" s="1297"/>
      <c r="D3561" s="1297" t="s">
        <v>934</v>
      </c>
      <c r="H3561" s="1399">
        <v>143046</v>
      </c>
      <c r="I3561" s="1399">
        <v>143046</v>
      </c>
    </row>
    <row r="3562" spans="2:9">
      <c r="B3562" s="1297"/>
      <c r="C3562" s="1297"/>
      <c r="D3562" s="1297" t="s">
        <v>935</v>
      </c>
      <c r="H3562" s="1399">
        <v>2500920.54</v>
      </c>
      <c r="I3562" s="1399">
        <v>2500920.54</v>
      </c>
    </row>
    <row r="3563" spans="2:9">
      <c r="B3563" s="1297"/>
      <c r="C3563" s="1297"/>
      <c r="D3563" s="1297" t="s">
        <v>936</v>
      </c>
      <c r="H3563" s="1399">
        <v>148463.82999999999</v>
      </c>
      <c r="I3563" s="1399">
        <v>148463.82999999999</v>
      </c>
    </row>
    <row r="3564" spans="2:9">
      <c r="B3564" s="1297"/>
      <c r="C3564" s="1297"/>
      <c r="D3564" s="1297" t="s">
        <v>937</v>
      </c>
      <c r="H3564" s="1399">
        <v>33215.78</v>
      </c>
      <c r="I3564" s="1399">
        <v>33215.78</v>
      </c>
    </row>
    <row r="3565" spans="2:9">
      <c r="B3565" s="1297"/>
      <c r="C3565" s="1297"/>
      <c r="D3565" s="1297" t="s">
        <v>938</v>
      </c>
      <c r="H3565" s="1399">
        <v>53902</v>
      </c>
      <c r="I3565" s="1399">
        <v>53902</v>
      </c>
    </row>
    <row r="3566" spans="2:9">
      <c r="B3566" s="1297"/>
      <c r="C3566" s="1297"/>
      <c r="D3566" s="1297" t="s">
        <v>1131</v>
      </c>
      <c r="E3566" s="1399">
        <v>58897.120000000003</v>
      </c>
      <c r="I3566" s="1399">
        <v>58897.120000000003</v>
      </c>
    </row>
    <row r="3567" spans="2:9">
      <c r="B3567" s="1297"/>
      <c r="C3567" s="1297"/>
      <c r="D3567" s="1297" t="s">
        <v>940</v>
      </c>
      <c r="E3567" s="1399">
        <v>2152007.2599999998</v>
      </c>
      <c r="I3567" s="1399">
        <v>2152007.2599999998</v>
      </c>
    </row>
    <row r="3568" spans="2:9">
      <c r="B3568" s="1297"/>
      <c r="C3568" s="1297"/>
      <c r="D3568" s="1297" t="s">
        <v>941</v>
      </c>
      <c r="E3568" s="1399">
        <v>692093</v>
      </c>
      <c r="I3568" s="1399">
        <v>692093</v>
      </c>
    </row>
    <row r="3569" spans="2:9">
      <c r="B3569" s="1297"/>
      <c r="C3569" s="1297"/>
      <c r="D3569" s="1297" t="s">
        <v>943</v>
      </c>
      <c r="E3569" s="1399">
        <v>13629.32</v>
      </c>
      <c r="I3569" s="1399">
        <v>13629.32</v>
      </c>
    </row>
    <row r="3570" spans="2:9">
      <c r="B3570" s="1297"/>
      <c r="C3570" s="1297"/>
      <c r="D3570" s="1297" t="s">
        <v>944</v>
      </c>
      <c r="E3570" s="1399">
        <v>5826369.4699999988</v>
      </c>
      <c r="I3570" s="1399">
        <v>5826369.4699999988</v>
      </c>
    </row>
    <row r="3571" spans="2:9">
      <c r="B3571" s="1297"/>
      <c r="C3571" s="1297"/>
      <c r="D3571" s="1297" t="s">
        <v>945</v>
      </c>
      <c r="E3571" s="1399">
        <v>3172793.5199999996</v>
      </c>
      <c r="I3571" s="1399">
        <v>3172793.5199999996</v>
      </c>
    </row>
    <row r="3572" spans="2:9">
      <c r="B3572" s="1297"/>
      <c r="C3572" s="1297"/>
      <c r="D3572" s="1297" t="s">
        <v>946</v>
      </c>
      <c r="E3572" s="1399">
        <v>769078.12</v>
      </c>
      <c r="I3572" s="1399">
        <v>769078.12</v>
      </c>
    </row>
    <row r="3573" spans="2:9">
      <c r="B3573" s="1297"/>
      <c r="C3573" s="1297"/>
      <c r="D3573" s="1297" t="s">
        <v>1006</v>
      </c>
      <c r="E3573" s="1399">
        <v>285378.17</v>
      </c>
      <c r="I3573" s="1399">
        <v>285378.17</v>
      </c>
    </row>
    <row r="3574" spans="2:9">
      <c r="B3574" s="1297"/>
      <c r="C3574" s="1297"/>
      <c r="D3574" s="1297" t="s">
        <v>947</v>
      </c>
      <c r="E3574" s="1399">
        <v>240172.24</v>
      </c>
      <c r="I3574" s="1399">
        <v>240172.24</v>
      </c>
    </row>
    <row r="3575" spans="2:9">
      <c r="B3575" s="1297"/>
      <c r="C3575" s="1297"/>
      <c r="D3575" s="1297" t="s">
        <v>948</v>
      </c>
      <c r="G3575" s="1399">
        <v>22096.61</v>
      </c>
      <c r="I3575" s="1399">
        <v>22096.61</v>
      </c>
    </row>
    <row r="3576" spans="2:9">
      <c r="B3576" s="1297"/>
      <c r="C3576" s="1297"/>
      <c r="D3576" s="1297" t="s">
        <v>956</v>
      </c>
      <c r="G3576" s="1399">
        <v>7350.46</v>
      </c>
      <c r="I3576" s="1399">
        <v>7350.46</v>
      </c>
    </row>
    <row r="3577" spans="2:9">
      <c r="B3577" s="1297"/>
      <c r="C3577" s="1400" t="s">
        <v>1228</v>
      </c>
      <c r="D3577" s="1400"/>
      <c r="E3577" s="1401">
        <v>13210418.219999997</v>
      </c>
      <c r="F3577" s="1401">
        <v>38378990.580000006</v>
      </c>
      <c r="G3577" s="1401">
        <v>29447.07</v>
      </c>
      <c r="H3577" s="1401">
        <v>51068358.109999999</v>
      </c>
      <c r="I3577" s="1401">
        <v>102687213.98</v>
      </c>
    </row>
    <row r="3578" spans="2:9">
      <c r="B3578" s="1297" t="s">
        <v>1229</v>
      </c>
      <c r="C3578" s="1297" t="s">
        <v>1230</v>
      </c>
      <c r="D3578" s="1297" t="s">
        <v>906</v>
      </c>
      <c r="F3578" s="1399">
        <v>14167136.76</v>
      </c>
      <c r="I3578" s="1399">
        <v>14167136.76</v>
      </c>
    </row>
    <row r="3579" spans="2:9">
      <c r="B3579" s="1297"/>
      <c r="C3579" s="1297"/>
      <c r="D3579" s="1297" t="s">
        <v>952</v>
      </c>
      <c r="F3579" s="1399">
        <v>172020.21</v>
      </c>
      <c r="I3579" s="1399">
        <v>172020.21</v>
      </c>
    </row>
    <row r="3580" spans="2:9">
      <c r="B3580" s="1297"/>
      <c r="C3580" s="1297"/>
      <c r="D3580" s="1297" t="s">
        <v>907</v>
      </c>
      <c r="F3580" s="1399">
        <v>3042194.35</v>
      </c>
      <c r="I3580" s="1399">
        <v>3042194.35</v>
      </c>
    </row>
    <row r="3581" spans="2:9">
      <c r="B3581" s="1297"/>
      <c r="C3581" s="1297"/>
      <c r="D3581" s="1297" t="s">
        <v>995</v>
      </c>
      <c r="F3581" s="1399">
        <v>20364.37</v>
      </c>
      <c r="I3581" s="1399">
        <v>20364.37</v>
      </c>
    </row>
    <row r="3582" spans="2:9">
      <c r="B3582" s="1297"/>
      <c r="C3582" s="1297"/>
      <c r="D3582" s="1297" t="s">
        <v>909</v>
      </c>
      <c r="F3582" s="1399">
        <v>9010.99</v>
      </c>
      <c r="I3582" s="1399">
        <v>9010.99</v>
      </c>
    </row>
    <row r="3583" spans="2:9">
      <c r="B3583" s="1297"/>
      <c r="C3583" s="1297"/>
      <c r="D3583" s="1297" t="s">
        <v>910</v>
      </c>
      <c r="F3583" s="1399">
        <v>31189.29</v>
      </c>
      <c r="I3583" s="1399">
        <v>31189.29</v>
      </c>
    </row>
    <row r="3584" spans="2:9">
      <c r="B3584" s="1297"/>
      <c r="C3584" s="1297"/>
      <c r="D3584" s="1297" t="s">
        <v>1034</v>
      </c>
      <c r="F3584" s="1399">
        <v>50965.62</v>
      </c>
      <c r="I3584" s="1399">
        <v>50965.62</v>
      </c>
    </row>
    <row r="3585" spans="2:9">
      <c r="B3585" s="1297"/>
      <c r="C3585" s="1297"/>
      <c r="D3585" s="1297" t="s">
        <v>1035</v>
      </c>
      <c r="F3585" s="1399">
        <v>332230.52999999997</v>
      </c>
      <c r="I3585" s="1399">
        <v>332230.52999999997</v>
      </c>
    </row>
    <row r="3586" spans="2:9">
      <c r="B3586" s="1297"/>
      <c r="C3586" s="1297"/>
      <c r="D3586" s="1297" t="s">
        <v>1036</v>
      </c>
      <c r="F3586" s="1399">
        <v>106611.82</v>
      </c>
      <c r="I3586" s="1399">
        <v>106611.82</v>
      </c>
    </row>
    <row r="3587" spans="2:9">
      <c r="B3587" s="1297"/>
      <c r="C3587" s="1297"/>
      <c r="D3587" s="1297" t="s">
        <v>1037</v>
      </c>
      <c r="F3587" s="1399">
        <v>1725</v>
      </c>
      <c r="I3587" s="1399">
        <v>1725</v>
      </c>
    </row>
    <row r="3588" spans="2:9">
      <c r="B3588" s="1297"/>
      <c r="C3588" s="1297"/>
      <c r="D3588" s="1297" t="s">
        <v>1039</v>
      </c>
      <c r="F3588" s="1399">
        <v>96364.92</v>
      </c>
      <c r="I3588" s="1399">
        <v>96364.92</v>
      </c>
    </row>
    <row r="3589" spans="2:9">
      <c r="B3589" s="1297"/>
      <c r="C3589" s="1297"/>
      <c r="D3589" s="1297" t="s">
        <v>1040</v>
      </c>
      <c r="F3589" s="1399">
        <v>399178.8</v>
      </c>
      <c r="I3589" s="1399">
        <v>399178.8</v>
      </c>
    </row>
    <row r="3590" spans="2:9">
      <c r="B3590" s="1297"/>
      <c r="C3590" s="1297"/>
      <c r="D3590" s="1297" t="s">
        <v>1041</v>
      </c>
      <c r="F3590" s="1399">
        <v>4088.68</v>
      </c>
      <c r="I3590" s="1399">
        <v>4088.68</v>
      </c>
    </row>
    <row r="3591" spans="2:9">
      <c r="B3591" s="1297"/>
      <c r="C3591" s="1297"/>
      <c r="D3591" s="1297" t="s">
        <v>1042</v>
      </c>
      <c r="F3591" s="1399">
        <v>38933.870000000003</v>
      </c>
      <c r="I3591" s="1399">
        <v>38933.870000000003</v>
      </c>
    </row>
    <row r="3592" spans="2:9">
      <c r="B3592" s="1297"/>
      <c r="C3592" s="1297"/>
      <c r="D3592" s="1297" t="s">
        <v>1043</v>
      </c>
      <c r="F3592" s="1399">
        <v>39611.199999999997</v>
      </c>
      <c r="I3592" s="1399">
        <v>39611.199999999997</v>
      </c>
    </row>
    <row r="3593" spans="2:9">
      <c r="B3593" s="1297"/>
      <c r="C3593" s="1297"/>
      <c r="D3593" s="1297" t="s">
        <v>986</v>
      </c>
      <c r="F3593" s="1399">
        <v>255969.76</v>
      </c>
      <c r="I3593" s="1399">
        <v>255969.76</v>
      </c>
    </row>
    <row r="3594" spans="2:9">
      <c r="B3594" s="1297"/>
      <c r="C3594" s="1297"/>
      <c r="D3594" s="1297" t="s">
        <v>990</v>
      </c>
      <c r="F3594" s="1399">
        <v>117.63</v>
      </c>
      <c r="I3594" s="1399">
        <v>117.63</v>
      </c>
    </row>
    <row r="3595" spans="2:9">
      <c r="B3595" s="1297"/>
      <c r="C3595" s="1297"/>
      <c r="D3595" s="1297" t="s">
        <v>1044</v>
      </c>
      <c r="F3595" s="1399">
        <v>10698</v>
      </c>
      <c r="I3595" s="1399">
        <v>10698</v>
      </c>
    </row>
    <row r="3596" spans="2:9">
      <c r="B3596" s="1297"/>
      <c r="C3596" s="1297"/>
      <c r="D3596" s="1297" t="s">
        <v>1045</v>
      </c>
      <c r="F3596" s="1399">
        <v>403961.68</v>
      </c>
      <c r="I3596" s="1399">
        <v>403961.68</v>
      </c>
    </row>
    <row r="3597" spans="2:9">
      <c r="B3597" s="1297"/>
      <c r="C3597" s="1297"/>
      <c r="D3597" s="1297" t="s">
        <v>1046</v>
      </c>
      <c r="H3597" s="1399">
        <v>21428647</v>
      </c>
      <c r="I3597" s="1399">
        <v>21428647</v>
      </c>
    </row>
    <row r="3598" spans="2:9">
      <c r="B3598" s="1297"/>
      <c r="C3598" s="1297"/>
      <c r="D3598" s="1297" t="s">
        <v>1129</v>
      </c>
      <c r="H3598" s="1399">
        <v>-2297956</v>
      </c>
      <c r="I3598" s="1399">
        <v>-2297956</v>
      </c>
    </row>
    <row r="3599" spans="2:9">
      <c r="B3599" s="1297"/>
      <c r="C3599" s="1297"/>
      <c r="D3599" s="1297" t="s">
        <v>1047</v>
      </c>
      <c r="H3599" s="1399">
        <v>496537</v>
      </c>
      <c r="I3599" s="1399">
        <v>496537</v>
      </c>
    </row>
    <row r="3600" spans="2:9">
      <c r="B3600" s="1297"/>
      <c r="C3600" s="1297"/>
      <c r="D3600" s="1297" t="s">
        <v>1048</v>
      </c>
      <c r="H3600" s="1399">
        <v>-5368566</v>
      </c>
      <c r="I3600" s="1399">
        <v>-5368566</v>
      </c>
    </row>
    <row r="3601" spans="2:9">
      <c r="B3601" s="1297"/>
      <c r="C3601" s="1297"/>
      <c r="D3601" s="1297" t="s">
        <v>934</v>
      </c>
      <c r="H3601" s="1399">
        <v>56880</v>
      </c>
      <c r="I3601" s="1399">
        <v>56880</v>
      </c>
    </row>
    <row r="3602" spans="2:9">
      <c r="B3602" s="1297"/>
      <c r="C3602" s="1297"/>
      <c r="D3602" s="1297" t="s">
        <v>935</v>
      </c>
      <c r="H3602" s="1399">
        <v>380322.9</v>
      </c>
      <c r="I3602" s="1399">
        <v>380322.9</v>
      </c>
    </row>
    <row r="3603" spans="2:9">
      <c r="B3603" s="1297"/>
      <c r="C3603" s="1297"/>
      <c r="D3603" s="1297" t="s">
        <v>936</v>
      </c>
      <c r="H3603" s="1399">
        <v>79134.02</v>
      </c>
      <c r="I3603" s="1399">
        <v>79134.02</v>
      </c>
    </row>
    <row r="3604" spans="2:9">
      <c r="B3604" s="1297"/>
      <c r="C3604" s="1297"/>
      <c r="D3604" s="1297" t="s">
        <v>937</v>
      </c>
      <c r="H3604" s="1399">
        <v>3585.84</v>
      </c>
      <c r="I3604" s="1399">
        <v>3585.84</v>
      </c>
    </row>
    <row r="3605" spans="2:9">
      <c r="B3605" s="1297"/>
      <c r="C3605" s="1297"/>
      <c r="D3605" s="1297" t="s">
        <v>938</v>
      </c>
      <c r="H3605" s="1399">
        <v>23395</v>
      </c>
      <c r="I3605" s="1399">
        <v>23395</v>
      </c>
    </row>
    <row r="3606" spans="2:9">
      <c r="B3606" s="1297"/>
      <c r="C3606" s="1297"/>
      <c r="D3606" s="1297" t="s">
        <v>939</v>
      </c>
      <c r="H3606" s="1399">
        <v>128458.25</v>
      </c>
      <c r="I3606" s="1399">
        <v>128458.25</v>
      </c>
    </row>
    <row r="3607" spans="2:9">
      <c r="B3607" s="1297"/>
      <c r="C3607" s="1297"/>
      <c r="D3607" s="1297" t="s">
        <v>1131</v>
      </c>
      <c r="E3607" s="1399">
        <v>45749.25</v>
      </c>
      <c r="I3607" s="1399">
        <v>45749.25</v>
      </c>
    </row>
    <row r="3608" spans="2:9">
      <c r="B3608" s="1297"/>
      <c r="C3608" s="1297"/>
      <c r="D3608" s="1297" t="s">
        <v>940</v>
      </c>
      <c r="E3608" s="1399">
        <v>860459.48</v>
      </c>
      <c r="I3608" s="1399">
        <v>860459.48</v>
      </c>
    </row>
    <row r="3609" spans="2:9">
      <c r="B3609" s="1297"/>
      <c r="C3609" s="1297"/>
      <c r="D3609" s="1297" t="s">
        <v>941</v>
      </c>
      <c r="E3609" s="1399">
        <v>314382.2</v>
      </c>
      <c r="I3609" s="1399">
        <v>314382.2</v>
      </c>
    </row>
    <row r="3610" spans="2:9">
      <c r="B3610" s="1297"/>
      <c r="C3610" s="1297"/>
      <c r="D3610" s="1297" t="s">
        <v>943</v>
      </c>
      <c r="E3610" s="1399">
        <v>6661.48</v>
      </c>
      <c r="I3610" s="1399">
        <v>6661.48</v>
      </c>
    </row>
    <row r="3611" spans="2:9">
      <c r="B3611" s="1297"/>
      <c r="C3611" s="1297"/>
      <c r="D3611" s="1297" t="s">
        <v>944</v>
      </c>
      <c r="E3611" s="1399">
        <v>2210964.5799999996</v>
      </c>
      <c r="I3611" s="1399">
        <v>2210964.5799999996</v>
      </c>
    </row>
    <row r="3612" spans="2:9">
      <c r="B3612" s="1297"/>
      <c r="C3612" s="1297"/>
      <c r="D3612" s="1297" t="s">
        <v>945</v>
      </c>
      <c r="E3612" s="1399">
        <v>1392153.93</v>
      </c>
      <c r="I3612" s="1399">
        <v>1392153.93</v>
      </c>
    </row>
    <row r="3613" spans="2:9">
      <c r="B3613" s="1297"/>
      <c r="C3613" s="1297"/>
      <c r="D3613" s="1297" t="s">
        <v>947</v>
      </c>
      <c r="E3613" s="1399">
        <v>110132.08</v>
      </c>
      <c r="I3613" s="1399">
        <v>110132.08</v>
      </c>
    </row>
    <row r="3614" spans="2:9">
      <c r="B3614" s="1297"/>
      <c r="C3614" s="1297"/>
      <c r="D3614" s="1297" t="s">
        <v>1115</v>
      </c>
      <c r="E3614" s="1399">
        <v>41101.81</v>
      </c>
      <c r="I3614" s="1399">
        <v>41101.81</v>
      </c>
    </row>
    <row r="3615" spans="2:9">
      <c r="B3615" s="1297"/>
      <c r="C3615" s="1297"/>
      <c r="D3615" s="1297" t="s">
        <v>948</v>
      </c>
      <c r="G3615" s="1399">
        <v>3485838.63</v>
      </c>
      <c r="I3615" s="1399">
        <v>3485838.63</v>
      </c>
    </row>
    <row r="3616" spans="2:9">
      <c r="B3616" s="1297"/>
      <c r="C3616" s="1297"/>
      <c r="D3616" s="1297" t="s">
        <v>1118</v>
      </c>
      <c r="G3616" s="1399">
        <v>651.38</v>
      </c>
      <c r="I3616" s="1399">
        <v>651.38</v>
      </c>
    </row>
    <row r="3617" spans="2:9">
      <c r="B3617" s="1297"/>
      <c r="C3617" s="1297"/>
      <c r="D3617" s="1297" t="s">
        <v>1051</v>
      </c>
      <c r="G3617" s="1399">
        <v>755118.27</v>
      </c>
      <c r="I3617" s="1399">
        <v>755118.27</v>
      </c>
    </row>
    <row r="3618" spans="2:9">
      <c r="B3618" s="1297"/>
      <c r="C3618" s="1400" t="s">
        <v>1231</v>
      </c>
      <c r="D3618" s="1400"/>
      <c r="E3618" s="1401">
        <v>4981604.8099999987</v>
      </c>
      <c r="F3618" s="1401">
        <v>19182373.480000004</v>
      </c>
      <c r="G3618" s="1401">
        <v>4241608.2799999993</v>
      </c>
      <c r="H3618" s="1401">
        <v>14930438.01</v>
      </c>
      <c r="I3618" s="1401">
        <v>43336024.580000013</v>
      </c>
    </row>
    <row r="3619" spans="2:9">
      <c r="B3619" s="1297" t="s">
        <v>1232</v>
      </c>
      <c r="C3619" s="1297" t="s">
        <v>1233</v>
      </c>
      <c r="D3619" s="1297" t="s">
        <v>906</v>
      </c>
      <c r="F3619" s="1399">
        <v>5745760.7200000007</v>
      </c>
      <c r="I3619" s="1399">
        <v>5745760.7200000007</v>
      </c>
    </row>
    <row r="3620" spans="2:9">
      <c r="B3620" s="1297"/>
      <c r="C3620" s="1297"/>
      <c r="D3620" s="1297" t="s">
        <v>952</v>
      </c>
      <c r="F3620" s="1399">
        <v>47387.72</v>
      </c>
      <c r="I3620" s="1399">
        <v>47387.72</v>
      </c>
    </row>
    <row r="3621" spans="2:9">
      <c r="B3621" s="1297"/>
      <c r="C3621" s="1297"/>
      <c r="D3621" s="1297" t="s">
        <v>907</v>
      </c>
      <c r="F3621" s="1399">
        <v>1307347.3600000001</v>
      </c>
      <c r="I3621" s="1399">
        <v>1307347.3600000001</v>
      </c>
    </row>
    <row r="3622" spans="2:9">
      <c r="B3622" s="1297"/>
      <c r="C3622" s="1297"/>
      <c r="D3622" s="1297" t="s">
        <v>908</v>
      </c>
      <c r="F3622" s="1399">
        <v>32917.199999999997</v>
      </c>
      <c r="I3622" s="1399">
        <v>32917.199999999997</v>
      </c>
    </row>
    <row r="3623" spans="2:9">
      <c r="B3623" s="1297"/>
      <c r="C3623" s="1297"/>
      <c r="D3623" s="1297" t="s">
        <v>909</v>
      </c>
      <c r="F3623" s="1399">
        <v>9300.49</v>
      </c>
      <c r="I3623" s="1399">
        <v>9300.49</v>
      </c>
    </row>
    <row r="3624" spans="2:9">
      <c r="B3624" s="1297"/>
      <c r="C3624" s="1297"/>
      <c r="D3624" s="1297" t="s">
        <v>910</v>
      </c>
      <c r="F3624" s="1399">
        <v>8774.2900000000009</v>
      </c>
      <c r="I3624" s="1399">
        <v>8774.2900000000009</v>
      </c>
    </row>
    <row r="3625" spans="2:9">
      <c r="B3625" s="1297"/>
      <c r="C3625" s="1297"/>
      <c r="D3625" s="1297" t="s">
        <v>1034</v>
      </c>
      <c r="F3625" s="1399">
        <v>46311.990000000005</v>
      </c>
      <c r="I3625" s="1399">
        <v>46311.990000000005</v>
      </c>
    </row>
    <row r="3626" spans="2:9">
      <c r="B3626" s="1297"/>
      <c r="C3626" s="1297"/>
      <c r="D3626" s="1297" t="s">
        <v>1035</v>
      </c>
      <c r="F3626" s="1399">
        <v>182015.17</v>
      </c>
      <c r="I3626" s="1399">
        <v>182015.17</v>
      </c>
    </row>
    <row r="3627" spans="2:9">
      <c r="B3627" s="1297"/>
      <c r="C3627" s="1297"/>
      <c r="D3627" s="1297" t="s">
        <v>1036</v>
      </c>
      <c r="F3627" s="1399">
        <v>44736.11</v>
      </c>
      <c r="I3627" s="1399">
        <v>44736.11</v>
      </c>
    </row>
    <row r="3628" spans="2:9">
      <c r="B3628" s="1297"/>
      <c r="C3628" s="1297"/>
      <c r="D3628" s="1297" t="s">
        <v>1039</v>
      </c>
      <c r="F3628" s="1399">
        <v>10248.74</v>
      </c>
      <c r="I3628" s="1399">
        <v>10248.74</v>
      </c>
    </row>
    <row r="3629" spans="2:9">
      <c r="B3629" s="1297"/>
      <c r="C3629" s="1297"/>
      <c r="D3629" s="1297" t="s">
        <v>1041</v>
      </c>
      <c r="F3629" s="1399">
        <v>567.5</v>
      </c>
      <c r="I3629" s="1399">
        <v>567.5</v>
      </c>
    </row>
    <row r="3630" spans="2:9">
      <c r="B3630" s="1297"/>
      <c r="C3630" s="1297"/>
      <c r="D3630" s="1297" t="s">
        <v>1042</v>
      </c>
      <c r="F3630" s="1399">
        <v>20756</v>
      </c>
      <c r="I3630" s="1399">
        <v>20756</v>
      </c>
    </row>
    <row r="3631" spans="2:9">
      <c r="B3631" s="1297"/>
      <c r="C3631" s="1297"/>
      <c r="D3631" s="1297" t="s">
        <v>1044</v>
      </c>
      <c r="F3631" s="1399">
        <v>32111.29</v>
      </c>
      <c r="I3631" s="1399">
        <v>32111.29</v>
      </c>
    </row>
    <row r="3632" spans="2:9">
      <c r="B3632" s="1297"/>
      <c r="C3632" s="1297"/>
      <c r="D3632" s="1297" t="s">
        <v>1045</v>
      </c>
      <c r="F3632" s="1399">
        <v>50287.49</v>
      </c>
      <c r="I3632" s="1399">
        <v>50287.49</v>
      </c>
    </row>
    <row r="3633" spans="2:9">
      <c r="B3633" s="1297"/>
      <c r="C3633" s="1297"/>
      <c r="D3633" s="1297" t="s">
        <v>1046</v>
      </c>
      <c r="H3633" s="1399">
        <v>8347975</v>
      </c>
      <c r="I3633" s="1399">
        <v>8347975</v>
      </c>
    </row>
    <row r="3634" spans="2:9">
      <c r="B3634" s="1297"/>
      <c r="C3634" s="1297"/>
      <c r="D3634" s="1297" t="s">
        <v>1047</v>
      </c>
      <c r="H3634" s="1399">
        <v>445330</v>
      </c>
      <c r="I3634" s="1399">
        <v>445330</v>
      </c>
    </row>
    <row r="3635" spans="2:9">
      <c r="B3635" s="1297"/>
      <c r="C3635" s="1297"/>
      <c r="D3635" s="1297" t="s">
        <v>1048</v>
      </c>
      <c r="H3635" s="1399">
        <v>-1418574</v>
      </c>
      <c r="I3635" s="1399">
        <v>-1418574</v>
      </c>
    </row>
    <row r="3636" spans="2:9">
      <c r="B3636" s="1297"/>
      <c r="C3636" s="1297"/>
      <c r="D3636" s="1297" t="s">
        <v>932</v>
      </c>
      <c r="H3636" s="1399">
        <v>763665</v>
      </c>
      <c r="I3636" s="1399">
        <v>763665</v>
      </c>
    </row>
    <row r="3637" spans="2:9">
      <c r="B3637" s="1297"/>
      <c r="C3637" s="1297"/>
      <c r="D3637" s="1297" t="s">
        <v>955</v>
      </c>
      <c r="H3637" s="1399">
        <v>356527.9</v>
      </c>
      <c r="I3637" s="1399">
        <v>356527.9</v>
      </c>
    </row>
    <row r="3638" spans="2:9">
      <c r="B3638" s="1297"/>
      <c r="C3638" s="1297"/>
      <c r="D3638" s="1297" t="s">
        <v>934</v>
      </c>
      <c r="H3638" s="1399">
        <v>34202</v>
      </c>
      <c r="I3638" s="1399">
        <v>34202</v>
      </c>
    </row>
    <row r="3639" spans="2:9">
      <c r="B3639" s="1297"/>
      <c r="C3639" s="1297"/>
      <c r="D3639" s="1297" t="s">
        <v>935</v>
      </c>
      <c r="H3639" s="1399">
        <v>296724.32999999996</v>
      </c>
      <c r="I3639" s="1399">
        <v>296724.32999999996</v>
      </c>
    </row>
    <row r="3640" spans="2:9">
      <c r="B3640" s="1297"/>
      <c r="C3640" s="1297"/>
      <c r="D3640" s="1297" t="s">
        <v>936</v>
      </c>
      <c r="H3640" s="1399">
        <v>40967.61</v>
      </c>
      <c r="I3640" s="1399">
        <v>40967.61</v>
      </c>
    </row>
    <row r="3641" spans="2:9">
      <c r="B3641" s="1297"/>
      <c r="C3641" s="1297"/>
      <c r="D3641" s="1297" t="s">
        <v>937</v>
      </c>
      <c r="H3641" s="1399">
        <v>19310.98</v>
      </c>
      <c r="I3641" s="1399">
        <v>19310.98</v>
      </c>
    </row>
    <row r="3642" spans="2:9">
      <c r="B3642" s="1297"/>
      <c r="C3642" s="1297"/>
      <c r="D3642" s="1297" t="s">
        <v>938</v>
      </c>
      <c r="H3642" s="1399">
        <v>13475</v>
      </c>
      <c r="I3642" s="1399">
        <v>13475</v>
      </c>
    </row>
    <row r="3643" spans="2:9">
      <c r="B3643" s="1297"/>
      <c r="C3643" s="1297"/>
      <c r="D3643" s="1297" t="s">
        <v>1131</v>
      </c>
      <c r="E3643" s="1399">
        <v>56485.08</v>
      </c>
      <c r="I3643" s="1399">
        <v>56485.08</v>
      </c>
    </row>
    <row r="3644" spans="2:9">
      <c r="B3644" s="1297"/>
      <c r="C3644" s="1297"/>
      <c r="D3644" s="1297" t="s">
        <v>940</v>
      </c>
      <c r="E3644" s="1399">
        <v>657568.74</v>
      </c>
      <c r="I3644" s="1399">
        <v>657568.74</v>
      </c>
    </row>
    <row r="3645" spans="2:9">
      <c r="B3645" s="1297"/>
      <c r="C3645" s="1297"/>
      <c r="D3645" s="1297" t="s">
        <v>941</v>
      </c>
      <c r="E3645" s="1399">
        <v>297872.2</v>
      </c>
      <c r="I3645" s="1399">
        <v>297872.2</v>
      </c>
    </row>
    <row r="3646" spans="2:9">
      <c r="B3646" s="1297"/>
      <c r="C3646" s="1297"/>
      <c r="D3646" s="1297" t="s">
        <v>943</v>
      </c>
      <c r="E3646" s="1399">
        <v>9474.9599999999991</v>
      </c>
      <c r="I3646" s="1399">
        <v>9474.9599999999991</v>
      </c>
    </row>
    <row r="3647" spans="2:9">
      <c r="B3647" s="1297"/>
      <c r="C3647" s="1297"/>
      <c r="D3647" s="1297" t="s">
        <v>944</v>
      </c>
      <c r="E3647" s="1399">
        <v>2663893.9699999997</v>
      </c>
      <c r="I3647" s="1399">
        <v>2663893.9699999997</v>
      </c>
    </row>
    <row r="3648" spans="2:9">
      <c r="B3648" s="1297"/>
      <c r="C3648" s="1297"/>
      <c r="D3648" s="1297" t="s">
        <v>945</v>
      </c>
      <c r="E3648" s="1399">
        <v>960973.76</v>
      </c>
      <c r="I3648" s="1399">
        <v>960973.76</v>
      </c>
    </row>
    <row r="3649" spans="2:9">
      <c r="B3649" s="1297"/>
      <c r="C3649" s="1297"/>
      <c r="D3649" s="1297" t="s">
        <v>946</v>
      </c>
      <c r="E3649" s="1399">
        <v>1746.97</v>
      </c>
      <c r="I3649" s="1399">
        <v>1746.97</v>
      </c>
    </row>
    <row r="3650" spans="2:9">
      <c r="B3650" s="1297"/>
      <c r="C3650" s="1297"/>
      <c r="D3650" s="1297" t="s">
        <v>1006</v>
      </c>
      <c r="E3650" s="1399">
        <v>9395.2199999999993</v>
      </c>
      <c r="I3650" s="1399">
        <v>9395.2199999999993</v>
      </c>
    </row>
    <row r="3651" spans="2:9">
      <c r="B3651" s="1297"/>
      <c r="C3651" s="1297"/>
      <c r="D3651" s="1297" t="s">
        <v>947</v>
      </c>
      <c r="E3651" s="1399">
        <v>61473.03</v>
      </c>
      <c r="I3651" s="1399">
        <v>61473.03</v>
      </c>
    </row>
    <row r="3652" spans="2:9">
      <c r="B3652" s="1297"/>
      <c r="C3652" s="1297"/>
      <c r="D3652" s="1297" t="s">
        <v>948</v>
      </c>
      <c r="G3652" s="1399">
        <v>186910.27000000002</v>
      </c>
      <c r="I3652" s="1399">
        <v>186910.27000000002</v>
      </c>
    </row>
    <row r="3653" spans="2:9">
      <c r="B3653" s="1297"/>
      <c r="C3653" s="1297"/>
      <c r="D3653" s="1297" t="s">
        <v>956</v>
      </c>
      <c r="G3653" s="1399">
        <v>5959</v>
      </c>
      <c r="I3653" s="1399">
        <v>5959</v>
      </c>
    </row>
    <row r="3654" spans="2:9">
      <c r="B3654" s="1297"/>
      <c r="C3654" s="1400" t="s">
        <v>1234</v>
      </c>
      <c r="D3654" s="1400"/>
      <c r="E3654" s="1401">
        <v>4718883.93</v>
      </c>
      <c r="F3654" s="1401">
        <v>7538522.0700000022</v>
      </c>
      <c r="G3654" s="1401">
        <v>192869.27000000002</v>
      </c>
      <c r="H3654" s="1401">
        <v>8899603.8200000003</v>
      </c>
      <c r="I3654" s="1401">
        <v>21349879.09</v>
      </c>
    </row>
    <row r="3655" spans="2:9">
      <c r="B3655" s="1297" t="s">
        <v>1235</v>
      </c>
      <c r="C3655" s="1297" t="s">
        <v>1236</v>
      </c>
      <c r="D3655" s="1297" t="s">
        <v>906</v>
      </c>
      <c r="F3655" s="1399">
        <v>12053582.26</v>
      </c>
      <c r="I3655" s="1399">
        <v>12053582.26</v>
      </c>
    </row>
    <row r="3656" spans="2:9">
      <c r="B3656" s="1297"/>
      <c r="C3656" s="1297"/>
      <c r="D3656" s="1297" t="s">
        <v>952</v>
      </c>
      <c r="F3656" s="1399">
        <v>121551.67999999999</v>
      </c>
      <c r="I3656" s="1399">
        <v>121551.67999999999</v>
      </c>
    </row>
    <row r="3657" spans="2:9">
      <c r="B3657" s="1297"/>
      <c r="C3657" s="1297"/>
      <c r="D3657" s="1297" t="s">
        <v>907</v>
      </c>
      <c r="F3657" s="1399">
        <v>1959242.78</v>
      </c>
      <c r="I3657" s="1399">
        <v>1959242.78</v>
      </c>
    </row>
    <row r="3658" spans="2:9">
      <c r="B3658" s="1297"/>
      <c r="C3658" s="1297"/>
      <c r="D3658" s="1297" t="s">
        <v>908</v>
      </c>
      <c r="F3658" s="1399">
        <v>16083.55</v>
      </c>
      <c r="I3658" s="1399">
        <v>16083.55</v>
      </c>
    </row>
    <row r="3659" spans="2:9">
      <c r="B3659" s="1297"/>
      <c r="C3659" s="1297"/>
      <c r="D3659" s="1297" t="s">
        <v>909</v>
      </c>
      <c r="F3659" s="1399">
        <v>8227.2000000000007</v>
      </c>
      <c r="I3659" s="1399">
        <v>8227.2000000000007</v>
      </c>
    </row>
    <row r="3660" spans="2:9">
      <c r="B3660" s="1297"/>
      <c r="C3660" s="1297"/>
      <c r="D3660" s="1297" t="s">
        <v>910</v>
      </c>
      <c r="F3660" s="1399">
        <v>35206.65</v>
      </c>
      <c r="I3660" s="1399">
        <v>35206.65</v>
      </c>
    </row>
    <row r="3661" spans="2:9">
      <c r="B3661" s="1297"/>
      <c r="C3661" s="1297"/>
      <c r="D3661" s="1297" t="s">
        <v>1034</v>
      </c>
      <c r="F3661" s="1399">
        <v>89340.940000000017</v>
      </c>
      <c r="I3661" s="1399">
        <v>89340.940000000017</v>
      </c>
    </row>
    <row r="3662" spans="2:9">
      <c r="B3662" s="1297"/>
      <c r="C3662" s="1297"/>
      <c r="D3662" s="1297" t="s">
        <v>1035</v>
      </c>
      <c r="F3662" s="1399">
        <v>352220.65</v>
      </c>
      <c r="I3662" s="1399">
        <v>352220.65</v>
      </c>
    </row>
    <row r="3663" spans="2:9">
      <c r="B3663" s="1297"/>
      <c r="C3663" s="1297"/>
      <c r="D3663" s="1297" t="s">
        <v>1036</v>
      </c>
      <c r="F3663" s="1399">
        <v>99581.25</v>
      </c>
      <c r="I3663" s="1399">
        <v>99581.25</v>
      </c>
    </row>
    <row r="3664" spans="2:9">
      <c r="B3664" s="1297"/>
      <c r="C3664" s="1297"/>
      <c r="D3664" s="1297" t="s">
        <v>1039</v>
      </c>
      <c r="F3664" s="1399">
        <v>108481.87</v>
      </c>
      <c r="I3664" s="1399">
        <v>108481.87</v>
      </c>
    </row>
    <row r="3665" spans="2:9">
      <c r="B3665" s="1297"/>
      <c r="C3665" s="1297"/>
      <c r="D3665" s="1297" t="s">
        <v>1040</v>
      </c>
      <c r="F3665" s="1399">
        <v>471988.30000000005</v>
      </c>
      <c r="I3665" s="1399">
        <v>471988.30000000005</v>
      </c>
    </row>
    <row r="3666" spans="2:9">
      <c r="B3666" s="1297"/>
      <c r="C3666" s="1297"/>
      <c r="D3666" s="1297" t="s">
        <v>1041</v>
      </c>
      <c r="F3666" s="1399">
        <v>80054.45</v>
      </c>
      <c r="I3666" s="1399">
        <v>80054.45</v>
      </c>
    </row>
    <row r="3667" spans="2:9">
      <c r="B3667" s="1297"/>
      <c r="C3667" s="1297"/>
      <c r="D3667" s="1297" t="s">
        <v>1042</v>
      </c>
      <c r="F3667" s="1399">
        <v>77299.23</v>
      </c>
      <c r="I3667" s="1399">
        <v>77299.23</v>
      </c>
    </row>
    <row r="3668" spans="2:9">
      <c r="B3668" s="1297"/>
      <c r="C3668" s="1297"/>
      <c r="D3668" s="1297" t="s">
        <v>954</v>
      </c>
      <c r="F3668" s="1399">
        <v>527431.59</v>
      </c>
      <c r="I3668" s="1399">
        <v>527431.59</v>
      </c>
    </row>
    <row r="3669" spans="2:9">
      <c r="B3669" s="1297"/>
      <c r="C3669" s="1297"/>
      <c r="D3669" s="1297" t="s">
        <v>985</v>
      </c>
      <c r="F3669" s="1399">
        <v>211337.36999999997</v>
      </c>
      <c r="I3669" s="1399">
        <v>211337.36999999997</v>
      </c>
    </row>
    <row r="3670" spans="2:9">
      <c r="B3670" s="1297"/>
      <c r="C3670" s="1297"/>
      <c r="D3670" s="1297" t="s">
        <v>986</v>
      </c>
      <c r="F3670" s="1399">
        <v>450114.13</v>
      </c>
      <c r="I3670" s="1399">
        <v>450114.13</v>
      </c>
    </row>
    <row r="3671" spans="2:9">
      <c r="B3671" s="1297"/>
      <c r="C3671" s="1297"/>
      <c r="D3671" s="1297" t="s">
        <v>1044</v>
      </c>
      <c r="F3671" s="1399">
        <v>54076.62</v>
      </c>
      <c r="I3671" s="1399">
        <v>54076.62</v>
      </c>
    </row>
    <row r="3672" spans="2:9">
      <c r="B3672" s="1297"/>
      <c r="C3672" s="1297"/>
      <c r="D3672" s="1297" t="s">
        <v>1045</v>
      </c>
      <c r="F3672" s="1399">
        <v>511689.35</v>
      </c>
      <c r="I3672" s="1399">
        <v>511689.35</v>
      </c>
    </row>
    <row r="3673" spans="2:9">
      <c r="B3673" s="1297"/>
      <c r="C3673" s="1297"/>
      <c r="D3673" s="1297" t="s">
        <v>1046</v>
      </c>
      <c r="H3673" s="1399">
        <v>26671809</v>
      </c>
      <c r="I3673" s="1399">
        <v>26671809</v>
      </c>
    </row>
    <row r="3674" spans="2:9">
      <c r="B3674" s="1297"/>
      <c r="C3674" s="1297"/>
      <c r="D3674" s="1297" t="s">
        <v>1128</v>
      </c>
      <c r="H3674" s="1399">
        <v>2068554</v>
      </c>
      <c r="I3674" s="1399">
        <v>2068554</v>
      </c>
    </row>
    <row r="3675" spans="2:9">
      <c r="B3675" s="1297"/>
      <c r="C3675" s="1297"/>
      <c r="D3675" s="1297" t="s">
        <v>1129</v>
      </c>
      <c r="H3675" s="1399">
        <v>-3738303</v>
      </c>
      <c r="I3675" s="1399">
        <v>-3738303</v>
      </c>
    </row>
    <row r="3676" spans="2:9">
      <c r="B3676" s="1297"/>
      <c r="C3676" s="1297"/>
      <c r="D3676" s="1297" t="s">
        <v>1047</v>
      </c>
      <c r="H3676" s="1399">
        <v>826050</v>
      </c>
      <c r="I3676" s="1399">
        <v>826050</v>
      </c>
    </row>
    <row r="3677" spans="2:9">
      <c r="B3677" s="1297"/>
      <c r="C3677" s="1297"/>
      <c r="D3677" s="1297" t="s">
        <v>1048</v>
      </c>
      <c r="H3677" s="1399">
        <v>-2912527</v>
      </c>
      <c r="I3677" s="1399">
        <v>-2912527</v>
      </c>
    </row>
    <row r="3678" spans="2:9">
      <c r="B3678" s="1297"/>
      <c r="C3678" s="1297"/>
      <c r="D3678" s="1297" t="s">
        <v>932</v>
      </c>
      <c r="H3678" s="1399">
        <v>3753099</v>
      </c>
      <c r="I3678" s="1399">
        <v>3753099</v>
      </c>
    </row>
    <row r="3679" spans="2:9">
      <c r="B3679" s="1297"/>
      <c r="C3679" s="1297"/>
      <c r="D3679" s="1297" t="s">
        <v>934</v>
      </c>
      <c r="H3679" s="1399">
        <v>74406</v>
      </c>
      <c r="I3679" s="1399">
        <v>74406</v>
      </c>
    </row>
    <row r="3680" spans="2:9">
      <c r="B3680" s="1297"/>
      <c r="C3680" s="1297"/>
      <c r="D3680" s="1297" t="s">
        <v>935</v>
      </c>
      <c r="H3680" s="1399">
        <v>726932.22</v>
      </c>
      <c r="I3680" s="1399">
        <v>726932.22</v>
      </c>
    </row>
    <row r="3681" spans="2:9">
      <c r="B3681" s="1297"/>
      <c r="C3681" s="1297"/>
      <c r="D3681" s="1297" t="s">
        <v>936</v>
      </c>
      <c r="H3681" s="1399">
        <v>91739.44</v>
      </c>
      <c r="I3681" s="1399">
        <v>91739.44</v>
      </c>
    </row>
    <row r="3682" spans="2:9">
      <c r="B3682" s="1297"/>
      <c r="C3682" s="1297"/>
      <c r="D3682" s="1297" t="s">
        <v>937</v>
      </c>
      <c r="H3682" s="1399">
        <v>29095.06</v>
      </c>
      <c r="I3682" s="1399">
        <v>29095.06</v>
      </c>
    </row>
    <row r="3683" spans="2:9">
      <c r="B3683" s="1297"/>
      <c r="C3683" s="1297"/>
      <c r="D3683" s="1297" t="s">
        <v>938</v>
      </c>
      <c r="H3683" s="1399">
        <v>29010</v>
      </c>
      <c r="I3683" s="1399">
        <v>29010</v>
      </c>
    </row>
    <row r="3684" spans="2:9">
      <c r="B3684" s="1297"/>
      <c r="C3684" s="1297"/>
      <c r="D3684" s="1297" t="s">
        <v>939</v>
      </c>
      <c r="H3684" s="1399">
        <v>296047.09999999998</v>
      </c>
      <c r="I3684" s="1399">
        <v>296047.09999999998</v>
      </c>
    </row>
    <row r="3685" spans="2:9">
      <c r="B3685" s="1297"/>
      <c r="C3685" s="1297"/>
      <c r="D3685" s="1297" t="s">
        <v>940</v>
      </c>
      <c r="E3685" s="1399">
        <v>1172095.76</v>
      </c>
      <c r="I3685" s="1399">
        <v>1172095.76</v>
      </c>
    </row>
    <row r="3686" spans="2:9">
      <c r="B3686" s="1297"/>
      <c r="C3686" s="1297"/>
      <c r="D3686" s="1297" t="s">
        <v>941</v>
      </c>
      <c r="E3686" s="1399">
        <v>411702.4</v>
      </c>
      <c r="I3686" s="1399">
        <v>411702.4</v>
      </c>
    </row>
    <row r="3687" spans="2:9">
      <c r="B3687" s="1297"/>
      <c r="C3687" s="1297"/>
      <c r="D3687" s="1297" t="s">
        <v>943</v>
      </c>
      <c r="E3687" s="1399">
        <v>31232.44</v>
      </c>
      <c r="I3687" s="1399">
        <v>31232.44</v>
      </c>
    </row>
    <row r="3688" spans="2:9">
      <c r="B3688" s="1297"/>
      <c r="C3688" s="1297"/>
      <c r="D3688" s="1297" t="s">
        <v>944</v>
      </c>
      <c r="E3688" s="1399">
        <v>2552701.5399999996</v>
      </c>
      <c r="I3688" s="1399">
        <v>2552701.5399999996</v>
      </c>
    </row>
    <row r="3689" spans="2:9">
      <c r="B3689" s="1297"/>
      <c r="C3689" s="1297"/>
      <c r="D3689" s="1297" t="s">
        <v>945</v>
      </c>
      <c r="E3689" s="1399">
        <v>2043431.58</v>
      </c>
      <c r="I3689" s="1399">
        <v>2043431.58</v>
      </c>
    </row>
    <row r="3690" spans="2:9">
      <c r="B3690" s="1297"/>
      <c r="C3690" s="1297"/>
      <c r="D3690" s="1297" t="s">
        <v>947</v>
      </c>
      <c r="E3690" s="1399">
        <v>63099.819999999992</v>
      </c>
      <c r="I3690" s="1399">
        <v>63099.819999999992</v>
      </c>
    </row>
    <row r="3691" spans="2:9">
      <c r="B3691" s="1297"/>
      <c r="C3691" s="1297"/>
      <c r="D3691" s="1297" t="s">
        <v>948</v>
      </c>
      <c r="G3691" s="1399">
        <v>827505.55</v>
      </c>
      <c r="I3691" s="1399">
        <v>827505.55</v>
      </c>
    </row>
    <row r="3692" spans="2:9">
      <c r="B3692" s="1297"/>
      <c r="C3692" s="1400" t="s">
        <v>1237</v>
      </c>
      <c r="D3692" s="1400"/>
      <c r="E3692" s="1401">
        <v>6274263.54</v>
      </c>
      <c r="F3692" s="1401">
        <v>17227509.869999997</v>
      </c>
      <c r="G3692" s="1401">
        <v>827505.55</v>
      </c>
      <c r="H3692" s="1401">
        <v>27915911.82</v>
      </c>
      <c r="I3692" s="1401">
        <v>52245190.779999986</v>
      </c>
    </row>
    <row r="3693" spans="2:9">
      <c r="B3693" s="1297" t="s">
        <v>1238</v>
      </c>
      <c r="C3693" s="1297" t="s">
        <v>1239</v>
      </c>
      <c r="D3693" s="1297" t="s">
        <v>906</v>
      </c>
      <c r="F3693" s="1399">
        <v>3418730.67</v>
      </c>
      <c r="I3693" s="1399">
        <v>3418730.67</v>
      </c>
    </row>
    <row r="3694" spans="2:9">
      <c r="B3694" s="1297"/>
      <c r="C3694" s="1297"/>
      <c r="D3694" s="1297" t="s">
        <v>952</v>
      </c>
      <c r="F3694" s="1399">
        <v>26719.8</v>
      </c>
      <c r="I3694" s="1399">
        <v>26719.8</v>
      </c>
    </row>
    <row r="3695" spans="2:9">
      <c r="B3695" s="1297"/>
      <c r="C3695" s="1297"/>
      <c r="D3695" s="1297" t="s">
        <v>907</v>
      </c>
      <c r="F3695" s="1399">
        <v>474323</v>
      </c>
      <c r="I3695" s="1399">
        <v>474323</v>
      </c>
    </row>
    <row r="3696" spans="2:9">
      <c r="B3696" s="1297"/>
      <c r="C3696" s="1297"/>
      <c r="D3696" s="1297" t="s">
        <v>908</v>
      </c>
      <c r="F3696" s="1399">
        <v>11533.93</v>
      </c>
      <c r="I3696" s="1399">
        <v>11533.93</v>
      </c>
    </row>
    <row r="3697" spans="2:9">
      <c r="B3697" s="1297"/>
      <c r="C3697" s="1297"/>
      <c r="D3697" s="1297" t="s">
        <v>909</v>
      </c>
      <c r="F3697" s="1399">
        <v>24332.06</v>
      </c>
      <c r="I3697" s="1399">
        <v>24332.06</v>
      </c>
    </row>
    <row r="3698" spans="2:9">
      <c r="B3698" s="1297"/>
      <c r="C3698" s="1297"/>
      <c r="D3698" s="1297" t="s">
        <v>1034</v>
      </c>
      <c r="F3698" s="1399">
        <v>4173.8900000000003</v>
      </c>
      <c r="I3698" s="1399">
        <v>4173.8900000000003</v>
      </c>
    </row>
    <row r="3699" spans="2:9">
      <c r="B3699" s="1297"/>
      <c r="C3699" s="1297"/>
      <c r="D3699" s="1297" t="s">
        <v>1035</v>
      </c>
      <c r="F3699" s="1399">
        <v>362283.68</v>
      </c>
      <c r="I3699" s="1399">
        <v>362283.68</v>
      </c>
    </row>
    <row r="3700" spans="2:9">
      <c r="B3700" s="1297"/>
      <c r="C3700" s="1297"/>
      <c r="D3700" s="1297" t="s">
        <v>1037</v>
      </c>
      <c r="F3700" s="1399">
        <v>22921.23</v>
      </c>
      <c r="I3700" s="1399">
        <v>22921.23</v>
      </c>
    </row>
    <row r="3701" spans="2:9">
      <c r="B3701" s="1297"/>
      <c r="C3701" s="1297"/>
      <c r="D3701" s="1297" t="s">
        <v>1039</v>
      </c>
      <c r="F3701" s="1399">
        <v>4908.5899999999992</v>
      </c>
      <c r="I3701" s="1399">
        <v>4908.5899999999992</v>
      </c>
    </row>
    <row r="3702" spans="2:9">
      <c r="B3702" s="1297"/>
      <c r="C3702" s="1297"/>
      <c r="D3702" s="1297" t="s">
        <v>1040</v>
      </c>
      <c r="F3702" s="1399">
        <v>81384.399999999994</v>
      </c>
      <c r="I3702" s="1399">
        <v>81384.399999999994</v>
      </c>
    </row>
    <row r="3703" spans="2:9">
      <c r="B3703" s="1297"/>
      <c r="C3703" s="1297"/>
      <c r="D3703" s="1297" t="s">
        <v>1041</v>
      </c>
      <c r="F3703" s="1399">
        <v>8240.74</v>
      </c>
      <c r="I3703" s="1399">
        <v>8240.74</v>
      </c>
    </row>
    <row r="3704" spans="2:9">
      <c r="B3704" s="1297"/>
      <c r="C3704" s="1297"/>
      <c r="D3704" s="1297" t="s">
        <v>1042</v>
      </c>
      <c r="F3704" s="1399">
        <v>26511.37</v>
      </c>
      <c r="I3704" s="1399">
        <v>26511.37</v>
      </c>
    </row>
    <row r="3705" spans="2:9">
      <c r="B3705" s="1297"/>
      <c r="C3705" s="1297"/>
      <c r="D3705" s="1297" t="s">
        <v>1043</v>
      </c>
      <c r="F3705" s="1399">
        <v>28929.17</v>
      </c>
      <c r="I3705" s="1399">
        <v>28929.17</v>
      </c>
    </row>
    <row r="3706" spans="2:9">
      <c r="B3706" s="1297"/>
      <c r="C3706" s="1297"/>
      <c r="D3706" s="1297" t="s">
        <v>1044</v>
      </c>
      <c r="F3706" s="1399">
        <v>24063.77</v>
      </c>
      <c r="I3706" s="1399">
        <v>24063.77</v>
      </c>
    </row>
    <row r="3707" spans="2:9">
      <c r="B3707" s="1297"/>
      <c r="C3707" s="1297"/>
      <c r="D3707" s="1297" t="s">
        <v>1045</v>
      </c>
      <c r="F3707" s="1399">
        <v>61987.65</v>
      </c>
      <c r="I3707" s="1399">
        <v>61987.65</v>
      </c>
    </row>
    <row r="3708" spans="2:9">
      <c r="B3708" s="1297"/>
      <c r="C3708" s="1297"/>
      <c r="D3708" s="1297" t="s">
        <v>1046</v>
      </c>
      <c r="H3708" s="1399">
        <v>5964683</v>
      </c>
      <c r="I3708" s="1399">
        <v>5964683</v>
      </c>
    </row>
    <row r="3709" spans="2:9">
      <c r="B3709" s="1297"/>
      <c r="C3709" s="1297"/>
      <c r="D3709" s="1297" t="s">
        <v>1128</v>
      </c>
      <c r="H3709" s="1399">
        <v>557950</v>
      </c>
      <c r="I3709" s="1399">
        <v>557950</v>
      </c>
    </row>
    <row r="3710" spans="2:9">
      <c r="B3710" s="1297"/>
      <c r="C3710" s="1297"/>
      <c r="D3710" s="1297" t="s">
        <v>1047</v>
      </c>
      <c r="H3710" s="1399">
        <v>395822</v>
      </c>
      <c r="I3710" s="1399">
        <v>395822</v>
      </c>
    </row>
    <row r="3711" spans="2:9">
      <c r="B3711" s="1297"/>
      <c r="C3711" s="1297"/>
      <c r="D3711" s="1297" t="s">
        <v>1048</v>
      </c>
      <c r="H3711" s="1399">
        <v>-1024280</v>
      </c>
      <c r="I3711" s="1399">
        <v>-1024280</v>
      </c>
    </row>
    <row r="3712" spans="2:9">
      <c r="B3712" s="1297"/>
      <c r="C3712" s="1297"/>
      <c r="D3712" s="1297" t="s">
        <v>932</v>
      </c>
      <c r="H3712" s="1399">
        <v>492656</v>
      </c>
      <c r="I3712" s="1399">
        <v>492656</v>
      </c>
    </row>
    <row r="3713" spans="2:9">
      <c r="B3713" s="1297"/>
      <c r="C3713" s="1297"/>
      <c r="D3713" s="1297" t="s">
        <v>955</v>
      </c>
      <c r="H3713" s="1399">
        <v>257661.04</v>
      </c>
      <c r="I3713" s="1399">
        <v>257661.04</v>
      </c>
    </row>
    <row r="3714" spans="2:9">
      <c r="B3714" s="1297"/>
      <c r="C3714" s="1297"/>
      <c r="D3714" s="1297" t="s">
        <v>934</v>
      </c>
      <c r="H3714" s="1399">
        <v>24388</v>
      </c>
      <c r="I3714" s="1399">
        <v>24388</v>
      </c>
    </row>
    <row r="3715" spans="2:9">
      <c r="B3715" s="1297"/>
      <c r="C3715" s="1297"/>
      <c r="D3715" s="1297" t="s">
        <v>1130</v>
      </c>
      <c r="H3715" s="1399">
        <v>4139655.9</v>
      </c>
      <c r="I3715" s="1399">
        <v>4139655.9</v>
      </c>
    </row>
    <row r="3716" spans="2:9">
      <c r="B3716" s="1297"/>
      <c r="C3716" s="1297"/>
      <c r="D3716" s="1297" t="s">
        <v>935</v>
      </c>
      <c r="H3716" s="1399">
        <v>238804.72</v>
      </c>
      <c r="I3716" s="1399">
        <v>238804.72</v>
      </c>
    </row>
    <row r="3717" spans="2:9">
      <c r="B3717" s="1297"/>
      <c r="C3717" s="1297"/>
      <c r="D3717" s="1297" t="s">
        <v>936</v>
      </c>
      <c r="H3717" s="1399">
        <v>28012.04</v>
      </c>
      <c r="I3717" s="1399">
        <v>28012.04</v>
      </c>
    </row>
    <row r="3718" spans="2:9">
      <c r="B3718" s="1297"/>
      <c r="C3718" s="1297"/>
      <c r="D3718" s="1297" t="s">
        <v>938</v>
      </c>
      <c r="H3718" s="1399">
        <v>7299</v>
      </c>
      <c r="I3718" s="1399">
        <v>7299</v>
      </c>
    </row>
    <row r="3719" spans="2:9">
      <c r="B3719" s="1297"/>
      <c r="C3719" s="1297"/>
      <c r="D3719" s="1297" t="s">
        <v>940</v>
      </c>
      <c r="E3719" s="1399">
        <v>408041.88</v>
      </c>
      <c r="I3719" s="1399">
        <v>408041.88</v>
      </c>
    </row>
    <row r="3720" spans="2:9">
      <c r="B3720" s="1297"/>
      <c r="C3720" s="1297"/>
      <c r="D3720" s="1297" t="s">
        <v>941</v>
      </c>
      <c r="E3720" s="1399">
        <v>189058.72</v>
      </c>
      <c r="I3720" s="1399">
        <v>189058.72</v>
      </c>
    </row>
    <row r="3721" spans="2:9">
      <c r="B3721" s="1297"/>
      <c r="C3721" s="1297"/>
      <c r="D3721" s="1297" t="s">
        <v>943</v>
      </c>
      <c r="E3721" s="1399">
        <v>2629.22</v>
      </c>
      <c r="I3721" s="1399">
        <v>2629.22</v>
      </c>
    </row>
    <row r="3722" spans="2:9">
      <c r="B3722" s="1297"/>
      <c r="C3722" s="1297"/>
      <c r="D3722" s="1297" t="s">
        <v>944</v>
      </c>
      <c r="E3722" s="1399">
        <v>1083076.5</v>
      </c>
      <c r="I3722" s="1399">
        <v>1083076.5</v>
      </c>
    </row>
    <row r="3723" spans="2:9">
      <c r="B3723" s="1297"/>
      <c r="C3723" s="1297"/>
      <c r="D3723" s="1297" t="s">
        <v>945</v>
      </c>
      <c r="E3723" s="1399">
        <v>433161.97</v>
      </c>
      <c r="I3723" s="1399">
        <v>433161.97</v>
      </c>
    </row>
    <row r="3724" spans="2:9">
      <c r="B3724" s="1297"/>
      <c r="C3724" s="1297"/>
      <c r="D3724" s="1297" t="s">
        <v>947</v>
      </c>
      <c r="E3724" s="1399">
        <v>35889.99</v>
      </c>
      <c r="I3724" s="1399">
        <v>35889.99</v>
      </c>
    </row>
    <row r="3725" spans="2:9">
      <c r="B3725" s="1297"/>
      <c r="C3725" s="1297"/>
      <c r="D3725" s="1297" t="s">
        <v>1115</v>
      </c>
      <c r="E3725" s="1399">
        <v>213347.59</v>
      </c>
      <c r="I3725" s="1399">
        <v>213347.59</v>
      </c>
    </row>
    <row r="3726" spans="2:9">
      <c r="B3726" s="1297"/>
      <c r="C3726" s="1297"/>
      <c r="D3726" s="1297" t="s">
        <v>1116</v>
      </c>
      <c r="G3726" s="1399">
        <v>16245000</v>
      </c>
      <c r="I3726" s="1399">
        <v>16245000</v>
      </c>
    </row>
    <row r="3727" spans="2:9">
      <c r="B3727" s="1297"/>
      <c r="C3727" s="1297"/>
      <c r="D3727" s="1297" t="s">
        <v>948</v>
      </c>
      <c r="G3727" s="1399">
        <v>1486594.08</v>
      </c>
      <c r="I3727" s="1399">
        <v>1486594.08</v>
      </c>
    </row>
    <row r="3728" spans="2:9">
      <c r="B3728" s="1297"/>
      <c r="C3728" s="1297"/>
      <c r="D3728" s="1297" t="s">
        <v>956</v>
      </c>
      <c r="G3728" s="1399">
        <v>2337.9</v>
      </c>
      <c r="I3728" s="1399">
        <v>2337.9</v>
      </c>
    </row>
    <row r="3729" spans="2:9">
      <c r="B3729" s="1297"/>
      <c r="C3729" s="1400" t="s">
        <v>1240</v>
      </c>
      <c r="D3729" s="1400"/>
      <c r="E3729" s="1401">
        <v>2365205.87</v>
      </c>
      <c r="F3729" s="1401">
        <v>4581043.9500000011</v>
      </c>
      <c r="G3729" s="1401">
        <v>17733931.979999997</v>
      </c>
      <c r="H3729" s="1401">
        <v>11082651.699999999</v>
      </c>
      <c r="I3729" s="1401">
        <v>35762833.499999993</v>
      </c>
    </row>
    <row r="3730" spans="2:9">
      <c r="B3730" s="1297" t="s">
        <v>1241</v>
      </c>
      <c r="C3730" s="1297" t="s">
        <v>1242</v>
      </c>
      <c r="D3730" s="1297" t="s">
        <v>906</v>
      </c>
      <c r="F3730" s="1399">
        <v>9860884.1899999995</v>
      </c>
      <c r="I3730" s="1399">
        <v>9860884.1899999995</v>
      </c>
    </row>
    <row r="3731" spans="2:9">
      <c r="B3731" s="1297"/>
      <c r="C3731" s="1297"/>
      <c r="D3731" s="1297" t="s">
        <v>952</v>
      </c>
      <c r="F3731" s="1399">
        <v>96086.86</v>
      </c>
      <c r="I3731" s="1399">
        <v>96086.86</v>
      </c>
    </row>
    <row r="3732" spans="2:9">
      <c r="B3732" s="1297"/>
      <c r="C3732" s="1297"/>
      <c r="D3732" s="1297" t="s">
        <v>907</v>
      </c>
      <c r="F3732" s="1399">
        <v>3509977.69</v>
      </c>
      <c r="I3732" s="1399">
        <v>3509977.69</v>
      </c>
    </row>
    <row r="3733" spans="2:9">
      <c r="B3733" s="1297"/>
      <c r="C3733" s="1297"/>
      <c r="D3733" s="1297" t="s">
        <v>909</v>
      </c>
      <c r="F3733" s="1399">
        <v>91552.459999999992</v>
      </c>
      <c r="I3733" s="1399">
        <v>91552.459999999992</v>
      </c>
    </row>
    <row r="3734" spans="2:9">
      <c r="B3734" s="1297"/>
      <c r="C3734" s="1297"/>
      <c r="D3734" s="1297" t="s">
        <v>910</v>
      </c>
      <c r="F3734" s="1399">
        <v>16001.160000000002</v>
      </c>
      <c r="I3734" s="1399">
        <v>16001.160000000002</v>
      </c>
    </row>
    <row r="3735" spans="2:9">
      <c r="B3735" s="1297"/>
      <c r="C3735" s="1297"/>
      <c r="D3735" s="1297" t="s">
        <v>1034</v>
      </c>
      <c r="F3735" s="1399">
        <v>79713.37000000001</v>
      </c>
      <c r="I3735" s="1399">
        <v>79713.37000000001</v>
      </c>
    </row>
    <row r="3736" spans="2:9">
      <c r="B3736" s="1297"/>
      <c r="C3736" s="1297"/>
      <c r="D3736" s="1297" t="s">
        <v>1035</v>
      </c>
      <c r="F3736" s="1399">
        <v>282412.12</v>
      </c>
      <c r="I3736" s="1399">
        <v>282412.12</v>
      </c>
    </row>
    <row r="3737" spans="2:9">
      <c r="B3737" s="1297"/>
      <c r="C3737" s="1297"/>
      <c r="D3737" s="1297" t="s">
        <v>1036</v>
      </c>
      <c r="F3737" s="1399">
        <v>100277.02</v>
      </c>
      <c r="I3737" s="1399">
        <v>100277.02</v>
      </c>
    </row>
    <row r="3738" spans="2:9">
      <c r="B3738" s="1297"/>
      <c r="C3738" s="1297"/>
      <c r="D3738" s="1297" t="s">
        <v>1037</v>
      </c>
      <c r="F3738" s="1399">
        <v>8886.7999999999993</v>
      </c>
      <c r="I3738" s="1399">
        <v>8886.7999999999993</v>
      </c>
    </row>
    <row r="3739" spans="2:9">
      <c r="B3739" s="1297"/>
      <c r="C3739" s="1297"/>
      <c r="D3739" s="1297" t="s">
        <v>1039</v>
      </c>
      <c r="F3739" s="1399">
        <v>66935.989999999991</v>
      </c>
      <c r="I3739" s="1399">
        <v>66935.989999999991</v>
      </c>
    </row>
    <row r="3740" spans="2:9">
      <c r="B3740" s="1297"/>
      <c r="C3740" s="1297"/>
      <c r="D3740" s="1297" t="s">
        <v>1040</v>
      </c>
      <c r="F3740" s="1399">
        <v>210006.69</v>
      </c>
      <c r="I3740" s="1399">
        <v>210006.69</v>
      </c>
    </row>
    <row r="3741" spans="2:9">
      <c r="B3741" s="1297"/>
      <c r="C3741" s="1297"/>
      <c r="D3741" s="1297" t="s">
        <v>1041</v>
      </c>
      <c r="F3741" s="1399">
        <v>25456.33</v>
      </c>
      <c r="I3741" s="1399">
        <v>25456.33</v>
      </c>
    </row>
    <row r="3742" spans="2:9">
      <c r="B3742" s="1297"/>
      <c r="C3742" s="1297"/>
      <c r="D3742" s="1297" t="s">
        <v>1042</v>
      </c>
      <c r="F3742" s="1399">
        <v>40693.300000000003</v>
      </c>
      <c r="I3742" s="1399">
        <v>40693.300000000003</v>
      </c>
    </row>
    <row r="3743" spans="2:9">
      <c r="B3743" s="1297"/>
      <c r="C3743" s="1297"/>
      <c r="D3743" s="1297" t="s">
        <v>954</v>
      </c>
      <c r="F3743" s="1399">
        <v>59854.679999999993</v>
      </c>
      <c r="I3743" s="1399">
        <v>59854.679999999993</v>
      </c>
    </row>
    <row r="3744" spans="2:9">
      <c r="B3744" s="1297"/>
      <c r="C3744" s="1297"/>
      <c r="D3744" s="1297" t="s">
        <v>1043</v>
      </c>
      <c r="F3744" s="1399">
        <v>3604.62</v>
      </c>
      <c r="I3744" s="1399">
        <v>3604.62</v>
      </c>
    </row>
    <row r="3745" spans="2:9">
      <c r="B3745" s="1297"/>
      <c r="C3745" s="1297"/>
      <c r="D3745" s="1297" t="s">
        <v>996</v>
      </c>
      <c r="F3745" s="1399">
        <v>48711.29</v>
      </c>
      <c r="I3745" s="1399">
        <v>48711.29</v>
      </c>
    </row>
    <row r="3746" spans="2:9">
      <c r="B3746" s="1297"/>
      <c r="C3746" s="1297"/>
      <c r="D3746" s="1297" t="s">
        <v>991</v>
      </c>
      <c r="F3746" s="1399">
        <v>1185</v>
      </c>
      <c r="I3746" s="1399">
        <v>1185</v>
      </c>
    </row>
    <row r="3747" spans="2:9">
      <c r="B3747" s="1297"/>
      <c r="C3747" s="1297"/>
      <c r="D3747" s="1297" t="s">
        <v>1045</v>
      </c>
      <c r="F3747" s="1399">
        <v>393405.28</v>
      </c>
      <c r="I3747" s="1399">
        <v>393405.28</v>
      </c>
    </row>
    <row r="3748" spans="2:9">
      <c r="B3748" s="1297"/>
      <c r="C3748" s="1297"/>
      <c r="D3748" s="1297" t="s">
        <v>1046</v>
      </c>
      <c r="H3748" s="1399">
        <v>21462448</v>
      </c>
      <c r="I3748" s="1399">
        <v>21462448</v>
      </c>
    </row>
    <row r="3749" spans="2:9">
      <c r="B3749" s="1297"/>
      <c r="C3749" s="1297"/>
      <c r="D3749" s="1297" t="s">
        <v>1128</v>
      </c>
      <c r="H3749" s="1399">
        <v>1743523</v>
      </c>
      <c r="I3749" s="1399">
        <v>1743523</v>
      </c>
    </row>
    <row r="3750" spans="2:9">
      <c r="B3750" s="1297"/>
      <c r="C3750" s="1297"/>
      <c r="D3750" s="1297" t="s">
        <v>1129</v>
      </c>
      <c r="H3750" s="1399">
        <v>-3046268</v>
      </c>
      <c r="I3750" s="1399">
        <v>-3046268</v>
      </c>
    </row>
    <row r="3751" spans="2:9">
      <c r="B3751" s="1297"/>
      <c r="C3751" s="1297"/>
      <c r="D3751" s="1297" t="s">
        <v>1047</v>
      </c>
      <c r="H3751" s="1399">
        <v>653070</v>
      </c>
      <c r="I3751" s="1399">
        <v>653070</v>
      </c>
    </row>
    <row r="3752" spans="2:9">
      <c r="B3752" s="1297"/>
      <c r="C3752" s="1297"/>
      <c r="D3752" s="1297" t="s">
        <v>1048</v>
      </c>
      <c r="H3752" s="1399">
        <v>-2587908</v>
      </c>
      <c r="I3752" s="1399">
        <v>-2587908</v>
      </c>
    </row>
    <row r="3753" spans="2:9">
      <c r="B3753" s="1297"/>
      <c r="C3753" s="1297"/>
      <c r="D3753" s="1297" t="s">
        <v>932</v>
      </c>
      <c r="H3753" s="1399">
        <v>2437314</v>
      </c>
      <c r="I3753" s="1399">
        <v>2437314</v>
      </c>
    </row>
    <row r="3754" spans="2:9">
      <c r="B3754" s="1297"/>
      <c r="C3754" s="1297"/>
      <c r="D3754" s="1297" t="s">
        <v>955</v>
      </c>
      <c r="H3754" s="1399">
        <v>673674.35</v>
      </c>
      <c r="I3754" s="1399">
        <v>673674.35</v>
      </c>
    </row>
    <row r="3755" spans="2:9">
      <c r="B3755" s="1297"/>
      <c r="C3755" s="1297"/>
      <c r="D3755" s="1297" t="s">
        <v>934</v>
      </c>
      <c r="H3755" s="1399">
        <v>62862</v>
      </c>
      <c r="I3755" s="1399">
        <v>62862</v>
      </c>
    </row>
    <row r="3756" spans="2:9">
      <c r="B3756" s="1297"/>
      <c r="C3756" s="1297"/>
      <c r="D3756" s="1297" t="s">
        <v>935</v>
      </c>
      <c r="H3756" s="1399">
        <v>413774.50000000006</v>
      </c>
      <c r="I3756" s="1399">
        <v>413774.50000000006</v>
      </c>
    </row>
    <row r="3757" spans="2:9">
      <c r="B3757" s="1297"/>
      <c r="C3757" s="1297"/>
      <c r="D3757" s="1297" t="s">
        <v>936</v>
      </c>
      <c r="H3757" s="1399">
        <v>78783.87</v>
      </c>
      <c r="I3757" s="1399">
        <v>78783.87</v>
      </c>
    </row>
    <row r="3758" spans="2:9">
      <c r="B3758" s="1297"/>
      <c r="C3758" s="1297"/>
      <c r="D3758" s="1297" t="s">
        <v>937</v>
      </c>
      <c r="H3758" s="1399">
        <v>21035.82</v>
      </c>
      <c r="I3758" s="1399">
        <v>21035.82</v>
      </c>
    </row>
    <row r="3759" spans="2:9">
      <c r="B3759" s="1297"/>
      <c r="C3759" s="1297"/>
      <c r="D3759" s="1297" t="s">
        <v>938</v>
      </c>
      <c r="H3759" s="1399">
        <v>22085</v>
      </c>
      <c r="I3759" s="1399">
        <v>22085</v>
      </c>
    </row>
    <row r="3760" spans="2:9">
      <c r="B3760" s="1297"/>
      <c r="C3760" s="1297"/>
      <c r="D3760" s="1297" t="s">
        <v>1131</v>
      </c>
      <c r="E3760" s="1399">
        <v>55109.95</v>
      </c>
      <c r="I3760" s="1399">
        <v>55109.95</v>
      </c>
    </row>
    <row r="3761" spans="2:9">
      <c r="B3761" s="1297"/>
      <c r="C3761" s="1297"/>
      <c r="D3761" s="1297" t="s">
        <v>940</v>
      </c>
      <c r="E3761" s="1399">
        <v>1206012.32</v>
      </c>
      <c r="I3761" s="1399">
        <v>1206012.32</v>
      </c>
    </row>
    <row r="3762" spans="2:9">
      <c r="B3762" s="1297"/>
      <c r="C3762" s="1297"/>
      <c r="D3762" s="1297" t="s">
        <v>941</v>
      </c>
      <c r="E3762" s="1399">
        <v>488362.86</v>
      </c>
      <c r="I3762" s="1399">
        <v>488362.86</v>
      </c>
    </row>
    <row r="3763" spans="2:9">
      <c r="B3763" s="1297"/>
      <c r="C3763" s="1297"/>
      <c r="D3763" s="1297" t="s">
        <v>943</v>
      </c>
      <c r="E3763" s="1399">
        <v>43248.56</v>
      </c>
      <c r="I3763" s="1399">
        <v>43248.56</v>
      </c>
    </row>
    <row r="3764" spans="2:9">
      <c r="B3764" s="1297"/>
      <c r="C3764" s="1297"/>
      <c r="D3764" s="1297" t="s">
        <v>944</v>
      </c>
      <c r="E3764" s="1399">
        <v>3013440.1700000009</v>
      </c>
      <c r="I3764" s="1399">
        <v>3013440.1700000009</v>
      </c>
    </row>
    <row r="3765" spans="2:9">
      <c r="B3765" s="1297"/>
      <c r="C3765" s="1297"/>
      <c r="D3765" s="1297" t="s">
        <v>945</v>
      </c>
      <c r="E3765" s="1399">
        <v>1148635.42</v>
      </c>
      <c r="I3765" s="1399">
        <v>1148635.42</v>
      </c>
    </row>
    <row r="3766" spans="2:9">
      <c r="B3766" s="1297"/>
      <c r="C3766" s="1297"/>
      <c r="D3766" s="1297" t="s">
        <v>947</v>
      </c>
      <c r="E3766" s="1399">
        <v>131364.54999999999</v>
      </c>
      <c r="I3766" s="1399">
        <v>131364.54999999999</v>
      </c>
    </row>
    <row r="3767" spans="2:9">
      <c r="B3767" s="1297"/>
      <c r="C3767" s="1297"/>
      <c r="D3767" s="1297" t="s">
        <v>948</v>
      </c>
      <c r="G3767" s="1399">
        <v>2496725.06</v>
      </c>
      <c r="I3767" s="1399">
        <v>2496725.06</v>
      </c>
    </row>
    <row r="3768" spans="2:9">
      <c r="B3768" s="1297"/>
      <c r="C3768" s="1297"/>
      <c r="D3768" s="1297" t="s">
        <v>1118</v>
      </c>
      <c r="G3768" s="1399">
        <v>2585.33</v>
      </c>
      <c r="I3768" s="1399">
        <v>2585.33</v>
      </c>
    </row>
    <row r="3769" spans="2:9">
      <c r="B3769" s="1297"/>
      <c r="C3769" s="1400" t="s">
        <v>1243</v>
      </c>
      <c r="D3769" s="1400"/>
      <c r="E3769" s="1401">
        <v>6086173.830000001</v>
      </c>
      <c r="F3769" s="1401">
        <v>14895644.849999996</v>
      </c>
      <c r="G3769" s="1401">
        <v>2499310.39</v>
      </c>
      <c r="H3769" s="1401">
        <v>21934394.540000003</v>
      </c>
      <c r="I3769" s="1401">
        <v>45415523.609999999</v>
      </c>
    </row>
    <row r="3770" spans="2:9">
      <c r="B3770" s="1297" t="s">
        <v>1244</v>
      </c>
      <c r="C3770" s="1297" t="s">
        <v>1245</v>
      </c>
      <c r="D3770" s="1297" t="s">
        <v>906</v>
      </c>
      <c r="F3770" s="1399">
        <v>7331137.3600000003</v>
      </c>
      <c r="I3770" s="1399">
        <v>7331137.3600000003</v>
      </c>
    </row>
    <row r="3771" spans="2:9">
      <c r="B3771" s="1297"/>
      <c r="C3771" s="1297"/>
      <c r="D3771" s="1297" t="s">
        <v>952</v>
      </c>
      <c r="F3771" s="1399">
        <v>68037.45</v>
      </c>
      <c r="I3771" s="1399">
        <v>68037.45</v>
      </c>
    </row>
    <row r="3772" spans="2:9">
      <c r="B3772" s="1297"/>
      <c r="C3772" s="1297"/>
      <c r="D3772" s="1297" t="s">
        <v>907</v>
      </c>
      <c r="F3772" s="1399">
        <v>1236856.97</v>
      </c>
      <c r="I3772" s="1399">
        <v>1236856.97</v>
      </c>
    </row>
    <row r="3773" spans="2:9">
      <c r="B3773" s="1297"/>
      <c r="C3773" s="1297"/>
      <c r="D3773" s="1297" t="s">
        <v>909</v>
      </c>
      <c r="F3773" s="1399">
        <v>6166</v>
      </c>
      <c r="I3773" s="1399">
        <v>6166</v>
      </c>
    </row>
    <row r="3774" spans="2:9">
      <c r="B3774" s="1297"/>
      <c r="C3774" s="1297"/>
      <c r="D3774" s="1297" t="s">
        <v>910</v>
      </c>
      <c r="F3774" s="1399">
        <v>10835.5</v>
      </c>
      <c r="I3774" s="1399">
        <v>10835.5</v>
      </c>
    </row>
    <row r="3775" spans="2:9">
      <c r="B3775" s="1297"/>
      <c r="C3775" s="1297"/>
      <c r="D3775" s="1297" t="s">
        <v>1034</v>
      </c>
      <c r="F3775" s="1399">
        <v>15102.62</v>
      </c>
      <c r="I3775" s="1399">
        <v>15102.62</v>
      </c>
    </row>
    <row r="3776" spans="2:9">
      <c r="B3776" s="1297"/>
      <c r="C3776" s="1297"/>
      <c r="D3776" s="1297" t="s">
        <v>1035</v>
      </c>
      <c r="F3776" s="1399">
        <v>55937.71</v>
      </c>
      <c r="I3776" s="1399">
        <v>55937.71</v>
      </c>
    </row>
    <row r="3777" spans="2:9">
      <c r="B3777" s="1297"/>
      <c r="C3777" s="1297"/>
      <c r="D3777" s="1297" t="s">
        <v>1036</v>
      </c>
      <c r="F3777" s="1399">
        <v>67367.59</v>
      </c>
      <c r="I3777" s="1399">
        <v>67367.59</v>
      </c>
    </row>
    <row r="3778" spans="2:9">
      <c r="B3778" s="1297"/>
      <c r="C3778" s="1297"/>
      <c r="D3778" s="1297" t="s">
        <v>1039</v>
      </c>
      <c r="F3778" s="1399">
        <v>7174.55</v>
      </c>
      <c r="I3778" s="1399">
        <v>7174.55</v>
      </c>
    </row>
    <row r="3779" spans="2:9">
      <c r="B3779" s="1297"/>
      <c r="C3779" s="1297"/>
      <c r="D3779" s="1297" t="s">
        <v>1040</v>
      </c>
      <c r="F3779" s="1399">
        <v>53374.13</v>
      </c>
      <c r="I3779" s="1399">
        <v>53374.13</v>
      </c>
    </row>
    <row r="3780" spans="2:9">
      <c r="B3780" s="1297"/>
      <c r="C3780" s="1297"/>
      <c r="D3780" s="1297" t="s">
        <v>1041</v>
      </c>
      <c r="F3780" s="1399">
        <v>4878.21</v>
      </c>
      <c r="I3780" s="1399">
        <v>4878.21</v>
      </c>
    </row>
    <row r="3781" spans="2:9">
      <c r="B3781" s="1297"/>
      <c r="C3781" s="1297"/>
      <c r="D3781" s="1297" t="s">
        <v>1042</v>
      </c>
      <c r="F3781" s="1399">
        <v>30248.65</v>
      </c>
      <c r="I3781" s="1399">
        <v>30248.65</v>
      </c>
    </row>
    <row r="3782" spans="2:9">
      <c r="B3782" s="1297"/>
      <c r="C3782" s="1297"/>
      <c r="D3782" s="1297" t="s">
        <v>1045</v>
      </c>
      <c r="F3782" s="1399">
        <v>471552.01999999996</v>
      </c>
      <c r="I3782" s="1399">
        <v>471552.01999999996</v>
      </c>
    </row>
    <row r="3783" spans="2:9">
      <c r="B3783" s="1297"/>
      <c r="C3783" s="1297"/>
      <c r="D3783" s="1297" t="s">
        <v>1046</v>
      </c>
      <c r="H3783" s="1399">
        <v>8045525</v>
      </c>
      <c r="I3783" s="1399">
        <v>8045525</v>
      </c>
    </row>
    <row r="3784" spans="2:9">
      <c r="B3784" s="1297"/>
      <c r="C3784" s="1297"/>
      <c r="D3784" s="1297" t="s">
        <v>1047</v>
      </c>
      <c r="H3784" s="1399">
        <v>321816</v>
      </c>
      <c r="I3784" s="1399">
        <v>321816</v>
      </c>
    </row>
    <row r="3785" spans="2:9">
      <c r="B3785" s="1297"/>
      <c r="C3785" s="1297"/>
      <c r="D3785" s="1297" t="s">
        <v>1048</v>
      </c>
      <c r="H3785" s="1399">
        <v>-2972431</v>
      </c>
      <c r="I3785" s="1399">
        <v>-2972431</v>
      </c>
    </row>
    <row r="3786" spans="2:9">
      <c r="B3786" s="1297"/>
      <c r="C3786" s="1297"/>
      <c r="D3786" s="1297" t="s">
        <v>955</v>
      </c>
      <c r="H3786" s="1399">
        <v>364363.02</v>
      </c>
      <c r="I3786" s="1399">
        <v>364363.02</v>
      </c>
    </row>
    <row r="3787" spans="2:9">
      <c r="B3787" s="1297"/>
      <c r="C3787" s="1297"/>
      <c r="D3787" s="1297" t="s">
        <v>934</v>
      </c>
      <c r="H3787" s="1399">
        <v>29996</v>
      </c>
      <c r="I3787" s="1399">
        <v>29996</v>
      </c>
    </row>
    <row r="3788" spans="2:9">
      <c r="B3788" s="1297"/>
      <c r="C3788" s="1297"/>
      <c r="D3788" s="1297" t="s">
        <v>935</v>
      </c>
      <c r="H3788" s="1399">
        <v>115607.83</v>
      </c>
      <c r="I3788" s="1399">
        <v>115607.83</v>
      </c>
    </row>
    <row r="3789" spans="2:9">
      <c r="B3789" s="1297"/>
      <c r="C3789" s="1297"/>
      <c r="D3789" s="1297" t="s">
        <v>936</v>
      </c>
      <c r="H3789" s="1399">
        <v>31863.7</v>
      </c>
      <c r="I3789" s="1399">
        <v>31863.7</v>
      </c>
    </row>
    <row r="3790" spans="2:9">
      <c r="B3790" s="1297"/>
      <c r="C3790" s="1297"/>
      <c r="D3790" s="1297" t="s">
        <v>938</v>
      </c>
      <c r="H3790" s="1399">
        <v>10855</v>
      </c>
      <c r="I3790" s="1399">
        <v>10855</v>
      </c>
    </row>
    <row r="3791" spans="2:9">
      <c r="B3791" s="1297"/>
      <c r="C3791" s="1297"/>
      <c r="D3791" s="1297" t="s">
        <v>939</v>
      </c>
      <c r="H3791" s="1399">
        <v>42250</v>
      </c>
      <c r="I3791" s="1399">
        <v>42250</v>
      </c>
    </row>
    <row r="3792" spans="2:9">
      <c r="B3792" s="1297"/>
      <c r="C3792" s="1297"/>
      <c r="D3792" s="1297" t="s">
        <v>940</v>
      </c>
      <c r="E3792" s="1399">
        <v>494993.62</v>
      </c>
      <c r="I3792" s="1399">
        <v>494993.62</v>
      </c>
    </row>
    <row r="3793" spans="2:9">
      <c r="B3793" s="1297"/>
      <c r="C3793" s="1297"/>
      <c r="D3793" s="1297" t="s">
        <v>941</v>
      </c>
      <c r="E3793" s="1399">
        <v>213828.5</v>
      </c>
      <c r="I3793" s="1399">
        <v>213828.5</v>
      </c>
    </row>
    <row r="3794" spans="2:9">
      <c r="B3794" s="1297"/>
      <c r="C3794" s="1297"/>
      <c r="D3794" s="1297" t="s">
        <v>944</v>
      </c>
      <c r="E3794" s="1399">
        <v>1362981.32</v>
      </c>
      <c r="I3794" s="1399">
        <v>1362981.32</v>
      </c>
    </row>
    <row r="3795" spans="2:9">
      <c r="B3795" s="1297"/>
      <c r="C3795" s="1297"/>
      <c r="D3795" s="1297" t="s">
        <v>945</v>
      </c>
      <c r="E3795" s="1399">
        <v>812919.76</v>
      </c>
      <c r="I3795" s="1399">
        <v>812919.76</v>
      </c>
    </row>
    <row r="3796" spans="2:9">
      <c r="B3796" s="1297"/>
      <c r="C3796" s="1297"/>
      <c r="D3796" s="1297" t="s">
        <v>947</v>
      </c>
      <c r="E3796" s="1399">
        <v>46995.11</v>
      </c>
      <c r="I3796" s="1399">
        <v>46995.11</v>
      </c>
    </row>
    <row r="3797" spans="2:9">
      <c r="B3797" s="1297"/>
      <c r="C3797" s="1297"/>
      <c r="D3797" s="1297" t="s">
        <v>948</v>
      </c>
      <c r="G3797" s="1399">
        <v>147531.26999999999</v>
      </c>
      <c r="I3797" s="1399">
        <v>147531.26999999999</v>
      </c>
    </row>
    <row r="3798" spans="2:9">
      <c r="B3798" s="1297"/>
      <c r="C3798" s="1400" t="s">
        <v>1246</v>
      </c>
      <c r="D3798" s="1400"/>
      <c r="E3798" s="1401">
        <v>2931718.31</v>
      </c>
      <c r="F3798" s="1401">
        <v>9358668.7600000035</v>
      </c>
      <c r="G3798" s="1401">
        <v>147531.26999999999</v>
      </c>
      <c r="H3798" s="1401">
        <v>5989845.5499999998</v>
      </c>
      <c r="I3798" s="1401">
        <v>18427763.890000004</v>
      </c>
    </row>
    <row r="3799" spans="2:9">
      <c r="B3799" s="1297" t="s">
        <v>1247</v>
      </c>
      <c r="C3799" s="1297" t="s">
        <v>1248</v>
      </c>
      <c r="D3799" s="1297" t="s">
        <v>906</v>
      </c>
      <c r="F3799" s="1399">
        <v>8966030.4399999995</v>
      </c>
      <c r="I3799" s="1399">
        <v>8966030.4399999995</v>
      </c>
    </row>
    <row r="3800" spans="2:9">
      <c r="B3800" s="1297"/>
      <c r="C3800" s="1297"/>
      <c r="D3800" s="1297" t="s">
        <v>952</v>
      </c>
      <c r="F3800" s="1399">
        <v>93943.19</v>
      </c>
      <c r="I3800" s="1399">
        <v>93943.19</v>
      </c>
    </row>
    <row r="3801" spans="2:9">
      <c r="B3801" s="1297"/>
      <c r="C3801" s="1297"/>
      <c r="D3801" s="1297" t="s">
        <v>907</v>
      </c>
      <c r="F3801" s="1399">
        <v>1418421.58</v>
      </c>
      <c r="I3801" s="1399">
        <v>1418421.58</v>
      </c>
    </row>
    <row r="3802" spans="2:9">
      <c r="B3802" s="1297"/>
      <c r="C3802" s="1297"/>
      <c r="D3802" s="1297" t="s">
        <v>908</v>
      </c>
      <c r="F3802" s="1399">
        <v>60111.64</v>
      </c>
      <c r="I3802" s="1399">
        <v>60111.64</v>
      </c>
    </row>
    <row r="3803" spans="2:9">
      <c r="B3803" s="1297"/>
      <c r="C3803" s="1297"/>
      <c r="D3803" s="1297" t="s">
        <v>909</v>
      </c>
      <c r="F3803" s="1399">
        <v>18680.27</v>
      </c>
      <c r="I3803" s="1399">
        <v>18680.27</v>
      </c>
    </row>
    <row r="3804" spans="2:9">
      <c r="B3804" s="1297"/>
      <c r="C3804" s="1297"/>
      <c r="D3804" s="1297" t="s">
        <v>910</v>
      </c>
      <c r="F3804" s="1399">
        <v>55003.32</v>
      </c>
      <c r="I3804" s="1399">
        <v>55003.32</v>
      </c>
    </row>
    <row r="3805" spans="2:9">
      <c r="B3805" s="1297"/>
      <c r="C3805" s="1297"/>
      <c r="D3805" s="1297" t="s">
        <v>1034</v>
      </c>
      <c r="F3805" s="1399">
        <v>11947.09</v>
      </c>
      <c r="I3805" s="1399">
        <v>11947.09</v>
      </c>
    </row>
    <row r="3806" spans="2:9">
      <c r="B3806" s="1297"/>
      <c r="C3806" s="1297"/>
      <c r="D3806" s="1297" t="s">
        <v>1035</v>
      </c>
      <c r="F3806" s="1399">
        <v>199095.62</v>
      </c>
      <c r="I3806" s="1399">
        <v>199095.62</v>
      </c>
    </row>
    <row r="3807" spans="2:9">
      <c r="B3807" s="1297"/>
      <c r="C3807" s="1297"/>
      <c r="D3807" s="1297" t="s">
        <v>1036</v>
      </c>
      <c r="F3807" s="1399">
        <v>117111.63</v>
      </c>
      <c r="I3807" s="1399">
        <v>117111.63</v>
      </c>
    </row>
    <row r="3808" spans="2:9">
      <c r="B3808" s="1297"/>
      <c r="C3808" s="1297"/>
      <c r="D3808" s="1297" t="s">
        <v>1037</v>
      </c>
      <c r="F3808" s="1399">
        <v>5115</v>
      </c>
      <c r="I3808" s="1399">
        <v>5115</v>
      </c>
    </row>
    <row r="3809" spans="2:9">
      <c r="B3809" s="1297"/>
      <c r="C3809" s="1297"/>
      <c r="D3809" s="1297" t="s">
        <v>1039</v>
      </c>
      <c r="F3809" s="1399">
        <v>8522.51</v>
      </c>
      <c r="I3809" s="1399">
        <v>8522.51</v>
      </c>
    </row>
    <row r="3810" spans="2:9">
      <c r="B3810" s="1297"/>
      <c r="C3810" s="1297"/>
      <c r="D3810" s="1297" t="s">
        <v>1041</v>
      </c>
      <c r="F3810" s="1399">
        <v>24556.12</v>
      </c>
      <c r="I3810" s="1399">
        <v>24556.12</v>
      </c>
    </row>
    <row r="3811" spans="2:9">
      <c r="B3811" s="1297"/>
      <c r="C3811" s="1297"/>
      <c r="D3811" s="1297" t="s">
        <v>1042</v>
      </c>
      <c r="F3811" s="1399">
        <v>34183.65</v>
      </c>
      <c r="I3811" s="1399">
        <v>34183.65</v>
      </c>
    </row>
    <row r="3812" spans="2:9">
      <c r="B3812" s="1297"/>
      <c r="C3812" s="1297"/>
      <c r="D3812" s="1297" t="s">
        <v>996</v>
      </c>
      <c r="F3812" s="1399">
        <v>-1760.03</v>
      </c>
      <c r="I3812" s="1399">
        <v>-1760.03</v>
      </c>
    </row>
    <row r="3813" spans="2:9">
      <c r="B3813" s="1297"/>
      <c r="C3813" s="1297"/>
      <c r="D3813" s="1297" t="s">
        <v>1044</v>
      </c>
      <c r="F3813" s="1399">
        <v>39506.9</v>
      </c>
      <c r="I3813" s="1399">
        <v>39506.9</v>
      </c>
    </row>
    <row r="3814" spans="2:9">
      <c r="B3814" s="1297"/>
      <c r="C3814" s="1297"/>
      <c r="D3814" s="1297" t="s">
        <v>1045</v>
      </c>
      <c r="F3814" s="1399">
        <v>2017878.58</v>
      </c>
      <c r="I3814" s="1399">
        <v>2017878.58</v>
      </c>
    </row>
    <row r="3815" spans="2:9">
      <c r="B3815" s="1297"/>
      <c r="C3815" s="1297"/>
      <c r="D3815" s="1297" t="s">
        <v>1046</v>
      </c>
      <c r="H3815" s="1399">
        <v>16096624</v>
      </c>
      <c r="I3815" s="1399">
        <v>16096624</v>
      </c>
    </row>
    <row r="3816" spans="2:9">
      <c r="B3816" s="1297"/>
      <c r="C3816" s="1297"/>
      <c r="D3816" s="1297" t="s">
        <v>1128</v>
      </c>
      <c r="H3816" s="1399">
        <v>1329253</v>
      </c>
      <c r="I3816" s="1399">
        <v>1329253</v>
      </c>
    </row>
    <row r="3817" spans="2:9">
      <c r="B3817" s="1297"/>
      <c r="C3817" s="1297"/>
      <c r="D3817" s="1297" t="s">
        <v>1047</v>
      </c>
      <c r="H3817" s="1399">
        <v>913559</v>
      </c>
      <c r="I3817" s="1399">
        <v>913559</v>
      </c>
    </row>
    <row r="3818" spans="2:9">
      <c r="B3818" s="1297"/>
      <c r="C3818" s="1297"/>
      <c r="D3818" s="1297" t="s">
        <v>1048</v>
      </c>
      <c r="H3818" s="1399">
        <v>-4804033</v>
      </c>
      <c r="I3818" s="1399">
        <v>-4804033</v>
      </c>
    </row>
    <row r="3819" spans="2:9">
      <c r="B3819" s="1297"/>
      <c r="C3819" s="1297"/>
      <c r="D3819" s="1297" t="s">
        <v>932</v>
      </c>
      <c r="H3819" s="1399">
        <v>1119103</v>
      </c>
      <c r="I3819" s="1399">
        <v>1119103</v>
      </c>
    </row>
    <row r="3820" spans="2:9">
      <c r="B3820" s="1297"/>
      <c r="C3820" s="1297"/>
      <c r="D3820" s="1297" t="s">
        <v>955</v>
      </c>
      <c r="H3820" s="1399">
        <v>878545.11</v>
      </c>
      <c r="I3820" s="1399">
        <v>878545.11</v>
      </c>
    </row>
    <row r="3821" spans="2:9">
      <c r="B3821" s="1297"/>
      <c r="C3821" s="1297"/>
      <c r="D3821" s="1297" t="s">
        <v>934</v>
      </c>
      <c r="H3821" s="1399">
        <v>61190.8</v>
      </c>
      <c r="I3821" s="1399">
        <v>61190.8</v>
      </c>
    </row>
    <row r="3822" spans="2:9">
      <c r="B3822" s="1297"/>
      <c r="C3822" s="1297"/>
      <c r="D3822" s="1297" t="s">
        <v>1130</v>
      </c>
      <c r="H3822" s="1399">
        <v>614727.13</v>
      </c>
      <c r="I3822" s="1399">
        <v>614727.13</v>
      </c>
    </row>
    <row r="3823" spans="2:9">
      <c r="B3823" s="1297"/>
      <c r="C3823" s="1297"/>
      <c r="D3823" s="1297" t="s">
        <v>935</v>
      </c>
      <c r="H3823" s="1399">
        <v>623161.62</v>
      </c>
      <c r="I3823" s="1399">
        <v>623161.62</v>
      </c>
    </row>
    <row r="3824" spans="2:9">
      <c r="B3824" s="1297"/>
      <c r="C3824" s="1297"/>
      <c r="D3824" s="1297" t="s">
        <v>936</v>
      </c>
      <c r="H3824" s="1399">
        <v>77383.27</v>
      </c>
      <c r="I3824" s="1399">
        <v>77383.27</v>
      </c>
    </row>
    <row r="3825" spans="2:9">
      <c r="B3825" s="1297"/>
      <c r="C3825" s="1297"/>
      <c r="D3825" s="1297" t="s">
        <v>938</v>
      </c>
      <c r="H3825" s="1399">
        <v>23769</v>
      </c>
      <c r="I3825" s="1399">
        <v>23769</v>
      </c>
    </row>
    <row r="3826" spans="2:9">
      <c r="B3826" s="1297"/>
      <c r="C3826" s="1297"/>
      <c r="D3826" s="1297" t="s">
        <v>939</v>
      </c>
      <c r="H3826" s="1399">
        <v>42250</v>
      </c>
      <c r="I3826" s="1399">
        <v>42250</v>
      </c>
    </row>
    <row r="3827" spans="2:9">
      <c r="B3827" s="1297"/>
      <c r="C3827" s="1297"/>
      <c r="D3827" s="1297" t="s">
        <v>940</v>
      </c>
      <c r="E3827" s="1399">
        <v>869712.96</v>
      </c>
      <c r="I3827" s="1399">
        <v>869712.96</v>
      </c>
    </row>
    <row r="3828" spans="2:9">
      <c r="B3828" s="1297"/>
      <c r="C3828" s="1297"/>
      <c r="D3828" s="1297" t="s">
        <v>941</v>
      </c>
      <c r="E3828" s="1399">
        <v>369092.9</v>
      </c>
      <c r="I3828" s="1399">
        <v>369092.9</v>
      </c>
    </row>
    <row r="3829" spans="2:9">
      <c r="B3829" s="1297"/>
      <c r="C3829" s="1297"/>
      <c r="D3829" s="1297" t="s">
        <v>943</v>
      </c>
      <c r="E3829" s="1399">
        <v>15973.64</v>
      </c>
      <c r="I3829" s="1399">
        <v>15973.64</v>
      </c>
    </row>
    <row r="3830" spans="2:9">
      <c r="B3830" s="1297"/>
      <c r="C3830" s="1297"/>
      <c r="D3830" s="1297" t="s">
        <v>944</v>
      </c>
      <c r="E3830" s="1399">
        <v>4122550.65</v>
      </c>
      <c r="I3830" s="1399">
        <v>4122550.65</v>
      </c>
    </row>
    <row r="3831" spans="2:9">
      <c r="B3831" s="1297"/>
      <c r="C3831" s="1297"/>
      <c r="D3831" s="1297" t="s">
        <v>945</v>
      </c>
      <c r="E3831" s="1399">
        <v>1502396.8199999998</v>
      </c>
      <c r="I3831" s="1399">
        <v>1502396.8199999998</v>
      </c>
    </row>
    <row r="3832" spans="2:9">
      <c r="B3832" s="1297"/>
      <c r="C3832" s="1297"/>
      <c r="D3832" s="1297" t="s">
        <v>947</v>
      </c>
      <c r="E3832" s="1399">
        <v>77617.89</v>
      </c>
      <c r="I3832" s="1399">
        <v>77617.89</v>
      </c>
    </row>
    <row r="3833" spans="2:9">
      <c r="B3833" s="1297"/>
      <c r="C3833" s="1297"/>
      <c r="D3833" s="1297" t="s">
        <v>1051</v>
      </c>
      <c r="G3833" s="1399">
        <v>4326126.28</v>
      </c>
      <c r="I3833" s="1399">
        <v>4326126.28</v>
      </c>
    </row>
    <row r="3834" spans="2:9">
      <c r="B3834" s="1297"/>
      <c r="C3834" s="1400" t="s">
        <v>1249</v>
      </c>
      <c r="D3834" s="1400"/>
      <c r="E3834" s="1401">
        <v>6957344.8599999985</v>
      </c>
      <c r="F3834" s="1401">
        <v>13068347.51</v>
      </c>
      <c r="G3834" s="1401">
        <v>4326126.28</v>
      </c>
      <c r="H3834" s="1401">
        <v>16975532.93</v>
      </c>
      <c r="I3834" s="1401">
        <v>41327351.579999998</v>
      </c>
    </row>
    <row r="3835" spans="2:9">
      <c r="B3835" s="1297" t="s">
        <v>1250</v>
      </c>
      <c r="C3835" s="1297" t="s">
        <v>1251</v>
      </c>
      <c r="D3835" s="1297" t="s">
        <v>906</v>
      </c>
      <c r="F3835" s="1399">
        <v>2433490.87</v>
      </c>
      <c r="I3835" s="1399">
        <v>2433490.87</v>
      </c>
    </row>
    <row r="3836" spans="2:9">
      <c r="B3836" s="1297"/>
      <c r="C3836" s="1297"/>
      <c r="D3836" s="1297" t="s">
        <v>907</v>
      </c>
      <c r="F3836" s="1399">
        <v>631863.02</v>
      </c>
      <c r="I3836" s="1399">
        <v>631863.02</v>
      </c>
    </row>
    <row r="3837" spans="2:9">
      <c r="B3837" s="1297"/>
      <c r="C3837" s="1297"/>
      <c r="D3837" s="1297" t="s">
        <v>995</v>
      </c>
      <c r="F3837" s="1399">
        <v>17214.64</v>
      </c>
      <c r="I3837" s="1399">
        <v>17214.64</v>
      </c>
    </row>
    <row r="3838" spans="2:9">
      <c r="B3838" s="1297"/>
      <c r="C3838" s="1297"/>
      <c r="D3838" s="1297" t="s">
        <v>908</v>
      </c>
      <c r="F3838" s="1399">
        <v>8499</v>
      </c>
      <c r="I3838" s="1399">
        <v>8499</v>
      </c>
    </row>
    <row r="3839" spans="2:9">
      <c r="B3839" s="1297"/>
      <c r="C3839" s="1297"/>
      <c r="D3839" s="1297" t="s">
        <v>1035</v>
      </c>
      <c r="F3839" s="1399">
        <v>2014.66</v>
      </c>
      <c r="I3839" s="1399">
        <v>2014.66</v>
      </c>
    </row>
    <row r="3840" spans="2:9">
      <c r="B3840" s="1297"/>
      <c r="C3840" s="1297"/>
      <c r="D3840" s="1297" t="s">
        <v>1039</v>
      </c>
      <c r="F3840" s="1399">
        <v>8597.43</v>
      </c>
      <c r="I3840" s="1399">
        <v>8597.43</v>
      </c>
    </row>
    <row r="3841" spans="2:9">
      <c r="B3841" s="1297"/>
      <c r="C3841" s="1297"/>
      <c r="D3841" s="1297" t="s">
        <v>1040</v>
      </c>
      <c r="F3841" s="1399">
        <v>74256.55</v>
      </c>
      <c r="I3841" s="1399">
        <v>74256.55</v>
      </c>
    </row>
    <row r="3842" spans="2:9">
      <c r="B3842" s="1297"/>
      <c r="C3842" s="1297"/>
      <c r="D3842" s="1297" t="s">
        <v>1041</v>
      </c>
      <c r="F3842" s="1399">
        <v>15221.9</v>
      </c>
      <c r="I3842" s="1399">
        <v>15221.9</v>
      </c>
    </row>
    <row r="3843" spans="2:9">
      <c r="B3843" s="1297"/>
      <c r="C3843" s="1297"/>
      <c r="D3843" s="1297" t="s">
        <v>1042</v>
      </c>
      <c r="F3843" s="1399">
        <v>21464.33</v>
      </c>
      <c r="I3843" s="1399">
        <v>21464.33</v>
      </c>
    </row>
    <row r="3844" spans="2:9">
      <c r="B3844" s="1297"/>
      <c r="C3844" s="1297"/>
      <c r="D3844" s="1297" t="s">
        <v>954</v>
      </c>
      <c r="F3844" s="1399">
        <v>888.79</v>
      </c>
      <c r="I3844" s="1399">
        <v>888.79</v>
      </c>
    </row>
    <row r="3845" spans="2:9">
      <c r="B3845" s="1297"/>
      <c r="C3845" s="1297"/>
      <c r="D3845" s="1297" t="s">
        <v>986</v>
      </c>
      <c r="F3845" s="1399">
        <v>280208.69999999995</v>
      </c>
      <c r="I3845" s="1399">
        <v>280208.69999999995</v>
      </c>
    </row>
    <row r="3846" spans="2:9">
      <c r="B3846" s="1297"/>
      <c r="C3846" s="1297"/>
      <c r="D3846" s="1297" t="s">
        <v>1045</v>
      </c>
      <c r="F3846" s="1399">
        <v>154747.42000000001</v>
      </c>
      <c r="I3846" s="1399">
        <v>154747.42000000001</v>
      </c>
    </row>
    <row r="3847" spans="2:9">
      <c r="B3847" s="1297"/>
      <c r="C3847" s="1297"/>
      <c r="D3847" s="1297" t="s">
        <v>1046</v>
      </c>
      <c r="H3847" s="1399">
        <v>4840126</v>
      </c>
      <c r="I3847" s="1399">
        <v>4840126</v>
      </c>
    </row>
    <row r="3848" spans="2:9">
      <c r="B3848" s="1297"/>
      <c r="C3848" s="1297"/>
      <c r="D3848" s="1297" t="s">
        <v>1047</v>
      </c>
      <c r="H3848" s="1399">
        <v>363346</v>
      </c>
      <c r="I3848" s="1399">
        <v>363346</v>
      </c>
    </row>
    <row r="3849" spans="2:9">
      <c r="B3849" s="1297"/>
      <c r="C3849" s="1297"/>
      <c r="D3849" s="1297" t="s">
        <v>1048</v>
      </c>
      <c r="H3849" s="1399">
        <v>-676164</v>
      </c>
      <c r="I3849" s="1399">
        <v>-676164</v>
      </c>
    </row>
    <row r="3850" spans="2:9">
      <c r="B3850" s="1297"/>
      <c r="C3850" s="1297"/>
      <c r="D3850" s="1297" t="s">
        <v>932</v>
      </c>
      <c r="H3850" s="1399">
        <v>583886</v>
      </c>
      <c r="I3850" s="1399">
        <v>583886</v>
      </c>
    </row>
    <row r="3851" spans="2:9">
      <c r="B3851" s="1297"/>
      <c r="C3851" s="1297"/>
      <c r="D3851" s="1297" t="s">
        <v>955</v>
      </c>
      <c r="H3851" s="1399">
        <v>198335.65</v>
      </c>
      <c r="I3851" s="1399">
        <v>198335.65</v>
      </c>
    </row>
    <row r="3852" spans="2:9">
      <c r="B3852" s="1297"/>
      <c r="C3852" s="1297"/>
      <c r="D3852" s="1297" t="s">
        <v>934</v>
      </c>
      <c r="H3852" s="1399">
        <v>18658</v>
      </c>
      <c r="I3852" s="1399">
        <v>18658</v>
      </c>
    </row>
    <row r="3853" spans="2:9">
      <c r="B3853" s="1297"/>
      <c r="C3853" s="1297"/>
      <c r="D3853" s="1297" t="s">
        <v>935</v>
      </c>
      <c r="H3853" s="1399">
        <v>353693.63999999996</v>
      </c>
      <c r="I3853" s="1399">
        <v>353693.63999999996</v>
      </c>
    </row>
    <row r="3854" spans="2:9">
      <c r="B3854" s="1297"/>
      <c r="C3854" s="1297"/>
      <c r="D3854" s="1297" t="s">
        <v>936</v>
      </c>
      <c r="H3854" s="1399">
        <v>19258.28</v>
      </c>
      <c r="I3854" s="1399">
        <v>19258.28</v>
      </c>
    </row>
    <row r="3855" spans="2:9">
      <c r="B3855" s="1297"/>
      <c r="C3855" s="1297"/>
      <c r="D3855" s="1297" t="s">
        <v>938</v>
      </c>
      <c r="H3855" s="1399">
        <v>6925</v>
      </c>
      <c r="I3855" s="1399">
        <v>6925</v>
      </c>
    </row>
    <row r="3856" spans="2:9">
      <c r="B3856" s="1297"/>
      <c r="C3856" s="1297"/>
      <c r="D3856" s="1297" t="s">
        <v>940</v>
      </c>
      <c r="E3856" s="1399">
        <v>316939.42</v>
      </c>
      <c r="I3856" s="1399">
        <v>316939.42</v>
      </c>
    </row>
    <row r="3857" spans="2:9">
      <c r="B3857" s="1297"/>
      <c r="C3857" s="1297"/>
      <c r="D3857" s="1297" t="s">
        <v>941</v>
      </c>
      <c r="E3857" s="1399">
        <v>107420.62</v>
      </c>
      <c r="I3857" s="1399">
        <v>107420.62</v>
      </c>
    </row>
    <row r="3858" spans="2:9">
      <c r="B3858" s="1297"/>
      <c r="C3858" s="1297"/>
      <c r="D3858" s="1297" t="s">
        <v>943</v>
      </c>
      <c r="E3858" s="1399">
        <v>2868.98</v>
      </c>
      <c r="I3858" s="1399">
        <v>2868.98</v>
      </c>
    </row>
    <row r="3859" spans="2:9">
      <c r="B3859" s="1297"/>
      <c r="C3859" s="1297"/>
      <c r="D3859" s="1297" t="s">
        <v>944</v>
      </c>
      <c r="E3859" s="1399">
        <v>1083347.1099999999</v>
      </c>
      <c r="I3859" s="1399">
        <v>1083347.1099999999</v>
      </c>
    </row>
    <row r="3860" spans="2:9">
      <c r="B3860" s="1297"/>
      <c r="C3860" s="1297"/>
      <c r="D3860" s="1297" t="s">
        <v>945</v>
      </c>
      <c r="E3860" s="1399">
        <v>545561.62</v>
      </c>
      <c r="I3860" s="1399">
        <v>545561.62</v>
      </c>
    </row>
    <row r="3861" spans="2:9">
      <c r="B3861" s="1297"/>
      <c r="C3861" s="1297"/>
      <c r="D3861" s="1297" t="s">
        <v>947</v>
      </c>
      <c r="E3861" s="1399">
        <v>33056.82</v>
      </c>
      <c r="I3861" s="1399">
        <v>33056.82</v>
      </c>
    </row>
    <row r="3862" spans="2:9">
      <c r="B3862" s="1297"/>
      <c r="C3862" s="1297"/>
      <c r="D3862" s="1297" t="s">
        <v>948</v>
      </c>
      <c r="G3862" s="1399">
        <v>19725.29</v>
      </c>
      <c r="I3862" s="1399">
        <v>19725.29</v>
      </c>
    </row>
    <row r="3863" spans="2:9">
      <c r="B3863" s="1297"/>
      <c r="C3863" s="1400" t="s">
        <v>1252</v>
      </c>
      <c r="D3863" s="1400"/>
      <c r="E3863" s="1401">
        <v>2089194.57</v>
      </c>
      <c r="F3863" s="1401">
        <v>3648467.3100000005</v>
      </c>
      <c r="G3863" s="1401">
        <v>19725.29</v>
      </c>
      <c r="H3863" s="1401">
        <v>5708064.5700000003</v>
      </c>
      <c r="I3863" s="1401">
        <v>11465451.739999998</v>
      </c>
    </row>
    <row r="3864" spans="2:9">
      <c r="B3864" s="1297" t="s">
        <v>1253</v>
      </c>
      <c r="C3864" s="1297" t="s">
        <v>1254</v>
      </c>
      <c r="D3864" s="1297" t="s">
        <v>906</v>
      </c>
      <c r="F3864" s="1399">
        <v>6699747.9299999997</v>
      </c>
      <c r="I3864" s="1399">
        <v>6699747.9299999997</v>
      </c>
    </row>
    <row r="3865" spans="2:9">
      <c r="B3865" s="1297"/>
      <c r="C3865" s="1297"/>
      <c r="D3865" s="1297" t="s">
        <v>1126</v>
      </c>
      <c r="F3865" s="1399">
        <v>2171075.9900000002</v>
      </c>
      <c r="I3865" s="1399">
        <v>2171075.9900000002</v>
      </c>
    </row>
    <row r="3866" spans="2:9">
      <c r="B3866" s="1297"/>
      <c r="C3866" s="1297"/>
      <c r="D3866" s="1297" t="s">
        <v>952</v>
      </c>
      <c r="F3866" s="1399">
        <v>49068.68</v>
      </c>
      <c r="I3866" s="1399">
        <v>49068.68</v>
      </c>
    </row>
    <row r="3867" spans="2:9">
      <c r="B3867" s="1297"/>
      <c r="C3867" s="1297"/>
      <c r="D3867" s="1297" t="s">
        <v>907</v>
      </c>
      <c r="F3867" s="1399">
        <v>1707020.6</v>
      </c>
      <c r="I3867" s="1399">
        <v>1707020.6</v>
      </c>
    </row>
    <row r="3868" spans="2:9">
      <c r="B3868" s="1297"/>
      <c r="C3868" s="1297"/>
      <c r="D3868" s="1297" t="s">
        <v>908</v>
      </c>
      <c r="F3868" s="1399">
        <v>11732.03</v>
      </c>
      <c r="I3868" s="1399">
        <v>11732.03</v>
      </c>
    </row>
    <row r="3869" spans="2:9">
      <c r="B3869" s="1297"/>
      <c r="C3869" s="1297"/>
      <c r="D3869" s="1297" t="s">
        <v>909</v>
      </c>
      <c r="F3869" s="1399">
        <v>29425.18</v>
      </c>
      <c r="I3869" s="1399">
        <v>29425.18</v>
      </c>
    </row>
    <row r="3870" spans="2:9">
      <c r="B3870" s="1297"/>
      <c r="C3870" s="1297"/>
      <c r="D3870" s="1297" t="s">
        <v>910</v>
      </c>
      <c r="F3870" s="1399">
        <v>14389.33</v>
      </c>
      <c r="I3870" s="1399">
        <v>14389.33</v>
      </c>
    </row>
    <row r="3871" spans="2:9">
      <c r="B3871" s="1297"/>
      <c r="C3871" s="1297"/>
      <c r="D3871" s="1297" t="s">
        <v>1034</v>
      </c>
      <c r="F3871" s="1399">
        <v>12985.96</v>
      </c>
      <c r="I3871" s="1399">
        <v>12985.96</v>
      </c>
    </row>
    <row r="3872" spans="2:9">
      <c r="B3872" s="1297"/>
      <c r="C3872" s="1297"/>
      <c r="D3872" s="1297" t="s">
        <v>1035</v>
      </c>
      <c r="F3872" s="1399">
        <v>103246.96</v>
      </c>
      <c r="I3872" s="1399">
        <v>103246.96</v>
      </c>
    </row>
    <row r="3873" spans="2:9">
      <c r="B3873" s="1297"/>
      <c r="C3873" s="1297"/>
      <c r="D3873" s="1297" t="s">
        <v>1036</v>
      </c>
      <c r="F3873" s="1399">
        <v>89169.4</v>
      </c>
      <c r="I3873" s="1399">
        <v>89169.4</v>
      </c>
    </row>
    <row r="3874" spans="2:9">
      <c r="B3874" s="1297"/>
      <c r="C3874" s="1297"/>
      <c r="D3874" s="1297" t="s">
        <v>1039</v>
      </c>
      <c r="F3874" s="1399">
        <v>99961.52</v>
      </c>
      <c r="I3874" s="1399">
        <v>99961.52</v>
      </c>
    </row>
    <row r="3875" spans="2:9">
      <c r="B3875" s="1297"/>
      <c r="C3875" s="1297"/>
      <c r="D3875" s="1297" t="s">
        <v>1040</v>
      </c>
      <c r="F3875" s="1399">
        <v>60850.13</v>
      </c>
      <c r="I3875" s="1399">
        <v>60850.13</v>
      </c>
    </row>
    <row r="3876" spans="2:9">
      <c r="B3876" s="1297"/>
      <c r="C3876" s="1297"/>
      <c r="D3876" s="1297" t="s">
        <v>1041</v>
      </c>
      <c r="F3876" s="1399">
        <v>11262.04</v>
      </c>
      <c r="I3876" s="1399">
        <v>11262.04</v>
      </c>
    </row>
    <row r="3877" spans="2:9">
      <c r="B3877" s="1297"/>
      <c r="C3877" s="1297"/>
      <c r="D3877" s="1297" t="s">
        <v>1042</v>
      </c>
      <c r="F3877" s="1399">
        <v>51112.53</v>
      </c>
      <c r="I3877" s="1399">
        <v>51112.53</v>
      </c>
    </row>
    <row r="3878" spans="2:9">
      <c r="B3878" s="1297"/>
      <c r="C3878" s="1297"/>
      <c r="D3878" s="1297" t="s">
        <v>954</v>
      </c>
      <c r="F3878" s="1399">
        <v>120901.83</v>
      </c>
      <c r="I3878" s="1399">
        <v>120901.83</v>
      </c>
    </row>
    <row r="3879" spans="2:9">
      <c r="B3879" s="1297"/>
      <c r="C3879" s="1297"/>
      <c r="D3879" s="1297" t="s">
        <v>1043</v>
      </c>
      <c r="F3879" s="1399">
        <v>15000</v>
      </c>
      <c r="I3879" s="1399">
        <v>15000</v>
      </c>
    </row>
    <row r="3880" spans="2:9">
      <c r="B3880" s="1297"/>
      <c r="C3880" s="1297"/>
      <c r="D3880" s="1297" t="s">
        <v>986</v>
      </c>
      <c r="F3880" s="1399">
        <v>1500</v>
      </c>
      <c r="I3880" s="1399">
        <v>1500</v>
      </c>
    </row>
    <row r="3881" spans="2:9">
      <c r="B3881" s="1297"/>
      <c r="C3881" s="1297"/>
      <c r="D3881" s="1297" t="s">
        <v>1045</v>
      </c>
      <c r="F3881" s="1399">
        <v>183380.59</v>
      </c>
      <c r="I3881" s="1399">
        <v>183380.59</v>
      </c>
    </row>
    <row r="3882" spans="2:9">
      <c r="B3882" s="1297"/>
      <c r="C3882" s="1297"/>
      <c r="D3882" s="1297" t="s">
        <v>1046</v>
      </c>
      <c r="H3882" s="1399">
        <v>13275612</v>
      </c>
      <c r="I3882" s="1399">
        <v>13275612</v>
      </c>
    </row>
    <row r="3883" spans="2:9">
      <c r="B3883" s="1297"/>
      <c r="C3883" s="1297"/>
      <c r="D3883" s="1297" t="s">
        <v>1129</v>
      </c>
      <c r="H3883" s="1399">
        <v>-1631416</v>
      </c>
      <c r="I3883" s="1399">
        <v>-1631416</v>
      </c>
    </row>
    <row r="3884" spans="2:9">
      <c r="B3884" s="1297"/>
      <c r="C3884" s="1297"/>
      <c r="D3884" s="1297" t="s">
        <v>1047</v>
      </c>
      <c r="H3884" s="1399">
        <v>506412</v>
      </c>
      <c r="I3884" s="1399">
        <v>506412</v>
      </c>
    </row>
    <row r="3885" spans="2:9">
      <c r="B3885" s="1297"/>
      <c r="C3885" s="1297"/>
      <c r="D3885" s="1297" t="s">
        <v>1048</v>
      </c>
      <c r="H3885" s="1399">
        <v>-2181141</v>
      </c>
      <c r="I3885" s="1399">
        <v>-2181141</v>
      </c>
    </row>
    <row r="3886" spans="2:9">
      <c r="B3886" s="1297"/>
      <c r="C3886" s="1297"/>
      <c r="D3886" s="1297" t="s">
        <v>932</v>
      </c>
      <c r="H3886" s="1399">
        <v>470151</v>
      </c>
      <c r="I3886" s="1399">
        <v>470151</v>
      </c>
    </row>
    <row r="3887" spans="2:9">
      <c r="B3887" s="1297"/>
      <c r="C3887" s="1297"/>
      <c r="D3887" s="1297" t="s">
        <v>955</v>
      </c>
      <c r="H3887" s="1399">
        <v>337956.87</v>
      </c>
      <c r="I3887" s="1399">
        <v>337956.87</v>
      </c>
    </row>
    <row r="3888" spans="2:9">
      <c r="B3888" s="1297"/>
      <c r="C3888" s="1297"/>
      <c r="D3888" s="1297" t="s">
        <v>934</v>
      </c>
      <c r="H3888" s="1399">
        <v>38898</v>
      </c>
      <c r="I3888" s="1399">
        <v>38898</v>
      </c>
    </row>
    <row r="3889" spans="2:9">
      <c r="B3889" s="1297"/>
      <c r="C3889" s="1297"/>
      <c r="D3889" s="1297" t="s">
        <v>935</v>
      </c>
      <c r="H3889" s="1399">
        <v>863541.74</v>
      </c>
      <c r="I3889" s="1399">
        <v>863541.74</v>
      </c>
    </row>
    <row r="3890" spans="2:9">
      <c r="B3890" s="1297"/>
      <c r="C3890" s="1297"/>
      <c r="D3890" s="1297" t="s">
        <v>936</v>
      </c>
      <c r="H3890" s="1399">
        <v>42718.37</v>
      </c>
      <c r="I3890" s="1399">
        <v>42718.37</v>
      </c>
    </row>
    <row r="3891" spans="2:9">
      <c r="B3891" s="1297"/>
      <c r="C3891" s="1297"/>
      <c r="D3891" s="1297" t="s">
        <v>937</v>
      </c>
      <c r="H3891" s="1399">
        <v>35251.980000000003</v>
      </c>
      <c r="I3891" s="1399">
        <v>35251.980000000003</v>
      </c>
    </row>
    <row r="3892" spans="2:9">
      <c r="B3892" s="1297"/>
      <c r="C3892" s="1297"/>
      <c r="D3892" s="1297" t="s">
        <v>938</v>
      </c>
      <c r="H3892" s="1399">
        <v>11978</v>
      </c>
      <c r="I3892" s="1399">
        <v>11978</v>
      </c>
    </row>
    <row r="3893" spans="2:9">
      <c r="B3893" s="1297"/>
      <c r="C3893" s="1297"/>
      <c r="D3893" s="1297" t="s">
        <v>940</v>
      </c>
      <c r="E3893" s="1399">
        <v>836227.6</v>
      </c>
      <c r="I3893" s="1399">
        <v>836227.6</v>
      </c>
    </row>
    <row r="3894" spans="2:9">
      <c r="B3894" s="1297"/>
      <c r="C3894" s="1297"/>
      <c r="D3894" s="1297" t="s">
        <v>941</v>
      </c>
      <c r="E3894" s="1399">
        <v>334040.42</v>
      </c>
      <c r="I3894" s="1399">
        <v>334040.42</v>
      </c>
    </row>
    <row r="3895" spans="2:9">
      <c r="B3895" s="1297"/>
      <c r="C3895" s="1297"/>
      <c r="D3895" s="1297" t="s">
        <v>944</v>
      </c>
      <c r="E3895" s="1399">
        <v>2756679.58</v>
      </c>
      <c r="I3895" s="1399">
        <v>2756679.58</v>
      </c>
    </row>
    <row r="3896" spans="2:9">
      <c r="B3896" s="1297"/>
      <c r="C3896" s="1297"/>
      <c r="D3896" s="1297" t="s">
        <v>945</v>
      </c>
      <c r="E3896" s="1399">
        <v>1209256.1200000001</v>
      </c>
      <c r="I3896" s="1399">
        <v>1209256.1200000001</v>
      </c>
    </row>
    <row r="3897" spans="2:9">
      <c r="B3897" s="1297"/>
      <c r="C3897" s="1297"/>
      <c r="D3897" s="1297" t="s">
        <v>946</v>
      </c>
      <c r="E3897" s="1399">
        <v>90242.85</v>
      </c>
      <c r="I3897" s="1399">
        <v>90242.85</v>
      </c>
    </row>
    <row r="3898" spans="2:9">
      <c r="B3898" s="1297"/>
      <c r="C3898" s="1297"/>
      <c r="D3898" s="1297" t="s">
        <v>978</v>
      </c>
      <c r="E3898" s="1399">
        <v>38054.519999999997</v>
      </c>
      <c r="I3898" s="1399">
        <v>38054.519999999997</v>
      </c>
    </row>
    <row r="3899" spans="2:9">
      <c r="B3899" s="1297"/>
      <c r="C3899" s="1297"/>
      <c r="D3899" s="1297" t="s">
        <v>947</v>
      </c>
      <c r="E3899" s="1399">
        <v>65516.58</v>
      </c>
      <c r="I3899" s="1399">
        <v>65516.58</v>
      </c>
    </row>
    <row r="3900" spans="2:9">
      <c r="B3900" s="1297"/>
      <c r="C3900" s="1297"/>
      <c r="D3900" s="1297" t="s">
        <v>948</v>
      </c>
      <c r="G3900" s="1399">
        <v>1508219.03</v>
      </c>
      <c r="I3900" s="1399">
        <v>1508219.03</v>
      </c>
    </row>
    <row r="3901" spans="2:9">
      <c r="B3901" s="1297"/>
      <c r="C3901" s="1297"/>
      <c r="D3901" s="1297" t="s">
        <v>1118</v>
      </c>
      <c r="G3901" s="1399">
        <v>7517.86</v>
      </c>
      <c r="I3901" s="1399">
        <v>7517.86</v>
      </c>
    </row>
    <row r="3902" spans="2:9">
      <c r="B3902" s="1297"/>
      <c r="C3902" s="1400" t="s">
        <v>1255</v>
      </c>
      <c r="D3902" s="1400"/>
      <c r="E3902" s="1401">
        <v>5330017.67</v>
      </c>
      <c r="F3902" s="1401">
        <v>11431830.699999999</v>
      </c>
      <c r="G3902" s="1401">
        <v>1515736.8900000001</v>
      </c>
      <c r="H3902" s="1401">
        <v>11769962.959999999</v>
      </c>
      <c r="I3902" s="1401">
        <v>30047548.220000006</v>
      </c>
    </row>
    <row r="3903" spans="2:9">
      <c r="B3903" s="1297" t="s">
        <v>1256</v>
      </c>
      <c r="C3903" s="1297" t="s">
        <v>1257</v>
      </c>
      <c r="D3903" s="1297" t="s">
        <v>906</v>
      </c>
      <c r="F3903" s="1399">
        <v>18872928.760000002</v>
      </c>
      <c r="I3903" s="1399">
        <v>18872928.760000002</v>
      </c>
    </row>
    <row r="3904" spans="2:9">
      <c r="B3904" s="1297"/>
      <c r="C3904" s="1297"/>
      <c r="D3904" s="1297" t="s">
        <v>952</v>
      </c>
      <c r="F3904" s="1399">
        <v>436557.1</v>
      </c>
      <c r="I3904" s="1399">
        <v>436557.1</v>
      </c>
    </row>
    <row r="3905" spans="2:9">
      <c r="B3905" s="1297"/>
      <c r="C3905" s="1297"/>
      <c r="D3905" s="1297" t="s">
        <v>907</v>
      </c>
      <c r="F3905" s="1399">
        <v>5125142.2</v>
      </c>
      <c r="I3905" s="1399">
        <v>5125142.2</v>
      </c>
    </row>
    <row r="3906" spans="2:9">
      <c r="B3906" s="1297"/>
      <c r="C3906" s="1297"/>
      <c r="D3906" s="1297" t="s">
        <v>908</v>
      </c>
      <c r="F3906" s="1399">
        <v>26519.1</v>
      </c>
      <c r="I3906" s="1399">
        <v>26519.1</v>
      </c>
    </row>
    <row r="3907" spans="2:9">
      <c r="B3907" s="1297"/>
      <c r="C3907" s="1297"/>
      <c r="D3907" s="1297" t="s">
        <v>909</v>
      </c>
      <c r="F3907" s="1399">
        <v>104698.35</v>
      </c>
      <c r="I3907" s="1399">
        <v>104698.35</v>
      </c>
    </row>
    <row r="3908" spans="2:9">
      <c r="B3908" s="1297"/>
      <c r="C3908" s="1297"/>
      <c r="D3908" s="1297" t="s">
        <v>910</v>
      </c>
      <c r="F3908" s="1399">
        <v>272211.27</v>
      </c>
      <c r="I3908" s="1399">
        <v>272211.27</v>
      </c>
    </row>
    <row r="3909" spans="2:9">
      <c r="B3909" s="1297"/>
      <c r="C3909" s="1297"/>
      <c r="D3909" s="1297" t="s">
        <v>1034</v>
      </c>
      <c r="F3909" s="1399">
        <v>34626.86</v>
      </c>
      <c r="I3909" s="1399">
        <v>34626.86</v>
      </c>
    </row>
    <row r="3910" spans="2:9">
      <c r="B3910" s="1297"/>
      <c r="C3910" s="1297"/>
      <c r="D3910" s="1297" t="s">
        <v>1035</v>
      </c>
      <c r="F3910" s="1399">
        <v>199838.94</v>
      </c>
      <c r="I3910" s="1399">
        <v>199838.94</v>
      </c>
    </row>
    <row r="3911" spans="2:9">
      <c r="B3911" s="1297"/>
      <c r="C3911" s="1297"/>
      <c r="D3911" s="1297" t="s">
        <v>1036</v>
      </c>
      <c r="F3911" s="1399">
        <v>175744.03</v>
      </c>
      <c r="I3911" s="1399">
        <v>175744.03</v>
      </c>
    </row>
    <row r="3912" spans="2:9">
      <c r="B3912" s="1297"/>
      <c r="C3912" s="1297"/>
      <c r="D3912" s="1297" t="s">
        <v>1037</v>
      </c>
      <c r="F3912" s="1399">
        <v>65157</v>
      </c>
      <c r="I3912" s="1399">
        <v>65157</v>
      </c>
    </row>
    <row r="3913" spans="2:9">
      <c r="B3913" s="1297"/>
      <c r="C3913" s="1297"/>
      <c r="D3913" s="1297" t="s">
        <v>1039</v>
      </c>
      <c r="F3913" s="1399">
        <v>15809.909999999998</v>
      </c>
      <c r="I3913" s="1399">
        <v>15809.909999999998</v>
      </c>
    </row>
    <row r="3914" spans="2:9">
      <c r="B3914" s="1297"/>
      <c r="C3914" s="1297"/>
      <c r="D3914" s="1297" t="s">
        <v>1040</v>
      </c>
      <c r="F3914" s="1399">
        <v>427223.52</v>
      </c>
      <c r="I3914" s="1399">
        <v>427223.52</v>
      </c>
    </row>
    <row r="3915" spans="2:9">
      <c r="B3915" s="1297"/>
      <c r="C3915" s="1297"/>
      <c r="D3915" s="1297" t="s">
        <v>1041</v>
      </c>
      <c r="F3915" s="1399">
        <v>83335.350000000006</v>
      </c>
      <c r="I3915" s="1399">
        <v>83335.350000000006</v>
      </c>
    </row>
    <row r="3916" spans="2:9">
      <c r="B3916" s="1297"/>
      <c r="C3916" s="1297"/>
      <c r="D3916" s="1297" t="s">
        <v>1042</v>
      </c>
      <c r="F3916" s="1399">
        <v>53095.92</v>
      </c>
      <c r="I3916" s="1399">
        <v>53095.92</v>
      </c>
    </row>
    <row r="3917" spans="2:9">
      <c r="B3917" s="1297"/>
      <c r="C3917" s="1297"/>
      <c r="D3917" s="1297" t="s">
        <v>953</v>
      </c>
      <c r="F3917" s="1399">
        <v>35187.64</v>
      </c>
      <c r="I3917" s="1399">
        <v>35187.64</v>
      </c>
    </row>
    <row r="3918" spans="2:9">
      <c r="B3918" s="1297"/>
      <c r="C3918" s="1297"/>
      <c r="D3918" s="1297" t="s">
        <v>1043</v>
      </c>
      <c r="F3918" s="1399">
        <v>29268</v>
      </c>
      <c r="I3918" s="1399">
        <v>29268</v>
      </c>
    </row>
    <row r="3919" spans="2:9">
      <c r="B3919" s="1297"/>
      <c r="C3919" s="1297"/>
      <c r="D3919" s="1297" t="s">
        <v>1045</v>
      </c>
      <c r="F3919" s="1399">
        <v>409656.71</v>
      </c>
      <c r="I3919" s="1399">
        <v>409656.71</v>
      </c>
    </row>
    <row r="3920" spans="2:9">
      <c r="B3920" s="1297"/>
      <c r="C3920" s="1297"/>
      <c r="D3920" s="1297" t="s">
        <v>1046</v>
      </c>
      <c r="H3920" s="1399">
        <v>20412139</v>
      </c>
      <c r="I3920" s="1399">
        <v>20412139</v>
      </c>
    </row>
    <row r="3921" spans="2:9">
      <c r="B3921" s="1297"/>
      <c r="C3921" s="1297"/>
      <c r="D3921" s="1297" t="s">
        <v>1128</v>
      </c>
      <c r="H3921" s="1399">
        <v>1630352</v>
      </c>
      <c r="I3921" s="1399">
        <v>1630352</v>
      </c>
    </row>
    <row r="3922" spans="2:9">
      <c r="B3922" s="1297"/>
      <c r="C3922" s="1297"/>
      <c r="D3922" s="1297" t="s">
        <v>1129</v>
      </c>
      <c r="H3922" s="1399">
        <v>-2352354</v>
      </c>
      <c r="I3922" s="1399">
        <v>-2352354</v>
      </c>
    </row>
    <row r="3923" spans="2:9">
      <c r="B3923" s="1297"/>
      <c r="C3923" s="1297"/>
      <c r="D3923" s="1297" t="s">
        <v>1047</v>
      </c>
      <c r="H3923" s="1399">
        <v>730580</v>
      </c>
      <c r="I3923" s="1399">
        <v>730580</v>
      </c>
    </row>
    <row r="3924" spans="2:9">
      <c r="B3924" s="1297"/>
      <c r="C3924" s="1297"/>
      <c r="D3924" s="1297" t="s">
        <v>1048</v>
      </c>
      <c r="H3924" s="1399">
        <v>-6378998</v>
      </c>
      <c r="I3924" s="1399">
        <v>-6378998</v>
      </c>
    </row>
    <row r="3925" spans="2:9">
      <c r="B3925" s="1297"/>
      <c r="C3925" s="1297"/>
      <c r="D3925" s="1297" t="s">
        <v>933</v>
      </c>
      <c r="H3925" s="1399">
        <v>866187.01</v>
      </c>
      <c r="I3925" s="1399">
        <v>866187.01</v>
      </c>
    </row>
    <row r="3926" spans="2:9">
      <c r="B3926" s="1297"/>
      <c r="C3926" s="1297"/>
      <c r="D3926" s="1297" t="s">
        <v>934</v>
      </c>
      <c r="H3926" s="1399">
        <v>65282</v>
      </c>
      <c r="I3926" s="1399">
        <v>65282</v>
      </c>
    </row>
    <row r="3927" spans="2:9">
      <c r="B3927" s="1297"/>
      <c r="C3927" s="1297"/>
      <c r="D3927" s="1297" t="s">
        <v>935</v>
      </c>
      <c r="H3927" s="1399">
        <v>372522.21</v>
      </c>
      <c r="I3927" s="1399">
        <v>372522.21</v>
      </c>
    </row>
    <row r="3928" spans="2:9">
      <c r="B3928" s="1297"/>
      <c r="C3928" s="1297"/>
      <c r="D3928" s="1297" t="s">
        <v>936</v>
      </c>
      <c r="H3928" s="1399">
        <v>76332.820000000007</v>
      </c>
      <c r="I3928" s="1399">
        <v>76332.820000000007</v>
      </c>
    </row>
    <row r="3929" spans="2:9">
      <c r="B3929" s="1297"/>
      <c r="C3929" s="1297"/>
      <c r="D3929" s="1297" t="s">
        <v>937</v>
      </c>
      <c r="H3929" s="1399">
        <v>22435.56</v>
      </c>
      <c r="I3929" s="1399">
        <v>22435.56</v>
      </c>
    </row>
    <row r="3930" spans="2:9">
      <c r="B3930" s="1297"/>
      <c r="C3930" s="1297"/>
      <c r="D3930" s="1297" t="s">
        <v>938</v>
      </c>
      <c r="H3930" s="1399">
        <v>24518</v>
      </c>
      <c r="I3930" s="1399">
        <v>24518</v>
      </c>
    </row>
    <row r="3931" spans="2:9">
      <c r="B3931" s="1297"/>
      <c r="C3931" s="1297"/>
      <c r="D3931" s="1297" t="s">
        <v>940</v>
      </c>
      <c r="E3931" s="1399">
        <v>918053.64</v>
      </c>
      <c r="I3931" s="1399">
        <v>918053.64</v>
      </c>
    </row>
    <row r="3932" spans="2:9">
      <c r="B3932" s="1297"/>
      <c r="C3932" s="1297"/>
      <c r="D3932" s="1297" t="s">
        <v>941</v>
      </c>
      <c r="E3932" s="1399">
        <v>308487.90000000002</v>
      </c>
      <c r="I3932" s="1399">
        <v>308487.90000000002</v>
      </c>
    </row>
    <row r="3933" spans="2:9">
      <c r="B3933" s="1297"/>
      <c r="C3933" s="1297"/>
      <c r="D3933" s="1297" t="s">
        <v>943</v>
      </c>
      <c r="E3933" s="1399">
        <v>8973.98</v>
      </c>
      <c r="I3933" s="1399">
        <v>8973.98</v>
      </c>
    </row>
    <row r="3934" spans="2:9">
      <c r="B3934" s="1297"/>
      <c r="C3934" s="1297"/>
      <c r="D3934" s="1297" t="s">
        <v>944</v>
      </c>
      <c r="E3934" s="1399">
        <v>2183928.7700000005</v>
      </c>
      <c r="I3934" s="1399">
        <v>2183928.7700000005</v>
      </c>
    </row>
    <row r="3935" spans="2:9">
      <c r="B3935" s="1297"/>
      <c r="C3935" s="1297"/>
      <c r="D3935" s="1297" t="s">
        <v>945</v>
      </c>
      <c r="E3935" s="1399">
        <v>1405015.22</v>
      </c>
      <c r="I3935" s="1399">
        <v>1405015.22</v>
      </c>
    </row>
    <row r="3936" spans="2:9">
      <c r="B3936" s="1297"/>
      <c r="C3936" s="1297"/>
      <c r="D3936" s="1297" t="s">
        <v>947</v>
      </c>
      <c r="E3936" s="1399">
        <v>124368.45</v>
      </c>
      <c r="I3936" s="1399">
        <v>124368.45</v>
      </c>
    </row>
    <row r="3937" spans="2:9">
      <c r="B3937" s="1297"/>
      <c r="C3937" s="1297"/>
      <c r="D3937" s="1297" t="s">
        <v>948</v>
      </c>
      <c r="G3937" s="1399">
        <v>128473.8</v>
      </c>
      <c r="I3937" s="1399">
        <v>128473.8</v>
      </c>
    </row>
    <row r="3938" spans="2:9">
      <c r="B3938" s="1297"/>
      <c r="C3938" s="1400" t="s">
        <v>1258</v>
      </c>
      <c r="D3938" s="1400"/>
      <c r="E3938" s="1401">
        <v>4948827.9600000009</v>
      </c>
      <c r="F3938" s="1401">
        <v>26367000.660000011</v>
      </c>
      <c r="G3938" s="1401">
        <v>128473.8</v>
      </c>
      <c r="H3938" s="1401">
        <v>15468996.600000001</v>
      </c>
      <c r="I3938" s="1401">
        <v>46913299.020000011</v>
      </c>
    </row>
    <row r="3939" spans="2:9">
      <c r="B3939" s="1297" t="s">
        <v>1259</v>
      </c>
      <c r="C3939" s="1297" t="s">
        <v>1260</v>
      </c>
      <c r="D3939" s="1297" t="s">
        <v>906</v>
      </c>
      <c r="F3939" s="1399">
        <v>2216413.52</v>
      </c>
      <c r="I3939" s="1399">
        <v>2216413.52</v>
      </c>
    </row>
    <row r="3940" spans="2:9">
      <c r="B3940" s="1297"/>
      <c r="C3940" s="1297"/>
      <c r="D3940" s="1297" t="s">
        <v>907</v>
      </c>
      <c r="F3940" s="1399">
        <v>636863.44999999995</v>
      </c>
      <c r="I3940" s="1399">
        <v>636863.44999999995</v>
      </c>
    </row>
    <row r="3941" spans="2:9">
      <c r="B3941" s="1297"/>
      <c r="C3941" s="1297"/>
      <c r="D3941" s="1297" t="s">
        <v>908</v>
      </c>
      <c r="F3941" s="1399">
        <v>32802.28</v>
      </c>
      <c r="I3941" s="1399">
        <v>32802.28</v>
      </c>
    </row>
    <row r="3942" spans="2:9">
      <c r="B3942" s="1297"/>
      <c r="C3942" s="1297"/>
      <c r="D3942" s="1297" t="s">
        <v>1034</v>
      </c>
      <c r="F3942" s="1399">
        <v>4805.7</v>
      </c>
      <c r="I3942" s="1399">
        <v>4805.7</v>
      </c>
    </row>
    <row r="3943" spans="2:9">
      <c r="B3943" s="1297"/>
      <c r="C3943" s="1297"/>
      <c r="D3943" s="1297" t="s">
        <v>1038</v>
      </c>
      <c r="F3943" s="1399">
        <v>7018.77</v>
      </c>
      <c r="I3943" s="1399">
        <v>7018.77</v>
      </c>
    </row>
    <row r="3944" spans="2:9">
      <c r="B3944" s="1297"/>
      <c r="C3944" s="1297"/>
      <c r="D3944" s="1297" t="s">
        <v>1039</v>
      </c>
      <c r="F3944" s="1399">
        <v>17269.049999999996</v>
      </c>
      <c r="I3944" s="1399">
        <v>17269.049999999996</v>
      </c>
    </row>
    <row r="3945" spans="2:9">
      <c r="B3945" s="1297"/>
      <c r="C3945" s="1297"/>
      <c r="D3945" s="1297" t="s">
        <v>1040</v>
      </c>
      <c r="F3945" s="1399">
        <v>39917.550000000003</v>
      </c>
      <c r="I3945" s="1399">
        <v>39917.550000000003</v>
      </c>
    </row>
    <row r="3946" spans="2:9">
      <c r="B3946" s="1297"/>
      <c r="C3946" s="1297"/>
      <c r="D3946" s="1297" t="s">
        <v>1041</v>
      </c>
      <c r="F3946" s="1399">
        <v>1822.68</v>
      </c>
      <c r="I3946" s="1399">
        <v>1822.68</v>
      </c>
    </row>
    <row r="3947" spans="2:9">
      <c r="B3947" s="1297"/>
      <c r="C3947" s="1297"/>
      <c r="D3947" s="1297" t="s">
        <v>1042</v>
      </c>
      <c r="F3947" s="1399">
        <v>19354.29</v>
      </c>
      <c r="I3947" s="1399">
        <v>19354.29</v>
      </c>
    </row>
    <row r="3948" spans="2:9">
      <c r="B3948" s="1297"/>
      <c r="C3948" s="1297"/>
      <c r="D3948" s="1297" t="s">
        <v>953</v>
      </c>
      <c r="F3948" s="1399">
        <v>0</v>
      </c>
      <c r="I3948" s="1399">
        <v>0</v>
      </c>
    </row>
    <row r="3949" spans="2:9">
      <c r="B3949" s="1297"/>
      <c r="C3949" s="1297"/>
      <c r="D3949" s="1297" t="s">
        <v>986</v>
      </c>
      <c r="F3949" s="1399">
        <v>246287.3</v>
      </c>
      <c r="I3949" s="1399">
        <v>246287.3</v>
      </c>
    </row>
    <row r="3950" spans="2:9">
      <c r="B3950" s="1297"/>
      <c r="C3950" s="1297"/>
      <c r="D3950" s="1297" t="s">
        <v>1044</v>
      </c>
      <c r="F3950" s="1399">
        <v>-73474.36</v>
      </c>
      <c r="I3950" s="1399">
        <v>-73474.36</v>
      </c>
    </row>
    <row r="3951" spans="2:9">
      <c r="B3951" s="1297"/>
      <c r="C3951" s="1297"/>
      <c r="D3951" s="1297" t="s">
        <v>1045</v>
      </c>
      <c r="F3951" s="1399">
        <v>165101.40999999997</v>
      </c>
      <c r="I3951" s="1399">
        <v>165101.40999999997</v>
      </c>
    </row>
    <row r="3952" spans="2:9">
      <c r="B3952" s="1297"/>
      <c r="C3952" s="1297"/>
      <c r="D3952" s="1297" t="s">
        <v>1046</v>
      </c>
      <c r="H3952" s="1399">
        <v>5722904</v>
      </c>
      <c r="I3952" s="1399">
        <v>5722904</v>
      </c>
    </row>
    <row r="3953" spans="2:9">
      <c r="B3953" s="1297"/>
      <c r="C3953" s="1297"/>
      <c r="D3953" s="1297" t="s">
        <v>1047</v>
      </c>
      <c r="H3953" s="1399">
        <v>270562</v>
      </c>
      <c r="I3953" s="1399">
        <v>270562</v>
      </c>
    </row>
    <row r="3954" spans="2:9">
      <c r="B3954" s="1297"/>
      <c r="C3954" s="1297"/>
      <c r="D3954" s="1297" t="s">
        <v>1048</v>
      </c>
      <c r="H3954" s="1399">
        <v>-750568</v>
      </c>
      <c r="I3954" s="1399">
        <v>-750568</v>
      </c>
    </row>
    <row r="3955" spans="2:9">
      <c r="B3955" s="1297"/>
      <c r="C3955" s="1297"/>
      <c r="D3955" s="1297" t="s">
        <v>932</v>
      </c>
      <c r="H3955" s="1399">
        <v>392904</v>
      </c>
      <c r="I3955" s="1399">
        <v>392904</v>
      </c>
    </row>
    <row r="3956" spans="2:9">
      <c r="B3956" s="1297"/>
      <c r="C3956" s="1297"/>
      <c r="D3956" s="1297" t="s">
        <v>933</v>
      </c>
      <c r="H3956" s="1399">
        <v>350055.51</v>
      </c>
      <c r="I3956" s="1399">
        <v>350055.51</v>
      </c>
    </row>
    <row r="3957" spans="2:9">
      <c r="B3957" s="1297"/>
      <c r="C3957" s="1297"/>
      <c r="D3957" s="1297" t="s">
        <v>934</v>
      </c>
      <c r="H3957" s="1399">
        <v>18008</v>
      </c>
      <c r="I3957" s="1399">
        <v>18008</v>
      </c>
    </row>
    <row r="3958" spans="2:9">
      <c r="B3958" s="1297"/>
      <c r="C3958" s="1297"/>
      <c r="D3958" s="1297" t="s">
        <v>935</v>
      </c>
      <c r="H3958" s="1399">
        <v>66574.710000000006</v>
      </c>
      <c r="I3958" s="1399">
        <v>66574.710000000006</v>
      </c>
    </row>
    <row r="3959" spans="2:9">
      <c r="B3959" s="1297"/>
      <c r="C3959" s="1297"/>
      <c r="D3959" s="1297" t="s">
        <v>936</v>
      </c>
      <c r="H3959" s="1399">
        <v>20658.88</v>
      </c>
      <c r="I3959" s="1399">
        <v>20658.88</v>
      </c>
    </row>
    <row r="3960" spans="2:9">
      <c r="B3960" s="1297"/>
      <c r="C3960" s="1297"/>
      <c r="D3960" s="1297" t="s">
        <v>937</v>
      </c>
      <c r="H3960" s="1399">
        <v>2123.4499999999998</v>
      </c>
      <c r="I3960" s="1399">
        <v>2123.4499999999998</v>
      </c>
    </row>
    <row r="3961" spans="2:9">
      <c r="B3961" s="1297"/>
      <c r="C3961" s="1297"/>
      <c r="D3961" s="1297" t="s">
        <v>938</v>
      </c>
      <c r="H3961" s="1399">
        <v>6551</v>
      </c>
      <c r="I3961" s="1399">
        <v>6551</v>
      </c>
    </row>
    <row r="3962" spans="2:9">
      <c r="B3962" s="1297"/>
      <c r="C3962" s="1297"/>
      <c r="D3962" s="1297" t="s">
        <v>939</v>
      </c>
      <c r="H3962" s="1399">
        <v>126041.81</v>
      </c>
      <c r="I3962" s="1399">
        <v>126041.81</v>
      </c>
    </row>
    <row r="3963" spans="2:9">
      <c r="B3963" s="1297"/>
      <c r="C3963" s="1297"/>
      <c r="D3963" s="1297" t="s">
        <v>940</v>
      </c>
      <c r="E3963" s="1399">
        <v>339436.56</v>
      </c>
      <c r="I3963" s="1399">
        <v>339436.56</v>
      </c>
    </row>
    <row r="3964" spans="2:9">
      <c r="B3964" s="1297"/>
      <c r="C3964" s="1297"/>
      <c r="D3964" s="1297" t="s">
        <v>941</v>
      </c>
      <c r="E3964" s="1399">
        <v>127986.76</v>
      </c>
      <c r="I3964" s="1399">
        <v>127986.76</v>
      </c>
    </row>
    <row r="3965" spans="2:9">
      <c r="B3965" s="1297"/>
      <c r="C3965" s="1297"/>
      <c r="D3965" s="1297" t="s">
        <v>942</v>
      </c>
      <c r="E3965" s="1399">
        <v>4687.4799999999996</v>
      </c>
      <c r="I3965" s="1399">
        <v>4687.4799999999996</v>
      </c>
    </row>
    <row r="3966" spans="2:9">
      <c r="B3966" s="1297"/>
      <c r="C3966" s="1297"/>
      <c r="D3966" s="1297" t="s">
        <v>943</v>
      </c>
      <c r="E3966" s="1399">
        <v>0</v>
      </c>
      <c r="I3966" s="1399">
        <v>0</v>
      </c>
    </row>
    <row r="3967" spans="2:9">
      <c r="B3967" s="1297"/>
      <c r="C3967" s="1297"/>
      <c r="D3967" s="1297" t="s">
        <v>944</v>
      </c>
      <c r="E3967" s="1399">
        <v>962710.55</v>
      </c>
      <c r="I3967" s="1399">
        <v>962710.55</v>
      </c>
    </row>
    <row r="3968" spans="2:9">
      <c r="B3968" s="1297"/>
      <c r="C3968" s="1297"/>
      <c r="D3968" s="1297" t="s">
        <v>945</v>
      </c>
      <c r="E3968" s="1399">
        <v>229008</v>
      </c>
      <c r="I3968" s="1399">
        <v>229008</v>
      </c>
    </row>
    <row r="3969" spans="2:9">
      <c r="B3969" s="1297"/>
      <c r="C3969" s="1297"/>
      <c r="D3969" s="1297" t="s">
        <v>947</v>
      </c>
      <c r="E3969" s="1399">
        <v>38092.550000000003</v>
      </c>
      <c r="I3969" s="1399">
        <v>38092.550000000003</v>
      </c>
    </row>
    <row r="3970" spans="2:9">
      <c r="B3970" s="1297"/>
      <c r="C3970" s="1297"/>
      <c r="D3970" s="1297" t="s">
        <v>1115</v>
      </c>
      <c r="E3970" s="1399">
        <v>10.27</v>
      </c>
      <c r="I3970" s="1399">
        <v>10.27</v>
      </c>
    </row>
    <row r="3971" spans="2:9">
      <c r="B3971" s="1297"/>
      <c r="C3971" s="1297"/>
      <c r="D3971" s="1297" t="s">
        <v>948</v>
      </c>
      <c r="G3971" s="1399">
        <v>1131819.02</v>
      </c>
      <c r="I3971" s="1399">
        <v>1131819.02</v>
      </c>
    </row>
    <row r="3972" spans="2:9">
      <c r="B3972" s="1297"/>
      <c r="C3972" s="1400" t="s">
        <v>1261</v>
      </c>
      <c r="D3972" s="1400"/>
      <c r="E3972" s="1401">
        <v>1701932.1700000002</v>
      </c>
      <c r="F3972" s="1401">
        <v>3314181.6399999997</v>
      </c>
      <c r="G3972" s="1401">
        <v>1131819.02</v>
      </c>
      <c r="H3972" s="1401">
        <v>6225815.3599999994</v>
      </c>
      <c r="I3972" s="1401">
        <v>12373748.190000003</v>
      </c>
    </row>
    <row r="3973" spans="2:9">
      <c r="B3973" s="1297" t="s">
        <v>1262</v>
      </c>
      <c r="C3973" s="1297" t="s">
        <v>1263</v>
      </c>
      <c r="D3973" s="1297" t="s">
        <v>906</v>
      </c>
      <c r="F3973" s="1399">
        <v>12032716.470000001</v>
      </c>
      <c r="I3973" s="1399">
        <v>12032716.470000001</v>
      </c>
    </row>
    <row r="3974" spans="2:9">
      <c r="B3974" s="1297"/>
      <c r="C3974" s="1297"/>
      <c r="D3974" s="1297" t="s">
        <v>952</v>
      </c>
      <c r="F3974" s="1399">
        <v>104646.37</v>
      </c>
      <c r="I3974" s="1399">
        <v>104646.37</v>
      </c>
    </row>
    <row r="3975" spans="2:9">
      <c r="B3975" s="1297"/>
      <c r="C3975" s="1297"/>
      <c r="D3975" s="1297" t="s">
        <v>907</v>
      </c>
      <c r="F3975" s="1399">
        <v>3495751.71</v>
      </c>
      <c r="I3975" s="1399">
        <v>3495751.71</v>
      </c>
    </row>
    <row r="3976" spans="2:9">
      <c r="B3976" s="1297"/>
      <c r="C3976" s="1297"/>
      <c r="D3976" s="1297" t="s">
        <v>908</v>
      </c>
      <c r="F3976" s="1399">
        <v>26849.7</v>
      </c>
      <c r="I3976" s="1399">
        <v>26849.7</v>
      </c>
    </row>
    <row r="3977" spans="2:9">
      <c r="B3977" s="1297"/>
      <c r="C3977" s="1297"/>
      <c r="D3977" s="1297" t="s">
        <v>1034</v>
      </c>
      <c r="F3977" s="1399">
        <v>12085.37</v>
      </c>
      <c r="I3977" s="1399">
        <v>12085.37</v>
      </c>
    </row>
    <row r="3978" spans="2:9">
      <c r="B3978" s="1297"/>
      <c r="C3978" s="1297"/>
      <c r="D3978" s="1297" t="s">
        <v>1035</v>
      </c>
      <c r="F3978" s="1399">
        <v>387436.16</v>
      </c>
      <c r="I3978" s="1399">
        <v>387436.16</v>
      </c>
    </row>
    <row r="3979" spans="2:9">
      <c r="B3979" s="1297"/>
      <c r="C3979" s="1297"/>
      <c r="D3979" s="1297" t="s">
        <v>1037</v>
      </c>
      <c r="F3979" s="1399">
        <v>16003.98</v>
      </c>
      <c r="I3979" s="1399">
        <v>16003.98</v>
      </c>
    </row>
    <row r="3980" spans="2:9">
      <c r="B3980" s="1297"/>
      <c r="C3980" s="1297"/>
      <c r="D3980" s="1297" t="s">
        <v>1039</v>
      </c>
      <c r="F3980" s="1399">
        <v>118183.03</v>
      </c>
      <c r="I3980" s="1399">
        <v>118183.03</v>
      </c>
    </row>
    <row r="3981" spans="2:9">
      <c r="B3981" s="1297"/>
      <c r="C3981" s="1297"/>
      <c r="D3981" s="1297" t="s">
        <v>1040</v>
      </c>
      <c r="F3981" s="1399">
        <v>248971.26</v>
      </c>
      <c r="I3981" s="1399">
        <v>248971.26</v>
      </c>
    </row>
    <row r="3982" spans="2:9">
      <c r="B3982" s="1297"/>
      <c r="C3982" s="1297"/>
      <c r="D3982" s="1297" t="s">
        <v>1041</v>
      </c>
      <c r="F3982" s="1399">
        <v>37259.300000000003</v>
      </c>
      <c r="I3982" s="1399">
        <v>37259.300000000003</v>
      </c>
    </row>
    <row r="3983" spans="2:9">
      <c r="B3983" s="1297"/>
      <c r="C3983" s="1297"/>
      <c r="D3983" s="1297" t="s">
        <v>1042</v>
      </c>
      <c r="F3983" s="1399">
        <v>31063.13</v>
      </c>
      <c r="I3983" s="1399">
        <v>31063.13</v>
      </c>
    </row>
    <row r="3984" spans="2:9">
      <c r="B3984" s="1297"/>
      <c r="C3984" s="1297"/>
      <c r="D3984" s="1297" t="s">
        <v>1043</v>
      </c>
      <c r="F3984" s="1399">
        <v>14400</v>
      </c>
      <c r="I3984" s="1399">
        <v>14400</v>
      </c>
    </row>
    <row r="3985" spans="2:9">
      <c r="B3985" s="1297"/>
      <c r="C3985" s="1297"/>
      <c r="D3985" s="1297" t="s">
        <v>986</v>
      </c>
      <c r="F3985" s="1399">
        <v>2570</v>
      </c>
      <c r="I3985" s="1399">
        <v>2570</v>
      </c>
    </row>
    <row r="3986" spans="2:9">
      <c r="B3986" s="1297"/>
      <c r="C3986" s="1297"/>
      <c r="D3986" s="1297" t="s">
        <v>1045</v>
      </c>
      <c r="F3986" s="1399">
        <v>1143704.33</v>
      </c>
      <c r="I3986" s="1399">
        <v>1143704.33</v>
      </c>
    </row>
    <row r="3987" spans="2:9">
      <c r="B3987" s="1297"/>
      <c r="C3987" s="1297"/>
      <c r="D3987" s="1297" t="s">
        <v>1046</v>
      </c>
      <c r="H3987" s="1399">
        <v>18913250</v>
      </c>
      <c r="I3987" s="1399">
        <v>18913250</v>
      </c>
    </row>
    <row r="3988" spans="2:9">
      <c r="B3988" s="1297"/>
      <c r="C3988" s="1297"/>
      <c r="D3988" s="1297" t="s">
        <v>1047</v>
      </c>
      <c r="H3988" s="1399">
        <v>-1585748</v>
      </c>
      <c r="I3988" s="1399">
        <v>-1585748</v>
      </c>
    </row>
    <row r="3989" spans="2:9">
      <c r="B3989" s="1297"/>
      <c r="C3989" s="1297"/>
      <c r="D3989" s="1297" t="s">
        <v>1048</v>
      </c>
      <c r="H3989" s="1399">
        <v>-4444824</v>
      </c>
      <c r="I3989" s="1399">
        <v>-4444824</v>
      </c>
    </row>
    <row r="3990" spans="2:9">
      <c r="B3990" s="1297"/>
      <c r="C3990" s="1297"/>
      <c r="D3990" s="1297" t="s">
        <v>955</v>
      </c>
      <c r="H3990" s="1399">
        <v>417209.28</v>
      </c>
      <c r="I3990" s="1399">
        <v>417209.28</v>
      </c>
    </row>
    <row r="3991" spans="2:9">
      <c r="B3991" s="1297"/>
      <c r="C3991" s="1297"/>
      <c r="D3991" s="1297" t="s">
        <v>934</v>
      </c>
      <c r="H3991" s="1399">
        <v>47178</v>
      </c>
      <c r="I3991" s="1399">
        <v>47178</v>
      </c>
    </row>
    <row r="3992" spans="2:9">
      <c r="B3992" s="1297"/>
      <c r="C3992" s="1297"/>
      <c r="D3992" s="1297" t="s">
        <v>935</v>
      </c>
      <c r="H3992" s="1399">
        <v>130541.68</v>
      </c>
      <c r="I3992" s="1399">
        <v>130541.68</v>
      </c>
    </row>
    <row r="3993" spans="2:9">
      <c r="B3993" s="1297"/>
      <c r="C3993" s="1297"/>
      <c r="D3993" s="1297" t="s">
        <v>936</v>
      </c>
      <c r="H3993" s="1399">
        <v>59175.44</v>
      </c>
      <c r="I3993" s="1399">
        <v>59175.44</v>
      </c>
    </row>
    <row r="3994" spans="2:9">
      <c r="B3994" s="1297"/>
      <c r="C3994" s="1297"/>
      <c r="D3994" s="1297" t="s">
        <v>938</v>
      </c>
      <c r="H3994" s="1399">
        <v>15909</v>
      </c>
      <c r="I3994" s="1399">
        <v>15909</v>
      </c>
    </row>
    <row r="3995" spans="2:9">
      <c r="B3995" s="1297"/>
      <c r="C3995" s="1297"/>
      <c r="D3995" s="1297" t="s">
        <v>939</v>
      </c>
      <c r="H3995" s="1399">
        <v>45876.38</v>
      </c>
      <c r="I3995" s="1399">
        <v>45876.38</v>
      </c>
    </row>
    <row r="3996" spans="2:9">
      <c r="B3996" s="1297"/>
      <c r="C3996" s="1297"/>
      <c r="D3996" s="1297" t="s">
        <v>1131</v>
      </c>
      <c r="E3996" s="1399">
        <v>58204.03</v>
      </c>
      <c r="I3996" s="1399">
        <v>58204.03</v>
      </c>
    </row>
    <row r="3997" spans="2:9">
      <c r="B3997" s="1297"/>
      <c r="C3997" s="1297"/>
      <c r="D3997" s="1297" t="s">
        <v>940</v>
      </c>
      <c r="E3997" s="1399">
        <v>675985</v>
      </c>
      <c r="I3997" s="1399">
        <v>675985</v>
      </c>
    </row>
    <row r="3998" spans="2:9">
      <c r="B3998" s="1297"/>
      <c r="C3998" s="1297"/>
      <c r="D3998" s="1297" t="s">
        <v>941</v>
      </c>
      <c r="E3998" s="1399">
        <v>236067.62</v>
      </c>
      <c r="I3998" s="1399">
        <v>236067.62</v>
      </c>
    </row>
    <row r="3999" spans="2:9">
      <c r="B3999" s="1297"/>
      <c r="C3999" s="1297"/>
      <c r="D3999" s="1297" t="s">
        <v>944</v>
      </c>
      <c r="E3999" s="1399">
        <v>1547171.24</v>
      </c>
      <c r="I3999" s="1399">
        <v>1547171.24</v>
      </c>
    </row>
    <row r="4000" spans="2:9">
      <c r="B4000" s="1297"/>
      <c r="C4000" s="1297"/>
      <c r="D4000" s="1297" t="s">
        <v>945</v>
      </c>
      <c r="E4000" s="1399">
        <v>1191719.45</v>
      </c>
      <c r="I4000" s="1399">
        <v>1191719.45</v>
      </c>
    </row>
    <row r="4001" spans="2:9">
      <c r="B4001" s="1297"/>
      <c r="C4001" s="1297"/>
      <c r="D4001" s="1297" t="s">
        <v>946</v>
      </c>
      <c r="E4001" s="1399">
        <v>-8.6</v>
      </c>
      <c r="I4001" s="1399">
        <v>-8.6</v>
      </c>
    </row>
    <row r="4002" spans="2:9">
      <c r="B4002" s="1297"/>
      <c r="C4002" s="1297"/>
      <c r="D4002" s="1297" t="s">
        <v>947</v>
      </c>
      <c r="E4002" s="1399">
        <v>53108.869999999995</v>
      </c>
      <c r="I4002" s="1399">
        <v>53108.869999999995</v>
      </c>
    </row>
    <row r="4003" spans="2:9">
      <c r="B4003" s="1297"/>
      <c r="C4003" s="1297"/>
      <c r="D4003" s="1297" t="s">
        <v>948</v>
      </c>
      <c r="G4003" s="1399">
        <v>49983.43</v>
      </c>
      <c r="I4003" s="1399">
        <v>49983.43</v>
      </c>
    </row>
    <row r="4004" spans="2:9">
      <c r="B4004" s="1297"/>
      <c r="C4004" s="1400" t="s">
        <v>1264</v>
      </c>
      <c r="D4004" s="1400"/>
      <c r="E4004" s="1401">
        <v>3762247.61</v>
      </c>
      <c r="F4004" s="1401">
        <v>17671640.810000002</v>
      </c>
      <c r="G4004" s="1401">
        <v>49983.43</v>
      </c>
      <c r="H4004" s="1401">
        <v>13598567.779999999</v>
      </c>
      <c r="I4004" s="1401">
        <v>35082439.630000003</v>
      </c>
    </row>
    <row r="4005" spans="2:9">
      <c r="B4005" s="1297" t="s">
        <v>1265</v>
      </c>
      <c r="C4005" s="1297" t="s">
        <v>1266</v>
      </c>
      <c r="D4005" s="1297" t="s">
        <v>906</v>
      </c>
      <c r="F4005" s="1399">
        <v>12903302.01</v>
      </c>
      <c r="I4005" s="1399">
        <v>12903302.01</v>
      </c>
    </row>
    <row r="4006" spans="2:9">
      <c r="B4006" s="1297"/>
      <c r="C4006" s="1297"/>
      <c r="D4006" s="1297" t="s">
        <v>907</v>
      </c>
      <c r="F4006" s="1399">
        <v>4337977.45</v>
      </c>
      <c r="I4006" s="1399">
        <v>4337977.45</v>
      </c>
    </row>
    <row r="4007" spans="2:9">
      <c r="B4007" s="1297"/>
      <c r="C4007" s="1297"/>
      <c r="D4007" s="1297" t="s">
        <v>1034</v>
      </c>
      <c r="F4007" s="1399">
        <v>29823.759999999998</v>
      </c>
      <c r="I4007" s="1399">
        <v>29823.759999999998</v>
      </c>
    </row>
    <row r="4008" spans="2:9">
      <c r="B4008" s="1297"/>
      <c r="C4008" s="1297"/>
      <c r="D4008" s="1297" t="s">
        <v>1035</v>
      </c>
      <c r="F4008" s="1399">
        <v>1168169.44</v>
      </c>
      <c r="I4008" s="1399">
        <v>1168169.44</v>
      </c>
    </row>
    <row r="4009" spans="2:9">
      <c r="B4009" s="1297"/>
      <c r="C4009" s="1297"/>
      <c r="D4009" s="1297" t="s">
        <v>1036</v>
      </c>
      <c r="F4009" s="1399">
        <v>289463</v>
      </c>
      <c r="I4009" s="1399">
        <v>289463</v>
      </c>
    </row>
    <row r="4010" spans="2:9">
      <c r="B4010" s="1297"/>
      <c r="C4010" s="1297"/>
      <c r="D4010" s="1297" t="s">
        <v>1039</v>
      </c>
      <c r="F4010" s="1399">
        <v>92087.93</v>
      </c>
      <c r="I4010" s="1399">
        <v>92087.93</v>
      </c>
    </row>
    <row r="4011" spans="2:9">
      <c r="B4011" s="1297"/>
      <c r="C4011" s="1297"/>
      <c r="D4011" s="1297" t="s">
        <v>1040</v>
      </c>
      <c r="F4011" s="1399">
        <v>559841.34</v>
      </c>
      <c r="I4011" s="1399">
        <v>559841.34</v>
      </c>
    </row>
    <row r="4012" spans="2:9">
      <c r="B4012" s="1297"/>
      <c r="C4012" s="1297"/>
      <c r="D4012" s="1297" t="s">
        <v>1041</v>
      </c>
      <c r="F4012" s="1399">
        <v>107423.83</v>
      </c>
      <c r="I4012" s="1399">
        <v>107423.83</v>
      </c>
    </row>
    <row r="4013" spans="2:9">
      <c r="B4013" s="1297"/>
      <c r="C4013" s="1297"/>
      <c r="D4013" s="1297" t="s">
        <v>1042</v>
      </c>
      <c r="F4013" s="1399">
        <v>68858.86</v>
      </c>
      <c r="I4013" s="1399">
        <v>68858.86</v>
      </c>
    </row>
    <row r="4014" spans="2:9">
      <c r="B4014" s="1297"/>
      <c r="C4014" s="1297"/>
      <c r="D4014" s="1297" t="s">
        <v>953</v>
      </c>
      <c r="F4014" s="1399">
        <v>37518</v>
      </c>
      <c r="I4014" s="1399">
        <v>37518</v>
      </c>
    </row>
    <row r="4015" spans="2:9">
      <c r="B4015" s="1297"/>
      <c r="C4015" s="1297"/>
      <c r="D4015" s="1297" t="s">
        <v>1044</v>
      </c>
      <c r="F4015" s="1399">
        <v>101827</v>
      </c>
      <c r="I4015" s="1399">
        <v>101827</v>
      </c>
    </row>
    <row r="4016" spans="2:9">
      <c r="B4016" s="1297"/>
      <c r="C4016" s="1297"/>
      <c r="D4016" s="1297" t="s">
        <v>1045</v>
      </c>
      <c r="F4016" s="1399">
        <v>1396028.09</v>
      </c>
      <c r="I4016" s="1399">
        <v>1396028.09</v>
      </c>
    </row>
    <row r="4017" spans="2:9">
      <c r="B4017" s="1297"/>
      <c r="C4017" s="1297"/>
      <c r="D4017" s="1297" t="s">
        <v>1046</v>
      </c>
      <c r="H4017" s="1399">
        <v>35419884</v>
      </c>
      <c r="I4017" s="1399">
        <v>35419884</v>
      </c>
    </row>
    <row r="4018" spans="2:9">
      <c r="B4018" s="1297"/>
      <c r="C4018" s="1297"/>
      <c r="D4018" s="1297" t="s">
        <v>1047</v>
      </c>
      <c r="H4018" s="1399">
        <v>796431</v>
      </c>
      <c r="I4018" s="1399">
        <v>796431</v>
      </c>
    </row>
    <row r="4019" spans="2:9">
      <c r="B4019" s="1297"/>
      <c r="C4019" s="1297"/>
      <c r="D4019" s="1297" t="s">
        <v>1048</v>
      </c>
      <c r="H4019" s="1399">
        <v>-4461425</v>
      </c>
      <c r="I4019" s="1399">
        <v>-4461425</v>
      </c>
    </row>
    <row r="4020" spans="2:9">
      <c r="B4020" s="1297"/>
      <c r="C4020" s="1297"/>
      <c r="D4020" s="1297" t="s">
        <v>932</v>
      </c>
      <c r="H4020" s="1399">
        <v>4668008</v>
      </c>
      <c r="I4020" s="1399">
        <v>4668008</v>
      </c>
    </row>
    <row r="4021" spans="2:9">
      <c r="B4021" s="1297"/>
      <c r="C4021" s="1297"/>
      <c r="D4021" s="1297" t="s">
        <v>933</v>
      </c>
      <c r="H4021" s="1399">
        <v>1724496.16</v>
      </c>
      <c r="I4021" s="1399">
        <v>1724496.16</v>
      </c>
    </row>
    <row r="4022" spans="2:9">
      <c r="B4022" s="1297"/>
      <c r="C4022" s="1297"/>
      <c r="D4022" s="1297" t="s">
        <v>934</v>
      </c>
      <c r="H4022" s="1399">
        <v>132316</v>
      </c>
      <c r="I4022" s="1399">
        <v>132316</v>
      </c>
    </row>
    <row r="4023" spans="2:9">
      <c r="B4023" s="1297"/>
      <c r="C4023" s="1297"/>
      <c r="D4023" s="1297" t="s">
        <v>1130</v>
      </c>
      <c r="H4023" s="1399">
        <v>984905.9</v>
      </c>
      <c r="I4023" s="1399">
        <v>984905.9</v>
      </c>
    </row>
    <row r="4024" spans="2:9">
      <c r="B4024" s="1297"/>
      <c r="C4024" s="1297"/>
      <c r="D4024" s="1297" t="s">
        <v>935</v>
      </c>
      <c r="H4024" s="1399">
        <v>745891.4</v>
      </c>
      <c r="I4024" s="1399">
        <v>745891.4</v>
      </c>
    </row>
    <row r="4025" spans="2:9">
      <c r="B4025" s="1297"/>
      <c r="C4025" s="1297"/>
      <c r="D4025" s="1297" t="s">
        <v>936</v>
      </c>
      <c r="H4025" s="1399">
        <v>123603.14</v>
      </c>
      <c r="I4025" s="1399">
        <v>123603.14</v>
      </c>
    </row>
    <row r="4026" spans="2:9">
      <c r="B4026" s="1297"/>
      <c r="C4026" s="1297"/>
      <c r="D4026" s="1297" t="s">
        <v>937</v>
      </c>
      <c r="H4026" s="1399">
        <v>21879.88</v>
      </c>
      <c r="I4026" s="1399">
        <v>21879.88</v>
      </c>
    </row>
    <row r="4027" spans="2:9">
      <c r="B4027" s="1297"/>
      <c r="C4027" s="1297"/>
      <c r="D4027" s="1297" t="s">
        <v>938</v>
      </c>
      <c r="H4027" s="1399">
        <v>42672</v>
      </c>
      <c r="I4027" s="1399">
        <v>42672</v>
      </c>
    </row>
    <row r="4028" spans="2:9">
      <c r="B4028" s="1297"/>
      <c r="C4028" s="1297"/>
      <c r="D4028" s="1297" t="s">
        <v>940</v>
      </c>
      <c r="E4028" s="1399">
        <v>2270447.6800000002</v>
      </c>
      <c r="I4028" s="1399">
        <v>2270447.6800000002</v>
      </c>
    </row>
    <row r="4029" spans="2:9">
      <c r="B4029" s="1297"/>
      <c r="C4029" s="1297"/>
      <c r="D4029" s="1297" t="s">
        <v>941</v>
      </c>
      <c r="E4029" s="1399">
        <v>970244.66</v>
      </c>
      <c r="I4029" s="1399">
        <v>970244.66</v>
      </c>
    </row>
    <row r="4030" spans="2:9">
      <c r="B4030" s="1297"/>
      <c r="C4030" s="1297"/>
      <c r="D4030" s="1297" t="s">
        <v>943</v>
      </c>
      <c r="E4030" s="1399">
        <v>38064.86</v>
      </c>
      <c r="I4030" s="1399">
        <v>38064.86</v>
      </c>
    </row>
    <row r="4031" spans="2:9">
      <c r="B4031" s="1297"/>
      <c r="C4031" s="1297"/>
      <c r="D4031" s="1297" t="s">
        <v>944</v>
      </c>
      <c r="E4031" s="1399">
        <v>3605384.1199999996</v>
      </c>
      <c r="I4031" s="1399">
        <v>3605384.1199999996</v>
      </c>
    </row>
    <row r="4032" spans="2:9">
      <c r="B4032" s="1297"/>
      <c r="C4032" s="1297"/>
      <c r="D4032" s="1297" t="s">
        <v>945</v>
      </c>
      <c r="E4032" s="1399">
        <v>2937168.5500000003</v>
      </c>
      <c r="I4032" s="1399">
        <v>2937168.5500000003</v>
      </c>
    </row>
    <row r="4033" spans="2:9">
      <c r="B4033" s="1297"/>
      <c r="C4033" s="1297"/>
      <c r="D4033" s="1297" t="s">
        <v>946</v>
      </c>
      <c r="E4033" s="1399">
        <v>114946.43</v>
      </c>
      <c r="I4033" s="1399">
        <v>114946.43</v>
      </c>
    </row>
    <row r="4034" spans="2:9">
      <c r="B4034" s="1297"/>
      <c r="C4034" s="1297"/>
      <c r="D4034" s="1297" t="s">
        <v>1214</v>
      </c>
      <c r="E4034" s="1399">
        <v>536152.5</v>
      </c>
      <c r="I4034" s="1399">
        <v>536152.5</v>
      </c>
    </row>
    <row r="4035" spans="2:9">
      <c r="B4035" s="1297"/>
      <c r="C4035" s="1297"/>
      <c r="D4035" s="1297" t="s">
        <v>947</v>
      </c>
      <c r="E4035" s="1399">
        <v>273313.55</v>
      </c>
      <c r="I4035" s="1399">
        <v>273313.55</v>
      </c>
    </row>
    <row r="4036" spans="2:9">
      <c r="B4036" s="1297"/>
      <c r="C4036" s="1297"/>
      <c r="D4036" s="1297" t="s">
        <v>948</v>
      </c>
      <c r="G4036" s="1399">
        <v>17000792.529999997</v>
      </c>
      <c r="I4036" s="1399">
        <v>17000792.529999997</v>
      </c>
    </row>
    <row r="4037" spans="2:9">
      <c r="B4037" s="1297"/>
      <c r="C4037" s="1400" t="s">
        <v>1267</v>
      </c>
      <c r="D4037" s="1400"/>
      <c r="E4037" s="1401">
        <v>10745722.350000001</v>
      </c>
      <c r="F4037" s="1401">
        <v>21092320.710000001</v>
      </c>
      <c r="G4037" s="1401">
        <v>17000792.529999997</v>
      </c>
      <c r="H4037" s="1401">
        <v>40198662.479999997</v>
      </c>
      <c r="I4037" s="1401">
        <v>89037498.069999993</v>
      </c>
    </row>
    <row r="4038" spans="2:9">
      <c r="B4038" s="1297" t="s">
        <v>1268</v>
      </c>
      <c r="C4038" s="1297" t="s">
        <v>1269</v>
      </c>
      <c r="D4038" s="1297" t="s">
        <v>906</v>
      </c>
      <c r="F4038" s="1399">
        <v>94808157.799999997</v>
      </c>
      <c r="I4038" s="1399">
        <v>94808157.799999997</v>
      </c>
    </row>
    <row r="4039" spans="2:9">
      <c r="B4039" s="1297"/>
      <c r="C4039" s="1297"/>
      <c r="D4039" s="1297" t="s">
        <v>952</v>
      </c>
      <c r="F4039" s="1399">
        <v>115532.71</v>
      </c>
      <c r="I4039" s="1399">
        <v>115532.71</v>
      </c>
    </row>
    <row r="4040" spans="2:9">
      <c r="B4040" s="1297"/>
      <c r="C4040" s="1297"/>
      <c r="D4040" s="1297" t="s">
        <v>907</v>
      </c>
      <c r="F4040" s="1399">
        <v>36286562.030000001</v>
      </c>
      <c r="I4040" s="1399">
        <v>36286562.030000001</v>
      </c>
    </row>
    <row r="4041" spans="2:9">
      <c r="B4041" s="1297"/>
      <c r="C4041" s="1297"/>
      <c r="D4041" s="1297" t="s">
        <v>908</v>
      </c>
      <c r="F4041" s="1399">
        <v>133632.60999999999</v>
      </c>
      <c r="I4041" s="1399">
        <v>133632.60999999999</v>
      </c>
    </row>
    <row r="4042" spans="2:9">
      <c r="B4042" s="1297"/>
      <c r="C4042" s="1297"/>
      <c r="D4042" s="1297" t="s">
        <v>909</v>
      </c>
      <c r="F4042" s="1399">
        <v>97205.540000000008</v>
      </c>
      <c r="I4042" s="1399">
        <v>97205.540000000008</v>
      </c>
    </row>
    <row r="4043" spans="2:9">
      <c r="B4043" s="1297"/>
      <c r="C4043" s="1297"/>
      <c r="D4043" s="1297" t="s">
        <v>910</v>
      </c>
      <c r="F4043" s="1399">
        <v>1149305.1100000001</v>
      </c>
      <c r="I4043" s="1399">
        <v>1149305.1100000001</v>
      </c>
    </row>
    <row r="4044" spans="2:9">
      <c r="B4044" s="1297"/>
      <c r="C4044" s="1297"/>
      <c r="D4044" s="1297" t="s">
        <v>1034</v>
      </c>
      <c r="F4044" s="1399">
        <v>518886.19000000006</v>
      </c>
      <c r="I4044" s="1399">
        <v>518886.19000000006</v>
      </c>
    </row>
    <row r="4045" spans="2:9">
      <c r="B4045" s="1297"/>
      <c r="C4045" s="1297"/>
      <c r="D4045" s="1297" t="s">
        <v>1035</v>
      </c>
      <c r="F4045" s="1399">
        <v>1491212.9599999997</v>
      </c>
      <c r="I4045" s="1399">
        <v>1491212.9599999997</v>
      </c>
    </row>
    <row r="4046" spans="2:9">
      <c r="B4046" s="1297"/>
      <c r="C4046" s="1297"/>
      <c r="D4046" s="1297" t="s">
        <v>1036</v>
      </c>
      <c r="F4046" s="1399">
        <v>640637.00000000012</v>
      </c>
      <c r="I4046" s="1399">
        <v>640637.00000000012</v>
      </c>
    </row>
    <row r="4047" spans="2:9">
      <c r="B4047" s="1297"/>
      <c r="C4047" s="1297"/>
      <c r="D4047" s="1297" t="s">
        <v>1037</v>
      </c>
      <c r="F4047" s="1399">
        <v>365595.72</v>
      </c>
      <c r="I4047" s="1399">
        <v>365595.72</v>
      </c>
    </row>
    <row r="4048" spans="2:9">
      <c r="B4048" s="1297"/>
      <c r="C4048" s="1297"/>
      <c r="D4048" s="1297" t="s">
        <v>1038</v>
      </c>
      <c r="F4048" s="1399">
        <v>54558</v>
      </c>
      <c r="I4048" s="1399">
        <v>54558</v>
      </c>
    </row>
    <row r="4049" spans="2:9">
      <c r="B4049" s="1297"/>
      <c r="C4049" s="1297"/>
      <c r="D4049" s="1297" t="s">
        <v>1003</v>
      </c>
      <c r="F4049" s="1399">
        <v>704195.51</v>
      </c>
      <c r="I4049" s="1399">
        <v>704195.51</v>
      </c>
    </row>
    <row r="4050" spans="2:9">
      <c r="B4050" s="1297"/>
      <c r="C4050" s="1297"/>
      <c r="D4050" s="1297" t="s">
        <v>1039</v>
      </c>
      <c r="F4050" s="1399">
        <v>372295.01</v>
      </c>
      <c r="I4050" s="1399">
        <v>372295.01</v>
      </c>
    </row>
    <row r="4051" spans="2:9">
      <c r="B4051" s="1297"/>
      <c r="C4051" s="1297"/>
      <c r="D4051" s="1297" t="s">
        <v>1040</v>
      </c>
      <c r="F4051" s="1399">
        <v>2281296.4099999997</v>
      </c>
      <c r="I4051" s="1399">
        <v>2281296.4099999997</v>
      </c>
    </row>
    <row r="4052" spans="2:9">
      <c r="B4052" s="1297"/>
      <c r="C4052" s="1297"/>
      <c r="D4052" s="1297" t="s">
        <v>1127</v>
      </c>
      <c r="F4052" s="1399">
        <v>19500.200000000004</v>
      </c>
      <c r="I4052" s="1399">
        <v>19500.200000000004</v>
      </c>
    </row>
    <row r="4053" spans="2:9">
      <c r="B4053" s="1297"/>
      <c r="C4053" s="1297"/>
      <c r="D4053" s="1297" t="s">
        <v>1207</v>
      </c>
      <c r="F4053" s="1399">
        <v>-299.97000000000003</v>
      </c>
      <c r="I4053" s="1399">
        <v>-299.97000000000003</v>
      </c>
    </row>
    <row r="4054" spans="2:9">
      <c r="B4054" s="1297"/>
      <c r="C4054" s="1297"/>
      <c r="D4054" s="1297" t="s">
        <v>1041</v>
      </c>
      <c r="F4054" s="1399">
        <v>910288.74999999977</v>
      </c>
      <c r="I4054" s="1399">
        <v>910288.74999999977</v>
      </c>
    </row>
    <row r="4055" spans="2:9">
      <c r="B4055" s="1297"/>
      <c r="C4055" s="1297"/>
      <c r="D4055" s="1297" t="s">
        <v>1042</v>
      </c>
      <c r="F4055" s="1399">
        <v>506364.04</v>
      </c>
      <c r="I4055" s="1399">
        <v>506364.04</v>
      </c>
    </row>
    <row r="4056" spans="2:9">
      <c r="B4056" s="1297"/>
      <c r="C4056" s="1297"/>
      <c r="D4056" s="1297" t="s">
        <v>953</v>
      </c>
      <c r="F4056" s="1399">
        <v>44928.75</v>
      </c>
      <c r="I4056" s="1399">
        <v>44928.75</v>
      </c>
    </row>
    <row r="4057" spans="2:9">
      <c r="B4057" s="1297"/>
      <c r="C4057" s="1297"/>
      <c r="D4057" s="1297" t="s">
        <v>1043</v>
      </c>
      <c r="F4057" s="1399">
        <v>74068.600000000006</v>
      </c>
      <c r="I4057" s="1399">
        <v>74068.600000000006</v>
      </c>
    </row>
    <row r="4058" spans="2:9">
      <c r="B4058" s="1297"/>
      <c r="C4058" s="1297"/>
      <c r="D4058" s="1297" t="s">
        <v>1203</v>
      </c>
      <c r="F4058" s="1399">
        <v>765</v>
      </c>
      <c r="I4058" s="1399">
        <v>765</v>
      </c>
    </row>
    <row r="4059" spans="2:9">
      <c r="B4059" s="1297"/>
      <c r="C4059" s="1297"/>
      <c r="D4059" s="1297" t="s">
        <v>996</v>
      </c>
      <c r="F4059" s="1399">
        <v>212480.23</v>
      </c>
      <c r="I4059" s="1399">
        <v>212480.23</v>
      </c>
    </row>
    <row r="4060" spans="2:9">
      <c r="B4060" s="1297"/>
      <c r="C4060" s="1297"/>
      <c r="D4060" s="1297" t="s">
        <v>1044</v>
      </c>
      <c r="F4060" s="1399">
        <v>2104606.09</v>
      </c>
      <c r="I4060" s="1399">
        <v>2104606.09</v>
      </c>
    </row>
    <row r="4061" spans="2:9">
      <c r="B4061" s="1297"/>
      <c r="C4061" s="1297"/>
      <c r="D4061" s="1297" t="s">
        <v>1045</v>
      </c>
      <c r="F4061" s="1399">
        <v>3283916.3400000026</v>
      </c>
      <c r="I4061" s="1399">
        <v>3283916.3400000026</v>
      </c>
    </row>
    <row r="4062" spans="2:9">
      <c r="B4062" s="1297"/>
      <c r="C4062" s="1297"/>
      <c r="D4062" s="1297" t="s">
        <v>1046</v>
      </c>
      <c r="H4062" s="1399">
        <v>179903346</v>
      </c>
      <c r="I4062" s="1399">
        <v>179903346</v>
      </c>
    </row>
    <row r="4063" spans="2:9">
      <c r="B4063" s="1297"/>
      <c r="C4063" s="1297"/>
      <c r="D4063" s="1297" t="s">
        <v>1048</v>
      </c>
      <c r="H4063" s="1399">
        <v>-20738833</v>
      </c>
      <c r="I4063" s="1399">
        <v>-20738833</v>
      </c>
    </row>
    <row r="4064" spans="2:9">
      <c r="B4064" s="1297"/>
      <c r="C4064" s="1297"/>
      <c r="D4064" s="1297" t="s">
        <v>955</v>
      </c>
      <c r="H4064" s="1399">
        <v>5035782.76</v>
      </c>
      <c r="I4064" s="1399">
        <v>5035782.76</v>
      </c>
    </row>
    <row r="4065" spans="2:9">
      <c r="B4065" s="1297"/>
      <c r="C4065" s="1297"/>
      <c r="D4065" s="1297" t="s">
        <v>934</v>
      </c>
      <c r="H4065" s="1399">
        <v>498856</v>
      </c>
      <c r="I4065" s="1399">
        <v>498856</v>
      </c>
    </row>
    <row r="4066" spans="2:9">
      <c r="B4066" s="1297"/>
      <c r="C4066" s="1297"/>
      <c r="D4066" s="1297" t="s">
        <v>1130</v>
      </c>
      <c r="H4066" s="1399">
        <v>3275373.18</v>
      </c>
      <c r="I4066" s="1399">
        <v>3275373.18</v>
      </c>
    </row>
    <row r="4067" spans="2:9">
      <c r="B4067" s="1297"/>
      <c r="C4067" s="1297"/>
      <c r="D4067" s="1297" t="s">
        <v>935</v>
      </c>
      <c r="H4067" s="1399">
        <v>3094177.43</v>
      </c>
      <c r="I4067" s="1399">
        <v>3094177.43</v>
      </c>
    </row>
    <row r="4068" spans="2:9">
      <c r="B4068" s="1297"/>
      <c r="C4068" s="1297"/>
      <c r="D4068" s="1297" t="s">
        <v>936</v>
      </c>
      <c r="H4068" s="1399">
        <v>645295.93000000005</v>
      </c>
      <c r="I4068" s="1399">
        <v>645295.93000000005</v>
      </c>
    </row>
    <row r="4069" spans="2:9">
      <c r="B4069" s="1297"/>
      <c r="C4069" s="1297"/>
      <c r="D4069" s="1297" t="s">
        <v>937</v>
      </c>
      <c r="H4069" s="1399">
        <v>120992.79000000001</v>
      </c>
      <c r="I4069" s="1399">
        <v>120992.79000000001</v>
      </c>
    </row>
    <row r="4070" spans="2:9">
      <c r="B4070" s="1297"/>
      <c r="C4070" s="1297"/>
      <c r="D4070" s="1297" t="s">
        <v>938</v>
      </c>
      <c r="H4070" s="1399">
        <v>189030</v>
      </c>
      <c r="I4070" s="1399">
        <v>189030</v>
      </c>
    </row>
    <row r="4071" spans="2:9">
      <c r="B4071" s="1297"/>
      <c r="C4071" s="1297"/>
      <c r="D4071" s="1297" t="s">
        <v>939</v>
      </c>
      <c r="H4071" s="1399">
        <v>242677.38000000006</v>
      </c>
      <c r="I4071" s="1399">
        <v>242677.38000000006</v>
      </c>
    </row>
    <row r="4072" spans="2:9">
      <c r="B4072" s="1297"/>
      <c r="C4072" s="1297"/>
      <c r="D4072" s="1297" t="s">
        <v>1131</v>
      </c>
      <c r="E4072" s="1399">
        <v>605481.6</v>
      </c>
      <c r="I4072" s="1399">
        <v>605481.6</v>
      </c>
    </row>
    <row r="4073" spans="2:9">
      <c r="B4073" s="1297"/>
      <c r="C4073" s="1297"/>
      <c r="D4073" s="1297" t="s">
        <v>940</v>
      </c>
      <c r="E4073" s="1399">
        <v>8914072.4400000013</v>
      </c>
      <c r="I4073" s="1399">
        <v>8914072.4400000013</v>
      </c>
    </row>
    <row r="4074" spans="2:9">
      <c r="B4074" s="1297"/>
      <c r="C4074" s="1297"/>
      <c r="D4074" s="1297" t="s">
        <v>941</v>
      </c>
      <c r="E4074" s="1399">
        <v>2679966.6800000002</v>
      </c>
      <c r="I4074" s="1399">
        <v>2679966.6800000002</v>
      </c>
    </row>
    <row r="4075" spans="2:9">
      <c r="B4075" s="1297"/>
      <c r="C4075" s="1297"/>
      <c r="D4075" s="1297" t="s">
        <v>943</v>
      </c>
      <c r="E4075" s="1399">
        <v>46941.159999999996</v>
      </c>
      <c r="I4075" s="1399">
        <v>46941.159999999996</v>
      </c>
    </row>
    <row r="4076" spans="2:9">
      <c r="B4076" s="1297"/>
      <c r="C4076" s="1297"/>
      <c r="D4076" s="1297" t="s">
        <v>944</v>
      </c>
      <c r="E4076" s="1399">
        <v>23128175.350000005</v>
      </c>
      <c r="I4076" s="1399">
        <v>23128175.350000005</v>
      </c>
    </row>
    <row r="4077" spans="2:9">
      <c r="B4077" s="1297"/>
      <c r="C4077" s="1297"/>
      <c r="D4077" s="1297" t="s">
        <v>945</v>
      </c>
      <c r="E4077" s="1399">
        <v>21091744.500000004</v>
      </c>
      <c r="I4077" s="1399">
        <v>21091744.500000004</v>
      </c>
    </row>
    <row r="4078" spans="2:9">
      <c r="B4078" s="1297"/>
      <c r="C4078" s="1297"/>
      <c r="D4078" s="1297" t="s">
        <v>946</v>
      </c>
      <c r="E4078" s="1399">
        <v>1769827.79</v>
      </c>
      <c r="I4078" s="1399">
        <v>1769827.79</v>
      </c>
    </row>
    <row r="4079" spans="2:9">
      <c r="B4079" s="1297"/>
      <c r="C4079" s="1297"/>
      <c r="D4079" s="1297" t="s">
        <v>978</v>
      </c>
      <c r="E4079" s="1399">
        <v>536235.04</v>
      </c>
      <c r="I4079" s="1399">
        <v>536235.04</v>
      </c>
    </row>
    <row r="4080" spans="2:9">
      <c r="B4080" s="1297"/>
      <c r="C4080" s="1297"/>
      <c r="D4080" s="1297" t="s">
        <v>1006</v>
      </c>
      <c r="E4080" s="1399">
        <v>1579998.22</v>
      </c>
      <c r="I4080" s="1399">
        <v>1579998.22</v>
      </c>
    </row>
    <row r="4081" spans="2:9">
      <c r="B4081" s="1297"/>
      <c r="C4081" s="1297"/>
      <c r="D4081" s="1297" t="s">
        <v>947</v>
      </c>
      <c r="E4081" s="1399">
        <v>431615.82000000007</v>
      </c>
      <c r="I4081" s="1399">
        <v>431615.82000000007</v>
      </c>
    </row>
    <row r="4082" spans="2:9">
      <c r="B4082" s="1297"/>
      <c r="C4082" s="1297"/>
      <c r="D4082" s="1297" t="s">
        <v>1115</v>
      </c>
      <c r="E4082" s="1399">
        <v>131971.23000000001</v>
      </c>
      <c r="I4082" s="1399">
        <v>131971.23000000001</v>
      </c>
    </row>
    <row r="4083" spans="2:9">
      <c r="B4083" s="1297"/>
      <c r="C4083" s="1297"/>
      <c r="D4083" s="1297" t="s">
        <v>1116</v>
      </c>
      <c r="G4083" s="1399">
        <v>17984610</v>
      </c>
      <c r="I4083" s="1399">
        <v>17984610</v>
      </c>
    </row>
    <row r="4084" spans="2:9">
      <c r="B4084" s="1297"/>
      <c r="C4084" s="1297"/>
      <c r="D4084" s="1297" t="s">
        <v>1117</v>
      </c>
      <c r="G4084" s="1399">
        <v>1321139.05</v>
      </c>
      <c r="I4084" s="1399">
        <v>1321139.05</v>
      </c>
    </row>
    <row r="4085" spans="2:9">
      <c r="B4085" s="1297"/>
      <c r="C4085" s="1297"/>
      <c r="D4085" s="1297" t="s">
        <v>948</v>
      </c>
      <c r="G4085" s="1399">
        <v>27923395.34</v>
      </c>
      <c r="I4085" s="1399">
        <v>27923395.34</v>
      </c>
    </row>
    <row r="4086" spans="2:9">
      <c r="B4086" s="1297"/>
      <c r="C4086" s="1297"/>
      <c r="D4086" s="1297" t="s">
        <v>956</v>
      </c>
      <c r="G4086" s="1399">
        <v>177317.77</v>
      </c>
      <c r="I4086" s="1399">
        <v>177317.77</v>
      </c>
    </row>
    <row r="4087" spans="2:9">
      <c r="B4087" s="1297"/>
      <c r="C4087" s="1297"/>
      <c r="D4087" s="1297" t="s">
        <v>1118</v>
      </c>
      <c r="G4087" s="1399">
        <v>79143.48</v>
      </c>
      <c r="I4087" s="1399">
        <v>79143.48</v>
      </c>
    </row>
    <row r="4088" spans="2:9">
      <c r="B4088" s="1297"/>
      <c r="C4088" s="1297"/>
      <c r="D4088" s="1297" t="s">
        <v>1270</v>
      </c>
      <c r="G4088" s="1399">
        <v>16</v>
      </c>
      <c r="I4088" s="1399">
        <v>16</v>
      </c>
    </row>
    <row r="4089" spans="2:9">
      <c r="B4089" s="1297"/>
      <c r="C4089" s="1297"/>
      <c r="D4089" s="1297" t="s">
        <v>1271</v>
      </c>
      <c r="G4089" s="1399">
        <v>11960.04</v>
      </c>
      <c r="I4089" s="1399">
        <v>11960.04</v>
      </c>
    </row>
    <row r="4090" spans="2:9">
      <c r="B4090" s="1297"/>
      <c r="C4090" s="1400" t="s">
        <v>1272</v>
      </c>
      <c r="D4090" s="1400"/>
      <c r="E4090" s="1401">
        <v>60916029.829999998</v>
      </c>
      <c r="F4090" s="1401">
        <v>146175690.62999994</v>
      </c>
      <c r="G4090" s="1401">
        <v>47497581.68</v>
      </c>
      <c r="H4090" s="1401">
        <v>172266698.47</v>
      </c>
      <c r="I4090" s="1401">
        <v>426856000.61000013</v>
      </c>
    </row>
    <row r="4091" spans="2:9">
      <c r="B4091" s="1297" t="s">
        <v>1273</v>
      </c>
      <c r="C4091" s="1297" t="s">
        <v>1274</v>
      </c>
      <c r="D4091" s="1297" t="s">
        <v>906</v>
      </c>
      <c r="F4091" s="1399">
        <v>47120046.18</v>
      </c>
      <c r="I4091" s="1399">
        <v>47120046.18</v>
      </c>
    </row>
    <row r="4092" spans="2:9">
      <c r="B4092" s="1297"/>
      <c r="C4092" s="1297"/>
      <c r="D4092" s="1297" t="s">
        <v>952</v>
      </c>
      <c r="F4092" s="1399">
        <v>451338.95</v>
      </c>
      <c r="I4092" s="1399">
        <v>451338.95</v>
      </c>
    </row>
    <row r="4093" spans="2:9">
      <c r="B4093" s="1297"/>
      <c r="C4093" s="1297"/>
      <c r="D4093" s="1297" t="s">
        <v>907</v>
      </c>
      <c r="F4093" s="1399">
        <v>9893666.2200000007</v>
      </c>
      <c r="I4093" s="1399">
        <v>9893666.2200000007</v>
      </c>
    </row>
    <row r="4094" spans="2:9">
      <c r="B4094" s="1297"/>
      <c r="C4094" s="1297"/>
      <c r="D4094" s="1297" t="s">
        <v>908</v>
      </c>
      <c r="F4094" s="1399">
        <v>23227.22</v>
      </c>
      <c r="I4094" s="1399">
        <v>23227.22</v>
      </c>
    </row>
    <row r="4095" spans="2:9">
      <c r="B4095" s="1297"/>
      <c r="C4095" s="1297"/>
      <c r="D4095" s="1297" t="s">
        <v>1039</v>
      </c>
      <c r="F4095" s="1399">
        <v>95292.27</v>
      </c>
      <c r="I4095" s="1399">
        <v>95292.27</v>
      </c>
    </row>
    <row r="4096" spans="2:9">
      <c r="B4096" s="1297"/>
      <c r="C4096" s="1297"/>
      <c r="D4096" s="1297" t="s">
        <v>1040</v>
      </c>
      <c r="F4096" s="1399">
        <v>1593460.7299999997</v>
      </c>
      <c r="I4096" s="1399">
        <v>1593460.7299999997</v>
      </c>
    </row>
    <row r="4097" spans="2:9">
      <c r="B4097" s="1297"/>
      <c r="C4097" s="1297"/>
      <c r="D4097" s="1297" t="s">
        <v>1041</v>
      </c>
      <c r="F4097" s="1399">
        <v>563414.65000000014</v>
      </c>
      <c r="I4097" s="1399">
        <v>563414.65000000014</v>
      </c>
    </row>
    <row r="4098" spans="2:9">
      <c r="B4098" s="1297"/>
      <c r="C4098" s="1297"/>
      <c r="D4098" s="1297" t="s">
        <v>1042</v>
      </c>
      <c r="F4098" s="1399">
        <v>200573.47</v>
      </c>
      <c r="I4098" s="1399">
        <v>200573.47</v>
      </c>
    </row>
    <row r="4099" spans="2:9">
      <c r="B4099" s="1297"/>
      <c r="C4099" s="1297"/>
      <c r="D4099" s="1297" t="s">
        <v>954</v>
      </c>
      <c r="F4099" s="1399">
        <v>2717653.67</v>
      </c>
      <c r="I4099" s="1399">
        <v>2717653.67</v>
      </c>
    </row>
    <row r="4100" spans="2:9">
      <c r="B4100" s="1297"/>
      <c r="C4100" s="1297"/>
      <c r="D4100" s="1297" t="s">
        <v>985</v>
      </c>
      <c r="F4100" s="1399">
        <v>699022.16</v>
      </c>
      <c r="I4100" s="1399">
        <v>699022.16</v>
      </c>
    </row>
    <row r="4101" spans="2:9">
      <c r="B4101" s="1297"/>
      <c r="C4101" s="1297"/>
      <c r="D4101" s="1297" t="s">
        <v>986</v>
      </c>
      <c r="F4101" s="1399">
        <v>38707.589999999997</v>
      </c>
      <c r="I4101" s="1399">
        <v>38707.589999999997</v>
      </c>
    </row>
    <row r="4102" spans="2:9">
      <c r="B4102" s="1297"/>
      <c r="C4102" s="1297"/>
      <c r="D4102" s="1297" t="s">
        <v>996</v>
      </c>
      <c r="F4102" s="1399">
        <v>5035.87</v>
      </c>
      <c r="I4102" s="1399">
        <v>5035.87</v>
      </c>
    </row>
    <row r="4103" spans="2:9">
      <c r="B4103" s="1297"/>
      <c r="C4103" s="1297"/>
      <c r="D4103" s="1297" t="s">
        <v>1044</v>
      </c>
      <c r="F4103" s="1399">
        <v>69967.520000000004</v>
      </c>
      <c r="I4103" s="1399">
        <v>69967.520000000004</v>
      </c>
    </row>
    <row r="4104" spans="2:9">
      <c r="B4104" s="1297"/>
      <c r="C4104" s="1297"/>
      <c r="D4104" s="1297" t="s">
        <v>1045</v>
      </c>
      <c r="F4104" s="1399">
        <v>445527.61000000004</v>
      </c>
      <c r="I4104" s="1399">
        <v>445527.61000000004</v>
      </c>
    </row>
    <row r="4105" spans="2:9">
      <c r="B4105" s="1297"/>
      <c r="C4105" s="1297"/>
      <c r="D4105" s="1297" t="s">
        <v>1046</v>
      </c>
      <c r="H4105" s="1399">
        <v>94627680</v>
      </c>
      <c r="I4105" s="1399">
        <v>94627680</v>
      </c>
    </row>
    <row r="4106" spans="2:9">
      <c r="B4106" s="1297"/>
      <c r="C4106" s="1297"/>
      <c r="D4106" s="1297" t="s">
        <v>1128</v>
      </c>
      <c r="H4106" s="1399">
        <v>8329566</v>
      </c>
      <c r="I4106" s="1399">
        <v>8329566</v>
      </c>
    </row>
    <row r="4107" spans="2:9">
      <c r="B4107" s="1297"/>
      <c r="C4107" s="1297"/>
      <c r="D4107" s="1297" t="s">
        <v>1129</v>
      </c>
      <c r="H4107" s="1399">
        <v>-13202260</v>
      </c>
      <c r="I4107" s="1399">
        <v>-13202260</v>
      </c>
    </row>
    <row r="4108" spans="2:9">
      <c r="B4108" s="1297"/>
      <c r="C4108" s="1297"/>
      <c r="D4108" s="1297" t="s">
        <v>1047</v>
      </c>
      <c r="H4108" s="1399">
        <v>1645649</v>
      </c>
      <c r="I4108" s="1399">
        <v>1645649</v>
      </c>
    </row>
    <row r="4109" spans="2:9">
      <c r="B4109" s="1297"/>
      <c r="C4109" s="1297"/>
      <c r="D4109" s="1297" t="s">
        <v>1048</v>
      </c>
      <c r="H4109" s="1399">
        <v>-13904941</v>
      </c>
      <c r="I4109" s="1399">
        <v>-13904941</v>
      </c>
    </row>
    <row r="4110" spans="2:9">
      <c r="B4110" s="1297"/>
      <c r="C4110" s="1297"/>
      <c r="D4110" s="1297" t="s">
        <v>932</v>
      </c>
      <c r="H4110" s="1399">
        <v>11430913</v>
      </c>
      <c r="I4110" s="1399">
        <v>11430913</v>
      </c>
    </row>
    <row r="4111" spans="2:9">
      <c r="B4111" s="1297"/>
      <c r="C4111" s="1297"/>
      <c r="D4111" s="1297" t="s">
        <v>955</v>
      </c>
      <c r="H4111" s="1399">
        <v>2369694.87</v>
      </c>
      <c r="I4111" s="1399">
        <v>2369694.87</v>
      </c>
    </row>
    <row r="4112" spans="2:9">
      <c r="B4112" s="1297"/>
      <c r="C4112" s="1297"/>
      <c r="D4112" s="1297" t="s">
        <v>934</v>
      </c>
      <c r="H4112" s="1399">
        <v>292530</v>
      </c>
      <c r="I4112" s="1399">
        <v>292530</v>
      </c>
    </row>
    <row r="4113" spans="2:9">
      <c r="B4113" s="1297"/>
      <c r="C4113" s="1297"/>
      <c r="D4113" s="1297" t="s">
        <v>1130</v>
      </c>
      <c r="H4113" s="1399">
        <v>7159652.0999999996</v>
      </c>
      <c r="I4113" s="1399">
        <v>7159652.0999999996</v>
      </c>
    </row>
    <row r="4114" spans="2:9">
      <c r="B4114" s="1297"/>
      <c r="C4114" s="1297"/>
      <c r="D4114" s="1297" t="s">
        <v>935</v>
      </c>
      <c r="H4114" s="1399">
        <v>1632816.15</v>
      </c>
      <c r="I4114" s="1399">
        <v>1632816.15</v>
      </c>
    </row>
    <row r="4115" spans="2:9">
      <c r="B4115" s="1297"/>
      <c r="C4115" s="1297"/>
      <c r="D4115" s="1297" t="s">
        <v>936</v>
      </c>
      <c r="H4115" s="1399">
        <v>303930.65999999997</v>
      </c>
      <c r="I4115" s="1399">
        <v>303930.65999999997</v>
      </c>
    </row>
    <row r="4116" spans="2:9">
      <c r="B4116" s="1297"/>
      <c r="C4116" s="1297"/>
      <c r="D4116" s="1297" t="s">
        <v>937</v>
      </c>
      <c r="H4116" s="1399">
        <v>17273.8</v>
      </c>
      <c r="I4116" s="1399">
        <v>17273.8</v>
      </c>
    </row>
    <row r="4117" spans="2:9">
      <c r="B4117" s="1297"/>
      <c r="C4117" s="1297"/>
      <c r="D4117" s="1297" t="s">
        <v>938</v>
      </c>
      <c r="H4117" s="1399">
        <v>104622</v>
      </c>
      <c r="I4117" s="1399">
        <v>104622</v>
      </c>
    </row>
    <row r="4118" spans="2:9">
      <c r="B4118" s="1297"/>
      <c r="C4118" s="1297"/>
      <c r="D4118" s="1297" t="s">
        <v>939</v>
      </c>
      <c r="H4118" s="1399">
        <v>567222.91999999993</v>
      </c>
      <c r="I4118" s="1399">
        <v>567222.91999999993</v>
      </c>
    </row>
    <row r="4119" spans="2:9">
      <c r="B4119" s="1297"/>
      <c r="C4119" s="1297"/>
      <c r="D4119" s="1297" t="s">
        <v>1131</v>
      </c>
      <c r="E4119" s="1399">
        <v>60783.22</v>
      </c>
      <c r="I4119" s="1399">
        <v>60783.22</v>
      </c>
    </row>
    <row r="4120" spans="2:9">
      <c r="B4120" s="1297"/>
      <c r="C4120" s="1297"/>
      <c r="D4120" s="1297" t="s">
        <v>940</v>
      </c>
      <c r="E4120" s="1399">
        <v>5206367.9399999995</v>
      </c>
      <c r="I4120" s="1399">
        <v>5206367.9399999995</v>
      </c>
    </row>
    <row r="4121" spans="2:9">
      <c r="B4121" s="1297"/>
      <c r="C4121" s="1297"/>
      <c r="D4121" s="1297" t="s">
        <v>941</v>
      </c>
      <c r="E4121" s="1399">
        <v>1759267.8399999996</v>
      </c>
      <c r="I4121" s="1399">
        <v>1759267.8399999996</v>
      </c>
    </row>
    <row r="4122" spans="2:9">
      <c r="B4122" s="1297"/>
      <c r="C4122" s="1297"/>
      <c r="D4122" s="1297" t="s">
        <v>943</v>
      </c>
      <c r="E4122" s="1399">
        <v>69289.899999999994</v>
      </c>
      <c r="I4122" s="1399">
        <v>69289.899999999994</v>
      </c>
    </row>
    <row r="4123" spans="2:9">
      <c r="B4123" s="1297"/>
      <c r="C4123" s="1297"/>
      <c r="D4123" s="1297" t="s">
        <v>944</v>
      </c>
      <c r="E4123" s="1399">
        <v>9351672.0999999996</v>
      </c>
      <c r="I4123" s="1399">
        <v>9351672.0999999996</v>
      </c>
    </row>
    <row r="4124" spans="2:9">
      <c r="B4124" s="1297"/>
      <c r="C4124" s="1297"/>
      <c r="D4124" s="1297" t="s">
        <v>945</v>
      </c>
      <c r="E4124" s="1399">
        <v>8162431.9699999997</v>
      </c>
      <c r="I4124" s="1399">
        <v>8162431.9699999997</v>
      </c>
    </row>
    <row r="4125" spans="2:9">
      <c r="B4125" s="1297"/>
      <c r="C4125" s="1297"/>
      <c r="D4125" s="1297" t="s">
        <v>978</v>
      </c>
      <c r="E4125" s="1399">
        <v>3596.52</v>
      </c>
      <c r="I4125" s="1399">
        <v>3596.52</v>
      </c>
    </row>
    <row r="4126" spans="2:9">
      <c r="B4126" s="1297"/>
      <c r="C4126" s="1297"/>
      <c r="D4126" s="1297" t="s">
        <v>947</v>
      </c>
      <c r="E4126" s="1399">
        <v>292556.5</v>
      </c>
      <c r="I4126" s="1399">
        <v>292556.5</v>
      </c>
    </row>
    <row r="4127" spans="2:9">
      <c r="B4127" s="1297"/>
      <c r="C4127" s="1297"/>
      <c r="D4127" s="1297" t="s">
        <v>1115</v>
      </c>
      <c r="E4127" s="1399">
        <v>460229.99</v>
      </c>
      <c r="I4127" s="1399">
        <v>460229.99</v>
      </c>
    </row>
    <row r="4128" spans="2:9">
      <c r="B4128" s="1297"/>
      <c r="C4128" s="1297"/>
      <c r="D4128" s="1297" t="s">
        <v>1116</v>
      </c>
      <c r="G4128" s="1399">
        <v>24942763.190000001</v>
      </c>
      <c r="I4128" s="1399">
        <v>24942763.190000001</v>
      </c>
    </row>
    <row r="4129" spans="2:9">
      <c r="B4129" s="1297"/>
      <c r="C4129" s="1297"/>
      <c r="D4129" s="1297" t="s">
        <v>948</v>
      </c>
      <c r="G4129" s="1399">
        <v>17405434.600000001</v>
      </c>
      <c r="I4129" s="1399">
        <v>17405434.600000001</v>
      </c>
    </row>
    <row r="4130" spans="2:9">
      <c r="B4130" s="1297"/>
      <c r="C4130" s="1297"/>
      <c r="D4130" s="1297" t="s">
        <v>956</v>
      </c>
      <c r="G4130" s="1399">
        <v>2810.14</v>
      </c>
      <c r="I4130" s="1399">
        <v>2810.14</v>
      </c>
    </row>
    <row r="4131" spans="2:9">
      <c r="B4131" s="1297"/>
      <c r="C4131" s="1400" t="s">
        <v>1275</v>
      </c>
      <c r="D4131" s="1400"/>
      <c r="E4131" s="1401">
        <v>25366195.979999997</v>
      </c>
      <c r="F4131" s="1401">
        <v>63916934.109999999</v>
      </c>
      <c r="G4131" s="1401">
        <v>42351007.930000007</v>
      </c>
      <c r="H4131" s="1401">
        <v>101374349.5</v>
      </c>
      <c r="I4131" s="1401">
        <v>233008487.52000001</v>
      </c>
    </row>
    <row r="4132" spans="2:9">
      <c r="B4132" s="1297" t="s">
        <v>1276</v>
      </c>
      <c r="C4132" s="1297" t="s">
        <v>1277</v>
      </c>
      <c r="D4132" s="1297" t="s">
        <v>906</v>
      </c>
      <c r="F4132" s="1399">
        <v>27047234.119999997</v>
      </c>
      <c r="I4132" s="1399">
        <v>27047234.119999997</v>
      </c>
    </row>
    <row r="4133" spans="2:9">
      <c r="B4133" s="1297"/>
      <c r="C4133" s="1297"/>
      <c r="D4133" s="1297" t="s">
        <v>952</v>
      </c>
      <c r="F4133" s="1399">
        <v>390401.43000000005</v>
      </c>
      <c r="I4133" s="1399">
        <v>390401.43000000005</v>
      </c>
    </row>
    <row r="4134" spans="2:9">
      <c r="B4134" s="1297"/>
      <c r="C4134" s="1297"/>
      <c r="D4134" s="1297" t="s">
        <v>907</v>
      </c>
      <c r="F4134" s="1399">
        <v>4724154.33</v>
      </c>
      <c r="I4134" s="1399">
        <v>4724154.33</v>
      </c>
    </row>
    <row r="4135" spans="2:9">
      <c r="B4135" s="1297"/>
      <c r="C4135" s="1297"/>
      <c r="D4135" s="1297" t="s">
        <v>908</v>
      </c>
      <c r="F4135" s="1399">
        <v>11817.1</v>
      </c>
      <c r="I4135" s="1399">
        <v>11817.1</v>
      </c>
    </row>
    <row r="4136" spans="2:9">
      <c r="B4136" s="1297"/>
      <c r="C4136" s="1297"/>
      <c r="D4136" s="1297" t="s">
        <v>909</v>
      </c>
      <c r="F4136" s="1399">
        <v>188477.72</v>
      </c>
      <c r="I4136" s="1399">
        <v>188477.72</v>
      </c>
    </row>
    <row r="4137" spans="2:9">
      <c r="B4137" s="1297"/>
      <c r="C4137" s="1297"/>
      <c r="D4137" s="1297" t="s">
        <v>1034</v>
      </c>
      <c r="F4137" s="1399">
        <v>812477.72</v>
      </c>
      <c r="I4137" s="1399">
        <v>812477.72</v>
      </c>
    </row>
    <row r="4138" spans="2:9">
      <c r="B4138" s="1297"/>
      <c r="C4138" s="1297"/>
      <c r="D4138" s="1297" t="s">
        <v>1035</v>
      </c>
      <c r="F4138" s="1399">
        <v>958810.82</v>
      </c>
      <c r="I4138" s="1399">
        <v>958810.82</v>
      </c>
    </row>
    <row r="4139" spans="2:9">
      <c r="B4139" s="1297"/>
      <c r="C4139" s="1297"/>
      <c r="D4139" s="1297" t="s">
        <v>1036</v>
      </c>
      <c r="F4139" s="1399">
        <v>325314.58</v>
      </c>
      <c r="I4139" s="1399">
        <v>325314.58</v>
      </c>
    </row>
    <row r="4140" spans="2:9">
      <c r="B4140" s="1297"/>
      <c r="C4140" s="1297"/>
      <c r="D4140" s="1297" t="s">
        <v>1037</v>
      </c>
      <c r="F4140" s="1399">
        <v>57823.88</v>
      </c>
      <c r="I4140" s="1399">
        <v>57823.88</v>
      </c>
    </row>
    <row r="4141" spans="2:9">
      <c r="B4141" s="1297"/>
      <c r="C4141" s="1297"/>
      <c r="D4141" s="1297" t="s">
        <v>1039</v>
      </c>
      <c r="F4141" s="1399">
        <v>82241.909999999989</v>
      </c>
      <c r="I4141" s="1399">
        <v>82241.909999999989</v>
      </c>
    </row>
    <row r="4142" spans="2:9">
      <c r="B4142" s="1297"/>
      <c r="C4142" s="1297"/>
      <c r="D4142" s="1297" t="s">
        <v>1040</v>
      </c>
      <c r="F4142" s="1399">
        <v>1006725.05</v>
      </c>
      <c r="I4142" s="1399">
        <v>1006725.05</v>
      </c>
    </row>
    <row r="4143" spans="2:9">
      <c r="B4143" s="1297"/>
      <c r="C4143" s="1297"/>
      <c r="D4143" s="1297" t="s">
        <v>1041</v>
      </c>
      <c r="F4143" s="1399">
        <v>108286.13</v>
      </c>
      <c r="I4143" s="1399">
        <v>108286.13</v>
      </c>
    </row>
    <row r="4144" spans="2:9">
      <c r="B4144" s="1297"/>
      <c r="C4144" s="1297"/>
      <c r="D4144" s="1297" t="s">
        <v>1042</v>
      </c>
      <c r="F4144" s="1399">
        <v>66070.73</v>
      </c>
      <c r="I4144" s="1399">
        <v>66070.73</v>
      </c>
    </row>
    <row r="4145" spans="2:9">
      <c r="B4145" s="1297"/>
      <c r="C4145" s="1297"/>
      <c r="D4145" s="1297" t="s">
        <v>1043</v>
      </c>
      <c r="F4145" s="1399">
        <v>2950</v>
      </c>
      <c r="I4145" s="1399">
        <v>2950</v>
      </c>
    </row>
    <row r="4146" spans="2:9">
      <c r="B4146" s="1297"/>
      <c r="C4146" s="1297"/>
      <c r="D4146" s="1297" t="s">
        <v>996</v>
      </c>
      <c r="F4146" s="1399">
        <v>1800</v>
      </c>
      <c r="I4146" s="1399">
        <v>1800</v>
      </c>
    </row>
    <row r="4147" spans="2:9">
      <c r="B4147" s="1297"/>
      <c r="C4147" s="1297"/>
      <c r="D4147" s="1297" t="s">
        <v>1045</v>
      </c>
      <c r="F4147" s="1399">
        <v>8829.4000000000015</v>
      </c>
      <c r="I4147" s="1399">
        <v>8829.4000000000015</v>
      </c>
    </row>
    <row r="4148" spans="2:9">
      <c r="B4148" s="1297"/>
      <c r="C4148" s="1297"/>
      <c r="D4148" s="1297" t="s">
        <v>1046</v>
      </c>
      <c r="H4148" s="1399">
        <v>34427963</v>
      </c>
      <c r="I4148" s="1399">
        <v>34427963</v>
      </c>
    </row>
    <row r="4149" spans="2:9">
      <c r="B4149" s="1297"/>
      <c r="C4149" s="1297"/>
      <c r="D4149" s="1297" t="s">
        <v>1128</v>
      </c>
      <c r="H4149" s="1399">
        <v>2757373</v>
      </c>
      <c r="I4149" s="1399">
        <v>2757373</v>
      </c>
    </row>
    <row r="4150" spans="2:9">
      <c r="B4150" s="1297"/>
      <c r="C4150" s="1297"/>
      <c r="D4150" s="1297" t="s">
        <v>1129</v>
      </c>
      <c r="H4150" s="1399">
        <v>-4577069</v>
      </c>
      <c r="I4150" s="1399">
        <v>-4577069</v>
      </c>
    </row>
    <row r="4151" spans="2:9">
      <c r="B4151" s="1297"/>
      <c r="C4151" s="1297"/>
      <c r="D4151" s="1297" t="s">
        <v>1047</v>
      </c>
      <c r="H4151" s="1399">
        <v>809988</v>
      </c>
      <c r="I4151" s="1399">
        <v>809988</v>
      </c>
    </row>
    <row r="4152" spans="2:9">
      <c r="B4152" s="1297"/>
      <c r="C4152" s="1297"/>
      <c r="D4152" s="1297" t="s">
        <v>1048</v>
      </c>
      <c r="H4152" s="1399">
        <v>-7334148</v>
      </c>
      <c r="I4152" s="1399">
        <v>-7334148</v>
      </c>
    </row>
    <row r="4153" spans="2:9">
      <c r="B4153" s="1297"/>
      <c r="C4153" s="1297"/>
      <c r="D4153" s="1297" t="s">
        <v>934</v>
      </c>
      <c r="H4153" s="1399">
        <v>80172</v>
      </c>
      <c r="I4153" s="1399">
        <v>80172</v>
      </c>
    </row>
    <row r="4154" spans="2:9">
      <c r="B4154" s="1297"/>
      <c r="C4154" s="1297"/>
      <c r="D4154" s="1297" t="s">
        <v>935</v>
      </c>
      <c r="H4154" s="1399">
        <v>504989.19</v>
      </c>
      <c r="I4154" s="1399">
        <v>504989.19</v>
      </c>
    </row>
    <row r="4155" spans="2:9">
      <c r="B4155" s="1297"/>
      <c r="C4155" s="1297"/>
      <c r="D4155" s="1297" t="s">
        <v>936</v>
      </c>
      <c r="H4155" s="1399">
        <v>105395.31</v>
      </c>
      <c r="I4155" s="1399">
        <v>105395.31</v>
      </c>
    </row>
    <row r="4156" spans="2:9">
      <c r="B4156" s="1297"/>
      <c r="C4156" s="1297"/>
      <c r="D4156" s="1297" t="s">
        <v>937</v>
      </c>
      <c r="H4156" s="1399">
        <v>30389.14</v>
      </c>
      <c r="I4156" s="1399">
        <v>30389.14</v>
      </c>
    </row>
    <row r="4157" spans="2:9">
      <c r="B4157" s="1297"/>
      <c r="C4157" s="1297"/>
      <c r="D4157" s="1297" t="s">
        <v>938</v>
      </c>
      <c r="H4157" s="1399">
        <v>36309</v>
      </c>
      <c r="I4157" s="1399">
        <v>36309</v>
      </c>
    </row>
    <row r="4158" spans="2:9">
      <c r="B4158" s="1297"/>
      <c r="C4158" s="1297"/>
      <c r="D4158" s="1297" t="s">
        <v>1131</v>
      </c>
      <c r="E4158" s="1399">
        <v>108.84</v>
      </c>
      <c r="I4158" s="1399">
        <v>108.84</v>
      </c>
    </row>
    <row r="4159" spans="2:9">
      <c r="B4159" s="1297"/>
      <c r="C4159" s="1297"/>
      <c r="D4159" s="1297" t="s">
        <v>940</v>
      </c>
      <c r="E4159" s="1399">
        <v>640383.72</v>
      </c>
      <c r="I4159" s="1399">
        <v>640383.72</v>
      </c>
    </row>
    <row r="4160" spans="2:9">
      <c r="B4160" s="1297"/>
      <c r="C4160" s="1297"/>
      <c r="D4160" s="1297" t="s">
        <v>941</v>
      </c>
      <c r="E4160" s="1399">
        <v>120190.44</v>
      </c>
      <c r="I4160" s="1399">
        <v>120190.44</v>
      </c>
    </row>
    <row r="4161" spans="2:9">
      <c r="B4161" s="1297"/>
      <c r="C4161" s="1297"/>
      <c r="D4161" s="1297" t="s">
        <v>944</v>
      </c>
      <c r="E4161" s="1399">
        <v>3724449.9000000004</v>
      </c>
      <c r="I4161" s="1399">
        <v>3724449.9000000004</v>
      </c>
    </row>
    <row r="4162" spans="2:9">
      <c r="B4162" s="1297"/>
      <c r="C4162" s="1297"/>
      <c r="D4162" s="1297" t="s">
        <v>947</v>
      </c>
      <c r="E4162" s="1399">
        <v>157771.07</v>
      </c>
      <c r="I4162" s="1399">
        <v>157771.07</v>
      </c>
    </row>
    <row r="4163" spans="2:9">
      <c r="B4163" s="1297"/>
      <c r="C4163" s="1297"/>
      <c r="D4163" s="1297" t="s">
        <v>948</v>
      </c>
      <c r="G4163" s="1399">
        <v>795929.3</v>
      </c>
      <c r="I4163" s="1399">
        <v>795929.3</v>
      </c>
    </row>
    <row r="4164" spans="2:9">
      <c r="B4164" s="1297"/>
      <c r="C4164" s="1297"/>
      <c r="D4164" s="1297" t="s">
        <v>956</v>
      </c>
      <c r="G4164" s="1399">
        <v>11767</v>
      </c>
      <c r="I4164" s="1399">
        <v>11767</v>
      </c>
    </row>
    <row r="4165" spans="2:9">
      <c r="B4165" s="1297"/>
      <c r="C4165" s="1297"/>
      <c r="D4165" s="1297" t="s">
        <v>1118</v>
      </c>
      <c r="G4165" s="1399">
        <v>350</v>
      </c>
      <c r="I4165" s="1399">
        <v>350</v>
      </c>
    </row>
    <row r="4166" spans="2:9">
      <c r="B4166" s="1297"/>
      <c r="C4166" s="1400" t="s">
        <v>1278</v>
      </c>
      <c r="D4166" s="1400"/>
      <c r="E4166" s="1401">
        <v>4642903.9700000007</v>
      </c>
      <c r="F4166" s="1401">
        <v>35793414.919999987</v>
      </c>
      <c r="G4166" s="1401">
        <v>808046.3</v>
      </c>
      <c r="H4166" s="1401">
        <v>26841361.640000001</v>
      </c>
      <c r="I4166" s="1401">
        <v>68085726.829999983</v>
      </c>
    </row>
    <row r="4167" spans="2:9">
      <c r="B4167" s="1297" t="s">
        <v>1279</v>
      </c>
      <c r="C4167" s="1297" t="s">
        <v>1280</v>
      </c>
      <c r="D4167" s="1297" t="s">
        <v>906</v>
      </c>
      <c r="F4167" s="1399">
        <v>8144053.0899999999</v>
      </c>
      <c r="I4167" s="1399">
        <v>8144053.0899999999</v>
      </c>
    </row>
    <row r="4168" spans="2:9">
      <c r="B4168" s="1297"/>
      <c r="C4168" s="1297"/>
      <c r="D4168" s="1297" t="s">
        <v>952</v>
      </c>
      <c r="F4168" s="1399">
        <v>65663.45</v>
      </c>
      <c r="I4168" s="1399">
        <v>65663.45</v>
      </c>
    </row>
    <row r="4169" spans="2:9">
      <c r="B4169" s="1297"/>
      <c r="C4169" s="1297"/>
      <c r="D4169" s="1297" t="s">
        <v>907</v>
      </c>
      <c r="F4169" s="1399">
        <v>745971.07</v>
      </c>
      <c r="I4169" s="1399">
        <v>745971.07</v>
      </c>
    </row>
    <row r="4170" spans="2:9">
      <c r="B4170" s="1297"/>
      <c r="C4170" s="1297"/>
      <c r="D4170" s="1297" t="s">
        <v>908</v>
      </c>
      <c r="F4170" s="1399">
        <v>0</v>
      </c>
      <c r="I4170" s="1399">
        <v>0</v>
      </c>
    </row>
    <row r="4171" spans="2:9">
      <c r="B4171" s="1297"/>
      <c r="C4171" s="1297"/>
      <c r="D4171" s="1297" t="s">
        <v>910</v>
      </c>
      <c r="F4171" s="1399">
        <v>217.35</v>
      </c>
      <c r="I4171" s="1399">
        <v>217.35</v>
      </c>
    </row>
    <row r="4172" spans="2:9">
      <c r="B4172" s="1297"/>
      <c r="C4172" s="1297"/>
      <c r="D4172" s="1297" t="s">
        <v>1034</v>
      </c>
      <c r="F4172" s="1399">
        <v>8089.19</v>
      </c>
      <c r="I4172" s="1399">
        <v>8089.19</v>
      </c>
    </row>
    <row r="4173" spans="2:9">
      <c r="B4173" s="1297"/>
      <c r="C4173" s="1297"/>
      <c r="D4173" s="1297" t="s">
        <v>1035</v>
      </c>
      <c r="F4173" s="1399">
        <v>204267.51</v>
      </c>
      <c r="I4173" s="1399">
        <v>204267.51</v>
      </c>
    </row>
    <row r="4174" spans="2:9">
      <c r="B4174" s="1297"/>
      <c r="C4174" s="1297"/>
      <c r="D4174" s="1297" t="s">
        <v>1036</v>
      </c>
      <c r="F4174" s="1399">
        <v>65053.65</v>
      </c>
      <c r="I4174" s="1399">
        <v>65053.65</v>
      </c>
    </row>
    <row r="4175" spans="2:9">
      <c r="B4175" s="1297"/>
      <c r="C4175" s="1297"/>
      <c r="D4175" s="1297" t="s">
        <v>1037</v>
      </c>
      <c r="F4175" s="1399">
        <v>9058.8799999999992</v>
      </c>
      <c r="I4175" s="1399">
        <v>9058.8799999999992</v>
      </c>
    </row>
    <row r="4176" spans="2:9">
      <c r="B4176" s="1297"/>
      <c r="C4176" s="1297"/>
      <c r="D4176" s="1297" t="s">
        <v>1105</v>
      </c>
      <c r="F4176" s="1399">
        <v>0</v>
      </c>
      <c r="I4176" s="1399">
        <v>0</v>
      </c>
    </row>
    <row r="4177" spans="2:9">
      <c r="B4177" s="1297"/>
      <c r="C4177" s="1297"/>
      <c r="D4177" s="1297" t="s">
        <v>1039</v>
      </c>
      <c r="F4177" s="1399">
        <v>43671.79</v>
      </c>
      <c r="I4177" s="1399">
        <v>43671.79</v>
      </c>
    </row>
    <row r="4178" spans="2:9">
      <c r="B4178" s="1297"/>
      <c r="C4178" s="1297"/>
      <c r="D4178" s="1297" t="s">
        <v>1040</v>
      </c>
      <c r="F4178" s="1399">
        <v>181823.26</v>
      </c>
      <c r="I4178" s="1399">
        <v>181823.26</v>
      </c>
    </row>
    <row r="4179" spans="2:9">
      <c r="B4179" s="1297"/>
      <c r="C4179" s="1297"/>
      <c r="D4179" s="1297" t="s">
        <v>1041</v>
      </c>
      <c r="F4179" s="1399">
        <v>13733.8</v>
      </c>
      <c r="I4179" s="1399">
        <v>13733.8</v>
      </c>
    </row>
    <row r="4180" spans="2:9">
      <c r="B4180" s="1297"/>
      <c r="C4180" s="1297"/>
      <c r="D4180" s="1297" t="s">
        <v>1042</v>
      </c>
      <c r="F4180" s="1399">
        <v>29920.73</v>
      </c>
      <c r="I4180" s="1399">
        <v>29920.73</v>
      </c>
    </row>
    <row r="4181" spans="2:9">
      <c r="B4181" s="1297"/>
      <c r="C4181" s="1297"/>
      <c r="D4181" s="1297" t="s">
        <v>996</v>
      </c>
      <c r="F4181" s="1399">
        <v>75</v>
      </c>
      <c r="I4181" s="1399">
        <v>75</v>
      </c>
    </row>
    <row r="4182" spans="2:9">
      <c r="B4182" s="1297"/>
      <c r="C4182" s="1297"/>
      <c r="D4182" s="1297" t="s">
        <v>1045</v>
      </c>
      <c r="F4182" s="1399">
        <v>105479.93</v>
      </c>
      <c r="I4182" s="1399">
        <v>105479.93</v>
      </c>
    </row>
    <row r="4183" spans="2:9">
      <c r="B4183" s="1297"/>
      <c r="C4183" s="1297"/>
      <c r="D4183" s="1297" t="s">
        <v>1046</v>
      </c>
      <c r="H4183" s="1399">
        <v>12258700</v>
      </c>
      <c r="I4183" s="1399">
        <v>12258700</v>
      </c>
    </row>
    <row r="4184" spans="2:9">
      <c r="B4184" s="1297"/>
      <c r="C4184" s="1297"/>
      <c r="D4184" s="1297" t="s">
        <v>1047</v>
      </c>
      <c r="H4184" s="1399">
        <v>474335</v>
      </c>
      <c r="I4184" s="1399">
        <v>474335</v>
      </c>
    </row>
    <row r="4185" spans="2:9">
      <c r="B4185" s="1297"/>
      <c r="C4185" s="1297"/>
      <c r="D4185" s="1297" t="s">
        <v>1048</v>
      </c>
      <c r="H4185" s="1399">
        <v>-1910373</v>
      </c>
      <c r="I4185" s="1399">
        <v>-1910373</v>
      </c>
    </row>
    <row r="4186" spans="2:9">
      <c r="B4186" s="1297"/>
      <c r="C4186" s="1297"/>
      <c r="D4186" s="1297" t="s">
        <v>932</v>
      </c>
      <c r="H4186" s="1399">
        <v>1136879</v>
      </c>
      <c r="I4186" s="1399">
        <v>1136879</v>
      </c>
    </row>
    <row r="4187" spans="2:9">
      <c r="B4187" s="1297"/>
      <c r="C4187" s="1297"/>
      <c r="D4187" s="1297" t="s">
        <v>955</v>
      </c>
      <c r="H4187" s="1399">
        <v>93262.71</v>
      </c>
      <c r="I4187" s="1399">
        <v>93262.71</v>
      </c>
    </row>
    <row r="4188" spans="2:9">
      <c r="B4188" s="1297"/>
      <c r="C4188" s="1297"/>
      <c r="D4188" s="1297" t="s">
        <v>934</v>
      </c>
      <c r="H4188" s="1399">
        <v>34310</v>
      </c>
      <c r="I4188" s="1399">
        <v>34310</v>
      </c>
    </row>
    <row r="4189" spans="2:9">
      <c r="B4189" s="1297"/>
      <c r="C4189" s="1297"/>
      <c r="D4189" s="1297" t="s">
        <v>1130</v>
      </c>
      <c r="H4189" s="1399">
        <v>335054.01</v>
      </c>
      <c r="I4189" s="1399">
        <v>335054.01</v>
      </c>
    </row>
    <row r="4190" spans="2:9">
      <c r="B4190" s="1297"/>
      <c r="C4190" s="1297"/>
      <c r="D4190" s="1297" t="s">
        <v>935</v>
      </c>
      <c r="H4190" s="1399">
        <v>424121.76</v>
      </c>
      <c r="I4190" s="1399">
        <v>424121.76</v>
      </c>
    </row>
    <row r="4191" spans="2:9">
      <c r="B4191" s="1297"/>
      <c r="C4191" s="1297"/>
      <c r="D4191" s="1297" t="s">
        <v>936</v>
      </c>
      <c r="H4191" s="1399">
        <v>40967.61</v>
      </c>
      <c r="I4191" s="1399">
        <v>40967.61</v>
      </c>
    </row>
    <row r="4192" spans="2:9">
      <c r="B4192" s="1297"/>
      <c r="C4192" s="1297"/>
      <c r="D4192" s="1297" t="s">
        <v>937</v>
      </c>
      <c r="H4192" s="1399">
        <v>29406.400000000001</v>
      </c>
      <c r="I4192" s="1399">
        <v>29406.400000000001</v>
      </c>
    </row>
    <row r="4193" spans="2:9">
      <c r="B4193" s="1297"/>
      <c r="C4193" s="1297"/>
      <c r="D4193" s="1297" t="s">
        <v>938</v>
      </c>
      <c r="H4193" s="1399">
        <v>11417</v>
      </c>
      <c r="I4193" s="1399">
        <v>11417</v>
      </c>
    </row>
    <row r="4194" spans="2:9">
      <c r="B4194" s="1297"/>
      <c r="C4194" s="1297"/>
      <c r="D4194" s="1297" t="s">
        <v>939</v>
      </c>
      <c r="H4194" s="1399">
        <v>129037.08</v>
      </c>
      <c r="I4194" s="1399">
        <v>129037.08</v>
      </c>
    </row>
    <row r="4195" spans="2:9">
      <c r="B4195" s="1297"/>
      <c r="C4195" s="1297"/>
      <c r="D4195" s="1297" t="s">
        <v>940</v>
      </c>
      <c r="E4195" s="1399">
        <v>542145.93999999994</v>
      </c>
      <c r="I4195" s="1399">
        <v>542145.93999999994</v>
      </c>
    </row>
    <row r="4196" spans="2:9">
      <c r="B4196" s="1297"/>
      <c r="C4196" s="1297"/>
      <c r="D4196" s="1297" t="s">
        <v>941</v>
      </c>
      <c r="E4196" s="1399">
        <v>174965.64</v>
      </c>
      <c r="I4196" s="1399">
        <v>174965.64</v>
      </c>
    </row>
    <row r="4197" spans="2:9">
      <c r="B4197" s="1297"/>
      <c r="C4197" s="1297"/>
      <c r="D4197" s="1297" t="s">
        <v>943</v>
      </c>
      <c r="E4197" s="1399">
        <v>1519.96</v>
      </c>
      <c r="I4197" s="1399">
        <v>1519.96</v>
      </c>
    </row>
    <row r="4198" spans="2:9">
      <c r="B4198" s="1297"/>
      <c r="C4198" s="1297"/>
      <c r="D4198" s="1297" t="s">
        <v>944</v>
      </c>
      <c r="E4198" s="1399">
        <v>1058192.74</v>
      </c>
      <c r="I4198" s="1399">
        <v>1058192.74</v>
      </c>
    </row>
    <row r="4199" spans="2:9">
      <c r="B4199" s="1297"/>
      <c r="C4199" s="1297"/>
      <c r="D4199" s="1297" t="s">
        <v>945</v>
      </c>
      <c r="E4199" s="1399">
        <v>638587.42000000004</v>
      </c>
      <c r="I4199" s="1399">
        <v>638587.42000000004</v>
      </c>
    </row>
    <row r="4200" spans="2:9">
      <c r="B4200" s="1297"/>
      <c r="C4200" s="1297"/>
      <c r="D4200" s="1297" t="s">
        <v>1214</v>
      </c>
      <c r="E4200" s="1399">
        <v>6266.06</v>
      </c>
      <c r="I4200" s="1399">
        <v>6266.06</v>
      </c>
    </row>
    <row r="4201" spans="2:9">
      <c r="B4201" s="1297"/>
      <c r="C4201" s="1297"/>
      <c r="D4201" s="1297" t="s">
        <v>947</v>
      </c>
      <c r="E4201" s="1399">
        <v>71998.63</v>
      </c>
      <c r="I4201" s="1399">
        <v>71998.63</v>
      </c>
    </row>
    <row r="4202" spans="2:9">
      <c r="B4202" s="1297"/>
      <c r="C4202" s="1297"/>
      <c r="D4202" s="1297" t="s">
        <v>948</v>
      </c>
      <c r="G4202" s="1399">
        <v>5760138.4299999997</v>
      </c>
      <c r="I4202" s="1399">
        <v>5760138.4299999997</v>
      </c>
    </row>
    <row r="4203" spans="2:9">
      <c r="B4203" s="1297"/>
      <c r="C4203" s="1297"/>
      <c r="D4203" s="1297" t="s">
        <v>956</v>
      </c>
      <c r="G4203" s="1399">
        <v>1165.01</v>
      </c>
      <c r="I4203" s="1399">
        <v>1165.01</v>
      </c>
    </row>
    <row r="4204" spans="2:9">
      <c r="B4204" s="1297"/>
      <c r="C4204" s="1297"/>
      <c r="D4204" s="1297" t="s">
        <v>1118</v>
      </c>
      <c r="G4204" s="1399">
        <v>4985.93</v>
      </c>
      <c r="I4204" s="1399">
        <v>4985.93</v>
      </c>
    </row>
    <row r="4205" spans="2:9">
      <c r="B4205" s="1297"/>
      <c r="C4205" s="1400" t="s">
        <v>1281</v>
      </c>
      <c r="D4205" s="1400"/>
      <c r="E4205" s="1401">
        <v>2493676.3899999997</v>
      </c>
      <c r="F4205" s="1401">
        <v>9617078.6999999993</v>
      </c>
      <c r="G4205" s="1401">
        <v>5766289.3699999992</v>
      </c>
      <c r="H4205" s="1401">
        <v>13057117.57</v>
      </c>
      <c r="I4205" s="1401">
        <v>30934162.030000001</v>
      </c>
    </row>
    <row r="4206" spans="2:9">
      <c r="B4206" s="1297" t="s">
        <v>1282</v>
      </c>
      <c r="C4206" s="1297" t="s">
        <v>1283</v>
      </c>
      <c r="D4206" s="1297" t="s">
        <v>906</v>
      </c>
      <c r="F4206" s="1399">
        <v>69188197.659999996</v>
      </c>
      <c r="I4206" s="1399">
        <v>69188197.659999996</v>
      </c>
    </row>
    <row r="4207" spans="2:9">
      <c r="B4207" s="1297"/>
      <c r="C4207" s="1297"/>
      <c r="D4207" s="1297" t="s">
        <v>952</v>
      </c>
      <c r="F4207" s="1399">
        <v>961309.7</v>
      </c>
      <c r="I4207" s="1399">
        <v>961309.7</v>
      </c>
    </row>
    <row r="4208" spans="2:9">
      <c r="B4208" s="1297"/>
      <c r="C4208" s="1297"/>
      <c r="D4208" s="1297" t="s">
        <v>907</v>
      </c>
      <c r="F4208" s="1399">
        <v>13845161.07</v>
      </c>
      <c r="I4208" s="1399">
        <v>13845161.07</v>
      </c>
    </row>
    <row r="4209" spans="2:9">
      <c r="B4209" s="1297"/>
      <c r="C4209" s="1297"/>
      <c r="D4209" s="1297" t="s">
        <v>908</v>
      </c>
      <c r="F4209" s="1399">
        <v>23729.05</v>
      </c>
      <c r="I4209" s="1399">
        <v>23729.05</v>
      </c>
    </row>
    <row r="4210" spans="2:9">
      <c r="B4210" s="1297"/>
      <c r="C4210" s="1297"/>
      <c r="D4210" s="1297" t="s">
        <v>1038</v>
      </c>
      <c r="F4210" s="1399">
        <v>875</v>
      </c>
      <c r="I4210" s="1399">
        <v>875</v>
      </c>
    </row>
    <row r="4211" spans="2:9">
      <c r="B4211" s="1297"/>
      <c r="C4211" s="1297"/>
      <c r="D4211" s="1297" t="s">
        <v>1039</v>
      </c>
      <c r="F4211" s="1399">
        <v>84030.909999999989</v>
      </c>
      <c r="I4211" s="1399">
        <v>84030.909999999989</v>
      </c>
    </row>
    <row r="4212" spans="2:9">
      <c r="B4212" s="1297"/>
      <c r="C4212" s="1297"/>
      <c r="D4212" s="1297" t="s">
        <v>1040</v>
      </c>
      <c r="F4212" s="1399">
        <v>3537218.52</v>
      </c>
      <c r="I4212" s="1399">
        <v>3537218.52</v>
      </c>
    </row>
    <row r="4213" spans="2:9">
      <c r="B4213" s="1297"/>
      <c r="C4213" s="1297"/>
      <c r="D4213" s="1297" t="s">
        <v>1041</v>
      </c>
      <c r="F4213" s="1399">
        <v>1126345.4099999999</v>
      </c>
      <c r="I4213" s="1399">
        <v>1126345.4099999999</v>
      </c>
    </row>
    <row r="4214" spans="2:9">
      <c r="B4214" s="1297"/>
      <c r="C4214" s="1297"/>
      <c r="D4214" s="1297" t="s">
        <v>1042</v>
      </c>
      <c r="F4214" s="1399">
        <v>257770.63</v>
      </c>
      <c r="I4214" s="1399">
        <v>257770.63</v>
      </c>
    </row>
    <row r="4215" spans="2:9">
      <c r="B4215" s="1297"/>
      <c r="C4215" s="1297"/>
      <c r="D4215" s="1297" t="s">
        <v>954</v>
      </c>
      <c r="F4215" s="1399">
        <v>4507252.0199999996</v>
      </c>
      <c r="I4215" s="1399">
        <v>4507252.0199999996</v>
      </c>
    </row>
    <row r="4216" spans="2:9">
      <c r="B4216" s="1297"/>
      <c r="C4216" s="1297"/>
      <c r="D4216" s="1297" t="s">
        <v>985</v>
      </c>
      <c r="F4216" s="1399">
        <v>-13842.119999999999</v>
      </c>
      <c r="I4216" s="1399">
        <v>-13842.119999999999</v>
      </c>
    </row>
    <row r="4217" spans="2:9">
      <c r="B4217" s="1297"/>
      <c r="C4217" s="1297"/>
      <c r="D4217" s="1297" t="s">
        <v>1203</v>
      </c>
      <c r="F4217" s="1399">
        <v>1000</v>
      </c>
      <c r="I4217" s="1399">
        <v>1000</v>
      </c>
    </row>
    <row r="4218" spans="2:9">
      <c r="B4218" s="1297"/>
      <c r="C4218" s="1297"/>
      <c r="D4218" s="1297" t="s">
        <v>1044</v>
      </c>
      <c r="F4218" s="1399">
        <v>102463.22</v>
      </c>
      <c r="I4218" s="1399">
        <v>102463.22</v>
      </c>
    </row>
    <row r="4219" spans="2:9">
      <c r="B4219" s="1297"/>
      <c r="C4219" s="1297"/>
      <c r="D4219" s="1297" t="s">
        <v>1045</v>
      </c>
      <c r="F4219" s="1399">
        <v>1077255.94</v>
      </c>
      <c r="I4219" s="1399">
        <v>1077255.94</v>
      </c>
    </row>
    <row r="4220" spans="2:9">
      <c r="B4220" s="1297"/>
      <c r="C4220" s="1297"/>
      <c r="D4220" s="1297" t="s">
        <v>1046</v>
      </c>
      <c r="H4220" s="1399">
        <v>136875437</v>
      </c>
      <c r="I4220" s="1399">
        <v>136875437</v>
      </c>
    </row>
    <row r="4221" spans="2:9">
      <c r="B4221" s="1297"/>
      <c r="C4221" s="1297"/>
      <c r="D4221" s="1297" t="s">
        <v>1128</v>
      </c>
      <c r="H4221" s="1399">
        <v>12306029</v>
      </c>
      <c r="I4221" s="1399">
        <v>12306029</v>
      </c>
    </row>
    <row r="4222" spans="2:9">
      <c r="B4222" s="1297"/>
      <c r="C4222" s="1297"/>
      <c r="D4222" s="1297" t="s">
        <v>1129</v>
      </c>
      <c r="H4222" s="1399">
        <v>-18943395</v>
      </c>
      <c r="I4222" s="1399">
        <v>-18943395</v>
      </c>
    </row>
    <row r="4223" spans="2:9">
      <c r="B4223" s="1297"/>
      <c r="C4223" s="1297"/>
      <c r="D4223" s="1297" t="s">
        <v>1047</v>
      </c>
      <c r="H4223" s="1399">
        <v>1833807</v>
      </c>
      <c r="I4223" s="1399">
        <v>1833807</v>
      </c>
    </row>
    <row r="4224" spans="2:9">
      <c r="B4224" s="1297"/>
      <c r="C4224" s="1297"/>
      <c r="D4224" s="1297" t="s">
        <v>1048</v>
      </c>
      <c r="H4224" s="1399">
        <v>-19279417</v>
      </c>
      <c r="I4224" s="1399">
        <v>-19279417</v>
      </c>
    </row>
    <row r="4225" spans="2:9">
      <c r="B4225" s="1297"/>
      <c r="C4225" s="1297"/>
      <c r="D4225" s="1297" t="s">
        <v>932</v>
      </c>
      <c r="H4225" s="1399">
        <v>17276058</v>
      </c>
      <c r="I4225" s="1399">
        <v>17276058</v>
      </c>
    </row>
    <row r="4226" spans="2:9">
      <c r="B4226" s="1297"/>
      <c r="C4226" s="1297"/>
      <c r="D4226" s="1297" t="s">
        <v>934</v>
      </c>
      <c r="H4226" s="1399">
        <v>392426</v>
      </c>
      <c r="I4226" s="1399">
        <v>392426</v>
      </c>
    </row>
    <row r="4227" spans="2:9">
      <c r="B4227" s="1297"/>
      <c r="C4227" s="1297"/>
      <c r="D4227" s="1297" t="s">
        <v>1130</v>
      </c>
      <c r="H4227" s="1399">
        <v>2557081.6000000001</v>
      </c>
      <c r="I4227" s="1399">
        <v>2557081.6000000001</v>
      </c>
    </row>
    <row r="4228" spans="2:9">
      <c r="B4228" s="1297"/>
      <c r="C4228" s="1297"/>
      <c r="D4228" s="1297" t="s">
        <v>935</v>
      </c>
      <c r="H4228" s="1399">
        <v>1562425.01</v>
      </c>
      <c r="I4228" s="1399">
        <v>1562425.01</v>
      </c>
    </row>
    <row r="4229" spans="2:9">
      <c r="B4229" s="1297"/>
      <c r="C4229" s="1297"/>
      <c r="D4229" s="1297" t="s">
        <v>936</v>
      </c>
      <c r="H4229" s="1399">
        <v>385865.89</v>
      </c>
      <c r="I4229" s="1399">
        <v>385865.89</v>
      </c>
    </row>
    <row r="4230" spans="2:9">
      <c r="B4230" s="1297"/>
      <c r="C4230" s="1297"/>
      <c r="D4230" s="1297" t="s">
        <v>937</v>
      </c>
      <c r="H4230" s="1399">
        <v>94948.65</v>
      </c>
      <c r="I4230" s="1399">
        <v>94948.65</v>
      </c>
    </row>
    <row r="4231" spans="2:9">
      <c r="B4231" s="1297"/>
      <c r="C4231" s="1297"/>
      <c r="D4231" s="1297" t="s">
        <v>938</v>
      </c>
      <c r="H4231" s="1399">
        <v>124461</v>
      </c>
      <c r="I4231" s="1399">
        <v>124461</v>
      </c>
    </row>
    <row r="4232" spans="2:9">
      <c r="B4232" s="1297"/>
      <c r="C4232" s="1297"/>
      <c r="D4232" s="1297" t="s">
        <v>939</v>
      </c>
      <c r="H4232" s="1399">
        <v>41922.06</v>
      </c>
      <c r="I4232" s="1399">
        <v>41922.06</v>
      </c>
    </row>
    <row r="4233" spans="2:9">
      <c r="B4233" s="1297"/>
      <c r="C4233" s="1297"/>
      <c r="D4233" s="1297" t="s">
        <v>1131</v>
      </c>
      <c r="E4233" s="1399">
        <v>222268.04</v>
      </c>
      <c r="I4233" s="1399">
        <v>222268.04</v>
      </c>
    </row>
    <row r="4234" spans="2:9">
      <c r="B4234" s="1297"/>
      <c r="C4234" s="1297"/>
      <c r="D4234" s="1297" t="s">
        <v>940</v>
      </c>
      <c r="E4234" s="1399">
        <v>4868925.76</v>
      </c>
      <c r="I4234" s="1399">
        <v>4868925.76</v>
      </c>
    </row>
    <row r="4235" spans="2:9">
      <c r="B4235" s="1297"/>
      <c r="C4235" s="1297"/>
      <c r="D4235" s="1297" t="s">
        <v>941</v>
      </c>
      <c r="E4235" s="1399">
        <v>1245370.78</v>
      </c>
      <c r="I4235" s="1399">
        <v>1245370.78</v>
      </c>
    </row>
    <row r="4236" spans="2:9">
      <c r="B4236" s="1297"/>
      <c r="C4236" s="1297"/>
      <c r="D4236" s="1297" t="s">
        <v>943</v>
      </c>
      <c r="E4236" s="1399">
        <v>55925.79</v>
      </c>
      <c r="I4236" s="1399">
        <v>55925.79</v>
      </c>
    </row>
    <row r="4237" spans="2:9">
      <c r="B4237" s="1297"/>
      <c r="C4237" s="1297"/>
      <c r="D4237" s="1297" t="s">
        <v>944</v>
      </c>
      <c r="E4237" s="1399">
        <v>7912228.5699999984</v>
      </c>
      <c r="I4237" s="1399">
        <v>7912228.5699999984</v>
      </c>
    </row>
    <row r="4238" spans="2:9">
      <c r="B4238" s="1297"/>
      <c r="C4238" s="1297"/>
      <c r="D4238" s="1297" t="s">
        <v>945</v>
      </c>
      <c r="E4238" s="1399">
        <v>9045195.0600000005</v>
      </c>
      <c r="I4238" s="1399">
        <v>9045195.0600000005</v>
      </c>
    </row>
    <row r="4239" spans="2:9">
      <c r="B4239" s="1297"/>
      <c r="C4239" s="1297"/>
      <c r="D4239" s="1297" t="s">
        <v>947</v>
      </c>
      <c r="E4239" s="1399">
        <v>429335.13</v>
      </c>
      <c r="I4239" s="1399">
        <v>429335.13</v>
      </c>
    </row>
    <row r="4240" spans="2:9">
      <c r="B4240" s="1297"/>
      <c r="C4240" s="1297"/>
      <c r="D4240" s="1297" t="s">
        <v>948</v>
      </c>
      <c r="G4240" s="1399">
        <v>24639599.23</v>
      </c>
      <c r="I4240" s="1399">
        <v>24639599.23</v>
      </c>
    </row>
    <row r="4241" spans="2:9">
      <c r="B4241" s="1297"/>
      <c r="C4241" s="1297"/>
      <c r="D4241" s="1297" t="s">
        <v>956</v>
      </c>
      <c r="G4241" s="1399">
        <v>31397</v>
      </c>
      <c r="I4241" s="1399">
        <v>31397</v>
      </c>
    </row>
    <row r="4242" spans="2:9">
      <c r="B4242" s="1297"/>
      <c r="C4242" s="1400" t="s">
        <v>1284</v>
      </c>
      <c r="D4242" s="1400"/>
      <c r="E4242" s="1401">
        <v>23779249.129999999</v>
      </c>
      <c r="F4242" s="1401">
        <v>94698767.009999976</v>
      </c>
      <c r="G4242" s="1401">
        <v>24670996.23</v>
      </c>
      <c r="H4242" s="1401">
        <v>135227649.20999998</v>
      </c>
      <c r="I4242" s="1401">
        <v>278376661.57999992</v>
      </c>
    </row>
    <row r="4243" spans="2:9">
      <c r="B4243" s="1297" t="s">
        <v>1285</v>
      </c>
      <c r="C4243" s="1297" t="s">
        <v>1286</v>
      </c>
      <c r="D4243" s="1297" t="s">
        <v>906</v>
      </c>
      <c r="F4243" s="1399">
        <v>10572262.5</v>
      </c>
      <c r="I4243" s="1399">
        <v>10572262.5</v>
      </c>
    </row>
    <row r="4244" spans="2:9">
      <c r="B4244" s="1297"/>
      <c r="C4244" s="1297"/>
      <c r="D4244" s="1297" t="s">
        <v>952</v>
      </c>
      <c r="F4244" s="1399">
        <v>110583.93</v>
      </c>
      <c r="I4244" s="1399">
        <v>110583.93</v>
      </c>
    </row>
    <row r="4245" spans="2:9">
      <c r="B4245" s="1297"/>
      <c r="C4245" s="1297"/>
      <c r="D4245" s="1297" t="s">
        <v>907</v>
      </c>
      <c r="F4245" s="1399">
        <v>4060444.12</v>
      </c>
      <c r="I4245" s="1399">
        <v>4060444.12</v>
      </c>
    </row>
    <row r="4246" spans="2:9">
      <c r="B4246" s="1297"/>
      <c r="C4246" s="1297"/>
      <c r="D4246" s="1297" t="s">
        <v>908</v>
      </c>
      <c r="F4246" s="1399">
        <v>54918.7</v>
      </c>
      <c r="I4246" s="1399">
        <v>54918.7</v>
      </c>
    </row>
    <row r="4247" spans="2:9">
      <c r="B4247" s="1297"/>
      <c r="C4247" s="1297"/>
      <c r="D4247" s="1297" t="s">
        <v>909</v>
      </c>
      <c r="F4247" s="1399">
        <v>79251.929999999993</v>
      </c>
      <c r="I4247" s="1399">
        <v>79251.929999999993</v>
      </c>
    </row>
    <row r="4248" spans="2:9">
      <c r="B4248" s="1297"/>
      <c r="C4248" s="1297"/>
      <c r="D4248" s="1297" t="s">
        <v>910</v>
      </c>
      <c r="F4248" s="1399">
        <v>135725.91</v>
      </c>
      <c r="I4248" s="1399">
        <v>135725.91</v>
      </c>
    </row>
    <row r="4249" spans="2:9">
      <c r="B4249" s="1297"/>
      <c r="C4249" s="1297"/>
      <c r="D4249" s="1297" t="s">
        <v>1034</v>
      </c>
      <c r="F4249" s="1399">
        <v>93556.93</v>
      </c>
      <c r="I4249" s="1399">
        <v>93556.93</v>
      </c>
    </row>
    <row r="4250" spans="2:9">
      <c r="B4250" s="1297"/>
      <c r="C4250" s="1297"/>
      <c r="D4250" s="1297" t="s">
        <v>1035</v>
      </c>
      <c r="F4250" s="1399">
        <v>374834.98</v>
      </c>
      <c r="I4250" s="1399">
        <v>374834.98</v>
      </c>
    </row>
    <row r="4251" spans="2:9">
      <c r="B4251" s="1297"/>
      <c r="C4251" s="1297"/>
      <c r="D4251" s="1297" t="s">
        <v>1036</v>
      </c>
      <c r="F4251" s="1399">
        <v>235375</v>
      </c>
      <c r="I4251" s="1399">
        <v>235375</v>
      </c>
    </row>
    <row r="4252" spans="2:9">
      <c r="B4252" s="1297"/>
      <c r="C4252" s="1297"/>
      <c r="D4252" s="1297" t="s">
        <v>1037</v>
      </c>
      <c r="F4252" s="1399">
        <v>31840.400000000001</v>
      </c>
      <c r="I4252" s="1399">
        <v>31840.400000000001</v>
      </c>
    </row>
    <row r="4253" spans="2:9">
      <c r="B4253" s="1297"/>
      <c r="C4253" s="1297"/>
      <c r="D4253" s="1297" t="s">
        <v>1039</v>
      </c>
      <c r="F4253" s="1399">
        <v>10592.24</v>
      </c>
      <c r="I4253" s="1399">
        <v>10592.24</v>
      </c>
    </row>
    <row r="4254" spans="2:9">
      <c r="B4254" s="1297"/>
      <c r="C4254" s="1297"/>
      <c r="D4254" s="1297" t="s">
        <v>1040</v>
      </c>
      <c r="F4254" s="1399">
        <v>177368.11</v>
      </c>
      <c r="I4254" s="1399">
        <v>177368.11</v>
      </c>
    </row>
    <row r="4255" spans="2:9">
      <c r="B4255" s="1297"/>
      <c r="C4255" s="1297"/>
      <c r="D4255" s="1297" t="s">
        <v>1127</v>
      </c>
      <c r="F4255" s="1399">
        <v>71872.639999999999</v>
      </c>
      <c r="I4255" s="1399">
        <v>71872.639999999999</v>
      </c>
    </row>
    <row r="4256" spans="2:9">
      <c r="B4256" s="1297"/>
      <c r="C4256" s="1297"/>
      <c r="D4256" s="1297" t="s">
        <v>1041</v>
      </c>
      <c r="F4256" s="1399">
        <v>36384.410000000003</v>
      </c>
      <c r="I4256" s="1399">
        <v>36384.410000000003</v>
      </c>
    </row>
    <row r="4257" spans="2:9">
      <c r="B4257" s="1297"/>
      <c r="C4257" s="1297"/>
      <c r="D4257" s="1297" t="s">
        <v>1042</v>
      </c>
      <c r="F4257" s="1399">
        <v>52554.85</v>
      </c>
      <c r="I4257" s="1399">
        <v>52554.85</v>
      </c>
    </row>
    <row r="4258" spans="2:9">
      <c r="B4258" s="1297"/>
      <c r="C4258" s="1297"/>
      <c r="D4258" s="1297" t="s">
        <v>1045</v>
      </c>
      <c r="F4258" s="1399">
        <v>45587.49</v>
      </c>
      <c r="I4258" s="1399">
        <v>45587.49</v>
      </c>
    </row>
    <row r="4259" spans="2:9">
      <c r="B4259" s="1297"/>
      <c r="C4259" s="1297"/>
      <c r="D4259" s="1297" t="s">
        <v>1046</v>
      </c>
      <c r="H4259" s="1399">
        <v>19231700</v>
      </c>
      <c r="I4259" s="1399">
        <v>19231700</v>
      </c>
    </row>
    <row r="4260" spans="2:9">
      <c r="B4260" s="1297"/>
      <c r="C4260" s="1297"/>
      <c r="D4260" s="1297" t="s">
        <v>1128</v>
      </c>
      <c r="H4260" s="1399">
        <v>1688569</v>
      </c>
      <c r="I4260" s="1399">
        <v>1688569</v>
      </c>
    </row>
    <row r="4261" spans="2:9">
      <c r="B4261" s="1297"/>
      <c r="C4261" s="1297"/>
      <c r="D4261" s="1297" t="s">
        <v>1129</v>
      </c>
      <c r="H4261" s="1399">
        <v>-2811397</v>
      </c>
      <c r="I4261" s="1399">
        <v>-2811397</v>
      </c>
    </row>
    <row r="4262" spans="2:9">
      <c r="B4262" s="1297"/>
      <c r="C4262" s="1297"/>
      <c r="D4262" s="1297" t="s">
        <v>1047</v>
      </c>
      <c r="H4262" s="1399">
        <v>636422</v>
      </c>
      <c r="I4262" s="1399">
        <v>636422</v>
      </c>
    </row>
    <row r="4263" spans="2:9">
      <c r="B4263" s="1297"/>
      <c r="C4263" s="1297"/>
      <c r="D4263" s="1297" t="s">
        <v>1048</v>
      </c>
      <c r="H4263" s="1399">
        <v>-2623520</v>
      </c>
      <c r="I4263" s="1399">
        <v>-2623520</v>
      </c>
    </row>
    <row r="4264" spans="2:9">
      <c r="B4264" s="1297"/>
      <c r="C4264" s="1297"/>
      <c r="D4264" s="1297" t="s">
        <v>932</v>
      </c>
      <c r="H4264" s="1399">
        <v>2061836</v>
      </c>
      <c r="I4264" s="1399">
        <v>2061836</v>
      </c>
    </row>
    <row r="4265" spans="2:9">
      <c r="B4265" s="1297"/>
      <c r="C4265" s="1297"/>
      <c r="D4265" s="1297" t="s">
        <v>934</v>
      </c>
      <c r="H4265" s="1399">
        <v>72628</v>
      </c>
      <c r="I4265" s="1399">
        <v>72628</v>
      </c>
    </row>
    <row r="4266" spans="2:9">
      <c r="B4266" s="1297"/>
      <c r="C4266" s="1297"/>
      <c r="D4266" s="1297" t="s">
        <v>935</v>
      </c>
      <c r="H4266" s="1399">
        <v>135159.63</v>
      </c>
      <c r="I4266" s="1399">
        <v>135159.63</v>
      </c>
    </row>
    <row r="4267" spans="2:9">
      <c r="B4267" s="1297"/>
      <c r="C4267" s="1297"/>
      <c r="D4267" s="1297" t="s">
        <v>936</v>
      </c>
      <c r="H4267" s="1399">
        <v>63377.25</v>
      </c>
      <c r="I4267" s="1399">
        <v>63377.25</v>
      </c>
    </row>
    <row r="4268" spans="2:9">
      <c r="B4268" s="1297"/>
      <c r="C4268" s="1297"/>
      <c r="D4268" s="1297" t="s">
        <v>937</v>
      </c>
      <c r="H4268" s="1399">
        <v>27851.759999999998</v>
      </c>
      <c r="I4268" s="1399">
        <v>27851.759999999998</v>
      </c>
    </row>
    <row r="4269" spans="2:9">
      <c r="B4269" s="1297"/>
      <c r="C4269" s="1297"/>
      <c r="D4269" s="1297" t="s">
        <v>938</v>
      </c>
      <c r="H4269" s="1399">
        <v>25266.01</v>
      </c>
      <c r="I4269" s="1399">
        <v>25266.01</v>
      </c>
    </row>
    <row r="4270" spans="2:9">
      <c r="B4270" s="1297"/>
      <c r="C4270" s="1297"/>
      <c r="D4270" s="1297" t="s">
        <v>1131</v>
      </c>
      <c r="E4270" s="1399">
        <v>32888.53</v>
      </c>
      <c r="I4270" s="1399">
        <v>32888.53</v>
      </c>
    </row>
    <row r="4271" spans="2:9">
      <c r="B4271" s="1297"/>
      <c r="C4271" s="1297"/>
      <c r="D4271" s="1297" t="s">
        <v>940</v>
      </c>
      <c r="E4271" s="1399">
        <v>1075854.1000000001</v>
      </c>
      <c r="I4271" s="1399">
        <v>1075854.1000000001</v>
      </c>
    </row>
    <row r="4272" spans="2:9">
      <c r="B4272" s="1297"/>
      <c r="C4272" s="1297"/>
      <c r="D4272" s="1297" t="s">
        <v>941</v>
      </c>
      <c r="E4272" s="1399">
        <v>380643.34</v>
      </c>
      <c r="I4272" s="1399">
        <v>380643.34</v>
      </c>
    </row>
    <row r="4273" spans="2:9">
      <c r="B4273" s="1297"/>
      <c r="C4273" s="1297"/>
      <c r="D4273" s="1297" t="s">
        <v>943</v>
      </c>
      <c r="E4273" s="1399">
        <v>45568.46</v>
      </c>
      <c r="I4273" s="1399">
        <v>45568.46</v>
      </c>
    </row>
    <row r="4274" spans="2:9">
      <c r="B4274" s="1297"/>
      <c r="C4274" s="1297"/>
      <c r="D4274" s="1297" t="s">
        <v>944</v>
      </c>
      <c r="E4274" s="1399">
        <v>3280585.4999999995</v>
      </c>
      <c r="I4274" s="1399">
        <v>3280585.4999999995</v>
      </c>
    </row>
    <row r="4275" spans="2:9">
      <c r="B4275" s="1297"/>
      <c r="C4275" s="1297"/>
      <c r="D4275" s="1297" t="s">
        <v>945</v>
      </c>
      <c r="E4275" s="1399">
        <v>3818245.1</v>
      </c>
      <c r="I4275" s="1399">
        <v>3818245.1</v>
      </c>
    </row>
    <row r="4276" spans="2:9">
      <c r="B4276" s="1297"/>
      <c r="C4276" s="1297"/>
      <c r="D4276" s="1297" t="s">
        <v>946</v>
      </c>
      <c r="E4276" s="1399">
        <v>14718.42</v>
      </c>
      <c r="I4276" s="1399">
        <v>14718.42</v>
      </c>
    </row>
    <row r="4277" spans="2:9">
      <c r="B4277" s="1297"/>
      <c r="C4277" s="1297"/>
      <c r="D4277" s="1297" t="s">
        <v>947</v>
      </c>
      <c r="E4277" s="1399">
        <v>169587.11</v>
      </c>
      <c r="I4277" s="1399">
        <v>169587.11</v>
      </c>
    </row>
    <row r="4278" spans="2:9">
      <c r="B4278" s="1297"/>
      <c r="C4278" s="1297"/>
      <c r="D4278" s="1297" t="s">
        <v>948</v>
      </c>
      <c r="G4278" s="1399">
        <v>4160865.8099999996</v>
      </c>
      <c r="I4278" s="1399">
        <v>4160865.8099999996</v>
      </c>
    </row>
    <row r="4279" spans="2:9">
      <c r="B4279" s="1297"/>
      <c r="C4279" s="1400" t="s">
        <v>1287</v>
      </c>
      <c r="D4279" s="1400"/>
      <c r="E4279" s="1401">
        <v>8818090.5599999987</v>
      </c>
      <c r="F4279" s="1401">
        <v>16143154.140000001</v>
      </c>
      <c r="G4279" s="1401">
        <v>4160865.8099999996</v>
      </c>
      <c r="H4279" s="1401">
        <v>18507892.650000002</v>
      </c>
      <c r="I4279" s="1401">
        <v>47630003.160000011</v>
      </c>
    </row>
    <row r="4280" spans="2:9">
      <c r="B4280" s="1297" t="s">
        <v>1288</v>
      </c>
      <c r="C4280" s="1297" t="s">
        <v>1289</v>
      </c>
      <c r="D4280" s="1297" t="s">
        <v>906</v>
      </c>
      <c r="F4280" s="1399">
        <v>22268941.670000002</v>
      </c>
      <c r="I4280" s="1399">
        <v>22268941.670000002</v>
      </c>
    </row>
    <row r="4281" spans="2:9">
      <c r="B4281" s="1297"/>
      <c r="C4281" s="1297"/>
      <c r="D4281" s="1297" t="s">
        <v>952</v>
      </c>
      <c r="F4281" s="1399">
        <v>355901.11</v>
      </c>
      <c r="I4281" s="1399">
        <v>355901.11</v>
      </c>
    </row>
    <row r="4282" spans="2:9">
      <c r="B4282" s="1297"/>
      <c r="C4282" s="1297"/>
      <c r="D4282" s="1297" t="s">
        <v>907</v>
      </c>
      <c r="F4282" s="1399">
        <v>3915978.81</v>
      </c>
      <c r="I4282" s="1399">
        <v>3915978.81</v>
      </c>
    </row>
    <row r="4283" spans="2:9">
      <c r="B4283" s="1297"/>
      <c r="C4283" s="1297"/>
      <c r="D4283" s="1297" t="s">
        <v>1145</v>
      </c>
      <c r="F4283" s="1399">
        <v>23538.23</v>
      </c>
      <c r="I4283" s="1399">
        <v>23538.23</v>
      </c>
    </row>
    <row r="4284" spans="2:9">
      <c r="B4284" s="1297"/>
      <c r="C4284" s="1297"/>
      <c r="D4284" s="1297" t="s">
        <v>908</v>
      </c>
      <c r="F4284" s="1399">
        <v>13902.27</v>
      </c>
      <c r="I4284" s="1399">
        <v>13902.27</v>
      </c>
    </row>
    <row r="4285" spans="2:9">
      <c r="B4285" s="1297"/>
      <c r="C4285" s="1297"/>
      <c r="D4285" s="1297" t="s">
        <v>909</v>
      </c>
      <c r="F4285" s="1399">
        <v>4711.76</v>
      </c>
      <c r="I4285" s="1399">
        <v>4711.76</v>
      </c>
    </row>
    <row r="4286" spans="2:9">
      <c r="B4286" s="1297"/>
      <c r="C4286" s="1297"/>
      <c r="D4286" s="1297" t="s">
        <v>910</v>
      </c>
      <c r="F4286" s="1399">
        <v>108960.1</v>
      </c>
      <c r="I4286" s="1399">
        <v>108960.1</v>
      </c>
    </row>
    <row r="4287" spans="2:9">
      <c r="B4287" s="1297"/>
      <c r="C4287" s="1297"/>
      <c r="D4287" s="1297" t="s">
        <v>1034</v>
      </c>
      <c r="F4287" s="1399">
        <v>89635.77</v>
      </c>
      <c r="I4287" s="1399">
        <v>89635.77</v>
      </c>
    </row>
    <row r="4288" spans="2:9">
      <c r="B4288" s="1297"/>
      <c r="C4288" s="1297"/>
      <c r="D4288" s="1297" t="s">
        <v>1035</v>
      </c>
      <c r="F4288" s="1399">
        <v>462072.88000000006</v>
      </c>
      <c r="I4288" s="1399">
        <v>462072.88000000006</v>
      </c>
    </row>
    <row r="4289" spans="2:9">
      <c r="B4289" s="1297"/>
      <c r="C4289" s="1297"/>
      <c r="D4289" s="1297" t="s">
        <v>1036</v>
      </c>
      <c r="F4289" s="1399">
        <v>166763.15</v>
      </c>
      <c r="I4289" s="1399">
        <v>166763.15</v>
      </c>
    </row>
    <row r="4290" spans="2:9">
      <c r="B4290" s="1297"/>
      <c r="C4290" s="1297"/>
      <c r="D4290" s="1297" t="s">
        <v>1037</v>
      </c>
      <c r="F4290" s="1399">
        <v>2813.01</v>
      </c>
      <c r="I4290" s="1399">
        <v>2813.01</v>
      </c>
    </row>
    <row r="4291" spans="2:9">
      <c r="B4291" s="1297"/>
      <c r="C4291" s="1297"/>
      <c r="D4291" s="1297" t="s">
        <v>1039</v>
      </c>
      <c r="F4291" s="1399">
        <v>121685.17</v>
      </c>
      <c r="I4291" s="1399">
        <v>121685.17</v>
      </c>
    </row>
    <row r="4292" spans="2:9">
      <c r="B4292" s="1297"/>
      <c r="C4292" s="1297"/>
      <c r="D4292" s="1297" t="s">
        <v>1040</v>
      </c>
      <c r="F4292" s="1399">
        <v>496655.01000000007</v>
      </c>
      <c r="I4292" s="1399">
        <v>496655.01000000007</v>
      </c>
    </row>
    <row r="4293" spans="2:9">
      <c r="B4293" s="1297"/>
      <c r="C4293" s="1297"/>
      <c r="D4293" s="1297" t="s">
        <v>1041</v>
      </c>
      <c r="F4293" s="1399">
        <v>116034.52</v>
      </c>
      <c r="I4293" s="1399">
        <v>116034.52</v>
      </c>
    </row>
    <row r="4294" spans="2:9">
      <c r="B4294" s="1297"/>
      <c r="C4294" s="1297"/>
      <c r="D4294" s="1297" t="s">
        <v>1042</v>
      </c>
      <c r="F4294" s="1399">
        <v>77083.580000000016</v>
      </c>
      <c r="I4294" s="1399">
        <v>77083.580000000016</v>
      </c>
    </row>
    <row r="4295" spans="2:9">
      <c r="B4295" s="1297"/>
      <c r="C4295" s="1297"/>
      <c r="D4295" s="1297" t="s">
        <v>985</v>
      </c>
      <c r="F4295" s="1399">
        <v>101633.25</v>
      </c>
      <c r="I4295" s="1399">
        <v>101633.25</v>
      </c>
    </row>
    <row r="4296" spans="2:9">
      <c r="B4296" s="1297"/>
      <c r="C4296" s="1297"/>
      <c r="D4296" s="1297" t="s">
        <v>986</v>
      </c>
      <c r="F4296" s="1399">
        <v>63115.56</v>
      </c>
      <c r="I4296" s="1399">
        <v>63115.56</v>
      </c>
    </row>
    <row r="4297" spans="2:9">
      <c r="B4297" s="1297"/>
      <c r="C4297" s="1297"/>
      <c r="D4297" s="1297" t="s">
        <v>1045</v>
      </c>
      <c r="F4297" s="1399">
        <v>387991.60000000009</v>
      </c>
      <c r="I4297" s="1399">
        <v>387991.60000000009</v>
      </c>
    </row>
    <row r="4298" spans="2:9">
      <c r="B4298" s="1297"/>
      <c r="C4298" s="1297"/>
      <c r="D4298" s="1297" t="s">
        <v>1046</v>
      </c>
      <c r="H4298" s="1399">
        <v>23426971</v>
      </c>
      <c r="I4298" s="1399">
        <v>23426971</v>
      </c>
    </row>
    <row r="4299" spans="2:9">
      <c r="B4299" s="1297"/>
      <c r="C4299" s="1297"/>
      <c r="D4299" s="1297" t="s">
        <v>1128</v>
      </c>
      <c r="H4299" s="1399">
        <v>2008545</v>
      </c>
      <c r="I4299" s="1399">
        <v>2008545</v>
      </c>
    </row>
    <row r="4300" spans="2:9">
      <c r="B4300" s="1297"/>
      <c r="C4300" s="1297"/>
      <c r="D4300" s="1297" t="s">
        <v>1129</v>
      </c>
      <c r="H4300" s="1399">
        <v>-2884836</v>
      </c>
      <c r="I4300" s="1399">
        <v>-2884836</v>
      </c>
    </row>
    <row r="4301" spans="2:9">
      <c r="B4301" s="1297"/>
      <c r="C4301" s="1297"/>
      <c r="D4301" s="1297" t="s">
        <v>1047</v>
      </c>
      <c r="H4301" s="1399">
        <v>622353</v>
      </c>
      <c r="I4301" s="1399">
        <v>622353</v>
      </c>
    </row>
    <row r="4302" spans="2:9">
      <c r="B4302" s="1297"/>
      <c r="C4302" s="1297"/>
      <c r="D4302" s="1297" t="s">
        <v>1048</v>
      </c>
      <c r="H4302" s="1399">
        <v>-6361774</v>
      </c>
      <c r="I4302" s="1399">
        <v>-6361774</v>
      </c>
    </row>
    <row r="4303" spans="2:9">
      <c r="B4303" s="1297"/>
      <c r="C4303" s="1297"/>
      <c r="D4303" s="1297" t="s">
        <v>933</v>
      </c>
      <c r="H4303" s="1399">
        <v>163582.71</v>
      </c>
      <c r="I4303" s="1399">
        <v>163582.71</v>
      </c>
    </row>
    <row r="4304" spans="2:9">
      <c r="B4304" s="1297"/>
      <c r="C4304" s="1297"/>
      <c r="D4304" s="1297" t="s">
        <v>934</v>
      </c>
      <c r="H4304" s="1399">
        <v>73272.800000000003</v>
      </c>
      <c r="I4304" s="1399">
        <v>73272.800000000003</v>
      </c>
    </row>
    <row r="4305" spans="2:9">
      <c r="B4305" s="1297"/>
      <c r="C4305" s="1297"/>
      <c r="D4305" s="1297" t="s">
        <v>1130</v>
      </c>
      <c r="H4305" s="1399">
        <v>116566</v>
      </c>
      <c r="I4305" s="1399">
        <v>116566</v>
      </c>
    </row>
    <row r="4306" spans="2:9">
      <c r="B4306" s="1297"/>
      <c r="C4306" s="1297"/>
      <c r="D4306" s="1297" t="s">
        <v>935</v>
      </c>
      <c r="H4306" s="1399">
        <v>493438.53</v>
      </c>
      <c r="I4306" s="1399">
        <v>493438.53</v>
      </c>
    </row>
    <row r="4307" spans="2:9">
      <c r="B4307" s="1297"/>
      <c r="C4307" s="1297"/>
      <c r="D4307" s="1297" t="s">
        <v>936</v>
      </c>
      <c r="H4307" s="1399">
        <v>104344.86</v>
      </c>
      <c r="I4307" s="1399">
        <v>104344.86</v>
      </c>
    </row>
    <row r="4308" spans="2:9">
      <c r="B4308" s="1297"/>
      <c r="C4308" s="1297"/>
      <c r="D4308" s="1297" t="s">
        <v>937</v>
      </c>
      <c r="H4308" s="1399">
        <v>8577.2800000000007</v>
      </c>
      <c r="I4308" s="1399">
        <v>8577.2800000000007</v>
      </c>
    </row>
    <row r="4309" spans="2:9">
      <c r="B4309" s="1297"/>
      <c r="C4309" s="1297"/>
      <c r="D4309" s="1297" t="s">
        <v>938</v>
      </c>
      <c r="H4309" s="1399">
        <v>29197</v>
      </c>
      <c r="I4309" s="1399">
        <v>29197</v>
      </c>
    </row>
    <row r="4310" spans="2:9">
      <c r="B4310" s="1297"/>
      <c r="C4310" s="1297"/>
      <c r="D4310" s="1297" t="s">
        <v>940</v>
      </c>
      <c r="E4310" s="1399">
        <v>977362.10000000009</v>
      </c>
      <c r="I4310" s="1399">
        <v>977362.10000000009</v>
      </c>
    </row>
    <row r="4311" spans="2:9">
      <c r="B4311" s="1297"/>
      <c r="C4311" s="1297"/>
      <c r="D4311" s="1297" t="s">
        <v>941</v>
      </c>
      <c r="E4311" s="1399">
        <v>300211.40000000002</v>
      </c>
      <c r="I4311" s="1399">
        <v>300211.40000000002</v>
      </c>
    </row>
    <row r="4312" spans="2:9">
      <c r="B4312" s="1297"/>
      <c r="C4312" s="1297"/>
      <c r="D4312" s="1297" t="s">
        <v>944</v>
      </c>
      <c r="E4312" s="1399">
        <v>2540660.8699999996</v>
      </c>
      <c r="I4312" s="1399">
        <v>2540660.8699999996</v>
      </c>
    </row>
    <row r="4313" spans="2:9">
      <c r="B4313" s="1297"/>
      <c r="C4313" s="1297"/>
      <c r="D4313" s="1297" t="s">
        <v>945</v>
      </c>
      <c r="E4313" s="1399">
        <v>1502731.17</v>
      </c>
      <c r="I4313" s="1399">
        <v>1502731.17</v>
      </c>
    </row>
    <row r="4314" spans="2:9">
      <c r="B4314" s="1297"/>
      <c r="C4314" s="1297"/>
      <c r="D4314" s="1297" t="s">
        <v>946</v>
      </c>
      <c r="E4314" s="1399">
        <v>633577.63</v>
      </c>
      <c r="I4314" s="1399">
        <v>633577.63</v>
      </c>
    </row>
    <row r="4315" spans="2:9">
      <c r="B4315" s="1297"/>
      <c r="C4315" s="1297"/>
      <c r="D4315" s="1297" t="s">
        <v>947</v>
      </c>
      <c r="E4315" s="1399">
        <v>142256.83000000002</v>
      </c>
      <c r="I4315" s="1399">
        <v>142256.83000000002</v>
      </c>
    </row>
    <row r="4316" spans="2:9">
      <c r="B4316" s="1297"/>
      <c r="C4316" s="1297"/>
      <c r="D4316" s="1297" t="s">
        <v>948</v>
      </c>
      <c r="G4316" s="1399">
        <v>4248676.8999999994</v>
      </c>
      <c r="I4316" s="1399">
        <v>4248676.8999999994</v>
      </c>
    </row>
    <row r="4317" spans="2:9">
      <c r="B4317" s="1297"/>
      <c r="C4317" s="1400" t="s">
        <v>1290</v>
      </c>
      <c r="D4317" s="1400"/>
      <c r="E4317" s="1401">
        <v>6096799.9999999991</v>
      </c>
      <c r="F4317" s="1401">
        <v>28777417.450000003</v>
      </c>
      <c r="G4317" s="1401">
        <v>4248676.8999999994</v>
      </c>
      <c r="H4317" s="1401">
        <v>17800238.180000003</v>
      </c>
      <c r="I4317" s="1401">
        <v>56923132.530000001</v>
      </c>
    </row>
    <row r="4318" spans="2:9">
      <c r="B4318" s="1297" t="s">
        <v>1483</v>
      </c>
      <c r="C4318" s="1297" t="s">
        <v>1484</v>
      </c>
      <c r="D4318" s="1297" t="s">
        <v>906</v>
      </c>
      <c r="F4318" s="1399">
        <v>6026007.6100000003</v>
      </c>
      <c r="I4318" s="1399">
        <v>6026007.6100000003</v>
      </c>
    </row>
    <row r="4319" spans="2:9">
      <c r="B4319" s="1297"/>
      <c r="C4319" s="1297"/>
      <c r="D4319" s="1297" t="s">
        <v>907</v>
      </c>
      <c r="F4319" s="1399">
        <v>1661818.14</v>
      </c>
      <c r="I4319" s="1399">
        <v>1661818.14</v>
      </c>
    </row>
    <row r="4320" spans="2:9">
      <c r="B4320" s="1297"/>
      <c r="C4320" s="1297"/>
      <c r="D4320" s="1297" t="s">
        <v>908</v>
      </c>
      <c r="F4320" s="1399">
        <v>67827.199999999997</v>
      </c>
      <c r="I4320" s="1399">
        <v>67827.199999999997</v>
      </c>
    </row>
    <row r="4321" spans="2:9">
      <c r="B4321" s="1297"/>
      <c r="C4321" s="1297"/>
      <c r="D4321" s="1297" t="s">
        <v>909</v>
      </c>
      <c r="F4321" s="1399">
        <v>30394.43</v>
      </c>
      <c r="I4321" s="1399">
        <v>30394.43</v>
      </c>
    </row>
    <row r="4322" spans="2:9">
      <c r="B4322" s="1297"/>
      <c r="C4322" s="1297"/>
      <c r="D4322" s="1297" t="s">
        <v>910</v>
      </c>
      <c r="F4322" s="1399">
        <v>475</v>
      </c>
      <c r="I4322" s="1399">
        <v>475</v>
      </c>
    </row>
    <row r="4323" spans="2:9">
      <c r="B4323" s="1297"/>
      <c r="C4323" s="1297"/>
      <c r="D4323" s="1297" t="s">
        <v>1034</v>
      </c>
      <c r="F4323" s="1399">
        <v>74624.2</v>
      </c>
      <c r="I4323" s="1399">
        <v>74624.2</v>
      </c>
    </row>
    <row r="4324" spans="2:9">
      <c r="B4324" s="1297"/>
      <c r="C4324" s="1297"/>
      <c r="D4324" s="1297" t="s">
        <v>1035</v>
      </c>
      <c r="F4324" s="1399">
        <v>617997.48</v>
      </c>
      <c r="I4324" s="1399">
        <v>617997.48</v>
      </c>
    </row>
    <row r="4325" spans="2:9">
      <c r="B4325" s="1297"/>
      <c r="C4325" s="1297"/>
      <c r="D4325" s="1297" t="s">
        <v>1036</v>
      </c>
      <c r="F4325" s="1399">
        <v>140392.03</v>
      </c>
      <c r="I4325" s="1399">
        <v>140392.03</v>
      </c>
    </row>
    <row r="4326" spans="2:9">
      <c r="B4326" s="1297"/>
      <c r="C4326" s="1297"/>
      <c r="D4326" s="1297" t="s">
        <v>1037</v>
      </c>
      <c r="F4326" s="1399">
        <v>1464</v>
      </c>
      <c r="I4326" s="1399">
        <v>1464</v>
      </c>
    </row>
    <row r="4327" spans="2:9">
      <c r="B4327" s="1297"/>
      <c r="C4327" s="1297"/>
      <c r="D4327" s="1297" t="s">
        <v>1039</v>
      </c>
      <c r="F4327" s="1399">
        <v>8999.3100000000013</v>
      </c>
      <c r="I4327" s="1399">
        <v>8999.3100000000013</v>
      </c>
    </row>
    <row r="4328" spans="2:9">
      <c r="B4328" s="1297"/>
      <c r="C4328" s="1297"/>
      <c r="D4328" s="1297" t="s">
        <v>1040</v>
      </c>
      <c r="F4328" s="1399">
        <v>259674.91</v>
      </c>
      <c r="I4328" s="1399">
        <v>259674.91</v>
      </c>
    </row>
    <row r="4329" spans="2:9">
      <c r="B4329" s="1297"/>
      <c r="C4329" s="1297"/>
      <c r="D4329" s="1297" t="s">
        <v>1041</v>
      </c>
      <c r="F4329" s="1399">
        <v>28123.56</v>
      </c>
      <c r="I4329" s="1399">
        <v>28123.56</v>
      </c>
    </row>
    <row r="4330" spans="2:9">
      <c r="B4330" s="1297"/>
      <c r="C4330" s="1297"/>
      <c r="D4330" s="1297" t="s">
        <v>1042</v>
      </c>
      <c r="F4330" s="1399">
        <v>65355.19</v>
      </c>
      <c r="I4330" s="1399">
        <v>65355.19</v>
      </c>
    </row>
    <row r="4331" spans="2:9">
      <c r="B4331" s="1297"/>
      <c r="C4331" s="1297"/>
      <c r="D4331" s="1297" t="s">
        <v>953</v>
      </c>
      <c r="F4331" s="1399">
        <v>50946.85</v>
      </c>
      <c r="I4331" s="1399">
        <v>50946.85</v>
      </c>
    </row>
    <row r="4332" spans="2:9">
      <c r="B4332" s="1297"/>
      <c r="C4332" s="1297"/>
      <c r="D4332" s="1297" t="s">
        <v>986</v>
      </c>
      <c r="F4332" s="1399">
        <v>238756.52</v>
      </c>
      <c r="I4332" s="1399">
        <v>238756.52</v>
      </c>
    </row>
    <row r="4333" spans="2:9">
      <c r="B4333" s="1297"/>
      <c r="C4333" s="1297"/>
      <c r="D4333" s="1297" t="s">
        <v>1045</v>
      </c>
      <c r="F4333" s="1399">
        <v>349728.34</v>
      </c>
      <c r="I4333" s="1399">
        <v>349728.34</v>
      </c>
    </row>
    <row r="4334" spans="2:9">
      <c r="B4334" s="1297"/>
      <c r="C4334" s="1297"/>
      <c r="D4334" s="1297" t="s">
        <v>1046</v>
      </c>
      <c r="H4334" s="1399">
        <v>20584123</v>
      </c>
      <c r="I4334" s="1399">
        <v>20584123</v>
      </c>
    </row>
    <row r="4335" spans="2:9">
      <c r="B4335" s="1297"/>
      <c r="C4335" s="1297"/>
      <c r="D4335" s="1297" t="s">
        <v>1129</v>
      </c>
      <c r="H4335" s="1399">
        <v>-2604349</v>
      </c>
      <c r="I4335" s="1399">
        <v>-2604349</v>
      </c>
    </row>
    <row r="4336" spans="2:9">
      <c r="B4336" s="1297"/>
      <c r="C4336" s="1297"/>
      <c r="D4336" s="1297" t="s">
        <v>1047</v>
      </c>
      <c r="H4336" s="1399">
        <v>503004</v>
      </c>
      <c r="I4336" s="1399">
        <v>503004</v>
      </c>
    </row>
    <row r="4337" spans="2:9">
      <c r="B4337" s="1297"/>
      <c r="C4337" s="1297"/>
      <c r="D4337" s="1297" t="s">
        <v>1048</v>
      </c>
      <c r="H4337" s="1399">
        <v>-1959993</v>
      </c>
      <c r="I4337" s="1399">
        <v>-1959993</v>
      </c>
    </row>
    <row r="4338" spans="2:9">
      <c r="B4338" s="1297"/>
      <c r="C4338" s="1297"/>
      <c r="D4338" s="1297" t="s">
        <v>932</v>
      </c>
      <c r="H4338" s="1399">
        <v>2105559</v>
      </c>
      <c r="I4338" s="1399">
        <v>2105559</v>
      </c>
    </row>
    <row r="4339" spans="2:9">
      <c r="B4339" s="1297"/>
      <c r="C4339" s="1297"/>
      <c r="D4339" s="1297" t="s">
        <v>955</v>
      </c>
      <c r="H4339" s="1399">
        <v>699791.24</v>
      </c>
      <c r="I4339" s="1399">
        <v>699791.24</v>
      </c>
    </row>
    <row r="4340" spans="2:9">
      <c r="B4340" s="1297"/>
      <c r="C4340" s="1297"/>
      <c r="D4340" s="1297" t="s">
        <v>934</v>
      </c>
      <c r="H4340" s="1399">
        <v>57911.4</v>
      </c>
      <c r="I4340" s="1399">
        <v>57911.4</v>
      </c>
    </row>
    <row r="4341" spans="2:9">
      <c r="B4341" s="1297"/>
      <c r="C4341" s="1297"/>
      <c r="D4341" s="1297" t="s">
        <v>935</v>
      </c>
      <c r="H4341" s="1399">
        <v>273056.07</v>
      </c>
      <c r="I4341" s="1399">
        <v>273056.07</v>
      </c>
    </row>
    <row r="4342" spans="2:9">
      <c r="B4342" s="1297"/>
      <c r="C4342" s="1297"/>
      <c r="D4342" s="1297" t="s">
        <v>936</v>
      </c>
      <c r="H4342" s="1399">
        <v>46570.02</v>
      </c>
      <c r="I4342" s="1399">
        <v>46570.02</v>
      </c>
    </row>
    <row r="4343" spans="2:9">
      <c r="B4343" s="1297"/>
      <c r="C4343" s="1297"/>
      <c r="D4343" s="1297" t="s">
        <v>937</v>
      </c>
      <c r="H4343" s="1399">
        <v>30130.42</v>
      </c>
      <c r="I4343" s="1399">
        <v>30130.42</v>
      </c>
    </row>
    <row r="4344" spans="2:9">
      <c r="B4344" s="1297"/>
      <c r="C4344" s="1297"/>
      <c r="D4344" s="1297" t="s">
        <v>938</v>
      </c>
      <c r="H4344" s="1399">
        <v>14973</v>
      </c>
      <c r="I4344" s="1399">
        <v>14973</v>
      </c>
    </row>
    <row r="4345" spans="2:9">
      <c r="B4345" s="1297"/>
      <c r="C4345" s="1297"/>
      <c r="D4345" s="1297" t="s">
        <v>940</v>
      </c>
      <c r="E4345" s="1399">
        <v>855387.08</v>
      </c>
      <c r="I4345" s="1399">
        <v>855387.08</v>
      </c>
    </row>
    <row r="4346" spans="2:9">
      <c r="B4346" s="1297"/>
      <c r="C4346" s="1297"/>
      <c r="D4346" s="1297" t="s">
        <v>941</v>
      </c>
      <c r="E4346" s="1399">
        <v>284477.65999999997</v>
      </c>
      <c r="I4346" s="1399">
        <v>284477.65999999997</v>
      </c>
    </row>
    <row r="4347" spans="2:9">
      <c r="B4347" s="1297"/>
      <c r="C4347" s="1297"/>
      <c r="D4347" s="1297" t="s">
        <v>942</v>
      </c>
      <c r="E4347" s="1399">
        <v>6454.44</v>
      </c>
      <c r="I4347" s="1399">
        <v>6454.44</v>
      </c>
    </row>
    <row r="4348" spans="2:9">
      <c r="B4348" s="1297"/>
      <c r="C4348" s="1297"/>
      <c r="D4348" s="1297" t="s">
        <v>944</v>
      </c>
      <c r="E4348" s="1399">
        <v>2012288.4199999997</v>
      </c>
      <c r="I4348" s="1399">
        <v>2012288.4199999997</v>
      </c>
    </row>
    <row r="4349" spans="2:9">
      <c r="B4349" s="1297"/>
      <c r="C4349" s="1297"/>
      <c r="D4349" s="1297" t="s">
        <v>945</v>
      </c>
      <c r="E4349" s="1399">
        <v>1392565.69</v>
      </c>
      <c r="I4349" s="1399">
        <v>1392565.69</v>
      </c>
    </row>
    <row r="4350" spans="2:9">
      <c r="B4350" s="1297"/>
      <c r="C4350" s="1297"/>
      <c r="D4350" s="1297" t="s">
        <v>946</v>
      </c>
      <c r="E4350" s="1399">
        <v>153434.53</v>
      </c>
      <c r="I4350" s="1399">
        <v>153434.53</v>
      </c>
    </row>
    <row r="4351" spans="2:9">
      <c r="B4351" s="1297"/>
      <c r="C4351" s="1297"/>
      <c r="D4351" s="1297" t="s">
        <v>947</v>
      </c>
      <c r="E4351" s="1399">
        <v>129644.74</v>
      </c>
      <c r="I4351" s="1399">
        <v>129644.74</v>
      </c>
    </row>
    <row r="4352" spans="2:9">
      <c r="B4352" s="1297"/>
      <c r="C4352" s="1297"/>
      <c r="D4352" s="1297" t="s">
        <v>948</v>
      </c>
      <c r="G4352" s="1399">
        <v>4391493.26</v>
      </c>
      <c r="I4352" s="1399">
        <v>4391493.26</v>
      </c>
    </row>
    <row r="4353" spans="2:9">
      <c r="B4353" s="1297"/>
      <c r="C4353" s="1400" t="s">
        <v>1485</v>
      </c>
      <c r="D4353" s="1400"/>
      <c r="E4353" s="1401">
        <v>4834252.5599999996</v>
      </c>
      <c r="F4353" s="1401">
        <v>9622584.7699999996</v>
      </c>
      <c r="G4353" s="1401">
        <v>4391493.26</v>
      </c>
      <c r="H4353" s="1401">
        <v>19750776.149999999</v>
      </c>
      <c r="I4353" s="1401">
        <v>38599106.739999995</v>
      </c>
    </row>
    <row r="4354" spans="2:9">
      <c r="B4354" s="1297" t="s">
        <v>1486</v>
      </c>
      <c r="C4354" s="1297" t="s">
        <v>1487</v>
      </c>
      <c r="D4354" s="1297" t="s">
        <v>906</v>
      </c>
      <c r="F4354" s="1399">
        <v>7566994.3800000008</v>
      </c>
      <c r="I4354" s="1399">
        <v>7566994.3800000008</v>
      </c>
    </row>
    <row r="4355" spans="2:9">
      <c r="B4355" s="1297"/>
      <c r="C4355" s="1297"/>
      <c r="D4355" s="1297" t="s">
        <v>952</v>
      </c>
      <c r="F4355" s="1399">
        <v>77916.149999999994</v>
      </c>
      <c r="I4355" s="1399">
        <v>77916.149999999994</v>
      </c>
    </row>
    <row r="4356" spans="2:9">
      <c r="B4356" s="1297"/>
      <c r="C4356" s="1297"/>
      <c r="D4356" s="1297" t="s">
        <v>907</v>
      </c>
      <c r="F4356" s="1399">
        <v>860973.8</v>
      </c>
      <c r="I4356" s="1399">
        <v>860973.8</v>
      </c>
    </row>
    <row r="4357" spans="2:9">
      <c r="B4357" s="1297"/>
      <c r="C4357" s="1297"/>
      <c r="D4357" s="1297" t="s">
        <v>909</v>
      </c>
      <c r="F4357" s="1399">
        <v>49705.9</v>
      </c>
      <c r="I4357" s="1399">
        <v>49705.9</v>
      </c>
    </row>
    <row r="4358" spans="2:9">
      <c r="B4358" s="1297"/>
      <c r="C4358" s="1297"/>
      <c r="D4358" s="1297" t="s">
        <v>910</v>
      </c>
      <c r="F4358" s="1399">
        <v>236152.63</v>
      </c>
      <c r="I4358" s="1399">
        <v>236152.63</v>
      </c>
    </row>
    <row r="4359" spans="2:9">
      <c r="B4359" s="1297"/>
      <c r="C4359" s="1297"/>
      <c r="D4359" s="1297" t="s">
        <v>1034</v>
      </c>
      <c r="F4359" s="1399">
        <v>28868.1</v>
      </c>
      <c r="I4359" s="1399">
        <v>28868.1</v>
      </c>
    </row>
    <row r="4360" spans="2:9">
      <c r="B4360" s="1297"/>
      <c r="C4360" s="1297"/>
      <c r="D4360" s="1297" t="s">
        <v>1035</v>
      </c>
      <c r="F4360" s="1399">
        <v>633266.1</v>
      </c>
      <c r="I4360" s="1399">
        <v>633266.1</v>
      </c>
    </row>
    <row r="4361" spans="2:9">
      <c r="B4361" s="1297"/>
      <c r="C4361" s="1297"/>
      <c r="D4361" s="1297" t="s">
        <v>1036</v>
      </c>
      <c r="F4361" s="1399">
        <v>179719.45</v>
      </c>
      <c r="I4361" s="1399">
        <v>179719.45</v>
      </c>
    </row>
    <row r="4362" spans="2:9">
      <c r="B4362" s="1297"/>
      <c r="C4362" s="1297"/>
      <c r="D4362" s="1297" t="s">
        <v>1039</v>
      </c>
      <c r="F4362" s="1399">
        <v>11061.79</v>
      </c>
      <c r="I4362" s="1399">
        <v>11061.79</v>
      </c>
    </row>
    <row r="4363" spans="2:9">
      <c r="B4363" s="1297"/>
      <c r="C4363" s="1297"/>
      <c r="D4363" s="1297" t="s">
        <v>1040</v>
      </c>
      <c r="F4363" s="1399">
        <v>354924.99</v>
      </c>
      <c r="I4363" s="1399">
        <v>354924.99</v>
      </c>
    </row>
    <row r="4364" spans="2:9">
      <c r="B4364" s="1297"/>
      <c r="C4364" s="1297"/>
      <c r="D4364" s="1297" t="s">
        <v>1041</v>
      </c>
      <c r="F4364" s="1399">
        <v>2215.65</v>
      </c>
      <c r="I4364" s="1399">
        <v>2215.65</v>
      </c>
    </row>
    <row r="4365" spans="2:9">
      <c r="B4365" s="1297"/>
      <c r="C4365" s="1297"/>
      <c r="D4365" s="1297" t="s">
        <v>1042</v>
      </c>
      <c r="F4365" s="1399">
        <v>29242.35</v>
      </c>
      <c r="I4365" s="1399">
        <v>29242.35</v>
      </c>
    </row>
    <row r="4366" spans="2:9">
      <c r="B4366" s="1297"/>
      <c r="C4366" s="1297"/>
      <c r="D4366" s="1297" t="s">
        <v>1045</v>
      </c>
      <c r="F4366" s="1399">
        <v>112397.94</v>
      </c>
      <c r="I4366" s="1399">
        <v>112397.94</v>
      </c>
    </row>
    <row r="4367" spans="2:9">
      <c r="B4367" s="1297"/>
      <c r="C4367" s="1297"/>
      <c r="D4367" s="1297" t="s">
        <v>1046</v>
      </c>
      <c r="H4367" s="1399">
        <v>16959826</v>
      </c>
      <c r="I4367" s="1399">
        <v>16959826</v>
      </c>
    </row>
    <row r="4368" spans="2:9">
      <c r="B4368" s="1297"/>
      <c r="C4368" s="1297"/>
      <c r="D4368" s="1297" t="s">
        <v>1129</v>
      </c>
      <c r="H4368" s="1399">
        <v>-2179109</v>
      </c>
      <c r="I4368" s="1399">
        <v>-2179109</v>
      </c>
    </row>
    <row r="4369" spans="2:9">
      <c r="B4369" s="1297"/>
      <c r="C4369" s="1297"/>
      <c r="D4369" s="1297" t="s">
        <v>1047</v>
      </c>
      <c r="H4369" s="1399">
        <v>428933</v>
      </c>
      <c r="I4369" s="1399">
        <v>428933</v>
      </c>
    </row>
    <row r="4370" spans="2:9">
      <c r="B4370" s="1297"/>
      <c r="C4370" s="1297"/>
      <c r="D4370" s="1297" t="s">
        <v>1048</v>
      </c>
      <c r="H4370" s="1399">
        <v>-2379175</v>
      </c>
      <c r="I4370" s="1399">
        <v>-2379175</v>
      </c>
    </row>
    <row r="4371" spans="2:9">
      <c r="B4371" s="1297"/>
      <c r="C4371" s="1297"/>
      <c r="D4371" s="1297" t="s">
        <v>932</v>
      </c>
      <c r="H4371" s="1399">
        <v>1238078</v>
      </c>
      <c r="I4371" s="1399">
        <v>1238078</v>
      </c>
    </row>
    <row r="4372" spans="2:9">
      <c r="B4372" s="1297"/>
      <c r="C4372" s="1297"/>
      <c r="D4372" s="1297" t="s">
        <v>955</v>
      </c>
      <c r="H4372" s="1399">
        <v>398725.31</v>
      </c>
      <c r="I4372" s="1399">
        <v>398725.31</v>
      </c>
    </row>
    <row r="4373" spans="2:9">
      <c r="B4373" s="1297"/>
      <c r="C4373" s="1297"/>
      <c r="D4373" s="1297" t="s">
        <v>934</v>
      </c>
      <c r="H4373" s="1399">
        <v>45492</v>
      </c>
      <c r="I4373" s="1399">
        <v>45492</v>
      </c>
    </row>
    <row r="4374" spans="2:9">
      <c r="B4374" s="1297"/>
      <c r="C4374" s="1297"/>
      <c r="D4374" s="1297" t="s">
        <v>935</v>
      </c>
      <c r="H4374" s="1399">
        <v>209951.89</v>
      </c>
      <c r="I4374" s="1399">
        <v>209951.89</v>
      </c>
    </row>
    <row r="4375" spans="2:9">
      <c r="B4375" s="1297"/>
      <c r="C4375" s="1297"/>
      <c r="D4375" s="1297" t="s">
        <v>936</v>
      </c>
      <c r="H4375" s="1399">
        <v>53573.03</v>
      </c>
      <c r="I4375" s="1399">
        <v>53573.03</v>
      </c>
    </row>
    <row r="4376" spans="2:9">
      <c r="B4376" s="1297"/>
      <c r="C4376" s="1297"/>
      <c r="D4376" s="1297" t="s">
        <v>937</v>
      </c>
      <c r="H4376" s="1399">
        <v>22962.28</v>
      </c>
      <c r="I4376" s="1399">
        <v>22962.28</v>
      </c>
    </row>
    <row r="4377" spans="2:9">
      <c r="B4377" s="1297"/>
      <c r="C4377" s="1297"/>
      <c r="D4377" s="1297" t="s">
        <v>938</v>
      </c>
      <c r="H4377" s="1399">
        <v>19652</v>
      </c>
      <c r="I4377" s="1399">
        <v>19652</v>
      </c>
    </row>
    <row r="4378" spans="2:9">
      <c r="B4378" s="1297"/>
      <c r="C4378" s="1297"/>
      <c r="D4378" s="1297" t="s">
        <v>939</v>
      </c>
      <c r="H4378" s="1399">
        <v>84671.56</v>
      </c>
      <c r="I4378" s="1399">
        <v>84671.56</v>
      </c>
    </row>
    <row r="4379" spans="2:9">
      <c r="B4379" s="1297"/>
      <c r="C4379" s="1297"/>
      <c r="D4379" s="1297" t="s">
        <v>940</v>
      </c>
      <c r="E4379" s="1399">
        <v>585170.38</v>
      </c>
      <c r="I4379" s="1399">
        <v>585170.38</v>
      </c>
    </row>
    <row r="4380" spans="2:9">
      <c r="B4380" s="1297"/>
      <c r="C4380" s="1297"/>
      <c r="D4380" s="1297" t="s">
        <v>941</v>
      </c>
      <c r="E4380" s="1399">
        <v>171869.86</v>
      </c>
      <c r="I4380" s="1399">
        <v>171869.86</v>
      </c>
    </row>
    <row r="4381" spans="2:9">
      <c r="B4381" s="1297"/>
      <c r="C4381" s="1297"/>
      <c r="D4381" s="1297" t="s">
        <v>944</v>
      </c>
      <c r="E4381" s="1399">
        <v>1230649.1299999999</v>
      </c>
      <c r="I4381" s="1399">
        <v>1230649.1299999999</v>
      </c>
    </row>
    <row r="4382" spans="2:9">
      <c r="B4382" s="1297"/>
      <c r="C4382" s="1297"/>
      <c r="D4382" s="1297" t="s">
        <v>945</v>
      </c>
      <c r="E4382" s="1399">
        <v>904425.49</v>
      </c>
      <c r="I4382" s="1399">
        <v>904425.49</v>
      </c>
    </row>
    <row r="4383" spans="2:9">
      <c r="B4383" s="1297"/>
      <c r="C4383" s="1297"/>
      <c r="D4383" s="1297" t="s">
        <v>947</v>
      </c>
      <c r="E4383" s="1399">
        <v>95368.86</v>
      </c>
      <c r="I4383" s="1399">
        <v>95368.86</v>
      </c>
    </row>
    <row r="4384" spans="2:9">
      <c r="B4384" s="1297"/>
      <c r="C4384" s="1297"/>
      <c r="D4384" s="1297" t="s">
        <v>948</v>
      </c>
      <c r="G4384" s="1399">
        <v>3053540.72</v>
      </c>
      <c r="I4384" s="1399">
        <v>3053540.72</v>
      </c>
    </row>
    <row r="4385" spans="2:9">
      <c r="B4385" s="1297"/>
      <c r="C4385" s="1297"/>
      <c r="D4385" s="1297" t="s">
        <v>1118</v>
      </c>
      <c r="G4385" s="1399">
        <v>0</v>
      </c>
      <c r="I4385" s="1399">
        <v>0</v>
      </c>
    </row>
    <row r="4386" spans="2:9">
      <c r="B4386" s="1297"/>
      <c r="C4386" s="1400" t="s">
        <v>1488</v>
      </c>
      <c r="D4386" s="1400"/>
      <c r="E4386" s="1401">
        <v>2987483.7199999997</v>
      </c>
      <c r="F4386" s="1401">
        <v>10143439.23</v>
      </c>
      <c r="G4386" s="1401">
        <v>3053540.72</v>
      </c>
      <c r="H4386" s="1401">
        <v>14903581.07</v>
      </c>
      <c r="I4386" s="1401">
        <v>31088044.739999995</v>
      </c>
    </row>
    <row r="4387" spans="2:9">
      <c r="B4387" s="1297" t="s">
        <v>1489</v>
      </c>
      <c r="C4387" s="1297" t="s">
        <v>1490</v>
      </c>
      <c r="D4387" s="1297" t="s">
        <v>906</v>
      </c>
      <c r="F4387" s="1399">
        <v>13461314.66</v>
      </c>
      <c r="I4387" s="1399">
        <v>13461314.66</v>
      </c>
    </row>
    <row r="4388" spans="2:9">
      <c r="B4388" s="1297"/>
      <c r="C4388" s="1297"/>
      <c r="D4388" s="1297" t="s">
        <v>952</v>
      </c>
      <c r="F4388" s="1399">
        <v>116876.44</v>
      </c>
      <c r="I4388" s="1399">
        <v>116876.44</v>
      </c>
    </row>
    <row r="4389" spans="2:9">
      <c r="B4389" s="1297"/>
      <c r="C4389" s="1297"/>
      <c r="D4389" s="1297" t="s">
        <v>907</v>
      </c>
      <c r="F4389" s="1399">
        <v>3980639.36</v>
      </c>
      <c r="I4389" s="1399">
        <v>3980639.36</v>
      </c>
    </row>
    <row r="4390" spans="2:9">
      <c r="B4390" s="1297"/>
      <c r="C4390" s="1297"/>
      <c r="D4390" s="1297" t="s">
        <v>908</v>
      </c>
      <c r="F4390" s="1399">
        <v>40490.519999999997</v>
      </c>
      <c r="I4390" s="1399">
        <v>40490.519999999997</v>
      </c>
    </row>
    <row r="4391" spans="2:9">
      <c r="B4391" s="1297"/>
      <c r="C4391" s="1297"/>
      <c r="D4391" s="1297" t="s">
        <v>1037</v>
      </c>
      <c r="F4391" s="1399">
        <v>9031</v>
      </c>
      <c r="I4391" s="1399">
        <v>9031</v>
      </c>
    </row>
    <row r="4392" spans="2:9">
      <c r="B4392" s="1297"/>
      <c r="C4392" s="1297"/>
      <c r="D4392" s="1297" t="s">
        <v>1039</v>
      </c>
      <c r="F4392" s="1399">
        <v>23702.800000000003</v>
      </c>
      <c r="I4392" s="1399">
        <v>23702.800000000003</v>
      </c>
    </row>
    <row r="4393" spans="2:9">
      <c r="B4393" s="1297"/>
      <c r="C4393" s="1297"/>
      <c r="D4393" s="1297" t="s">
        <v>1040</v>
      </c>
      <c r="F4393" s="1399">
        <v>325992.67999999993</v>
      </c>
      <c r="I4393" s="1399">
        <v>325992.67999999993</v>
      </c>
    </row>
    <row r="4394" spans="2:9">
      <c r="B4394" s="1297"/>
      <c r="C4394" s="1297"/>
      <c r="D4394" s="1297" t="s">
        <v>1127</v>
      </c>
      <c r="F4394" s="1399">
        <v>68546.599999999991</v>
      </c>
      <c r="I4394" s="1399">
        <v>68546.599999999991</v>
      </c>
    </row>
    <row r="4395" spans="2:9">
      <c r="B4395" s="1297"/>
      <c r="C4395" s="1297"/>
      <c r="D4395" s="1297" t="s">
        <v>1041</v>
      </c>
      <c r="F4395" s="1399">
        <v>22753.379999999997</v>
      </c>
      <c r="I4395" s="1399">
        <v>22753.379999999997</v>
      </c>
    </row>
    <row r="4396" spans="2:9">
      <c r="B4396" s="1297"/>
      <c r="C4396" s="1297"/>
      <c r="D4396" s="1297" t="s">
        <v>1042</v>
      </c>
      <c r="F4396" s="1399">
        <v>37222.6</v>
      </c>
      <c r="I4396" s="1399">
        <v>37222.6</v>
      </c>
    </row>
    <row r="4397" spans="2:9">
      <c r="B4397" s="1297"/>
      <c r="C4397" s="1297"/>
      <c r="D4397" s="1297" t="s">
        <v>954</v>
      </c>
      <c r="F4397" s="1399">
        <v>1976726.35</v>
      </c>
      <c r="I4397" s="1399">
        <v>1976726.35</v>
      </c>
    </row>
    <row r="4398" spans="2:9">
      <c r="B4398" s="1297"/>
      <c r="C4398" s="1297"/>
      <c r="D4398" s="1297" t="s">
        <v>986</v>
      </c>
      <c r="F4398" s="1399">
        <v>189950</v>
      </c>
      <c r="I4398" s="1399">
        <v>189950</v>
      </c>
    </row>
    <row r="4399" spans="2:9">
      <c r="B4399" s="1297"/>
      <c r="C4399" s="1297"/>
      <c r="D4399" s="1297" t="s">
        <v>991</v>
      </c>
      <c r="F4399" s="1399">
        <v>26155.69</v>
      </c>
      <c r="I4399" s="1399">
        <v>26155.69</v>
      </c>
    </row>
    <row r="4400" spans="2:9">
      <c r="B4400" s="1297"/>
      <c r="C4400" s="1297"/>
      <c r="D4400" s="1297" t="s">
        <v>1044</v>
      </c>
      <c r="F4400" s="1399">
        <v>19654.900000000001</v>
      </c>
      <c r="I4400" s="1399">
        <v>19654.900000000001</v>
      </c>
    </row>
    <row r="4401" spans="2:9">
      <c r="B4401" s="1297"/>
      <c r="C4401" s="1297"/>
      <c r="D4401" s="1297" t="s">
        <v>1045</v>
      </c>
      <c r="F4401" s="1399">
        <v>204669.27</v>
      </c>
      <c r="I4401" s="1399">
        <v>204669.27</v>
      </c>
    </row>
    <row r="4402" spans="2:9">
      <c r="B4402" s="1297"/>
      <c r="C4402" s="1297"/>
      <c r="D4402" s="1297" t="s">
        <v>1046</v>
      </c>
      <c r="H4402" s="1399">
        <v>38924528</v>
      </c>
      <c r="I4402" s="1399">
        <v>38924528</v>
      </c>
    </row>
    <row r="4403" spans="2:9">
      <c r="B4403" s="1297"/>
      <c r="C4403" s="1297"/>
      <c r="D4403" s="1297" t="s">
        <v>1128</v>
      </c>
      <c r="H4403" s="1399">
        <v>3254275</v>
      </c>
      <c r="I4403" s="1399">
        <v>3254275</v>
      </c>
    </row>
    <row r="4404" spans="2:9">
      <c r="B4404" s="1297"/>
      <c r="C4404" s="1297"/>
      <c r="D4404" s="1297" t="s">
        <v>1129</v>
      </c>
      <c r="H4404" s="1399">
        <v>-5536380</v>
      </c>
      <c r="I4404" s="1399">
        <v>-5536380</v>
      </c>
    </row>
    <row r="4405" spans="2:9">
      <c r="B4405" s="1297"/>
      <c r="C4405" s="1297"/>
      <c r="D4405" s="1297" t="s">
        <v>1047</v>
      </c>
      <c r="H4405" s="1399">
        <v>930419</v>
      </c>
      <c r="I4405" s="1399">
        <v>930419</v>
      </c>
    </row>
    <row r="4406" spans="2:9">
      <c r="B4406" s="1297"/>
      <c r="C4406" s="1297"/>
      <c r="D4406" s="1297" t="s">
        <v>1048</v>
      </c>
      <c r="H4406" s="1399">
        <v>-4302218</v>
      </c>
      <c r="I4406" s="1399">
        <v>-4302218</v>
      </c>
    </row>
    <row r="4407" spans="2:9">
      <c r="B4407" s="1297"/>
      <c r="C4407" s="1297"/>
      <c r="D4407" s="1297" t="s">
        <v>932</v>
      </c>
      <c r="H4407" s="1399">
        <v>5041825</v>
      </c>
      <c r="I4407" s="1399">
        <v>5041825</v>
      </c>
    </row>
    <row r="4408" spans="2:9">
      <c r="B4408" s="1297"/>
      <c r="C4408" s="1297"/>
      <c r="D4408" s="1297" t="s">
        <v>955</v>
      </c>
      <c r="H4408" s="1399">
        <v>1281598.6599999999</v>
      </c>
      <c r="I4408" s="1399">
        <v>1281598.6599999999</v>
      </c>
    </row>
    <row r="4409" spans="2:9">
      <c r="B4409" s="1297"/>
      <c r="C4409" s="1297"/>
      <c r="D4409" s="1297" t="s">
        <v>934</v>
      </c>
      <c r="H4409" s="1399">
        <v>115036</v>
      </c>
      <c r="I4409" s="1399">
        <v>115036</v>
      </c>
    </row>
    <row r="4410" spans="2:9">
      <c r="B4410" s="1297"/>
      <c r="C4410" s="1297"/>
      <c r="D4410" s="1297" t="s">
        <v>1130</v>
      </c>
      <c r="H4410" s="1399">
        <v>42279.51</v>
      </c>
      <c r="I4410" s="1399">
        <v>42279.51</v>
      </c>
    </row>
    <row r="4411" spans="2:9">
      <c r="B4411" s="1297"/>
      <c r="C4411" s="1297"/>
      <c r="D4411" s="1297" t="s">
        <v>935</v>
      </c>
      <c r="H4411" s="1399">
        <v>893755.31</v>
      </c>
      <c r="I4411" s="1399">
        <v>893755.31</v>
      </c>
    </row>
    <row r="4412" spans="2:9">
      <c r="B4412" s="1297"/>
      <c r="C4412" s="1297"/>
      <c r="D4412" s="1297" t="s">
        <v>936</v>
      </c>
      <c r="H4412" s="1399">
        <v>98042.15</v>
      </c>
      <c r="I4412" s="1399">
        <v>98042.15</v>
      </c>
    </row>
    <row r="4413" spans="2:9">
      <c r="B4413" s="1297"/>
      <c r="C4413" s="1297"/>
      <c r="D4413" s="1297" t="s">
        <v>937</v>
      </c>
      <c r="H4413" s="1399">
        <v>42127.13</v>
      </c>
      <c r="I4413" s="1399">
        <v>42127.13</v>
      </c>
    </row>
    <row r="4414" spans="2:9">
      <c r="B4414" s="1297"/>
      <c r="C4414" s="1297"/>
      <c r="D4414" s="1297" t="s">
        <v>938</v>
      </c>
      <c r="H4414" s="1399">
        <v>30694</v>
      </c>
      <c r="I4414" s="1399">
        <v>30694</v>
      </c>
    </row>
    <row r="4415" spans="2:9">
      <c r="B4415" s="1297"/>
      <c r="C4415" s="1297"/>
      <c r="D4415" s="1297" t="s">
        <v>940</v>
      </c>
      <c r="E4415" s="1399">
        <v>1825991.84</v>
      </c>
      <c r="I4415" s="1399">
        <v>1825991.84</v>
      </c>
    </row>
    <row r="4416" spans="2:9">
      <c r="B4416" s="1297"/>
      <c r="C4416" s="1297"/>
      <c r="D4416" s="1297" t="s">
        <v>941</v>
      </c>
      <c r="E4416" s="1399">
        <v>624613.79999999993</v>
      </c>
      <c r="I4416" s="1399">
        <v>624613.79999999993</v>
      </c>
    </row>
    <row r="4417" spans="2:9">
      <c r="B4417" s="1297"/>
      <c r="C4417" s="1297"/>
      <c r="D4417" s="1297" t="s">
        <v>943</v>
      </c>
      <c r="E4417" s="1399">
        <v>10824.720000000003</v>
      </c>
      <c r="I4417" s="1399">
        <v>10824.720000000003</v>
      </c>
    </row>
    <row r="4418" spans="2:9">
      <c r="B4418" s="1297"/>
      <c r="C4418" s="1297"/>
      <c r="D4418" s="1297" t="s">
        <v>944</v>
      </c>
      <c r="E4418" s="1399">
        <v>5294627.8</v>
      </c>
      <c r="I4418" s="1399">
        <v>5294627.8</v>
      </c>
    </row>
    <row r="4419" spans="2:9">
      <c r="B4419" s="1297"/>
      <c r="C4419" s="1297"/>
      <c r="D4419" s="1297" t="s">
        <v>945</v>
      </c>
      <c r="E4419" s="1399">
        <v>2870219.0900000003</v>
      </c>
      <c r="I4419" s="1399">
        <v>2870219.0900000003</v>
      </c>
    </row>
    <row r="4420" spans="2:9">
      <c r="B4420" s="1297"/>
      <c r="C4420" s="1297"/>
      <c r="D4420" s="1297" t="s">
        <v>946</v>
      </c>
      <c r="E4420" s="1399">
        <v>14749.36</v>
      </c>
      <c r="I4420" s="1399">
        <v>14749.36</v>
      </c>
    </row>
    <row r="4421" spans="2:9">
      <c r="B4421" s="1297"/>
      <c r="C4421" s="1297"/>
      <c r="D4421" s="1297" t="s">
        <v>947</v>
      </c>
      <c r="E4421" s="1399">
        <v>145029.32</v>
      </c>
      <c r="I4421" s="1399">
        <v>145029.32</v>
      </c>
    </row>
    <row r="4422" spans="2:9">
      <c r="B4422" s="1297"/>
      <c r="C4422" s="1297"/>
      <c r="D4422" s="1297" t="s">
        <v>1115</v>
      </c>
      <c r="E4422" s="1399">
        <v>4259.24</v>
      </c>
      <c r="I4422" s="1399">
        <v>4259.24</v>
      </c>
    </row>
    <row r="4423" spans="2:9">
      <c r="B4423" s="1297"/>
      <c r="C4423" s="1297"/>
      <c r="D4423" s="1297" t="s">
        <v>948</v>
      </c>
      <c r="G4423" s="1399">
        <v>2234954.67</v>
      </c>
      <c r="I4423" s="1399">
        <v>2234954.67</v>
      </c>
    </row>
    <row r="4424" spans="2:9">
      <c r="B4424" s="1297"/>
      <c r="C4424" s="1297"/>
      <c r="D4424" s="1297" t="s">
        <v>956</v>
      </c>
      <c r="G4424" s="1399">
        <v>8075</v>
      </c>
      <c r="I4424" s="1399">
        <v>8075</v>
      </c>
    </row>
    <row r="4425" spans="2:9">
      <c r="B4425" s="1297"/>
      <c r="C4425" s="1400" t="s">
        <v>1491</v>
      </c>
      <c r="D4425" s="1400"/>
      <c r="E4425" s="1401">
        <v>10790315.17</v>
      </c>
      <c r="F4425" s="1401">
        <v>20503726.250000004</v>
      </c>
      <c r="G4425" s="1401">
        <v>2243029.67</v>
      </c>
      <c r="H4425" s="1401">
        <v>40815981.759999998</v>
      </c>
      <c r="I4425" s="1401">
        <v>74353052.849999994</v>
      </c>
    </row>
    <row r="4426" spans="2:9">
      <c r="B4426" s="1297" t="s">
        <v>1492</v>
      </c>
      <c r="C4426" s="1297" t="s">
        <v>1493</v>
      </c>
      <c r="D4426" s="1297" t="s">
        <v>906</v>
      </c>
      <c r="F4426" s="1399">
        <v>3179807.46</v>
      </c>
      <c r="I4426" s="1399">
        <v>3179807.46</v>
      </c>
    </row>
    <row r="4427" spans="2:9">
      <c r="B4427" s="1297"/>
      <c r="C4427" s="1297"/>
      <c r="D4427" s="1297" t="s">
        <v>952</v>
      </c>
      <c r="F4427" s="1399">
        <v>31509.49</v>
      </c>
      <c r="I4427" s="1399">
        <v>31509.49</v>
      </c>
    </row>
    <row r="4428" spans="2:9">
      <c r="B4428" s="1297"/>
      <c r="C4428" s="1297"/>
      <c r="D4428" s="1297" t="s">
        <v>907</v>
      </c>
      <c r="F4428" s="1399">
        <v>913603.98</v>
      </c>
      <c r="I4428" s="1399">
        <v>913603.98</v>
      </c>
    </row>
    <row r="4429" spans="2:9">
      <c r="B4429" s="1297"/>
      <c r="C4429" s="1297"/>
      <c r="D4429" s="1297" t="s">
        <v>909</v>
      </c>
      <c r="F4429" s="1399">
        <v>66679.760000000009</v>
      </c>
      <c r="I4429" s="1399">
        <v>66679.760000000009</v>
      </c>
    </row>
    <row r="4430" spans="2:9">
      <c r="B4430" s="1297"/>
      <c r="C4430" s="1297"/>
      <c r="D4430" s="1297" t="s">
        <v>910</v>
      </c>
      <c r="F4430" s="1399">
        <v>34521.69</v>
      </c>
      <c r="I4430" s="1399">
        <v>34521.69</v>
      </c>
    </row>
    <row r="4431" spans="2:9">
      <c r="B4431" s="1297"/>
      <c r="C4431" s="1297"/>
      <c r="D4431" s="1297" t="s">
        <v>1034</v>
      </c>
      <c r="F4431" s="1399">
        <v>26933.919999999998</v>
      </c>
      <c r="I4431" s="1399">
        <v>26933.919999999998</v>
      </c>
    </row>
    <row r="4432" spans="2:9">
      <c r="B4432" s="1297"/>
      <c r="C4432" s="1297"/>
      <c r="D4432" s="1297" t="s">
        <v>1035</v>
      </c>
      <c r="F4432" s="1399">
        <v>136196.72</v>
      </c>
      <c r="I4432" s="1399">
        <v>136196.72</v>
      </c>
    </row>
    <row r="4433" spans="2:9">
      <c r="B4433" s="1297"/>
      <c r="C4433" s="1297"/>
      <c r="D4433" s="1297" t="s">
        <v>1036</v>
      </c>
      <c r="F4433" s="1399">
        <v>69362.179999999993</v>
      </c>
      <c r="I4433" s="1399">
        <v>69362.179999999993</v>
      </c>
    </row>
    <row r="4434" spans="2:9">
      <c r="B4434" s="1297"/>
      <c r="C4434" s="1297"/>
      <c r="D4434" s="1297" t="s">
        <v>1039</v>
      </c>
      <c r="F4434" s="1399">
        <v>35325.819999999992</v>
      </c>
      <c r="I4434" s="1399">
        <v>35325.819999999992</v>
      </c>
    </row>
    <row r="4435" spans="2:9">
      <c r="B4435" s="1297"/>
      <c r="C4435" s="1297"/>
      <c r="D4435" s="1297" t="s">
        <v>1040</v>
      </c>
      <c r="F4435" s="1399">
        <v>87932.31</v>
      </c>
      <c r="I4435" s="1399">
        <v>87932.31</v>
      </c>
    </row>
    <row r="4436" spans="2:9">
      <c r="B4436" s="1297"/>
      <c r="C4436" s="1297"/>
      <c r="D4436" s="1297" t="s">
        <v>1041</v>
      </c>
      <c r="F4436" s="1399">
        <v>3947.38</v>
      </c>
      <c r="I4436" s="1399">
        <v>3947.38</v>
      </c>
    </row>
    <row r="4437" spans="2:9">
      <c r="B4437" s="1297"/>
      <c r="C4437" s="1297"/>
      <c r="D4437" s="1297" t="s">
        <v>1042</v>
      </c>
      <c r="F4437" s="1399">
        <v>24642</v>
      </c>
      <c r="I4437" s="1399">
        <v>24642</v>
      </c>
    </row>
    <row r="4438" spans="2:9">
      <c r="B4438" s="1297"/>
      <c r="C4438" s="1297"/>
      <c r="D4438" s="1297" t="s">
        <v>1044</v>
      </c>
      <c r="F4438" s="1399">
        <v>90214.87</v>
      </c>
      <c r="I4438" s="1399">
        <v>90214.87</v>
      </c>
    </row>
    <row r="4439" spans="2:9">
      <c r="B4439" s="1297"/>
      <c r="C4439" s="1297"/>
      <c r="D4439" s="1297" t="s">
        <v>1045</v>
      </c>
      <c r="F4439" s="1399">
        <v>212528.8</v>
      </c>
      <c r="I4439" s="1399">
        <v>212528.8</v>
      </c>
    </row>
    <row r="4440" spans="2:9">
      <c r="B4440" s="1297"/>
      <c r="C4440" s="1297"/>
      <c r="D4440" s="1297" t="s">
        <v>1046</v>
      </c>
      <c r="H4440" s="1399">
        <v>7109019</v>
      </c>
      <c r="I4440" s="1399">
        <v>7109019</v>
      </c>
    </row>
    <row r="4441" spans="2:9">
      <c r="B4441" s="1297"/>
      <c r="C4441" s="1297"/>
      <c r="D4441" s="1297" t="s">
        <v>1128</v>
      </c>
      <c r="H4441" s="1399">
        <v>572948</v>
      </c>
      <c r="I4441" s="1399">
        <v>572948</v>
      </c>
    </row>
    <row r="4442" spans="2:9">
      <c r="B4442" s="1297"/>
      <c r="C4442" s="1297"/>
      <c r="D4442" s="1297" t="s">
        <v>1047</v>
      </c>
      <c r="H4442" s="1399">
        <v>277101</v>
      </c>
      <c r="I4442" s="1399">
        <v>277101</v>
      </c>
    </row>
    <row r="4443" spans="2:9">
      <c r="B4443" s="1297"/>
      <c r="C4443" s="1297"/>
      <c r="D4443" s="1297" t="s">
        <v>1048</v>
      </c>
      <c r="H4443" s="1399">
        <v>-1041936</v>
      </c>
      <c r="I4443" s="1399">
        <v>-1041936</v>
      </c>
    </row>
    <row r="4444" spans="2:9">
      <c r="B4444" s="1297"/>
      <c r="C4444" s="1297"/>
      <c r="D4444" s="1297" t="s">
        <v>932</v>
      </c>
      <c r="H4444" s="1399">
        <v>562230</v>
      </c>
      <c r="I4444" s="1399">
        <v>562230</v>
      </c>
    </row>
    <row r="4445" spans="2:9">
      <c r="B4445" s="1297"/>
      <c r="C4445" s="1297"/>
      <c r="D4445" s="1297" t="s">
        <v>955</v>
      </c>
      <c r="H4445" s="1399">
        <v>446935.55</v>
      </c>
      <c r="I4445" s="1399">
        <v>446935.55</v>
      </c>
    </row>
    <row r="4446" spans="2:9">
      <c r="B4446" s="1297"/>
      <c r="C4446" s="1297"/>
      <c r="D4446" s="1297" t="s">
        <v>934</v>
      </c>
      <c r="H4446" s="1399">
        <v>25918</v>
      </c>
      <c r="I4446" s="1399">
        <v>25918</v>
      </c>
    </row>
    <row r="4447" spans="2:9">
      <c r="B4447" s="1297"/>
      <c r="C4447" s="1297"/>
      <c r="D4447" s="1297" t="s">
        <v>935</v>
      </c>
      <c r="H4447" s="1399">
        <v>43038.66</v>
      </c>
      <c r="I4447" s="1399">
        <v>43038.66</v>
      </c>
    </row>
    <row r="4448" spans="2:9">
      <c r="B4448" s="1297"/>
      <c r="C4448" s="1297"/>
      <c r="D4448" s="1297" t="s">
        <v>936</v>
      </c>
      <c r="H4448" s="1399">
        <v>23810.240000000002</v>
      </c>
      <c r="I4448" s="1399">
        <v>23810.240000000002</v>
      </c>
    </row>
    <row r="4449" spans="2:9">
      <c r="B4449" s="1297"/>
      <c r="C4449" s="1297"/>
      <c r="D4449" s="1297" t="s">
        <v>938</v>
      </c>
      <c r="H4449" s="1399">
        <v>9171</v>
      </c>
      <c r="I4449" s="1399">
        <v>9171</v>
      </c>
    </row>
    <row r="4450" spans="2:9">
      <c r="B4450" s="1297"/>
      <c r="C4450" s="1297"/>
      <c r="D4450" s="1297" t="s">
        <v>939</v>
      </c>
      <c r="H4450" s="1399">
        <v>47052.69</v>
      </c>
      <c r="I4450" s="1399">
        <v>47052.69</v>
      </c>
    </row>
    <row r="4451" spans="2:9">
      <c r="B4451" s="1297"/>
      <c r="C4451" s="1297"/>
      <c r="D4451" s="1297" t="s">
        <v>940</v>
      </c>
      <c r="E4451" s="1399">
        <v>401945.86</v>
      </c>
      <c r="I4451" s="1399">
        <v>401945.86</v>
      </c>
    </row>
    <row r="4452" spans="2:9">
      <c r="B4452" s="1297"/>
      <c r="C4452" s="1297"/>
      <c r="D4452" s="1297" t="s">
        <v>941</v>
      </c>
      <c r="E4452" s="1399">
        <v>153869.48000000001</v>
      </c>
      <c r="I4452" s="1399">
        <v>153869.48000000001</v>
      </c>
    </row>
    <row r="4453" spans="2:9">
      <c r="B4453" s="1297"/>
      <c r="C4453" s="1297"/>
      <c r="D4453" s="1297" t="s">
        <v>943</v>
      </c>
      <c r="E4453" s="1399">
        <v>9110.14</v>
      </c>
      <c r="I4453" s="1399">
        <v>9110.14</v>
      </c>
    </row>
    <row r="4454" spans="2:9">
      <c r="B4454" s="1297"/>
      <c r="C4454" s="1297"/>
      <c r="D4454" s="1297" t="s">
        <v>944</v>
      </c>
      <c r="E4454" s="1399">
        <v>1512054.17</v>
      </c>
      <c r="I4454" s="1399">
        <v>1512054.17</v>
      </c>
    </row>
    <row r="4455" spans="2:9">
      <c r="B4455" s="1297"/>
      <c r="C4455" s="1297"/>
      <c r="D4455" s="1297" t="s">
        <v>945</v>
      </c>
      <c r="E4455" s="1399">
        <v>1517882.78</v>
      </c>
      <c r="I4455" s="1399">
        <v>1517882.78</v>
      </c>
    </row>
    <row r="4456" spans="2:9">
      <c r="B4456" s="1297"/>
      <c r="C4456" s="1297"/>
      <c r="D4456" s="1297" t="s">
        <v>947</v>
      </c>
      <c r="E4456" s="1399">
        <v>64808.43</v>
      </c>
      <c r="I4456" s="1399">
        <v>64808.43</v>
      </c>
    </row>
    <row r="4457" spans="2:9">
      <c r="B4457" s="1297"/>
      <c r="C4457" s="1297"/>
      <c r="D4457" s="1297" t="s">
        <v>948</v>
      </c>
      <c r="G4457" s="1399">
        <v>1393540.9000000001</v>
      </c>
      <c r="I4457" s="1399">
        <v>1393540.9000000001</v>
      </c>
    </row>
    <row r="4458" spans="2:9">
      <c r="B4458" s="1297"/>
      <c r="C4458" s="1297"/>
      <c r="D4458" s="1297" t="s">
        <v>956</v>
      </c>
      <c r="G4458" s="1399">
        <v>41651.870000000003</v>
      </c>
      <c r="I4458" s="1399">
        <v>41651.870000000003</v>
      </c>
    </row>
    <row r="4459" spans="2:9">
      <c r="B4459" s="1297"/>
      <c r="C4459" s="1400" t="s">
        <v>1494</v>
      </c>
      <c r="D4459" s="1400"/>
      <c r="E4459" s="1401">
        <v>3659670.86</v>
      </c>
      <c r="F4459" s="1401">
        <v>4913206.38</v>
      </c>
      <c r="G4459" s="1401">
        <v>1435192.7700000003</v>
      </c>
      <c r="H4459" s="1401">
        <v>8075288.1400000006</v>
      </c>
      <c r="I4459" s="1401">
        <v>18083358.149999999</v>
      </c>
    </row>
    <row r="4460" spans="2:9">
      <c r="B4460" s="1297" t="s">
        <v>1495</v>
      </c>
      <c r="C4460" s="1297" t="s">
        <v>1496</v>
      </c>
      <c r="D4460" s="1297" t="s">
        <v>906</v>
      </c>
      <c r="F4460" s="1399">
        <v>16290518.720000001</v>
      </c>
      <c r="I4460" s="1399">
        <v>16290518.720000001</v>
      </c>
    </row>
    <row r="4461" spans="2:9">
      <c r="B4461" s="1297"/>
      <c r="C4461" s="1297"/>
      <c r="D4461" s="1297" t="s">
        <v>952</v>
      </c>
      <c r="F4461" s="1399">
        <v>292829.63</v>
      </c>
      <c r="I4461" s="1399">
        <v>292829.63</v>
      </c>
    </row>
    <row r="4462" spans="2:9">
      <c r="B4462" s="1297"/>
      <c r="C4462" s="1297"/>
      <c r="D4462" s="1297" t="s">
        <v>907</v>
      </c>
      <c r="F4462" s="1399">
        <v>4324840.42</v>
      </c>
      <c r="I4462" s="1399">
        <v>4324840.42</v>
      </c>
    </row>
    <row r="4463" spans="2:9">
      <c r="B4463" s="1297"/>
      <c r="C4463" s="1297"/>
      <c r="D4463" s="1297" t="s">
        <v>1034</v>
      </c>
      <c r="F4463" s="1399">
        <v>2105</v>
      </c>
      <c r="I4463" s="1399">
        <v>2105</v>
      </c>
    </row>
    <row r="4464" spans="2:9">
      <c r="B4464" s="1297"/>
      <c r="C4464" s="1297"/>
      <c r="D4464" s="1297" t="s">
        <v>1037</v>
      </c>
      <c r="F4464" s="1399">
        <v>14050</v>
      </c>
      <c r="I4464" s="1399">
        <v>14050</v>
      </c>
    </row>
    <row r="4465" spans="2:9">
      <c r="B4465" s="1297"/>
      <c r="C4465" s="1297"/>
      <c r="D4465" s="1297" t="s">
        <v>1038</v>
      </c>
      <c r="F4465" s="1399">
        <v>4800</v>
      </c>
      <c r="I4465" s="1399">
        <v>4800</v>
      </c>
    </row>
    <row r="4466" spans="2:9">
      <c r="B4466" s="1297"/>
      <c r="C4466" s="1297"/>
      <c r="D4466" s="1297" t="s">
        <v>1039</v>
      </c>
      <c r="F4466" s="1399">
        <v>39414.389999999992</v>
      </c>
      <c r="I4466" s="1399">
        <v>39414.389999999992</v>
      </c>
    </row>
    <row r="4467" spans="2:9">
      <c r="B4467" s="1297"/>
      <c r="C4467" s="1297"/>
      <c r="D4467" s="1297" t="s">
        <v>1040</v>
      </c>
      <c r="F4467" s="1399">
        <v>117294.81</v>
      </c>
      <c r="I4467" s="1399">
        <v>117294.81</v>
      </c>
    </row>
    <row r="4468" spans="2:9">
      <c r="B4468" s="1297"/>
      <c r="C4468" s="1297"/>
      <c r="D4468" s="1297" t="s">
        <v>1041</v>
      </c>
      <c r="F4468" s="1399">
        <v>62122.020000000004</v>
      </c>
      <c r="I4468" s="1399">
        <v>62122.020000000004</v>
      </c>
    </row>
    <row r="4469" spans="2:9">
      <c r="B4469" s="1297"/>
      <c r="C4469" s="1297"/>
      <c r="D4469" s="1297" t="s">
        <v>1042</v>
      </c>
      <c r="F4469" s="1399">
        <v>49758.45</v>
      </c>
      <c r="I4469" s="1399">
        <v>49758.45</v>
      </c>
    </row>
    <row r="4470" spans="2:9">
      <c r="B4470" s="1297"/>
      <c r="C4470" s="1297"/>
      <c r="D4470" s="1297" t="s">
        <v>954</v>
      </c>
      <c r="F4470" s="1399">
        <v>772540.02</v>
      </c>
      <c r="I4470" s="1399">
        <v>772540.02</v>
      </c>
    </row>
    <row r="4471" spans="2:9">
      <c r="B4471" s="1297"/>
      <c r="C4471" s="1297"/>
      <c r="D4471" s="1297" t="s">
        <v>986</v>
      </c>
      <c r="F4471" s="1399">
        <v>-873.78</v>
      </c>
      <c r="I4471" s="1399">
        <v>-873.78</v>
      </c>
    </row>
    <row r="4472" spans="2:9">
      <c r="B4472" s="1297"/>
      <c r="C4472" s="1297"/>
      <c r="D4472" s="1297" t="s">
        <v>1044</v>
      </c>
      <c r="F4472" s="1399">
        <v>32737.5</v>
      </c>
      <c r="I4472" s="1399">
        <v>32737.5</v>
      </c>
    </row>
    <row r="4473" spans="2:9">
      <c r="B4473" s="1297"/>
      <c r="C4473" s="1297"/>
      <c r="D4473" s="1297" t="s">
        <v>1045</v>
      </c>
      <c r="F4473" s="1399">
        <v>682536.8</v>
      </c>
      <c r="I4473" s="1399">
        <v>682536.8</v>
      </c>
    </row>
    <row r="4474" spans="2:9">
      <c r="B4474" s="1297"/>
      <c r="C4474" s="1297"/>
      <c r="D4474" s="1297" t="s">
        <v>1046</v>
      </c>
      <c r="H4474" s="1399">
        <v>15244768</v>
      </c>
      <c r="I4474" s="1399">
        <v>15244768</v>
      </c>
    </row>
    <row r="4475" spans="2:9">
      <c r="B4475" s="1297"/>
      <c r="C4475" s="1297"/>
      <c r="D4475" s="1297" t="s">
        <v>1128</v>
      </c>
      <c r="H4475" s="1399">
        <v>1167545</v>
      </c>
      <c r="I4475" s="1399">
        <v>1167545</v>
      </c>
    </row>
    <row r="4476" spans="2:9">
      <c r="B4476" s="1297"/>
      <c r="C4476" s="1297"/>
      <c r="D4476" s="1297" t="s">
        <v>1129</v>
      </c>
      <c r="H4476" s="1399">
        <v>-1344051</v>
      </c>
      <c r="I4476" s="1399">
        <v>-1344051</v>
      </c>
    </row>
    <row r="4477" spans="2:9">
      <c r="B4477" s="1297"/>
      <c r="C4477" s="1297"/>
      <c r="D4477" s="1297" t="s">
        <v>1047</v>
      </c>
      <c r="H4477" s="1399">
        <v>406315</v>
      </c>
      <c r="I4477" s="1399">
        <v>406315</v>
      </c>
    </row>
    <row r="4478" spans="2:9">
      <c r="B4478" s="1297"/>
      <c r="C4478" s="1297"/>
      <c r="D4478" s="1297" t="s">
        <v>1048</v>
      </c>
      <c r="H4478" s="1399">
        <v>-7014086</v>
      </c>
      <c r="I4478" s="1399">
        <v>-7014086</v>
      </c>
    </row>
    <row r="4479" spans="2:9">
      <c r="B4479" s="1297"/>
      <c r="C4479" s="1297"/>
      <c r="D4479" s="1297" t="s">
        <v>955</v>
      </c>
      <c r="H4479" s="1399">
        <v>760873.19</v>
      </c>
      <c r="I4479" s="1399">
        <v>760873.19</v>
      </c>
    </row>
    <row r="4480" spans="2:9">
      <c r="B4480" s="1297"/>
      <c r="C4480" s="1297"/>
      <c r="D4480" s="1297" t="s">
        <v>934</v>
      </c>
      <c r="H4480" s="1399">
        <v>47698</v>
      </c>
      <c r="I4480" s="1399">
        <v>47698</v>
      </c>
    </row>
    <row r="4481" spans="2:9">
      <c r="B4481" s="1297"/>
      <c r="C4481" s="1297"/>
      <c r="D4481" s="1297" t="s">
        <v>935</v>
      </c>
      <c r="H4481" s="1399">
        <v>400597.05999999994</v>
      </c>
      <c r="I4481" s="1399">
        <v>400597.05999999994</v>
      </c>
    </row>
    <row r="4482" spans="2:9">
      <c r="B4482" s="1297"/>
      <c r="C4482" s="1297"/>
      <c r="D4482" s="1297" t="s">
        <v>936</v>
      </c>
      <c r="H4482" s="1399">
        <v>75282.37</v>
      </c>
      <c r="I4482" s="1399">
        <v>75282.37</v>
      </c>
    </row>
    <row r="4483" spans="2:9">
      <c r="B4483" s="1297"/>
      <c r="C4483" s="1297"/>
      <c r="D4483" s="1297" t="s">
        <v>937</v>
      </c>
      <c r="H4483" s="1399">
        <v>11163.98</v>
      </c>
      <c r="I4483" s="1399">
        <v>11163.98</v>
      </c>
    </row>
    <row r="4484" spans="2:9">
      <c r="B4484" s="1297"/>
      <c r="C4484" s="1297"/>
      <c r="D4484" s="1297" t="s">
        <v>938</v>
      </c>
      <c r="H4484" s="1399">
        <v>20962</v>
      </c>
      <c r="I4484" s="1399">
        <v>20962</v>
      </c>
    </row>
    <row r="4485" spans="2:9">
      <c r="B4485" s="1297"/>
      <c r="C4485" s="1297"/>
      <c r="D4485" s="1297" t="s">
        <v>939</v>
      </c>
      <c r="H4485" s="1399">
        <v>61065.04</v>
      </c>
      <c r="I4485" s="1399">
        <v>61065.04</v>
      </c>
    </row>
    <row r="4486" spans="2:9">
      <c r="B4486" s="1297"/>
      <c r="C4486" s="1297"/>
      <c r="D4486" s="1297" t="s">
        <v>1131</v>
      </c>
      <c r="E4486" s="1399">
        <v>1244538.71</v>
      </c>
      <c r="I4486" s="1399">
        <v>1244538.71</v>
      </c>
    </row>
    <row r="4487" spans="2:9">
      <c r="B4487" s="1297"/>
      <c r="C4487" s="1297"/>
      <c r="D4487" s="1297" t="s">
        <v>940</v>
      </c>
      <c r="E4487" s="1399">
        <v>939295.24</v>
      </c>
      <c r="I4487" s="1399">
        <v>939295.24</v>
      </c>
    </row>
    <row r="4488" spans="2:9">
      <c r="B4488" s="1297"/>
      <c r="C4488" s="1297"/>
      <c r="D4488" s="1297" t="s">
        <v>941</v>
      </c>
      <c r="E4488" s="1399">
        <v>377040.44</v>
      </c>
      <c r="I4488" s="1399">
        <v>377040.44</v>
      </c>
    </row>
    <row r="4489" spans="2:9">
      <c r="B4489" s="1297"/>
      <c r="C4489" s="1297"/>
      <c r="D4489" s="1297" t="s">
        <v>943</v>
      </c>
      <c r="E4489" s="1399">
        <v>1840.38</v>
      </c>
      <c r="I4489" s="1399">
        <v>1840.38</v>
      </c>
    </row>
    <row r="4490" spans="2:9">
      <c r="B4490" s="1297"/>
      <c r="C4490" s="1297"/>
      <c r="D4490" s="1297" t="s">
        <v>944</v>
      </c>
      <c r="E4490" s="1399">
        <v>2158051.39</v>
      </c>
      <c r="I4490" s="1399">
        <v>2158051.39</v>
      </c>
    </row>
    <row r="4491" spans="2:9">
      <c r="B4491" s="1297"/>
      <c r="C4491" s="1297"/>
      <c r="D4491" s="1297" t="s">
        <v>945</v>
      </c>
      <c r="E4491" s="1399">
        <v>1096464.31</v>
      </c>
      <c r="I4491" s="1399">
        <v>1096464.31</v>
      </c>
    </row>
    <row r="4492" spans="2:9">
      <c r="B4492" s="1297"/>
      <c r="C4492" s="1297"/>
      <c r="D4492" s="1297" t="s">
        <v>946</v>
      </c>
      <c r="E4492" s="1399">
        <v>3243</v>
      </c>
      <c r="I4492" s="1399">
        <v>3243</v>
      </c>
    </row>
    <row r="4493" spans="2:9">
      <c r="B4493" s="1297"/>
      <c r="C4493" s="1297"/>
      <c r="D4493" s="1297" t="s">
        <v>978</v>
      </c>
      <c r="E4493" s="1399">
        <v>4080.92</v>
      </c>
      <c r="I4493" s="1399">
        <v>4080.92</v>
      </c>
    </row>
    <row r="4494" spans="2:9">
      <c r="B4494" s="1297"/>
      <c r="C4494" s="1297"/>
      <c r="D4494" s="1297" t="s">
        <v>1214</v>
      </c>
      <c r="E4494" s="1399">
        <v>46798.42</v>
      </c>
      <c r="I4494" s="1399">
        <v>46798.42</v>
      </c>
    </row>
    <row r="4495" spans="2:9">
      <c r="B4495" s="1297"/>
      <c r="C4495" s="1297"/>
      <c r="D4495" s="1297" t="s">
        <v>947</v>
      </c>
      <c r="E4495" s="1399">
        <v>110632.59</v>
      </c>
      <c r="I4495" s="1399">
        <v>110632.59</v>
      </c>
    </row>
    <row r="4496" spans="2:9">
      <c r="B4496" s="1297"/>
      <c r="C4496" s="1297"/>
      <c r="D4496" s="1297" t="s">
        <v>948</v>
      </c>
      <c r="G4496" s="1399">
        <v>21947810.109999996</v>
      </c>
      <c r="I4496" s="1399">
        <v>21947810.109999996</v>
      </c>
    </row>
    <row r="4497" spans="2:9">
      <c r="B4497" s="1297"/>
      <c r="C4497" s="1297"/>
      <c r="D4497" s="1297" t="s">
        <v>1118</v>
      </c>
      <c r="G4497" s="1399">
        <v>3275.68</v>
      </c>
      <c r="I4497" s="1399">
        <v>3275.68</v>
      </c>
    </row>
    <row r="4498" spans="2:9">
      <c r="B4498" s="1297"/>
      <c r="C4498" s="1400" t="s">
        <v>1497</v>
      </c>
      <c r="D4498" s="1400"/>
      <c r="E4498" s="1401">
        <v>5981985.4000000004</v>
      </c>
      <c r="F4498" s="1401">
        <v>22684673.98</v>
      </c>
      <c r="G4498" s="1401">
        <v>21951085.789999995</v>
      </c>
      <c r="H4498" s="1401">
        <v>9838132.6399999987</v>
      </c>
      <c r="I4498" s="1401">
        <v>60455877.81000001</v>
      </c>
    </row>
    <row r="4499" spans="2:9">
      <c r="B4499" s="1297" t="s">
        <v>1498</v>
      </c>
      <c r="C4499" s="1297" t="s">
        <v>1499</v>
      </c>
      <c r="D4499" s="1297" t="s">
        <v>906</v>
      </c>
      <c r="F4499" s="1399">
        <v>1315143.4000000001</v>
      </c>
      <c r="I4499" s="1399">
        <v>1315143.4000000001</v>
      </c>
    </row>
    <row r="4500" spans="2:9">
      <c r="B4500" s="1297"/>
      <c r="C4500" s="1297"/>
      <c r="D4500" s="1297" t="s">
        <v>952</v>
      </c>
      <c r="F4500" s="1399">
        <v>12998.34</v>
      </c>
      <c r="I4500" s="1399">
        <v>12998.34</v>
      </c>
    </row>
    <row r="4501" spans="2:9">
      <c r="B4501" s="1297"/>
      <c r="C4501" s="1297"/>
      <c r="D4501" s="1297" t="s">
        <v>907</v>
      </c>
      <c r="F4501" s="1399">
        <v>96099.85</v>
      </c>
      <c r="I4501" s="1399">
        <v>96099.85</v>
      </c>
    </row>
    <row r="4502" spans="2:9">
      <c r="B4502" s="1297"/>
      <c r="C4502" s="1297"/>
      <c r="D4502" s="1297" t="s">
        <v>908</v>
      </c>
      <c r="F4502" s="1399">
        <v>9285.26</v>
      </c>
      <c r="I4502" s="1399">
        <v>9285.26</v>
      </c>
    </row>
    <row r="4503" spans="2:9">
      <c r="B4503" s="1297"/>
      <c r="C4503" s="1297"/>
      <c r="D4503" s="1297" t="s">
        <v>909</v>
      </c>
      <c r="F4503" s="1399">
        <v>9807.5</v>
      </c>
      <c r="I4503" s="1399">
        <v>9807.5</v>
      </c>
    </row>
    <row r="4504" spans="2:9">
      <c r="B4504" s="1297"/>
      <c r="C4504" s="1297"/>
      <c r="D4504" s="1297" t="s">
        <v>910</v>
      </c>
      <c r="F4504" s="1399">
        <v>5353.3600000000006</v>
      </c>
      <c r="I4504" s="1399">
        <v>5353.3600000000006</v>
      </c>
    </row>
    <row r="4505" spans="2:9">
      <c r="B4505" s="1297"/>
      <c r="C4505" s="1297"/>
      <c r="D4505" s="1297" t="s">
        <v>1034</v>
      </c>
      <c r="F4505" s="1399">
        <v>3767.46</v>
      </c>
      <c r="I4505" s="1399">
        <v>3767.46</v>
      </c>
    </row>
    <row r="4506" spans="2:9">
      <c r="B4506" s="1297"/>
      <c r="C4506" s="1297"/>
      <c r="D4506" s="1297" t="s">
        <v>1035</v>
      </c>
      <c r="F4506" s="1399">
        <v>22350.59</v>
      </c>
      <c r="I4506" s="1399">
        <v>22350.59</v>
      </c>
    </row>
    <row r="4507" spans="2:9">
      <c r="B4507" s="1297"/>
      <c r="C4507" s="1297"/>
      <c r="D4507" s="1297" t="s">
        <v>1036</v>
      </c>
      <c r="F4507" s="1399">
        <v>11414.76</v>
      </c>
      <c r="I4507" s="1399">
        <v>11414.76</v>
      </c>
    </row>
    <row r="4508" spans="2:9">
      <c r="B4508" s="1297"/>
      <c r="C4508" s="1297"/>
      <c r="D4508" s="1297" t="s">
        <v>1003</v>
      </c>
      <c r="F4508" s="1399">
        <v>944</v>
      </c>
      <c r="I4508" s="1399">
        <v>944</v>
      </c>
    </row>
    <row r="4509" spans="2:9">
      <c r="B4509" s="1297"/>
      <c r="C4509" s="1297"/>
      <c r="D4509" s="1297" t="s">
        <v>1039</v>
      </c>
      <c r="F4509" s="1399">
        <v>3394.1900000000005</v>
      </c>
      <c r="I4509" s="1399">
        <v>3394.1900000000005</v>
      </c>
    </row>
    <row r="4510" spans="2:9">
      <c r="B4510" s="1297"/>
      <c r="C4510" s="1297"/>
      <c r="D4510" s="1297" t="s">
        <v>1042</v>
      </c>
      <c r="F4510" s="1399">
        <v>5497.35</v>
      </c>
      <c r="I4510" s="1399">
        <v>5497.35</v>
      </c>
    </row>
    <row r="4511" spans="2:9">
      <c r="B4511" s="1297"/>
      <c r="C4511" s="1297"/>
      <c r="D4511" s="1297" t="s">
        <v>996</v>
      </c>
      <c r="F4511" s="1399">
        <v>138</v>
      </c>
      <c r="I4511" s="1399">
        <v>138</v>
      </c>
    </row>
    <row r="4512" spans="2:9">
      <c r="B4512" s="1297"/>
      <c r="C4512" s="1297"/>
      <c r="D4512" s="1297" t="s">
        <v>1045</v>
      </c>
      <c r="F4512" s="1399">
        <v>54463.49</v>
      </c>
      <c r="I4512" s="1399">
        <v>54463.49</v>
      </c>
    </row>
    <row r="4513" spans="2:9">
      <c r="B4513" s="1297"/>
      <c r="C4513" s="1297"/>
      <c r="D4513" s="1297" t="s">
        <v>1046</v>
      </c>
      <c r="H4513" s="1399">
        <v>2238162</v>
      </c>
      <c r="I4513" s="1399">
        <v>2238162</v>
      </c>
    </row>
    <row r="4514" spans="2:9">
      <c r="B4514" s="1297"/>
      <c r="C4514" s="1297"/>
      <c r="D4514" s="1297" t="s">
        <v>1047</v>
      </c>
      <c r="H4514" s="1399">
        <v>222495</v>
      </c>
      <c r="I4514" s="1399">
        <v>222495</v>
      </c>
    </row>
    <row r="4515" spans="2:9">
      <c r="B4515" s="1297"/>
      <c r="C4515" s="1297"/>
      <c r="D4515" s="1297" t="s">
        <v>1048</v>
      </c>
      <c r="H4515" s="1399">
        <v>-402003</v>
      </c>
      <c r="I4515" s="1399">
        <v>-402003</v>
      </c>
    </row>
    <row r="4516" spans="2:9">
      <c r="B4516" s="1297"/>
      <c r="C4516" s="1297"/>
      <c r="D4516" s="1297" t="s">
        <v>955</v>
      </c>
      <c r="H4516" s="1399">
        <v>138448.42000000001</v>
      </c>
      <c r="I4516" s="1399">
        <v>138448.42000000001</v>
      </c>
    </row>
    <row r="4517" spans="2:9">
      <c r="B4517" s="1297"/>
      <c r="C4517" s="1297"/>
      <c r="D4517" s="1297" t="s">
        <v>934</v>
      </c>
      <c r="H4517" s="1399">
        <v>6858</v>
      </c>
      <c r="I4517" s="1399">
        <v>6858</v>
      </c>
    </row>
    <row r="4518" spans="2:9">
      <c r="B4518" s="1297"/>
      <c r="C4518" s="1297"/>
      <c r="D4518" s="1297" t="s">
        <v>935</v>
      </c>
      <c r="H4518" s="1399">
        <v>10711.86</v>
      </c>
      <c r="I4518" s="1399">
        <v>10711.86</v>
      </c>
    </row>
    <row r="4519" spans="2:9">
      <c r="B4519" s="1297"/>
      <c r="C4519" s="1297"/>
      <c r="D4519" s="1297" t="s">
        <v>936</v>
      </c>
      <c r="H4519" s="1399">
        <v>8753.76</v>
      </c>
      <c r="I4519" s="1399">
        <v>8753.76</v>
      </c>
    </row>
    <row r="4520" spans="2:9">
      <c r="B4520" s="1297"/>
      <c r="C4520" s="1297"/>
      <c r="D4520" s="1297" t="s">
        <v>937</v>
      </c>
      <c r="H4520" s="1399">
        <v>4825.58</v>
      </c>
      <c r="I4520" s="1399">
        <v>4825.58</v>
      </c>
    </row>
    <row r="4521" spans="2:9">
      <c r="B4521" s="1297"/>
      <c r="C4521" s="1297"/>
      <c r="D4521" s="1297" t="s">
        <v>938</v>
      </c>
      <c r="H4521" s="1399">
        <v>1872</v>
      </c>
      <c r="I4521" s="1399">
        <v>1872</v>
      </c>
    </row>
    <row r="4522" spans="2:9">
      <c r="B4522" s="1297"/>
      <c r="C4522" s="1297"/>
      <c r="D4522" s="1297" t="s">
        <v>939</v>
      </c>
      <c r="H4522" s="1399">
        <v>15672.12</v>
      </c>
      <c r="I4522" s="1399">
        <v>15672.12</v>
      </c>
    </row>
    <row r="4523" spans="2:9">
      <c r="B4523" s="1297"/>
      <c r="C4523" s="1297"/>
      <c r="D4523" s="1297" t="s">
        <v>940</v>
      </c>
      <c r="E4523" s="1399">
        <v>180150.12</v>
      </c>
      <c r="I4523" s="1399">
        <v>180150.12</v>
      </c>
    </row>
    <row r="4524" spans="2:9">
      <c r="B4524" s="1297"/>
      <c r="C4524" s="1297"/>
      <c r="D4524" s="1297" t="s">
        <v>941</v>
      </c>
      <c r="E4524" s="1399">
        <v>85065.600000000006</v>
      </c>
      <c r="I4524" s="1399">
        <v>85065.600000000006</v>
      </c>
    </row>
    <row r="4525" spans="2:9">
      <c r="B4525" s="1297"/>
      <c r="C4525" s="1297"/>
      <c r="D4525" s="1297" t="s">
        <v>943</v>
      </c>
      <c r="E4525" s="1399">
        <v>6488.32</v>
      </c>
      <c r="I4525" s="1399">
        <v>6488.32</v>
      </c>
    </row>
    <row r="4526" spans="2:9">
      <c r="B4526" s="1297"/>
      <c r="C4526" s="1297"/>
      <c r="D4526" s="1297" t="s">
        <v>944</v>
      </c>
      <c r="E4526" s="1399">
        <v>493900.67</v>
      </c>
      <c r="I4526" s="1399">
        <v>493900.67</v>
      </c>
    </row>
    <row r="4527" spans="2:9">
      <c r="B4527" s="1297"/>
      <c r="C4527" s="1297"/>
      <c r="D4527" s="1297" t="s">
        <v>945</v>
      </c>
      <c r="E4527" s="1399">
        <v>164011.21000000002</v>
      </c>
      <c r="I4527" s="1399">
        <v>164011.21000000002</v>
      </c>
    </row>
    <row r="4528" spans="2:9">
      <c r="B4528" s="1297"/>
      <c r="C4528" s="1297"/>
      <c r="D4528" s="1297" t="s">
        <v>946</v>
      </c>
      <c r="E4528" s="1399">
        <v>284130.90000000002</v>
      </c>
      <c r="I4528" s="1399">
        <v>284130.90000000002</v>
      </c>
    </row>
    <row r="4529" spans="2:9">
      <c r="B4529" s="1297"/>
      <c r="C4529" s="1297"/>
      <c r="D4529" s="1297" t="s">
        <v>947</v>
      </c>
      <c r="E4529" s="1399">
        <v>18567.82</v>
      </c>
      <c r="I4529" s="1399">
        <v>18567.82</v>
      </c>
    </row>
    <row r="4530" spans="2:9">
      <c r="B4530" s="1297"/>
      <c r="C4530" s="1297"/>
      <c r="D4530" s="1297" t="s">
        <v>948</v>
      </c>
      <c r="G4530" s="1399">
        <v>480960.86</v>
      </c>
      <c r="I4530" s="1399">
        <v>480960.86</v>
      </c>
    </row>
    <row r="4531" spans="2:9">
      <c r="B4531" s="1297"/>
      <c r="C4531" s="1297"/>
      <c r="D4531" s="1297" t="s">
        <v>1118</v>
      </c>
      <c r="G4531" s="1399">
        <v>236</v>
      </c>
      <c r="I4531" s="1399">
        <v>236</v>
      </c>
    </row>
    <row r="4532" spans="2:9">
      <c r="B4532" s="1297"/>
      <c r="C4532" s="1400" t="s">
        <v>1500</v>
      </c>
      <c r="D4532" s="1400"/>
      <c r="E4532" s="1401">
        <v>1232314.6399999999</v>
      </c>
      <c r="F4532" s="1401">
        <v>1550657.5500000005</v>
      </c>
      <c r="G4532" s="1401">
        <v>481196.86</v>
      </c>
      <c r="H4532" s="1401">
        <v>2245795.7399999998</v>
      </c>
      <c r="I4532" s="1401">
        <v>5509964.7900000019</v>
      </c>
    </row>
    <row r="4533" spans="2:9">
      <c r="B4533" s="1297" t="s">
        <v>1501</v>
      </c>
      <c r="C4533" s="1297" t="s">
        <v>1502</v>
      </c>
      <c r="D4533" s="1297" t="s">
        <v>906</v>
      </c>
      <c r="F4533" s="1399">
        <v>15059820.5</v>
      </c>
      <c r="I4533" s="1399">
        <v>15059820.5</v>
      </c>
    </row>
    <row r="4534" spans="2:9">
      <c r="B4534" s="1297"/>
      <c r="C4534" s="1297"/>
      <c r="D4534" s="1297" t="s">
        <v>1126</v>
      </c>
      <c r="F4534" s="1399">
        <v>2814433.83</v>
      </c>
      <c r="I4534" s="1399">
        <v>2814433.83</v>
      </c>
    </row>
    <row r="4535" spans="2:9">
      <c r="B4535" s="1297"/>
      <c r="C4535" s="1297"/>
      <c r="D4535" s="1297" t="s">
        <v>952</v>
      </c>
      <c r="F4535" s="1399">
        <v>211802.35</v>
      </c>
      <c r="I4535" s="1399">
        <v>211802.35</v>
      </c>
    </row>
    <row r="4536" spans="2:9">
      <c r="B4536" s="1297"/>
      <c r="C4536" s="1297"/>
      <c r="D4536" s="1297" t="s">
        <v>907</v>
      </c>
      <c r="F4536" s="1399">
        <v>2814367.52</v>
      </c>
      <c r="I4536" s="1399">
        <v>2814367.52</v>
      </c>
    </row>
    <row r="4537" spans="2:9">
      <c r="B4537" s="1297"/>
      <c r="C4537" s="1297"/>
      <c r="D4537" s="1297" t="s">
        <v>910</v>
      </c>
      <c r="F4537" s="1399">
        <v>6387.5</v>
      </c>
      <c r="I4537" s="1399">
        <v>6387.5</v>
      </c>
    </row>
    <row r="4538" spans="2:9">
      <c r="B4538" s="1297"/>
      <c r="C4538" s="1297"/>
      <c r="D4538" s="1297" t="s">
        <v>1034</v>
      </c>
      <c r="F4538" s="1399">
        <v>58906.49</v>
      </c>
      <c r="I4538" s="1399">
        <v>58906.49</v>
      </c>
    </row>
    <row r="4539" spans="2:9">
      <c r="B4539" s="1297"/>
      <c r="C4539" s="1297"/>
      <c r="D4539" s="1297" t="s">
        <v>1035</v>
      </c>
      <c r="F4539" s="1399">
        <v>474541.48000000004</v>
      </c>
      <c r="I4539" s="1399">
        <v>474541.48000000004</v>
      </c>
    </row>
    <row r="4540" spans="2:9">
      <c r="B4540" s="1297"/>
      <c r="C4540" s="1297"/>
      <c r="D4540" s="1297" t="s">
        <v>1036</v>
      </c>
      <c r="F4540" s="1399">
        <v>118762.44</v>
      </c>
      <c r="I4540" s="1399">
        <v>118762.44</v>
      </c>
    </row>
    <row r="4541" spans="2:9">
      <c r="B4541" s="1297"/>
      <c r="C4541" s="1297"/>
      <c r="D4541" s="1297" t="s">
        <v>1039</v>
      </c>
      <c r="F4541" s="1399">
        <v>20859.619999999995</v>
      </c>
      <c r="I4541" s="1399">
        <v>20859.619999999995</v>
      </c>
    </row>
    <row r="4542" spans="2:9">
      <c r="B4542" s="1297"/>
      <c r="C4542" s="1297"/>
      <c r="D4542" s="1297" t="s">
        <v>1040</v>
      </c>
      <c r="F4542" s="1399">
        <v>208201.5</v>
      </c>
      <c r="I4542" s="1399">
        <v>208201.5</v>
      </c>
    </row>
    <row r="4543" spans="2:9">
      <c r="B4543" s="1297"/>
      <c r="C4543" s="1297"/>
      <c r="D4543" s="1297" t="s">
        <v>1041</v>
      </c>
      <c r="F4543" s="1399">
        <v>97129.95</v>
      </c>
      <c r="I4543" s="1399">
        <v>97129.95</v>
      </c>
    </row>
    <row r="4544" spans="2:9">
      <c r="B4544" s="1297"/>
      <c r="C4544" s="1297"/>
      <c r="D4544" s="1297" t="s">
        <v>1042</v>
      </c>
      <c r="F4544" s="1399">
        <v>44408.34</v>
      </c>
      <c r="I4544" s="1399">
        <v>44408.34</v>
      </c>
    </row>
    <row r="4545" spans="2:9">
      <c r="B4545" s="1297"/>
      <c r="C4545" s="1297"/>
      <c r="D4545" s="1297" t="s">
        <v>986</v>
      </c>
      <c r="F4545" s="1399">
        <v>45601</v>
      </c>
      <c r="I4545" s="1399">
        <v>45601</v>
      </c>
    </row>
    <row r="4546" spans="2:9">
      <c r="B4546" s="1297"/>
      <c r="C4546" s="1297"/>
      <c r="D4546" s="1297" t="s">
        <v>1045</v>
      </c>
      <c r="F4546" s="1399">
        <v>130609.65999999999</v>
      </c>
      <c r="I4546" s="1399">
        <v>130609.65999999999</v>
      </c>
    </row>
    <row r="4547" spans="2:9">
      <c r="B4547" s="1297"/>
      <c r="C4547" s="1297"/>
      <c r="D4547" s="1297" t="s">
        <v>1046</v>
      </c>
      <c r="H4547" s="1399">
        <v>13633820</v>
      </c>
      <c r="I4547" s="1399">
        <v>13633820</v>
      </c>
    </row>
    <row r="4548" spans="2:9">
      <c r="B4548" s="1297"/>
      <c r="C4548" s="1297"/>
      <c r="D4548" s="1297" t="s">
        <v>1048</v>
      </c>
      <c r="H4548" s="1399">
        <v>-7331655</v>
      </c>
      <c r="I4548" s="1399">
        <v>-7331655</v>
      </c>
    </row>
    <row r="4549" spans="2:9">
      <c r="B4549" s="1297"/>
      <c r="C4549" s="1297"/>
      <c r="D4549" s="1297" t="s">
        <v>955</v>
      </c>
      <c r="H4549" s="1399">
        <v>153583.67000000001</v>
      </c>
      <c r="I4549" s="1399">
        <v>153583.67000000001</v>
      </c>
    </row>
    <row r="4550" spans="2:9">
      <c r="B4550" s="1297"/>
      <c r="C4550" s="1297"/>
      <c r="D4550" s="1297" t="s">
        <v>934</v>
      </c>
      <c r="H4550" s="1399">
        <v>38866</v>
      </c>
      <c r="I4550" s="1399">
        <v>38866</v>
      </c>
    </row>
    <row r="4551" spans="2:9">
      <c r="B4551" s="1297"/>
      <c r="C4551" s="1297"/>
      <c r="D4551" s="1297" t="s">
        <v>935</v>
      </c>
      <c r="H4551" s="1399">
        <v>242060.29</v>
      </c>
      <c r="I4551" s="1399">
        <v>242060.29</v>
      </c>
    </row>
    <row r="4552" spans="2:9">
      <c r="B4552" s="1297"/>
      <c r="C4552" s="1297"/>
      <c r="D4552" s="1297" t="s">
        <v>936</v>
      </c>
      <c r="H4552" s="1399">
        <v>60926.19</v>
      </c>
      <c r="I4552" s="1399">
        <v>60926.19</v>
      </c>
    </row>
    <row r="4553" spans="2:9">
      <c r="B4553" s="1297"/>
      <c r="C4553" s="1297"/>
      <c r="D4553" s="1297" t="s">
        <v>937</v>
      </c>
      <c r="H4553" s="1399">
        <v>35249.85</v>
      </c>
      <c r="I4553" s="1399">
        <v>35249.85</v>
      </c>
    </row>
    <row r="4554" spans="2:9">
      <c r="B4554" s="1297"/>
      <c r="C4554" s="1297"/>
      <c r="D4554" s="1297" t="s">
        <v>938</v>
      </c>
      <c r="H4554" s="1399">
        <v>15721</v>
      </c>
      <c r="I4554" s="1399">
        <v>15721</v>
      </c>
    </row>
    <row r="4555" spans="2:9">
      <c r="B4555" s="1297"/>
      <c r="C4555" s="1297"/>
      <c r="D4555" s="1297" t="s">
        <v>940</v>
      </c>
      <c r="E4555" s="1399">
        <v>626727.68000000005</v>
      </c>
      <c r="I4555" s="1399">
        <v>626727.68000000005</v>
      </c>
    </row>
    <row r="4556" spans="2:9">
      <c r="B4556" s="1297"/>
      <c r="C4556" s="1297"/>
      <c r="D4556" s="1297" t="s">
        <v>941</v>
      </c>
      <c r="E4556" s="1399">
        <v>245713.9</v>
      </c>
      <c r="I4556" s="1399">
        <v>245713.9</v>
      </c>
    </row>
    <row r="4557" spans="2:9">
      <c r="B4557" s="1297"/>
      <c r="C4557" s="1297"/>
      <c r="D4557" s="1297" t="s">
        <v>943</v>
      </c>
      <c r="E4557" s="1399">
        <v>20953.84</v>
      </c>
      <c r="I4557" s="1399">
        <v>20953.84</v>
      </c>
    </row>
    <row r="4558" spans="2:9">
      <c r="B4558" s="1297"/>
      <c r="C4558" s="1297"/>
      <c r="D4558" s="1297" t="s">
        <v>944</v>
      </c>
      <c r="E4558" s="1399">
        <v>1908409.03</v>
      </c>
      <c r="I4558" s="1399">
        <v>1908409.03</v>
      </c>
    </row>
    <row r="4559" spans="2:9">
      <c r="B4559" s="1297"/>
      <c r="C4559" s="1297"/>
      <c r="D4559" s="1297" t="s">
        <v>945</v>
      </c>
      <c r="E4559" s="1399">
        <v>839478.22</v>
      </c>
      <c r="I4559" s="1399">
        <v>839478.22</v>
      </c>
    </row>
    <row r="4560" spans="2:9">
      <c r="B4560" s="1297"/>
      <c r="C4560" s="1297"/>
      <c r="D4560" s="1297" t="s">
        <v>1214</v>
      </c>
      <c r="E4560" s="1399">
        <v>108264.3</v>
      </c>
      <c r="I4560" s="1399">
        <v>108264.3</v>
      </c>
    </row>
    <row r="4561" spans="2:9">
      <c r="B4561" s="1297"/>
      <c r="C4561" s="1297"/>
      <c r="D4561" s="1297" t="s">
        <v>947</v>
      </c>
      <c r="E4561" s="1399">
        <v>59432.73</v>
      </c>
      <c r="I4561" s="1399">
        <v>59432.73</v>
      </c>
    </row>
    <row r="4562" spans="2:9">
      <c r="B4562" s="1297"/>
      <c r="C4562" s="1297"/>
      <c r="D4562" s="1297" t="s">
        <v>1115</v>
      </c>
      <c r="E4562" s="1399">
        <v>351333.33</v>
      </c>
      <c r="I4562" s="1399">
        <v>351333.33</v>
      </c>
    </row>
    <row r="4563" spans="2:9">
      <c r="B4563" s="1297"/>
      <c r="C4563" s="1297"/>
      <c r="D4563" s="1297" t="s">
        <v>1116</v>
      </c>
      <c r="G4563" s="1399">
        <v>15904000</v>
      </c>
      <c r="I4563" s="1399">
        <v>15904000</v>
      </c>
    </row>
    <row r="4564" spans="2:9">
      <c r="B4564" s="1297"/>
      <c r="C4564" s="1297"/>
      <c r="D4564" s="1297" t="s">
        <v>948</v>
      </c>
      <c r="G4564" s="1399">
        <v>1152630.1200000001</v>
      </c>
      <c r="I4564" s="1399">
        <v>1152630.1200000001</v>
      </c>
    </row>
    <row r="4565" spans="2:9">
      <c r="B4565" s="1297"/>
      <c r="C4565" s="1297"/>
      <c r="D4565" s="1297" t="s">
        <v>956</v>
      </c>
      <c r="G4565" s="1399">
        <v>20000</v>
      </c>
      <c r="I4565" s="1399">
        <v>20000</v>
      </c>
    </row>
    <row r="4566" spans="2:9">
      <c r="B4566" s="1297"/>
      <c r="C4566" s="1297"/>
      <c r="D4566" s="1297" t="s">
        <v>1118</v>
      </c>
      <c r="G4566" s="1399">
        <v>3189957.92</v>
      </c>
      <c r="I4566" s="1399">
        <v>3189957.92</v>
      </c>
    </row>
    <row r="4567" spans="2:9">
      <c r="B4567" s="1297"/>
      <c r="C4567" s="1400" t="s">
        <v>1503</v>
      </c>
      <c r="D4567" s="1400"/>
      <c r="E4567" s="1401">
        <v>4160313.03</v>
      </c>
      <c r="F4567" s="1401">
        <v>22105832.18</v>
      </c>
      <c r="G4567" s="1401">
        <v>20266588.039999999</v>
      </c>
      <c r="H4567" s="1401">
        <v>6848572</v>
      </c>
      <c r="I4567" s="1401">
        <v>53381305.25</v>
      </c>
    </row>
    <row r="4568" spans="2:9">
      <c r="B4568" s="1297" t="s">
        <v>1504</v>
      </c>
      <c r="C4568" s="1297" t="s">
        <v>1505</v>
      </c>
      <c r="D4568" s="1297" t="s">
        <v>906</v>
      </c>
      <c r="F4568" s="1399">
        <v>2666496.0699999998</v>
      </c>
      <c r="I4568" s="1399">
        <v>2666496.0699999998</v>
      </c>
    </row>
    <row r="4569" spans="2:9">
      <c r="B4569" s="1297"/>
      <c r="C4569" s="1297"/>
      <c r="D4569" s="1297" t="s">
        <v>952</v>
      </c>
      <c r="F4569" s="1399">
        <v>2684.95</v>
      </c>
      <c r="I4569" s="1399">
        <v>2684.95</v>
      </c>
    </row>
    <row r="4570" spans="2:9">
      <c r="B4570" s="1297"/>
      <c r="C4570" s="1297"/>
      <c r="D4570" s="1297" t="s">
        <v>907</v>
      </c>
      <c r="F4570" s="1399">
        <v>779948.48</v>
      </c>
      <c r="I4570" s="1399">
        <v>779948.48</v>
      </c>
    </row>
    <row r="4571" spans="2:9">
      <c r="B4571" s="1297"/>
      <c r="C4571" s="1297"/>
      <c r="D4571" s="1297" t="s">
        <v>1122</v>
      </c>
      <c r="F4571" s="1399">
        <v>-134949</v>
      </c>
      <c r="I4571" s="1399">
        <v>-134949</v>
      </c>
    </row>
    <row r="4572" spans="2:9">
      <c r="B4572" s="1297"/>
      <c r="C4572" s="1297"/>
      <c r="D4572" s="1297" t="s">
        <v>1034</v>
      </c>
      <c r="F4572" s="1399">
        <v>3658.2</v>
      </c>
      <c r="I4572" s="1399">
        <v>3658.2</v>
      </c>
    </row>
    <row r="4573" spans="2:9">
      <c r="B4573" s="1297"/>
      <c r="C4573" s="1297"/>
      <c r="D4573" s="1297" t="s">
        <v>1105</v>
      </c>
      <c r="F4573" s="1399">
        <v>178516.8</v>
      </c>
      <c r="I4573" s="1399">
        <v>178516.8</v>
      </c>
    </row>
    <row r="4574" spans="2:9">
      <c r="B4574" s="1297"/>
      <c r="C4574" s="1297"/>
      <c r="D4574" s="1297" t="s">
        <v>1038</v>
      </c>
      <c r="F4574" s="1399">
        <v>1485.86</v>
      </c>
      <c r="I4574" s="1399">
        <v>1485.86</v>
      </c>
    </row>
    <row r="4575" spans="2:9">
      <c r="B4575" s="1297"/>
      <c r="C4575" s="1297"/>
      <c r="D4575" s="1297" t="s">
        <v>1039</v>
      </c>
      <c r="F4575" s="1399">
        <v>441.11</v>
      </c>
      <c r="I4575" s="1399">
        <v>441.11</v>
      </c>
    </row>
    <row r="4576" spans="2:9">
      <c r="B4576" s="1297"/>
      <c r="C4576" s="1297"/>
      <c r="D4576" s="1297" t="s">
        <v>1042</v>
      </c>
      <c r="F4576" s="1399">
        <v>50584.3</v>
      </c>
      <c r="I4576" s="1399">
        <v>50584.3</v>
      </c>
    </row>
    <row r="4577" spans="2:9">
      <c r="B4577" s="1297"/>
      <c r="C4577" s="1297"/>
      <c r="D4577" s="1297" t="s">
        <v>953</v>
      </c>
      <c r="F4577" s="1399">
        <v>42035.09</v>
      </c>
      <c r="I4577" s="1399">
        <v>42035.09</v>
      </c>
    </row>
    <row r="4578" spans="2:9">
      <c r="B4578" s="1297"/>
      <c r="C4578" s="1297"/>
      <c r="D4578" s="1297" t="s">
        <v>985</v>
      </c>
      <c r="F4578" s="1399">
        <v>1439</v>
      </c>
      <c r="I4578" s="1399">
        <v>1439</v>
      </c>
    </row>
    <row r="4579" spans="2:9">
      <c r="B4579" s="1297"/>
      <c r="C4579" s="1297"/>
      <c r="D4579" s="1297" t="s">
        <v>996</v>
      </c>
      <c r="F4579" s="1399">
        <v>36698</v>
      </c>
      <c r="I4579" s="1399">
        <v>36698</v>
      </c>
    </row>
    <row r="4580" spans="2:9">
      <c r="B4580" s="1297"/>
      <c r="C4580" s="1297"/>
      <c r="D4580" s="1297" t="s">
        <v>1044</v>
      </c>
      <c r="F4580" s="1399">
        <v>46483.33</v>
      </c>
      <c r="I4580" s="1399">
        <v>46483.33</v>
      </c>
    </row>
    <row r="4581" spans="2:9">
      <c r="B4581" s="1297"/>
      <c r="C4581" s="1297"/>
      <c r="D4581" s="1297" t="s">
        <v>1045</v>
      </c>
      <c r="F4581" s="1399">
        <v>23466.400000000001</v>
      </c>
      <c r="I4581" s="1399">
        <v>23466.400000000001</v>
      </c>
    </row>
    <row r="4582" spans="2:9">
      <c r="B4582" s="1297"/>
      <c r="C4582" s="1297"/>
      <c r="D4582" s="1297" t="s">
        <v>1046</v>
      </c>
      <c r="H4582" s="1399">
        <v>6827308</v>
      </c>
      <c r="I4582" s="1399">
        <v>6827308</v>
      </c>
    </row>
    <row r="4583" spans="2:9">
      <c r="B4583" s="1297"/>
      <c r="C4583" s="1297"/>
      <c r="D4583" s="1297" t="s">
        <v>1047</v>
      </c>
      <c r="H4583" s="1399">
        <v>-529840</v>
      </c>
      <c r="I4583" s="1399">
        <v>-529840</v>
      </c>
    </row>
    <row r="4584" spans="2:9">
      <c r="B4584" s="1297"/>
      <c r="C4584" s="1297"/>
      <c r="D4584" s="1297" t="s">
        <v>1048</v>
      </c>
      <c r="H4584" s="1399">
        <v>-1036531</v>
      </c>
      <c r="I4584" s="1399">
        <v>-1036531</v>
      </c>
    </row>
    <row r="4585" spans="2:9">
      <c r="B4585" s="1297"/>
      <c r="C4585" s="1297"/>
      <c r="D4585" s="1297" t="s">
        <v>932</v>
      </c>
      <c r="H4585" s="1399">
        <v>398697</v>
      </c>
      <c r="I4585" s="1399">
        <v>398697</v>
      </c>
    </row>
    <row r="4586" spans="2:9">
      <c r="B4586" s="1297"/>
      <c r="C4586" s="1297"/>
      <c r="D4586" s="1297" t="s">
        <v>955</v>
      </c>
      <c r="H4586" s="1399">
        <v>154251.82999999999</v>
      </c>
      <c r="I4586" s="1399">
        <v>154251.82999999999</v>
      </c>
    </row>
    <row r="4587" spans="2:9">
      <c r="B4587" s="1297"/>
      <c r="C4587" s="1297"/>
      <c r="D4587" s="1297" t="s">
        <v>934</v>
      </c>
      <c r="H4587" s="1399">
        <v>26250</v>
      </c>
      <c r="I4587" s="1399">
        <v>26250</v>
      </c>
    </row>
    <row r="4588" spans="2:9">
      <c r="B4588" s="1297"/>
      <c r="C4588" s="1297"/>
      <c r="D4588" s="1297" t="s">
        <v>935</v>
      </c>
      <c r="H4588" s="1399">
        <v>126403.33</v>
      </c>
      <c r="I4588" s="1399">
        <v>126403.33</v>
      </c>
    </row>
    <row r="4589" spans="2:9">
      <c r="B4589" s="1297"/>
      <c r="C4589" s="1297"/>
      <c r="D4589" s="1297" t="s">
        <v>936</v>
      </c>
      <c r="H4589" s="1399">
        <v>35715.35</v>
      </c>
      <c r="I4589" s="1399">
        <v>35715.35</v>
      </c>
    </row>
    <row r="4590" spans="2:9">
      <c r="B4590" s="1297"/>
      <c r="C4590" s="1297"/>
      <c r="D4590" s="1297" t="s">
        <v>937</v>
      </c>
      <c r="H4590" s="1399">
        <v>7638.97</v>
      </c>
      <c r="I4590" s="1399">
        <v>7638.97</v>
      </c>
    </row>
    <row r="4591" spans="2:9">
      <c r="B4591" s="1297"/>
      <c r="C4591" s="1297"/>
      <c r="D4591" s="1297" t="s">
        <v>938</v>
      </c>
      <c r="H4591" s="1399">
        <v>10668</v>
      </c>
      <c r="I4591" s="1399">
        <v>10668</v>
      </c>
    </row>
    <row r="4592" spans="2:9">
      <c r="B4592" s="1297"/>
      <c r="C4592" s="1297"/>
      <c r="D4592" s="1297" t="s">
        <v>940</v>
      </c>
      <c r="E4592" s="1399">
        <v>0</v>
      </c>
      <c r="I4592" s="1399">
        <v>0</v>
      </c>
    </row>
    <row r="4593" spans="2:9">
      <c r="B4593" s="1297"/>
      <c r="C4593" s="1297"/>
      <c r="D4593" s="1297" t="s">
        <v>941</v>
      </c>
      <c r="E4593" s="1399">
        <v>487503.7</v>
      </c>
      <c r="I4593" s="1399">
        <v>487503.7</v>
      </c>
    </row>
    <row r="4594" spans="2:9">
      <c r="B4594" s="1297"/>
      <c r="C4594" s="1297"/>
      <c r="D4594" s="1297" t="s">
        <v>942</v>
      </c>
      <c r="E4594" s="1399">
        <v>317985.40000000002</v>
      </c>
      <c r="I4594" s="1399">
        <v>317985.40000000002</v>
      </c>
    </row>
    <row r="4595" spans="2:9">
      <c r="B4595" s="1297"/>
      <c r="C4595" s="1297"/>
      <c r="D4595" s="1297" t="s">
        <v>943</v>
      </c>
      <c r="E4595" s="1399">
        <v>15531.86</v>
      </c>
      <c r="I4595" s="1399">
        <v>15531.86</v>
      </c>
    </row>
    <row r="4596" spans="2:9">
      <c r="B4596" s="1297"/>
      <c r="C4596" s="1297"/>
      <c r="D4596" s="1297" t="s">
        <v>944</v>
      </c>
      <c r="E4596" s="1399">
        <v>1677517.0999999996</v>
      </c>
      <c r="I4596" s="1399">
        <v>1677517.0999999996</v>
      </c>
    </row>
    <row r="4597" spans="2:9">
      <c r="B4597" s="1297"/>
      <c r="C4597" s="1297"/>
      <c r="D4597" s="1297" t="s">
        <v>945</v>
      </c>
      <c r="E4597" s="1399">
        <v>685340.51</v>
      </c>
      <c r="I4597" s="1399">
        <v>685340.51</v>
      </c>
    </row>
    <row r="4598" spans="2:9">
      <c r="B4598" s="1297"/>
      <c r="C4598" s="1297"/>
      <c r="D4598" s="1297" t="s">
        <v>946</v>
      </c>
      <c r="E4598" s="1399">
        <v>912265.5</v>
      </c>
      <c r="I4598" s="1399">
        <v>912265.5</v>
      </c>
    </row>
    <row r="4599" spans="2:9">
      <c r="B4599" s="1297"/>
      <c r="C4599" s="1297"/>
      <c r="D4599" s="1297" t="s">
        <v>947</v>
      </c>
      <c r="E4599" s="1399">
        <v>59552.01</v>
      </c>
      <c r="I4599" s="1399">
        <v>59552.01</v>
      </c>
    </row>
    <row r="4600" spans="2:9">
      <c r="B4600" s="1297"/>
      <c r="C4600" s="1297"/>
      <c r="D4600" s="1297" t="s">
        <v>1115</v>
      </c>
      <c r="E4600" s="1399">
        <v>10211.1</v>
      </c>
      <c r="I4600" s="1399">
        <v>10211.1</v>
      </c>
    </row>
    <row r="4601" spans="2:9">
      <c r="B4601" s="1297"/>
      <c r="C4601" s="1297"/>
      <c r="D4601" s="1297" t="s">
        <v>1116</v>
      </c>
      <c r="G4601" s="1399">
        <v>3350000</v>
      </c>
      <c r="I4601" s="1399">
        <v>3350000</v>
      </c>
    </row>
    <row r="4602" spans="2:9">
      <c r="B4602" s="1297"/>
      <c r="C4602" s="1297"/>
      <c r="D4602" s="1297" t="s">
        <v>948</v>
      </c>
      <c r="G4602" s="1399">
        <v>776770.39</v>
      </c>
      <c r="I4602" s="1399">
        <v>776770.39</v>
      </c>
    </row>
    <row r="4603" spans="2:9">
      <c r="B4603" s="1297"/>
      <c r="C4603" s="1297"/>
      <c r="D4603" s="1297" t="s">
        <v>1118</v>
      </c>
      <c r="G4603" s="1399">
        <v>40572.82</v>
      </c>
      <c r="I4603" s="1399">
        <v>40572.82</v>
      </c>
    </row>
    <row r="4604" spans="2:9">
      <c r="B4604" s="1297"/>
      <c r="C4604" s="1400" t="s">
        <v>1506</v>
      </c>
      <c r="D4604" s="1400"/>
      <c r="E4604" s="1401">
        <v>4165907.1799999992</v>
      </c>
      <c r="F4604" s="1401">
        <v>3698988.5899999994</v>
      </c>
      <c r="G4604" s="1401">
        <v>4167343.21</v>
      </c>
      <c r="H4604" s="1401">
        <v>6020561.4799999995</v>
      </c>
      <c r="I4604" s="1401">
        <v>18052800.460000001</v>
      </c>
    </row>
    <row r="4605" spans="2:9">
      <c r="B4605" s="1297" t="s">
        <v>1507</v>
      </c>
      <c r="C4605" s="1297" t="s">
        <v>1508</v>
      </c>
      <c r="D4605" s="1297" t="s">
        <v>906</v>
      </c>
      <c r="F4605" s="1399">
        <v>80086368.629999995</v>
      </c>
      <c r="I4605" s="1399">
        <v>80086368.629999995</v>
      </c>
    </row>
    <row r="4606" spans="2:9">
      <c r="B4606" s="1297"/>
      <c r="C4606" s="1297"/>
      <c r="D4606" s="1297" t="s">
        <v>952</v>
      </c>
      <c r="F4606" s="1399">
        <v>1043490.25</v>
      </c>
      <c r="I4606" s="1399">
        <v>1043490.25</v>
      </c>
    </row>
    <row r="4607" spans="2:9">
      <c r="B4607" s="1297"/>
      <c r="C4607" s="1297"/>
      <c r="D4607" s="1297" t="s">
        <v>907</v>
      </c>
      <c r="F4607" s="1399">
        <v>37232391.659999996</v>
      </c>
      <c r="I4607" s="1399">
        <v>37232391.659999996</v>
      </c>
    </row>
    <row r="4608" spans="2:9">
      <c r="B4608" s="1297"/>
      <c r="C4608" s="1297"/>
      <c r="D4608" s="1297" t="s">
        <v>910</v>
      </c>
      <c r="F4608" s="1399">
        <v>2835</v>
      </c>
      <c r="I4608" s="1399">
        <v>2835</v>
      </c>
    </row>
    <row r="4609" spans="2:9">
      <c r="B4609" s="1297"/>
      <c r="C4609" s="1297"/>
      <c r="D4609" s="1297" t="s">
        <v>1034</v>
      </c>
      <c r="F4609" s="1399">
        <v>206581.43</v>
      </c>
      <c r="I4609" s="1399">
        <v>206581.43</v>
      </c>
    </row>
    <row r="4610" spans="2:9">
      <c r="B4610" s="1297"/>
      <c r="C4610" s="1297"/>
      <c r="D4610" s="1297" t="s">
        <v>1035</v>
      </c>
      <c r="F4610" s="1399">
        <v>3086756.6999999997</v>
      </c>
      <c r="I4610" s="1399">
        <v>3086756.6999999997</v>
      </c>
    </row>
    <row r="4611" spans="2:9">
      <c r="B4611" s="1297"/>
      <c r="C4611" s="1297"/>
      <c r="D4611" s="1297" t="s">
        <v>1037</v>
      </c>
      <c r="F4611" s="1399">
        <v>12012</v>
      </c>
      <c r="I4611" s="1399">
        <v>12012</v>
      </c>
    </row>
    <row r="4612" spans="2:9">
      <c r="B4612" s="1297"/>
      <c r="C4612" s="1297"/>
      <c r="D4612" s="1297" t="s">
        <v>1038</v>
      </c>
      <c r="F4612" s="1399">
        <v>116905</v>
      </c>
      <c r="I4612" s="1399">
        <v>116905</v>
      </c>
    </row>
    <row r="4613" spans="2:9">
      <c r="B4613" s="1297"/>
      <c r="C4613" s="1297"/>
      <c r="D4613" s="1297" t="s">
        <v>1039</v>
      </c>
      <c r="F4613" s="1399">
        <v>2136124.6100000008</v>
      </c>
      <c r="I4613" s="1399">
        <v>2136124.6100000008</v>
      </c>
    </row>
    <row r="4614" spans="2:9">
      <c r="B4614" s="1297"/>
      <c r="C4614" s="1297"/>
      <c r="D4614" s="1297" t="s">
        <v>1040</v>
      </c>
      <c r="F4614" s="1399">
        <v>1191027.3400000001</v>
      </c>
      <c r="I4614" s="1399">
        <v>1191027.3400000001</v>
      </c>
    </row>
    <row r="4615" spans="2:9">
      <c r="B4615" s="1297"/>
      <c r="C4615" s="1297"/>
      <c r="D4615" s="1297" t="s">
        <v>1041</v>
      </c>
      <c r="F4615" s="1399">
        <v>329181.80999999994</v>
      </c>
      <c r="I4615" s="1399">
        <v>329181.80999999994</v>
      </c>
    </row>
    <row r="4616" spans="2:9">
      <c r="B4616" s="1297"/>
      <c r="C4616" s="1297"/>
      <c r="D4616" s="1297" t="s">
        <v>1042</v>
      </c>
      <c r="F4616" s="1399">
        <v>202173.26999999996</v>
      </c>
      <c r="I4616" s="1399">
        <v>202173.26999999996</v>
      </c>
    </row>
    <row r="4617" spans="2:9">
      <c r="B4617" s="1297"/>
      <c r="C4617" s="1297"/>
      <c r="D4617" s="1297" t="s">
        <v>954</v>
      </c>
      <c r="F4617" s="1399">
        <v>416248.43</v>
      </c>
      <c r="I4617" s="1399">
        <v>416248.43</v>
      </c>
    </row>
    <row r="4618" spans="2:9">
      <c r="B4618" s="1297"/>
      <c r="C4618" s="1297"/>
      <c r="D4618" s="1297" t="s">
        <v>986</v>
      </c>
      <c r="F4618" s="1399">
        <v>570</v>
      </c>
      <c r="I4618" s="1399">
        <v>570</v>
      </c>
    </row>
    <row r="4619" spans="2:9">
      <c r="B4619" s="1297"/>
      <c r="C4619" s="1297"/>
      <c r="D4619" s="1297" t="s">
        <v>1044</v>
      </c>
      <c r="F4619" s="1399">
        <v>1614820.44</v>
      </c>
      <c r="I4619" s="1399">
        <v>1614820.44</v>
      </c>
    </row>
    <row r="4620" spans="2:9">
      <c r="B4620" s="1297"/>
      <c r="C4620" s="1297"/>
      <c r="D4620" s="1297" t="s">
        <v>1045</v>
      </c>
      <c r="F4620" s="1399">
        <v>852706.07999999973</v>
      </c>
      <c r="I4620" s="1399">
        <v>852706.07999999973</v>
      </c>
    </row>
    <row r="4621" spans="2:9">
      <c r="B4621" s="1297"/>
      <c r="C4621" s="1297"/>
      <c r="D4621" s="1297" t="s">
        <v>1046</v>
      </c>
      <c r="H4621" s="1399">
        <v>158332046</v>
      </c>
      <c r="I4621" s="1399">
        <v>158332046</v>
      </c>
    </row>
    <row r="4622" spans="2:9">
      <c r="B4622" s="1297"/>
      <c r="C4622" s="1297"/>
      <c r="D4622" s="1297" t="s">
        <v>1128</v>
      </c>
      <c r="H4622" s="1399">
        <v>13228259</v>
      </c>
      <c r="I4622" s="1399">
        <v>13228259</v>
      </c>
    </row>
    <row r="4623" spans="2:9">
      <c r="B4623" s="1297"/>
      <c r="C4623" s="1297"/>
      <c r="D4623" s="1297" t="s">
        <v>1129</v>
      </c>
      <c r="H4623" s="1399">
        <v>-22570214</v>
      </c>
      <c r="I4623" s="1399">
        <v>-22570214</v>
      </c>
    </row>
    <row r="4624" spans="2:9">
      <c r="B4624" s="1297"/>
      <c r="C4624" s="1297"/>
      <c r="D4624" s="1297" t="s">
        <v>1047</v>
      </c>
      <c r="H4624" s="1399">
        <v>3084815</v>
      </c>
      <c r="I4624" s="1399">
        <v>3084815</v>
      </c>
    </row>
    <row r="4625" spans="2:9">
      <c r="B4625" s="1297"/>
      <c r="C4625" s="1297"/>
      <c r="D4625" s="1297" t="s">
        <v>1048</v>
      </c>
      <c r="H4625" s="1399">
        <v>-22844202</v>
      </c>
      <c r="I4625" s="1399">
        <v>-22844202</v>
      </c>
    </row>
    <row r="4626" spans="2:9">
      <c r="B4626" s="1297"/>
      <c r="C4626" s="1297"/>
      <c r="D4626" s="1297" t="s">
        <v>932</v>
      </c>
      <c r="H4626" s="1399">
        <v>15509262</v>
      </c>
      <c r="I4626" s="1399">
        <v>15509262</v>
      </c>
    </row>
    <row r="4627" spans="2:9">
      <c r="B4627" s="1297"/>
      <c r="C4627" s="1297"/>
      <c r="D4627" s="1297" t="s">
        <v>955</v>
      </c>
      <c r="H4627" s="1399">
        <v>5397668.7199999997</v>
      </c>
      <c r="I4627" s="1399">
        <v>5397668.7199999997</v>
      </c>
    </row>
    <row r="4628" spans="2:9">
      <c r="B4628" s="1297"/>
      <c r="C4628" s="1297"/>
      <c r="D4628" s="1297" t="s">
        <v>934</v>
      </c>
      <c r="H4628" s="1399">
        <v>499340</v>
      </c>
      <c r="I4628" s="1399">
        <v>499340</v>
      </c>
    </row>
    <row r="4629" spans="2:9">
      <c r="B4629" s="1297"/>
      <c r="C4629" s="1297"/>
      <c r="D4629" s="1297" t="s">
        <v>1130</v>
      </c>
      <c r="H4629" s="1399">
        <v>3924418.3000000003</v>
      </c>
      <c r="I4629" s="1399">
        <v>3924418.3000000003</v>
      </c>
    </row>
    <row r="4630" spans="2:9">
      <c r="B4630" s="1297"/>
      <c r="C4630" s="1297"/>
      <c r="D4630" s="1297" t="s">
        <v>935</v>
      </c>
      <c r="H4630" s="1399">
        <v>3305853.74</v>
      </c>
      <c r="I4630" s="1399">
        <v>3305853.74</v>
      </c>
    </row>
    <row r="4631" spans="2:9">
      <c r="B4631" s="1297"/>
      <c r="C4631" s="1297"/>
      <c r="D4631" s="1297" t="s">
        <v>936</v>
      </c>
      <c r="H4631" s="1399">
        <v>482507.44</v>
      </c>
      <c r="I4631" s="1399">
        <v>482507.44</v>
      </c>
    </row>
    <row r="4632" spans="2:9">
      <c r="B4632" s="1297"/>
      <c r="C4632" s="1297"/>
      <c r="D4632" s="1297" t="s">
        <v>937</v>
      </c>
      <c r="H4632" s="1399">
        <v>169495.82</v>
      </c>
      <c r="I4632" s="1399">
        <v>169495.82</v>
      </c>
    </row>
    <row r="4633" spans="2:9">
      <c r="B4633" s="1297"/>
      <c r="C4633" s="1297"/>
      <c r="D4633" s="1297" t="s">
        <v>938</v>
      </c>
      <c r="H4633" s="1399">
        <v>187346</v>
      </c>
      <c r="I4633" s="1399">
        <v>187346</v>
      </c>
    </row>
    <row r="4634" spans="2:9">
      <c r="B4634" s="1297"/>
      <c r="C4634" s="1297"/>
      <c r="D4634" s="1297" t="s">
        <v>939</v>
      </c>
      <c r="H4634" s="1399">
        <v>1055.55</v>
      </c>
      <c r="I4634" s="1399">
        <v>1055.55</v>
      </c>
    </row>
    <row r="4635" spans="2:9">
      <c r="B4635" s="1297"/>
      <c r="C4635" s="1297"/>
      <c r="D4635" s="1297" t="s">
        <v>1131</v>
      </c>
      <c r="E4635" s="1399">
        <v>1121477.19</v>
      </c>
      <c r="I4635" s="1399">
        <v>1121477.19</v>
      </c>
    </row>
    <row r="4636" spans="2:9">
      <c r="B4636" s="1297"/>
      <c r="C4636" s="1297"/>
      <c r="D4636" s="1297" t="s">
        <v>940</v>
      </c>
      <c r="E4636" s="1399">
        <v>9356462.1199999992</v>
      </c>
      <c r="I4636" s="1399">
        <v>9356462.1199999992</v>
      </c>
    </row>
    <row r="4637" spans="2:9">
      <c r="B4637" s="1297"/>
      <c r="C4637" s="1297"/>
      <c r="D4637" s="1297" t="s">
        <v>941</v>
      </c>
      <c r="E4637" s="1399">
        <v>3532478.7</v>
      </c>
      <c r="I4637" s="1399">
        <v>3532478.7</v>
      </c>
    </row>
    <row r="4638" spans="2:9">
      <c r="B4638" s="1297"/>
      <c r="C4638" s="1297"/>
      <c r="D4638" s="1297" t="s">
        <v>943</v>
      </c>
      <c r="E4638" s="1399">
        <v>113496.75999999998</v>
      </c>
      <c r="I4638" s="1399">
        <v>113496.75999999998</v>
      </c>
    </row>
    <row r="4639" spans="2:9">
      <c r="B4639" s="1297"/>
      <c r="C4639" s="1297"/>
      <c r="D4639" s="1297" t="s">
        <v>944</v>
      </c>
      <c r="E4639" s="1399">
        <v>29109836.169999994</v>
      </c>
      <c r="I4639" s="1399">
        <v>29109836.169999994</v>
      </c>
    </row>
    <row r="4640" spans="2:9">
      <c r="B4640" s="1297"/>
      <c r="C4640" s="1297"/>
      <c r="D4640" s="1297" t="s">
        <v>945</v>
      </c>
      <c r="E4640" s="1399">
        <v>17644171.310000002</v>
      </c>
      <c r="I4640" s="1399">
        <v>17644171.310000002</v>
      </c>
    </row>
    <row r="4641" spans="2:9">
      <c r="B4641" s="1297"/>
      <c r="C4641" s="1297"/>
      <c r="D4641" s="1297" t="s">
        <v>946</v>
      </c>
      <c r="E4641" s="1399">
        <v>9000</v>
      </c>
      <c r="I4641" s="1399">
        <v>9000</v>
      </c>
    </row>
    <row r="4642" spans="2:9">
      <c r="B4642" s="1297"/>
      <c r="C4642" s="1297"/>
      <c r="D4642" s="1297" t="s">
        <v>978</v>
      </c>
      <c r="E4642" s="1399">
        <v>4134.8</v>
      </c>
      <c r="I4642" s="1399">
        <v>4134.8</v>
      </c>
    </row>
    <row r="4643" spans="2:9">
      <c r="B4643" s="1297"/>
      <c r="C4643" s="1297"/>
      <c r="D4643" s="1297" t="s">
        <v>1006</v>
      </c>
      <c r="E4643" s="1399">
        <v>1208987.25</v>
      </c>
      <c r="I4643" s="1399">
        <v>1208987.25</v>
      </c>
    </row>
    <row r="4644" spans="2:9">
      <c r="B4644" s="1297"/>
      <c r="C4644" s="1297"/>
      <c r="D4644" s="1297" t="s">
        <v>947</v>
      </c>
      <c r="E4644" s="1399">
        <v>1002023.9000000003</v>
      </c>
      <c r="I4644" s="1399">
        <v>1002023.9000000003</v>
      </c>
    </row>
    <row r="4645" spans="2:9">
      <c r="B4645" s="1297"/>
      <c r="C4645" s="1297"/>
      <c r="D4645" s="1297" t="s">
        <v>948</v>
      </c>
      <c r="G4645" s="1399">
        <v>29746278.699999999</v>
      </c>
      <c r="I4645" s="1399">
        <v>29746278.699999999</v>
      </c>
    </row>
    <row r="4646" spans="2:9">
      <c r="B4646" s="1297"/>
      <c r="C4646" s="1297"/>
      <c r="D4646" s="1297" t="s">
        <v>956</v>
      </c>
      <c r="G4646" s="1399">
        <v>6653.94</v>
      </c>
      <c r="I4646" s="1399">
        <v>6653.94</v>
      </c>
    </row>
    <row r="4647" spans="2:9">
      <c r="B4647" s="1297"/>
      <c r="C4647" s="1400" t="s">
        <v>1509</v>
      </c>
      <c r="D4647" s="1400"/>
      <c r="E4647" s="1401">
        <v>63102068.199999988</v>
      </c>
      <c r="F4647" s="1401">
        <v>128530192.65000001</v>
      </c>
      <c r="G4647" s="1401">
        <v>29752932.640000001</v>
      </c>
      <c r="H4647" s="1401">
        <v>158707651.57000002</v>
      </c>
      <c r="I4647" s="1401">
        <v>380092845.06</v>
      </c>
    </row>
    <row r="4648" spans="2:9">
      <c r="B4648" s="1297" t="s">
        <v>1510</v>
      </c>
      <c r="C4648" s="1297" t="s">
        <v>1511</v>
      </c>
      <c r="D4648" s="1297" t="s">
        <v>906</v>
      </c>
      <c r="F4648" s="1399">
        <v>57963851.620000005</v>
      </c>
      <c r="I4648" s="1399">
        <v>57963851.620000005</v>
      </c>
    </row>
    <row r="4649" spans="2:9">
      <c r="B4649" s="1297"/>
      <c r="C4649" s="1297"/>
      <c r="D4649" s="1297" t="s">
        <v>952</v>
      </c>
      <c r="F4649" s="1399">
        <v>431638.16</v>
      </c>
      <c r="I4649" s="1399">
        <v>431638.16</v>
      </c>
    </row>
    <row r="4650" spans="2:9">
      <c r="B4650" s="1297"/>
      <c r="C4650" s="1297"/>
      <c r="D4650" s="1297" t="s">
        <v>907</v>
      </c>
      <c r="F4650" s="1399">
        <v>12505322.380000001</v>
      </c>
      <c r="I4650" s="1399">
        <v>12505322.380000001</v>
      </c>
    </row>
    <row r="4651" spans="2:9">
      <c r="B4651" s="1297"/>
      <c r="C4651" s="1297"/>
      <c r="D4651" s="1297" t="s">
        <v>908</v>
      </c>
      <c r="F4651" s="1399">
        <v>9236.0499999999993</v>
      </c>
      <c r="I4651" s="1399">
        <v>9236.0499999999993</v>
      </c>
    </row>
    <row r="4652" spans="2:9">
      <c r="B4652" s="1297"/>
      <c r="C4652" s="1297"/>
      <c r="D4652" s="1297" t="s">
        <v>1037</v>
      </c>
      <c r="F4652" s="1399">
        <v>104411.7</v>
      </c>
      <c r="I4652" s="1399">
        <v>104411.7</v>
      </c>
    </row>
    <row r="4653" spans="2:9">
      <c r="B4653" s="1297"/>
      <c r="C4653" s="1297"/>
      <c r="D4653" s="1297" t="s">
        <v>1064</v>
      </c>
      <c r="F4653" s="1399">
        <v>2625.52</v>
      </c>
      <c r="I4653" s="1399">
        <v>2625.52</v>
      </c>
    </row>
    <row r="4654" spans="2:9">
      <c r="B4654" s="1297"/>
      <c r="C4654" s="1297"/>
      <c r="D4654" s="1297" t="s">
        <v>1039</v>
      </c>
      <c r="F4654" s="1399">
        <v>98730.12999999999</v>
      </c>
      <c r="I4654" s="1399">
        <v>98730.12999999999</v>
      </c>
    </row>
    <row r="4655" spans="2:9">
      <c r="B4655" s="1297"/>
      <c r="C4655" s="1297"/>
      <c r="D4655" s="1297" t="s">
        <v>1040</v>
      </c>
      <c r="F4655" s="1399">
        <v>1539996.65</v>
      </c>
      <c r="I4655" s="1399">
        <v>1539996.65</v>
      </c>
    </row>
    <row r="4656" spans="2:9">
      <c r="B4656" s="1297"/>
      <c r="C4656" s="1297"/>
      <c r="D4656" s="1297" t="s">
        <v>1041</v>
      </c>
      <c r="F4656" s="1399">
        <v>752015.46</v>
      </c>
      <c r="I4656" s="1399">
        <v>752015.46</v>
      </c>
    </row>
    <row r="4657" spans="2:9">
      <c r="B4657" s="1297"/>
      <c r="C4657" s="1297"/>
      <c r="D4657" s="1297" t="s">
        <v>1042</v>
      </c>
      <c r="F4657" s="1399">
        <v>262750.03999999998</v>
      </c>
      <c r="I4657" s="1399">
        <v>262750.03999999998</v>
      </c>
    </row>
    <row r="4658" spans="2:9">
      <c r="B4658" s="1297"/>
      <c r="C4658" s="1297"/>
      <c r="D4658" s="1297" t="s">
        <v>986</v>
      </c>
      <c r="F4658" s="1399">
        <v>10815.45</v>
      </c>
      <c r="I4658" s="1399">
        <v>10815.45</v>
      </c>
    </row>
    <row r="4659" spans="2:9">
      <c r="B4659" s="1297"/>
      <c r="C4659" s="1297"/>
      <c r="D4659" s="1297" t="s">
        <v>996</v>
      </c>
      <c r="F4659" s="1399">
        <v>32905.949999999997</v>
      </c>
      <c r="I4659" s="1399">
        <v>32905.949999999997</v>
      </c>
    </row>
    <row r="4660" spans="2:9">
      <c r="B4660" s="1297"/>
      <c r="C4660" s="1297"/>
      <c r="D4660" s="1297" t="s">
        <v>1044</v>
      </c>
      <c r="F4660" s="1399">
        <v>410689.88</v>
      </c>
      <c r="I4660" s="1399">
        <v>410689.88</v>
      </c>
    </row>
    <row r="4661" spans="2:9">
      <c r="B4661" s="1297"/>
      <c r="C4661" s="1297"/>
      <c r="D4661" s="1297" t="s">
        <v>1045</v>
      </c>
      <c r="F4661" s="1399">
        <v>10113423.630000001</v>
      </c>
      <c r="I4661" s="1399">
        <v>10113423.630000001</v>
      </c>
    </row>
    <row r="4662" spans="2:9">
      <c r="B4662" s="1297"/>
      <c r="C4662" s="1297"/>
      <c r="D4662" s="1297" t="s">
        <v>1046</v>
      </c>
      <c r="H4662" s="1399">
        <v>74181709</v>
      </c>
      <c r="I4662" s="1399">
        <v>74181709</v>
      </c>
    </row>
    <row r="4663" spans="2:9">
      <c r="B4663" s="1297"/>
      <c r="C4663" s="1297"/>
      <c r="D4663" s="1297" t="s">
        <v>1048</v>
      </c>
      <c r="H4663" s="1399">
        <v>-13695372</v>
      </c>
      <c r="I4663" s="1399">
        <v>-13695372</v>
      </c>
    </row>
    <row r="4664" spans="2:9">
      <c r="B4664" s="1297"/>
      <c r="C4664" s="1297"/>
      <c r="D4664" s="1297" t="s">
        <v>932</v>
      </c>
      <c r="H4664" s="1399">
        <v>3771181</v>
      </c>
      <c r="I4664" s="1399">
        <v>3771181</v>
      </c>
    </row>
    <row r="4665" spans="2:9">
      <c r="B4665" s="1297"/>
      <c r="C4665" s="1297"/>
      <c r="D4665" s="1297" t="s">
        <v>955</v>
      </c>
      <c r="H4665" s="1399">
        <v>1216851.1200000001</v>
      </c>
      <c r="I4665" s="1399">
        <v>1216851.1200000001</v>
      </c>
    </row>
    <row r="4666" spans="2:9">
      <c r="B4666" s="1297"/>
      <c r="C4666" s="1297"/>
      <c r="D4666" s="1297" t="s">
        <v>934</v>
      </c>
      <c r="H4666" s="1399">
        <v>239478</v>
      </c>
      <c r="I4666" s="1399">
        <v>239478</v>
      </c>
    </row>
    <row r="4667" spans="2:9">
      <c r="B4667" s="1297"/>
      <c r="C4667" s="1297"/>
      <c r="D4667" s="1297" t="s">
        <v>1130</v>
      </c>
      <c r="H4667" s="1399">
        <v>1921881.4</v>
      </c>
      <c r="I4667" s="1399">
        <v>1921881.4</v>
      </c>
    </row>
    <row r="4668" spans="2:9">
      <c r="B4668" s="1297"/>
      <c r="C4668" s="1297"/>
      <c r="D4668" s="1297" t="s">
        <v>935</v>
      </c>
      <c r="H4668" s="1399">
        <v>513390.11</v>
      </c>
      <c r="I4668" s="1399">
        <v>513390.11</v>
      </c>
    </row>
    <row r="4669" spans="2:9">
      <c r="B4669" s="1297"/>
      <c r="C4669" s="1297"/>
      <c r="D4669" s="1297" t="s">
        <v>936</v>
      </c>
      <c r="H4669" s="1399">
        <v>280120.43</v>
      </c>
      <c r="I4669" s="1399">
        <v>280120.43</v>
      </c>
    </row>
    <row r="4670" spans="2:9">
      <c r="B4670" s="1297"/>
      <c r="C4670" s="1297"/>
      <c r="D4670" s="1297" t="s">
        <v>937</v>
      </c>
      <c r="H4670" s="1399">
        <v>240705.41</v>
      </c>
      <c r="I4670" s="1399">
        <v>240705.41</v>
      </c>
    </row>
    <row r="4671" spans="2:9">
      <c r="B4671" s="1297"/>
      <c r="C4671" s="1297"/>
      <c r="D4671" s="1297" t="s">
        <v>938</v>
      </c>
      <c r="H4671" s="1399">
        <v>92831</v>
      </c>
      <c r="I4671" s="1399">
        <v>92831</v>
      </c>
    </row>
    <row r="4672" spans="2:9">
      <c r="B4672" s="1297"/>
      <c r="C4672" s="1297"/>
      <c r="D4672" s="1297" t="s">
        <v>1131</v>
      </c>
      <c r="E4672" s="1399">
        <v>193756.95</v>
      </c>
      <c r="I4672" s="1399">
        <v>193756.95</v>
      </c>
    </row>
    <row r="4673" spans="2:9">
      <c r="B4673" s="1297"/>
      <c r="C4673" s="1297"/>
      <c r="D4673" s="1297" t="s">
        <v>940</v>
      </c>
      <c r="E4673" s="1399">
        <v>4255617.26</v>
      </c>
      <c r="I4673" s="1399">
        <v>4255617.26</v>
      </c>
    </row>
    <row r="4674" spans="2:9">
      <c r="B4674" s="1297"/>
      <c r="C4674" s="1297"/>
      <c r="D4674" s="1297" t="s">
        <v>941</v>
      </c>
      <c r="E4674" s="1399">
        <v>1500496.72</v>
      </c>
      <c r="I4674" s="1399">
        <v>1500496.72</v>
      </c>
    </row>
    <row r="4675" spans="2:9">
      <c r="B4675" s="1297"/>
      <c r="C4675" s="1297"/>
      <c r="D4675" s="1297" t="s">
        <v>943</v>
      </c>
      <c r="E4675" s="1399">
        <v>64239.4</v>
      </c>
      <c r="I4675" s="1399">
        <v>64239.4</v>
      </c>
    </row>
    <row r="4676" spans="2:9">
      <c r="B4676" s="1297"/>
      <c r="C4676" s="1297"/>
      <c r="D4676" s="1297" t="s">
        <v>944</v>
      </c>
      <c r="E4676" s="1399">
        <v>8349820.5699999994</v>
      </c>
      <c r="I4676" s="1399">
        <v>8349820.5699999994</v>
      </c>
    </row>
    <row r="4677" spans="2:9">
      <c r="B4677" s="1297"/>
      <c r="C4677" s="1297"/>
      <c r="D4677" s="1297" t="s">
        <v>945</v>
      </c>
      <c r="E4677" s="1399">
        <v>5520830.0499999998</v>
      </c>
      <c r="I4677" s="1399">
        <v>5520830.0499999998</v>
      </c>
    </row>
    <row r="4678" spans="2:9">
      <c r="B4678" s="1297"/>
      <c r="C4678" s="1297"/>
      <c r="D4678" s="1297" t="s">
        <v>946</v>
      </c>
      <c r="E4678" s="1399">
        <v>1385998.06</v>
      </c>
      <c r="I4678" s="1399">
        <v>1385998.06</v>
      </c>
    </row>
    <row r="4679" spans="2:9">
      <c r="B4679" s="1297"/>
      <c r="C4679" s="1297"/>
      <c r="D4679" s="1297" t="s">
        <v>978</v>
      </c>
      <c r="E4679" s="1399">
        <v>10658.92</v>
      </c>
      <c r="I4679" s="1399">
        <v>10658.92</v>
      </c>
    </row>
    <row r="4680" spans="2:9">
      <c r="B4680" s="1297"/>
      <c r="C4680" s="1297"/>
      <c r="D4680" s="1297" t="s">
        <v>947</v>
      </c>
      <c r="E4680" s="1399">
        <v>429705.34</v>
      </c>
      <c r="I4680" s="1399">
        <v>429705.34</v>
      </c>
    </row>
    <row r="4681" spans="2:9">
      <c r="B4681" s="1297"/>
      <c r="C4681" s="1297"/>
      <c r="D4681" s="1297" t="s">
        <v>948</v>
      </c>
      <c r="G4681" s="1399">
        <v>2987587.9999999995</v>
      </c>
      <c r="I4681" s="1399">
        <v>2987587.9999999995</v>
      </c>
    </row>
    <row r="4682" spans="2:9">
      <c r="B4682" s="1297"/>
      <c r="C4682" s="1400" t="s">
        <v>1512</v>
      </c>
      <c r="D4682" s="1400"/>
      <c r="E4682" s="1401">
        <v>21711123.27</v>
      </c>
      <c r="F4682" s="1401">
        <v>84238412.61999999</v>
      </c>
      <c r="G4682" s="1401">
        <v>2987587.9999999995</v>
      </c>
      <c r="H4682" s="1401">
        <v>68762775.469999999</v>
      </c>
      <c r="I4682" s="1401">
        <v>177699899.36000001</v>
      </c>
    </row>
    <row r="4683" spans="2:9">
      <c r="B4683" s="1297" t="s">
        <v>1513</v>
      </c>
      <c r="C4683" s="1297" t="s">
        <v>1514</v>
      </c>
      <c r="D4683" s="1297" t="s">
        <v>906</v>
      </c>
      <c r="F4683" s="1399">
        <v>2073563.32</v>
      </c>
      <c r="I4683" s="1399">
        <v>2073563.32</v>
      </c>
    </row>
    <row r="4684" spans="2:9">
      <c r="B4684" s="1297"/>
      <c r="C4684" s="1297"/>
      <c r="D4684" s="1297" t="s">
        <v>952</v>
      </c>
      <c r="F4684" s="1399">
        <v>15363.73</v>
      </c>
      <c r="I4684" s="1399">
        <v>15363.73</v>
      </c>
    </row>
    <row r="4685" spans="2:9">
      <c r="B4685" s="1297"/>
      <c r="C4685" s="1297"/>
      <c r="D4685" s="1297" t="s">
        <v>907</v>
      </c>
      <c r="F4685" s="1399">
        <v>257748.6</v>
      </c>
      <c r="I4685" s="1399">
        <v>257748.6</v>
      </c>
    </row>
    <row r="4686" spans="2:9">
      <c r="B4686" s="1297"/>
      <c r="C4686" s="1297"/>
      <c r="D4686" s="1297" t="s">
        <v>908</v>
      </c>
      <c r="F4686" s="1399">
        <v>11462.41</v>
      </c>
      <c r="I4686" s="1399">
        <v>11462.41</v>
      </c>
    </row>
    <row r="4687" spans="2:9">
      <c r="B4687" s="1297"/>
      <c r="C4687" s="1297"/>
      <c r="D4687" s="1297" t="s">
        <v>909</v>
      </c>
      <c r="F4687" s="1399">
        <v>21174.03</v>
      </c>
      <c r="I4687" s="1399">
        <v>21174.03</v>
      </c>
    </row>
    <row r="4688" spans="2:9">
      <c r="B4688" s="1297"/>
      <c r="C4688" s="1297"/>
      <c r="D4688" s="1297" t="s">
        <v>910</v>
      </c>
      <c r="F4688" s="1399">
        <v>5851</v>
      </c>
      <c r="I4688" s="1399">
        <v>5851</v>
      </c>
    </row>
    <row r="4689" spans="2:9">
      <c r="B4689" s="1297"/>
      <c r="C4689" s="1297"/>
      <c r="D4689" s="1297" t="s">
        <v>1034</v>
      </c>
      <c r="F4689" s="1399">
        <v>20159</v>
      </c>
      <c r="I4689" s="1399">
        <v>20159</v>
      </c>
    </row>
    <row r="4690" spans="2:9">
      <c r="B4690" s="1297"/>
      <c r="C4690" s="1297"/>
      <c r="D4690" s="1297" t="s">
        <v>1035</v>
      </c>
      <c r="F4690" s="1399">
        <v>335745.08</v>
      </c>
      <c r="I4690" s="1399">
        <v>335745.08</v>
      </c>
    </row>
    <row r="4691" spans="2:9">
      <c r="B4691" s="1297"/>
      <c r="C4691" s="1297"/>
      <c r="D4691" s="1297" t="s">
        <v>1036</v>
      </c>
      <c r="F4691" s="1399">
        <v>61743.02</v>
      </c>
      <c r="I4691" s="1399">
        <v>61743.02</v>
      </c>
    </row>
    <row r="4692" spans="2:9">
      <c r="B4692" s="1297"/>
      <c r="C4692" s="1297"/>
      <c r="D4692" s="1297" t="s">
        <v>1037</v>
      </c>
      <c r="F4692" s="1399">
        <v>535290.79999999993</v>
      </c>
      <c r="I4692" s="1399">
        <v>535290.79999999993</v>
      </c>
    </row>
    <row r="4693" spans="2:9">
      <c r="B4693" s="1297"/>
      <c r="C4693" s="1297"/>
      <c r="D4693" s="1297" t="s">
        <v>1039</v>
      </c>
      <c r="F4693" s="1399">
        <v>5622.369999999999</v>
      </c>
      <c r="I4693" s="1399">
        <v>5622.369999999999</v>
      </c>
    </row>
    <row r="4694" spans="2:9">
      <c r="B4694" s="1297"/>
      <c r="C4694" s="1297"/>
      <c r="D4694" s="1297" t="s">
        <v>1040</v>
      </c>
      <c r="F4694" s="1399">
        <v>135425.54999999999</v>
      </c>
      <c r="I4694" s="1399">
        <v>135425.54999999999</v>
      </c>
    </row>
    <row r="4695" spans="2:9">
      <c r="B4695" s="1297"/>
      <c r="C4695" s="1297"/>
      <c r="D4695" s="1297" t="s">
        <v>1041</v>
      </c>
      <c r="F4695" s="1399">
        <v>58082.55</v>
      </c>
      <c r="I4695" s="1399">
        <v>58082.55</v>
      </c>
    </row>
    <row r="4696" spans="2:9">
      <c r="B4696" s="1297"/>
      <c r="C4696" s="1297"/>
      <c r="D4696" s="1297" t="s">
        <v>1042</v>
      </c>
      <c r="F4696" s="1399">
        <v>17484.5</v>
      </c>
      <c r="I4696" s="1399">
        <v>17484.5</v>
      </c>
    </row>
    <row r="4697" spans="2:9">
      <c r="B4697" s="1297"/>
      <c r="C4697" s="1297"/>
      <c r="D4697" s="1297" t="s">
        <v>953</v>
      </c>
      <c r="F4697" s="1399">
        <v>1555</v>
      </c>
      <c r="I4697" s="1399">
        <v>1555</v>
      </c>
    </row>
    <row r="4698" spans="2:9">
      <c r="B4698" s="1297"/>
      <c r="C4698" s="1297"/>
      <c r="D4698" s="1297" t="s">
        <v>1045</v>
      </c>
      <c r="F4698" s="1399">
        <v>19085.829999999998</v>
      </c>
      <c r="I4698" s="1399">
        <v>19085.829999999998</v>
      </c>
    </row>
    <row r="4699" spans="2:9">
      <c r="B4699" s="1297"/>
      <c r="C4699" s="1297"/>
      <c r="D4699" s="1297" t="s">
        <v>1046</v>
      </c>
      <c r="H4699" s="1399">
        <v>6414892</v>
      </c>
      <c r="I4699" s="1399">
        <v>6414892</v>
      </c>
    </row>
    <row r="4700" spans="2:9">
      <c r="B4700" s="1297"/>
      <c r="C4700" s="1297"/>
      <c r="D4700" s="1297" t="s">
        <v>1047</v>
      </c>
      <c r="H4700" s="1399">
        <v>281173</v>
      </c>
      <c r="I4700" s="1399">
        <v>281173</v>
      </c>
    </row>
    <row r="4701" spans="2:9">
      <c r="B4701" s="1297"/>
      <c r="C4701" s="1297"/>
      <c r="D4701" s="1297" t="s">
        <v>1048</v>
      </c>
      <c r="H4701" s="1399">
        <v>-574189</v>
      </c>
      <c r="I4701" s="1399">
        <v>-574189</v>
      </c>
    </row>
    <row r="4702" spans="2:9">
      <c r="B4702" s="1297"/>
      <c r="C4702" s="1297"/>
      <c r="D4702" s="1297" t="s">
        <v>932</v>
      </c>
      <c r="H4702" s="1399">
        <v>465006</v>
      </c>
      <c r="I4702" s="1399">
        <v>465006</v>
      </c>
    </row>
    <row r="4703" spans="2:9">
      <c r="B4703" s="1297"/>
      <c r="C4703" s="1297"/>
      <c r="D4703" s="1297" t="s">
        <v>933</v>
      </c>
      <c r="H4703" s="1399">
        <v>427052</v>
      </c>
      <c r="I4703" s="1399">
        <v>427052</v>
      </c>
    </row>
    <row r="4704" spans="2:9">
      <c r="B4704" s="1297"/>
      <c r="C4704" s="1297"/>
      <c r="D4704" s="1297" t="s">
        <v>934</v>
      </c>
      <c r="H4704" s="1399">
        <v>22172</v>
      </c>
      <c r="I4704" s="1399">
        <v>22172</v>
      </c>
    </row>
    <row r="4705" spans="2:9">
      <c r="B4705" s="1297"/>
      <c r="C4705" s="1297"/>
      <c r="D4705" s="1297" t="s">
        <v>935</v>
      </c>
      <c r="H4705" s="1399">
        <v>27905.16</v>
      </c>
      <c r="I4705" s="1399">
        <v>27905.16</v>
      </c>
    </row>
    <row r="4706" spans="2:9">
      <c r="B4706" s="1297"/>
      <c r="C4706" s="1297"/>
      <c r="D4706" s="1297" t="s">
        <v>936</v>
      </c>
      <c r="H4706" s="1399">
        <v>17157.38</v>
      </c>
      <c r="I4706" s="1399">
        <v>17157.38</v>
      </c>
    </row>
    <row r="4707" spans="2:9">
      <c r="B4707" s="1297"/>
      <c r="C4707" s="1297"/>
      <c r="D4707" s="1297" t="s">
        <v>938</v>
      </c>
      <c r="H4707" s="1399">
        <v>4866</v>
      </c>
      <c r="I4707" s="1399">
        <v>4866</v>
      </c>
    </row>
    <row r="4708" spans="2:9">
      <c r="B4708" s="1297"/>
      <c r="C4708" s="1297"/>
      <c r="D4708" s="1297" t="s">
        <v>939</v>
      </c>
      <c r="H4708" s="1399">
        <v>4007.1099999999997</v>
      </c>
      <c r="I4708" s="1399">
        <v>4007.1099999999997</v>
      </c>
    </row>
    <row r="4709" spans="2:9">
      <c r="B4709" s="1297"/>
      <c r="C4709" s="1297"/>
      <c r="D4709" s="1297" t="s">
        <v>940</v>
      </c>
      <c r="E4709" s="1399">
        <v>320493.80000000005</v>
      </c>
      <c r="I4709" s="1399">
        <v>320493.80000000005</v>
      </c>
    </row>
    <row r="4710" spans="2:9">
      <c r="B4710" s="1297"/>
      <c r="C4710" s="1297"/>
      <c r="D4710" s="1297" t="s">
        <v>941</v>
      </c>
      <c r="E4710" s="1399">
        <v>122588.4</v>
      </c>
      <c r="I4710" s="1399">
        <v>122588.4</v>
      </c>
    </row>
    <row r="4711" spans="2:9">
      <c r="B4711" s="1297"/>
      <c r="C4711" s="1297"/>
      <c r="D4711" s="1297" t="s">
        <v>943</v>
      </c>
      <c r="E4711" s="1399">
        <v>251.99</v>
      </c>
      <c r="I4711" s="1399">
        <v>251.99</v>
      </c>
    </row>
    <row r="4712" spans="2:9">
      <c r="B4712" s="1297"/>
      <c r="C4712" s="1297"/>
      <c r="D4712" s="1297" t="s">
        <v>944</v>
      </c>
      <c r="E4712" s="1399">
        <v>559301.81000000006</v>
      </c>
      <c r="I4712" s="1399">
        <v>559301.81000000006</v>
      </c>
    </row>
    <row r="4713" spans="2:9">
      <c r="B4713" s="1297"/>
      <c r="C4713" s="1297"/>
      <c r="D4713" s="1297" t="s">
        <v>945</v>
      </c>
      <c r="E4713" s="1399">
        <v>622681.46</v>
      </c>
      <c r="I4713" s="1399">
        <v>622681.46</v>
      </c>
    </row>
    <row r="4714" spans="2:9">
      <c r="B4714" s="1297"/>
      <c r="C4714" s="1297"/>
      <c r="D4714" s="1297" t="s">
        <v>947</v>
      </c>
      <c r="E4714" s="1399">
        <v>52186.45</v>
      </c>
      <c r="I4714" s="1399">
        <v>52186.45</v>
      </c>
    </row>
    <row r="4715" spans="2:9">
      <c r="B4715" s="1297"/>
      <c r="C4715" s="1297"/>
      <c r="D4715" s="1297" t="s">
        <v>948</v>
      </c>
      <c r="G4715" s="1399">
        <v>180086</v>
      </c>
      <c r="I4715" s="1399">
        <v>180086</v>
      </c>
    </row>
    <row r="4716" spans="2:9">
      <c r="B4716" s="1297"/>
      <c r="C4716" s="1297"/>
      <c r="D4716" s="1297" t="s">
        <v>1118</v>
      </c>
      <c r="G4716" s="1399">
        <v>26466.75</v>
      </c>
      <c r="I4716" s="1399">
        <v>26466.75</v>
      </c>
    </row>
    <row r="4717" spans="2:9">
      <c r="B4717" s="1297"/>
      <c r="C4717" s="1400" t="s">
        <v>1515</v>
      </c>
      <c r="D4717" s="1400"/>
      <c r="E4717" s="1401">
        <v>1677503.91</v>
      </c>
      <c r="F4717" s="1401">
        <v>3575356.7899999996</v>
      </c>
      <c r="G4717" s="1401">
        <v>206552.75</v>
      </c>
      <c r="H4717" s="1401">
        <v>7090041.6500000004</v>
      </c>
      <c r="I4717" s="1401">
        <v>12549455.100000001</v>
      </c>
    </row>
    <row r="4718" spans="2:9">
      <c r="B4718" s="1297" t="s">
        <v>1516</v>
      </c>
      <c r="C4718" s="1297" t="s">
        <v>1324</v>
      </c>
      <c r="D4718" s="1297" t="s">
        <v>906</v>
      </c>
      <c r="F4718" s="1399">
        <v>5047032.55</v>
      </c>
      <c r="I4718" s="1399">
        <v>5047032.55</v>
      </c>
    </row>
    <row r="4719" spans="2:9">
      <c r="B4719" s="1297"/>
      <c r="C4719" s="1297"/>
      <c r="D4719" s="1297" t="s">
        <v>952</v>
      </c>
      <c r="F4719" s="1399">
        <v>22158.17</v>
      </c>
      <c r="I4719" s="1399">
        <v>22158.17</v>
      </c>
    </row>
    <row r="4720" spans="2:9">
      <c r="B4720" s="1297"/>
      <c r="C4720" s="1297"/>
      <c r="D4720" s="1297" t="s">
        <v>907</v>
      </c>
      <c r="F4720" s="1399">
        <v>1436585.18</v>
      </c>
      <c r="I4720" s="1399">
        <v>1436585.18</v>
      </c>
    </row>
    <row r="4721" spans="2:9">
      <c r="B4721" s="1297"/>
      <c r="C4721" s="1297"/>
      <c r="D4721" s="1297" t="s">
        <v>908</v>
      </c>
      <c r="F4721" s="1399">
        <v>26320.46</v>
      </c>
      <c r="I4721" s="1399">
        <v>26320.46</v>
      </c>
    </row>
    <row r="4722" spans="2:9">
      <c r="B4722" s="1297"/>
      <c r="C4722" s="1297"/>
      <c r="D4722" s="1297" t="s">
        <v>1122</v>
      </c>
      <c r="F4722" s="1399">
        <v>-3275</v>
      </c>
      <c r="I4722" s="1399">
        <v>-3275</v>
      </c>
    </row>
    <row r="4723" spans="2:9">
      <c r="B4723" s="1297"/>
      <c r="C4723" s="1297"/>
      <c r="D4723" s="1297" t="s">
        <v>909</v>
      </c>
      <c r="F4723" s="1399">
        <v>17262.239999999998</v>
      </c>
      <c r="I4723" s="1399">
        <v>17262.239999999998</v>
      </c>
    </row>
    <row r="4724" spans="2:9">
      <c r="B4724" s="1297"/>
      <c r="C4724" s="1297"/>
      <c r="D4724" s="1297" t="s">
        <v>910</v>
      </c>
      <c r="F4724" s="1399">
        <v>63719.77</v>
      </c>
      <c r="I4724" s="1399">
        <v>63719.77</v>
      </c>
    </row>
    <row r="4725" spans="2:9">
      <c r="B4725" s="1297"/>
      <c r="C4725" s="1297"/>
      <c r="D4725" s="1297" t="s">
        <v>1034</v>
      </c>
      <c r="F4725" s="1399">
        <v>88054.07</v>
      </c>
      <c r="I4725" s="1399">
        <v>88054.07</v>
      </c>
    </row>
    <row r="4726" spans="2:9">
      <c r="B4726" s="1297"/>
      <c r="C4726" s="1297"/>
      <c r="D4726" s="1297" t="s">
        <v>1035</v>
      </c>
      <c r="F4726" s="1399">
        <v>188395.06</v>
      </c>
      <c r="I4726" s="1399">
        <v>188395.06</v>
      </c>
    </row>
    <row r="4727" spans="2:9">
      <c r="B4727" s="1297"/>
      <c r="C4727" s="1297"/>
      <c r="D4727" s="1297" t="s">
        <v>1036</v>
      </c>
      <c r="F4727" s="1399">
        <v>61353.16</v>
      </c>
      <c r="I4727" s="1399">
        <v>61353.16</v>
      </c>
    </row>
    <row r="4728" spans="2:9">
      <c r="B4728" s="1297"/>
      <c r="C4728" s="1297"/>
      <c r="D4728" s="1297" t="s">
        <v>1003</v>
      </c>
      <c r="F4728" s="1399">
        <v>21929.75</v>
      </c>
      <c r="I4728" s="1399">
        <v>21929.75</v>
      </c>
    </row>
    <row r="4729" spans="2:9">
      <c r="B4729" s="1297"/>
      <c r="C4729" s="1297"/>
      <c r="D4729" s="1297" t="s">
        <v>1039</v>
      </c>
      <c r="F4729" s="1399">
        <v>31053.600000000002</v>
      </c>
      <c r="I4729" s="1399">
        <v>31053.600000000002</v>
      </c>
    </row>
    <row r="4730" spans="2:9">
      <c r="B4730" s="1297"/>
      <c r="C4730" s="1297"/>
      <c r="D4730" s="1297" t="s">
        <v>1041</v>
      </c>
      <c r="F4730" s="1399">
        <v>205.25</v>
      </c>
      <c r="I4730" s="1399">
        <v>205.25</v>
      </c>
    </row>
    <row r="4731" spans="2:9">
      <c r="B4731" s="1297"/>
      <c r="C4731" s="1297"/>
      <c r="D4731" s="1297" t="s">
        <v>1042</v>
      </c>
      <c r="F4731" s="1399">
        <v>33951.199999999997</v>
      </c>
      <c r="I4731" s="1399">
        <v>33951.199999999997</v>
      </c>
    </row>
    <row r="4732" spans="2:9">
      <c r="B4732" s="1297"/>
      <c r="C4732" s="1297"/>
      <c r="D4732" s="1297" t="s">
        <v>985</v>
      </c>
      <c r="F4732" s="1399">
        <v>30818</v>
      </c>
      <c r="I4732" s="1399">
        <v>30818</v>
      </c>
    </row>
    <row r="4733" spans="2:9">
      <c r="B4733" s="1297"/>
      <c r="C4733" s="1297"/>
      <c r="D4733" s="1297" t="s">
        <v>1045</v>
      </c>
      <c r="F4733" s="1399">
        <v>605699.55000000005</v>
      </c>
      <c r="I4733" s="1399">
        <v>605699.55000000005</v>
      </c>
    </row>
    <row r="4734" spans="2:9">
      <c r="B4734" s="1297"/>
      <c r="C4734" s="1297"/>
      <c r="D4734" s="1297" t="s">
        <v>1046</v>
      </c>
      <c r="H4734" s="1399">
        <v>14142214</v>
      </c>
      <c r="I4734" s="1399">
        <v>14142214</v>
      </c>
    </row>
    <row r="4735" spans="2:9">
      <c r="B4735" s="1297"/>
      <c r="C4735" s="1297"/>
      <c r="D4735" s="1297" t="s">
        <v>1129</v>
      </c>
      <c r="H4735" s="1399">
        <v>-1908604</v>
      </c>
      <c r="I4735" s="1399">
        <v>-1908604</v>
      </c>
    </row>
    <row r="4736" spans="2:9">
      <c r="B4736" s="1297"/>
      <c r="C4736" s="1297"/>
      <c r="D4736" s="1297" t="s">
        <v>1047</v>
      </c>
      <c r="H4736" s="1399">
        <v>653389</v>
      </c>
      <c r="I4736" s="1399">
        <v>653389</v>
      </c>
    </row>
    <row r="4737" spans="2:9">
      <c r="B4737" s="1297"/>
      <c r="C4737" s="1297"/>
      <c r="D4737" s="1297" t="s">
        <v>1048</v>
      </c>
      <c r="H4737" s="1399">
        <v>-1715358</v>
      </c>
      <c r="I4737" s="1399">
        <v>-1715358</v>
      </c>
    </row>
    <row r="4738" spans="2:9">
      <c r="B4738" s="1297"/>
      <c r="C4738" s="1297"/>
      <c r="D4738" s="1297" t="s">
        <v>932</v>
      </c>
      <c r="H4738" s="1399">
        <v>1107023</v>
      </c>
      <c r="I4738" s="1399">
        <v>1107023</v>
      </c>
    </row>
    <row r="4739" spans="2:9">
      <c r="B4739" s="1297"/>
      <c r="C4739" s="1297"/>
      <c r="D4739" s="1297" t="s">
        <v>955</v>
      </c>
      <c r="H4739" s="1399">
        <v>472715.86</v>
      </c>
      <c r="I4739" s="1399">
        <v>472715.86</v>
      </c>
    </row>
    <row r="4740" spans="2:9">
      <c r="B4740" s="1297"/>
      <c r="C4740" s="1297"/>
      <c r="D4740" s="1297" t="s">
        <v>934</v>
      </c>
      <c r="H4740" s="1399">
        <v>42788</v>
      </c>
      <c r="I4740" s="1399">
        <v>42788</v>
      </c>
    </row>
    <row r="4741" spans="2:9">
      <c r="B4741" s="1297"/>
      <c r="C4741" s="1297"/>
      <c r="D4741" s="1297" t="s">
        <v>935</v>
      </c>
      <c r="H4741" s="1399">
        <v>372815.98</v>
      </c>
      <c r="I4741" s="1399">
        <v>372815.98</v>
      </c>
    </row>
    <row r="4742" spans="2:9">
      <c r="B4742" s="1297"/>
      <c r="C4742" s="1297"/>
      <c r="D4742" s="1297" t="s">
        <v>936</v>
      </c>
      <c r="H4742" s="1399">
        <v>37115.96</v>
      </c>
      <c r="I4742" s="1399">
        <v>37115.96</v>
      </c>
    </row>
    <row r="4743" spans="2:9">
      <c r="B4743" s="1297"/>
      <c r="C4743" s="1297"/>
      <c r="D4743" s="1297" t="s">
        <v>938</v>
      </c>
      <c r="H4743" s="1399">
        <v>14973.01</v>
      </c>
      <c r="I4743" s="1399">
        <v>14973.01</v>
      </c>
    </row>
    <row r="4744" spans="2:9">
      <c r="B4744" s="1297"/>
      <c r="C4744" s="1297"/>
      <c r="D4744" s="1297" t="s">
        <v>939</v>
      </c>
      <c r="H4744" s="1399">
        <v>49238.93</v>
      </c>
      <c r="I4744" s="1399">
        <v>49238.93</v>
      </c>
    </row>
    <row r="4745" spans="2:9">
      <c r="B4745" s="1297"/>
      <c r="C4745" s="1297"/>
      <c r="D4745" s="1297" t="s">
        <v>940</v>
      </c>
      <c r="E4745" s="1399">
        <v>772991.62</v>
      </c>
      <c r="I4745" s="1399">
        <v>772991.62</v>
      </c>
    </row>
    <row r="4746" spans="2:9">
      <c r="B4746" s="1297"/>
      <c r="C4746" s="1297"/>
      <c r="D4746" s="1297" t="s">
        <v>941</v>
      </c>
      <c r="E4746" s="1399">
        <v>502036.83999999997</v>
      </c>
      <c r="I4746" s="1399">
        <v>502036.83999999997</v>
      </c>
    </row>
    <row r="4747" spans="2:9">
      <c r="B4747" s="1297"/>
      <c r="C4747" s="1297"/>
      <c r="D4747" s="1297" t="s">
        <v>944</v>
      </c>
      <c r="E4747" s="1399">
        <v>2103989.1799999997</v>
      </c>
      <c r="I4747" s="1399">
        <v>2103989.1799999997</v>
      </c>
    </row>
    <row r="4748" spans="2:9">
      <c r="B4748" s="1297"/>
      <c r="C4748" s="1297"/>
      <c r="D4748" s="1297" t="s">
        <v>945</v>
      </c>
      <c r="E4748" s="1399">
        <v>1098071.4099999999</v>
      </c>
      <c r="I4748" s="1399">
        <v>1098071.4099999999</v>
      </c>
    </row>
    <row r="4749" spans="2:9">
      <c r="B4749" s="1297"/>
      <c r="C4749" s="1297"/>
      <c r="D4749" s="1297" t="s">
        <v>947</v>
      </c>
      <c r="E4749" s="1399">
        <v>98150.05</v>
      </c>
      <c r="I4749" s="1399">
        <v>98150.05</v>
      </c>
    </row>
    <row r="4750" spans="2:9">
      <c r="B4750" s="1297"/>
      <c r="C4750" s="1297"/>
      <c r="D4750" s="1297" t="s">
        <v>948</v>
      </c>
      <c r="G4750" s="1399">
        <v>326260</v>
      </c>
      <c r="I4750" s="1399">
        <v>326260</v>
      </c>
    </row>
    <row r="4751" spans="2:9">
      <c r="B4751" s="1297"/>
      <c r="C4751" s="1297"/>
      <c r="D4751" s="1297" t="s">
        <v>1118</v>
      </c>
      <c r="G4751" s="1399">
        <v>4493.74</v>
      </c>
      <c r="I4751" s="1399">
        <v>4493.74</v>
      </c>
    </row>
    <row r="4752" spans="2:9">
      <c r="B4752" s="1297"/>
      <c r="C4752" s="1400" t="s">
        <v>1325</v>
      </c>
      <c r="D4752" s="1400"/>
      <c r="E4752" s="1401">
        <v>4575239.0999999996</v>
      </c>
      <c r="F4752" s="1401">
        <v>7671263.0099999988</v>
      </c>
      <c r="G4752" s="1401">
        <v>330753.74</v>
      </c>
      <c r="H4752" s="1401">
        <v>13268311.74</v>
      </c>
      <c r="I4752" s="1401">
        <v>25845567.59</v>
      </c>
    </row>
    <row r="4753" spans="2:9">
      <c r="B4753" s="1297" t="s">
        <v>1326</v>
      </c>
      <c r="C4753" s="1297" t="s">
        <v>1327</v>
      </c>
      <c r="D4753" s="1297" t="s">
        <v>906</v>
      </c>
      <c r="F4753" s="1399">
        <v>3916094.25</v>
      </c>
      <c r="I4753" s="1399">
        <v>3916094.25</v>
      </c>
    </row>
    <row r="4754" spans="2:9">
      <c r="B4754" s="1297"/>
      <c r="C4754" s="1297"/>
      <c r="D4754" s="1297" t="s">
        <v>952</v>
      </c>
      <c r="F4754" s="1399">
        <v>20569.599999999999</v>
      </c>
      <c r="I4754" s="1399">
        <v>20569.599999999999</v>
      </c>
    </row>
    <row r="4755" spans="2:9">
      <c r="B4755" s="1297"/>
      <c r="C4755" s="1297"/>
      <c r="D4755" s="1297" t="s">
        <v>907</v>
      </c>
      <c r="F4755" s="1399">
        <v>1199668.6100000001</v>
      </c>
      <c r="I4755" s="1399">
        <v>1199668.6100000001</v>
      </c>
    </row>
    <row r="4756" spans="2:9">
      <c r="B4756" s="1297"/>
      <c r="C4756" s="1297"/>
      <c r="D4756" s="1297" t="s">
        <v>908</v>
      </c>
      <c r="F4756" s="1399">
        <v>206294.72</v>
      </c>
      <c r="I4756" s="1399">
        <v>206294.72</v>
      </c>
    </row>
    <row r="4757" spans="2:9">
      <c r="B4757" s="1297"/>
      <c r="C4757" s="1297"/>
      <c r="D4757" s="1297" t="s">
        <v>1034</v>
      </c>
      <c r="F4757" s="1399">
        <v>14063.43</v>
      </c>
      <c r="I4757" s="1399">
        <v>14063.43</v>
      </c>
    </row>
    <row r="4758" spans="2:9">
      <c r="B4758" s="1297"/>
      <c r="C4758" s="1297"/>
      <c r="D4758" s="1297" t="s">
        <v>1038</v>
      </c>
      <c r="F4758" s="1399">
        <v>24000</v>
      </c>
      <c r="I4758" s="1399">
        <v>24000</v>
      </c>
    </row>
    <row r="4759" spans="2:9">
      <c r="B4759" s="1297"/>
      <c r="C4759" s="1297"/>
      <c r="D4759" s="1297" t="s">
        <v>1003</v>
      </c>
      <c r="F4759" s="1399">
        <v>1401.26</v>
      </c>
      <c r="I4759" s="1399">
        <v>1401.26</v>
      </c>
    </row>
    <row r="4760" spans="2:9">
      <c r="B4760" s="1297"/>
      <c r="C4760" s="1297"/>
      <c r="D4760" s="1297" t="s">
        <v>1039</v>
      </c>
      <c r="F4760" s="1399">
        <v>62178.69</v>
      </c>
      <c r="I4760" s="1399">
        <v>62178.69</v>
      </c>
    </row>
    <row r="4761" spans="2:9">
      <c r="B4761" s="1297"/>
      <c r="C4761" s="1297"/>
      <c r="D4761" s="1297" t="s">
        <v>1040</v>
      </c>
      <c r="F4761" s="1399">
        <v>73415.58</v>
      </c>
      <c r="I4761" s="1399">
        <v>73415.58</v>
      </c>
    </row>
    <row r="4762" spans="2:9">
      <c r="B4762" s="1297"/>
      <c r="C4762" s="1297"/>
      <c r="D4762" s="1297" t="s">
        <v>1041</v>
      </c>
      <c r="F4762" s="1399">
        <v>4965.26</v>
      </c>
      <c r="I4762" s="1399">
        <v>4965.26</v>
      </c>
    </row>
    <row r="4763" spans="2:9">
      <c r="B4763" s="1297"/>
      <c r="C4763" s="1297"/>
      <c r="D4763" s="1297" t="s">
        <v>1042</v>
      </c>
      <c r="F4763" s="1399">
        <v>31330.82</v>
      </c>
      <c r="I4763" s="1399">
        <v>31330.82</v>
      </c>
    </row>
    <row r="4764" spans="2:9">
      <c r="B4764" s="1297"/>
      <c r="C4764" s="1297"/>
      <c r="D4764" s="1297" t="s">
        <v>954</v>
      </c>
      <c r="F4764" s="1399">
        <v>489619.54</v>
      </c>
      <c r="I4764" s="1399">
        <v>489619.54</v>
      </c>
    </row>
    <row r="4765" spans="2:9">
      <c r="B4765" s="1297"/>
      <c r="C4765" s="1297"/>
      <c r="D4765" s="1297" t="s">
        <v>986</v>
      </c>
      <c r="F4765" s="1399">
        <v>9143.48</v>
      </c>
      <c r="I4765" s="1399">
        <v>9143.48</v>
      </c>
    </row>
    <row r="4766" spans="2:9">
      <c r="B4766" s="1297"/>
      <c r="C4766" s="1297"/>
      <c r="D4766" s="1297" t="s">
        <v>1044</v>
      </c>
      <c r="F4766" s="1399">
        <v>17235</v>
      </c>
      <c r="I4766" s="1399">
        <v>17235</v>
      </c>
    </row>
    <row r="4767" spans="2:9">
      <c r="B4767" s="1297"/>
      <c r="C4767" s="1297"/>
      <c r="D4767" s="1297" t="s">
        <v>1045</v>
      </c>
      <c r="F4767" s="1399">
        <v>45573.9</v>
      </c>
      <c r="I4767" s="1399">
        <v>45573.9</v>
      </c>
    </row>
    <row r="4768" spans="2:9">
      <c r="B4768" s="1297"/>
      <c r="C4768" s="1297"/>
      <c r="D4768" s="1297" t="s">
        <v>1046</v>
      </c>
      <c r="H4768" s="1399">
        <v>8310985</v>
      </c>
      <c r="I4768" s="1399">
        <v>8310985</v>
      </c>
    </row>
    <row r="4769" spans="2:9">
      <c r="B4769" s="1297"/>
      <c r="C4769" s="1297"/>
      <c r="D4769" s="1297" t="s">
        <v>1128</v>
      </c>
      <c r="H4769" s="1399">
        <v>654642</v>
      </c>
      <c r="I4769" s="1399">
        <v>654642</v>
      </c>
    </row>
    <row r="4770" spans="2:9">
      <c r="B4770" s="1297"/>
      <c r="C4770" s="1297"/>
      <c r="D4770" s="1297" t="s">
        <v>1129</v>
      </c>
      <c r="H4770" s="1399">
        <v>-1167734</v>
      </c>
      <c r="I4770" s="1399">
        <v>-1167734</v>
      </c>
    </row>
    <row r="4771" spans="2:9">
      <c r="B4771" s="1297"/>
      <c r="C4771" s="1297"/>
      <c r="D4771" s="1297" t="s">
        <v>1047</v>
      </c>
      <c r="H4771" s="1399">
        <v>351993</v>
      </c>
      <c r="I4771" s="1399">
        <v>351993</v>
      </c>
    </row>
    <row r="4772" spans="2:9">
      <c r="B4772" s="1297"/>
      <c r="C4772" s="1297"/>
      <c r="D4772" s="1297" t="s">
        <v>1048</v>
      </c>
      <c r="H4772" s="1399">
        <v>-1140262</v>
      </c>
      <c r="I4772" s="1399">
        <v>-1140262</v>
      </c>
    </row>
    <row r="4773" spans="2:9">
      <c r="B4773" s="1297"/>
      <c r="C4773" s="1297"/>
      <c r="D4773" s="1297" t="s">
        <v>932</v>
      </c>
      <c r="H4773" s="1399">
        <v>464091</v>
      </c>
      <c r="I4773" s="1399">
        <v>464091</v>
      </c>
    </row>
    <row r="4774" spans="2:9">
      <c r="B4774" s="1297"/>
      <c r="C4774" s="1297"/>
      <c r="D4774" s="1297" t="s">
        <v>955</v>
      </c>
      <c r="H4774" s="1399">
        <v>313095.26</v>
      </c>
      <c r="I4774" s="1399">
        <v>313095.26</v>
      </c>
    </row>
    <row r="4775" spans="2:9">
      <c r="B4775" s="1297"/>
      <c r="C4775" s="1297"/>
      <c r="D4775" s="1297" t="s">
        <v>934</v>
      </c>
      <c r="H4775" s="1399">
        <v>29396</v>
      </c>
      <c r="I4775" s="1399">
        <v>29396</v>
      </c>
    </row>
    <row r="4776" spans="2:9">
      <c r="B4776" s="1297"/>
      <c r="C4776" s="1297"/>
      <c r="D4776" s="1297" t="s">
        <v>935</v>
      </c>
      <c r="H4776" s="1399">
        <v>289066.95</v>
      </c>
      <c r="I4776" s="1399">
        <v>289066.95</v>
      </c>
    </row>
    <row r="4777" spans="2:9">
      <c r="B4777" s="1297"/>
      <c r="C4777" s="1297"/>
      <c r="D4777" s="1297" t="s">
        <v>936</v>
      </c>
      <c r="H4777" s="1399">
        <v>30813.25</v>
      </c>
      <c r="I4777" s="1399">
        <v>30813.25</v>
      </c>
    </row>
    <row r="4778" spans="2:9">
      <c r="B4778" s="1297"/>
      <c r="C4778" s="1297"/>
      <c r="D4778" s="1297" t="s">
        <v>937</v>
      </c>
      <c r="H4778" s="1399">
        <v>13358.89</v>
      </c>
      <c r="I4778" s="1399">
        <v>13358.89</v>
      </c>
    </row>
    <row r="4779" spans="2:9">
      <c r="B4779" s="1297"/>
      <c r="C4779" s="1297"/>
      <c r="D4779" s="1297" t="s">
        <v>938</v>
      </c>
      <c r="H4779" s="1399">
        <v>8984</v>
      </c>
      <c r="I4779" s="1399">
        <v>8984</v>
      </c>
    </row>
    <row r="4780" spans="2:9">
      <c r="B4780" s="1297"/>
      <c r="C4780" s="1297"/>
      <c r="D4780" s="1297" t="s">
        <v>940</v>
      </c>
      <c r="E4780" s="1399">
        <v>557928.34</v>
      </c>
      <c r="I4780" s="1399">
        <v>557928.34</v>
      </c>
    </row>
    <row r="4781" spans="2:9">
      <c r="B4781" s="1297"/>
      <c r="C4781" s="1297"/>
      <c r="D4781" s="1297" t="s">
        <v>941</v>
      </c>
      <c r="E4781" s="1399">
        <v>248590.4</v>
      </c>
      <c r="I4781" s="1399">
        <v>248590.4</v>
      </c>
    </row>
    <row r="4782" spans="2:9">
      <c r="B4782" s="1297"/>
      <c r="C4782" s="1297"/>
      <c r="D4782" s="1297" t="s">
        <v>943</v>
      </c>
      <c r="E4782" s="1399">
        <v>2678.8</v>
      </c>
      <c r="I4782" s="1399">
        <v>2678.8</v>
      </c>
    </row>
    <row r="4783" spans="2:9">
      <c r="B4783" s="1297"/>
      <c r="C4783" s="1297"/>
      <c r="D4783" s="1297" t="s">
        <v>944</v>
      </c>
      <c r="E4783" s="1399">
        <v>1635041.7200000002</v>
      </c>
      <c r="I4783" s="1399">
        <v>1635041.7200000002</v>
      </c>
    </row>
    <row r="4784" spans="2:9">
      <c r="B4784" s="1297"/>
      <c r="C4784" s="1297"/>
      <c r="D4784" s="1297" t="s">
        <v>945</v>
      </c>
      <c r="E4784" s="1399">
        <v>770644.53</v>
      </c>
      <c r="I4784" s="1399">
        <v>770644.53</v>
      </c>
    </row>
    <row r="4785" spans="2:9">
      <c r="B4785" s="1297"/>
      <c r="C4785" s="1297"/>
      <c r="D4785" s="1297" t="s">
        <v>947</v>
      </c>
      <c r="E4785" s="1399">
        <v>39946.49</v>
      </c>
      <c r="I4785" s="1399">
        <v>39946.49</v>
      </c>
    </row>
    <row r="4786" spans="2:9">
      <c r="B4786" s="1297"/>
      <c r="C4786" s="1297"/>
      <c r="D4786" s="1297" t="s">
        <v>948</v>
      </c>
      <c r="G4786" s="1399">
        <v>15973.89</v>
      </c>
      <c r="I4786" s="1399">
        <v>15973.89</v>
      </c>
    </row>
    <row r="4787" spans="2:9">
      <c r="B4787" s="1297"/>
      <c r="C4787" s="1297"/>
      <c r="D4787" s="1297" t="s">
        <v>1051</v>
      </c>
      <c r="G4787" s="1399">
        <v>95980.430000000008</v>
      </c>
      <c r="I4787" s="1399">
        <v>95980.430000000008</v>
      </c>
    </row>
    <row r="4788" spans="2:9">
      <c r="B4788" s="1297"/>
      <c r="C4788" s="1400" t="s">
        <v>1328</v>
      </c>
      <c r="D4788" s="1400"/>
      <c r="E4788" s="1401">
        <v>3254830.2800000003</v>
      </c>
      <c r="F4788" s="1401">
        <v>6115554.1400000006</v>
      </c>
      <c r="G4788" s="1401">
        <v>111954.32</v>
      </c>
      <c r="H4788" s="1401">
        <v>8158429.3499999996</v>
      </c>
      <c r="I4788" s="1401">
        <v>17640768.09</v>
      </c>
    </row>
    <row r="4789" spans="2:9">
      <c r="B4789" s="1297" t="s">
        <v>1329</v>
      </c>
      <c r="C4789" s="1297" t="s">
        <v>1330</v>
      </c>
      <c r="D4789" s="1297" t="s">
        <v>906</v>
      </c>
      <c r="F4789" s="1399">
        <v>25737356.59</v>
      </c>
      <c r="I4789" s="1399">
        <v>25737356.59</v>
      </c>
    </row>
    <row r="4790" spans="2:9">
      <c r="B4790" s="1297"/>
      <c r="C4790" s="1297"/>
      <c r="D4790" s="1297" t="s">
        <v>907</v>
      </c>
      <c r="F4790" s="1399">
        <v>8243365.5699999994</v>
      </c>
      <c r="I4790" s="1399">
        <v>8243365.5699999994</v>
      </c>
    </row>
    <row r="4791" spans="2:9">
      <c r="B4791" s="1297"/>
      <c r="C4791" s="1297"/>
      <c r="D4791" s="1297" t="s">
        <v>908</v>
      </c>
      <c r="F4791" s="1399">
        <v>251239.07</v>
      </c>
      <c r="I4791" s="1399">
        <v>251239.07</v>
      </c>
    </row>
    <row r="4792" spans="2:9">
      <c r="B4792" s="1297"/>
      <c r="C4792" s="1297"/>
      <c r="D4792" s="1297" t="s">
        <v>1036</v>
      </c>
      <c r="F4792" s="1399">
        <v>219455.46</v>
      </c>
      <c r="I4792" s="1399">
        <v>219455.46</v>
      </c>
    </row>
    <row r="4793" spans="2:9">
      <c r="B4793" s="1297"/>
      <c r="C4793" s="1297"/>
      <c r="D4793" s="1297" t="s">
        <v>1037</v>
      </c>
      <c r="F4793" s="1399">
        <v>377149</v>
      </c>
      <c r="I4793" s="1399">
        <v>377149</v>
      </c>
    </row>
    <row r="4794" spans="2:9">
      <c r="B4794" s="1297"/>
      <c r="C4794" s="1297"/>
      <c r="D4794" s="1297" t="s">
        <v>1105</v>
      </c>
      <c r="F4794" s="1399">
        <v>32000</v>
      </c>
      <c r="I4794" s="1399">
        <v>32000</v>
      </c>
    </row>
    <row r="4795" spans="2:9">
      <c r="B4795" s="1297"/>
      <c r="C4795" s="1297"/>
      <c r="D4795" s="1297" t="s">
        <v>1039</v>
      </c>
      <c r="F4795" s="1399">
        <v>72348.63</v>
      </c>
      <c r="I4795" s="1399">
        <v>72348.63</v>
      </c>
    </row>
    <row r="4796" spans="2:9">
      <c r="B4796" s="1297"/>
      <c r="C4796" s="1297"/>
      <c r="D4796" s="1297" t="s">
        <v>1040</v>
      </c>
      <c r="F4796" s="1399">
        <v>557258.55000000005</v>
      </c>
      <c r="I4796" s="1399">
        <v>557258.55000000005</v>
      </c>
    </row>
    <row r="4797" spans="2:9">
      <c r="B4797" s="1297"/>
      <c r="C4797" s="1297"/>
      <c r="D4797" s="1297" t="s">
        <v>1041</v>
      </c>
      <c r="F4797" s="1399">
        <v>15674.899999999998</v>
      </c>
      <c r="I4797" s="1399">
        <v>15674.899999999998</v>
      </c>
    </row>
    <row r="4798" spans="2:9">
      <c r="B4798" s="1297"/>
      <c r="C4798" s="1297"/>
      <c r="D4798" s="1297" t="s">
        <v>1042</v>
      </c>
      <c r="F4798" s="1399">
        <v>119002.78</v>
      </c>
      <c r="I4798" s="1399">
        <v>119002.78</v>
      </c>
    </row>
    <row r="4799" spans="2:9">
      <c r="B4799" s="1297"/>
      <c r="C4799" s="1297"/>
      <c r="D4799" s="1297" t="s">
        <v>953</v>
      </c>
      <c r="F4799" s="1399">
        <v>68845.81</v>
      </c>
      <c r="I4799" s="1399">
        <v>68845.81</v>
      </c>
    </row>
    <row r="4800" spans="2:9">
      <c r="B4800" s="1297"/>
      <c r="C4800" s="1297"/>
      <c r="D4800" s="1297" t="s">
        <v>954</v>
      </c>
      <c r="F4800" s="1399">
        <v>1701566.6400000001</v>
      </c>
      <c r="I4800" s="1399">
        <v>1701566.6400000001</v>
      </c>
    </row>
    <row r="4801" spans="2:9">
      <c r="B4801" s="1297"/>
      <c r="C4801" s="1297"/>
      <c r="D4801" s="1297" t="s">
        <v>986</v>
      </c>
      <c r="F4801" s="1399">
        <v>428375.4200000001</v>
      </c>
      <c r="I4801" s="1399">
        <v>428375.4200000001</v>
      </c>
    </row>
    <row r="4802" spans="2:9">
      <c r="B4802" s="1297"/>
      <c r="C4802" s="1297"/>
      <c r="D4802" s="1297" t="s">
        <v>1005</v>
      </c>
      <c r="F4802" s="1399">
        <v>62795</v>
      </c>
      <c r="I4802" s="1399">
        <v>62795</v>
      </c>
    </row>
    <row r="4803" spans="2:9">
      <c r="B4803" s="1297"/>
      <c r="C4803" s="1297"/>
      <c r="D4803" s="1297" t="s">
        <v>1044</v>
      </c>
      <c r="F4803" s="1399">
        <v>452740</v>
      </c>
      <c r="I4803" s="1399">
        <v>452740</v>
      </c>
    </row>
    <row r="4804" spans="2:9">
      <c r="B4804" s="1297"/>
      <c r="C4804" s="1297"/>
      <c r="D4804" s="1297" t="s">
        <v>1045</v>
      </c>
      <c r="F4804" s="1399">
        <v>844606.00999999989</v>
      </c>
      <c r="I4804" s="1399">
        <v>844606.00999999989</v>
      </c>
    </row>
    <row r="4805" spans="2:9">
      <c r="B4805" s="1297"/>
      <c r="C4805" s="1297"/>
      <c r="D4805" s="1297" t="s">
        <v>1046</v>
      </c>
      <c r="H4805" s="1399">
        <v>50950020</v>
      </c>
      <c r="I4805" s="1399">
        <v>50950020</v>
      </c>
    </row>
    <row r="4806" spans="2:9">
      <c r="B4806" s="1297"/>
      <c r="C4806" s="1297"/>
      <c r="D4806" s="1297" t="s">
        <v>1128</v>
      </c>
      <c r="H4806" s="1399">
        <v>4305292</v>
      </c>
      <c r="I4806" s="1399">
        <v>4305292</v>
      </c>
    </row>
    <row r="4807" spans="2:9">
      <c r="B4807" s="1297"/>
      <c r="C4807" s="1297"/>
      <c r="D4807" s="1297" t="s">
        <v>1129</v>
      </c>
      <c r="H4807" s="1399">
        <v>-7063861</v>
      </c>
      <c r="I4807" s="1399">
        <v>-7063861</v>
      </c>
    </row>
    <row r="4808" spans="2:9">
      <c r="B4808" s="1297"/>
      <c r="C4808" s="1297"/>
      <c r="D4808" s="1297" t="s">
        <v>1047</v>
      </c>
      <c r="H4808" s="1399">
        <v>2102857</v>
      </c>
      <c r="I4808" s="1399">
        <v>2102857</v>
      </c>
    </row>
    <row r="4809" spans="2:9">
      <c r="B4809" s="1297"/>
      <c r="C4809" s="1297"/>
      <c r="D4809" s="1297" t="s">
        <v>1048</v>
      </c>
      <c r="H4809" s="1399">
        <v>-7492688</v>
      </c>
      <c r="I4809" s="1399">
        <v>-7492688</v>
      </c>
    </row>
    <row r="4810" spans="2:9">
      <c r="B4810" s="1297"/>
      <c r="C4810" s="1297"/>
      <c r="D4810" s="1297" t="s">
        <v>932</v>
      </c>
      <c r="H4810" s="1399">
        <v>4427870</v>
      </c>
      <c r="I4810" s="1399">
        <v>4427870</v>
      </c>
    </row>
    <row r="4811" spans="2:9">
      <c r="B4811" s="1297"/>
      <c r="C4811" s="1297"/>
      <c r="D4811" s="1297" t="s">
        <v>955</v>
      </c>
      <c r="H4811" s="1399">
        <v>1901270.89</v>
      </c>
      <c r="I4811" s="1399">
        <v>1901270.89</v>
      </c>
    </row>
    <row r="4812" spans="2:9">
      <c r="B4812" s="1297"/>
      <c r="C4812" s="1297"/>
      <c r="D4812" s="1297" t="s">
        <v>934</v>
      </c>
      <c r="H4812" s="1399">
        <v>167362.00000000006</v>
      </c>
      <c r="I4812" s="1399">
        <v>167362.00000000006</v>
      </c>
    </row>
    <row r="4813" spans="2:9">
      <c r="B4813" s="1297"/>
      <c r="C4813" s="1297"/>
      <c r="D4813" s="1297" t="s">
        <v>935</v>
      </c>
      <c r="H4813" s="1399">
        <v>3655957.82</v>
      </c>
      <c r="I4813" s="1399">
        <v>3655957.82</v>
      </c>
    </row>
    <row r="4814" spans="2:9">
      <c r="B4814" s="1297"/>
      <c r="C4814" s="1297"/>
      <c r="D4814" s="1297" t="s">
        <v>936</v>
      </c>
      <c r="H4814" s="1399">
        <v>196084.3</v>
      </c>
      <c r="I4814" s="1399">
        <v>196084.3</v>
      </c>
    </row>
    <row r="4815" spans="2:9">
      <c r="B4815" s="1297"/>
      <c r="C4815" s="1297"/>
      <c r="D4815" s="1297" t="s">
        <v>937</v>
      </c>
      <c r="H4815" s="1399">
        <v>22792.98</v>
      </c>
      <c r="I4815" s="1399">
        <v>22792.98</v>
      </c>
    </row>
    <row r="4816" spans="2:9">
      <c r="B4816" s="1297"/>
      <c r="C4816" s="1297"/>
      <c r="D4816" s="1297" t="s">
        <v>938</v>
      </c>
      <c r="H4816" s="1399">
        <v>69249</v>
      </c>
      <c r="I4816" s="1399">
        <v>69249</v>
      </c>
    </row>
    <row r="4817" spans="2:9">
      <c r="B4817" s="1297"/>
      <c r="C4817" s="1297"/>
      <c r="D4817" s="1297" t="s">
        <v>1131</v>
      </c>
      <c r="E4817" s="1399">
        <v>250599.04000000001</v>
      </c>
      <c r="I4817" s="1399">
        <v>250599.04000000001</v>
      </c>
    </row>
    <row r="4818" spans="2:9">
      <c r="B4818" s="1297"/>
      <c r="C4818" s="1297"/>
      <c r="D4818" s="1297" t="s">
        <v>940</v>
      </c>
      <c r="E4818" s="1399">
        <v>3179680.42</v>
      </c>
      <c r="I4818" s="1399">
        <v>3179680.42</v>
      </c>
    </row>
    <row r="4819" spans="2:9">
      <c r="B4819" s="1297"/>
      <c r="C4819" s="1297"/>
      <c r="D4819" s="1297" t="s">
        <v>941</v>
      </c>
      <c r="E4819" s="1399">
        <v>1168191.4800000002</v>
      </c>
      <c r="I4819" s="1399">
        <v>1168191.4800000002</v>
      </c>
    </row>
    <row r="4820" spans="2:9">
      <c r="B4820" s="1297"/>
      <c r="C4820" s="1297"/>
      <c r="D4820" s="1297" t="s">
        <v>943</v>
      </c>
      <c r="E4820" s="1399">
        <v>35341.460000000006</v>
      </c>
      <c r="I4820" s="1399">
        <v>35341.460000000006</v>
      </c>
    </row>
    <row r="4821" spans="2:9">
      <c r="B4821" s="1297"/>
      <c r="C4821" s="1297"/>
      <c r="D4821" s="1297" t="s">
        <v>944</v>
      </c>
      <c r="E4821" s="1399">
        <v>7625847.8399999999</v>
      </c>
      <c r="I4821" s="1399">
        <v>7625847.8399999999</v>
      </c>
    </row>
    <row r="4822" spans="2:9">
      <c r="B4822" s="1297"/>
      <c r="C4822" s="1297"/>
      <c r="D4822" s="1297" t="s">
        <v>945</v>
      </c>
      <c r="E4822" s="1399">
        <v>4226466.91</v>
      </c>
      <c r="I4822" s="1399">
        <v>4226466.91</v>
      </c>
    </row>
    <row r="4823" spans="2:9">
      <c r="B4823" s="1297"/>
      <c r="C4823" s="1297"/>
      <c r="D4823" s="1297" t="s">
        <v>978</v>
      </c>
      <c r="E4823" s="1399">
        <v>949.58</v>
      </c>
      <c r="I4823" s="1399">
        <v>949.58</v>
      </c>
    </row>
    <row r="4824" spans="2:9">
      <c r="B4824" s="1297"/>
      <c r="C4824" s="1297"/>
      <c r="D4824" s="1297" t="s">
        <v>1006</v>
      </c>
      <c r="E4824" s="1399">
        <v>10309.64</v>
      </c>
      <c r="I4824" s="1399">
        <v>10309.64</v>
      </c>
    </row>
    <row r="4825" spans="2:9">
      <c r="B4825" s="1297"/>
      <c r="C4825" s="1297"/>
      <c r="D4825" s="1297" t="s">
        <v>947</v>
      </c>
      <c r="E4825" s="1399">
        <v>191021.86000000002</v>
      </c>
      <c r="I4825" s="1399">
        <v>191021.86000000002</v>
      </c>
    </row>
    <row r="4826" spans="2:9">
      <c r="B4826" s="1297"/>
      <c r="C4826" s="1297"/>
      <c r="D4826" s="1297" t="s">
        <v>1115</v>
      </c>
      <c r="E4826" s="1399">
        <v>13813.09</v>
      </c>
      <c r="I4826" s="1399">
        <v>13813.09</v>
      </c>
    </row>
    <row r="4827" spans="2:9">
      <c r="B4827" s="1297"/>
      <c r="C4827" s="1297"/>
      <c r="D4827" s="1297" t="s">
        <v>948</v>
      </c>
      <c r="G4827" s="1399">
        <v>5691869.8999999994</v>
      </c>
      <c r="I4827" s="1399">
        <v>5691869.8999999994</v>
      </c>
    </row>
    <row r="4828" spans="2:9">
      <c r="B4828" s="1297"/>
      <c r="C4828" s="1297"/>
      <c r="D4828" s="1297" t="s">
        <v>956</v>
      </c>
      <c r="G4828" s="1399">
        <v>70828.33</v>
      </c>
      <c r="I4828" s="1399">
        <v>70828.33</v>
      </c>
    </row>
    <row r="4829" spans="2:9">
      <c r="B4829" s="1297"/>
      <c r="C4829" s="1400" t="s">
        <v>1331</v>
      </c>
      <c r="D4829" s="1400"/>
      <c r="E4829" s="1401">
        <v>16702221.32</v>
      </c>
      <c r="F4829" s="1401">
        <v>39183779.43</v>
      </c>
      <c r="G4829" s="1401">
        <v>5762698.2299999995</v>
      </c>
      <c r="H4829" s="1401">
        <v>53242206.989999995</v>
      </c>
      <c r="I4829" s="1401">
        <v>114890905.97000001</v>
      </c>
    </row>
    <row r="4830" spans="2:9">
      <c r="B4830" s="1297" t="s">
        <v>1332</v>
      </c>
      <c r="C4830" s="1297" t="s">
        <v>1333</v>
      </c>
      <c r="D4830" s="1297" t="s">
        <v>906</v>
      </c>
      <c r="F4830" s="1399">
        <v>12405408.859999999</v>
      </c>
      <c r="I4830" s="1399">
        <v>12405408.859999999</v>
      </c>
    </row>
    <row r="4831" spans="2:9">
      <c r="B4831" s="1297"/>
      <c r="C4831" s="1297"/>
      <c r="D4831" s="1297" t="s">
        <v>907</v>
      </c>
      <c r="F4831" s="1399">
        <v>3033153.78</v>
      </c>
      <c r="I4831" s="1399">
        <v>3033153.78</v>
      </c>
    </row>
    <row r="4832" spans="2:9">
      <c r="B4832" s="1297"/>
      <c r="C4832" s="1297"/>
      <c r="D4832" s="1297" t="s">
        <v>908</v>
      </c>
      <c r="F4832" s="1399">
        <v>101874.16</v>
      </c>
      <c r="I4832" s="1399">
        <v>101874.16</v>
      </c>
    </row>
    <row r="4833" spans="2:9">
      <c r="B4833" s="1297"/>
      <c r="C4833" s="1297"/>
      <c r="D4833" s="1297" t="s">
        <v>909</v>
      </c>
      <c r="F4833" s="1399">
        <v>126093.63</v>
      </c>
      <c r="I4833" s="1399">
        <v>126093.63</v>
      </c>
    </row>
    <row r="4834" spans="2:9">
      <c r="B4834" s="1297"/>
      <c r="C4834" s="1297"/>
      <c r="D4834" s="1297" t="s">
        <v>910</v>
      </c>
      <c r="F4834" s="1399">
        <v>162718.07</v>
      </c>
      <c r="I4834" s="1399">
        <v>162718.07</v>
      </c>
    </row>
    <row r="4835" spans="2:9">
      <c r="B4835" s="1297"/>
      <c r="C4835" s="1297"/>
      <c r="D4835" s="1297" t="s">
        <v>1034</v>
      </c>
      <c r="F4835" s="1399">
        <v>80227.12</v>
      </c>
      <c r="I4835" s="1399">
        <v>80227.12</v>
      </c>
    </row>
    <row r="4836" spans="2:9">
      <c r="B4836" s="1297"/>
      <c r="C4836" s="1297"/>
      <c r="D4836" s="1297" t="s">
        <v>1035</v>
      </c>
      <c r="F4836" s="1399">
        <v>456440.69999999995</v>
      </c>
      <c r="I4836" s="1399">
        <v>456440.69999999995</v>
      </c>
    </row>
    <row r="4837" spans="2:9">
      <c r="B4837" s="1297"/>
      <c r="C4837" s="1297"/>
      <c r="D4837" s="1297" t="s">
        <v>1036</v>
      </c>
      <c r="F4837" s="1399">
        <v>128333.39</v>
      </c>
      <c r="I4837" s="1399">
        <v>128333.39</v>
      </c>
    </row>
    <row r="4838" spans="2:9">
      <c r="B4838" s="1297"/>
      <c r="C4838" s="1297"/>
      <c r="D4838" s="1297" t="s">
        <v>1037</v>
      </c>
      <c r="F4838" s="1399">
        <v>280.39999999999998</v>
      </c>
      <c r="I4838" s="1399">
        <v>280.39999999999998</v>
      </c>
    </row>
    <row r="4839" spans="2:9">
      <c r="B4839" s="1297"/>
      <c r="C4839" s="1297"/>
      <c r="D4839" s="1297" t="s">
        <v>1039</v>
      </c>
      <c r="F4839" s="1399">
        <v>63266.590000000011</v>
      </c>
      <c r="I4839" s="1399">
        <v>63266.590000000011</v>
      </c>
    </row>
    <row r="4840" spans="2:9">
      <c r="B4840" s="1297"/>
      <c r="C4840" s="1297"/>
      <c r="D4840" s="1297" t="s">
        <v>1040</v>
      </c>
      <c r="F4840" s="1399">
        <v>324275.49</v>
      </c>
      <c r="I4840" s="1399">
        <v>324275.49</v>
      </c>
    </row>
    <row r="4841" spans="2:9">
      <c r="B4841" s="1297"/>
      <c r="C4841" s="1297"/>
      <c r="D4841" s="1297" t="s">
        <v>1041</v>
      </c>
      <c r="F4841" s="1399">
        <v>19237.310000000001</v>
      </c>
      <c r="I4841" s="1399">
        <v>19237.310000000001</v>
      </c>
    </row>
    <row r="4842" spans="2:9">
      <c r="B4842" s="1297"/>
      <c r="C4842" s="1297"/>
      <c r="D4842" s="1297" t="s">
        <v>1042</v>
      </c>
      <c r="F4842" s="1399">
        <v>79265.22</v>
      </c>
      <c r="I4842" s="1399">
        <v>79265.22</v>
      </c>
    </row>
    <row r="4843" spans="2:9">
      <c r="B4843" s="1297"/>
      <c r="C4843" s="1297"/>
      <c r="D4843" s="1297" t="s">
        <v>985</v>
      </c>
      <c r="F4843" s="1399">
        <v>74146.39</v>
      </c>
      <c r="I4843" s="1399">
        <v>74146.39</v>
      </c>
    </row>
    <row r="4844" spans="2:9">
      <c r="B4844" s="1297"/>
      <c r="C4844" s="1297"/>
      <c r="D4844" s="1297" t="s">
        <v>986</v>
      </c>
      <c r="F4844" s="1399">
        <v>6500</v>
      </c>
      <c r="I4844" s="1399">
        <v>6500</v>
      </c>
    </row>
    <row r="4845" spans="2:9">
      <c r="B4845" s="1297"/>
      <c r="C4845" s="1297"/>
      <c r="D4845" s="1297" t="s">
        <v>1045</v>
      </c>
      <c r="F4845" s="1399">
        <v>934590.47000000009</v>
      </c>
      <c r="I4845" s="1399">
        <v>934590.47000000009</v>
      </c>
    </row>
    <row r="4846" spans="2:9">
      <c r="B4846" s="1297"/>
      <c r="C4846" s="1297"/>
      <c r="D4846" s="1297" t="s">
        <v>1046</v>
      </c>
      <c r="H4846" s="1399">
        <v>23458285</v>
      </c>
      <c r="I4846" s="1399">
        <v>23458285</v>
      </c>
    </row>
    <row r="4847" spans="2:9">
      <c r="B4847" s="1297"/>
      <c r="C4847" s="1297"/>
      <c r="D4847" s="1297" t="s">
        <v>1128</v>
      </c>
      <c r="H4847" s="1399">
        <v>1759983</v>
      </c>
      <c r="I4847" s="1399">
        <v>1759983</v>
      </c>
    </row>
    <row r="4848" spans="2:9">
      <c r="B4848" s="1297"/>
      <c r="C4848" s="1297"/>
      <c r="D4848" s="1297" t="s">
        <v>1129</v>
      </c>
      <c r="H4848" s="1399">
        <v>-3259905</v>
      </c>
      <c r="I4848" s="1399">
        <v>-3259905</v>
      </c>
    </row>
    <row r="4849" spans="2:9">
      <c r="B4849" s="1297"/>
      <c r="C4849" s="1297"/>
      <c r="D4849" s="1297" t="s">
        <v>1047</v>
      </c>
      <c r="H4849" s="1399">
        <v>695859</v>
      </c>
      <c r="I4849" s="1399">
        <v>695859</v>
      </c>
    </row>
    <row r="4850" spans="2:9">
      <c r="B4850" s="1297"/>
      <c r="C4850" s="1297"/>
      <c r="D4850" s="1297" t="s">
        <v>1048</v>
      </c>
      <c r="H4850" s="1399">
        <v>-3650444</v>
      </c>
      <c r="I4850" s="1399">
        <v>-3650444</v>
      </c>
    </row>
    <row r="4851" spans="2:9">
      <c r="B4851" s="1297"/>
      <c r="C4851" s="1297"/>
      <c r="D4851" s="1297" t="s">
        <v>932</v>
      </c>
      <c r="H4851" s="1399">
        <v>1267022</v>
      </c>
      <c r="I4851" s="1399">
        <v>1267022</v>
      </c>
    </row>
    <row r="4852" spans="2:9">
      <c r="B4852" s="1297"/>
      <c r="C4852" s="1297"/>
      <c r="D4852" s="1297" t="s">
        <v>955</v>
      </c>
      <c r="H4852" s="1399">
        <v>467378.39</v>
      </c>
      <c r="I4852" s="1399">
        <v>467378.39</v>
      </c>
    </row>
    <row r="4853" spans="2:9">
      <c r="B4853" s="1297"/>
      <c r="C4853" s="1297"/>
      <c r="D4853" s="1297" t="s">
        <v>934</v>
      </c>
      <c r="H4853" s="1399">
        <v>70062</v>
      </c>
      <c r="I4853" s="1399">
        <v>70062</v>
      </c>
    </row>
    <row r="4854" spans="2:9">
      <c r="B4854" s="1297"/>
      <c r="C4854" s="1297"/>
      <c r="D4854" s="1297" t="s">
        <v>1130</v>
      </c>
      <c r="H4854" s="1399">
        <v>6802260.9400000004</v>
      </c>
      <c r="I4854" s="1399">
        <v>6802260.9400000004</v>
      </c>
    </row>
    <row r="4855" spans="2:9">
      <c r="B4855" s="1297"/>
      <c r="C4855" s="1297"/>
      <c r="D4855" s="1297" t="s">
        <v>935</v>
      </c>
      <c r="H4855" s="1399">
        <v>474019.17</v>
      </c>
      <c r="I4855" s="1399">
        <v>474019.17</v>
      </c>
    </row>
    <row r="4856" spans="2:9">
      <c r="B4856" s="1297"/>
      <c r="C4856" s="1297"/>
      <c r="D4856" s="1297" t="s">
        <v>936</v>
      </c>
      <c r="H4856" s="1399">
        <v>91039.14</v>
      </c>
      <c r="I4856" s="1399">
        <v>91039.14</v>
      </c>
    </row>
    <row r="4857" spans="2:9">
      <c r="B4857" s="1297"/>
      <c r="C4857" s="1297"/>
      <c r="D4857" s="1297" t="s">
        <v>937</v>
      </c>
      <c r="H4857" s="1399">
        <v>4396.8999999999996</v>
      </c>
      <c r="I4857" s="1399">
        <v>4396.8999999999996</v>
      </c>
    </row>
    <row r="4858" spans="2:9">
      <c r="B4858" s="1297"/>
      <c r="C4858" s="1297"/>
      <c r="D4858" s="1297" t="s">
        <v>938</v>
      </c>
      <c r="H4858" s="1399">
        <v>26951</v>
      </c>
      <c r="I4858" s="1399">
        <v>26951</v>
      </c>
    </row>
    <row r="4859" spans="2:9">
      <c r="B4859" s="1297"/>
      <c r="C4859" s="1297"/>
      <c r="D4859" s="1297" t="s">
        <v>939</v>
      </c>
      <c r="H4859" s="1399">
        <v>84561.1</v>
      </c>
      <c r="I4859" s="1399">
        <v>84561.1</v>
      </c>
    </row>
    <row r="4860" spans="2:9">
      <c r="B4860" s="1297"/>
      <c r="C4860" s="1297"/>
      <c r="D4860" s="1297" t="s">
        <v>940</v>
      </c>
      <c r="E4860" s="1399">
        <v>950252.74</v>
      </c>
      <c r="I4860" s="1399">
        <v>950252.74</v>
      </c>
    </row>
    <row r="4861" spans="2:9">
      <c r="B4861" s="1297"/>
      <c r="C4861" s="1297"/>
      <c r="D4861" s="1297" t="s">
        <v>941</v>
      </c>
      <c r="E4861" s="1399">
        <v>286747.21999999997</v>
      </c>
      <c r="I4861" s="1399">
        <v>286747.21999999997</v>
      </c>
    </row>
    <row r="4862" spans="2:9">
      <c r="B4862" s="1297"/>
      <c r="C4862" s="1297"/>
      <c r="D4862" s="1297" t="s">
        <v>943</v>
      </c>
      <c r="E4862" s="1399">
        <v>13616.43</v>
      </c>
      <c r="I4862" s="1399">
        <v>13616.43</v>
      </c>
    </row>
    <row r="4863" spans="2:9">
      <c r="B4863" s="1297"/>
      <c r="C4863" s="1297"/>
      <c r="D4863" s="1297" t="s">
        <v>944</v>
      </c>
      <c r="E4863" s="1399">
        <v>3967404.7899999996</v>
      </c>
      <c r="I4863" s="1399">
        <v>3967404.7899999996</v>
      </c>
    </row>
    <row r="4864" spans="2:9">
      <c r="B4864" s="1297"/>
      <c r="C4864" s="1297"/>
      <c r="D4864" s="1297" t="s">
        <v>945</v>
      </c>
      <c r="E4864" s="1399">
        <v>901495</v>
      </c>
      <c r="I4864" s="1399">
        <v>901495</v>
      </c>
    </row>
    <row r="4865" spans="2:9">
      <c r="B4865" s="1297"/>
      <c r="C4865" s="1297"/>
      <c r="D4865" s="1297" t="s">
        <v>1214</v>
      </c>
      <c r="E4865" s="1399">
        <v>20306.900000000001</v>
      </c>
      <c r="I4865" s="1399">
        <v>20306.900000000001</v>
      </c>
    </row>
    <row r="4866" spans="2:9">
      <c r="B4866" s="1297"/>
      <c r="C4866" s="1297"/>
      <c r="D4866" s="1297" t="s">
        <v>947</v>
      </c>
      <c r="E4866" s="1399">
        <v>116533.17</v>
      </c>
      <c r="I4866" s="1399">
        <v>116533.17</v>
      </c>
    </row>
    <row r="4867" spans="2:9">
      <c r="B4867" s="1297"/>
      <c r="C4867" s="1297"/>
      <c r="D4867" s="1297" t="s">
        <v>1116</v>
      </c>
      <c r="G4867" s="1399">
        <v>1690000</v>
      </c>
      <c r="I4867" s="1399">
        <v>1690000</v>
      </c>
    </row>
    <row r="4868" spans="2:9">
      <c r="B4868" s="1297"/>
      <c r="C4868" s="1297"/>
      <c r="D4868" s="1297" t="s">
        <v>948</v>
      </c>
      <c r="G4868" s="1399">
        <v>17776290.880000003</v>
      </c>
      <c r="I4868" s="1399">
        <v>17776290.880000003</v>
      </c>
    </row>
    <row r="4869" spans="2:9">
      <c r="B4869" s="1297"/>
      <c r="C4869" s="1400" t="s">
        <v>1334</v>
      </c>
      <c r="D4869" s="1400"/>
      <c r="E4869" s="1401">
        <v>6256356.25</v>
      </c>
      <c r="F4869" s="1401">
        <v>17995811.579999994</v>
      </c>
      <c r="G4869" s="1401">
        <v>19466290.880000003</v>
      </c>
      <c r="H4869" s="1401">
        <v>28291468.640000004</v>
      </c>
      <c r="I4869" s="1401">
        <v>72009927.349999994</v>
      </c>
    </row>
    <row r="4870" spans="2:9">
      <c r="B4870" s="1297" t="s">
        <v>1335</v>
      </c>
      <c r="C4870" s="1297" t="s">
        <v>1336</v>
      </c>
      <c r="D4870" s="1297" t="s">
        <v>906</v>
      </c>
      <c r="F4870" s="1399">
        <v>1738030.93</v>
      </c>
      <c r="I4870" s="1399">
        <v>1738030.93</v>
      </c>
    </row>
    <row r="4871" spans="2:9">
      <c r="B4871" s="1297"/>
      <c r="C4871" s="1297"/>
      <c r="D4871" s="1297" t="s">
        <v>907</v>
      </c>
      <c r="F4871" s="1399">
        <v>389371.05</v>
      </c>
      <c r="I4871" s="1399">
        <v>389371.05</v>
      </c>
    </row>
    <row r="4872" spans="2:9">
      <c r="B4872" s="1297"/>
      <c r="C4872" s="1297"/>
      <c r="D4872" s="1297" t="s">
        <v>908</v>
      </c>
      <c r="F4872" s="1399">
        <v>9071.2800000000007</v>
      </c>
      <c r="I4872" s="1399">
        <v>9071.2800000000007</v>
      </c>
    </row>
    <row r="4873" spans="2:9">
      <c r="B4873" s="1297"/>
      <c r="C4873" s="1297"/>
      <c r="D4873" s="1297" t="s">
        <v>909</v>
      </c>
      <c r="F4873" s="1399">
        <v>25290.55</v>
      </c>
      <c r="I4873" s="1399">
        <v>25290.55</v>
      </c>
    </row>
    <row r="4874" spans="2:9">
      <c r="B4874" s="1297"/>
      <c r="C4874" s="1297"/>
      <c r="D4874" s="1297" t="s">
        <v>910</v>
      </c>
      <c r="F4874" s="1399">
        <v>23966.06</v>
      </c>
      <c r="I4874" s="1399">
        <v>23966.06</v>
      </c>
    </row>
    <row r="4875" spans="2:9">
      <c r="B4875" s="1297"/>
      <c r="C4875" s="1297"/>
      <c r="D4875" s="1297" t="s">
        <v>1034</v>
      </c>
      <c r="F4875" s="1399">
        <v>5993.96</v>
      </c>
      <c r="I4875" s="1399">
        <v>5993.96</v>
      </c>
    </row>
    <row r="4876" spans="2:9">
      <c r="B4876" s="1297"/>
      <c r="C4876" s="1297"/>
      <c r="D4876" s="1297" t="s">
        <v>1035</v>
      </c>
      <c r="F4876" s="1399">
        <v>15110.990000000002</v>
      </c>
      <c r="I4876" s="1399">
        <v>15110.990000000002</v>
      </c>
    </row>
    <row r="4877" spans="2:9">
      <c r="B4877" s="1297"/>
      <c r="C4877" s="1297"/>
      <c r="D4877" s="1297" t="s">
        <v>1036</v>
      </c>
      <c r="F4877" s="1399">
        <v>19234.259999999998</v>
      </c>
      <c r="I4877" s="1399">
        <v>19234.259999999998</v>
      </c>
    </row>
    <row r="4878" spans="2:9">
      <c r="B4878" s="1297"/>
      <c r="C4878" s="1297"/>
      <c r="D4878" s="1297" t="s">
        <v>1039</v>
      </c>
      <c r="F4878" s="1399">
        <v>5116.8599999999997</v>
      </c>
      <c r="I4878" s="1399">
        <v>5116.8599999999997</v>
      </c>
    </row>
    <row r="4879" spans="2:9">
      <c r="B4879" s="1297"/>
      <c r="C4879" s="1297"/>
      <c r="D4879" s="1297" t="s">
        <v>1041</v>
      </c>
      <c r="F4879" s="1399">
        <v>2215.25</v>
      </c>
      <c r="I4879" s="1399">
        <v>2215.25</v>
      </c>
    </row>
    <row r="4880" spans="2:9">
      <c r="B4880" s="1297"/>
      <c r="C4880" s="1297"/>
      <c r="D4880" s="1297" t="s">
        <v>1042</v>
      </c>
      <c r="F4880" s="1399">
        <v>19893.349999999999</v>
      </c>
      <c r="I4880" s="1399">
        <v>19893.349999999999</v>
      </c>
    </row>
    <row r="4881" spans="2:9">
      <c r="B4881" s="1297"/>
      <c r="C4881" s="1297"/>
      <c r="D4881" s="1297" t="s">
        <v>953</v>
      </c>
      <c r="F4881" s="1399">
        <v>11303.7</v>
      </c>
      <c r="I4881" s="1399">
        <v>11303.7</v>
      </c>
    </row>
    <row r="4882" spans="2:9">
      <c r="B4882" s="1297"/>
      <c r="C4882" s="1297"/>
      <c r="D4882" s="1297" t="s">
        <v>1044</v>
      </c>
      <c r="F4882" s="1399">
        <v>35291</v>
      </c>
      <c r="I4882" s="1399">
        <v>35291</v>
      </c>
    </row>
    <row r="4883" spans="2:9">
      <c r="B4883" s="1297"/>
      <c r="C4883" s="1297"/>
      <c r="D4883" s="1297" t="s">
        <v>1045</v>
      </c>
      <c r="F4883" s="1399">
        <v>53905.14</v>
      </c>
      <c r="I4883" s="1399">
        <v>53905.14</v>
      </c>
    </row>
    <row r="4884" spans="2:9">
      <c r="B4884" s="1297"/>
      <c r="C4884" s="1297"/>
      <c r="D4884" s="1297" t="s">
        <v>1046</v>
      </c>
      <c r="H4884" s="1399">
        <v>2677114</v>
      </c>
      <c r="I4884" s="1399">
        <v>2677114</v>
      </c>
    </row>
    <row r="4885" spans="2:9">
      <c r="B4885" s="1297"/>
      <c r="C4885" s="1297"/>
      <c r="D4885" s="1297" t="s">
        <v>1047</v>
      </c>
      <c r="H4885" s="1399">
        <v>405316</v>
      </c>
      <c r="I4885" s="1399">
        <v>405316</v>
      </c>
    </row>
    <row r="4886" spans="2:9">
      <c r="B4886" s="1297"/>
      <c r="C4886" s="1297"/>
      <c r="D4886" s="1297" t="s">
        <v>1048</v>
      </c>
      <c r="H4886" s="1399">
        <v>-697267</v>
      </c>
      <c r="I4886" s="1399">
        <v>-697267</v>
      </c>
    </row>
    <row r="4887" spans="2:9">
      <c r="B4887" s="1297"/>
      <c r="C4887" s="1297"/>
      <c r="D4887" s="1297" t="s">
        <v>955</v>
      </c>
      <c r="H4887" s="1399">
        <v>257439.1</v>
      </c>
      <c r="I4887" s="1399">
        <v>257439.1</v>
      </c>
    </row>
    <row r="4888" spans="2:9">
      <c r="B4888" s="1297"/>
      <c r="C4888" s="1297"/>
      <c r="D4888" s="1297" t="s">
        <v>934</v>
      </c>
      <c r="H4888" s="1399">
        <v>12578</v>
      </c>
      <c r="I4888" s="1399">
        <v>12578</v>
      </c>
    </row>
    <row r="4889" spans="2:9">
      <c r="B4889" s="1297"/>
      <c r="C4889" s="1297"/>
      <c r="D4889" s="1297" t="s">
        <v>935</v>
      </c>
      <c r="H4889" s="1399">
        <v>21404.62</v>
      </c>
      <c r="I4889" s="1399">
        <v>21404.62</v>
      </c>
    </row>
    <row r="4890" spans="2:9">
      <c r="B4890" s="1297"/>
      <c r="C4890" s="1297"/>
      <c r="D4890" s="1297" t="s">
        <v>936</v>
      </c>
      <c r="H4890" s="1399">
        <v>16106.92</v>
      </c>
      <c r="I4890" s="1399">
        <v>16106.92</v>
      </c>
    </row>
    <row r="4891" spans="2:9">
      <c r="B4891" s="1297"/>
      <c r="C4891" s="1297"/>
      <c r="D4891" s="1297" t="s">
        <v>937</v>
      </c>
      <c r="H4891" s="1399">
        <v>4552.33</v>
      </c>
      <c r="I4891" s="1399">
        <v>4552.33</v>
      </c>
    </row>
    <row r="4892" spans="2:9">
      <c r="B4892" s="1297"/>
      <c r="C4892" s="1297"/>
      <c r="D4892" s="1297" t="s">
        <v>938</v>
      </c>
      <c r="H4892" s="1399">
        <v>5428</v>
      </c>
      <c r="I4892" s="1399">
        <v>5428</v>
      </c>
    </row>
    <row r="4893" spans="2:9">
      <c r="B4893" s="1297"/>
      <c r="C4893" s="1297"/>
      <c r="D4893" s="1297" t="s">
        <v>939</v>
      </c>
      <c r="H4893" s="1399">
        <v>57120.409999999996</v>
      </c>
      <c r="I4893" s="1399">
        <v>57120.409999999996</v>
      </c>
    </row>
    <row r="4894" spans="2:9">
      <c r="B4894" s="1297"/>
      <c r="C4894" s="1297"/>
      <c r="D4894" s="1297" t="s">
        <v>1131</v>
      </c>
      <c r="E4894" s="1399">
        <v>38175.879999999997</v>
      </c>
      <c r="I4894" s="1399">
        <v>38175.879999999997</v>
      </c>
    </row>
    <row r="4895" spans="2:9">
      <c r="B4895" s="1297"/>
      <c r="C4895" s="1297"/>
      <c r="D4895" s="1297" t="s">
        <v>940</v>
      </c>
      <c r="E4895" s="1399">
        <v>231740.7</v>
      </c>
      <c r="I4895" s="1399">
        <v>231740.7</v>
      </c>
    </row>
    <row r="4896" spans="2:9">
      <c r="B4896" s="1297"/>
      <c r="C4896" s="1297"/>
      <c r="D4896" s="1297" t="s">
        <v>941</v>
      </c>
      <c r="E4896" s="1399">
        <v>137871.04000000001</v>
      </c>
      <c r="I4896" s="1399">
        <v>137871.04000000001</v>
      </c>
    </row>
    <row r="4897" spans="2:9">
      <c r="B4897" s="1297"/>
      <c r="C4897" s="1297"/>
      <c r="D4897" s="1297" t="s">
        <v>944</v>
      </c>
      <c r="E4897" s="1399">
        <v>783327.58000000007</v>
      </c>
      <c r="I4897" s="1399">
        <v>783327.58000000007</v>
      </c>
    </row>
    <row r="4898" spans="2:9">
      <c r="B4898" s="1297"/>
      <c r="C4898" s="1297"/>
      <c r="D4898" s="1297" t="s">
        <v>945</v>
      </c>
      <c r="E4898" s="1399">
        <v>878428.05</v>
      </c>
      <c r="I4898" s="1399">
        <v>878428.05</v>
      </c>
    </row>
    <row r="4899" spans="2:9">
      <c r="B4899" s="1297"/>
      <c r="C4899" s="1297"/>
      <c r="D4899" s="1297" t="s">
        <v>947</v>
      </c>
      <c r="E4899" s="1399">
        <v>26238</v>
      </c>
      <c r="I4899" s="1399">
        <v>26238</v>
      </c>
    </row>
    <row r="4900" spans="2:9">
      <c r="B4900" s="1297"/>
      <c r="C4900" s="1297"/>
      <c r="D4900" s="1297" t="s">
        <v>1115</v>
      </c>
      <c r="E4900" s="1399">
        <v>9319.1200000000008</v>
      </c>
      <c r="I4900" s="1399">
        <v>9319.1200000000008</v>
      </c>
    </row>
    <row r="4901" spans="2:9">
      <c r="B4901" s="1297"/>
      <c r="C4901" s="1297"/>
      <c r="D4901" s="1297" t="s">
        <v>948</v>
      </c>
      <c r="G4901" s="1399">
        <v>25627.25</v>
      </c>
      <c r="I4901" s="1399">
        <v>25627.25</v>
      </c>
    </row>
    <row r="4902" spans="2:9">
      <c r="B4902" s="1297"/>
      <c r="C4902" s="1400" t="s">
        <v>1337</v>
      </c>
      <c r="D4902" s="1400"/>
      <c r="E4902" s="1401">
        <v>2105100.37</v>
      </c>
      <c r="F4902" s="1401">
        <v>2353794.38</v>
      </c>
      <c r="G4902" s="1401">
        <v>25627.25</v>
      </c>
      <c r="H4902" s="1401">
        <v>2759792.3800000004</v>
      </c>
      <c r="I4902" s="1401">
        <v>7244314.3799999999</v>
      </c>
    </row>
    <row r="4903" spans="2:9">
      <c r="B4903" s="1297" t="s">
        <v>1338</v>
      </c>
      <c r="C4903" s="1297" t="s">
        <v>1339</v>
      </c>
      <c r="D4903" s="1297" t="s">
        <v>906</v>
      </c>
      <c r="F4903" s="1399">
        <v>12667686.99</v>
      </c>
      <c r="I4903" s="1399">
        <v>12667686.99</v>
      </c>
    </row>
    <row r="4904" spans="2:9">
      <c r="B4904" s="1297"/>
      <c r="C4904" s="1297"/>
      <c r="D4904" s="1297" t="s">
        <v>952</v>
      </c>
      <c r="F4904" s="1399">
        <v>91111.06</v>
      </c>
      <c r="I4904" s="1399">
        <v>91111.06</v>
      </c>
    </row>
    <row r="4905" spans="2:9">
      <c r="B4905" s="1297"/>
      <c r="C4905" s="1297"/>
      <c r="D4905" s="1297" t="s">
        <v>907</v>
      </c>
      <c r="F4905" s="1399">
        <v>4352377.2</v>
      </c>
      <c r="I4905" s="1399">
        <v>4352377.2</v>
      </c>
    </row>
    <row r="4906" spans="2:9">
      <c r="B4906" s="1297"/>
      <c r="C4906" s="1297"/>
      <c r="D4906" s="1297" t="s">
        <v>908</v>
      </c>
      <c r="F4906" s="1399">
        <v>44364.28</v>
      </c>
      <c r="I4906" s="1399">
        <v>44364.28</v>
      </c>
    </row>
    <row r="4907" spans="2:9">
      <c r="B4907" s="1297"/>
      <c r="C4907" s="1297"/>
      <c r="D4907" s="1297" t="s">
        <v>909</v>
      </c>
      <c r="F4907" s="1399">
        <v>22687.75</v>
      </c>
      <c r="I4907" s="1399">
        <v>22687.75</v>
      </c>
    </row>
    <row r="4908" spans="2:9">
      <c r="B4908" s="1297"/>
      <c r="C4908" s="1297"/>
      <c r="D4908" s="1297" t="s">
        <v>910</v>
      </c>
      <c r="F4908" s="1399">
        <v>740</v>
      </c>
      <c r="I4908" s="1399">
        <v>740</v>
      </c>
    </row>
    <row r="4909" spans="2:9">
      <c r="B4909" s="1297"/>
      <c r="C4909" s="1297"/>
      <c r="D4909" s="1297" t="s">
        <v>1034</v>
      </c>
      <c r="F4909" s="1399">
        <v>24536.44</v>
      </c>
      <c r="I4909" s="1399">
        <v>24536.44</v>
      </c>
    </row>
    <row r="4910" spans="2:9">
      <c r="B4910" s="1297"/>
      <c r="C4910" s="1297"/>
      <c r="D4910" s="1297" t="s">
        <v>1035</v>
      </c>
      <c r="F4910" s="1399">
        <v>738522.87</v>
      </c>
      <c r="I4910" s="1399">
        <v>738522.87</v>
      </c>
    </row>
    <row r="4911" spans="2:9">
      <c r="B4911" s="1297"/>
      <c r="C4911" s="1297"/>
      <c r="D4911" s="1297" t="s">
        <v>1036</v>
      </c>
      <c r="F4911" s="1399">
        <v>29523.94</v>
      </c>
      <c r="I4911" s="1399">
        <v>29523.94</v>
      </c>
    </row>
    <row r="4912" spans="2:9">
      <c r="B4912" s="1297"/>
      <c r="C4912" s="1297"/>
      <c r="D4912" s="1297" t="s">
        <v>1037</v>
      </c>
      <c r="F4912" s="1399">
        <v>3250</v>
      </c>
      <c r="I4912" s="1399">
        <v>3250</v>
      </c>
    </row>
    <row r="4913" spans="2:9">
      <c r="B4913" s="1297"/>
      <c r="C4913" s="1297"/>
      <c r="D4913" s="1297" t="s">
        <v>1039</v>
      </c>
      <c r="F4913" s="1399">
        <v>12206.02</v>
      </c>
      <c r="I4913" s="1399">
        <v>12206.02</v>
      </c>
    </row>
    <row r="4914" spans="2:9">
      <c r="B4914" s="1297"/>
      <c r="C4914" s="1297"/>
      <c r="D4914" s="1297" t="s">
        <v>1041</v>
      </c>
      <c r="F4914" s="1399">
        <v>39737.760000000002</v>
      </c>
      <c r="I4914" s="1399">
        <v>39737.760000000002</v>
      </c>
    </row>
    <row r="4915" spans="2:9">
      <c r="B4915" s="1297"/>
      <c r="C4915" s="1297"/>
      <c r="D4915" s="1297" t="s">
        <v>1042</v>
      </c>
      <c r="F4915" s="1399">
        <v>95143.5</v>
      </c>
      <c r="I4915" s="1399">
        <v>95143.5</v>
      </c>
    </row>
    <row r="4916" spans="2:9">
      <c r="B4916" s="1297"/>
      <c r="C4916" s="1297"/>
      <c r="D4916" s="1297" t="s">
        <v>953</v>
      </c>
      <c r="F4916" s="1399">
        <v>6794.11</v>
      </c>
      <c r="I4916" s="1399">
        <v>6794.11</v>
      </c>
    </row>
    <row r="4917" spans="2:9">
      <c r="B4917" s="1297"/>
      <c r="C4917" s="1297"/>
      <c r="D4917" s="1297" t="s">
        <v>985</v>
      </c>
      <c r="F4917" s="1399">
        <v>130707</v>
      </c>
      <c r="I4917" s="1399">
        <v>130707</v>
      </c>
    </row>
    <row r="4918" spans="2:9">
      <c r="B4918" s="1297"/>
      <c r="C4918" s="1297"/>
      <c r="D4918" s="1297" t="s">
        <v>986</v>
      </c>
      <c r="F4918" s="1399">
        <v>800</v>
      </c>
      <c r="I4918" s="1399">
        <v>800</v>
      </c>
    </row>
    <row r="4919" spans="2:9">
      <c r="B4919" s="1297"/>
      <c r="C4919" s="1297"/>
      <c r="D4919" s="1297" t="s">
        <v>1044</v>
      </c>
      <c r="F4919" s="1399">
        <v>131003.24</v>
      </c>
      <c r="I4919" s="1399">
        <v>131003.24</v>
      </c>
    </row>
    <row r="4920" spans="2:9">
      <c r="B4920" s="1297"/>
      <c r="C4920" s="1297"/>
      <c r="D4920" s="1297" t="s">
        <v>1045</v>
      </c>
      <c r="F4920" s="1399">
        <v>524607.36</v>
      </c>
      <c r="I4920" s="1399">
        <v>524607.36</v>
      </c>
    </row>
    <row r="4921" spans="2:9">
      <c r="B4921" s="1297"/>
      <c r="C4921" s="1297"/>
      <c r="D4921" s="1297" t="s">
        <v>1046</v>
      </c>
      <c r="H4921" s="1399">
        <v>22368237</v>
      </c>
      <c r="I4921" s="1399">
        <v>22368237</v>
      </c>
    </row>
    <row r="4922" spans="2:9">
      <c r="B4922" s="1297"/>
      <c r="C4922" s="1297"/>
      <c r="D4922" s="1297" t="s">
        <v>1047</v>
      </c>
      <c r="H4922" s="1399">
        <v>886724</v>
      </c>
      <c r="I4922" s="1399">
        <v>886724</v>
      </c>
    </row>
    <row r="4923" spans="2:9">
      <c r="B4923" s="1297"/>
      <c r="C4923" s="1297"/>
      <c r="D4923" s="1297" t="s">
        <v>1048</v>
      </c>
      <c r="H4923" s="1399">
        <v>-3372466</v>
      </c>
      <c r="I4923" s="1399">
        <v>-3372466</v>
      </c>
    </row>
    <row r="4924" spans="2:9">
      <c r="B4924" s="1297"/>
      <c r="C4924" s="1297"/>
      <c r="D4924" s="1297" t="s">
        <v>932</v>
      </c>
      <c r="H4924" s="1399">
        <v>2510005</v>
      </c>
      <c r="I4924" s="1399">
        <v>2510005</v>
      </c>
    </row>
    <row r="4925" spans="2:9">
      <c r="B4925" s="1297"/>
      <c r="C4925" s="1297"/>
      <c r="D4925" s="1297" t="s">
        <v>955</v>
      </c>
      <c r="H4925" s="1399">
        <v>1208352.23</v>
      </c>
      <c r="I4925" s="1399">
        <v>1208352.23</v>
      </c>
    </row>
    <row r="4926" spans="2:9">
      <c r="B4926" s="1297"/>
      <c r="C4926" s="1297"/>
      <c r="D4926" s="1297" t="s">
        <v>934</v>
      </c>
      <c r="H4926" s="1399">
        <v>98536</v>
      </c>
      <c r="I4926" s="1399">
        <v>98536</v>
      </c>
    </row>
    <row r="4927" spans="2:9">
      <c r="B4927" s="1297"/>
      <c r="C4927" s="1297"/>
      <c r="D4927" s="1297" t="s">
        <v>935</v>
      </c>
      <c r="H4927" s="1399">
        <v>180300.76</v>
      </c>
      <c r="I4927" s="1399">
        <v>180300.76</v>
      </c>
    </row>
    <row r="4928" spans="2:9">
      <c r="B4928" s="1297"/>
      <c r="C4928" s="1297"/>
      <c r="D4928" s="1297" t="s">
        <v>936</v>
      </c>
      <c r="H4928" s="1399">
        <v>89988.69</v>
      </c>
      <c r="I4928" s="1399">
        <v>89988.69</v>
      </c>
    </row>
    <row r="4929" spans="2:9">
      <c r="B4929" s="1297"/>
      <c r="C4929" s="1297"/>
      <c r="D4929" s="1297" t="s">
        <v>937</v>
      </c>
      <c r="H4929" s="1399">
        <v>27850.33</v>
      </c>
      <c r="I4929" s="1399">
        <v>27850.33</v>
      </c>
    </row>
    <row r="4930" spans="2:9">
      <c r="B4930" s="1297"/>
      <c r="C4930" s="1297"/>
      <c r="D4930" s="1297" t="s">
        <v>938</v>
      </c>
      <c r="H4930" s="1399">
        <v>34437</v>
      </c>
      <c r="I4930" s="1399">
        <v>34437</v>
      </c>
    </row>
    <row r="4931" spans="2:9">
      <c r="B4931" s="1297"/>
      <c r="C4931" s="1297"/>
      <c r="D4931" s="1297" t="s">
        <v>939</v>
      </c>
      <c r="H4931" s="1399">
        <v>255920.52999999997</v>
      </c>
      <c r="I4931" s="1399">
        <v>255920.52999999997</v>
      </c>
    </row>
    <row r="4932" spans="2:9">
      <c r="B4932" s="1297"/>
      <c r="C4932" s="1297"/>
      <c r="D4932" s="1297" t="s">
        <v>940</v>
      </c>
      <c r="E4932" s="1399">
        <v>1892313.36</v>
      </c>
      <c r="I4932" s="1399">
        <v>1892313.36</v>
      </c>
    </row>
    <row r="4933" spans="2:9">
      <c r="B4933" s="1297"/>
      <c r="C4933" s="1297"/>
      <c r="D4933" s="1297" t="s">
        <v>941</v>
      </c>
      <c r="E4933" s="1399">
        <v>1156986.3400000001</v>
      </c>
      <c r="I4933" s="1399">
        <v>1156986.3400000001</v>
      </c>
    </row>
    <row r="4934" spans="2:9">
      <c r="B4934" s="1297"/>
      <c r="C4934" s="1297"/>
      <c r="D4934" s="1297" t="s">
        <v>943</v>
      </c>
      <c r="E4934" s="1399">
        <v>41474.78</v>
      </c>
      <c r="I4934" s="1399">
        <v>41474.78</v>
      </c>
    </row>
    <row r="4935" spans="2:9">
      <c r="B4935" s="1297"/>
      <c r="C4935" s="1297"/>
      <c r="D4935" s="1297" t="s">
        <v>944</v>
      </c>
      <c r="E4935" s="1399">
        <v>5621960.3700000001</v>
      </c>
      <c r="I4935" s="1399">
        <v>5621960.3700000001</v>
      </c>
    </row>
    <row r="4936" spans="2:9">
      <c r="B4936" s="1297"/>
      <c r="C4936" s="1297"/>
      <c r="D4936" s="1297" t="s">
        <v>945</v>
      </c>
      <c r="E4936" s="1399">
        <v>2395850.2200000002</v>
      </c>
      <c r="I4936" s="1399">
        <v>2395850.2200000002</v>
      </c>
    </row>
    <row r="4937" spans="2:9">
      <c r="B4937" s="1297"/>
      <c r="C4937" s="1297"/>
      <c r="D4937" s="1297" t="s">
        <v>978</v>
      </c>
      <c r="E4937" s="1399">
        <v>14400</v>
      </c>
      <c r="I4937" s="1399">
        <v>14400</v>
      </c>
    </row>
    <row r="4938" spans="2:9">
      <c r="B4938" s="1297"/>
      <c r="C4938" s="1297"/>
      <c r="D4938" s="1297" t="s">
        <v>947</v>
      </c>
      <c r="E4938" s="1399">
        <v>228613.80000000002</v>
      </c>
      <c r="I4938" s="1399">
        <v>228613.80000000002</v>
      </c>
    </row>
    <row r="4939" spans="2:9">
      <c r="B4939" s="1297"/>
      <c r="C4939" s="1297"/>
      <c r="D4939" s="1297" t="s">
        <v>1116</v>
      </c>
      <c r="G4939" s="1399">
        <v>15695618.68</v>
      </c>
      <c r="I4939" s="1399">
        <v>15695618.68</v>
      </c>
    </row>
    <row r="4940" spans="2:9">
      <c r="B4940" s="1297"/>
      <c r="C4940" s="1297"/>
      <c r="D4940" s="1297" t="s">
        <v>948</v>
      </c>
      <c r="G4940" s="1399">
        <v>1073741.4099999999</v>
      </c>
      <c r="I4940" s="1399">
        <v>1073741.4099999999</v>
      </c>
    </row>
    <row r="4941" spans="2:9">
      <c r="B4941" s="1297"/>
      <c r="C4941" s="1400" t="s">
        <v>1340</v>
      </c>
      <c r="D4941" s="1400"/>
      <c r="E4941" s="1401">
        <v>11351598.870000001</v>
      </c>
      <c r="F4941" s="1401">
        <v>18915799.520000003</v>
      </c>
      <c r="G4941" s="1401">
        <v>16769360.09</v>
      </c>
      <c r="H4941" s="1401">
        <v>24287885.540000003</v>
      </c>
      <c r="I4941" s="1401">
        <v>71324644.019999981</v>
      </c>
    </row>
    <row r="4942" spans="2:9">
      <c r="B4942" s="1297" t="s">
        <v>1341</v>
      </c>
      <c r="C4942" s="1297" t="s">
        <v>1342</v>
      </c>
      <c r="D4942" s="1297" t="s">
        <v>906</v>
      </c>
      <c r="F4942" s="1399">
        <v>2986501.3600000003</v>
      </c>
      <c r="I4942" s="1399">
        <v>2986501.3600000003</v>
      </c>
    </row>
    <row r="4943" spans="2:9">
      <c r="B4943" s="1297"/>
      <c r="C4943" s="1297"/>
      <c r="D4943" s="1297" t="s">
        <v>907</v>
      </c>
      <c r="F4943" s="1399">
        <v>618536.06000000006</v>
      </c>
      <c r="I4943" s="1399">
        <v>618536.06000000006</v>
      </c>
    </row>
    <row r="4944" spans="2:9">
      <c r="B4944" s="1297"/>
      <c r="C4944" s="1297"/>
      <c r="D4944" s="1297" t="s">
        <v>908</v>
      </c>
      <c r="F4944" s="1399">
        <v>0</v>
      </c>
      <c r="I4944" s="1399">
        <v>0</v>
      </c>
    </row>
    <row r="4945" spans="2:9">
      <c r="B4945" s="1297"/>
      <c r="C4945" s="1297"/>
      <c r="D4945" s="1297" t="s">
        <v>909</v>
      </c>
      <c r="F4945" s="1399">
        <v>9704.5</v>
      </c>
      <c r="I4945" s="1399">
        <v>9704.5</v>
      </c>
    </row>
    <row r="4946" spans="2:9">
      <c r="B4946" s="1297"/>
      <c r="C4946" s="1297"/>
      <c r="D4946" s="1297" t="s">
        <v>1035</v>
      </c>
      <c r="F4946" s="1399">
        <v>14587.62</v>
      </c>
      <c r="I4946" s="1399">
        <v>14587.62</v>
      </c>
    </row>
    <row r="4947" spans="2:9">
      <c r="B4947" s="1297"/>
      <c r="C4947" s="1297"/>
      <c r="D4947" s="1297" t="s">
        <v>1039</v>
      </c>
      <c r="F4947" s="1399">
        <v>11687.609999999999</v>
      </c>
      <c r="I4947" s="1399">
        <v>11687.609999999999</v>
      </c>
    </row>
    <row r="4948" spans="2:9">
      <c r="B4948" s="1297"/>
      <c r="C4948" s="1297"/>
      <c r="D4948" s="1297" t="s">
        <v>1041</v>
      </c>
      <c r="F4948" s="1399">
        <v>7359.2</v>
      </c>
      <c r="I4948" s="1399">
        <v>7359.2</v>
      </c>
    </row>
    <row r="4949" spans="2:9">
      <c r="B4949" s="1297"/>
      <c r="C4949" s="1297"/>
      <c r="D4949" s="1297" t="s">
        <v>1042</v>
      </c>
      <c r="F4949" s="1399">
        <v>21406.45</v>
      </c>
      <c r="I4949" s="1399">
        <v>21406.45</v>
      </c>
    </row>
    <row r="4950" spans="2:9">
      <c r="B4950" s="1297"/>
      <c r="C4950" s="1297"/>
      <c r="D4950" s="1297" t="s">
        <v>986</v>
      </c>
      <c r="F4950" s="1399">
        <v>15005.62</v>
      </c>
      <c r="I4950" s="1399">
        <v>15005.62</v>
      </c>
    </row>
    <row r="4951" spans="2:9">
      <c r="B4951" s="1297"/>
      <c r="C4951" s="1297"/>
      <c r="D4951" s="1297" t="s">
        <v>1044</v>
      </c>
      <c r="F4951" s="1399">
        <v>7363</v>
      </c>
      <c r="I4951" s="1399">
        <v>7363</v>
      </c>
    </row>
    <row r="4952" spans="2:9">
      <c r="B4952" s="1297"/>
      <c r="C4952" s="1297"/>
      <c r="D4952" s="1297" t="s">
        <v>1045</v>
      </c>
      <c r="F4952" s="1399">
        <v>90790.27</v>
      </c>
      <c r="I4952" s="1399">
        <v>90790.27</v>
      </c>
    </row>
    <row r="4953" spans="2:9">
      <c r="B4953" s="1297"/>
      <c r="C4953" s="1297"/>
      <c r="D4953" s="1297" t="s">
        <v>1046</v>
      </c>
      <c r="H4953" s="1399">
        <v>3720945</v>
      </c>
      <c r="I4953" s="1399">
        <v>3720945</v>
      </c>
    </row>
    <row r="4954" spans="2:9">
      <c r="B4954" s="1297"/>
      <c r="C4954" s="1297"/>
      <c r="D4954" s="1297" t="s">
        <v>1047</v>
      </c>
      <c r="H4954" s="1399">
        <v>14692</v>
      </c>
      <c r="I4954" s="1399">
        <v>14692</v>
      </c>
    </row>
    <row r="4955" spans="2:9">
      <c r="B4955" s="1297"/>
      <c r="C4955" s="1297"/>
      <c r="D4955" s="1297" t="s">
        <v>1048</v>
      </c>
      <c r="H4955" s="1399">
        <v>-1049638</v>
      </c>
      <c r="I4955" s="1399">
        <v>-1049638</v>
      </c>
    </row>
    <row r="4956" spans="2:9">
      <c r="B4956" s="1297"/>
      <c r="C4956" s="1297"/>
      <c r="D4956" s="1297" t="s">
        <v>955</v>
      </c>
      <c r="H4956" s="1399">
        <v>123309.84</v>
      </c>
      <c r="I4956" s="1399">
        <v>123309.84</v>
      </c>
    </row>
    <row r="4957" spans="2:9">
      <c r="B4957" s="1297"/>
      <c r="C4957" s="1297"/>
      <c r="D4957" s="1297" t="s">
        <v>934</v>
      </c>
      <c r="H4957" s="1399">
        <v>13860</v>
      </c>
      <c r="I4957" s="1399">
        <v>13860</v>
      </c>
    </row>
    <row r="4958" spans="2:9">
      <c r="B4958" s="1297"/>
      <c r="C4958" s="1297"/>
      <c r="D4958" s="1297" t="s">
        <v>935</v>
      </c>
      <c r="H4958" s="1399">
        <v>26657</v>
      </c>
      <c r="I4958" s="1399">
        <v>26657</v>
      </c>
    </row>
    <row r="4959" spans="2:9">
      <c r="B4959" s="1297"/>
      <c r="C4959" s="1297"/>
      <c r="D4959" s="1297" t="s">
        <v>936</v>
      </c>
      <c r="H4959" s="1399">
        <v>12605.42</v>
      </c>
      <c r="I4959" s="1399">
        <v>12605.42</v>
      </c>
    </row>
    <row r="4960" spans="2:9">
      <c r="B4960" s="1297"/>
      <c r="C4960" s="1297"/>
      <c r="D4960" s="1297" t="s">
        <v>938</v>
      </c>
      <c r="H4960" s="1399">
        <v>5240</v>
      </c>
      <c r="I4960" s="1399">
        <v>5240</v>
      </c>
    </row>
    <row r="4961" spans="2:9">
      <c r="B4961" s="1297"/>
      <c r="C4961" s="1297"/>
      <c r="D4961" s="1297" t="s">
        <v>939</v>
      </c>
      <c r="H4961" s="1399">
        <v>0</v>
      </c>
      <c r="I4961" s="1399">
        <v>0</v>
      </c>
    </row>
    <row r="4962" spans="2:9">
      <c r="B4962" s="1297"/>
      <c r="C4962" s="1297"/>
      <c r="D4962" s="1297" t="s">
        <v>1131</v>
      </c>
      <c r="E4962" s="1399">
        <v>51169.97</v>
      </c>
      <c r="I4962" s="1399">
        <v>51169.97</v>
      </c>
    </row>
    <row r="4963" spans="2:9">
      <c r="B4963" s="1297"/>
      <c r="C4963" s="1297"/>
      <c r="D4963" s="1297" t="s">
        <v>940</v>
      </c>
      <c r="E4963" s="1399">
        <v>216229.92</v>
      </c>
      <c r="I4963" s="1399">
        <v>216229.92</v>
      </c>
    </row>
    <row r="4964" spans="2:9">
      <c r="B4964" s="1297"/>
      <c r="C4964" s="1297"/>
      <c r="D4964" s="1297" t="s">
        <v>941</v>
      </c>
      <c r="E4964" s="1399">
        <v>112795.52</v>
      </c>
      <c r="I4964" s="1399">
        <v>112795.52</v>
      </c>
    </row>
    <row r="4965" spans="2:9">
      <c r="B4965" s="1297"/>
      <c r="C4965" s="1297"/>
      <c r="D4965" s="1297" t="s">
        <v>943</v>
      </c>
      <c r="E4965" s="1399">
        <v>2773.52</v>
      </c>
      <c r="I4965" s="1399">
        <v>2773.52</v>
      </c>
    </row>
    <row r="4966" spans="2:9">
      <c r="B4966" s="1297"/>
      <c r="C4966" s="1297"/>
      <c r="D4966" s="1297" t="s">
        <v>944</v>
      </c>
      <c r="E4966" s="1399">
        <v>980371.7699999999</v>
      </c>
      <c r="I4966" s="1399">
        <v>980371.7699999999</v>
      </c>
    </row>
    <row r="4967" spans="2:9">
      <c r="B4967" s="1297"/>
      <c r="C4967" s="1297"/>
      <c r="D4967" s="1297" t="s">
        <v>945</v>
      </c>
      <c r="E4967" s="1399">
        <v>324147</v>
      </c>
      <c r="I4967" s="1399">
        <v>324147</v>
      </c>
    </row>
    <row r="4968" spans="2:9">
      <c r="B4968" s="1297"/>
      <c r="C4968" s="1297"/>
      <c r="D4968" s="1297" t="s">
        <v>947</v>
      </c>
      <c r="E4968" s="1399">
        <v>26196.51</v>
      </c>
      <c r="I4968" s="1399">
        <v>26196.51</v>
      </c>
    </row>
    <row r="4969" spans="2:9">
      <c r="B4969" s="1297"/>
      <c r="C4969" s="1297"/>
      <c r="D4969" s="1297" t="s">
        <v>948</v>
      </c>
      <c r="G4969" s="1399">
        <v>155106.96</v>
      </c>
      <c r="I4969" s="1399">
        <v>155106.96</v>
      </c>
    </row>
    <row r="4970" spans="2:9">
      <c r="B4970" s="1297"/>
      <c r="C4970" s="1400" t="s">
        <v>1343</v>
      </c>
      <c r="D4970" s="1400"/>
      <c r="E4970" s="1401">
        <v>1713684.21</v>
      </c>
      <c r="F4970" s="1401">
        <v>3782941.6900000009</v>
      </c>
      <c r="G4970" s="1401">
        <v>155106.96</v>
      </c>
      <c r="H4970" s="1401">
        <v>2867671.26</v>
      </c>
      <c r="I4970" s="1401">
        <v>8519404.1199999992</v>
      </c>
    </row>
    <row r="4971" spans="2:9">
      <c r="B4971" s="1297" t="s">
        <v>1344</v>
      </c>
      <c r="C4971" s="1297" t="s">
        <v>1345</v>
      </c>
      <c r="D4971" s="1297" t="s">
        <v>906</v>
      </c>
      <c r="F4971" s="1399">
        <v>1277195.69</v>
      </c>
      <c r="I4971" s="1399">
        <v>1277195.69</v>
      </c>
    </row>
    <row r="4972" spans="2:9">
      <c r="B4972" s="1297"/>
      <c r="C4972" s="1297"/>
      <c r="D4972" s="1297" t="s">
        <v>952</v>
      </c>
      <c r="F4972" s="1399">
        <v>3876.81</v>
      </c>
      <c r="I4972" s="1399">
        <v>3876.81</v>
      </c>
    </row>
    <row r="4973" spans="2:9">
      <c r="B4973" s="1297"/>
      <c r="C4973" s="1297"/>
      <c r="D4973" s="1297" t="s">
        <v>907</v>
      </c>
      <c r="F4973" s="1399">
        <v>88189.41</v>
      </c>
      <c r="I4973" s="1399">
        <v>88189.41</v>
      </c>
    </row>
    <row r="4974" spans="2:9">
      <c r="B4974" s="1297"/>
      <c r="C4974" s="1297"/>
      <c r="D4974" s="1297" t="s">
        <v>908</v>
      </c>
      <c r="F4974" s="1399">
        <v>13453.93</v>
      </c>
      <c r="I4974" s="1399">
        <v>13453.93</v>
      </c>
    </row>
    <row r="4975" spans="2:9">
      <c r="B4975" s="1297"/>
      <c r="C4975" s="1297"/>
      <c r="D4975" s="1297" t="s">
        <v>909</v>
      </c>
      <c r="F4975" s="1399">
        <v>9909.64</v>
      </c>
      <c r="I4975" s="1399">
        <v>9909.64</v>
      </c>
    </row>
    <row r="4976" spans="2:9">
      <c r="B4976" s="1297"/>
      <c r="C4976" s="1297"/>
      <c r="D4976" s="1297" t="s">
        <v>910</v>
      </c>
      <c r="F4976" s="1399">
        <v>11770.8</v>
      </c>
      <c r="I4976" s="1399">
        <v>11770.8</v>
      </c>
    </row>
    <row r="4977" spans="2:9">
      <c r="B4977" s="1297"/>
      <c r="C4977" s="1297"/>
      <c r="D4977" s="1297" t="s">
        <v>1034</v>
      </c>
      <c r="F4977" s="1399">
        <v>1366.2</v>
      </c>
      <c r="I4977" s="1399">
        <v>1366.2</v>
      </c>
    </row>
    <row r="4978" spans="2:9">
      <c r="B4978" s="1297"/>
      <c r="C4978" s="1297"/>
      <c r="D4978" s="1297" t="s">
        <v>1035</v>
      </c>
      <c r="F4978" s="1399">
        <v>27904.33</v>
      </c>
      <c r="I4978" s="1399">
        <v>27904.33</v>
      </c>
    </row>
    <row r="4979" spans="2:9">
      <c r="B4979" s="1297"/>
      <c r="C4979" s="1297"/>
      <c r="D4979" s="1297" t="s">
        <v>1036</v>
      </c>
      <c r="F4979" s="1399">
        <v>16832</v>
      </c>
      <c r="I4979" s="1399">
        <v>16832</v>
      </c>
    </row>
    <row r="4980" spans="2:9">
      <c r="B4980" s="1297"/>
      <c r="C4980" s="1297"/>
      <c r="D4980" s="1297" t="s">
        <v>1039</v>
      </c>
      <c r="F4980" s="1399">
        <v>8762.49</v>
      </c>
      <c r="I4980" s="1399">
        <v>8762.49</v>
      </c>
    </row>
    <row r="4981" spans="2:9">
      <c r="B4981" s="1297"/>
      <c r="C4981" s="1297"/>
      <c r="D4981" s="1297" t="s">
        <v>1041</v>
      </c>
      <c r="F4981" s="1399">
        <v>161.5</v>
      </c>
      <c r="I4981" s="1399">
        <v>161.5</v>
      </c>
    </row>
    <row r="4982" spans="2:9">
      <c r="B4982" s="1297"/>
      <c r="C4982" s="1297"/>
      <c r="D4982" s="1297" t="s">
        <v>1042</v>
      </c>
      <c r="F4982" s="1399">
        <v>6565</v>
      </c>
      <c r="I4982" s="1399">
        <v>6565</v>
      </c>
    </row>
    <row r="4983" spans="2:9">
      <c r="B4983" s="1297"/>
      <c r="C4983" s="1297"/>
      <c r="D4983" s="1297" t="s">
        <v>1045</v>
      </c>
      <c r="F4983" s="1399">
        <v>61633.14</v>
      </c>
      <c r="I4983" s="1399">
        <v>61633.14</v>
      </c>
    </row>
    <row r="4984" spans="2:9">
      <c r="B4984" s="1297"/>
      <c r="C4984" s="1297"/>
      <c r="D4984" s="1297" t="s">
        <v>1046</v>
      </c>
      <c r="H4984" s="1399">
        <v>1255535</v>
      </c>
      <c r="I4984" s="1399">
        <v>1255535</v>
      </c>
    </row>
    <row r="4985" spans="2:9">
      <c r="B4985" s="1297"/>
      <c r="C4985" s="1297"/>
      <c r="D4985" s="1297" t="s">
        <v>1047</v>
      </c>
      <c r="H4985" s="1399">
        <v>286317</v>
      </c>
      <c r="I4985" s="1399">
        <v>286317</v>
      </c>
    </row>
    <row r="4986" spans="2:9">
      <c r="B4986" s="1297"/>
      <c r="C4986" s="1297"/>
      <c r="D4986" s="1297" t="s">
        <v>1048</v>
      </c>
      <c r="H4986" s="1399">
        <v>-388965.5</v>
      </c>
      <c r="I4986" s="1399">
        <v>-388965.5</v>
      </c>
    </row>
    <row r="4987" spans="2:9">
      <c r="B4987" s="1297"/>
      <c r="C4987" s="1297"/>
      <c r="D4987" s="1297" t="s">
        <v>934</v>
      </c>
      <c r="H4987" s="1399">
        <v>3896</v>
      </c>
      <c r="I4987" s="1399">
        <v>3896</v>
      </c>
    </row>
    <row r="4988" spans="2:9">
      <c r="B4988" s="1297"/>
      <c r="C4988" s="1297"/>
      <c r="D4988" s="1297" t="s">
        <v>935</v>
      </c>
      <c r="H4988" s="1399">
        <v>242279.32</v>
      </c>
      <c r="I4988" s="1399">
        <v>242279.32</v>
      </c>
    </row>
    <row r="4989" spans="2:9">
      <c r="B4989" s="1297"/>
      <c r="C4989" s="1297"/>
      <c r="D4989" s="1297" t="s">
        <v>936</v>
      </c>
      <c r="H4989" s="1399">
        <v>4902.1099999999997</v>
      </c>
      <c r="I4989" s="1399">
        <v>4902.1099999999997</v>
      </c>
    </row>
    <row r="4990" spans="2:9">
      <c r="B4990" s="1297"/>
      <c r="C4990" s="1297"/>
      <c r="D4990" s="1297" t="s">
        <v>938</v>
      </c>
      <c r="H4990" s="1399">
        <v>2433</v>
      </c>
      <c r="I4990" s="1399">
        <v>2433</v>
      </c>
    </row>
    <row r="4991" spans="2:9">
      <c r="B4991" s="1297"/>
      <c r="C4991" s="1297"/>
      <c r="D4991" s="1297" t="s">
        <v>940</v>
      </c>
      <c r="E4991" s="1399">
        <v>83163.28</v>
      </c>
      <c r="I4991" s="1399">
        <v>83163.28</v>
      </c>
    </row>
    <row r="4992" spans="2:9">
      <c r="B4992" s="1297"/>
      <c r="C4992" s="1297"/>
      <c r="D4992" s="1297" t="s">
        <v>941</v>
      </c>
      <c r="E4992" s="1399">
        <v>48602.720000000001</v>
      </c>
      <c r="I4992" s="1399">
        <v>48602.720000000001</v>
      </c>
    </row>
    <row r="4993" spans="2:9">
      <c r="B4993" s="1297"/>
      <c r="C4993" s="1297"/>
      <c r="D4993" s="1297" t="s">
        <v>943</v>
      </c>
      <c r="E4993" s="1399">
        <v>2251.8200000000002</v>
      </c>
      <c r="I4993" s="1399">
        <v>2251.8200000000002</v>
      </c>
    </row>
    <row r="4994" spans="2:9">
      <c r="B4994" s="1297"/>
      <c r="C4994" s="1297"/>
      <c r="D4994" s="1297" t="s">
        <v>944</v>
      </c>
      <c r="E4994" s="1399">
        <v>248877.83</v>
      </c>
      <c r="I4994" s="1399">
        <v>248877.83</v>
      </c>
    </row>
    <row r="4995" spans="2:9">
      <c r="B4995" s="1297"/>
      <c r="C4995" s="1297"/>
      <c r="D4995" s="1297" t="s">
        <v>945</v>
      </c>
      <c r="E4995" s="1399">
        <v>120632</v>
      </c>
      <c r="I4995" s="1399">
        <v>120632</v>
      </c>
    </row>
    <row r="4996" spans="2:9">
      <c r="B4996" s="1297"/>
      <c r="C4996" s="1297"/>
      <c r="D4996" s="1297" t="s">
        <v>978</v>
      </c>
      <c r="E4996" s="1399">
        <v>1200</v>
      </c>
      <c r="I4996" s="1399">
        <v>1200</v>
      </c>
    </row>
    <row r="4997" spans="2:9">
      <c r="B4997" s="1297"/>
      <c r="C4997" s="1297"/>
      <c r="D4997" s="1297" t="s">
        <v>947</v>
      </c>
      <c r="E4997" s="1399">
        <v>6900.13</v>
      </c>
      <c r="I4997" s="1399">
        <v>6900.13</v>
      </c>
    </row>
    <row r="4998" spans="2:9">
      <c r="B4998" s="1297"/>
      <c r="C4998" s="1297"/>
      <c r="D4998" s="1297" t="s">
        <v>948</v>
      </c>
      <c r="G4998" s="1399">
        <v>3864.3799999999997</v>
      </c>
      <c r="I4998" s="1399">
        <v>3864.3799999999997</v>
      </c>
    </row>
    <row r="4999" spans="2:9">
      <c r="B4999" s="1297"/>
      <c r="C4999" s="1400" t="s">
        <v>1346</v>
      </c>
      <c r="D4999" s="1400"/>
      <c r="E4999" s="1401">
        <v>511627.78</v>
      </c>
      <c r="F4999" s="1401">
        <v>1527620.9399999997</v>
      </c>
      <c r="G4999" s="1401">
        <v>3864.3799999999997</v>
      </c>
      <c r="H4999" s="1401">
        <v>1406396.9300000002</v>
      </c>
      <c r="I4999" s="1401">
        <v>3449510.0299999989</v>
      </c>
    </row>
    <row r="5000" spans="2:9">
      <c r="B5000" s="1297" t="s">
        <v>1347</v>
      </c>
      <c r="C5000" s="1297" t="s">
        <v>1348</v>
      </c>
      <c r="D5000" s="1297" t="s">
        <v>906</v>
      </c>
      <c r="F5000" s="1399">
        <v>5374781.54</v>
      </c>
      <c r="I5000" s="1399">
        <v>5374781.54</v>
      </c>
    </row>
    <row r="5001" spans="2:9">
      <c r="B5001" s="1297"/>
      <c r="C5001" s="1297"/>
      <c r="D5001" s="1297" t="s">
        <v>952</v>
      </c>
      <c r="F5001" s="1399">
        <v>45346.51</v>
      </c>
      <c r="I5001" s="1399">
        <v>45346.51</v>
      </c>
    </row>
    <row r="5002" spans="2:9">
      <c r="B5002" s="1297"/>
      <c r="C5002" s="1297"/>
      <c r="D5002" s="1297" t="s">
        <v>907</v>
      </c>
      <c r="F5002" s="1399">
        <v>1903932.14</v>
      </c>
      <c r="I5002" s="1399">
        <v>1903932.14</v>
      </c>
    </row>
    <row r="5003" spans="2:9">
      <c r="B5003" s="1297"/>
      <c r="C5003" s="1297"/>
      <c r="D5003" s="1297" t="s">
        <v>908</v>
      </c>
      <c r="F5003" s="1399">
        <v>5953.33</v>
      </c>
      <c r="I5003" s="1399">
        <v>5953.33</v>
      </c>
    </row>
    <row r="5004" spans="2:9">
      <c r="B5004" s="1297"/>
      <c r="C5004" s="1297"/>
      <c r="D5004" s="1297" t="s">
        <v>909</v>
      </c>
      <c r="F5004" s="1399">
        <v>107274.58</v>
      </c>
      <c r="I5004" s="1399">
        <v>107274.58</v>
      </c>
    </row>
    <row r="5005" spans="2:9">
      <c r="B5005" s="1297"/>
      <c r="C5005" s="1297"/>
      <c r="D5005" s="1297" t="s">
        <v>910</v>
      </c>
      <c r="F5005" s="1399">
        <v>47128.3</v>
      </c>
      <c r="I5005" s="1399">
        <v>47128.3</v>
      </c>
    </row>
    <row r="5006" spans="2:9">
      <c r="B5006" s="1297"/>
      <c r="C5006" s="1297"/>
      <c r="D5006" s="1297" t="s">
        <v>1034</v>
      </c>
      <c r="F5006" s="1399">
        <v>59329.79</v>
      </c>
      <c r="I5006" s="1399">
        <v>59329.79</v>
      </c>
    </row>
    <row r="5007" spans="2:9">
      <c r="B5007" s="1297"/>
      <c r="C5007" s="1297"/>
      <c r="D5007" s="1297" t="s">
        <v>1035</v>
      </c>
      <c r="F5007" s="1399">
        <v>363447.95999999996</v>
      </c>
      <c r="I5007" s="1399">
        <v>363447.95999999996</v>
      </c>
    </row>
    <row r="5008" spans="2:9">
      <c r="B5008" s="1297"/>
      <c r="C5008" s="1297"/>
      <c r="D5008" s="1297" t="s">
        <v>1036</v>
      </c>
      <c r="F5008" s="1399">
        <v>141519.54</v>
      </c>
      <c r="I5008" s="1399">
        <v>141519.54</v>
      </c>
    </row>
    <row r="5009" spans="2:9">
      <c r="B5009" s="1297"/>
      <c r="C5009" s="1297"/>
      <c r="D5009" s="1297" t="s">
        <v>1039</v>
      </c>
      <c r="F5009" s="1399">
        <v>147009.94</v>
      </c>
      <c r="I5009" s="1399">
        <v>147009.94</v>
      </c>
    </row>
    <row r="5010" spans="2:9">
      <c r="B5010" s="1297"/>
      <c r="C5010" s="1297"/>
      <c r="D5010" s="1297" t="s">
        <v>1040</v>
      </c>
      <c r="F5010" s="1399">
        <v>175129.85</v>
      </c>
      <c r="I5010" s="1399">
        <v>175129.85</v>
      </c>
    </row>
    <row r="5011" spans="2:9">
      <c r="B5011" s="1297"/>
      <c r="C5011" s="1297"/>
      <c r="D5011" s="1297" t="s">
        <v>1041</v>
      </c>
      <c r="F5011" s="1399">
        <v>89593.05</v>
      </c>
      <c r="I5011" s="1399">
        <v>89593.05</v>
      </c>
    </row>
    <row r="5012" spans="2:9">
      <c r="B5012" s="1297"/>
      <c r="C5012" s="1297"/>
      <c r="D5012" s="1297" t="s">
        <v>1042</v>
      </c>
      <c r="F5012" s="1399">
        <v>71041.75</v>
      </c>
      <c r="I5012" s="1399">
        <v>71041.75</v>
      </c>
    </row>
    <row r="5013" spans="2:9">
      <c r="B5013" s="1297"/>
      <c r="C5013" s="1297"/>
      <c r="D5013" s="1297" t="s">
        <v>985</v>
      </c>
      <c r="F5013" s="1399">
        <v>70172.87</v>
      </c>
      <c r="I5013" s="1399">
        <v>70172.87</v>
      </c>
    </row>
    <row r="5014" spans="2:9">
      <c r="B5014" s="1297"/>
      <c r="C5014" s="1297"/>
      <c r="D5014" s="1297" t="s">
        <v>1044</v>
      </c>
      <c r="F5014" s="1399">
        <v>34809.760000000002</v>
      </c>
      <c r="I5014" s="1399">
        <v>34809.760000000002</v>
      </c>
    </row>
    <row r="5015" spans="2:9">
      <c r="B5015" s="1297"/>
      <c r="C5015" s="1297"/>
      <c r="D5015" s="1297" t="s">
        <v>1045</v>
      </c>
      <c r="F5015" s="1399">
        <v>391034.9</v>
      </c>
      <c r="I5015" s="1399">
        <v>391034.9</v>
      </c>
    </row>
    <row r="5016" spans="2:9">
      <c r="B5016" s="1297"/>
      <c r="C5016" s="1297"/>
      <c r="D5016" s="1297" t="s">
        <v>1046</v>
      </c>
      <c r="H5016" s="1399">
        <v>17424169</v>
      </c>
      <c r="I5016" s="1399">
        <v>17424169</v>
      </c>
    </row>
    <row r="5017" spans="2:9">
      <c r="B5017" s="1297"/>
      <c r="C5017" s="1297"/>
      <c r="D5017" s="1297" t="s">
        <v>1047</v>
      </c>
      <c r="H5017" s="1399">
        <v>594847</v>
      </c>
      <c r="I5017" s="1399">
        <v>594847</v>
      </c>
    </row>
    <row r="5018" spans="2:9">
      <c r="B5018" s="1297"/>
      <c r="C5018" s="1297"/>
      <c r="D5018" s="1297" t="s">
        <v>1048</v>
      </c>
      <c r="H5018" s="1399">
        <v>-1782286</v>
      </c>
      <c r="I5018" s="1399">
        <v>-1782286</v>
      </c>
    </row>
    <row r="5019" spans="2:9">
      <c r="B5019" s="1297"/>
      <c r="C5019" s="1297"/>
      <c r="D5019" s="1297" t="s">
        <v>932</v>
      </c>
      <c r="H5019" s="1399">
        <v>1670361</v>
      </c>
      <c r="I5019" s="1399">
        <v>1670361</v>
      </c>
    </row>
    <row r="5020" spans="2:9">
      <c r="B5020" s="1297"/>
      <c r="C5020" s="1297"/>
      <c r="D5020" s="1297" t="s">
        <v>955</v>
      </c>
      <c r="H5020" s="1399">
        <v>956148.5</v>
      </c>
      <c r="I5020" s="1399">
        <v>956148.5</v>
      </c>
    </row>
    <row r="5021" spans="2:9">
      <c r="B5021" s="1297"/>
      <c r="C5021" s="1297"/>
      <c r="D5021" s="1297" t="s">
        <v>934</v>
      </c>
      <c r="H5021" s="1399">
        <v>57732</v>
      </c>
      <c r="I5021" s="1399">
        <v>57732</v>
      </c>
    </row>
    <row r="5022" spans="2:9">
      <c r="B5022" s="1297"/>
      <c r="C5022" s="1297"/>
      <c r="D5022" s="1297" t="s">
        <v>935</v>
      </c>
      <c r="H5022" s="1399">
        <v>432381.18000000005</v>
      </c>
      <c r="I5022" s="1399">
        <v>432381.18000000005</v>
      </c>
    </row>
    <row r="5023" spans="2:9">
      <c r="B5023" s="1297"/>
      <c r="C5023" s="1297"/>
      <c r="D5023" s="1297" t="s">
        <v>936</v>
      </c>
      <c r="H5023" s="1399">
        <v>60926.19</v>
      </c>
      <c r="I5023" s="1399">
        <v>60926.19</v>
      </c>
    </row>
    <row r="5024" spans="2:9">
      <c r="B5024" s="1297"/>
      <c r="C5024" s="1297"/>
      <c r="D5024" s="1297" t="s">
        <v>937</v>
      </c>
      <c r="H5024" s="1399">
        <v>12061.58</v>
      </c>
      <c r="I5024" s="1399">
        <v>12061.58</v>
      </c>
    </row>
    <row r="5025" spans="2:9">
      <c r="B5025" s="1297"/>
      <c r="C5025" s="1297"/>
      <c r="D5025" s="1297" t="s">
        <v>938</v>
      </c>
      <c r="H5025" s="1399">
        <v>20775</v>
      </c>
      <c r="I5025" s="1399">
        <v>20775</v>
      </c>
    </row>
    <row r="5026" spans="2:9">
      <c r="B5026" s="1297"/>
      <c r="C5026" s="1297"/>
      <c r="D5026" s="1297" t="s">
        <v>940</v>
      </c>
      <c r="E5026" s="1399">
        <v>1106491.26</v>
      </c>
      <c r="I5026" s="1399">
        <v>1106491.26</v>
      </c>
    </row>
    <row r="5027" spans="2:9">
      <c r="B5027" s="1297"/>
      <c r="C5027" s="1297"/>
      <c r="D5027" s="1297" t="s">
        <v>941</v>
      </c>
      <c r="E5027" s="1399">
        <v>419711.74</v>
      </c>
      <c r="I5027" s="1399">
        <v>419711.74</v>
      </c>
    </row>
    <row r="5028" spans="2:9">
      <c r="B5028" s="1297"/>
      <c r="C5028" s="1297"/>
      <c r="D5028" s="1297" t="s">
        <v>942</v>
      </c>
      <c r="E5028" s="1399">
        <v>15719.6</v>
      </c>
      <c r="I5028" s="1399">
        <v>15719.6</v>
      </c>
    </row>
    <row r="5029" spans="2:9">
      <c r="B5029" s="1297"/>
      <c r="C5029" s="1297"/>
      <c r="D5029" s="1297" t="s">
        <v>943</v>
      </c>
      <c r="E5029" s="1399">
        <v>3013.28</v>
      </c>
      <c r="I5029" s="1399">
        <v>3013.28</v>
      </c>
    </row>
    <row r="5030" spans="2:9">
      <c r="B5030" s="1297"/>
      <c r="C5030" s="1297"/>
      <c r="D5030" s="1297" t="s">
        <v>944</v>
      </c>
      <c r="E5030" s="1399">
        <v>3000108.3799999994</v>
      </c>
      <c r="I5030" s="1399">
        <v>3000108.3799999994</v>
      </c>
    </row>
    <row r="5031" spans="2:9">
      <c r="B5031" s="1297"/>
      <c r="C5031" s="1297"/>
      <c r="D5031" s="1297" t="s">
        <v>945</v>
      </c>
      <c r="E5031" s="1399">
        <v>1627079.61</v>
      </c>
      <c r="I5031" s="1399">
        <v>1627079.61</v>
      </c>
    </row>
    <row r="5032" spans="2:9">
      <c r="B5032" s="1297"/>
      <c r="C5032" s="1297"/>
      <c r="D5032" s="1297" t="s">
        <v>946</v>
      </c>
      <c r="E5032" s="1399">
        <v>407241.64999999997</v>
      </c>
      <c r="I5032" s="1399">
        <v>407241.64999999997</v>
      </c>
    </row>
    <row r="5033" spans="2:9">
      <c r="B5033" s="1297"/>
      <c r="C5033" s="1297"/>
      <c r="D5033" s="1297" t="s">
        <v>978</v>
      </c>
      <c r="E5033" s="1399">
        <v>1200</v>
      </c>
      <c r="I5033" s="1399">
        <v>1200</v>
      </c>
    </row>
    <row r="5034" spans="2:9">
      <c r="B5034" s="1297"/>
      <c r="C5034" s="1297"/>
      <c r="D5034" s="1297" t="s">
        <v>947</v>
      </c>
      <c r="E5034" s="1399">
        <v>159426.62</v>
      </c>
      <c r="I5034" s="1399">
        <v>159426.62</v>
      </c>
    </row>
    <row r="5035" spans="2:9">
      <c r="B5035" s="1297"/>
      <c r="C5035" s="1297"/>
      <c r="D5035" s="1297" t="s">
        <v>948</v>
      </c>
      <c r="G5035" s="1399">
        <v>481085.66000000009</v>
      </c>
      <c r="I5035" s="1399">
        <v>481085.66000000009</v>
      </c>
    </row>
    <row r="5036" spans="2:9">
      <c r="B5036" s="1297"/>
      <c r="C5036" s="1400" t="s">
        <v>1349</v>
      </c>
      <c r="D5036" s="1400"/>
      <c r="E5036" s="1401">
        <v>6739992.1400000006</v>
      </c>
      <c r="F5036" s="1401">
        <v>9027505.8099999987</v>
      </c>
      <c r="G5036" s="1401">
        <v>481085.66000000009</v>
      </c>
      <c r="H5036" s="1401">
        <v>19447115.449999999</v>
      </c>
      <c r="I5036" s="1401">
        <v>35695699.059999995</v>
      </c>
    </row>
    <row r="5037" spans="2:9">
      <c r="B5037" s="1297" t="s">
        <v>1350</v>
      </c>
      <c r="C5037" s="1297" t="s">
        <v>1351</v>
      </c>
      <c r="D5037" s="1297" t="s">
        <v>906</v>
      </c>
      <c r="F5037" s="1399">
        <v>2884862.53</v>
      </c>
      <c r="I5037" s="1399">
        <v>2884862.53</v>
      </c>
    </row>
    <row r="5038" spans="2:9">
      <c r="B5038" s="1297"/>
      <c r="C5038" s="1297"/>
      <c r="D5038" s="1297" t="s">
        <v>952</v>
      </c>
      <c r="F5038" s="1399">
        <v>3958.28</v>
      </c>
      <c r="I5038" s="1399">
        <v>3958.28</v>
      </c>
    </row>
    <row r="5039" spans="2:9">
      <c r="B5039" s="1297"/>
      <c r="C5039" s="1297"/>
      <c r="D5039" s="1297" t="s">
        <v>907</v>
      </c>
      <c r="F5039" s="1399">
        <v>781035.6</v>
      </c>
      <c r="I5039" s="1399">
        <v>781035.6</v>
      </c>
    </row>
    <row r="5040" spans="2:9">
      <c r="B5040" s="1297"/>
      <c r="C5040" s="1297"/>
      <c r="D5040" s="1297" t="s">
        <v>908</v>
      </c>
      <c r="F5040" s="1399">
        <v>23463.89</v>
      </c>
      <c r="I5040" s="1399">
        <v>23463.89</v>
      </c>
    </row>
    <row r="5041" spans="2:9">
      <c r="B5041" s="1297"/>
      <c r="C5041" s="1297"/>
      <c r="D5041" s="1297" t="s">
        <v>910</v>
      </c>
      <c r="F5041" s="1399">
        <v>63555.44</v>
      </c>
      <c r="I5041" s="1399">
        <v>63555.44</v>
      </c>
    </row>
    <row r="5042" spans="2:9">
      <c r="B5042" s="1297"/>
      <c r="C5042" s="1297"/>
      <c r="D5042" s="1297" t="s">
        <v>1035</v>
      </c>
      <c r="F5042" s="1399">
        <v>262713.86</v>
      </c>
      <c r="I5042" s="1399">
        <v>262713.86</v>
      </c>
    </row>
    <row r="5043" spans="2:9">
      <c r="B5043" s="1297"/>
      <c r="C5043" s="1297"/>
      <c r="D5043" s="1297" t="s">
        <v>1036</v>
      </c>
      <c r="F5043" s="1399">
        <v>101886.37</v>
      </c>
      <c r="I5043" s="1399">
        <v>101886.37</v>
      </c>
    </row>
    <row r="5044" spans="2:9">
      <c r="B5044" s="1297"/>
      <c r="C5044" s="1297"/>
      <c r="D5044" s="1297" t="s">
        <v>1037</v>
      </c>
      <c r="F5044" s="1399">
        <v>34456.019999999997</v>
      </c>
      <c r="I5044" s="1399">
        <v>34456.019999999997</v>
      </c>
    </row>
    <row r="5045" spans="2:9">
      <c r="B5045" s="1297"/>
      <c r="C5045" s="1297"/>
      <c r="D5045" s="1297" t="s">
        <v>1039</v>
      </c>
      <c r="F5045" s="1399">
        <v>3007.9600000000005</v>
      </c>
      <c r="I5045" s="1399">
        <v>3007.9600000000005</v>
      </c>
    </row>
    <row r="5046" spans="2:9">
      <c r="B5046" s="1297"/>
      <c r="C5046" s="1297"/>
      <c r="D5046" s="1297" t="s">
        <v>1040</v>
      </c>
      <c r="F5046" s="1399">
        <v>96615.11</v>
      </c>
      <c r="I5046" s="1399">
        <v>96615.11</v>
      </c>
    </row>
    <row r="5047" spans="2:9">
      <c r="B5047" s="1297"/>
      <c r="C5047" s="1297"/>
      <c r="D5047" s="1297" t="s">
        <v>1041</v>
      </c>
      <c r="F5047" s="1399">
        <v>48221.75</v>
      </c>
      <c r="I5047" s="1399">
        <v>48221.75</v>
      </c>
    </row>
    <row r="5048" spans="2:9">
      <c r="B5048" s="1297"/>
      <c r="C5048" s="1297"/>
      <c r="D5048" s="1297" t="s">
        <v>1042</v>
      </c>
      <c r="F5048" s="1399">
        <v>22280.959999999999</v>
      </c>
      <c r="I5048" s="1399">
        <v>22280.959999999999</v>
      </c>
    </row>
    <row r="5049" spans="2:9">
      <c r="B5049" s="1297"/>
      <c r="C5049" s="1297"/>
      <c r="D5049" s="1297" t="s">
        <v>953</v>
      </c>
      <c r="F5049" s="1399">
        <v>48865.71</v>
      </c>
      <c r="I5049" s="1399">
        <v>48865.71</v>
      </c>
    </row>
    <row r="5050" spans="2:9">
      <c r="B5050" s="1297"/>
      <c r="C5050" s="1297"/>
      <c r="D5050" s="1297" t="s">
        <v>1045</v>
      </c>
      <c r="F5050" s="1399">
        <v>143606.89000000001</v>
      </c>
      <c r="I5050" s="1399">
        <v>143606.89000000001</v>
      </c>
    </row>
    <row r="5051" spans="2:9">
      <c r="B5051" s="1297"/>
      <c r="C5051" s="1297"/>
      <c r="D5051" s="1297" t="s">
        <v>1046</v>
      </c>
      <c r="H5051" s="1399">
        <v>7755266</v>
      </c>
      <c r="I5051" s="1399">
        <v>7755266</v>
      </c>
    </row>
    <row r="5052" spans="2:9">
      <c r="B5052" s="1297"/>
      <c r="C5052" s="1297"/>
      <c r="D5052" s="1297" t="s">
        <v>1047</v>
      </c>
      <c r="H5052" s="1399">
        <v>386013.53</v>
      </c>
      <c r="I5052" s="1399">
        <v>386013.53</v>
      </c>
    </row>
    <row r="5053" spans="2:9">
      <c r="B5053" s="1297"/>
      <c r="C5053" s="1297"/>
      <c r="D5053" s="1297" t="s">
        <v>1048</v>
      </c>
      <c r="H5053" s="1399">
        <v>-944738</v>
      </c>
      <c r="I5053" s="1399">
        <v>-944738</v>
      </c>
    </row>
    <row r="5054" spans="2:9">
      <c r="B5054" s="1297"/>
      <c r="C5054" s="1297"/>
      <c r="D5054" s="1297" t="s">
        <v>932</v>
      </c>
      <c r="H5054" s="1399">
        <v>711152</v>
      </c>
      <c r="I5054" s="1399">
        <v>711152</v>
      </c>
    </row>
    <row r="5055" spans="2:9">
      <c r="B5055" s="1297"/>
      <c r="C5055" s="1297"/>
      <c r="D5055" s="1297" t="s">
        <v>955</v>
      </c>
      <c r="H5055" s="1399">
        <v>436921.78</v>
      </c>
      <c r="I5055" s="1399">
        <v>436921.78</v>
      </c>
    </row>
    <row r="5056" spans="2:9">
      <c r="B5056" s="1297"/>
      <c r="C5056" s="1297"/>
      <c r="D5056" s="1297" t="s">
        <v>934</v>
      </c>
      <c r="H5056" s="1399">
        <v>26920</v>
      </c>
      <c r="I5056" s="1399">
        <v>26920</v>
      </c>
    </row>
    <row r="5057" spans="2:9">
      <c r="B5057" s="1297"/>
      <c r="C5057" s="1297"/>
      <c r="D5057" s="1297" t="s">
        <v>935</v>
      </c>
      <c r="H5057" s="1399">
        <v>485725.00999999995</v>
      </c>
      <c r="I5057" s="1399">
        <v>485725.00999999995</v>
      </c>
    </row>
    <row r="5058" spans="2:9">
      <c r="B5058" s="1297"/>
      <c r="C5058" s="1297"/>
      <c r="D5058" s="1297" t="s">
        <v>936</v>
      </c>
      <c r="H5058" s="1399">
        <v>33964.6</v>
      </c>
      <c r="I5058" s="1399">
        <v>33964.6</v>
      </c>
    </row>
    <row r="5059" spans="2:9">
      <c r="B5059" s="1297"/>
      <c r="C5059" s="1297"/>
      <c r="D5059" s="1297" t="s">
        <v>938</v>
      </c>
      <c r="H5059" s="1399">
        <v>9919</v>
      </c>
      <c r="I5059" s="1399">
        <v>9919</v>
      </c>
    </row>
    <row r="5060" spans="2:9">
      <c r="B5060" s="1297"/>
      <c r="C5060" s="1297"/>
      <c r="D5060" s="1297" t="s">
        <v>1131</v>
      </c>
      <c r="E5060" s="1399">
        <v>547325.94000000006</v>
      </c>
      <c r="I5060" s="1399">
        <v>547325.94000000006</v>
      </c>
    </row>
    <row r="5061" spans="2:9">
      <c r="B5061" s="1297"/>
      <c r="C5061" s="1297"/>
      <c r="D5061" s="1297" t="s">
        <v>940</v>
      </c>
      <c r="E5061" s="1399">
        <v>444806.74</v>
      </c>
      <c r="I5061" s="1399">
        <v>444806.74</v>
      </c>
    </row>
    <row r="5062" spans="2:9">
      <c r="B5062" s="1297"/>
      <c r="C5062" s="1297"/>
      <c r="D5062" s="1297" t="s">
        <v>941</v>
      </c>
      <c r="E5062" s="1399">
        <v>187889.8</v>
      </c>
      <c r="I5062" s="1399">
        <v>187889.8</v>
      </c>
    </row>
    <row r="5063" spans="2:9">
      <c r="B5063" s="1297"/>
      <c r="C5063" s="1297"/>
      <c r="D5063" s="1297" t="s">
        <v>943</v>
      </c>
      <c r="E5063" s="1399">
        <v>8330.18</v>
      </c>
      <c r="I5063" s="1399">
        <v>8330.18</v>
      </c>
    </row>
    <row r="5064" spans="2:9">
      <c r="B5064" s="1297"/>
      <c r="C5064" s="1297"/>
      <c r="D5064" s="1297" t="s">
        <v>944</v>
      </c>
      <c r="E5064" s="1399">
        <v>1969207.1300000001</v>
      </c>
      <c r="I5064" s="1399">
        <v>1969207.1300000001</v>
      </c>
    </row>
    <row r="5065" spans="2:9">
      <c r="B5065" s="1297"/>
      <c r="C5065" s="1297"/>
      <c r="D5065" s="1297" t="s">
        <v>945</v>
      </c>
      <c r="E5065" s="1399">
        <v>735181.58000000007</v>
      </c>
      <c r="I5065" s="1399">
        <v>735181.58000000007</v>
      </c>
    </row>
    <row r="5066" spans="2:9">
      <c r="B5066" s="1297"/>
      <c r="C5066" s="1297"/>
      <c r="D5066" s="1297" t="s">
        <v>978</v>
      </c>
      <c r="E5066" s="1399">
        <v>1200</v>
      </c>
      <c r="I5066" s="1399">
        <v>1200</v>
      </c>
    </row>
    <row r="5067" spans="2:9">
      <c r="B5067" s="1297"/>
      <c r="C5067" s="1297"/>
      <c r="D5067" s="1297" t="s">
        <v>947</v>
      </c>
      <c r="E5067" s="1399">
        <v>51066.53</v>
      </c>
      <c r="I5067" s="1399">
        <v>51066.53</v>
      </c>
    </row>
    <row r="5068" spans="2:9">
      <c r="B5068" s="1297"/>
      <c r="C5068" s="1297"/>
      <c r="D5068" s="1297" t="s">
        <v>948</v>
      </c>
      <c r="G5068" s="1399">
        <v>444256.26</v>
      </c>
      <c r="I5068" s="1399">
        <v>444256.26</v>
      </c>
    </row>
    <row r="5069" spans="2:9">
      <c r="B5069" s="1297"/>
      <c r="C5069" s="1297"/>
      <c r="D5069" s="1297" t="s">
        <v>1118</v>
      </c>
      <c r="G5069" s="1399">
        <v>5966.78</v>
      </c>
      <c r="I5069" s="1399">
        <v>5966.78</v>
      </c>
    </row>
    <row r="5070" spans="2:9">
      <c r="B5070" s="1297"/>
      <c r="C5070" s="1400" t="s">
        <v>1352</v>
      </c>
      <c r="D5070" s="1400"/>
      <c r="E5070" s="1401">
        <v>3945007.9</v>
      </c>
      <c r="F5070" s="1401">
        <v>4518530.3699999992</v>
      </c>
      <c r="G5070" s="1401">
        <v>450223.04000000004</v>
      </c>
      <c r="H5070" s="1401">
        <v>8901143.9199999999</v>
      </c>
      <c r="I5070" s="1401">
        <v>17814905.23</v>
      </c>
    </row>
    <row r="5071" spans="2:9">
      <c r="B5071" s="1297" t="s">
        <v>1353</v>
      </c>
      <c r="C5071" s="1297" t="s">
        <v>1354</v>
      </c>
      <c r="D5071" s="1297" t="s">
        <v>906</v>
      </c>
      <c r="F5071" s="1399">
        <v>4106445.6</v>
      </c>
      <c r="I5071" s="1399">
        <v>4106445.6</v>
      </c>
    </row>
    <row r="5072" spans="2:9">
      <c r="B5072" s="1297"/>
      <c r="C5072" s="1297"/>
      <c r="D5072" s="1297" t="s">
        <v>952</v>
      </c>
      <c r="F5072" s="1399">
        <v>14143.53</v>
      </c>
      <c r="I5072" s="1399">
        <v>14143.53</v>
      </c>
    </row>
    <row r="5073" spans="2:9">
      <c r="B5073" s="1297"/>
      <c r="C5073" s="1297"/>
      <c r="D5073" s="1297" t="s">
        <v>907</v>
      </c>
      <c r="F5073" s="1399">
        <v>1145725.8500000001</v>
      </c>
      <c r="I5073" s="1399">
        <v>1145725.8500000001</v>
      </c>
    </row>
    <row r="5074" spans="2:9">
      <c r="B5074" s="1297"/>
      <c r="C5074" s="1297"/>
      <c r="D5074" s="1297" t="s">
        <v>908</v>
      </c>
      <c r="F5074" s="1399">
        <v>20589.2</v>
      </c>
      <c r="I5074" s="1399">
        <v>20589.2</v>
      </c>
    </row>
    <row r="5075" spans="2:9">
      <c r="B5075" s="1297"/>
      <c r="C5075" s="1297"/>
      <c r="D5075" s="1297" t="s">
        <v>909</v>
      </c>
      <c r="F5075" s="1399">
        <v>58149.1</v>
      </c>
      <c r="I5075" s="1399">
        <v>58149.1</v>
      </c>
    </row>
    <row r="5076" spans="2:9">
      <c r="B5076" s="1297"/>
      <c r="C5076" s="1297"/>
      <c r="D5076" s="1297" t="s">
        <v>910</v>
      </c>
      <c r="F5076" s="1399">
        <v>53485.98</v>
      </c>
      <c r="I5076" s="1399">
        <v>53485.98</v>
      </c>
    </row>
    <row r="5077" spans="2:9">
      <c r="B5077" s="1297"/>
      <c r="C5077" s="1297"/>
      <c r="D5077" s="1297" t="s">
        <v>1035</v>
      </c>
      <c r="F5077" s="1399">
        <v>184711.44</v>
      </c>
      <c r="I5077" s="1399">
        <v>184711.44</v>
      </c>
    </row>
    <row r="5078" spans="2:9">
      <c r="B5078" s="1297"/>
      <c r="C5078" s="1297"/>
      <c r="D5078" s="1297" t="s">
        <v>1036</v>
      </c>
      <c r="F5078" s="1399">
        <v>42994.6</v>
      </c>
      <c r="I5078" s="1399">
        <v>42994.6</v>
      </c>
    </row>
    <row r="5079" spans="2:9">
      <c r="B5079" s="1297"/>
      <c r="C5079" s="1297"/>
      <c r="D5079" s="1297" t="s">
        <v>1039</v>
      </c>
      <c r="F5079" s="1399">
        <v>8781.0199999999986</v>
      </c>
      <c r="I5079" s="1399">
        <v>8781.0199999999986</v>
      </c>
    </row>
    <row r="5080" spans="2:9">
      <c r="B5080" s="1297"/>
      <c r="C5080" s="1297"/>
      <c r="D5080" s="1297" t="s">
        <v>1040</v>
      </c>
      <c r="F5080" s="1399">
        <v>0</v>
      </c>
      <c r="I5080" s="1399">
        <v>0</v>
      </c>
    </row>
    <row r="5081" spans="2:9">
      <c r="B5081" s="1297"/>
      <c r="C5081" s="1297"/>
      <c r="D5081" s="1297" t="s">
        <v>1041</v>
      </c>
      <c r="F5081" s="1399">
        <v>29018.050000000003</v>
      </c>
      <c r="I5081" s="1399">
        <v>29018.050000000003</v>
      </c>
    </row>
    <row r="5082" spans="2:9">
      <c r="B5082" s="1297"/>
      <c r="C5082" s="1297"/>
      <c r="D5082" s="1297" t="s">
        <v>1042</v>
      </c>
      <c r="F5082" s="1399">
        <v>22978.25</v>
      </c>
      <c r="I5082" s="1399">
        <v>22978.25</v>
      </c>
    </row>
    <row r="5083" spans="2:9">
      <c r="B5083" s="1297"/>
      <c r="C5083" s="1297"/>
      <c r="D5083" s="1297" t="s">
        <v>953</v>
      </c>
      <c r="F5083" s="1399">
        <v>20232.27</v>
      </c>
      <c r="I5083" s="1399">
        <v>20232.27</v>
      </c>
    </row>
    <row r="5084" spans="2:9">
      <c r="B5084" s="1297"/>
      <c r="C5084" s="1297"/>
      <c r="D5084" s="1297" t="s">
        <v>1044</v>
      </c>
      <c r="F5084" s="1399">
        <v>3000</v>
      </c>
      <c r="I5084" s="1399">
        <v>3000</v>
      </c>
    </row>
    <row r="5085" spans="2:9">
      <c r="B5085" s="1297"/>
      <c r="C5085" s="1297"/>
      <c r="D5085" s="1297" t="s">
        <v>1045</v>
      </c>
      <c r="F5085" s="1399">
        <v>75360.650000000009</v>
      </c>
      <c r="I5085" s="1399">
        <v>75360.650000000009</v>
      </c>
    </row>
    <row r="5086" spans="2:9">
      <c r="B5086" s="1297"/>
      <c r="C5086" s="1297"/>
      <c r="D5086" s="1297" t="s">
        <v>1046</v>
      </c>
      <c r="H5086" s="1399">
        <v>8455039</v>
      </c>
      <c r="I5086" s="1399">
        <v>8455039</v>
      </c>
    </row>
    <row r="5087" spans="2:9">
      <c r="B5087" s="1297"/>
      <c r="C5087" s="1297"/>
      <c r="D5087" s="1297" t="s">
        <v>1047</v>
      </c>
      <c r="H5087" s="1399">
        <v>373737</v>
      </c>
      <c r="I5087" s="1399">
        <v>373737</v>
      </c>
    </row>
    <row r="5088" spans="2:9">
      <c r="B5088" s="1297"/>
      <c r="C5088" s="1297"/>
      <c r="D5088" s="1297" t="s">
        <v>1048</v>
      </c>
      <c r="H5088" s="1399">
        <v>-1407869</v>
      </c>
      <c r="I5088" s="1399">
        <v>-1407869</v>
      </c>
    </row>
    <row r="5089" spans="2:9">
      <c r="B5089" s="1297"/>
      <c r="C5089" s="1297"/>
      <c r="D5089" s="1297" t="s">
        <v>932</v>
      </c>
      <c r="H5089" s="1399">
        <v>531227</v>
      </c>
      <c r="I5089" s="1399">
        <v>531227</v>
      </c>
    </row>
    <row r="5090" spans="2:9">
      <c r="B5090" s="1297"/>
      <c r="C5090" s="1297"/>
      <c r="D5090" s="1297" t="s">
        <v>955</v>
      </c>
      <c r="H5090" s="1399">
        <v>447508.28</v>
      </c>
      <c r="I5090" s="1399">
        <v>447508.28</v>
      </c>
    </row>
    <row r="5091" spans="2:9">
      <c r="B5091" s="1297"/>
      <c r="C5091" s="1297"/>
      <c r="D5091" s="1297" t="s">
        <v>934</v>
      </c>
      <c r="H5091" s="1399">
        <v>29846</v>
      </c>
      <c r="I5091" s="1399">
        <v>29846</v>
      </c>
    </row>
    <row r="5092" spans="2:9">
      <c r="B5092" s="1297"/>
      <c r="C5092" s="1297"/>
      <c r="D5092" s="1297" t="s">
        <v>935</v>
      </c>
      <c r="H5092" s="1399">
        <v>122484.77</v>
      </c>
      <c r="I5092" s="1399">
        <v>122484.77</v>
      </c>
    </row>
    <row r="5093" spans="2:9">
      <c r="B5093" s="1297"/>
      <c r="C5093" s="1297"/>
      <c r="D5093" s="1297" t="s">
        <v>936</v>
      </c>
      <c r="H5093" s="1399">
        <v>32564</v>
      </c>
      <c r="I5093" s="1399">
        <v>32564</v>
      </c>
    </row>
    <row r="5094" spans="2:9">
      <c r="B5094" s="1297"/>
      <c r="C5094" s="1297"/>
      <c r="D5094" s="1297" t="s">
        <v>937</v>
      </c>
      <c r="H5094" s="1399">
        <v>28849.759999999998</v>
      </c>
      <c r="I5094" s="1399">
        <v>28849.759999999998</v>
      </c>
    </row>
    <row r="5095" spans="2:9">
      <c r="B5095" s="1297"/>
      <c r="C5095" s="1297"/>
      <c r="D5095" s="1297" t="s">
        <v>938</v>
      </c>
      <c r="H5095" s="1399">
        <v>6925</v>
      </c>
      <c r="I5095" s="1399">
        <v>6925</v>
      </c>
    </row>
    <row r="5096" spans="2:9">
      <c r="B5096" s="1297"/>
      <c r="C5096" s="1297"/>
      <c r="D5096" s="1297" t="s">
        <v>939</v>
      </c>
      <c r="H5096" s="1399">
        <v>75580.160000000003</v>
      </c>
      <c r="I5096" s="1399">
        <v>75580.160000000003</v>
      </c>
    </row>
    <row r="5097" spans="2:9">
      <c r="B5097" s="1297"/>
      <c r="C5097" s="1297"/>
      <c r="D5097" s="1297" t="s">
        <v>940</v>
      </c>
      <c r="E5097" s="1399">
        <v>571372.04</v>
      </c>
      <c r="I5097" s="1399">
        <v>571372.04</v>
      </c>
    </row>
    <row r="5098" spans="2:9">
      <c r="B5098" s="1297"/>
      <c r="C5098" s="1297"/>
      <c r="D5098" s="1297" t="s">
        <v>941</v>
      </c>
      <c r="E5098" s="1399">
        <v>248554.46000000002</v>
      </c>
      <c r="I5098" s="1399">
        <v>248554.46000000002</v>
      </c>
    </row>
    <row r="5099" spans="2:9">
      <c r="B5099" s="1297"/>
      <c r="C5099" s="1297"/>
      <c r="D5099" s="1297" t="s">
        <v>944</v>
      </c>
      <c r="E5099" s="1399">
        <v>1484689.6500000001</v>
      </c>
      <c r="I5099" s="1399">
        <v>1484689.6500000001</v>
      </c>
    </row>
    <row r="5100" spans="2:9">
      <c r="B5100" s="1297"/>
      <c r="C5100" s="1297"/>
      <c r="D5100" s="1297" t="s">
        <v>945</v>
      </c>
      <c r="E5100" s="1399">
        <v>1036712.47</v>
      </c>
      <c r="I5100" s="1399">
        <v>1036712.47</v>
      </c>
    </row>
    <row r="5101" spans="2:9">
      <c r="B5101" s="1297"/>
      <c r="C5101" s="1297"/>
      <c r="D5101" s="1297" t="s">
        <v>946</v>
      </c>
      <c r="E5101" s="1399">
        <v>261270.37</v>
      </c>
      <c r="I5101" s="1399">
        <v>261270.37</v>
      </c>
    </row>
    <row r="5102" spans="2:9">
      <c r="B5102" s="1297"/>
      <c r="C5102" s="1297"/>
      <c r="D5102" s="1297" t="s">
        <v>947</v>
      </c>
      <c r="E5102" s="1399">
        <v>75575.350000000006</v>
      </c>
      <c r="I5102" s="1399">
        <v>75575.350000000006</v>
      </c>
    </row>
    <row r="5103" spans="2:9">
      <c r="B5103" s="1297"/>
      <c r="C5103" s="1297"/>
      <c r="D5103" s="1297" t="s">
        <v>948</v>
      </c>
      <c r="G5103" s="1399">
        <v>153078.98000000001</v>
      </c>
      <c r="I5103" s="1399">
        <v>153078.98000000001</v>
      </c>
    </row>
    <row r="5104" spans="2:9">
      <c r="B5104" s="1297"/>
      <c r="C5104" s="1400" t="s">
        <v>1355</v>
      </c>
      <c r="D5104" s="1400"/>
      <c r="E5104" s="1401">
        <v>3678174.3400000003</v>
      </c>
      <c r="F5104" s="1401">
        <v>5785615.54</v>
      </c>
      <c r="G5104" s="1401">
        <v>153078.98000000001</v>
      </c>
      <c r="H5104" s="1401">
        <v>8695891.9699999988</v>
      </c>
      <c r="I5104" s="1401">
        <v>18312760.829999998</v>
      </c>
    </row>
    <row r="5105" spans="2:9">
      <c r="B5105" s="1297" t="s">
        <v>1356</v>
      </c>
      <c r="C5105" s="1297" t="s">
        <v>1357</v>
      </c>
      <c r="D5105" s="1297" t="s">
        <v>906</v>
      </c>
      <c r="F5105" s="1399">
        <v>3832908.73</v>
      </c>
      <c r="I5105" s="1399">
        <v>3832908.73</v>
      </c>
    </row>
    <row r="5106" spans="2:9">
      <c r="B5106" s="1297"/>
      <c r="C5106" s="1297"/>
      <c r="D5106" s="1297" t="s">
        <v>952</v>
      </c>
      <c r="F5106" s="1399">
        <v>25608.94</v>
      </c>
      <c r="I5106" s="1399">
        <v>25608.94</v>
      </c>
    </row>
    <row r="5107" spans="2:9">
      <c r="B5107" s="1297"/>
      <c r="C5107" s="1297"/>
      <c r="D5107" s="1297" t="s">
        <v>907</v>
      </c>
      <c r="F5107" s="1399">
        <v>864491.59</v>
      </c>
      <c r="I5107" s="1399">
        <v>864491.59</v>
      </c>
    </row>
    <row r="5108" spans="2:9">
      <c r="B5108" s="1297"/>
      <c r="C5108" s="1297"/>
      <c r="D5108" s="1297" t="s">
        <v>908</v>
      </c>
      <c r="F5108" s="1399">
        <v>15576.61</v>
      </c>
      <c r="I5108" s="1399">
        <v>15576.61</v>
      </c>
    </row>
    <row r="5109" spans="2:9">
      <c r="B5109" s="1297"/>
      <c r="C5109" s="1297"/>
      <c r="D5109" s="1297" t="s">
        <v>1034</v>
      </c>
      <c r="F5109" s="1399">
        <v>500</v>
      </c>
      <c r="I5109" s="1399">
        <v>500</v>
      </c>
    </row>
    <row r="5110" spans="2:9">
      <c r="B5110" s="1297"/>
      <c r="C5110" s="1297"/>
      <c r="D5110" s="1297" t="s">
        <v>1037</v>
      </c>
      <c r="F5110" s="1399">
        <v>0</v>
      </c>
      <c r="I5110" s="1399">
        <v>0</v>
      </c>
    </row>
    <row r="5111" spans="2:9">
      <c r="B5111" s="1297"/>
      <c r="C5111" s="1297"/>
      <c r="D5111" s="1297" t="s">
        <v>1038</v>
      </c>
      <c r="F5111" s="1399">
        <v>750</v>
      </c>
      <c r="I5111" s="1399">
        <v>750</v>
      </c>
    </row>
    <row r="5112" spans="2:9">
      <c r="B5112" s="1297"/>
      <c r="C5112" s="1297"/>
      <c r="D5112" s="1297" t="s">
        <v>1039</v>
      </c>
      <c r="F5112" s="1399">
        <v>35045.630000000005</v>
      </c>
      <c r="I5112" s="1399">
        <v>35045.630000000005</v>
      </c>
    </row>
    <row r="5113" spans="2:9">
      <c r="B5113" s="1297"/>
      <c r="C5113" s="1297"/>
      <c r="D5113" s="1297" t="s">
        <v>1041</v>
      </c>
      <c r="F5113" s="1399">
        <v>377.86</v>
      </c>
      <c r="I5113" s="1399">
        <v>377.86</v>
      </c>
    </row>
    <row r="5114" spans="2:9">
      <c r="B5114" s="1297"/>
      <c r="C5114" s="1297"/>
      <c r="D5114" s="1297" t="s">
        <v>1042</v>
      </c>
      <c r="F5114" s="1399">
        <v>14851.8</v>
      </c>
      <c r="I5114" s="1399">
        <v>14851.8</v>
      </c>
    </row>
    <row r="5115" spans="2:9">
      <c r="B5115" s="1297"/>
      <c r="C5115" s="1297"/>
      <c r="D5115" s="1297" t="s">
        <v>953</v>
      </c>
      <c r="F5115" s="1399">
        <v>23348</v>
      </c>
      <c r="I5115" s="1399">
        <v>23348</v>
      </c>
    </row>
    <row r="5116" spans="2:9">
      <c r="B5116" s="1297"/>
      <c r="C5116" s="1297"/>
      <c r="D5116" s="1297" t="s">
        <v>986</v>
      </c>
      <c r="F5116" s="1399">
        <v>2025</v>
      </c>
      <c r="I5116" s="1399">
        <v>2025</v>
      </c>
    </row>
    <row r="5117" spans="2:9">
      <c r="B5117" s="1297"/>
      <c r="C5117" s="1297"/>
      <c r="D5117" s="1297" t="s">
        <v>996</v>
      </c>
      <c r="F5117" s="1399">
        <v>2100</v>
      </c>
      <c r="I5117" s="1399">
        <v>2100</v>
      </c>
    </row>
    <row r="5118" spans="2:9">
      <c r="B5118" s="1297"/>
      <c r="C5118" s="1297"/>
      <c r="D5118" s="1297" t="s">
        <v>1044</v>
      </c>
      <c r="F5118" s="1399">
        <v>22322.33</v>
      </c>
      <c r="I5118" s="1399">
        <v>22322.33</v>
      </c>
    </row>
    <row r="5119" spans="2:9">
      <c r="B5119" s="1297"/>
      <c r="C5119" s="1297"/>
      <c r="D5119" s="1297" t="s">
        <v>1045</v>
      </c>
      <c r="F5119" s="1399">
        <v>130694.13999999998</v>
      </c>
      <c r="I5119" s="1399">
        <v>130694.13999999998</v>
      </c>
    </row>
    <row r="5120" spans="2:9">
      <c r="B5120" s="1297"/>
      <c r="C5120" s="1297"/>
      <c r="D5120" s="1297" t="s">
        <v>1046</v>
      </c>
      <c r="H5120" s="1399">
        <v>7502711</v>
      </c>
      <c r="I5120" s="1399">
        <v>7502711</v>
      </c>
    </row>
    <row r="5121" spans="2:9">
      <c r="B5121" s="1297"/>
      <c r="C5121" s="1297"/>
      <c r="D5121" s="1297" t="s">
        <v>1047</v>
      </c>
      <c r="H5121" s="1399">
        <v>304309</v>
      </c>
      <c r="I5121" s="1399">
        <v>304309</v>
      </c>
    </row>
    <row r="5122" spans="2:9">
      <c r="B5122" s="1297"/>
      <c r="C5122" s="1297"/>
      <c r="D5122" s="1297" t="s">
        <v>1048</v>
      </c>
      <c r="H5122" s="1399">
        <v>-1085451</v>
      </c>
      <c r="I5122" s="1399">
        <v>-1085451</v>
      </c>
    </row>
    <row r="5123" spans="2:9">
      <c r="B5123" s="1297"/>
      <c r="C5123" s="1297"/>
      <c r="D5123" s="1297" t="s">
        <v>932</v>
      </c>
      <c r="H5123" s="1399">
        <v>630869</v>
      </c>
      <c r="I5123" s="1399">
        <v>630869</v>
      </c>
    </row>
    <row r="5124" spans="2:9">
      <c r="B5124" s="1297"/>
      <c r="C5124" s="1297"/>
      <c r="D5124" s="1297" t="s">
        <v>955</v>
      </c>
      <c r="H5124" s="1399">
        <v>449371.1</v>
      </c>
      <c r="I5124" s="1399">
        <v>449371.1</v>
      </c>
    </row>
    <row r="5125" spans="2:9">
      <c r="B5125" s="1297"/>
      <c r="C5125" s="1297"/>
      <c r="D5125" s="1297" t="s">
        <v>934</v>
      </c>
      <c r="H5125" s="1399">
        <v>30946</v>
      </c>
      <c r="I5125" s="1399">
        <v>30946</v>
      </c>
    </row>
    <row r="5126" spans="2:9">
      <c r="B5126" s="1297"/>
      <c r="C5126" s="1297"/>
      <c r="D5126" s="1297" t="s">
        <v>935</v>
      </c>
      <c r="H5126" s="1399">
        <v>81283.61</v>
      </c>
      <c r="I5126" s="1399">
        <v>81283.61</v>
      </c>
    </row>
    <row r="5127" spans="2:9">
      <c r="B5127" s="1297"/>
      <c r="C5127" s="1297"/>
      <c r="D5127" s="1297" t="s">
        <v>936</v>
      </c>
      <c r="H5127" s="1399">
        <v>31513.55</v>
      </c>
      <c r="I5127" s="1399">
        <v>31513.55</v>
      </c>
    </row>
    <row r="5128" spans="2:9">
      <c r="B5128" s="1297"/>
      <c r="C5128" s="1297"/>
      <c r="D5128" s="1297" t="s">
        <v>937</v>
      </c>
      <c r="H5128" s="1399">
        <v>3373.96</v>
      </c>
      <c r="I5128" s="1399">
        <v>3373.96</v>
      </c>
    </row>
    <row r="5129" spans="2:9">
      <c r="B5129" s="1297"/>
      <c r="C5129" s="1297"/>
      <c r="D5129" s="1297" t="s">
        <v>938</v>
      </c>
      <c r="H5129" s="1399">
        <v>8796</v>
      </c>
      <c r="I5129" s="1399">
        <v>8796</v>
      </c>
    </row>
    <row r="5130" spans="2:9">
      <c r="B5130" s="1297"/>
      <c r="C5130" s="1297"/>
      <c r="D5130" s="1297" t="s">
        <v>939</v>
      </c>
      <c r="H5130" s="1399">
        <v>0</v>
      </c>
      <c r="I5130" s="1399">
        <v>0</v>
      </c>
    </row>
    <row r="5131" spans="2:9">
      <c r="B5131" s="1297"/>
      <c r="C5131" s="1297"/>
      <c r="D5131" s="1297" t="s">
        <v>940</v>
      </c>
      <c r="E5131" s="1399">
        <v>497395.78</v>
      </c>
      <c r="I5131" s="1399">
        <v>497395.78</v>
      </c>
    </row>
    <row r="5132" spans="2:9">
      <c r="B5132" s="1297"/>
      <c r="C5132" s="1297"/>
      <c r="D5132" s="1297" t="s">
        <v>941</v>
      </c>
      <c r="E5132" s="1399">
        <v>201976.7</v>
      </c>
      <c r="I5132" s="1399">
        <v>201976.7</v>
      </c>
    </row>
    <row r="5133" spans="2:9">
      <c r="B5133" s="1297"/>
      <c r="C5133" s="1297"/>
      <c r="D5133" s="1297" t="s">
        <v>943</v>
      </c>
      <c r="E5133" s="1399">
        <v>14549.88</v>
      </c>
      <c r="I5133" s="1399">
        <v>14549.88</v>
      </c>
    </row>
    <row r="5134" spans="2:9">
      <c r="B5134" s="1297"/>
      <c r="C5134" s="1297"/>
      <c r="D5134" s="1297" t="s">
        <v>944</v>
      </c>
      <c r="E5134" s="1399">
        <v>1989576.8600000003</v>
      </c>
      <c r="I5134" s="1399">
        <v>1989576.8600000003</v>
      </c>
    </row>
    <row r="5135" spans="2:9">
      <c r="B5135" s="1297"/>
      <c r="C5135" s="1297"/>
      <c r="D5135" s="1297" t="s">
        <v>945</v>
      </c>
      <c r="E5135" s="1399">
        <v>928489.05999999994</v>
      </c>
      <c r="I5135" s="1399">
        <v>928489.05999999994</v>
      </c>
    </row>
    <row r="5136" spans="2:9">
      <c r="B5136" s="1297"/>
      <c r="C5136" s="1297"/>
      <c r="D5136" s="1297" t="s">
        <v>946</v>
      </c>
      <c r="E5136" s="1399">
        <v>62617.89</v>
      </c>
      <c r="I5136" s="1399">
        <v>62617.89</v>
      </c>
    </row>
    <row r="5137" spans="2:9">
      <c r="B5137" s="1297"/>
      <c r="C5137" s="1297"/>
      <c r="D5137" s="1297" t="s">
        <v>978</v>
      </c>
      <c r="E5137" s="1399">
        <v>0</v>
      </c>
      <c r="I5137" s="1399">
        <v>0</v>
      </c>
    </row>
    <row r="5138" spans="2:9">
      <c r="B5138" s="1297"/>
      <c r="C5138" s="1297"/>
      <c r="D5138" s="1297" t="s">
        <v>947</v>
      </c>
      <c r="E5138" s="1399">
        <v>26094.02</v>
      </c>
      <c r="I5138" s="1399">
        <v>26094.02</v>
      </c>
    </row>
    <row r="5139" spans="2:9">
      <c r="B5139" s="1297"/>
      <c r="C5139" s="1297"/>
      <c r="D5139" s="1297" t="s">
        <v>1115</v>
      </c>
      <c r="E5139" s="1399">
        <v>22844</v>
      </c>
      <c r="I5139" s="1399">
        <v>22844</v>
      </c>
    </row>
    <row r="5140" spans="2:9">
      <c r="B5140" s="1297"/>
      <c r="C5140" s="1297"/>
      <c r="D5140" s="1297" t="s">
        <v>948</v>
      </c>
      <c r="G5140" s="1399">
        <v>19938.38</v>
      </c>
      <c r="I5140" s="1399">
        <v>19938.38</v>
      </c>
    </row>
    <row r="5141" spans="2:9">
      <c r="B5141" s="1297"/>
      <c r="C5141" s="1400" t="s">
        <v>1358</v>
      </c>
      <c r="D5141" s="1400"/>
      <c r="E5141" s="1401">
        <v>3743544.1900000004</v>
      </c>
      <c r="F5141" s="1401">
        <v>4970600.63</v>
      </c>
      <c r="G5141" s="1401">
        <v>19938.38</v>
      </c>
      <c r="H5141" s="1401">
        <v>7957722.2199999997</v>
      </c>
      <c r="I5141" s="1401">
        <v>16691805.420000002</v>
      </c>
    </row>
    <row r="5142" spans="2:9">
      <c r="B5142" s="1297" t="s">
        <v>1359</v>
      </c>
      <c r="C5142" s="1297" t="s">
        <v>1360</v>
      </c>
      <c r="D5142" s="1297" t="s">
        <v>906</v>
      </c>
      <c r="F5142" s="1399">
        <v>11052332.74</v>
      </c>
      <c r="I5142" s="1399">
        <v>11052332.74</v>
      </c>
    </row>
    <row r="5143" spans="2:9">
      <c r="B5143" s="1297"/>
      <c r="C5143" s="1297"/>
      <c r="D5143" s="1297" t="s">
        <v>952</v>
      </c>
      <c r="F5143" s="1399">
        <v>147169.04</v>
      </c>
      <c r="I5143" s="1399">
        <v>147169.04</v>
      </c>
    </row>
    <row r="5144" spans="2:9">
      <c r="B5144" s="1297"/>
      <c r="C5144" s="1297"/>
      <c r="D5144" s="1297" t="s">
        <v>907</v>
      </c>
      <c r="F5144" s="1399">
        <v>4863744.0299999993</v>
      </c>
      <c r="I5144" s="1399">
        <v>4863744.0299999993</v>
      </c>
    </row>
    <row r="5145" spans="2:9">
      <c r="B5145" s="1297"/>
      <c r="C5145" s="1297"/>
      <c r="D5145" s="1297" t="s">
        <v>908</v>
      </c>
      <c r="F5145" s="1399">
        <v>27643.86</v>
      </c>
      <c r="I5145" s="1399">
        <v>27643.86</v>
      </c>
    </row>
    <row r="5146" spans="2:9">
      <c r="B5146" s="1297"/>
      <c r="C5146" s="1297"/>
      <c r="D5146" s="1297" t="s">
        <v>909</v>
      </c>
      <c r="F5146" s="1399">
        <v>17222.68</v>
      </c>
      <c r="I5146" s="1399">
        <v>17222.68</v>
      </c>
    </row>
    <row r="5147" spans="2:9">
      <c r="B5147" s="1297"/>
      <c r="C5147" s="1297"/>
      <c r="D5147" s="1297" t="s">
        <v>910</v>
      </c>
      <c r="F5147" s="1399">
        <v>229897.93</v>
      </c>
      <c r="I5147" s="1399">
        <v>229897.93</v>
      </c>
    </row>
    <row r="5148" spans="2:9">
      <c r="B5148" s="1297"/>
      <c r="C5148" s="1297"/>
      <c r="D5148" s="1297" t="s">
        <v>1034</v>
      </c>
      <c r="F5148" s="1399">
        <v>64276.409999999996</v>
      </c>
      <c r="I5148" s="1399">
        <v>64276.409999999996</v>
      </c>
    </row>
    <row r="5149" spans="2:9">
      <c r="B5149" s="1297"/>
      <c r="C5149" s="1297"/>
      <c r="D5149" s="1297" t="s">
        <v>1035</v>
      </c>
      <c r="F5149" s="1399">
        <v>266357.65000000002</v>
      </c>
      <c r="I5149" s="1399">
        <v>266357.65000000002</v>
      </c>
    </row>
    <row r="5150" spans="2:9">
      <c r="B5150" s="1297"/>
      <c r="C5150" s="1297"/>
      <c r="D5150" s="1297" t="s">
        <v>1036</v>
      </c>
      <c r="F5150" s="1399">
        <v>202328.16999999998</v>
      </c>
      <c r="I5150" s="1399">
        <v>202328.16999999998</v>
      </c>
    </row>
    <row r="5151" spans="2:9">
      <c r="B5151" s="1297"/>
      <c r="C5151" s="1297"/>
      <c r="D5151" s="1297" t="s">
        <v>1037</v>
      </c>
      <c r="F5151" s="1399">
        <v>97896.58</v>
      </c>
      <c r="I5151" s="1399">
        <v>97896.58</v>
      </c>
    </row>
    <row r="5152" spans="2:9">
      <c r="B5152" s="1297"/>
      <c r="C5152" s="1297"/>
      <c r="D5152" s="1297" t="s">
        <v>1039</v>
      </c>
      <c r="F5152" s="1399">
        <v>240642.54000000004</v>
      </c>
      <c r="I5152" s="1399">
        <v>240642.54000000004</v>
      </c>
    </row>
    <row r="5153" spans="2:9">
      <c r="B5153" s="1297"/>
      <c r="C5153" s="1297"/>
      <c r="D5153" s="1297" t="s">
        <v>1040</v>
      </c>
      <c r="F5153" s="1399">
        <v>361436.24</v>
      </c>
      <c r="I5153" s="1399">
        <v>361436.24</v>
      </c>
    </row>
    <row r="5154" spans="2:9">
      <c r="B5154" s="1297"/>
      <c r="C5154" s="1297"/>
      <c r="D5154" s="1297" t="s">
        <v>1041</v>
      </c>
      <c r="F5154" s="1399">
        <v>45923.89</v>
      </c>
      <c r="I5154" s="1399">
        <v>45923.89</v>
      </c>
    </row>
    <row r="5155" spans="2:9">
      <c r="B5155" s="1297"/>
      <c r="C5155" s="1297"/>
      <c r="D5155" s="1297" t="s">
        <v>1042</v>
      </c>
      <c r="F5155" s="1399">
        <v>81351.929999999993</v>
      </c>
      <c r="I5155" s="1399">
        <v>81351.929999999993</v>
      </c>
    </row>
    <row r="5156" spans="2:9">
      <c r="B5156" s="1297"/>
      <c r="C5156" s="1297"/>
      <c r="D5156" s="1297" t="s">
        <v>986</v>
      </c>
      <c r="F5156" s="1399">
        <v>251425</v>
      </c>
      <c r="I5156" s="1399">
        <v>251425</v>
      </c>
    </row>
    <row r="5157" spans="2:9">
      <c r="B5157" s="1297"/>
      <c r="C5157" s="1297"/>
      <c r="D5157" s="1297" t="s">
        <v>1044</v>
      </c>
      <c r="F5157" s="1399">
        <v>85400.06</v>
      </c>
      <c r="I5157" s="1399">
        <v>85400.06</v>
      </c>
    </row>
    <row r="5158" spans="2:9">
      <c r="B5158" s="1297"/>
      <c r="C5158" s="1297"/>
      <c r="D5158" s="1297" t="s">
        <v>1045</v>
      </c>
      <c r="F5158" s="1399">
        <v>425367.86</v>
      </c>
      <c r="I5158" s="1399">
        <v>425367.86</v>
      </c>
    </row>
    <row r="5159" spans="2:9">
      <c r="B5159" s="1297"/>
      <c r="C5159" s="1297"/>
      <c r="D5159" s="1297" t="s">
        <v>1046</v>
      </c>
      <c r="H5159" s="1399">
        <v>26483478</v>
      </c>
      <c r="I5159" s="1399">
        <v>26483478</v>
      </c>
    </row>
    <row r="5160" spans="2:9">
      <c r="B5160" s="1297"/>
      <c r="C5160" s="1297"/>
      <c r="D5160" s="1297" t="s">
        <v>1128</v>
      </c>
      <c r="H5160" s="1399">
        <v>2122023</v>
      </c>
      <c r="I5160" s="1399">
        <v>2122023</v>
      </c>
    </row>
    <row r="5161" spans="2:9">
      <c r="B5161" s="1297"/>
      <c r="C5161" s="1297"/>
      <c r="D5161" s="1297" t="s">
        <v>1129</v>
      </c>
      <c r="H5161" s="1399">
        <v>-3701488</v>
      </c>
      <c r="I5161" s="1399">
        <v>-3701488</v>
      </c>
    </row>
    <row r="5162" spans="2:9">
      <c r="B5162" s="1297"/>
      <c r="C5162" s="1297"/>
      <c r="D5162" s="1297" t="s">
        <v>1047</v>
      </c>
      <c r="H5162" s="1399">
        <v>909050</v>
      </c>
      <c r="I5162" s="1399">
        <v>909050</v>
      </c>
    </row>
    <row r="5163" spans="2:9">
      <c r="B5163" s="1297"/>
      <c r="C5163" s="1297"/>
      <c r="D5163" s="1297" t="s">
        <v>1048</v>
      </c>
      <c r="H5163" s="1399">
        <v>-3984653</v>
      </c>
      <c r="I5163" s="1399">
        <v>-3984653</v>
      </c>
    </row>
    <row r="5164" spans="2:9">
      <c r="B5164" s="1297"/>
      <c r="C5164" s="1297"/>
      <c r="D5164" s="1297" t="s">
        <v>932</v>
      </c>
      <c r="H5164" s="1399">
        <v>1570864</v>
      </c>
      <c r="I5164" s="1399">
        <v>1570864</v>
      </c>
    </row>
    <row r="5165" spans="2:9">
      <c r="B5165" s="1297"/>
      <c r="C5165" s="1297"/>
      <c r="D5165" s="1297" t="s">
        <v>933</v>
      </c>
      <c r="H5165" s="1399">
        <v>1046005.15</v>
      </c>
      <c r="I5165" s="1399">
        <v>1046005.15</v>
      </c>
    </row>
    <row r="5166" spans="2:9">
      <c r="B5166" s="1297"/>
      <c r="C5166" s="1297"/>
      <c r="D5166" s="1297" t="s">
        <v>934</v>
      </c>
      <c r="H5166" s="1399">
        <v>87802</v>
      </c>
      <c r="I5166" s="1399">
        <v>87802</v>
      </c>
    </row>
    <row r="5167" spans="2:9">
      <c r="B5167" s="1297"/>
      <c r="C5167" s="1297"/>
      <c r="D5167" s="1297" t="s">
        <v>1130</v>
      </c>
      <c r="H5167" s="1399">
        <v>169706.9</v>
      </c>
      <c r="I5167" s="1399">
        <v>169706.9</v>
      </c>
    </row>
    <row r="5168" spans="2:9">
      <c r="B5168" s="1297"/>
      <c r="C5168" s="1297"/>
      <c r="D5168" s="1297" t="s">
        <v>935</v>
      </c>
      <c r="H5168" s="1399">
        <v>2646370.11</v>
      </c>
      <c r="I5168" s="1399">
        <v>2646370.11</v>
      </c>
    </row>
    <row r="5169" spans="2:9">
      <c r="B5169" s="1297"/>
      <c r="C5169" s="1297"/>
      <c r="D5169" s="1297" t="s">
        <v>936</v>
      </c>
      <c r="H5169" s="1399">
        <v>80184.47</v>
      </c>
      <c r="I5169" s="1399">
        <v>80184.47</v>
      </c>
    </row>
    <row r="5170" spans="2:9">
      <c r="B5170" s="1297"/>
      <c r="C5170" s="1297"/>
      <c r="D5170" s="1297" t="s">
        <v>937</v>
      </c>
      <c r="H5170" s="1399">
        <v>28055.81</v>
      </c>
      <c r="I5170" s="1399">
        <v>28055.81</v>
      </c>
    </row>
    <row r="5171" spans="2:9">
      <c r="B5171" s="1297"/>
      <c r="C5171" s="1297"/>
      <c r="D5171" s="1297" t="s">
        <v>938</v>
      </c>
      <c r="H5171" s="1399">
        <v>20962</v>
      </c>
      <c r="I5171" s="1399">
        <v>20962</v>
      </c>
    </row>
    <row r="5172" spans="2:9">
      <c r="B5172" s="1297"/>
      <c r="C5172" s="1297"/>
      <c r="D5172" s="1297" t="s">
        <v>940</v>
      </c>
      <c r="E5172" s="1399">
        <v>1369287.9</v>
      </c>
      <c r="I5172" s="1399">
        <v>1369287.9</v>
      </c>
    </row>
    <row r="5173" spans="2:9">
      <c r="B5173" s="1297"/>
      <c r="C5173" s="1297"/>
      <c r="D5173" s="1297" t="s">
        <v>941</v>
      </c>
      <c r="E5173" s="1399">
        <v>726157.36</v>
      </c>
      <c r="I5173" s="1399">
        <v>726157.36</v>
      </c>
    </row>
    <row r="5174" spans="2:9">
      <c r="B5174" s="1297"/>
      <c r="C5174" s="1297"/>
      <c r="D5174" s="1297" t="s">
        <v>943</v>
      </c>
      <c r="E5174" s="1399">
        <v>4938.0200000000004</v>
      </c>
      <c r="I5174" s="1399">
        <v>4938.0200000000004</v>
      </c>
    </row>
    <row r="5175" spans="2:9">
      <c r="B5175" s="1297"/>
      <c r="C5175" s="1297"/>
      <c r="D5175" s="1297" t="s">
        <v>944</v>
      </c>
      <c r="E5175" s="1399">
        <v>3587058.52</v>
      </c>
      <c r="I5175" s="1399">
        <v>3587058.52</v>
      </c>
    </row>
    <row r="5176" spans="2:9">
      <c r="B5176" s="1297"/>
      <c r="C5176" s="1297"/>
      <c r="D5176" s="1297" t="s">
        <v>945</v>
      </c>
      <c r="E5176" s="1399">
        <v>2090976.3299999998</v>
      </c>
      <c r="I5176" s="1399">
        <v>2090976.3299999998</v>
      </c>
    </row>
    <row r="5177" spans="2:9">
      <c r="B5177" s="1297"/>
      <c r="C5177" s="1297"/>
      <c r="D5177" s="1297" t="s">
        <v>947</v>
      </c>
      <c r="E5177" s="1399">
        <v>145756.12</v>
      </c>
      <c r="I5177" s="1399">
        <v>145756.12</v>
      </c>
    </row>
    <row r="5178" spans="2:9">
      <c r="B5178" s="1297"/>
      <c r="C5178" s="1297"/>
      <c r="D5178" s="1297" t="s">
        <v>948</v>
      </c>
      <c r="G5178" s="1399">
        <v>1247652.1200000001</v>
      </c>
      <c r="I5178" s="1399">
        <v>1247652.1200000001</v>
      </c>
    </row>
    <row r="5179" spans="2:9">
      <c r="B5179" s="1297"/>
      <c r="C5179" s="1297"/>
      <c r="D5179" s="1297" t="s">
        <v>956</v>
      </c>
      <c r="G5179" s="1399">
        <v>499750</v>
      </c>
      <c r="I5179" s="1399">
        <v>499750</v>
      </c>
    </row>
    <row r="5180" spans="2:9">
      <c r="B5180" s="1297"/>
      <c r="C5180" s="1400" t="s">
        <v>1361</v>
      </c>
      <c r="D5180" s="1400"/>
      <c r="E5180" s="1401">
        <v>7924174.25</v>
      </c>
      <c r="F5180" s="1401">
        <v>18460416.609999992</v>
      </c>
      <c r="G5180" s="1401">
        <v>1747402.12</v>
      </c>
      <c r="H5180" s="1401">
        <v>27478360.439999994</v>
      </c>
      <c r="I5180" s="1401">
        <v>55610353.419999987</v>
      </c>
    </row>
    <row r="5181" spans="2:9">
      <c r="B5181" s="1297" t="s">
        <v>1362</v>
      </c>
      <c r="C5181" s="1297" t="s">
        <v>1363</v>
      </c>
      <c r="D5181" s="1297" t="s">
        <v>906</v>
      </c>
      <c r="F5181" s="1399">
        <v>14196217.390000001</v>
      </c>
      <c r="I5181" s="1399">
        <v>14196217.390000001</v>
      </c>
    </row>
    <row r="5182" spans="2:9">
      <c r="B5182" s="1297"/>
      <c r="C5182" s="1297"/>
      <c r="D5182" s="1297" t="s">
        <v>952</v>
      </c>
      <c r="F5182" s="1399">
        <v>161979.07</v>
      </c>
      <c r="I5182" s="1399">
        <v>161979.07</v>
      </c>
    </row>
    <row r="5183" spans="2:9">
      <c r="B5183" s="1297"/>
      <c r="C5183" s="1297"/>
      <c r="D5183" s="1297" t="s">
        <v>907</v>
      </c>
      <c r="F5183" s="1399">
        <v>8008850.21</v>
      </c>
      <c r="I5183" s="1399">
        <v>8008850.21</v>
      </c>
    </row>
    <row r="5184" spans="2:9">
      <c r="B5184" s="1297"/>
      <c r="C5184" s="1297"/>
      <c r="D5184" s="1297" t="s">
        <v>908</v>
      </c>
      <c r="F5184" s="1399">
        <v>16666.8</v>
      </c>
      <c r="I5184" s="1399">
        <v>16666.8</v>
      </c>
    </row>
    <row r="5185" spans="2:9">
      <c r="B5185" s="1297"/>
      <c r="C5185" s="1297"/>
      <c r="D5185" s="1297" t="s">
        <v>909</v>
      </c>
      <c r="F5185" s="1399">
        <v>16934.3</v>
      </c>
      <c r="I5185" s="1399">
        <v>16934.3</v>
      </c>
    </row>
    <row r="5186" spans="2:9">
      <c r="B5186" s="1297"/>
      <c r="C5186" s="1297"/>
      <c r="D5186" s="1297" t="s">
        <v>910</v>
      </c>
      <c r="F5186" s="1399">
        <v>38305</v>
      </c>
      <c r="I5186" s="1399">
        <v>38305</v>
      </c>
    </row>
    <row r="5187" spans="2:9">
      <c r="B5187" s="1297"/>
      <c r="C5187" s="1297"/>
      <c r="D5187" s="1297" t="s">
        <v>1034</v>
      </c>
      <c r="F5187" s="1399">
        <v>13260.8</v>
      </c>
      <c r="I5187" s="1399">
        <v>13260.8</v>
      </c>
    </row>
    <row r="5188" spans="2:9">
      <c r="B5188" s="1297"/>
      <c r="C5188" s="1297"/>
      <c r="D5188" s="1297" t="s">
        <v>1035</v>
      </c>
      <c r="F5188" s="1399">
        <v>1146694.99</v>
      </c>
      <c r="I5188" s="1399">
        <v>1146694.99</v>
      </c>
    </row>
    <row r="5189" spans="2:9">
      <c r="B5189" s="1297"/>
      <c r="C5189" s="1297"/>
      <c r="D5189" s="1297" t="s">
        <v>1036</v>
      </c>
      <c r="F5189" s="1399">
        <v>320151.27</v>
      </c>
      <c r="I5189" s="1399">
        <v>320151.27</v>
      </c>
    </row>
    <row r="5190" spans="2:9">
      <c r="B5190" s="1297"/>
      <c r="C5190" s="1297"/>
      <c r="D5190" s="1297" t="s">
        <v>1003</v>
      </c>
      <c r="F5190" s="1399">
        <v>8778</v>
      </c>
      <c r="I5190" s="1399">
        <v>8778</v>
      </c>
    </row>
    <row r="5191" spans="2:9">
      <c r="B5191" s="1297"/>
      <c r="C5191" s="1297"/>
      <c r="D5191" s="1297" t="s">
        <v>1039</v>
      </c>
      <c r="F5191" s="1399">
        <v>13749.26</v>
      </c>
      <c r="I5191" s="1399">
        <v>13749.26</v>
      </c>
    </row>
    <row r="5192" spans="2:9">
      <c r="B5192" s="1297"/>
      <c r="C5192" s="1297"/>
      <c r="D5192" s="1297" t="s">
        <v>1040</v>
      </c>
      <c r="F5192" s="1399">
        <v>234071.84</v>
      </c>
      <c r="I5192" s="1399">
        <v>234071.84</v>
      </c>
    </row>
    <row r="5193" spans="2:9">
      <c r="B5193" s="1297"/>
      <c r="C5193" s="1297"/>
      <c r="D5193" s="1297" t="s">
        <v>1127</v>
      </c>
      <c r="F5193" s="1399">
        <v>33465.759999999995</v>
      </c>
      <c r="I5193" s="1399">
        <v>33465.759999999995</v>
      </c>
    </row>
    <row r="5194" spans="2:9">
      <c r="B5194" s="1297"/>
      <c r="C5194" s="1297"/>
      <c r="D5194" s="1297" t="s">
        <v>1041</v>
      </c>
      <c r="F5194" s="1399">
        <v>35672.719999999994</v>
      </c>
      <c r="I5194" s="1399">
        <v>35672.719999999994</v>
      </c>
    </row>
    <row r="5195" spans="2:9">
      <c r="B5195" s="1297"/>
      <c r="C5195" s="1297"/>
      <c r="D5195" s="1297" t="s">
        <v>1042</v>
      </c>
      <c r="F5195" s="1399">
        <v>94087.930000000008</v>
      </c>
      <c r="I5195" s="1399">
        <v>94087.930000000008</v>
      </c>
    </row>
    <row r="5196" spans="2:9">
      <c r="B5196" s="1297"/>
      <c r="C5196" s="1297"/>
      <c r="D5196" s="1297" t="s">
        <v>953</v>
      </c>
      <c r="F5196" s="1399">
        <v>3812.91</v>
      </c>
      <c r="I5196" s="1399">
        <v>3812.91</v>
      </c>
    </row>
    <row r="5197" spans="2:9">
      <c r="B5197" s="1297"/>
      <c r="C5197" s="1297"/>
      <c r="D5197" s="1297" t="s">
        <v>1043</v>
      </c>
      <c r="F5197" s="1399">
        <v>26653.1</v>
      </c>
      <c r="I5197" s="1399">
        <v>26653.1</v>
      </c>
    </row>
    <row r="5198" spans="2:9">
      <c r="B5198" s="1297"/>
      <c r="C5198" s="1297"/>
      <c r="D5198" s="1297" t="s">
        <v>986</v>
      </c>
      <c r="F5198" s="1399">
        <v>38091</v>
      </c>
      <c r="I5198" s="1399">
        <v>38091</v>
      </c>
    </row>
    <row r="5199" spans="2:9">
      <c r="B5199" s="1297"/>
      <c r="C5199" s="1297"/>
      <c r="D5199" s="1297" t="s">
        <v>996</v>
      </c>
      <c r="F5199" s="1399">
        <v>1402.23</v>
      </c>
      <c r="I5199" s="1399">
        <v>1402.23</v>
      </c>
    </row>
    <row r="5200" spans="2:9">
      <c r="B5200" s="1297"/>
      <c r="C5200" s="1297"/>
      <c r="D5200" s="1297" t="s">
        <v>1044</v>
      </c>
      <c r="F5200" s="1399">
        <v>63747.93</v>
      </c>
      <c r="I5200" s="1399">
        <v>63747.93</v>
      </c>
    </row>
    <row r="5201" spans="2:9">
      <c r="B5201" s="1297"/>
      <c r="C5201" s="1297"/>
      <c r="D5201" s="1297" t="s">
        <v>1045</v>
      </c>
      <c r="F5201" s="1399">
        <v>419100.89999999991</v>
      </c>
      <c r="I5201" s="1399">
        <v>419100.89999999991</v>
      </c>
    </row>
    <row r="5202" spans="2:9">
      <c r="B5202" s="1297"/>
      <c r="C5202" s="1297"/>
      <c r="D5202" s="1297" t="s">
        <v>1046</v>
      </c>
      <c r="H5202" s="1399">
        <v>36882634</v>
      </c>
      <c r="I5202" s="1399">
        <v>36882634</v>
      </c>
    </row>
    <row r="5203" spans="2:9">
      <c r="B5203" s="1297"/>
      <c r="C5203" s="1297"/>
      <c r="D5203" s="1297" t="s">
        <v>1047</v>
      </c>
      <c r="H5203" s="1399">
        <v>808412</v>
      </c>
      <c r="I5203" s="1399">
        <v>808412</v>
      </c>
    </row>
    <row r="5204" spans="2:9">
      <c r="B5204" s="1297"/>
      <c r="C5204" s="1297"/>
      <c r="D5204" s="1297" t="s">
        <v>1048</v>
      </c>
      <c r="H5204" s="1399">
        <v>-4691522</v>
      </c>
      <c r="I5204" s="1399">
        <v>-4691522</v>
      </c>
    </row>
    <row r="5205" spans="2:9">
      <c r="B5205" s="1297"/>
      <c r="C5205" s="1297"/>
      <c r="D5205" s="1297" t="s">
        <v>932</v>
      </c>
      <c r="H5205" s="1399">
        <v>3906251</v>
      </c>
      <c r="I5205" s="1399">
        <v>3906251</v>
      </c>
    </row>
    <row r="5206" spans="2:9">
      <c r="B5206" s="1297"/>
      <c r="C5206" s="1297"/>
      <c r="D5206" s="1297" t="s">
        <v>955</v>
      </c>
      <c r="H5206" s="1399">
        <v>1341644.44</v>
      </c>
      <c r="I5206" s="1399">
        <v>1341644.44</v>
      </c>
    </row>
    <row r="5207" spans="2:9">
      <c r="B5207" s="1297"/>
      <c r="C5207" s="1297"/>
      <c r="D5207" s="1297" t="s">
        <v>934</v>
      </c>
      <c r="H5207" s="1399">
        <v>123498</v>
      </c>
      <c r="I5207" s="1399">
        <v>123498</v>
      </c>
    </row>
    <row r="5208" spans="2:9">
      <c r="B5208" s="1297"/>
      <c r="C5208" s="1297"/>
      <c r="D5208" s="1297" t="s">
        <v>1130</v>
      </c>
      <c r="H5208" s="1399">
        <v>101026.8</v>
      </c>
      <c r="I5208" s="1399">
        <v>101026.8</v>
      </c>
    </row>
    <row r="5209" spans="2:9">
      <c r="B5209" s="1297"/>
      <c r="C5209" s="1297"/>
      <c r="D5209" s="1297" t="s">
        <v>935</v>
      </c>
      <c r="H5209" s="1399">
        <v>685603.53</v>
      </c>
      <c r="I5209" s="1399">
        <v>685603.53</v>
      </c>
    </row>
    <row r="5210" spans="2:9">
      <c r="B5210" s="1297"/>
      <c r="C5210" s="1297"/>
      <c r="D5210" s="1297" t="s">
        <v>936</v>
      </c>
      <c r="H5210" s="1399">
        <v>100143.05</v>
      </c>
      <c r="I5210" s="1399">
        <v>100143.05</v>
      </c>
    </row>
    <row r="5211" spans="2:9">
      <c r="B5211" s="1297"/>
      <c r="C5211" s="1297"/>
      <c r="D5211" s="1297" t="s">
        <v>937</v>
      </c>
      <c r="H5211" s="1399">
        <v>69433.62</v>
      </c>
      <c r="I5211" s="1399">
        <v>69433.62</v>
      </c>
    </row>
    <row r="5212" spans="2:9">
      <c r="B5212" s="1297"/>
      <c r="C5212" s="1297"/>
      <c r="D5212" s="1297" t="s">
        <v>938</v>
      </c>
      <c r="H5212" s="1399">
        <v>26202</v>
      </c>
      <c r="I5212" s="1399">
        <v>26202</v>
      </c>
    </row>
    <row r="5213" spans="2:9">
      <c r="B5213" s="1297"/>
      <c r="C5213" s="1297"/>
      <c r="D5213" s="1297" t="s">
        <v>1131</v>
      </c>
      <c r="E5213" s="1399">
        <v>88538.46</v>
      </c>
      <c r="I5213" s="1399">
        <v>88538.46</v>
      </c>
    </row>
    <row r="5214" spans="2:9">
      <c r="B5214" s="1297"/>
      <c r="C5214" s="1297"/>
      <c r="D5214" s="1297" t="s">
        <v>940</v>
      </c>
      <c r="E5214" s="1399">
        <v>2228891.2200000002</v>
      </c>
      <c r="I5214" s="1399">
        <v>2228891.2200000002</v>
      </c>
    </row>
    <row r="5215" spans="2:9">
      <c r="B5215" s="1297"/>
      <c r="C5215" s="1297"/>
      <c r="D5215" s="1297" t="s">
        <v>941</v>
      </c>
      <c r="E5215" s="1399">
        <v>761862.24</v>
      </c>
      <c r="I5215" s="1399">
        <v>761862.24</v>
      </c>
    </row>
    <row r="5216" spans="2:9">
      <c r="B5216" s="1297"/>
      <c r="C5216" s="1297"/>
      <c r="D5216" s="1297" t="s">
        <v>943</v>
      </c>
      <c r="E5216" s="1399">
        <v>39019.460000000006</v>
      </c>
      <c r="I5216" s="1399">
        <v>39019.460000000006</v>
      </c>
    </row>
    <row r="5217" spans="2:9">
      <c r="B5217" s="1297"/>
      <c r="C5217" s="1297"/>
      <c r="D5217" s="1297" t="s">
        <v>944</v>
      </c>
      <c r="E5217" s="1399">
        <v>6962582.2800000012</v>
      </c>
      <c r="I5217" s="1399">
        <v>6962582.2800000012</v>
      </c>
    </row>
    <row r="5218" spans="2:9">
      <c r="B5218" s="1297"/>
      <c r="C5218" s="1297"/>
      <c r="D5218" s="1297" t="s">
        <v>945</v>
      </c>
      <c r="E5218" s="1399">
        <v>4753976.4400000004</v>
      </c>
      <c r="I5218" s="1399">
        <v>4753976.4400000004</v>
      </c>
    </row>
    <row r="5219" spans="2:9">
      <c r="B5219" s="1297"/>
      <c r="C5219" s="1297"/>
      <c r="D5219" s="1297" t="s">
        <v>947</v>
      </c>
      <c r="E5219" s="1399">
        <v>208363.61000000002</v>
      </c>
      <c r="I5219" s="1399">
        <v>208363.61000000002</v>
      </c>
    </row>
    <row r="5220" spans="2:9">
      <c r="B5220" s="1297"/>
      <c r="C5220" s="1297"/>
      <c r="D5220" s="1297" t="s">
        <v>1115</v>
      </c>
      <c r="E5220" s="1399">
        <v>20</v>
      </c>
      <c r="I5220" s="1399">
        <v>20</v>
      </c>
    </row>
    <row r="5221" spans="2:9">
      <c r="B5221" s="1297"/>
      <c r="C5221" s="1297"/>
      <c r="D5221" s="1297" t="s">
        <v>948</v>
      </c>
      <c r="G5221" s="1399">
        <v>646226.12999999989</v>
      </c>
      <c r="I5221" s="1399">
        <v>646226.12999999989</v>
      </c>
    </row>
    <row r="5222" spans="2:9">
      <c r="B5222" s="1297"/>
      <c r="C5222" s="1297"/>
      <c r="D5222" s="1297" t="s">
        <v>956</v>
      </c>
      <c r="G5222" s="1399">
        <v>17650</v>
      </c>
      <c r="I5222" s="1399">
        <v>17650</v>
      </c>
    </row>
    <row r="5223" spans="2:9">
      <c r="B5223" s="1297"/>
      <c r="C5223" s="1400" t="s">
        <v>1364</v>
      </c>
      <c r="D5223" s="1400"/>
      <c r="E5223" s="1401">
        <v>15043253.710000001</v>
      </c>
      <c r="F5223" s="1401">
        <v>24891693.410000004</v>
      </c>
      <c r="G5223" s="1401">
        <v>663876.12999999989</v>
      </c>
      <c r="H5223" s="1401">
        <v>39353326.43999999</v>
      </c>
      <c r="I5223" s="1401">
        <v>79952149.689999983</v>
      </c>
    </row>
    <row r="5224" spans="2:9">
      <c r="B5224" s="1297" t="s">
        <v>1365</v>
      </c>
      <c r="C5224" s="1297" t="s">
        <v>1366</v>
      </c>
      <c r="D5224" s="1297" t="s">
        <v>906</v>
      </c>
      <c r="F5224" s="1399">
        <v>3564532.1</v>
      </c>
      <c r="I5224" s="1399">
        <v>3564532.1</v>
      </c>
    </row>
    <row r="5225" spans="2:9">
      <c r="B5225" s="1297"/>
      <c r="C5225" s="1297"/>
      <c r="D5225" s="1297" t="s">
        <v>907</v>
      </c>
      <c r="F5225" s="1399">
        <v>2346518.0299999998</v>
      </c>
      <c r="I5225" s="1399">
        <v>2346518.0299999998</v>
      </c>
    </row>
    <row r="5226" spans="2:9">
      <c r="B5226" s="1297"/>
      <c r="C5226" s="1297"/>
      <c r="D5226" s="1297" t="s">
        <v>908</v>
      </c>
      <c r="F5226" s="1399">
        <v>39036.720000000001</v>
      </c>
      <c r="I5226" s="1399">
        <v>39036.720000000001</v>
      </c>
    </row>
    <row r="5227" spans="2:9">
      <c r="B5227" s="1297"/>
      <c r="C5227" s="1297"/>
      <c r="D5227" s="1297" t="s">
        <v>909</v>
      </c>
      <c r="F5227" s="1399">
        <v>21846.12</v>
      </c>
      <c r="I5227" s="1399">
        <v>21846.12</v>
      </c>
    </row>
    <row r="5228" spans="2:9">
      <c r="B5228" s="1297"/>
      <c r="C5228" s="1297"/>
      <c r="D5228" s="1297" t="s">
        <v>910</v>
      </c>
      <c r="F5228" s="1399">
        <v>36057.800000000003</v>
      </c>
      <c r="I5228" s="1399">
        <v>36057.800000000003</v>
      </c>
    </row>
    <row r="5229" spans="2:9">
      <c r="B5229" s="1297"/>
      <c r="C5229" s="1297"/>
      <c r="D5229" s="1297" t="s">
        <v>1034</v>
      </c>
      <c r="F5229" s="1399">
        <v>62523</v>
      </c>
      <c r="I5229" s="1399">
        <v>62523</v>
      </c>
    </row>
    <row r="5230" spans="2:9">
      <c r="B5230" s="1297"/>
      <c r="C5230" s="1297"/>
      <c r="D5230" s="1297" t="s">
        <v>1035</v>
      </c>
      <c r="F5230" s="1399">
        <v>269364.45</v>
      </c>
      <c r="I5230" s="1399">
        <v>269364.45</v>
      </c>
    </row>
    <row r="5231" spans="2:9">
      <c r="B5231" s="1297"/>
      <c r="C5231" s="1297"/>
      <c r="D5231" s="1297" t="s">
        <v>1036</v>
      </c>
      <c r="F5231" s="1399">
        <v>107049.23</v>
      </c>
      <c r="I5231" s="1399">
        <v>107049.23</v>
      </c>
    </row>
    <row r="5232" spans="2:9">
      <c r="B5232" s="1297"/>
      <c r="C5232" s="1297"/>
      <c r="D5232" s="1297" t="s">
        <v>1039</v>
      </c>
      <c r="F5232" s="1399">
        <v>20919.04</v>
      </c>
      <c r="I5232" s="1399">
        <v>20919.04</v>
      </c>
    </row>
    <row r="5233" spans="2:9">
      <c r="B5233" s="1297"/>
      <c r="C5233" s="1297"/>
      <c r="D5233" s="1297" t="s">
        <v>1040</v>
      </c>
      <c r="F5233" s="1399">
        <v>213983.46000000002</v>
      </c>
      <c r="I5233" s="1399">
        <v>213983.46000000002</v>
      </c>
    </row>
    <row r="5234" spans="2:9">
      <c r="B5234" s="1297"/>
      <c r="C5234" s="1297"/>
      <c r="D5234" s="1297" t="s">
        <v>1041</v>
      </c>
      <c r="F5234" s="1399">
        <v>13253.619999999999</v>
      </c>
      <c r="I5234" s="1399">
        <v>13253.619999999999</v>
      </c>
    </row>
    <row r="5235" spans="2:9">
      <c r="B5235" s="1297"/>
      <c r="C5235" s="1297"/>
      <c r="D5235" s="1297" t="s">
        <v>1042</v>
      </c>
      <c r="F5235" s="1399">
        <v>69353.03</v>
      </c>
      <c r="I5235" s="1399">
        <v>69353.03</v>
      </c>
    </row>
    <row r="5236" spans="2:9">
      <c r="B5236" s="1297"/>
      <c r="C5236" s="1297"/>
      <c r="D5236" s="1297" t="s">
        <v>1044</v>
      </c>
      <c r="F5236" s="1399">
        <v>16291.76</v>
      </c>
      <c r="I5236" s="1399">
        <v>16291.76</v>
      </c>
    </row>
    <row r="5237" spans="2:9">
      <c r="B5237" s="1297"/>
      <c r="C5237" s="1297"/>
      <c r="D5237" s="1297" t="s">
        <v>1045</v>
      </c>
      <c r="F5237" s="1399">
        <v>431322.26</v>
      </c>
      <c r="I5237" s="1399">
        <v>431322.26</v>
      </c>
    </row>
    <row r="5238" spans="2:9">
      <c r="B5238" s="1297"/>
      <c r="C5238" s="1297"/>
      <c r="D5238" s="1297" t="s">
        <v>1046</v>
      </c>
      <c r="H5238" s="1399">
        <v>14373324</v>
      </c>
      <c r="I5238" s="1399">
        <v>14373324</v>
      </c>
    </row>
    <row r="5239" spans="2:9">
      <c r="B5239" s="1297"/>
      <c r="C5239" s="1297"/>
      <c r="D5239" s="1297" t="s">
        <v>1047</v>
      </c>
      <c r="H5239" s="1399">
        <v>524358</v>
      </c>
      <c r="I5239" s="1399">
        <v>524358</v>
      </c>
    </row>
    <row r="5240" spans="2:9">
      <c r="B5240" s="1297"/>
      <c r="C5240" s="1297"/>
      <c r="D5240" s="1297" t="s">
        <v>1048</v>
      </c>
      <c r="H5240" s="1399">
        <v>-1354789</v>
      </c>
      <c r="I5240" s="1399">
        <v>-1354789</v>
      </c>
    </row>
    <row r="5241" spans="2:9">
      <c r="B5241" s="1297"/>
      <c r="C5241" s="1297"/>
      <c r="D5241" s="1297" t="s">
        <v>932</v>
      </c>
      <c r="H5241" s="1399">
        <v>1564709</v>
      </c>
      <c r="I5241" s="1399">
        <v>1564709</v>
      </c>
    </row>
    <row r="5242" spans="2:9">
      <c r="B5242" s="1297"/>
      <c r="C5242" s="1297"/>
      <c r="D5242" s="1297" t="s">
        <v>955</v>
      </c>
      <c r="H5242" s="1399">
        <v>950175.51</v>
      </c>
      <c r="I5242" s="1399">
        <v>950175.51</v>
      </c>
    </row>
    <row r="5243" spans="2:9">
      <c r="B5243" s="1297"/>
      <c r="C5243" s="1297"/>
      <c r="D5243" s="1297" t="s">
        <v>934</v>
      </c>
      <c r="H5243" s="1399">
        <v>54868</v>
      </c>
      <c r="I5243" s="1399">
        <v>54868</v>
      </c>
    </row>
    <row r="5244" spans="2:9">
      <c r="B5244" s="1297"/>
      <c r="C5244" s="1297"/>
      <c r="D5244" s="1297" t="s">
        <v>935</v>
      </c>
      <c r="H5244" s="1399">
        <v>324687.94</v>
      </c>
      <c r="I5244" s="1399">
        <v>324687.94</v>
      </c>
    </row>
    <row r="5245" spans="2:9">
      <c r="B5245" s="1297"/>
      <c r="C5245" s="1297"/>
      <c r="D5245" s="1297" t="s">
        <v>936</v>
      </c>
      <c r="H5245" s="1399">
        <v>36765.81</v>
      </c>
      <c r="I5245" s="1399">
        <v>36765.81</v>
      </c>
    </row>
    <row r="5246" spans="2:9">
      <c r="B5246" s="1297"/>
      <c r="C5246" s="1297"/>
      <c r="D5246" s="1297" t="s">
        <v>938</v>
      </c>
      <c r="H5246" s="1399">
        <v>17406</v>
      </c>
      <c r="I5246" s="1399">
        <v>17406</v>
      </c>
    </row>
    <row r="5247" spans="2:9">
      <c r="B5247" s="1297"/>
      <c r="C5247" s="1297"/>
      <c r="D5247" s="1297" t="s">
        <v>940</v>
      </c>
      <c r="E5247" s="1399">
        <v>943207.83000000007</v>
      </c>
      <c r="I5247" s="1399">
        <v>943207.83000000007</v>
      </c>
    </row>
    <row r="5248" spans="2:9">
      <c r="B5248" s="1297"/>
      <c r="C5248" s="1297"/>
      <c r="D5248" s="1297" t="s">
        <v>941</v>
      </c>
      <c r="E5248" s="1399">
        <v>315420.45999999996</v>
      </c>
      <c r="I5248" s="1399">
        <v>315420.45999999996</v>
      </c>
    </row>
    <row r="5249" spans="2:9">
      <c r="B5249" s="1297"/>
      <c r="C5249" s="1297"/>
      <c r="D5249" s="1297" t="s">
        <v>942</v>
      </c>
      <c r="E5249" s="1399">
        <v>13478.900000000001</v>
      </c>
      <c r="I5249" s="1399">
        <v>13478.900000000001</v>
      </c>
    </row>
    <row r="5250" spans="2:9">
      <c r="B5250" s="1297"/>
      <c r="C5250" s="1297"/>
      <c r="D5250" s="1297" t="s">
        <v>943</v>
      </c>
      <c r="E5250" s="1399">
        <v>8267.2799999999988</v>
      </c>
      <c r="I5250" s="1399">
        <v>8267.2799999999988</v>
      </c>
    </row>
    <row r="5251" spans="2:9">
      <c r="B5251" s="1297"/>
      <c r="C5251" s="1297"/>
      <c r="D5251" s="1297" t="s">
        <v>944</v>
      </c>
      <c r="E5251" s="1399">
        <v>2534343.8200000003</v>
      </c>
      <c r="I5251" s="1399">
        <v>2534343.8200000003</v>
      </c>
    </row>
    <row r="5252" spans="2:9">
      <c r="B5252" s="1297"/>
      <c r="C5252" s="1297"/>
      <c r="D5252" s="1297" t="s">
        <v>945</v>
      </c>
      <c r="E5252" s="1399">
        <v>1858148.13</v>
      </c>
      <c r="I5252" s="1399">
        <v>1858148.13</v>
      </c>
    </row>
    <row r="5253" spans="2:9">
      <c r="B5253" s="1297"/>
      <c r="C5253" s="1297"/>
      <c r="D5253" s="1297" t="s">
        <v>947</v>
      </c>
      <c r="E5253" s="1399">
        <v>122181.10999999999</v>
      </c>
      <c r="I5253" s="1399">
        <v>122181.10999999999</v>
      </c>
    </row>
    <row r="5254" spans="2:9">
      <c r="B5254" s="1297"/>
      <c r="C5254" s="1297"/>
      <c r="D5254" s="1297" t="s">
        <v>948</v>
      </c>
      <c r="G5254" s="1399">
        <v>-436616.36000000004</v>
      </c>
      <c r="I5254" s="1399">
        <v>-436616.36000000004</v>
      </c>
    </row>
    <row r="5255" spans="2:9">
      <c r="B5255" s="1297"/>
      <c r="C5255" s="1297"/>
      <c r="D5255" s="1297" t="s">
        <v>1118</v>
      </c>
      <c r="G5255" s="1399">
        <v>3691.68</v>
      </c>
      <c r="I5255" s="1399">
        <v>3691.68</v>
      </c>
    </row>
    <row r="5256" spans="2:9">
      <c r="B5256" s="1297"/>
      <c r="C5256" s="1400" t="s">
        <v>1367</v>
      </c>
      <c r="D5256" s="1400"/>
      <c r="E5256" s="1401">
        <v>5795047.5300000003</v>
      </c>
      <c r="F5256" s="1401">
        <v>7212050.6200000001</v>
      </c>
      <c r="G5256" s="1401">
        <v>-432924.68000000005</v>
      </c>
      <c r="H5256" s="1401">
        <v>16491505.26</v>
      </c>
      <c r="I5256" s="1401">
        <v>29065678.73</v>
      </c>
    </row>
    <row r="5257" spans="2:9">
      <c r="B5257" s="1297" t="s">
        <v>1368</v>
      </c>
      <c r="C5257" s="1297" t="s">
        <v>1369</v>
      </c>
      <c r="D5257" s="1297" t="s">
        <v>906</v>
      </c>
      <c r="F5257" s="1399">
        <v>4442201.47</v>
      </c>
      <c r="I5257" s="1399">
        <v>4442201.47</v>
      </c>
    </row>
    <row r="5258" spans="2:9">
      <c r="B5258" s="1297"/>
      <c r="C5258" s="1297"/>
      <c r="D5258" s="1297" t="s">
        <v>1126</v>
      </c>
      <c r="F5258" s="1399">
        <v>1694378.07</v>
      </c>
      <c r="I5258" s="1399">
        <v>1694378.07</v>
      </c>
    </row>
    <row r="5259" spans="2:9">
      <c r="B5259" s="1297"/>
      <c r="C5259" s="1297"/>
      <c r="D5259" s="1297" t="s">
        <v>952</v>
      </c>
      <c r="F5259" s="1399">
        <v>38573.08</v>
      </c>
      <c r="I5259" s="1399">
        <v>38573.08</v>
      </c>
    </row>
    <row r="5260" spans="2:9">
      <c r="B5260" s="1297"/>
      <c r="C5260" s="1297"/>
      <c r="D5260" s="1297" t="s">
        <v>907</v>
      </c>
      <c r="F5260" s="1399">
        <v>1690529.77</v>
      </c>
      <c r="I5260" s="1399">
        <v>1690529.77</v>
      </c>
    </row>
    <row r="5261" spans="2:9">
      <c r="B5261" s="1297"/>
      <c r="C5261" s="1297"/>
      <c r="D5261" s="1297" t="s">
        <v>909</v>
      </c>
      <c r="F5261" s="1399">
        <v>7439.07</v>
      </c>
      <c r="I5261" s="1399">
        <v>7439.07</v>
      </c>
    </row>
    <row r="5262" spans="2:9">
      <c r="B5262" s="1297"/>
      <c r="C5262" s="1297"/>
      <c r="D5262" s="1297" t="s">
        <v>910</v>
      </c>
      <c r="F5262" s="1399">
        <v>35189.68</v>
      </c>
      <c r="I5262" s="1399">
        <v>35189.68</v>
      </c>
    </row>
    <row r="5263" spans="2:9">
      <c r="B5263" s="1297"/>
      <c r="C5263" s="1297"/>
      <c r="D5263" s="1297" t="s">
        <v>1034</v>
      </c>
      <c r="F5263" s="1399">
        <v>57261.06</v>
      </c>
      <c r="I5263" s="1399">
        <v>57261.06</v>
      </c>
    </row>
    <row r="5264" spans="2:9">
      <c r="B5264" s="1297"/>
      <c r="C5264" s="1297"/>
      <c r="D5264" s="1297" t="s">
        <v>1035</v>
      </c>
      <c r="F5264" s="1399">
        <v>264626.69999999995</v>
      </c>
      <c r="I5264" s="1399">
        <v>264626.69999999995</v>
      </c>
    </row>
    <row r="5265" spans="2:9">
      <c r="B5265" s="1297"/>
      <c r="C5265" s="1297"/>
      <c r="D5265" s="1297" t="s">
        <v>1036</v>
      </c>
      <c r="F5265" s="1399">
        <v>63634.21</v>
      </c>
      <c r="I5265" s="1399">
        <v>63634.21</v>
      </c>
    </row>
    <row r="5266" spans="2:9">
      <c r="B5266" s="1297"/>
      <c r="C5266" s="1297"/>
      <c r="D5266" s="1297" t="s">
        <v>1039</v>
      </c>
      <c r="F5266" s="1399">
        <v>15071.720000000001</v>
      </c>
      <c r="I5266" s="1399">
        <v>15071.720000000001</v>
      </c>
    </row>
    <row r="5267" spans="2:9">
      <c r="B5267" s="1297"/>
      <c r="C5267" s="1297"/>
      <c r="D5267" s="1297" t="s">
        <v>1040</v>
      </c>
      <c r="F5267" s="1399">
        <v>121405.47</v>
      </c>
      <c r="I5267" s="1399">
        <v>121405.47</v>
      </c>
    </row>
    <row r="5268" spans="2:9">
      <c r="B5268" s="1297"/>
      <c r="C5268" s="1297"/>
      <c r="D5268" s="1297" t="s">
        <v>1041</v>
      </c>
      <c r="F5268" s="1399">
        <v>51721.45</v>
      </c>
      <c r="I5268" s="1399">
        <v>51721.45</v>
      </c>
    </row>
    <row r="5269" spans="2:9">
      <c r="B5269" s="1297"/>
      <c r="C5269" s="1297"/>
      <c r="D5269" s="1297" t="s">
        <v>1042</v>
      </c>
      <c r="F5269" s="1399">
        <v>32074.75</v>
      </c>
      <c r="I5269" s="1399">
        <v>32074.75</v>
      </c>
    </row>
    <row r="5270" spans="2:9">
      <c r="B5270" s="1297"/>
      <c r="C5270" s="1297"/>
      <c r="D5270" s="1297" t="s">
        <v>985</v>
      </c>
      <c r="F5270" s="1399">
        <v>17108</v>
      </c>
      <c r="I5270" s="1399">
        <v>17108</v>
      </c>
    </row>
    <row r="5271" spans="2:9">
      <c r="B5271" s="1297"/>
      <c r="C5271" s="1297"/>
      <c r="D5271" s="1297" t="s">
        <v>996</v>
      </c>
      <c r="F5271" s="1399">
        <v>168680.38</v>
      </c>
      <c r="I5271" s="1399">
        <v>168680.38</v>
      </c>
    </row>
    <row r="5272" spans="2:9">
      <c r="B5272" s="1297"/>
      <c r="C5272" s="1297"/>
      <c r="D5272" s="1297" t="s">
        <v>1004</v>
      </c>
      <c r="F5272" s="1399">
        <v>-29447.31</v>
      </c>
      <c r="I5272" s="1399">
        <v>-29447.31</v>
      </c>
    </row>
    <row r="5273" spans="2:9">
      <c r="B5273" s="1297"/>
      <c r="C5273" s="1297"/>
      <c r="D5273" s="1297" t="s">
        <v>1045</v>
      </c>
      <c r="F5273" s="1399">
        <v>275972.04000000004</v>
      </c>
      <c r="I5273" s="1399">
        <v>275972.04000000004</v>
      </c>
    </row>
    <row r="5274" spans="2:9">
      <c r="B5274" s="1297"/>
      <c r="C5274" s="1297"/>
      <c r="D5274" s="1297" t="s">
        <v>1046</v>
      </c>
      <c r="H5274" s="1399">
        <v>7016113</v>
      </c>
      <c r="I5274" s="1399">
        <v>7016113</v>
      </c>
    </row>
    <row r="5275" spans="2:9">
      <c r="B5275" s="1297"/>
      <c r="C5275" s="1297"/>
      <c r="D5275" s="1297" t="s">
        <v>1047</v>
      </c>
      <c r="H5275" s="1399">
        <v>269911</v>
      </c>
      <c r="I5275" s="1399">
        <v>269911</v>
      </c>
    </row>
    <row r="5276" spans="2:9">
      <c r="B5276" s="1297"/>
      <c r="C5276" s="1297"/>
      <c r="D5276" s="1297" t="s">
        <v>1048</v>
      </c>
      <c r="H5276" s="1399">
        <v>-3973801</v>
      </c>
      <c r="I5276" s="1399">
        <v>-3973801</v>
      </c>
    </row>
    <row r="5277" spans="2:9">
      <c r="B5277" s="1297"/>
      <c r="C5277" s="1297"/>
      <c r="D5277" s="1297" t="s">
        <v>934</v>
      </c>
      <c r="H5277" s="1399">
        <v>18476</v>
      </c>
      <c r="I5277" s="1399">
        <v>18476</v>
      </c>
    </row>
    <row r="5278" spans="2:9">
      <c r="B5278" s="1297"/>
      <c r="C5278" s="1297"/>
      <c r="D5278" s="1297" t="s">
        <v>935</v>
      </c>
      <c r="H5278" s="1399">
        <v>243788.1</v>
      </c>
      <c r="I5278" s="1399">
        <v>243788.1</v>
      </c>
    </row>
    <row r="5279" spans="2:9">
      <c r="B5279" s="1297"/>
      <c r="C5279" s="1297"/>
      <c r="D5279" s="1297" t="s">
        <v>936</v>
      </c>
      <c r="H5279" s="1399">
        <v>30463.1</v>
      </c>
      <c r="I5279" s="1399">
        <v>30463.1</v>
      </c>
    </row>
    <row r="5280" spans="2:9">
      <c r="B5280" s="1297"/>
      <c r="C5280" s="1297"/>
      <c r="D5280" s="1297" t="s">
        <v>937</v>
      </c>
      <c r="H5280" s="1399">
        <v>9932.1</v>
      </c>
      <c r="I5280" s="1399">
        <v>9932.1</v>
      </c>
    </row>
    <row r="5281" spans="2:9">
      <c r="B5281" s="1297"/>
      <c r="C5281" s="1297"/>
      <c r="D5281" s="1297" t="s">
        <v>938</v>
      </c>
      <c r="H5281" s="1399">
        <v>7486</v>
      </c>
      <c r="I5281" s="1399">
        <v>7486</v>
      </c>
    </row>
    <row r="5282" spans="2:9">
      <c r="B5282" s="1297"/>
      <c r="C5282" s="1297"/>
      <c r="D5282" s="1297" t="s">
        <v>939</v>
      </c>
      <c r="H5282" s="1399">
        <v>100756.62000000001</v>
      </c>
      <c r="I5282" s="1399">
        <v>100756.62000000001</v>
      </c>
    </row>
    <row r="5283" spans="2:9">
      <c r="B5283" s="1297"/>
      <c r="C5283" s="1297"/>
      <c r="D5283" s="1297" t="s">
        <v>940</v>
      </c>
      <c r="E5283" s="1399">
        <v>283442.52</v>
      </c>
      <c r="I5283" s="1399">
        <v>283442.52</v>
      </c>
    </row>
    <row r="5284" spans="2:9">
      <c r="B5284" s="1297"/>
      <c r="C5284" s="1297"/>
      <c r="D5284" s="1297" t="s">
        <v>941</v>
      </c>
      <c r="E5284" s="1399">
        <v>107797</v>
      </c>
      <c r="I5284" s="1399">
        <v>107797</v>
      </c>
    </row>
    <row r="5285" spans="2:9">
      <c r="B5285" s="1297"/>
      <c r="C5285" s="1297"/>
      <c r="D5285" s="1297" t="s">
        <v>943</v>
      </c>
      <c r="E5285" s="1399">
        <v>8231.76</v>
      </c>
      <c r="I5285" s="1399">
        <v>8231.76</v>
      </c>
    </row>
    <row r="5286" spans="2:9">
      <c r="B5286" s="1297"/>
      <c r="C5286" s="1297"/>
      <c r="D5286" s="1297" t="s">
        <v>944</v>
      </c>
      <c r="E5286" s="1399">
        <v>892917.24</v>
      </c>
      <c r="I5286" s="1399">
        <v>892917.24</v>
      </c>
    </row>
    <row r="5287" spans="2:9">
      <c r="B5287" s="1297"/>
      <c r="C5287" s="1297"/>
      <c r="D5287" s="1297" t="s">
        <v>945</v>
      </c>
      <c r="E5287" s="1399">
        <v>436406.5</v>
      </c>
      <c r="I5287" s="1399">
        <v>436406.5</v>
      </c>
    </row>
    <row r="5288" spans="2:9">
      <c r="B5288" s="1297"/>
      <c r="C5288" s="1297"/>
      <c r="D5288" s="1297" t="s">
        <v>946</v>
      </c>
      <c r="E5288" s="1399">
        <v>225694.94</v>
      </c>
      <c r="I5288" s="1399">
        <v>225694.94</v>
      </c>
    </row>
    <row r="5289" spans="2:9">
      <c r="B5289" s="1297"/>
      <c r="C5289" s="1297"/>
      <c r="D5289" s="1297" t="s">
        <v>1214</v>
      </c>
      <c r="E5289" s="1399">
        <v>30743.95</v>
      </c>
      <c r="I5289" s="1399">
        <v>30743.95</v>
      </c>
    </row>
    <row r="5290" spans="2:9">
      <c r="B5290" s="1297"/>
      <c r="C5290" s="1297"/>
      <c r="D5290" s="1297" t="s">
        <v>947</v>
      </c>
      <c r="E5290" s="1399">
        <v>27198.03</v>
      </c>
      <c r="I5290" s="1399">
        <v>27198.03</v>
      </c>
    </row>
    <row r="5291" spans="2:9">
      <c r="B5291" s="1297"/>
      <c r="C5291" s="1297"/>
      <c r="D5291" s="1297" t="s">
        <v>948</v>
      </c>
      <c r="G5291" s="1399">
        <v>3206874.97</v>
      </c>
      <c r="I5291" s="1399">
        <v>3206874.97</v>
      </c>
    </row>
    <row r="5292" spans="2:9">
      <c r="B5292" s="1297"/>
      <c r="C5292" s="1400" t="s">
        <v>1370</v>
      </c>
      <c r="D5292" s="1400"/>
      <c r="E5292" s="1401">
        <v>2012431.94</v>
      </c>
      <c r="F5292" s="1401">
        <v>8946419.6099999994</v>
      </c>
      <c r="G5292" s="1401">
        <v>3206874.97</v>
      </c>
      <c r="H5292" s="1401">
        <v>3723124.9200000004</v>
      </c>
      <c r="I5292" s="1401">
        <v>17888851.439999994</v>
      </c>
    </row>
    <row r="5293" spans="2:9">
      <c r="B5293" s="1297" t="s">
        <v>1371</v>
      </c>
      <c r="C5293" s="1297" t="s">
        <v>1372</v>
      </c>
      <c r="D5293" s="1297" t="s">
        <v>906</v>
      </c>
      <c r="F5293" s="1399">
        <v>1313123.1000000001</v>
      </c>
      <c r="I5293" s="1399">
        <v>1313123.1000000001</v>
      </c>
    </row>
    <row r="5294" spans="2:9">
      <c r="B5294" s="1297"/>
      <c r="C5294" s="1297"/>
      <c r="D5294" s="1297" t="s">
        <v>952</v>
      </c>
      <c r="F5294" s="1399">
        <v>6403.9</v>
      </c>
      <c r="I5294" s="1399">
        <v>6403.9</v>
      </c>
    </row>
    <row r="5295" spans="2:9">
      <c r="B5295" s="1297"/>
      <c r="C5295" s="1297"/>
      <c r="D5295" s="1297" t="s">
        <v>907</v>
      </c>
      <c r="F5295" s="1399">
        <v>465146.87</v>
      </c>
      <c r="I5295" s="1399">
        <v>465146.87</v>
      </c>
    </row>
    <row r="5296" spans="2:9">
      <c r="B5296" s="1297"/>
      <c r="C5296" s="1297"/>
      <c r="D5296" s="1297" t="s">
        <v>908</v>
      </c>
      <c r="F5296" s="1399">
        <v>4397.13</v>
      </c>
      <c r="I5296" s="1399">
        <v>4397.13</v>
      </c>
    </row>
    <row r="5297" spans="2:9">
      <c r="B5297" s="1297"/>
      <c r="C5297" s="1297"/>
      <c r="D5297" s="1297" t="s">
        <v>909</v>
      </c>
      <c r="F5297" s="1399">
        <v>610.56999999999994</v>
      </c>
      <c r="I5297" s="1399">
        <v>610.56999999999994</v>
      </c>
    </row>
    <row r="5298" spans="2:9">
      <c r="B5298" s="1297"/>
      <c r="C5298" s="1297"/>
      <c r="D5298" s="1297" t="s">
        <v>910</v>
      </c>
      <c r="F5298" s="1399">
        <v>55174.3</v>
      </c>
      <c r="I5298" s="1399">
        <v>55174.3</v>
      </c>
    </row>
    <row r="5299" spans="2:9">
      <c r="B5299" s="1297"/>
      <c r="C5299" s="1297"/>
      <c r="D5299" s="1297" t="s">
        <v>1034</v>
      </c>
      <c r="F5299" s="1399">
        <v>8387.09</v>
      </c>
      <c r="I5299" s="1399">
        <v>8387.09</v>
      </c>
    </row>
    <row r="5300" spans="2:9">
      <c r="B5300" s="1297"/>
      <c r="C5300" s="1297"/>
      <c r="D5300" s="1297" t="s">
        <v>1035</v>
      </c>
      <c r="F5300" s="1399">
        <v>209773.72</v>
      </c>
      <c r="I5300" s="1399">
        <v>209773.72</v>
      </c>
    </row>
    <row r="5301" spans="2:9">
      <c r="B5301" s="1297"/>
      <c r="C5301" s="1297"/>
      <c r="D5301" s="1297" t="s">
        <v>1036</v>
      </c>
      <c r="F5301" s="1399">
        <v>90337.91</v>
      </c>
      <c r="I5301" s="1399">
        <v>90337.91</v>
      </c>
    </row>
    <row r="5302" spans="2:9">
      <c r="B5302" s="1297"/>
      <c r="C5302" s="1297"/>
      <c r="D5302" s="1297" t="s">
        <v>1039</v>
      </c>
      <c r="F5302" s="1399">
        <v>4011.85</v>
      </c>
      <c r="I5302" s="1399">
        <v>4011.85</v>
      </c>
    </row>
    <row r="5303" spans="2:9">
      <c r="B5303" s="1297"/>
      <c r="C5303" s="1297"/>
      <c r="D5303" s="1297" t="s">
        <v>1040</v>
      </c>
      <c r="F5303" s="1399">
        <v>85917.3</v>
      </c>
      <c r="I5303" s="1399">
        <v>85917.3</v>
      </c>
    </row>
    <row r="5304" spans="2:9">
      <c r="B5304" s="1297"/>
      <c r="C5304" s="1297"/>
      <c r="D5304" s="1297" t="s">
        <v>1041</v>
      </c>
      <c r="F5304" s="1399">
        <v>21319.5</v>
      </c>
      <c r="I5304" s="1399">
        <v>21319.5</v>
      </c>
    </row>
    <row r="5305" spans="2:9">
      <c r="B5305" s="1297"/>
      <c r="C5305" s="1297"/>
      <c r="D5305" s="1297" t="s">
        <v>1042</v>
      </c>
      <c r="F5305" s="1399">
        <v>23317.05</v>
      </c>
      <c r="I5305" s="1399">
        <v>23317.05</v>
      </c>
    </row>
    <row r="5306" spans="2:9">
      <c r="B5306" s="1297"/>
      <c r="C5306" s="1297"/>
      <c r="D5306" s="1297" t="s">
        <v>1044</v>
      </c>
      <c r="F5306" s="1399">
        <v>39027.370000000003</v>
      </c>
      <c r="I5306" s="1399">
        <v>39027.370000000003</v>
      </c>
    </row>
    <row r="5307" spans="2:9">
      <c r="B5307" s="1297"/>
      <c r="C5307" s="1297"/>
      <c r="D5307" s="1297" t="s">
        <v>1045</v>
      </c>
      <c r="F5307" s="1399">
        <v>80118.820000000007</v>
      </c>
      <c r="I5307" s="1399">
        <v>80118.820000000007</v>
      </c>
    </row>
    <row r="5308" spans="2:9">
      <c r="B5308" s="1297"/>
      <c r="C5308" s="1297"/>
      <c r="D5308" s="1297" t="s">
        <v>1046</v>
      </c>
      <c r="H5308" s="1399">
        <v>6264125</v>
      </c>
      <c r="I5308" s="1399">
        <v>6264125</v>
      </c>
    </row>
    <row r="5309" spans="2:9">
      <c r="B5309" s="1297"/>
      <c r="C5309" s="1297"/>
      <c r="D5309" s="1297" t="s">
        <v>1129</v>
      </c>
      <c r="H5309" s="1399">
        <v>-857267</v>
      </c>
      <c r="I5309" s="1399">
        <v>-857267</v>
      </c>
    </row>
    <row r="5310" spans="2:9">
      <c r="B5310" s="1297"/>
      <c r="C5310" s="1297"/>
      <c r="D5310" s="1297" t="s">
        <v>1047</v>
      </c>
      <c r="H5310" s="1399">
        <v>227854</v>
      </c>
      <c r="I5310" s="1399">
        <v>227854</v>
      </c>
    </row>
    <row r="5311" spans="2:9">
      <c r="B5311" s="1297"/>
      <c r="C5311" s="1297"/>
      <c r="D5311" s="1297" t="s">
        <v>1048</v>
      </c>
      <c r="H5311" s="1399">
        <v>-601237</v>
      </c>
      <c r="I5311" s="1399">
        <v>-601237</v>
      </c>
    </row>
    <row r="5312" spans="2:9">
      <c r="B5312" s="1297"/>
      <c r="C5312" s="1297"/>
      <c r="D5312" s="1297" t="s">
        <v>932</v>
      </c>
      <c r="H5312" s="1399">
        <v>405505</v>
      </c>
      <c r="I5312" s="1399">
        <v>405505</v>
      </c>
    </row>
    <row r="5313" spans="2:9">
      <c r="B5313" s="1297"/>
      <c r="C5313" s="1297"/>
      <c r="D5313" s="1297" t="s">
        <v>955</v>
      </c>
      <c r="H5313" s="1399">
        <v>416223.39</v>
      </c>
      <c r="I5313" s="1399">
        <v>416223.39</v>
      </c>
    </row>
    <row r="5314" spans="2:9">
      <c r="B5314" s="1297"/>
      <c r="C5314" s="1297"/>
      <c r="D5314" s="1297" t="s">
        <v>934</v>
      </c>
      <c r="H5314" s="1399">
        <v>22242</v>
      </c>
      <c r="I5314" s="1399">
        <v>22242</v>
      </c>
    </row>
    <row r="5315" spans="2:9">
      <c r="B5315" s="1297"/>
      <c r="C5315" s="1297"/>
      <c r="D5315" s="1297" t="s">
        <v>1130</v>
      </c>
      <c r="H5315" s="1399">
        <v>3037109.27</v>
      </c>
      <c r="I5315" s="1399">
        <v>3037109.27</v>
      </c>
    </row>
    <row r="5316" spans="2:9">
      <c r="B5316" s="1297"/>
      <c r="C5316" s="1297"/>
      <c r="D5316" s="1297" t="s">
        <v>935</v>
      </c>
      <c r="H5316" s="1399">
        <v>101194.04</v>
      </c>
      <c r="I5316" s="1399">
        <v>101194.04</v>
      </c>
    </row>
    <row r="5317" spans="2:9">
      <c r="B5317" s="1297"/>
      <c r="C5317" s="1297"/>
      <c r="D5317" s="1297" t="s">
        <v>936</v>
      </c>
      <c r="H5317" s="1399">
        <v>18207.82</v>
      </c>
      <c r="I5317" s="1399">
        <v>18207.82</v>
      </c>
    </row>
    <row r="5318" spans="2:9">
      <c r="B5318" s="1297"/>
      <c r="C5318" s="1297"/>
      <c r="D5318" s="1297" t="s">
        <v>938</v>
      </c>
      <c r="H5318" s="1399">
        <v>5989</v>
      </c>
      <c r="I5318" s="1399">
        <v>5989</v>
      </c>
    </row>
    <row r="5319" spans="2:9">
      <c r="B5319" s="1297"/>
      <c r="C5319" s="1297"/>
      <c r="D5319" s="1297" t="s">
        <v>940</v>
      </c>
      <c r="E5319" s="1399">
        <v>390410.34</v>
      </c>
      <c r="I5319" s="1399">
        <v>390410.34</v>
      </c>
    </row>
    <row r="5320" spans="2:9">
      <c r="B5320" s="1297"/>
      <c r="C5320" s="1297"/>
      <c r="D5320" s="1297" t="s">
        <v>941</v>
      </c>
      <c r="E5320" s="1399">
        <v>121786.66</v>
      </c>
      <c r="I5320" s="1399">
        <v>121786.66</v>
      </c>
    </row>
    <row r="5321" spans="2:9">
      <c r="B5321" s="1297"/>
      <c r="C5321" s="1297"/>
      <c r="D5321" s="1297" t="s">
        <v>943</v>
      </c>
      <c r="E5321" s="1399">
        <v>281.2</v>
      </c>
      <c r="I5321" s="1399">
        <v>281.2</v>
      </c>
    </row>
    <row r="5322" spans="2:9">
      <c r="B5322" s="1297"/>
      <c r="C5322" s="1297"/>
      <c r="D5322" s="1297" t="s">
        <v>944</v>
      </c>
      <c r="E5322" s="1399">
        <v>1027760.7000000001</v>
      </c>
      <c r="I5322" s="1399">
        <v>1027760.7000000001</v>
      </c>
    </row>
    <row r="5323" spans="2:9">
      <c r="B5323" s="1297"/>
      <c r="C5323" s="1297"/>
      <c r="D5323" s="1297" t="s">
        <v>945</v>
      </c>
      <c r="E5323" s="1399">
        <v>669817.29</v>
      </c>
      <c r="I5323" s="1399">
        <v>669817.29</v>
      </c>
    </row>
    <row r="5324" spans="2:9">
      <c r="B5324" s="1297"/>
      <c r="C5324" s="1297"/>
      <c r="D5324" s="1297" t="s">
        <v>946</v>
      </c>
      <c r="E5324" s="1399">
        <v>-8216.93</v>
      </c>
      <c r="I5324" s="1399">
        <v>-8216.93</v>
      </c>
    </row>
    <row r="5325" spans="2:9">
      <c r="B5325" s="1297"/>
      <c r="C5325" s="1297"/>
      <c r="D5325" s="1297" t="s">
        <v>947</v>
      </c>
      <c r="E5325" s="1399">
        <v>50741.66</v>
      </c>
      <c r="I5325" s="1399">
        <v>50741.66</v>
      </c>
    </row>
    <row r="5326" spans="2:9">
      <c r="B5326" s="1297"/>
      <c r="C5326" s="1297"/>
      <c r="D5326" s="1297" t="s">
        <v>1115</v>
      </c>
      <c r="E5326" s="1399">
        <v>125231.83</v>
      </c>
      <c r="I5326" s="1399">
        <v>125231.83</v>
      </c>
    </row>
    <row r="5327" spans="2:9">
      <c r="B5327" s="1297"/>
      <c r="C5327" s="1297"/>
      <c r="D5327" s="1297" t="s">
        <v>1116</v>
      </c>
      <c r="G5327" s="1399">
        <v>7920000</v>
      </c>
      <c r="I5327" s="1399">
        <v>7920000</v>
      </c>
    </row>
    <row r="5328" spans="2:9">
      <c r="B5328" s="1297"/>
      <c r="C5328" s="1297"/>
      <c r="D5328" s="1297" t="s">
        <v>948</v>
      </c>
      <c r="G5328" s="1399">
        <v>4459355.5699999994</v>
      </c>
      <c r="I5328" s="1399">
        <v>4459355.5699999994</v>
      </c>
    </row>
    <row r="5329" spans="2:9">
      <c r="B5329" s="1297"/>
      <c r="C5329" s="1297"/>
      <c r="D5329" s="1297" t="s">
        <v>1118</v>
      </c>
      <c r="G5329" s="1399">
        <v>10</v>
      </c>
      <c r="I5329" s="1399">
        <v>10</v>
      </c>
    </row>
    <row r="5330" spans="2:9">
      <c r="B5330" s="1297"/>
      <c r="C5330" s="1400" t="s">
        <v>1373</v>
      </c>
      <c r="D5330" s="1400"/>
      <c r="E5330" s="1401">
        <v>2377812.7500000005</v>
      </c>
      <c r="F5330" s="1401">
        <v>2407066.48</v>
      </c>
      <c r="G5330" s="1401">
        <v>12379365.57</v>
      </c>
      <c r="H5330" s="1401">
        <v>9039945.5199999996</v>
      </c>
      <c r="I5330" s="1401">
        <v>26204190.32</v>
      </c>
    </row>
    <row r="5331" spans="2:9">
      <c r="B5331" s="1297" t="s">
        <v>1374</v>
      </c>
      <c r="C5331" s="1297" t="s">
        <v>1375</v>
      </c>
      <c r="D5331" s="1297" t="s">
        <v>906</v>
      </c>
      <c r="F5331" s="1399">
        <v>38252266.219999999</v>
      </c>
      <c r="I5331" s="1399">
        <v>38252266.219999999</v>
      </c>
    </row>
    <row r="5332" spans="2:9">
      <c r="B5332" s="1297"/>
      <c r="C5332" s="1297"/>
      <c r="D5332" s="1297" t="s">
        <v>952</v>
      </c>
      <c r="F5332" s="1399">
        <v>338434.35</v>
      </c>
      <c r="I5332" s="1399">
        <v>338434.35</v>
      </c>
    </row>
    <row r="5333" spans="2:9">
      <c r="B5333" s="1297"/>
      <c r="C5333" s="1297"/>
      <c r="D5333" s="1297" t="s">
        <v>907</v>
      </c>
      <c r="F5333" s="1399">
        <v>10527832.24</v>
      </c>
      <c r="I5333" s="1399">
        <v>10527832.24</v>
      </c>
    </row>
    <row r="5334" spans="2:9">
      <c r="B5334" s="1297"/>
      <c r="C5334" s="1297"/>
      <c r="D5334" s="1297" t="s">
        <v>908</v>
      </c>
      <c r="F5334" s="1399">
        <v>90061.83</v>
      </c>
      <c r="I5334" s="1399">
        <v>90061.83</v>
      </c>
    </row>
    <row r="5335" spans="2:9">
      <c r="B5335" s="1297"/>
      <c r="C5335" s="1297"/>
      <c r="D5335" s="1297" t="s">
        <v>909</v>
      </c>
      <c r="F5335" s="1399">
        <v>191258.87999999998</v>
      </c>
      <c r="I5335" s="1399">
        <v>191258.87999999998</v>
      </c>
    </row>
    <row r="5336" spans="2:9">
      <c r="B5336" s="1297"/>
      <c r="C5336" s="1297"/>
      <c r="D5336" s="1297" t="s">
        <v>910</v>
      </c>
      <c r="F5336" s="1399">
        <v>447042.8600000001</v>
      </c>
      <c r="I5336" s="1399">
        <v>447042.8600000001</v>
      </c>
    </row>
    <row r="5337" spans="2:9">
      <c r="B5337" s="1297"/>
      <c r="C5337" s="1297"/>
      <c r="D5337" s="1297" t="s">
        <v>1034</v>
      </c>
      <c r="F5337" s="1399">
        <v>247662.88</v>
      </c>
      <c r="I5337" s="1399">
        <v>247662.88</v>
      </c>
    </row>
    <row r="5338" spans="2:9">
      <c r="B5338" s="1297"/>
      <c r="C5338" s="1297"/>
      <c r="D5338" s="1297" t="s">
        <v>1035</v>
      </c>
      <c r="F5338" s="1399">
        <v>1588946.6900000004</v>
      </c>
      <c r="I5338" s="1399">
        <v>1588946.6900000004</v>
      </c>
    </row>
    <row r="5339" spans="2:9">
      <c r="B5339" s="1297"/>
      <c r="C5339" s="1297"/>
      <c r="D5339" s="1297" t="s">
        <v>1036</v>
      </c>
      <c r="F5339" s="1399">
        <v>390351.06000000006</v>
      </c>
      <c r="I5339" s="1399">
        <v>390351.06000000006</v>
      </c>
    </row>
    <row r="5340" spans="2:9">
      <c r="B5340" s="1297"/>
      <c r="C5340" s="1297"/>
      <c r="D5340" s="1297" t="s">
        <v>1039</v>
      </c>
      <c r="F5340" s="1399">
        <v>-2732.849999999999</v>
      </c>
      <c r="I5340" s="1399">
        <v>-2732.849999999999</v>
      </c>
    </row>
    <row r="5341" spans="2:9">
      <c r="B5341" s="1297"/>
      <c r="C5341" s="1297"/>
      <c r="D5341" s="1297" t="s">
        <v>1040</v>
      </c>
      <c r="F5341" s="1399">
        <v>842808.97</v>
      </c>
      <c r="I5341" s="1399">
        <v>842808.97</v>
      </c>
    </row>
    <row r="5342" spans="2:9">
      <c r="B5342" s="1297"/>
      <c r="C5342" s="1297"/>
      <c r="D5342" s="1297" t="s">
        <v>1127</v>
      </c>
      <c r="F5342" s="1399">
        <v>103.79999999999998</v>
      </c>
      <c r="I5342" s="1399">
        <v>103.79999999999998</v>
      </c>
    </row>
    <row r="5343" spans="2:9">
      <c r="B5343" s="1297"/>
      <c r="C5343" s="1297"/>
      <c r="D5343" s="1297" t="s">
        <v>1041</v>
      </c>
      <c r="F5343" s="1399">
        <v>26836.3</v>
      </c>
      <c r="I5343" s="1399">
        <v>26836.3</v>
      </c>
    </row>
    <row r="5344" spans="2:9">
      <c r="B5344" s="1297"/>
      <c r="C5344" s="1297"/>
      <c r="D5344" s="1297" t="s">
        <v>1042</v>
      </c>
      <c r="F5344" s="1399">
        <v>126921.21000000005</v>
      </c>
      <c r="I5344" s="1399">
        <v>126921.21000000005</v>
      </c>
    </row>
    <row r="5345" spans="2:9">
      <c r="B5345" s="1297"/>
      <c r="C5345" s="1297"/>
      <c r="D5345" s="1297" t="s">
        <v>954</v>
      </c>
      <c r="F5345" s="1399">
        <v>146685.63</v>
      </c>
      <c r="I5345" s="1399">
        <v>146685.63</v>
      </c>
    </row>
    <row r="5346" spans="2:9">
      <c r="B5346" s="1297"/>
      <c r="C5346" s="1297"/>
      <c r="D5346" s="1297" t="s">
        <v>986</v>
      </c>
      <c r="F5346" s="1399">
        <v>399342.57</v>
      </c>
      <c r="I5346" s="1399">
        <v>399342.57</v>
      </c>
    </row>
    <row r="5347" spans="2:9">
      <c r="B5347" s="1297"/>
      <c r="C5347" s="1297"/>
      <c r="D5347" s="1297" t="s">
        <v>1044</v>
      </c>
      <c r="F5347" s="1399">
        <v>197161.36</v>
      </c>
      <c r="I5347" s="1399">
        <v>197161.36</v>
      </c>
    </row>
    <row r="5348" spans="2:9">
      <c r="B5348" s="1297"/>
      <c r="C5348" s="1297"/>
      <c r="D5348" s="1297" t="s">
        <v>1045</v>
      </c>
      <c r="F5348" s="1399">
        <v>1450978.8100000003</v>
      </c>
      <c r="I5348" s="1399">
        <v>1450978.8100000003</v>
      </c>
    </row>
    <row r="5349" spans="2:9">
      <c r="B5349" s="1297"/>
      <c r="C5349" s="1297"/>
      <c r="D5349" s="1297" t="s">
        <v>1046</v>
      </c>
      <c r="H5349" s="1399">
        <v>62094216</v>
      </c>
      <c r="I5349" s="1399">
        <v>62094216</v>
      </c>
    </row>
    <row r="5350" spans="2:9">
      <c r="B5350" s="1297"/>
      <c r="C5350" s="1297"/>
      <c r="D5350" s="1297" t="s">
        <v>1128</v>
      </c>
      <c r="H5350" s="1399">
        <v>5468170</v>
      </c>
      <c r="I5350" s="1399">
        <v>5468170</v>
      </c>
    </row>
    <row r="5351" spans="2:9">
      <c r="B5351" s="1297"/>
      <c r="C5351" s="1297"/>
      <c r="D5351" s="1297" t="s">
        <v>1129</v>
      </c>
      <c r="H5351" s="1399">
        <v>-8797166</v>
      </c>
      <c r="I5351" s="1399">
        <v>-8797166</v>
      </c>
    </row>
    <row r="5352" spans="2:9">
      <c r="B5352" s="1297"/>
      <c r="C5352" s="1297"/>
      <c r="D5352" s="1297" t="s">
        <v>1047</v>
      </c>
      <c r="H5352" s="1399">
        <v>1679402</v>
      </c>
      <c r="I5352" s="1399">
        <v>1679402</v>
      </c>
    </row>
    <row r="5353" spans="2:9">
      <c r="B5353" s="1297"/>
      <c r="C5353" s="1297"/>
      <c r="D5353" s="1297" t="s">
        <v>1048</v>
      </c>
      <c r="H5353" s="1399">
        <v>-9094702</v>
      </c>
      <c r="I5353" s="1399">
        <v>-9094702</v>
      </c>
    </row>
    <row r="5354" spans="2:9">
      <c r="B5354" s="1297"/>
      <c r="C5354" s="1297"/>
      <c r="D5354" s="1297" t="s">
        <v>932</v>
      </c>
      <c r="H5354" s="1399">
        <v>6097751</v>
      </c>
      <c r="I5354" s="1399">
        <v>6097751</v>
      </c>
    </row>
    <row r="5355" spans="2:9">
      <c r="B5355" s="1297"/>
      <c r="C5355" s="1297"/>
      <c r="D5355" s="1297" t="s">
        <v>955</v>
      </c>
      <c r="H5355" s="1399">
        <v>2076627.16</v>
      </c>
      <c r="I5355" s="1399">
        <v>2076627.16</v>
      </c>
    </row>
    <row r="5356" spans="2:9">
      <c r="B5356" s="1297"/>
      <c r="C5356" s="1297"/>
      <c r="D5356" s="1297" t="s">
        <v>934</v>
      </c>
      <c r="H5356" s="1399">
        <v>188812.56</v>
      </c>
      <c r="I5356" s="1399">
        <v>188812.56</v>
      </c>
    </row>
    <row r="5357" spans="2:9">
      <c r="B5357" s="1297"/>
      <c r="C5357" s="1297"/>
      <c r="D5357" s="1297" t="s">
        <v>935</v>
      </c>
      <c r="H5357" s="1399">
        <v>952783.35999999999</v>
      </c>
      <c r="I5357" s="1399">
        <v>952783.35999999999</v>
      </c>
    </row>
    <row r="5358" spans="2:9">
      <c r="B5358" s="1297"/>
      <c r="C5358" s="1297"/>
      <c r="D5358" s="1297" t="s">
        <v>936</v>
      </c>
      <c r="H5358" s="1399">
        <v>221995.44</v>
      </c>
      <c r="I5358" s="1399">
        <v>221995.44</v>
      </c>
    </row>
    <row r="5359" spans="2:9">
      <c r="B5359" s="1297"/>
      <c r="C5359" s="1297"/>
      <c r="D5359" s="1297" t="s">
        <v>937</v>
      </c>
      <c r="H5359" s="1399">
        <v>93971.16</v>
      </c>
      <c r="I5359" s="1399">
        <v>93971.16</v>
      </c>
    </row>
    <row r="5360" spans="2:9">
      <c r="B5360" s="1297"/>
      <c r="C5360" s="1297"/>
      <c r="D5360" s="1297" t="s">
        <v>938</v>
      </c>
      <c r="H5360" s="1399">
        <v>78981</v>
      </c>
      <c r="I5360" s="1399">
        <v>78981</v>
      </c>
    </row>
    <row r="5361" spans="2:9">
      <c r="B5361" s="1297"/>
      <c r="C5361" s="1297"/>
      <c r="D5361" s="1297" t="s">
        <v>939</v>
      </c>
      <c r="H5361" s="1399">
        <v>39212.04</v>
      </c>
      <c r="I5361" s="1399">
        <v>39212.04</v>
      </c>
    </row>
    <row r="5362" spans="2:9">
      <c r="B5362" s="1297"/>
      <c r="C5362" s="1297"/>
      <c r="D5362" s="1297" t="s">
        <v>940</v>
      </c>
      <c r="E5362" s="1399">
        <v>3042097.4199999995</v>
      </c>
      <c r="I5362" s="1399">
        <v>3042097.4199999995</v>
      </c>
    </row>
    <row r="5363" spans="2:9">
      <c r="B5363" s="1297"/>
      <c r="C5363" s="1297"/>
      <c r="D5363" s="1297" t="s">
        <v>941</v>
      </c>
      <c r="E5363" s="1399">
        <v>1016209.4999999999</v>
      </c>
      <c r="I5363" s="1399">
        <v>1016209.4999999999</v>
      </c>
    </row>
    <row r="5364" spans="2:9">
      <c r="B5364" s="1297"/>
      <c r="C5364" s="1297"/>
      <c r="D5364" s="1297" t="s">
        <v>943</v>
      </c>
      <c r="E5364" s="1399">
        <v>16352.52</v>
      </c>
      <c r="I5364" s="1399">
        <v>16352.52</v>
      </c>
    </row>
    <row r="5365" spans="2:9">
      <c r="B5365" s="1297"/>
      <c r="C5365" s="1297"/>
      <c r="D5365" s="1297" t="s">
        <v>944</v>
      </c>
      <c r="E5365" s="1399">
        <v>8179975.1099999994</v>
      </c>
      <c r="I5365" s="1399">
        <v>8179975.1099999994</v>
      </c>
    </row>
    <row r="5366" spans="2:9">
      <c r="B5366" s="1297"/>
      <c r="C5366" s="1297"/>
      <c r="D5366" s="1297" t="s">
        <v>945</v>
      </c>
      <c r="E5366" s="1399">
        <v>4696126.71</v>
      </c>
      <c r="I5366" s="1399">
        <v>4696126.71</v>
      </c>
    </row>
    <row r="5367" spans="2:9">
      <c r="B5367" s="1297"/>
      <c r="C5367" s="1297"/>
      <c r="D5367" s="1297" t="s">
        <v>978</v>
      </c>
      <c r="E5367" s="1399">
        <v>1611.3899999999999</v>
      </c>
      <c r="I5367" s="1399">
        <v>1611.3899999999999</v>
      </c>
    </row>
    <row r="5368" spans="2:9">
      <c r="B5368" s="1297"/>
      <c r="C5368" s="1297"/>
      <c r="D5368" s="1297" t="s">
        <v>947</v>
      </c>
      <c r="E5368" s="1399">
        <v>251310.88999999998</v>
      </c>
      <c r="I5368" s="1399">
        <v>251310.88999999998</v>
      </c>
    </row>
    <row r="5369" spans="2:9">
      <c r="B5369" s="1297"/>
      <c r="C5369" s="1297"/>
      <c r="D5369" s="1297" t="s">
        <v>1115</v>
      </c>
      <c r="E5369" s="1399">
        <v>116272.41</v>
      </c>
      <c r="I5369" s="1399">
        <v>116272.41</v>
      </c>
    </row>
    <row r="5370" spans="2:9">
      <c r="B5370" s="1297"/>
      <c r="C5370" s="1297"/>
      <c r="D5370" s="1297" t="s">
        <v>948</v>
      </c>
      <c r="G5370" s="1399">
        <v>2932819.1500000018</v>
      </c>
      <c r="I5370" s="1399">
        <v>2932819.1500000018</v>
      </c>
    </row>
    <row r="5371" spans="2:9">
      <c r="B5371" s="1297"/>
      <c r="C5371" s="1400" t="s">
        <v>1376</v>
      </c>
      <c r="D5371" s="1400"/>
      <c r="E5371" s="1401">
        <v>17319955.949999999</v>
      </c>
      <c r="F5371" s="1401">
        <v>55261962.810000002</v>
      </c>
      <c r="G5371" s="1401">
        <v>2932819.1500000018</v>
      </c>
      <c r="H5371" s="1401">
        <v>61100053.719999991</v>
      </c>
      <c r="I5371" s="1401">
        <v>136614791.63</v>
      </c>
    </row>
    <row r="5372" spans="2:9">
      <c r="B5372" s="1297" t="s">
        <v>1377</v>
      </c>
      <c r="C5372" s="1297" t="s">
        <v>1378</v>
      </c>
      <c r="D5372" s="1297" t="s">
        <v>906</v>
      </c>
      <c r="F5372" s="1399">
        <v>2969448.63</v>
      </c>
      <c r="I5372" s="1399">
        <v>2969448.63</v>
      </c>
    </row>
    <row r="5373" spans="2:9">
      <c r="B5373" s="1297"/>
      <c r="C5373" s="1297"/>
      <c r="D5373" s="1297" t="s">
        <v>952</v>
      </c>
      <c r="F5373" s="1399">
        <v>5052.38</v>
      </c>
      <c r="I5373" s="1399">
        <v>5052.38</v>
      </c>
    </row>
    <row r="5374" spans="2:9">
      <c r="B5374" s="1297"/>
      <c r="C5374" s="1297"/>
      <c r="D5374" s="1297" t="s">
        <v>907</v>
      </c>
      <c r="F5374" s="1399">
        <v>891207.75</v>
      </c>
      <c r="I5374" s="1399">
        <v>891207.75</v>
      </c>
    </row>
    <row r="5375" spans="2:9">
      <c r="B5375" s="1297"/>
      <c r="C5375" s="1297"/>
      <c r="D5375" s="1297" t="s">
        <v>908</v>
      </c>
      <c r="F5375" s="1399">
        <v>16837.2</v>
      </c>
      <c r="I5375" s="1399">
        <v>16837.2</v>
      </c>
    </row>
    <row r="5376" spans="2:9">
      <c r="B5376" s="1297"/>
      <c r="C5376" s="1297"/>
      <c r="D5376" s="1297" t="s">
        <v>909</v>
      </c>
      <c r="F5376" s="1399">
        <v>64839.15</v>
      </c>
      <c r="I5376" s="1399">
        <v>64839.15</v>
      </c>
    </row>
    <row r="5377" spans="2:9">
      <c r="B5377" s="1297"/>
      <c r="C5377" s="1297"/>
      <c r="D5377" s="1297" t="s">
        <v>910</v>
      </c>
      <c r="F5377" s="1399">
        <v>5336.5</v>
      </c>
      <c r="I5377" s="1399">
        <v>5336.5</v>
      </c>
    </row>
    <row r="5378" spans="2:9">
      <c r="B5378" s="1297"/>
      <c r="C5378" s="1297"/>
      <c r="D5378" s="1297" t="s">
        <v>1034</v>
      </c>
      <c r="F5378" s="1399">
        <v>26957.26</v>
      </c>
      <c r="I5378" s="1399">
        <v>26957.26</v>
      </c>
    </row>
    <row r="5379" spans="2:9">
      <c r="B5379" s="1297"/>
      <c r="C5379" s="1297"/>
      <c r="D5379" s="1297" t="s">
        <v>1035</v>
      </c>
      <c r="F5379" s="1399">
        <v>198356.44999999998</v>
      </c>
      <c r="I5379" s="1399">
        <v>198356.44999999998</v>
      </c>
    </row>
    <row r="5380" spans="2:9">
      <c r="B5380" s="1297"/>
      <c r="C5380" s="1297"/>
      <c r="D5380" s="1297" t="s">
        <v>1036</v>
      </c>
      <c r="F5380" s="1399">
        <v>30352.69</v>
      </c>
      <c r="I5380" s="1399">
        <v>30352.69</v>
      </c>
    </row>
    <row r="5381" spans="2:9">
      <c r="B5381" s="1297"/>
      <c r="C5381" s="1297"/>
      <c r="D5381" s="1297" t="s">
        <v>1039</v>
      </c>
      <c r="F5381" s="1399">
        <v>9459.75</v>
      </c>
      <c r="I5381" s="1399">
        <v>9459.75</v>
      </c>
    </row>
    <row r="5382" spans="2:9">
      <c r="B5382" s="1297"/>
      <c r="C5382" s="1297"/>
      <c r="D5382" s="1297" t="s">
        <v>1040</v>
      </c>
      <c r="F5382" s="1399">
        <v>32268.17</v>
      </c>
      <c r="I5382" s="1399">
        <v>32268.17</v>
      </c>
    </row>
    <row r="5383" spans="2:9">
      <c r="B5383" s="1297"/>
      <c r="C5383" s="1297"/>
      <c r="D5383" s="1297" t="s">
        <v>1042</v>
      </c>
      <c r="F5383" s="1399">
        <v>29317.53</v>
      </c>
      <c r="I5383" s="1399">
        <v>29317.53</v>
      </c>
    </row>
    <row r="5384" spans="2:9">
      <c r="B5384" s="1297"/>
      <c r="C5384" s="1297"/>
      <c r="D5384" s="1297" t="s">
        <v>1043</v>
      </c>
      <c r="F5384" s="1399">
        <v>8325</v>
      </c>
      <c r="I5384" s="1399">
        <v>8325</v>
      </c>
    </row>
    <row r="5385" spans="2:9">
      <c r="B5385" s="1297"/>
      <c r="C5385" s="1297"/>
      <c r="D5385" s="1297" t="s">
        <v>986</v>
      </c>
      <c r="F5385" s="1399">
        <v>70</v>
      </c>
      <c r="I5385" s="1399">
        <v>70</v>
      </c>
    </row>
    <row r="5386" spans="2:9">
      <c r="B5386" s="1297"/>
      <c r="C5386" s="1297"/>
      <c r="D5386" s="1297" t="s">
        <v>996</v>
      </c>
      <c r="F5386" s="1399">
        <v>39000</v>
      </c>
      <c r="I5386" s="1399">
        <v>39000</v>
      </c>
    </row>
    <row r="5387" spans="2:9">
      <c r="B5387" s="1297"/>
      <c r="C5387" s="1297"/>
      <c r="D5387" s="1297" t="s">
        <v>1044</v>
      </c>
      <c r="F5387" s="1399">
        <v>30218.27</v>
      </c>
      <c r="I5387" s="1399">
        <v>30218.27</v>
      </c>
    </row>
    <row r="5388" spans="2:9">
      <c r="B5388" s="1297"/>
      <c r="C5388" s="1297"/>
      <c r="D5388" s="1297" t="s">
        <v>1045</v>
      </c>
      <c r="F5388" s="1399">
        <v>185765.86</v>
      </c>
      <c r="I5388" s="1399">
        <v>185765.86</v>
      </c>
    </row>
    <row r="5389" spans="2:9">
      <c r="B5389" s="1297"/>
      <c r="C5389" s="1297"/>
      <c r="D5389" s="1297" t="s">
        <v>1046</v>
      </c>
      <c r="H5389" s="1399">
        <v>6927707</v>
      </c>
      <c r="I5389" s="1399">
        <v>6927707</v>
      </c>
    </row>
    <row r="5390" spans="2:9">
      <c r="B5390" s="1297"/>
      <c r="C5390" s="1297"/>
      <c r="D5390" s="1297" t="s">
        <v>1128</v>
      </c>
      <c r="H5390" s="1399">
        <v>653603</v>
      </c>
      <c r="I5390" s="1399">
        <v>653603</v>
      </c>
    </row>
    <row r="5391" spans="2:9">
      <c r="B5391" s="1297"/>
      <c r="C5391" s="1297"/>
      <c r="D5391" s="1297" t="s">
        <v>1047</v>
      </c>
      <c r="H5391" s="1399">
        <v>291455</v>
      </c>
      <c r="I5391" s="1399">
        <v>291455</v>
      </c>
    </row>
    <row r="5392" spans="2:9">
      <c r="B5392" s="1297"/>
      <c r="C5392" s="1297"/>
      <c r="D5392" s="1297" t="s">
        <v>1048</v>
      </c>
      <c r="H5392" s="1399">
        <v>-820130</v>
      </c>
      <c r="I5392" s="1399">
        <v>-820130</v>
      </c>
    </row>
    <row r="5393" spans="2:9">
      <c r="B5393" s="1297"/>
      <c r="C5393" s="1297"/>
      <c r="D5393" s="1297" t="s">
        <v>932</v>
      </c>
      <c r="H5393" s="1399">
        <v>757326</v>
      </c>
      <c r="I5393" s="1399">
        <v>757326</v>
      </c>
    </row>
    <row r="5394" spans="2:9">
      <c r="B5394" s="1297"/>
      <c r="C5394" s="1297"/>
      <c r="D5394" s="1297" t="s">
        <v>955</v>
      </c>
      <c r="H5394" s="1399">
        <v>575432.44999999995</v>
      </c>
      <c r="I5394" s="1399">
        <v>575432.44999999995</v>
      </c>
    </row>
    <row r="5395" spans="2:9">
      <c r="B5395" s="1297"/>
      <c r="C5395" s="1297"/>
      <c r="D5395" s="1297" t="s">
        <v>934</v>
      </c>
      <c r="H5395" s="1399">
        <v>29626</v>
      </c>
      <c r="I5395" s="1399">
        <v>29626</v>
      </c>
    </row>
    <row r="5396" spans="2:9">
      <c r="B5396" s="1297"/>
      <c r="C5396" s="1297"/>
      <c r="D5396" s="1297" t="s">
        <v>935</v>
      </c>
      <c r="H5396" s="1399">
        <v>167317.96</v>
      </c>
      <c r="I5396" s="1399">
        <v>167317.96</v>
      </c>
    </row>
    <row r="5397" spans="2:9">
      <c r="B5397" s="1297"/>
      <c r="C5397" s="1297"/>
      <c r="D5397" s="1297" t="s">
        <v>936</v>
      </c>
      <c r="H5397" s="1399">
        <v>31163.4</v>
      </c>
      <c r="I5397" s="1399">
        <v>31163.4</v>
      </c>
    </row>
    <row r="5398" spans="2:9">
      <c r="B5398" s="1297"/>
      <c r="C5398" s="1297"/>
      <c r="D5398" s="1297" t="s">
        <v>937</v>
      </c>
      <c r="H5398" s="1399">
        <v>4571.97</v>
      </c>
      <c r="I5398" s="1399">
        <v>4571.97</v>
      </c>
    </row>
    <row r="5399" spans="2:9">
      <c r="B5399" s="1297"/>
      <c r="C5399" s="1297"/>
      <c r="D5399" s="1297" t="s">
        <v>938</v>
      </c>
      <c r="H5399" s="1399">
        <v>8609</v>
      </c>
      <c r="I5399" s="1399">
        <v>8609</v>
      </c>
    </row>
    <row r="5400" spans="2:9">
      <c r="B5400" s="1297"/>
      <c r="C5400" s="1297"/>
      <c r="D5400" s="1297" t="s">
        <v>939</v>
      </c>
      <c r="H5400" s="1399">
        <v>118303.35</v>
      </c>
      <c r="I5400" s="1399">
        <v>118303.35</v>
      </c>
    </row>
    <row r="5401" spans="2:9">
      <c r="B5401" s="1297"/>
      <c r="C5401" s="1297"/>
      <c r="D5401" s="1297" t="s">
        <v>940</v>
      </c>
      <c r="E5401" s="1399">
        <v>503144.8</v>
      </c>
      <c r="I5401" s="1399">
        <v>503144.8</v>
      </c>
    </row>
    <row r="5402" spans="2:9">
      <c r="B5402" s="1297"/>
      <c r="C5402" s="1297"/>
      <c r="D5402" s="1297" t="s">
        <v>941</v>
      </c>
      <c r="E5402" s="1399">
        <v>202464.92</v>
      </c>
      <c r="I5402" s="1399">
        <v>202464.92</v>
      </c>
    </row>
    <row r="5403" spans="2:9">
      <c r="B5403" s="1297"/>
      <c r="C5403" s="1297"/>
      <c r="D5403" s="1297" t="s">
        <v>943</v>
      </c>
      <c r="E5403" s="1399">
        <v>12104.18</v>
      </c>
      <c r="I5403" s="1399">
        <v>12104.18</v>
      </c>
    </row>
    <row r="5404" spans="2:9">
      <c r="B5404" s="1297"/>
      <c r="C5404" s="1297"/>
      <c r="D5404" s="1297" t="s">
        <v>944</v>
      </c>
      <c r="E5404" s="1399">
        <v>2065637.5499999998</v>
      </c>
      <c r="I5404" s="1399">
        <v>2065637.5499999998</v>
      </c>
    </row>
    <row r="5405" spans="2:9">
      <c r="B5405" s="1297"/>
      <c r="C5405" s="1297"/>
      <c r="D5405" s="1297" t="s">
        <v>945</v>
      </c>
      <c r="E5405" s="1399">
        <v>961273.19</v>
      </c>
      <c r="I5405" s="1399">
        <v>961273.19</v>
      </c>
    </row>
    <row r="5406" spans="2:9">
      <c r="B5406" s="1297"/>
      <c r="C5406" s="1297"/>
      <c r="D5406" s="1297" t="s">
        <v>946</v>
      </c>
      <c r="E5406" s="1399">
        <v>668314.22</v>
      </c>
      <c r="I5406" s="1399">
        <v>668314.22</v>
      </c>
    </row>
    <row r="5407" spans="2:9">
      <c r="B5407" s="1297"/>
      <c r="C5407" s="1297"/>
      <c r="D5407" s="1297" t="s">
        <v>947</v>
      </c>
      <c r="E5407" s="1399">
        <v>47236.13</v>
      </c>
      <c r="I5407" s="1399">
        <v>47236.13</v>
      </c>
    </row>
    <row r="5408" spans="2:9">
      <c r="B5408" s="1297"/>
      <c r="C5408" s="1297"/>
      <c r="D5408" s="1297" t="s">
        <v>948</v>
      </c>
      <c r="G5408" s="1399">
        <v>1183457.05</v>
      </c>
      <c r="I5408" s="1399">
        <v>1183457.05</v>
      </c>
    </row>
    <row r="5409" spans="2:9">
      <c r="B5409" s="1297"/>
      <c r="C5409" s="1297"/>
      <c r="D5409" s="1297" t="s">
        <v>956</v>
      </c>
      <c r="G5409" s="1399">
        <v>400</v>
      </c>
      <c r="I5409" s="1399">
        <v>400</v>
      </c>
    </row>
    <row r="5410" spans="2:9">
      <c r="B5410" s="1297"/>
      <c r="C5410" s="1400" t="s">
        <v>1379</v>
      </c>
      <c r="D5410" s="1400"/>
      <c r="E5410" s="1401">
        <v>4460174.9899999993</v>
      </c>
      <c r="F5410" s="1401">
        <v>4542812.59</v>
      </c>
      <c r="G5410" s="1401">
        <v>1183857.05</v>
      </c>
      <c r="H5410" s="1401">
        <v>8744985.1300000008</v>
      </c>
      <c r="I5410" s="1401">
        <v>18931829.760000002</v>
      </c>
    </row>
    <row r="5411" spans="2:9">
      <c r="B5411" s="1297" t="s">
        <v>1380</v>
      </c>
      <c r="C5411" s="1297" t="s">
        <v>1381</v>
      </c>
      <c r="D5411" s="1297" t="s">
        <v>906</v>
      </c>
      <c r="F5411" s="1399">
        <v>3273850.77</v>
      </c>
      <c r="I5411" s="1399">
        <v>3273850.77</v>
      </c>
    </row>
    <row r="5412" spans="2:9">
      <c r="B5412" s="1297"/>
      <c r="C5412" s="1297"/>
      <c r="D5412" s="1297" t="s">
        <v>952</v>
      </c>
      <c r="F5412" s="1399">
        <v>22710.15</v>
      </c>
      <c r="I5412" s="1399">
        <v>22710.15</v>
      </c>
    </row>
    <row r="5413" spans="2:9">
      <c r="B5413" s="1297"/>
      <c r="C5413" s="1297"/>
      <c r="D5413" s="1297" t="s">
        <v>907</v>
      </c>
      <c r="F5413" s="1399">
        <v>694676.94</v>
      </c>
      <c r="I5413" s="1399">
        <v>694676.94</v>
      </c>
    </row>
    <row r="5414" spans="2:9">
      <c r="B5414" s="1297"/>
      <c r="C5414" s="1297"/>
      <c r="D5414" s="1297" t="s">
        <v>908</v>
      </c>
      <c r="F5414" s="1399">
        <v>29526.23</v>
      </c>
      <c r="I5414" s="1399">
        <v>29526.23</v>
      </c>
    </row>
    <row r="5415" spans="2:9">
      <c r="B5415" s="1297"/>
      <c r="C5415" s="1297"/>
      <c r="D5415" s="1297" t="s">
        <v>1034</v>
      </c>
      <c r="F5415" s="1399">
        <v>675</v>
      </c>
      <c r="I5415" s="1399">
        <v>675</v>
      </c>
    </row>
    <row r="5416" spans="2:9">
      <c r="B5416" s="1297"/>
      <c r="C5416" s="1297"/>
      <c r="D5416" s="1297" t="s">
        <v>1039</v>
      </c>
      <c r="F5416" s="1399">
        <v>12799.269999999999</v>
      </c>
      <c r="I5416" s="1399">
        <v>12799.269999999999</v>
      </c>
    </row>
    <row r="5417" spans="2:9">
      <c r="B5417" s="1297"/>
      <c r="C5417" s="1297"/>
      <c r="D5417" s="1297" t="s">
        <v>1041</v>
      </c>
      <c r="F5417" s="1399">
        <v>14768.720000000001</v>
      </c>
      <c r="I5417" s="1399">
        <v>14768.720000000001</v>
      </c>
    </row>
    <row r="5418" spans="2:9">
      <c r="B5418" s="1297"/>
      <c r="C5418" s="1297"/>
      <c r="D5418" s="1297" t="s">
        <v>1042</v>
      </c>
      <c r="F5418" s="1399">
        <v>21685.24</v>
      </c>
      <c r="I5418" s="1399">
        <v>21685.24</v>
      </c>
    </row>
    <row r="5419" spans="2:9">
      <c r="B5419" s="1297"/>
      <c r="C5419" s="1297"/>
      <c r="D5419" s="1297" t="s">
        <v>953</v>
      </c>
      <c r="F5419" s="1399">
        <v>6693</v>
      </c>
      <c r="I5419" s="1399">
        <v>6693</v>
      </c>
    </row>
    <row r="5420" spans="2:9">
      <c r="B5420" s="1297"/>
      <c r="C5420" s="1297"/>
      <c r="D5420" s="1297" t="s">
        <v>1045</v>
      </c>
      <c r="F5420" s="1399">
        <v>309646.26</v>
      </c>
      <c r="I5420" s="1399">
        <v>309646.26</v>
      </c>
    </row>
    <row r="5421" spans="2:9">
      <c r="B5421" s="1297"/>
      <c r="C5421" s="1297"/>
      <c r="D5421" s="1297" t="s">
        <v>1046</v>
      </c>
      <c r="H5421" s="1399">
        <v>4815141</v>
      </c>
      <c r="I5421" s="1399">
        <v>4815141</v>
      </c>
    </row>
    <row r="5422" spans="2:9">
      <c r="B5422" s="1297"/>
      <c r="C5422" s="1297"/>
      <c r="D5422" s="1297" t="s">
        <v>1047</v>
      </c>
      <c r="H5422" s="1399">
        <v>305239</v>
      </c>
      <c r="I5422" s="1399">
        <v>305239</v>
      </c>
    </row>
    <row r="5423" spans="2:9">
      <c r="B5423" s="1297"/>
      <c r="C5423" s="1297"/>
      <c r="D5423" s="1297" t="s">
        <v>1048</v>
      </c>
      <c r="H5423" s="1399">
        <v>-978758</v>
      </c>
      <c r="I5423" s="1399">
        <v>-978758</v>
      </c>
    </row>
    <row r="5424" spans="2:9">
      <c r="B5424" s="1297"/>
      <c r="C5424" s="1297"/>
      <c r="D5424" s="1297" t="s">
        <v>932</v>
      </c>
      <c r="H5424" s="1399">
        <v>85652</v>
      </c>
      <c r="I5424" s="1399">
        <v>85652</v>
      </c>
    </row>
    <row r="5425" spans="2:9">
      <c r="B5425" s="1297"/>
      <c r="C5425" s="1297"/>
      <c r="D5425" s="1297" t="s">
        <v>955</v>
      </c>
      <c r="H5425" s="1399">
        <v>119618.76</v>
      </c>
      <c r="I5425" s="1399">
        <v>119618.76</v>
      </c>
    </row>
    <row r="5426" spans="2:9">
      <c r="B5426" s="1297"/>
      <c r="C5426" s="1297"/>
      <c r="D5426" s="1297" t="s">
        <v>934</v>
      </c>
      <c r="H5426" s="1399">
        <v>24092</v>
      </c>
      <c r="I5426" s="1399">
        <v>24092</v>
      </c>
    </row>
    <row r="5427" spans="2:9">
      <c r="B5427" s="1297"/>
      <c r="C5427" s="1297"/>
      <c r="D5427" s="1297" t="s">
        <v>935</v>
      </c>
      <c r="H5427" s="1399">
        <v>231766.39</v>
      </c>
      <c r="I5427" s="1399">
        <v>231766.39</v>
      </c>
    </row>
    <row r="5428" spans="2:9">
      <c r="B5428" s="1297"/>
      <c r="C5428" s="1297"/>
      <c r="D5428" s="1297" t="s">
        <v>936</v>
      </c>
      <c r="H5428" s="1399">
        <v>20658.88</v>
      </c>
      <c r="I5428" s="1399">
        <v>20658.88</v>
      </c>
    </row>
    <row r="5429" spans="2:9">
      <c r="B5429" s="1297"/>
      <c r="C5429" s="1297"/>
      <c r="D5429" s="1297" t="s">
        <v>937</v>
      </c>
      <c r="H5429" s="1399">
        <v>2772.02</v>
      </c>
      <c r="I5429" s="1399">
        <v>2772.02</v>
      </c>
    </row>
    <row r="5430" spans="2:9">
      <c r="B5430" s="1297"/>
      <c r="C5430" s="1297"/>
      <c r="D5430" s="1297" t="s">
        <v>938</v>
      </c>
      <c r="H5430" s="1399">
        <v>7674</v>
      </c>
      <c r="I5430" s="1399">
        <v>7674</v>
      </c>
    </row>
    <row r="5431" spans="2:9">
      <c r="B5431" s="1297"/>
      <c r="C5431" s="1297"/>
      <c r="D5431" s="1297" t="s">
        <v>939</v>
      </c>
      <c r="H5431" s="1399">
        <v>11265.81</v>
      </c>
      <c r="I5431" s="1399">
        <v>11265.81</v>
      </c>
    </row>
    <row r="5432" spans="2:9">
      <c r="B5432" s="1297"/>
      <c r="C5432" s="1297"/>
      <c r="D5432" s="1297" t="s">
        <v>1131</v>
      </c>
      <c r="E5432" s="1399">
        <v>603006.80000000005</v>
      </c>
      <c r="I5432" s="1399">
        <v>603006.80000000005</v>
      </c>
    </row>
    <row r="5433" spans="2:9">
      <c r="B5433" s="1297"/>
      <c r="C5433" s="1297"/>
      <c r="D5433" s="1297" t="s">
        <v>940</v>
      </c>
      <c r="E5433" s="1399">
        <v>463199.48</v>
      </c>
      <c r="I5433" s="1399">
        <v>463199.48</v>
      </c>
    </row>
    <row r="5434" spans="2:9">
      <c r="B5434" s="1297"/>
      <c r="C5434" s="1297"/>
      <c r="D5434" s="1297" t="s">
        <v>941</v>
      </c>
      <c r="E5434" s="1399">
        <v>256488.47999999998</v>
      </c>
      <c r="I5434" s="1399">
        <v>256488.47999999998</v>
      </c>
    </row>
    <row r="5435" spans="2:9">
      <c r="B5435" s="1297"/>
      <c r="C5435" s="1297"/>
      <c r="D5435" s="1297" t="s">
        <v>943</v>
      </c>
      <c r="E5435" s="1399">
        <v>1382.32</v>
      </c>
      <c r="I5435" s="1399">
        <v>1382.32</v>
      </c>
    </row>
    <row r="5436" spans="2:9">
      <c r="B5436" s="1297"/>
      <c r="C5436" s="1297"/>
      <c r="D5436" s="1297" t="s">
        <v>944</v>
      </c>
      <c r="E5436" s="1399">
        <v>1670942.5499999998</v>
      </c>
      <c r="I5436" s="1399">
        <v>1670942.5499999998</v>
      </c>
    </row>
    <row r="5437" spans="2:9">
      <c r="B5437" s="1297"/>
      <c r="C5437" s="1297"/>
      <c r="D5437" s="1297" t="s">
        <v>945</v>
      </c>
      <c r="E5437" s="1399">
        <v>476035.48</v>
      </c>
      <c r="I5437" s="1399">
        <v>476035.48</v>
      </c>
    </row>
    <row r="5438" spans="2:9">
      <c r="B5438" s="1297"/>
      <c r="C5438" s="1297"/>
      <c r="D5438" s="1297" t="s">
        <v>947</v>
      </c>
      <c r="E5438" s="1399">
        <v>47384.79</v>
      </c>
      <c r="I5438" s="1399">
        <v>47384.79</v>
      </c>
    </row>
    <row r="5439" spans="2:9">
      <c r="B5439" s="1297"/>
      <c r="C5439" s="1297"/>
      <c r="D5439" s="1297" t="s">
        <v>956</v>
      </c>
      <c r="G5439" s="1399">
        <v>7447.36</v>
      </c>
      <c r="I5439" s="1399">
        <v>7447.36</v>
      </c>
    </row>
    <row r="5440" spans="2:9">
      <c r="B5440" s="1297"/>
      <c r="C5440" s="1400" t="s">
        <v>1382</v>
      </c>
      <c r="D5440" s="1400"/>
      <c r="E5440" s="1401">
        <v>3518439.9</v>
      </c>
      <c r="F5440" s="1401">
        <v>4387031.58</v>
      </c>
      <c r="G5440" s="1401">
        <v>7447.36</v>
      </c>
      <c r="H5440" s="1401">
        <v>4645121.8599999985</v>
      </c>
      <c r="I5440" s="1401">
        <v>12558040.700000003</v>
      </c>
    </row>
    <row r="5441" spans="2:9">
      <c r="B5441" s="1297" t="s">
        <v>1383</v>
      </c>
      <c r="C5441" s="1297" t="s">
        <v>1384</v>
      </c>
      <c r="D5441" s="1297" t="s">
        <v>906</v>
      </c>
      <c r="F5441" s="1399">
        <v>12294955.970000001</v>
      </c>
      <c r="I5441" s="1399">
        <v>12294955.970000001</v>
      </c>
    </row>
    <row r="5442" spans="2:9">
      <c r="B5442" s="1297"/>
      <c r="C5442" s="1297"/>
      <c r="D5442" s="1297" t="s">
        <v>952</v>
      </c>
      <c r="F5442" s="1399">
        <v>228538.55</v>
      </c>
      <c r="I5442" s="1399">
        <v>228538.55</v>
      </c>
    </row>
    <row r="5443" spans="2:9">
      <c r="B5443" s="1297"/>
      <c r="C5443" s="1297"/>
      <c r="D5443" s="1297" t="s">
        <v>907</v>
      </c>
      <c r="F5443" s="1399">
        <v>3304962</v>
      </c>
      <c r="I5443" s="1399">
        <v>3304962</v>
      </c>
    </row>
    <row r="5444" spans="2:9">
      <c r="B5444" s="1297"/>
      <c r="C5444" s="1297"/>
      <c r="D5444" s="1297" t="s">
        <v>908</v>
      </c>
      <c r="F5444" s="1399">
        <v>0</v>
      </c>
      <c r="I5444" s="1399">
        <v>0</v>
      </c>
    </row>
    <row r="5445" spans="2:9">
      <c r="B5445" s="1297"/>
      <c r="C5445" s="1297"/>
      <c r="D5445" s="1297" t="s">
        <v>1035</v>
      </c>
      <c r="F5445" s="1399">
        <v>299132.55</v>
      </c>
      <c r="I5445" s="1399">
        <v>299132.55</v>
      </c>
    </row>
    <row r="5446" spans="2:9">
      <c r="B5446" s="1297"/>
      <c r="C5446" s="1297"/>
      <c r="D5446" s="1297" t="s">
        <v>1036</v>
      </c>
      <c r="F5446" s="1399">
        <v>85798</v>
      </c>
      <c r="I5446" s="1399">
        <v>85798</v>
      </c>
    </row>
    <row r="5447" spans="2:9">
      <c r="B5447" s="1297"/>
      <c r="C5447" s="1297"/>
      <c r="D5447" s="1297" t="s">
        <v>1037</v>
      </c>
      <c r="F5447" s="1399">
        <v>7000</v>
      </c>
      <c r="I5447" s="1399">
        <v>7000</v>
      </c>
    </row>
    <row r="5448" spans="2:9">
      <c r="B5448" s="1297"/>
      <c r="C5448" s="1297"/>
      <c r="D5448" s="1297" t="s">
        <v>1039</v>
      </c>
      <c r="F5448" s="1399">
        <v>71351.13</v>
      </c>
      <c r="I5448" s="1399">
        <v>71351.13</v>
      </c>
    </row>
    <row r="5449" spans="2:9">
      <c r="B5449" s="1297"/>
      <c r="C5449" s="1297"/>
      <c r="D5449" s="1297" t="s">
        <v>1040</v>
      </c>
      <c r="F5449" s="1399">
        <v>272597.75</v>
      </c>
      <c r="I5449" s="1399">
        <v>272597.75</v>
      </c>
    </row>
    <row r="5450" spans="2:9">
      <c r="B5450" s="1297"/>
      <c r="C5450" s="1297"/>
      <c r="D5450" s="1297" t="s">
        <v>1041</v>
      </c>
      <c r="F5450" s="1399">
        <v>44900.1</v>
      </c>
      <c r="I5450" s="1399">
        <v>44900.1</v>
      </c>
    </row>
    <row r="5451" spans="2:9">
      <c r="B5451" s="1297"/>
      <c r="C5451" s="1297"/>
      <c r="D5451" s="1297" t="s">
        <v>1042</v>
      </c>
      <c r="F5451" s="1399">
        <v>60994.9</v>
      </c>
      <c r="I5451" s="1399">
        <v>60994.9</v>
      </c>
    </row>
    <row r="5452" spans="2:9">
      <c r="B5452" s="1297"/>
      <c r="C5452" s="1297"/>
      <c r="D5452" s="1297" t="s">
        <v>954</v>
      </c>
      <c r="F5452" s="1399">
        <v>145556.37</v>
      </c>
      <c r="I5452" s="1399">
        <v>145556.37</v>
      </c>
    </row>
    <row r="5453" spans="2:9">
      <c r="B5453" s="1297"/>
      <c r="C5453" s="1297"/>
      <c r="D5453" s="1297" t="s">
        <v>985</v>
      </c>
      <c r="F5453" s="1399">
        <v>73507.28</v>
      </c>
      <c r="I5453" s="1399">
        <v>73507.28</v>
      </c>
    </row>
    <row r="5454" spans="2:9">
      <c r="B5454" s="1297"/>
      <c r="C5454" s="1297"/>
      <c r="D5454" s="1297" t="s">
        <v>1043</v>
      </c>
      <c r="F5454" s="1399">
        <v>485</v>
      </c>
      <c r="I5454" s="1399">
        <v>485</v>
      </c>
    </row>
    <row r="5455" spans="2:9">
      <c r="B5455" s="1297"/>
      <c r="C5455" s="1297"/>
      <c r="D5455" s="1297" t="s">
        <v>986</v>
      </c>
      <c r="F5455" s="1399">
        <v>100216.42</v>
      </c>
      <c r="I5455" s="1399">
        <v>100216.42</v>
      </c>
    </row>
    <row r="5456" spans="2:9">
      <c r="B5456" s="1297"/>
      <c r="C5456" s="1297"/>
      <c r="D5456" s="1297" t="s">
        <v>1045</v>
      </c>
      <c r="F5456" s="1399">
        <v>314375</v>
      </c>
      <c r="I5456" s="1399">
        <v>314375</v>
      </c>
    </row>
    <row r="5457" spans="2:9">
      <c r="B5457" s="1297"/>
      <c r="C5457" s="1297"/>
      <c r="D5457" s="1297" t="s">
        <v>1046</v>
      </c>
      <c r="H5457" s="1399">
        <v>12876844</v>
      </c>
      <c r="I5457" s="1399">
        <v>12876844</v>
      </c>
    </row>
    <row r="5458" spans="2:9">
      <c r="B5458" s="1297"/>
      <c r="C5458" s="1297"/>
      <c r="D5458" s="1297" t="s">
        <v>1128</v>
      </c>
      <c r="H5458" s="1399">
        <v>1509138</v>
      </c>
      <c r="I5458" s="1399">
        <v>1509138</v>
      </c>
    </row>
    <row r="5459" spans="2:9">
      <c r="B5459" s="1297"/>
      <c r="C5459" s="1297"/>
      <c r="D5459" s="1297" t="s">
        <v>1047</v>
      </c>
      <c r="H5459" s="1399">
        <v>694695</v>
      </c>
      <c r="I5459" s="1399">
        <v>694695</v>
      </c>
    </row>
    <row r="5460" spans="2:9">
      <c r="B5460" s="1297"/>
      <c r="C5460" s="1297"/>
      <c r="D5460" s="1297" t="s">
        <v>1048</v>
      </c>
      <c r="H5460" s="1399">
        <v>-5594808</v>
      </c>
      <c r="I5460" s="1399">
        <v>-5594808</v>
      </c>
    </row>
    <row r="5461" spans="2:9">
      <c r="B5461" s="1297"/>
      <c r="C5461" s="1297"/>
      <c r="D5461" s="1297" t="s">
        <v>955</v>
      </c>
      <c r="H5461" s="1399">
        <v>158117.01999999999</v>
      </c>
      <c r="I5461" s="1399">
        <v>158117.01999999999</v>
      </c>
    </row>
    <row r="5462" spans="2:9">
      <c r="B5462" s="1297"/>
      <c r="C5462" s="1297"/>
      <c r="D5462" s="1297" t="s">
        <v>934</v>
      </c>
      <c r="H5462" s="1399">
        <v>44806</v>
      </c>
      <c r="I5462" s="1399">
        <v>44806</v>
      </c>
    </row>
    <row r="5463" spans="2:9">
      <c r="B5463" s="1297"/>
      <c r="C5463" s="1297"/>
      <c r="D5463" s="1297" t="s">
        <v>935</v>
      </c>
      <c r="H5463" s="1399">
        <v>97580.25</v>
      </c>
      <c r="I5463" s="1399">
        <v>97580.25</v>
      </c>
    </row>
    <row r="5464" spans="2:9">
      <c r="B5464" s="1297"/>
      <c r="C5464" s="1297"/>
      <c r="D5464" s="1297" t="s">
        <v>936</v>
      </c>
      <c r="H5464" s="1399">
        <v>63727.4</v>
      </c>
      <c r="I5464" s="1399">
        <v>63727.4</v>
      </c>
    </row>
    <row r="5465" spans="2:9">
      <c r="B5465" s="1297"/>
      <c r="C5465" s="1297"/>
      <c r="D5465" s="1297" t="s">
        <v>937</v>
      </c>
      <c r="H5465" s="1399">
        <v>20699.650000000001</v>
      </c>
      <c r="I5465" s="1399">
        <v>20699.650000000001</v>
      </c>
    </row>
    <row r="5466" spans="2:9">
      <c r="B5466" s="1297"/>
      <c r="C5466" s="1297"/>
      <c r="D5466" s="1297" t="s">
        <v>938</v>
      </c>
      <c r="H5466" s="1399">
        <v>16844</v>
      </c>
      <c r="I5466" s="1399">
        <v>16844</v>
      </c>
    </row>
    <row r="5467" spans="2:9">
      <c r="B5467" s="1297"/>
      <c r="C5467" s="1297"/>
      <c r="D5467" s="1297" t="s">
        <v>939</v>
      </c>
      <c r="H5467" s="1399">
        <v>341421.33999999997</v>
      </c>
      <c r="I5467" s="1399">
        <v>341421.33999999997</v>
      </c>
    </row>
    <row r="5468" spans="2:9">
      <c r="B5468" s="1297"/>
      <c r="C5468" s="1297"/>
      <c r="D5468" s="1297" t="s">
        <v>940</v>
      </c>
      <c r="E5468" s="1399">
        <v>703093.8</v>
      </c>
      <c r="I5468" s="1399">
        <v>703093.8</v>
      </c>
    </row>
    <row r="5469" spans="2:9">
      <c r="B5469" s="1297"/>
      <c r="C5469" s="1297"/>
      <c r="D5469" s="1297" t="s">
        <v>941</v>
      </c>
      <c r="E5469" s="1399">
        <v>262195.20000000001</v>
      </c>
      <c r="I5469" s="1399">
        <v>262195.20000000001</v>
      </c>
    </row>
    <row r="5470" spans="2:9">
      <c r="B5470" s="1297"/>
      <c r="C5470" s="1297"/>
      <c r="D5470" s="1297" t="s">
        <v>943</v>
      </c>
      <c r="E5470" s="1399">
        <v>17098.439999999999</v>
      </c>
      <c r="I5470" s="1399">
        <v>17098.439999999999</v>
      </c>
    </row>
    <row r="5471" spans="2:9">
      <c r="B5471" s="1297"/>
      <c r="C5471" s="1297"/>
      <c r="D5471" s="1297" t="s">
        <v>944</v>
      </c>
      <c r="E5471" s="1399">
        <v>1552330.1700000002</v>
      </c>
      <c r="I5471" s="1399">
        <v>1552330.1700000002</v>
      </c>
    </row>
    <row r="5472" spans="2:9">
      <c r="B5472" s="1297"/>
      <c r="C5472" s="1297"/>
      <c r="D5472" s="1297" t="s">
        <v>945</v>
      </c>
      <c r="E5472" s="1399">
        <v>1093781.51</v>
      </c>
      <c r="I5472" s="1399">
        <v>1093781.51</v>
      </c>
    </row>
    <row r="5473" spans="2:9">
      <c r="B5473" s="1297"/>
      <c r="C5473" s="1297"/>
      <c r="D5473" s="1297" t="s">
        <v>1214</v>
      </c>
      <c r="E5473" s="1399">
        <v>667795.44999999995</v>
      </c>
      <c r="I5473" s="1399">
        <v>667795.44999999995</v>
      </c>
    </row>
    <row r="5474" spans="2:9">
      <c r="B5474" s="1297"/>
      <c r="C5474" s="1297"/>
      <c r="D5474" s="1297" t="s">
        <v>947</v>
      </c>
      <c r="E5474" s="1399">
        <v>117031.9</v>
      </c>
      <c r="I5474" s="1399">
        <v>117031.9</v>
      </c>
    </row>
    <row r="5475" spans="2:9">
      <c r="B5475" s="1297"/>
      <c r="C5475" s="1297"/>
      <c r="D5475" s="1297" t="s">
        <v>1115</v>
      </c>
      <c r="E5475" s="1399">
        <v>2873.96</v>
      </c>
      <c r="I5475" s="1399">
        <v>2873.96</v>
      </c>
    </row>
    <row r="5476" spans="2:9">
      <c r="B5476" s="1297"/>
      <c r="C5476" s="1297"/>
      <c r="D5476" s="1297" t="s">
        <v>948</v>
      </c>
      <c r="G5476" s="1399">
        <v>3541752.7199999997</v>
      </c>
      <c r="I5476" s="1399">
        <v>3541752.7199999997</v>
      </c>
    </row>
    <row r="5477" spans="2:9">
      <c r="B5477" s="1297"/>
      <c r="C5477" s="1297"/>
      <c r="D5477" s="1297" t="s">
        <v>1118</v>
      </c>
      <c r="G5477" s="1399">
        <v>16444.29</v>
      </c>
      <c r="I5477" s="1399">
        <v>16444.29</v>
      </c>
    </row>
    <row r="5478" spans="2:9">
      <c r="B5478" s="1297"/>
      <c r="C5478" s="1400" t="s">
        <v>1385</v>
      </c>
      <c r="D5478" s="1400"/>
      <c r="E5478" s="1401">
        <v>4416200.4300000006</v>
      </c>
      <c r="F5478" s="1401">
        <v>17304371.020000007</v>
      </c>
      <c r="G5478" s="1401">
        <v>3558197.01</v>
      </c>
      <c r="H5478" s="1401">
        <v>10229064.66</v>
      </c>
      <c r="I5478" s="1401">
        <v>35507833.120000005</v>
      </c>
    </row>
    <row r="5479" spans="2:9">
      <c r="B5479" s="1297" t="s">
        <v>1386</v>
      </c>
      <c r="C5479" s="1297" t="s">
        <v>1387</v>
      </c>
      <c r="D5479" s="1297" t="s">
        <v>906</v>
      </c>
      <c r="F5479" s="1399">
        <v>9188035.5399999991</v>
      </c>
      <c r="I5479" s="1399">
        <v>9188035.5399999991</v>
      </c>
    </row>
    <row r="5480" spans="2:9">
      <c r="B5480" s="1297"/>
      <c r="C5480" s="1297"/>
      <c r="D5480" s="1297" t="s">
        <v>952</v>
      </c>
      <c r="F5480" s="1399">
        <v>74922.89</v>
      </c>
      <c r="I5480" s="1399">
        <v>74922.89</v>
      </c>
    </row>
    <row r="5481" spans="2:9">
      <c r="B5481" s="1297"/>
      <c r="C5481" s="1297"/>
      <c r="D5481" s="1297" t="s">
        <v>907</v>
      </c>
      <c r="F5481" s="1399">
        <v>3185570.43</v>
      </c>
      <c r="I5481" s="1399">
        <v>3185570.43</v>
      </c>
    </row>
    <row r="5482" spans="2:9">
      <c r="B5482" s="1297"/>
      <c r="C5482" s="1297"/>
      <c r="D5482" s="1297" t="s">
        <v>908</v>
      </c>
      <c r="F5482" s="1399">
        <v>9031.49</v>
      </c>
      <c r="I5482" s="1399">
        <v>9031.49</v>
      </c>
    </row>
    <row r="5483" spans="2:9">
      <c r="B5483" s="1297"/>
      <c r="C5483" s="1297"/>
      <c r="D5483" s="1297" t="s">
        <v>909</v>
      </c>
      <c r="F5483" s="1399">
        <v>28448.31</v>
      </c>
      <c r="I5483" s="1399">
        <v>28448.31</v>
      </c>
    </row>
    <row r="5484" spans="2:9">
      <c r="B5484" s="1297"/>
      <c r="C5484" s="1297"/>
      <c r="D5484" s="1297" t="s">
        <v>910</v>
      </c>
      <c r="F5484" s="1399">
        <v>38275.81</v>
      </c>
      <c r="I5484" s="1399">
        <v>38275.81</v>
      </c>
    </row>
    <row r="5485" spans="2:9">
      <c r="B5485" s="1297"/>
      <c r="C5485" s="1297"/>
      <c r="D5485" s="1297" t="s">
        <v>1034</v>
      </c>
      <c r="F5485" s="1399">
        <v>32139.1</v>
      </c>
      <c r="I5485" s="1399">
        <v>32139.1</v>
      </c>
    </row>
    <row r="5486" spans="2:9">
      <c r="B5486" s="1297"/>
      <c r="C5486" s="1297"/>
      <c r="D5486" s="1297" t="s">
        <v>1035</v>
      </c>
      <c r="F5486" s="1399">
        <v>244450.08999999997</v>
      </c>
      <c r="I5486" s="1399">
        <v>244450.08999999997</v>
      </c>
    </row>
    <row r="5487" spans="2:9">
      <c r="B5487" s="1297"/>
      <c r="C5487" s="1297"/>
      <c r="D5487" s="1297" t="s">
        <v>1036</v>
      </c>
      <c r="F5487" s="1399">
        <v>68232.81</v>
      </c>
      <c r="I5487" s="1399">
        <v>68232.81</v>
      </c>
    </row>
    <row r="5488" spans="2:9">
      <c r="B5488" s="1297"/>
      <c r="C5488" s="1297"/>
      <c r="D5488" s="1297" t="s">
        <v>1037</v>
      </c>
      <c r="F5488" s="1399">
        <v>12200</v>
      </c>
      <c r="I5488" s="1399">
        <v>12200</v>
      </c>
    </row>
    <row r="5489" spans="2:9">
      <c r="B5489" s="1297"/>
      <c r="C5489" s="1297"/>
      <c r="D5489" s="1297" t="s">
        <v>1039</v>
      </c>
      <c r="F5489" s="1399">
        <v>28205.23</v>
      </c>
      <c r="I5489" s="1399">
        <v>28205.23</v>
      </c>
    </row>
    <row r="5490" spans="2:9">
      <c r="B5490" s="1297"/>
      <c r="C5490" s="1297"/>
      <c r="D5490" s="1297" t="s">
        <v>1040</v>
      </c>
      <c r="F5490" s="1399">
        <v>290859.64999999997</v>
      </c>
      <c r="I5490" s="1399">
        <v>290859.64999999997</v>
      </c>
    </row>
    <row r="5491" spans="2:9">
      <c r="B5491" s="1297"/>
      <c r="C5491" s="1297"/>
      <c r="D5491" s="1297" t="s">
        <v>1041</v>
      </c>
      <c r="F5491" s="1399">
        <v>50864.479999999996</v>
      </c>
      <c r="I5491" s="1399">
        <v>50864.479999999996</v>
      </c>
    </row>
    <row r="5492" spans="2:9">
      <c r="B5492" s="1297"/>
      <c r="C5492" s="1297"/>
      <c r="D5492" s="1297" t="s">
        <v>1042</v>
      </c>
      <c r="F5492" s="1399">
        <v>53151.51999999999</v>
      </c>
      <c r="I5492" s="1399">
        <v>53151.51999999999</v>
      </c>
    </row>
    <row r="5493" spans="2:9">
      <c r="B5493" s="1297"/>
      <c r="C5493" s="1297"/>
      <c r="D5493" s="1297" t="s">
        <v>954</v>
      </c>
      <c r="F5493" s="1399">
        <v>49787.48</v>
      </c>
      <c r="I5493" s="1399">
        <v>49787.48</v>
      </c>
    </row>
    <row r="5494" spans="2:9">
      <c r="B5494" s="1297"/>
      <c r="C5494" s="1297"/>
      <c r="D5494" s="1297" t="s">
        <v>986</v>
      </c>
      <c r="F5494" s="1399">
        <v>145395.15</v>
      </c>
      <c r="I5494" s="1399">
        <v>145395.15</v>
      </c>
    </row>
    <row r="5495" spans="2:9">
      <c r="B5495" s="1297"/>
      <c r="C5495" s="1297"/>
      <c r="D5495" s="1297" t="s">
        <v>996</v>
      </c>
      <c r="F5495" s="1399">
        <v>4094.75</v>
      </c>
      <c r="I5495" s="1399">
        <v>4094.75</v>
      </c>
    </row>
    <row r="5496" spans="2:9">
      <c r="B5496" s="1297"/>
      <c r="C5496" s="1297"/>
      <c r="D5496" s="1297" t="s">
        <v>1044</v>
      </c>
      <c r="F5496" s="1399">
        <v>58563.07</v>
      </c>
      <c r="I5496" s="1399">
        <v>58563.07</v>
      </c>
    </row>
    <row r="5497" spans="2:9">
      <c r="B5497" s="1297"/>
      <c r="C5497" s="1297"/>
      <c r="D5497" s="1297" t="s">
        <v>1045</v>
      </c>
      <c r="F5497" s="1399">
        <v>289766.50999999989</v>
      </c>
      <c r="I5497" s="1399">
        <v>289766.50999999989</v>
      </c>
    </row>
    <row r="5498" spans="2:9">
      <c r="B5498" s="1297"/>
      <c r="C5498" s="1297"/>
      <c r="D5498" s="1297" t="s">
        <v>1046</v>
      </c>
      <c r="H5498" s="1399">
        <v>22797799</v>
      </c>
      <c r="I5498" s="1399">
        <v>22797799</v>
      </c>
    </row>
    <row r="5499" spans="2:9">
      <c r="B5499" s="1297"/>
      <c r="C5499" s="1297"/>
      <c r="D5499" s="1297" t="s">
        <v>1128</v>
      </c>
      <c r="H5499" s="1399">
        <v>1945760</v>
      </c>
      <c r="I5499" s="1399">
        <v>1945760</v>
      </c>
    </row>
    <row r="5500" spans="2:9">
      <c r="B5500" s="1297"/>
      <c r="C5500" s="1297"/>
      <c r="D5500" s="1297" t="s">
        <v>1129</v>
      </c>
      <c r="H5500" s="1399">
        <v>-3306126</v>
      </c>
      <c r="I5500" s="1399">
        <v>-3306126</v>
      </c>
    </row>
    <row r="5501" spans="2:9">
      <c r="B5501" s="1297"/>
      <c r="C5501" s="1297"/>
      <c r="D5501" s="1297" t="s">
        <v>1047</v>
      </c>
      <c r="H5501" s="1399">
        <v>732077</v>
      </c>
      <c r="I5501" s="1399">
        <v>732077</v>
      </c>
    </row>
    <row r="5502" spans="2:9">
      <c r="B5502" s="1297"/>
      <c r="C5502" s="1297"/>
      <c r="D5502" s="1297" t="s">
        <v>1048</v>
      </c>
      <c r="H5502" s="1399">
        <v>-3028075</v>
      </c>
      <c r="I5502" s="1399">
        <v>-3028075</v>
      </c>
    </row>
    <row r="5503" spans="2:9">
      <c r="B5503" s="1297"/>
      <c r="C5503" s="1297"/>
      <c r="D5503" s="1297" t="s">
        <v>932</v>
      </c>
      <c r="H5503" s="1399">
        <v>2161026</v>
      </c>
      <c r="I5503" s="1399">
        <v>2161026</v>
      </c>
    </row>
    <row r="5504" spans="2:9">
      <c r="B5504" s="1297"/>
      <c r="C5504" s="1297"/>
      <c r="D5504" s="1297" t="s">
        <v>955</v>
      </c>
      <c r="H5504" s="1399">
        <v>541300.47999999998</v>
      </c>
      <c r="I5504" s="1399">
        <v>541300.47999999998</v>
      </c>
    </row>
    <row r="5505" spans="2:9">
      <c r="B5505" s="1297"/>
      <c r="C5505" s="1297"/>
      <c r="D5505" s="1297" t="s">
        <v>934</v>
      </c>
      <c r="H5505" s="1399">
        <v>78090</v>
      </c>
      <c r="I5505" s="1399">
        <v>78090</v>
      </c>
    </row>
    <row r="5506" spans="2:9">
      <c r="B5506" s="1297"/>
      <c r="C5506" s="1297"/>
      <c r="D5506" s="1297" t="s">
        <v>935</v>
      </c>
      <c r="H5506" s="1399">
        <v>135762.71</v>
      </c>
      <c r="I5506" s="1399">
        <v>135762.71</v>
      </c>
    </row>
    <row r="5507" spans="2:9">
      <c r="B5507" s="1297"/>
      <c r="C5507" s="1297"/>
      <c r="D5507" s="1297" t="s">
        <v>936</v>
      </c>
      <c r="H5507" s="1399">
        <v>86137.03</v>
      </c>
      <c r="I5507" s="1399">
        <v>86137.03</v>
      </c>
    </row>
    <row r="5508" spans="2:9">
      <c r="B5508" s="1297"/>
      <c r="C5508" s="1297"/>
      <c r="D5508" s="1297" t="s">
        <v>938</v>
      </c>
      <c r="H5508" s="1399">
        <v>29758</v>
      </c>
      <c r="I5508" s="1399">
        <v>29758</v>
      </c>
    </row>
    <row r="5509" spans="2:9">
      <c r="B5509" s="1297"/>
      <c r="C5509" s="1297"/>
      <c r="D5509" s="1297" t="s">
        <v>1131</v>
      </c>
      <c r="E5509" s="1399">
        <v>140583.64000000001</v>
      </c>
      <c r="I5509" s="1399">
        <v>140583.64000000001</v>
      </c>
    </row>
    <row r="5510" spans="2:9">
      <c r="B5510" s="1297"/>
      <c r="C5510" s="1297"/>
      <c r="D5510" s="1297" t="s">
        <v>940</v>
      </c>
      <c r="E5510" s="1399">
        <v>1301968.7400000002</v>
      </c>
      <c r="I5510" s="1399">
        <v>1301968.7400000002</v>
      </c>
    </row>
    <row r="5511" spans="2:9">
      <c r="B5511" s="1297"/>
      <c r="C5511" s="1297"/>
      <c r="D5511" s="1297" t="s">
        <v>941</v>
      </c>
      <c r="E5511" s="1399">
        <v>524278.19000000006</v>
      </c>
      <c r="I5511" s="1399">
        <v>524278.19000000006</v>
      </c>
    </row>
    <row r="5512" spans="2:9">
      <c r="B5512" s="1297"/>
      <c r="C5512" s="1297"/>
      <c r="D5512" s="1297" t="s">
        <v>943</v>
      </c>
      <c r="E5512" s="1399">
        <v>3669.66</v>
      </c>
      <c r="I5512" s="1399">
        <v>3669.66</v>
      </c>
    </row>
    <row r="5513" spans="2:9">
      <c r="B5513" s="1297"/>
      <c r="C5513" s="1297"/>
      <c r="D5513" s="1297" t="s">
        <v>944</v>
      </c>
      <c r="E5513" s="1399">
        <v>3054115.8899999992</v>
      </c>
      <c r="I5513" s="1399">
        <v>3054115.8899999992</v>
      </c>
    </row>
    <row r="5514" spans="2:9">
      <c r="B5514" s="1297"/>
      <c r="C5514" s="1297"/>
      <c r="D5514" s="1297" t="s">
        <v>945</v>
      </c>
      <c r="E5514" s="1399">
        <v>1813408.55</v>
      </c>
      <c r="I5514" s="1399">
        <v>1813408.55</v>
      </c>
    </row>
    <row r="5515" spans="2:9">
      <c r="B5515" s="1297"/>
      <c r="C5515" s="1297"/>
      <c r="D5515" s="1297" t="s">
        <v>946</v>
      </c>
      <c r="E5515" s="1399">
        <v>208364.2</v>
      </c>
      <c r="I5515" s="1399">
        <v>208364.2</v>
      </c>
    </row>
    <row r="5516" spans="2:9">
      <c r="B5516" s="1297"/>
      <c r="C5516" s="1297"/>
      <c r="D5516" s="1297" t="s">
        <v>947</v>
      </c>
      <c r="E5516" s="1399">
        <v>73218.44</v>
      </c>
      <c r="I5516" s="1399">
        <v>73218.44</v>
      </c>
    </row>
    <row r="5517" spans="2:9">
      <c r="B5517" s="1297"/>
      <c r="C5517" s="1297"/>
      <c r="D5517" s="1297" t="s">
        <v>948</v>
      </c>
      <c r="G5517" s="1399">
        <v>42772.97</v>
      </c>
      <c r="I5517" s="1399">
        <v>42772.97</v>
      </c>
    </row>
    <row r="5518" spans="2:9">
      <c r="B5518" s="1297"/>
      <c r="C5518" s="1297"/>
      <c r="D5518" s="1297" t="s">
        <v>1118</v>
      </c>
      <c r="G5518" s="1399">
        <v>219.51</v>
      </c>
      <c r="I5518" s="1399">
        <v>219.51</v>
      </c>
    </row>
    <row r="5519" spans="2:9">
      <c r="B5519" s="1297"/>
      <c r="C5519" s="1400" t="s">
        <v>1388</v>
      </c>
      <c r="D5519" s="1400"/>
      <c r="E5519" s="1401">
        <v>7119607.3099999996</v>
      </c>
      <c r="F5519" s="1401">
        <v>13851994.310000002</v>
      </c>
      <c r="G5519" s="1401">
        <v>42992.480000000003</v>
      </c>
      <c r="H5519" s="1401">
        <v>22173509.220000003</v>
      </c>
      <c r="I5519" s="1401">
        <v>43188103.319999993</v>
      </c>
    </row>
    <row r="5520" spans="2:9">
      <c r="B5520" s="1297" t="s">
        <v>1389</v>
      </c>
      <c r="C5520" s="1297" t="s">
        <v>1390</v>
      </c>
      <c r="D5520" s="1297" t="s">
        <v>906</v>
      </c>
      <c r="F5520" s="1399">
        <v>21009162.129999999</v>
      </c>
      <c r="I5520" s="1399">
        <v>21009162.129999999</v>
      </c>
    </row>
    <row r="5521" spans="2:9">
      <c r="B5521" s="1297"/>
      <c r="C5521" s="1297"/>
      <c r="D5521" s="1297" t="s">
        <v>952</v>
      </c>
      <c r="F5521" s="1399">
        <v>295910.33</v>
      </c>
      <c r="I5521" s="1399">
        <v>295910.33</v>
      </c>
    </row>
    <row r="5522" spans="2:9">
      <c r="B5522" s="1297"/>
      <c r="C5522" s="1297"/>
      <c r="D5522" s="1297" t="s">
        <v>907</v>
      </c>
      <c r="F5522" s="1399">
        <v>4670277.97</v>
      </c>
      <c r="I5522" s="1399">
        <v>4670277.97</v>
      </c>
    </row>
    <row r="5523" spans="2:9">
      <c r="B5523" s="1297"/>
      <c r="C5523" s="1297"/>
      <c r="D5523" s="1297" t="s">
        <v>908</v>
      </c>
      <c r="F5523" s="1399">
        <v>568963.83999999997</v>
      </c>
      <c r="I5523" s="1399">
        <v>568963.83999999997</v>
      </c>
    </row>
    <row r="5524" spans="2:9">
      <c r="B5524" s="1297"/>
      <c r="C5524" s="1297"/>
      <c r="D5524" s="1297" t="s">
        <v>909</v>
      </c>
      <c r="F5524" s="1399">
        <v>155984.49</v>
      </c>
      <c r="I5524" s="1399">
        <v>155984.49</v>
      </c>
    </row>
    <row r="5525" spans="2:9">
      <c r="B5525" s="1297"/>
      <c r="C5525" s="1297"/>
      <c r="D5525" s="1297" t="s">
        <v>910</v>
      </c>
      <c r="F5525" s="1399">
        <v>123985.03</v>
      </c>
      <c r="I5525" s="1399">
        <v>123985.03</v>
      </c>
    </row>
    <row r="5526" spans="2:9">
      <c r="B5526" s="1297"/>
      <c r="C5526" s="1297"/>
      <c r="D5526" s="1297" t="s">
        <v>1034</v>
      </c>
      <c r="F5526" s="1399">
        <v>389245.95</v>
      </c>
      <c r="I5526" s="1399">
        <v>389245.95</v>
      </c>
    </row>
    <row r="5527" spans="2:9">
      <c r="B5527" s="1297"/>
      <c r="C5527" s="1297"/>
      <c r="D5527" s="1297" t="s">
        <v>1035</v>
      </c>
      <c r="F5527" s="1399">
        <v>992025.85</v>
      </c>
      <c r="I5527" s="1399">
        <v>992025.85</v>
      </c>
    </row>
    <row r="5528" spans="2:9">
      <c r="B5528" s="1297"/>
      <c r="C5528" s="1297"/>
      <c r="D5528" s="1297" t="s">
        <v>1036</v>
      </c>
      <c r="F5528" s="1399">
        <v>254037.93000000002</v>
      </c>
      <c r="I5528" s="1399">
        <v>254037.93000000002</v>
      </c>
    </row>
    <row r="5529" spans="2:9">
      <c r="B5529" s="1297"/>
      <c r="C5529" s="1297"/>
      <c r="D5529" s="1297" t="s">
        <v>1038</v>
      </c>
      <c r="F5529" s="1399">
        <v>4900</v>
      </c>
      <c r="I5529" s="1399">
        <v>4900</v>
      </c>
    </row>
    <row r="5530" spans="2:9">
      <c r="B5530" s="1297"/>
      <c r="C5530" s="1297"/>
      <c r="D5530" s="1297" t="s">
        <v>1039</v>
      </c>
      <c r="F5530" s="1399">
        <v>479425.86000000004</v>
      </c>
      <c r="I5530" s="1399">
        <v>479425.86000000004</v>
      </c>
    </row>
    <row r="5531" spans="2:9">
      <c r="B5531" s="1297"/>
      <c r="C5531" s="1297"/>
      <c r="D5531" s="1297" t="s">
        <v>1040</v>
      </c>
      <c r="F5531" s="1399">
        <v>670180.19999999995</v>
      </c>
      <c r="I5531" s="1399">
        <v>670180.19999999995</v>
      </c>
    </row>
    <row r="5532" spans="2:9">
      <c r="B5532" s="1297"/>
      <c r="C5532" s="1297"/>
      <c r="D5532" s="1297" t="s">
        <v>1041</v>
      </c>
      <c r="F5532" s="1399">
        <v>69754.2</v>
      </c>
      <c r="I5532" s="1399">
        <v>69754.2</v>
      </c>
    </row>
    <row r="5533" spans="2:9">
      <c r="B5533" s="1297"/>
      <c r="C5533" s="1297"/>
      <c r="D5533" s="1297" t="s">
        <v>1042</v>
      </c>
      <c r="F5533" s="1399">
        <v>134998.72</v>
      </c>
      <c r="I5533" s="1399">
        <v>134998.72</v>
      </c>
    </row>
    <row r="5534" spans="2:9">
      <c r="B5534" s="1297"/>
      <c r="C5534" s="1297"/>
      <c r="D5534" s="1297" t="s">
        <v>1044</v>
      </c>
      <c r="F5534" s="1399">
        <v>120168</v>
      </c>
      <c r="I5534" s="1399">
        <v>120168</v>
      </c>
    </row>
    <row r="5535" spans="2:9">
      <c r="B5535" s="1297"/>
      <c r="C5535" s="1297"/>
      <c r="D5535" s="1297" t="s">
        <v>1045</v>
      </c>
      <c r="F5535" s="1399">
        <v>1923095.3600000003</v>
      </c>
      <c r="I5535" s="1399">
        <v>1923095.3600000003</v>
      </c>
    </row>
    <row r="5536" spans="2:9">
      <c r="B5536" s="1297"/>
      <c r="C5536" s="1297"/>
      <c r="D5536" s="1297" t="s">
        <v>1046</v>
      </c>
      <c r="H5536" s="1399">
        <v>46472244</v>
      </c>
      <c r="I5536" s="1399">
        <v>46472244</v>
      </c>
    </row>
    <row r="5537" spans="2:9">
      <c r="B5537" s="1297"/>
      <c r="C5537" s="1297"/>
      <c r="D5537" s="1297" t="s">
        <v>1047</v>
      </c>
      <c r="H5537" s="1399">
        <v>1132668</v>
      </c>
      <c r="I5537" s="1399">
        <v>1132668</v>
      </c>
    </row>
    <row r="5538" spans="2:9">
      <c r="B5538" s="1297"/>
      <c r="C5538" s="1297"/>
      <c r="D5538" s="1297" t="s">
        <v>1048</v>
      </c>
      <c r="H5538" s="1399">
        <v>-5921561</v>
      </c>
      <c r="I5538" s="1399">
        <v>-5921561</v>
      </c>
    </row>
    <row r="5539" spans="2:9">
      <c r="B5539" s="1297"/>
      <c r="C5539" s="1297"/>
      <c r="D5539" s="1297" t="s">
        <v>932</v>
      </c>
      <c r="H5539" s="1399">
        <v>6922958</v>
      </c>
      <c r="I5539" s="1399">
        <v>6922958</v>
      </c>
    </row>
    <row r="5540" spans="2:9">
      <c r="B5540" s="1297"/>
      <c r="C5540" s="1297"/>
      <c r="D5540" s="1297" t="s">
        <v>955</v>
      </c>
      <c r="H5540" s="1399">
        <v>1281047.8700000001</v>
      </c>
      <c r="I5540" s="1399">
        <v>1281047.8700000001</v>
      </c>
    </row>
    <row r="5541" spans="2:9">
      <c r="B5541" s="1297"/>
      <c r="C5541" s="1297"/>
      <c r="D5541" s="1297" t="s">
        <v>934</v>
      </c>
      <c r="H5541" s="1399">
        <v>152388</v>
      </c>
      <c r="I5541" s="1399">
        <v>152388</v>
      </c>
    </row>
    <row r="5542" spans="2:9">
      <c r="B5542" s="1297"/>
      <c r="C5542" s="1297"/>
      <c r="D5542" s="1297" t="s">
        <v>1130</v>
      </c>
      <c r="H5542" s="1399">
        <v>234436.7</v>
      </c>
      <c r="I5542" s="1399">
        <v>234436.7</v>
      </c>
    </row>
    <row r="5543" spans="2:9">
      <c r="B5543" s="1297"/>
      <c r="C5543" s="1297"/>
      <c r="D5543" s="1297" t="s">
        <v>935</v>
      </c>
      <c r="H5543" s="1399">
        <v>505641.43</v>
      </c>
      <c r="I5543" s="1399">
        <v>505641.43</v>
      </c>
    </row>
    <row r="5544" spans="2:9">
      <c r="B5544" s="1297"/>
      <c r="C5544" s="1297"/>
      <c r="D5544" s="1297" t="s">
        <v>936</v>
      </c>
      <c r="H5544" s="1399">
        <v>171923.91</v>
      </c>
      <c r="I5544" s="1399">
        <v>171923.91</v>
      </c>
    </row>
    <row r="5545" spans="2:9">
      <c r="B5545" s="1297"/>
      <c r="C5545" s="1297"/>
      <c r="D5545" s="1297" t="s">
        <v>937</v>
      </c>
      <c r="H5545" s="1399">
        <v>31608.61</v>
      </c>
      <c r="I5545" s="1399">
        <v>31608.61</v>
      </c>
    </row>
    <row r="5546" spans="2:9">
      <c r="B5546" s="1297"/>
      <c r="C5546" s="1297"/>
      <c r="D5546" s="1297" t="s">
        <v>938</v>
      </c>
      <c r="H5546" s="1399">
        <v>54463</v>
      </c>
      <c r="I5546" s="1399">
        <v>54463</v>
      </c>
    </row>
    <row r="5547" spans="2:9">
      <c r="B5547" s="1297"/>
      <c r="C5547" s="1297"/>
      <c r="D5547" s="1297" t="s">
        <v>939</v>
      </c>
      <c r="H5547" s="1399">
        <v>3000.72</v>
      </c>
      <c r="I5547" s="1399">
        <v>3000.72</v>
      </c>
    </row>
    <row r="5548" spans="2:9">
      <c r="B5548" s="1297"/>
      <c r="C5548" s="1297"/>
      <c r="D5548" s="1297" t="s">
        <v>1131</v>
      </c>
      <c r="E5548" s="1399">
        <v>126536.25</v>
      </c>
      <c r="I5548" s="1399">
        <v>126536.25</v>
      </c>
    </row>
    <row r="5549" spans="2:9">
      <c r="B5549" s="1297"/>
      <c r="C5549" s="1297"/>
      <c r="D5549" s="1297" t="s">
        <v>940</v>
      </c>
      <c r="E5549" s="1399">
        <v>2393678.04</v>
      </c>
      <c r="I5549" s="1399">
        <v>2393678.04</v>
      </c>
    </row>
    <row r="5550" spans="2:9">
      <c r="B5550" s="1297"/>
      <c r="C5550" s="1297"/>
      <c r="D5550" s="1297" t="s">
        <v>941</v>
      </c>
      <c r="E5550" s="1399">
        <v>978012.86</v>
      </c>
      <c r="I5550" s="1399">
        <v>978012.86</v>
      </c>
    </row>
    <row r="5551" spans="2:9">
      <c r="B5551" s="1297"/>
      <c r="C5551" s="1297"/>
      <c r="D5551" s="1297" t="s">
        <v>943</v>
      </c>
      <c r="E5551" s="1399">
        <v>12868.6</v>
      </c>
      <c r="I5551" s="1399">
        <v>12868.6</v>
      </c>
    </row>
    <row r="5552" spans="2:9">
      <c r="B5552" s="1297"/>
      <c r="C5552" s="1297"/>
      <c r="D5552" s="1297" t="s">
        <v>944</v>
      </c>
      <c r="E5552" s="1399">
        <v>5541245.3799999999</v>
      </c>
      <c r="I5552" s="1399">
        <v>5541245.3799999999</v>
      </c>
    </row>
    <row r="5553" spans="2:9">
      <c r="B5553" s="1297"/>
      <c r="C5553" s="1297"/>
      <c r="D5553" s="1297" t="s">
        <v>945</v>
      </c>
      <c r="E5553" s="1399">
        <v>5894575.6800000006</v>
      </c>
      <c r="I5553" s="1399">
        <v>5894575.6800000006</v>
      </c>
    </row>
    <row r="5554" spans="2:9">
      <c r="B5554" s="1297"/>
      <c r="C5554" s="1297"/>
      <c r="D5554" s="1297" t="s">
        <v>978</v>
      </c>
      <c r="E5554" s="1399">
        <v>1200</v>
      </c>
      <c r="I5554" s="1399">
        <v>1200</v>
      </c>
    </row>
    <row r="5555" spans="2:9">
      <c r="B5555" s="1297"/>
      <c r="C5555" s="1297"/>
      <c r="D5555" s="1297" t="s">
        <v>947</v>
      </c>
      <c r="E5555" s="1399">
        <v>259333.73</v>
      </c>
      <c r="I5555" s="1399">
        <v>259333.73</v>
      </c>
    </row>
    <row r="5556" spans="2:9">
      <c r="B5556" s="1297"/>
      <c r="C5556" s="1297"/>
      <c r="D5556" s="1297" t="s">
        <v>1115</v>
      </c>
      <c r="E5556" s="1399">
        <v>99706.270000000019</v>
      </c>
      <c r="I5556" s="1399">
        <v>99706.270000000019</v>
      </c>
    </row>
    <row r="5557" spans="2:9">
      <c r="B5557" s="1297"/>
      <c r="C5557" s="1297"/>
      <c r="D5557" s="1297" t="s">
        <v>948</v>
      </c>
      <c r="G5557" s="1399">
        <v>6666415.54</v>
      </c>
      <c r="I5557" s="1399">
        <v>6666415.54</v>
      </c>
    </row>
    <row r="5558" spans="2:9">
      <c r="B5558" s="1297"/>
      <c r="C5558" s="1400" t="s">
        <v>1391</v>
      </c>
      <c r="D5558" s="1400"/>
      <c r="E5558" s="1401">
        <v>15307156.809999999</v>
      </c>
      <c r="F5558" s="1401">
        <v>31862115.859999992</v>
      </c>
      <c r="G5558" s="1401">
        <v>6666415.54</v>
      </c>
      <c r="H5558" s="1401">
        <v>51040819.239999995</v>
      </c>
      <c r="I5558" s="1401">
        <v>104876507.45</v>
      </c>
    </row>
    <row r="5559" spans="2:9">
      <c r="B5559" s="1297" t="s">
        <v>1392</v>
      </c>
      <c r="C5559" s="1297" t="s">
        <v>1578</v>
      </c>
      <c r="D5559" s="1297" t="s">
        <v>906</v>
      </c>
      <c r="F5559" s="1399">
        <v>47193707.059999995</v>
      </c>
      <c r="I5559" s="1399">
        <v>47193707.059999995</v>
      </c>
    </row>
    <row r="5560" spans="2:9">
      <c r="B5560" s="1297"/>
      <c r="C5560" s="1297"/>
      <c r="D5560" s="1297" t="s">
        <v>952</v>
      </c>
      <c r="F5560" s="1399">
        <v>583043.81999999995</v>
      </c>
      <c r="I5560" s="1399">
        <v>583043.81999999995</v>
      </c>
    </row>
    <row r="5561" spans="2:9">
      <c r="B5561" s="1297"/>
      <c r="C5561" s="1297"/>
      <c r="D5561" s="1297" t="s">
        <v>907</v>
      </c>
      <c r="F5561" s="1399">
        <v>7783471.8899999997</v>
      </c>
      <c r="I5561" s="1399">
        <v>7783471.8899999997</v>
      </c>
    </row>
    <row r="5562" spans="2:9">
      <c r="B5562" s="1297"/>
      <c r="C5562" s="1297"/>
      <c r="D5562" s="1297" t="s">
        <v>1145</v>
      </c>
      <c r="F5562" s="1399">
        <v>1041649.8</v>
      </c>
      <c r="I5562" s="1399">
        <v>1041649.8</v>
      </c>
    </row>
    <row r="5563" spans="2:9">
      <c r="B5563" s="1297"/>
      <c r="C5563" s="1297"/>
      <c r="D5563" s="1297" t="s">
        <v>908</v>
      </c>
      <c r="F5563" s="1399">
        <v>10467.200000000001</v>
      </c>
      <c r="I5563" s="1399">
        <v>10467.200000000001</v>
      </c>
    </row>
    <row r="5564" spans="2:9">
      <c r="B5564" s="1297"/>
      <c r="C5564" s="1297"/>
      <c r="D5564" s="1297" t="s">
        <v>909</v>
      </c>
      <c r="F5564" s="1399">
        <v>102.25</v>
      </c>
      <c r="I5564" s="1399">
        <v>102.25</v>
      </c>
    </row>
    <row r="5565" spans="2:9">
      <c r="B5565" s="1297"/>
      <c r="C5565" s="1297"/>
      <c r="D5565" s="1297" t="s">
        <v>910</v>
      </c>
      <c r="F5565" s="1399">
        <v>55627.68</v>
      </c>
      <c r="I5565" s="1399">
        <v>55627.68</v>
      </c>
    </row>
    <row r="5566" spans="2:9">
      <c r="B5566" s="1297"/>
      <c r="C5566" s="1297"/>
      <c r="D5566" s="1297" t="s">
        <v>1034</v>
      </c>
      <c r="F5566" s="1399">
        <v>132044.72</v>
      </c>
      <c r="I5566" s="1399">
        <v>132044.72</v>
      </c>
    </row>
    <row r="5567" spans="2:9">
      <c r="B5567" s="1297"/>
      <c r="C5567" s="1297"/>
      <c r="D5567" s="1297" t="s">
        <v>1035</v>
      </c>
      <c r="F5567" s="1399">
        <v>1827423.54</v>
      </c>
      <c r="I5567" s="1399">
        <v>1827423.54</v>
      </c>
    </row>
    <row r="5568" spans="2:9">
      <c r="B5568" s="1297"/>
      <c r="C5568" s="1297"/>
      <c r="D5568" s="1297" t="s">
        <v>1036</v>
      </c>
      <c r="F5568" s="1399">
        <v>368192.01</v>
      </c>
      <c r="I5568" s="1399">
        <v>368192.01</v>
      </c>
    </row>
    <row r="5569" spans="2:9">
      <c r="B5569" s="1297"/>
      <c r="C5569" s="1297"/>
      <c r="D5569" s="1297" t="s">
        <v>1038</v>
      </c>
      <c r="F5569" s="1399">
        <v>275</v>
      </c>
      <c r="I5569" s="1399">
        <v>275</v>
      </c>
    </row>
    <row r="5570" spans="2:9">
      <c r="B5570" s="1297"/>
      <c r="C5570" s="1297"/>
      <c r="D5570" s="1297" t="s">
        <v>1039</v>
      </c>
      <c r="F5570" s="1399">
        <v>149263.1</v>
      </c>
      <c r="I5570" s="1399">
        <v>149263.1</v>
      </c>
    </row>
    <row r="5571" spans="2:9">
      <c r="B5571" s="1297"/>
      <c r="C5571" s="1297"/>
      <c r="D5571" s="1297" t="s">
        <v>1040</v>
      </c>
      <c r="F5571" s="1399">
        <v>1237588.19</v>
      </c>
      <c r="I5571" s="1399">
        <v>1237588.19</v>
      </c>
    </row>
    <row r="5572" spans="2:9">
      <c r="B5572" s="1297"/>
      <c r="C5572" s="1297"/>
      <c r="D5572" s="1297" t="s">
        <v>1041</v>
      </c>
      <c r="F5572" s="1399">
        <v>59673.69</v>
      </c>
      <c r="I5572" s="1399">
        <v>59673.69</v>
      </c>
    </row>
    <row r="5573" spans="2:9">
      <c r="B5573" s="1297"/>
      <c r="C5573" s="1297"/>
      <c r="D5573" s="1297" t="s">
        <v>1042</v>
      </c>
      <c r="F5573" s="1399">
        <v>84889.91</v>
      </c>
      <c r="I5573" s="1399">
        <v>84889.91</v>
      </c>
    </row>
    <row r="5574" spans="2:9">
      <c r="B5574" s="1297"/>
      <c r="C5574" s="1297"/>
      <c r="D5574" s="1297" t="s">
        <v>1043</v>
      </c>
      <c r="F5574" s="1399">
        <v>210153.40000000002</v>
      </c>
      <c r="I5574" s="1399">
        <v>210153.40000000002</v>
      </c>
    </row>
    <row r="5575" spans="2:9">
      <c r="B5575" s="1297"/>
      <c r="C5575" s="1297"/>
      <c r="D5575" s="1297" t="s">
        <v>986</v>
      </c>
      <c r="F5575" s="1399">
        <v>3200</v>
      </c>
      <c r="I5575" s="1399">
        <v>3200</v>
      </c>
    </row>
    <row r="5576" spans="2:9">
      <c r="B5576" s="1297"/>
      <c r="C5576" s="1297"/>
      <c r="D5576" s="1297" t="s">
        <v>996</v>
      </c>
      <c r="F5576" s="1399">
        <v>74122.55</v>
      </c>
      <c r="I5576" s="1399">
        <v>74122.55</v>
      </c>
    </row>
    <row r="5577" spans="2:9">
      <c r="B5577" s="1297"/>
      <c r="C5577" s="1297"/>
      <c r="D5577" s="1297" t="s">
        <v>1004</v>
      </c>
      <c r="F5577" s="1399">
        <v>-68949.53</v>
      </c>
      <c r="I5577" s="1399">
        <v>-68949.53</v>
      </c>
    </row>
    <row r="5578" spans="2:9">
      <c r="B5578" s="1297"/>
      <c r="C5578" s="1297"/>
      <c r="D5578" s="1297" t="s">
        <v>1005</v>
      </c>
      <c r="F5578" s="1399">
        <v>5711.7</v>
      </c>
      <c r="I5578" s="1399">
        <v>5711.7</v>
      </c>
    </row>
    <row r="5579" spans="2:9">
      <c r="B5579" s="1297"/>
      <c r="C5579" s="1297"/>
      <c r="D5579" s="1297" t="s">
        <v>1044</v>
      </c>
      <c r="F5579" s="1399">
        <v>330247.42</v>
      </c>
      <c r="I5579" s="1399">
        <v>330247.42</v>
      </c>
    </row>
    <row r="5580" spans="2:9">
      <c r="B5580" s="1297"/>
      <c r="C5580" s="1297"/>
      <c r="D5580" s="1297" t="s">
        <v>1045</v>
      </c>
      <c r="F5580" s="1399">
        <v>232578.6</v>
      </c>
      <c r="I5580" s="1399">
        <v>232578.6</v>
      </c>
    </row>
    <row r="5581" spans="2:9">
      <c r="B5581" s="1297"/>
      <c r="C5581" s="1297"/>
      <c r="D5581" s="1297" t="s">
        <v>1046</v>
      </c>
      <c r="H5581" s="1399">
        <v>64705465</v>
      </c>
      <c r="I5581" s="1399">
        <v>64705465</v>
      </c>
    </row>
    <row r="5582" spans="2:9">
      <c r="B5582" s="1297"/>
      <c r="C5582" s="1297"/>
      <c r="D5582" s="1297" t="s">
        <v>1128</v>
      </c>
      <c r="H5582" s="1399">
        <v>5884220</v>
      </c>
      <c r="I5582" s="1399">
        <v>5884220</v>
      </c>
    </row>
    <row r="5583" spans="2:9">
      <c r="B5583" s="1297"/>
      <c r="C5583" s="1297"/>
      <c r="D5583" s="1297" t="s">
        <v>1129</v>
      </c>
      <c r="H5583" s="1399">
        <v>-8613312</v>
      </c>
      <c r="I5583" s="1399">
        <v>-8613312</v>
      </c>
    </row>
    <row r="5584" spans="2:9">
      <c r="B5584" s="1297"/>
      <c r="C5584" s="1297"/>
      <c r="D5584" s="1297" t="s">
        <v>1047</v>
      </c>
      <c r="H5584" s="1399">
        <v>1485555</v>
      </c>
      <c r="I5584" s="1399">
        <v>1485555</v>
      </c>
    </row>
    <row r="5585" spans="2:9">
      <c r="B5585" s="1297"/>
      <c r="C5585" s="1297"/>
      <c r="D5585" s="1297" t="s">
        <v>1048</v>
      </c>
      <c r="H5585" s="1399">
        <v>-13159735</v>
      </c>
      <c r="I5585" s="1399">
        <v>-13159735</v>
      </c>
    </row>
    <row r="5586" spans="2:9">
      <c r="B5586" s="1297"/>
      <c r="C5586" s="1297"/>
      <c r="D5586" s="1297" t="s">
        <v>955</v>
      </c>
      <c r="H5586" s="1399">
        <v>1454047.92</v>
      </c>
      <c r="I5586" s="1399">
        <v>1454047.92</v>
      </c>
    </row>
    <row r="5587" spans="2:9">
      <c r="B5587" s="1297"/>
      <c r="C5587" s="1297"/>
      <c r="D5587" s="1297" t="s">
        <v>934</v>
      </c>
      <c r="H5587" s="1399">
        <v>164356</v>
      </c>
      <c r="I5587" s="1399">
        <v>164356</v>
      </c>
    </row>
    <row r="5588" spans="2:9">
      <c r="B5588" s="1297"/>
      <c r="C5588" s="1297"/>
      <c r="D5588" s="1297" t="s">
        <v>1130</v>
      </c>
      <c r="H5588" s="1399">
        <v>1099581.8</v>
      </c>
      <c r="I5588" s="1399">
        <v>1099581.8</v>
      </c>
    </row>
    <row r="5589" spans="2:9">
      <c r="B5589" s="1297"/>
      <c r="C5589" s="1297"/>
      <c r="D5589" s="1297" t="s">
        <v>935</v>
      </c>
      <c r="H5589" s="1399">
        <v>1088075.25</v>
      </c>
      <c r="I5589" s="1399">
        <v>1088075.25</v>
      </c>
    </row>
    <row r="5590" spans="2:9">
      <c r="B5590" s="1297"/>
      <c r="C5590" s="1297"/>
      <c r="D5590" s="1297" t="s">
        <v>936</v>
      </c>
      <c r="H5590" s="1399">
        <v>184179.18</v>
      </c>
      <c r="I5590" s="1399">
        <v>184179.18</v>
      </c>
    </row>
    <row r="5591" spans="2:9">
      <c r="B5591" s="1297"/>
      <c r="C5591" s="1297"/>
      <c r="D5591" s="1297" t="s">
        <v>937</v>
      </c>
      <c r="H5591" s="1399">
        <v>72579.990000000005</v>
      </c>
      <c r="I5591" s="1399">
        <v>72579.990000000005</v>
      </c>
    </row>
    <row r="5592" spans="2:9">
      <c r="B5592" s="1297"/>
      <c r="C5592" s="1297"/>
      <c r="D5592" s="1297" t="s">
        <v>938</v>
      </c>
      <c r="H5592" s="1399">
        <v>62885</v>
      </c>
      <c r="I5592" s="1399">
        <v>62885</v>
      </c>
    </row>
    <row r="5593" spans="2:9">
      <c r="B5593" s="1297"/>
      <c r="C5593" s="1297"/>
      <c r="D5593" s="1297" t="s">
        <v>939</v>
      </c>
      <c r="H5593" s="1399">
        <v>202841.52000000002</v>
      </c>
      <c r="I5593" s="1399">
        <v>202841.52000000002</v>
      </c>
    </row>
    <row r="5594" spans="2:9">
      <c r="B5594" s="1297"/>
      <c r="C5594" s="1297"/>
      <c r="D5594" s="1297" t="s">
        <v>1131</v>
      </c>
      <c r="E5594" s="1399">
        <v>813293.58</v>
      </c>
      <c r="I5594" s="1399">
        <v>813293.58</v>
      </c>
    </row>
    <row r="5595" spans="2:9">
      <c r="B5595" s="1297"/>
      <c r="C5595" s="1297"/>
      <c r="D5595" s="1297" t="s">
        <v>940</v>
      </c>
      <c r="E5595" s="1399">
        <v>2336536.08</v>
      </c>
      <c r="I5595" s="1399">
        <v>2336536.08</v>
      </c>
    </row>
    <row r="5596" spans="2:9">
      <c r="B5596" s="1297"/>
      <c r="C5596" s="1297"/>
      <c r="D5596" s="1297" t="s">
        <v>941</v>
      </c>
      <c r="E5596" s="1399">
        <v>669214.48</v>
      </c>
      <c r="I5596" s="1399">
        <v>669214.48</v>
      </c>
    </row>
    <row r="5597" spans="2:9">
      <c r="B5597" s="1297"/>
      <c r="C5597" s="1297"/>
      <c r="D5597" s="1297" t="s">
        <v>943</v>
      </c>
      <c r="E5597" s="1399">
        <v>36464.83</v>
      </c>
      <c r="I5597" s="1399">
        <v>36464.83</v>
      </c>
    </row>
    <row r="5598" spans="2:9">
      <c r="B5598" s="1297"/>
      <c r="C5598" s="1297"/>
      <c r="D5598" s="1297" t="s">
        <v>944</v>
      </c>
      <c r="E5598" s="1399">
        <v>7393670</v>
      </c>
      <c r="I5598" s="1399">
        <v>7393670</v>
      </c>
    </row>
    <row r="5599" spans="2:9">
      <c r="B5599" s="1297"/>
      <c r="C5599" s="1297"/>
      <c r="D5599" s="1297" t="s">
        <v>945</v>
      </c>
      <c r="E5599" s="1399">
        <v>5384424.8199999994</v>
      </c>
      <c r="I5599" s="1399">
        <v>5384424.8199999994</v>
      </c>
    </row>
    <row r="5600" spans="2:9">
      <c r="B5600" s="1297"/>
      <c r="C5600" s="1297"/>
      <c r="D5600" s="1297" t="s">
        <v>946</v>
      </c>
      <c r="E5600" s="1399">
        <v>65732.33</v>
      </c>
      <c r="I5600" s="1399">
        <v>65732.33</v>
      </c>
    </row>
    <row r="5601" spans="2:9">
      <c r="B5601" s="1297"/>
      <c r="C5601" s="1297"/>
      <c r="D5601" s="1297" t="s">
        <v>947</v>
      </c>
      <c r="E5601" s="1399">
        <v>531953.46</v>
      </c>
      <c r="I5601" s="1399">
        <v>531953.46</v>
      </c>
    </row>
    <row r="5602" spans="2:9">
      <c r="B5602" s="1297"/>
      <c r="C5602" s="1297"/>
      <c r="D5602" s="1297" t="s">
        <v>1115</v>
      </c>
      <c r="E5602" s="1399">
        <v>280.75</v>
      </c>
      <c r="I5602" s="1399">
        <v>280.75</v>
      </c>
    </row>
    <row r="5603" spans="2:9">
      <c r="B5603" s="1297"/>
      <c r="C5603" s="1297"/>
      <c r="D5603" s="1297" t="s">
        <v>948</v>
      </c>
      <c r="G5603" s="1399">
        <v>331340.88</v>
      </c>
      <c r="I5603" s="1399">
        <v>331340.88</v>
      </c>
    </row>
    <row r="5604" spans="2:9">
      <c r="B5604" s="1297"/>
      <c r="C5604" s="1297"/>
      <c r="D5604" s="1297" t="s">
        <v>956</v>
      </c>
      <c r="G5604" s="1399">
        <v>95992</v>
      </c>
      <c r="I5604" s="1399">
        <v>95992</v>
      </c>
    </row>
    <row r="5605" spans="2:9">
      <c r="B5605" s="1297"/>
      <c r="C5605" s="1400" t="s">
        <v>1579</v>
      </c>
      <c r="D5605" s="1400"/>
      <c r="E5605" s="1401">
        <v>17231570.329999998</v>
      </c>
      <c r="F5605" s="1401">
        <v>61314483.999999985</v>
      </c>
      <c r="G5605" s="1401">
        <v>427332.88</v>
      </c>
      <c r="H5605" s="1401">
        <v>54630739.660000004</v>
      </c>
      <c r="I5605" s="1401">
        <v>133604126.86999996</v>
      </c>
    </row>
    <row r="5606" spans="2:9">
      <c r="B5606" s="1297" t="s">
        <v>1580</v>
      </c>
      <c r="C5606" s="1297" t="s">
        <v>1581</v>
      </c>
      <c r="D5606" s="1297" t="s">
        <v>906</v>
      </c>
      <c r="F5606" s="1399">
        <v>11242022.18</v>
      </c>
      <c r="I5606" s="1399">
        <v>11242022.18</v>
      </c>
    </row>
    <row r="5607" spans="2:9">
      <c r="B5607" s="1297"/>
      <c r="C5607" s="1297"/>
      <c r="D5607" s="1297" t="s">
        <v>952</v>
      </c>
      <c r="F5607" s="1399">
        <v>78616.81</v>
      </c>
      <c r="I5607" s="1399">
        <v>78616.81</v>
      </c>
    </row>
    <row r="5608" spans="2:9">
      <c r="B5608" s="1297"/>
      <c r="C5608" s="1297"/>
      <c r="D5608" s="1297" t="s">
        <v>907</v>
      </c>
      <c r="F5608" s="1399">
        <v>6764782.6799999997</v>
      </c>
      <c r="I5608" s="1399">
        <v>6764782.6799999997</v>
      </c>
    </row>
    <row r="5609" spans="2:9">
      <c r="B5609" s="1297"/>
      <c r="C5609" s="1297"/>
      <c r="D5609" s="1297" t="s">
        <v>908</v>
      </c>
      <c r="F5609" s="1399">
        <v>133184.76</v>
      </c>
      <c r="I5609" s="1399">
        <v>133184.76</v>
      </c>
    </row>
    <row r="5610" spans="2:9">
      <c r="B5610" s="1297"/>
      <c r="C5610" s="1297"/>
      <c r="D5610" s="1297" t="s">
        <v>909</v>
      </c>
      <c r="F5610" s="1399">
        <v>37853.33</v>
      </c>
      <c r="I5610" s="1399">
        <v>37853.33</v>
      </c>
    </row>
    <row r="5611" spans="2:9">
      <c r="B5611" s="1297"/>
      <c r="C5611" s="1297"/>
      <c r="D5611" s="1297" t="s">
        <v>910</v>
      </c>
      <c r="F5611" s="1399">
        <v>96989.55</v>
      </c>
      <c r="I5611" s="1399">
        <v>96989.55</v>
      </c>
    </row>
    <row r="5612" spans="2:9">
      <c r="B5612" s="1297"/>
      <c r="C5612" s="1297"/>
      <c r="D5612" s="1297" t="s">
        <v>1034</v>
      </c>
      <c r="F5612" s="1399">
        <v>155018.70000000001</v>
      </c>
      <c r="I5612" s="1399">
        <v>155018.70000000001</v>
      </c>
    </row>
    <row r="5613" spans="2:9">
      <c r="B5613" s="1297"/>
      <c r="C5613" s="1297"/>
      <c r="D5613" s="1297" t="s">
        <v>1035</v>
      </c>
      <c r="F5613" s="1399">
        <v>347961.51</v>
      </c>
      <c r="I5613" s="1399">
        <v>347961.51</v>
      </c>
    </row>
    <row r="5614" spans="2:9">
      <c r="B5614" s="1297"/>
      <c r="C5614" s="1297"/>
      <c r="D5614" s="1297" t="s">
        <v>1036</v>
      </c>
      <c r="F5614" s="1399">
        <v>245409.86</v>
      </c>
      <c r="I5614" s="1399">
        <v>245409.86</v>
      </c>
    </row>
    <row r="5615" spans="2:9">
      <c r="B5615" s="1297"/>
      <c r="C5615" s="1297"/>
      <c r="D5615" s="1297" t="s">
        <v>1037</v>
      </c>
      <c r="F5615" s="1399">
        <v>7920</v>
      </c>
      <c r="I5615" s="1399">
        <v>7920</v>
      </c>
    </row>
    <row r="5616" spans="2:9">
      <c r="B5616" s="1297"/>
      <c r="C5616" s="1297"/>
      <c r="D5616" s="1297" t="s">
        <v>1038</v>
      </c>
      <c r="F5616" s="1399">
        <v>1250</v>
      </c>
      <c r="I5616" s="1399">
        <v>1250</v>
      </c>
    </row>
    <row r="5617" spans="2:9">
      <c r="B5617" s="1297"/>
      <c r="C5617" s="1297"/>
      <c r="D5617" s="1297" t="s">
        <v>1003</v>
      </c>
      <c r="F5617" s="1399">
        <v>269473.14</v>
      </c>
      <c r="I5617" s="1399">
        <v>269473.14</v>
      </c>
    </row>
    <row r="5618" spans="2:9">
      <c r="B5618" s="1297"/>
      <c r="C5618" s="1297"/>
      <c r="D5618" s="1297" t="s">
        <v>1039</v>
      </c>
      <c r="F5618" s="1399">
        <v>38189.79</v>
      </c>
      <c r="I5618" s="1399">
        <v>38189.79</v>
      </c>
    </row>
    <row r="5619" spans="2:9">
      <c r="B5619" s="1297"/>
      <c r="C5619" s="1297"/>
      <c r="D5619" s="1297" t="s">
        <v>1040</v>
      </c>
      <c r="F5619" s="1399">
        <v>239086.00000000003</v>
      </c>
      <c r="I5619" s="1399">
        <v>239086.00000000003</v>
      </c>
    </row>
    <row r="5620" spans="2:9">
      <c r="B5620" s="1297"/>
      <c r="C5620" s="1297"/>
      <c r="D5620" s="1297" t="s">
        <v>1127</v>
      </c>
      <c r="F5620" s="1399">
        <v>49962.3</v>
      </c>
      <c r="I5620" s="1399">
        <v>49962.3</v>
      </c>
    </row>
    <row r="5621" spans="2:9">
      <c r="B5621" s="1297"/>
      <c r="C5621" s="1297"/>
      <c r="D5621" s="1297" t="s">
        <v>1041</v>
      </c>
      <c r="F5621" s="1399">
        <v>130496.15000000001</v>
      </c>
      <c r="I5621" s="1399">
        <v>130496.15000000001</v>
      </c>
    </row>
    <row r="5622" spans="2:9">
      <c r="B5622" s="1297"/>
      <c r="C5622" s="1297"/>
      <c r="D5622" s="1297" t="s">
        <v>1042</v>
      </c>
      <c r="F5622" s="1399">
        <v>89785.19</v>
      </c>
      <c r="I5622" s="1399">
        <v>89785.19</v>
      </c>
    </row>
    <row r="5623" spans="2:9">
      <c r="B5623" s="1297"/>
      <c r="C5623" s="1297"/>
      <c r="D5623" s="1297" t="s">
        <v>954</v>
      </c>
      <c r="F5623" s="1399">
        <v>185659.3</v>
      </c>
      <c r="I5623" s="1399">
        <v>185659.3</v>
      </c>
    </row>
    <row r="5624" spans="2:9">
      <c r="B5624" s="1297"/>
      <c r="C5624" s="1297"/>
      <c r="D5624" s="1297" t="s">
        <v>1043</v>
      </c>
      <c r="F5624" s="1399">
        <v>15010</v>
      </c>
      <c r="I5624" s="1399">
        <v>15010</v>
      </c>
    </row>
    <row r="5625" spans="2:9">
      <c r="B5625" s="1297"/>
      <c r="C5625" s="1297"/>
      <c r="D5625" s="1297" t="s">
        <v>986</v>
      </c>
      <c r="F5625" s="1399">
        <v>14520.02</v>
      </c>
      <c r="I5625" s="1399">
        <v>14520.02</v>
      </c>
    </row>
    <row r="5626" spans="2:9">
      <c r="B5626" s="1297"/>
      <c r="C5626" s="1297"/>
      <c r="D5626" s="1297" t="s">
        <v>996</v>
      </c>
      <c r="F5626" s="1399">
        <v>89627.89</v>
      </c>
      <c r="I5626" s="1399">
        <v>89627.89</v>
      </c>
    </row>
    <row r="5627" spans="2:9">
      <c r="B5627" s="1297"/>
      <c r="C5627" s="1297"/>
      <c r="D5627" s="1297" t="s">
        <v>991</v>
      </c>
      <c r="F5627" s="1399">
        <v>71955.09</v>
      </c>
      <c r="I5627" s="1399">
        <v>71955.09</v>
      </c>
    </row>
    <row r="5628" spans="2:9">
      <c r="B5628" s="1297"/>
      <c r="C5628" s="1297"/>
      <c r="D5628" s="1297" t="s">
        <v>1044</v>
      </c>
      <c r="F5628" s="1399">
        <v>116909.26</v>
      </c>
      <c r="I5628" s="1399">
        <v>116909.26</v>
      </c>
    </row>
    <row r="5629" spans="2:9">
      <c r="B5629" s="1297"/>
      <c r="C5629" s="1297"/>
      <c r="D5629" s="1297" t="s">
        <v>1045</v>
      </c>
      <c r="F5629" s="1399">
        <v>859370.24000000011</v>
      </c>
      <c r="I5629" s="1399">
        <v>859370.24000000011</v>
      </c>
    </row>
    <row r="5630" spans="2:9">
      <c r="B5630" s="1297"/>
      <c r="C5630" s="1297"/>
      <c r="D5630" s="1297" t="s">
        <v>1046</v>
      </c>
      <c r="H5630" s="1399">
        <v>31738151</v>
      </c>
      <c r="I5630" s="1399">
        <v>31738151</v>
      </c>
    </row>
    <row r="5631" spans="2:9">
      <c r="B5631" s="1297"/>
      <c r="C5631" s="1297"/>
      <c r="D5631" s="1297" t="s">
        <v>1128</v>
      </c>
      <c r="H5631" s="1399">
        <v>2445347</v>
      </c>
      <c r="I5631" s="1399">
        <v>2445347</v>
      </c>
    </row>
    <row r="5632" spans="2:9">
      <c r="B5632" s="1297"/>
      <c r="C5632" s="1297"/>
      <c r="D5632" s="1297" t="s">
        <v>1129</v>
      </c>
      <c r="H5632" s="1399">
        <v>-4624997</v>
      </c>
      <c r="I5632" s="1399">
        <v>-4624997</v>
      </c>
    </row>
    <row r="5633" spans="2:9">
      <c r="B5633" s="1297"/>
      <c r="C5633" s="1297"/>
      <c r="D5633" s="1297" t="s">
        <v>1047</v>
      </c>
      <c r="H5633" s="1399">
        <v>853837</v>
      </c>
      <c r="I5633" s="1399">
        <v>853837</v>
      </c>
    </row>
    <row r="5634" spans="2:9">
      <c r="B5634" s="1297"/>
      <c r="C5634" s="1297"/>
      <c r="D5634" s="1297" t="s">
        <v>1048</v>
      </c>
      <c r="H5634" s="1399">
        <v>-3258221</v>
      </c>
      <c r="I5634" s="1399">
        <v>-3258221</v>
      </c>
    </row>
    <row r="5635" spans="2:9">
      <c r="B5635" s="1297"/>
      <c r="C5635" s="1297"/>
      <c r="D5635" s="1297" t="s">
        <v>932</v>
      </c>
      <c r="H5635" s="1399">
        <v>3996307</v>
      </c>
      <c r="I5635" s="1399">
        <v>3996307</v>
      </c>
    </row>
    <row r="5636" spans="2:9">
      <c r="B5636" s="1297"/>
      <c r="C5636" s="1297"/>
      <c r="D5636" s="1297" t="s">
        <v>955</v>
      </c>
      <c r="H5636" s="1399">
        <v>1433114.79</v>
      </c>
      <c r="I5636" s="1399">
        <v>1433114.79</v>
      </c>
    </row>
    <row r="5637" spans="2:9">
      <c r="B5637" s="1297"/>
      <c r="C5637" s="1297"/>
      <c r="D5637" s="1297" t="s">
        <v>934</v>
      </c>
      <c r="H5637" s="1399">
        <v>96140</v>
      </c>
      <c r="I5637" s="1399">
        <v>96140</v>
      </c>
    </row>
    <row r="5638" spans="2:9">
      <c r="B5638" s="1297"/>
      <c r="C5638" s="1297"/>
      <c r="D5638" s="1297" t="s">
        <v>1130</v>
      </c>
      <c r="H5638" s="1399">
        <v>136715.95000000001</v>
      </c>
      <c r="I5638" s="1399">
        <v>136715.95000000001</v>
      </c>
    </row>
    <row r="5639" spans="2:9">
      <c r="B5639" s="1297"/>
      <c r="C5639" s="1297"/>
      <c r="D5639" s="1297" t="s">
        <v>935</v>
      </c>
      <c r="H5639" s="1399">
        <v>1089230.55</v>
      </c>
      <c r="I5639" s="1399">
        <v>1089230.55</v>
      </c>
    </row>
    <row r="5640" spans="2:9">
      <c r="B5640" s="1297"/>
      <c r="C5640" s="1297"/>
      <c r="D5640" s="1297" t="s">
        <v>936</v>
      </c>
      <c r="H5640" s="1399">
        <v>88938.240000000005</v>
      </c>
      <c r="I5640" s="1399">
        <v>88938.240000000005</v>
      </c>
    </row>
    <row r="5641" spans="2:9">
      <c r="B5641" s="1297"/>
      <c r="C5641" s="1297"/>
      <c r="D5641" s="1297" t="s">
        <v>937</v>
      </c>
      <c r="H5641" s="1399">
        <v>43791.93</v>
      </c>
      <c r="I5641" s="1399">
        <v>43791.93</v>
      </c>
    </row>
    <row r="5642" spans="2:9">
      <c r="B5642" s="1297"/>
      <c r="C5642" s="1297"/>
      <c r="D5642" s="1297" t="s">
        <v>938</v>
      </c>
      <c r="H5642" s="1399">
        <v>35934</v>
      </c>
      <c r="I5642" s="1399">
        <v>35934</v>
      </c>
    </row>
    <row r="5643" spans="2:9">
      <c r="B5643" s="1297"/>
      <c r="C5643" s="1297"/>
      <c r="D5643" s="1297" t="s">
        <v>939</v>
      </c>
      <c r="H5643" s="1399">
        <v>86748.75</v>
      </c>
      <c r="I5643" s="1399">
        <v>86748.75</v>
      </c>
    </row>
    <row r="5644" spans="2:9">
      <c r="B5644" s="1297"/>
      <c r="C5644" s="1297"/>
      <c r="D5644" s="1297" t="s">
        <v>1131</v>
      </c>
      <c r="E5644" s="1399">
        <v>54041.760000000002</v>
      </c>
      <c r="I5644" s="1399">
        <v>54041.760000000002</v>
      </c>
    </row>
    <row r="5645" spans="2:9">
      <c r="B5645" s="1297"/>
      <c r="C5645" s="1297"/>
      <c r="D5645" s="1297" t="s">
        <v>940</v>
      </c>
      <c r="E5645" s="1399">
        <v>1694696.3599999999</v>
      </c>
      <c r="I5645" s="1399">
        <v>1694696.3599999999</v>
      </c>
    </row>
    <row r="5646" spans="2:9">
      <c r="B5646" s="1297"/>
      <c r="C5646" s="1297"/>
      <c r="D5646" s="1297" t="s">
        <v>941</v>
      </c>
      <c r="E5646" s="1399">
        <v>647472.27999999991</v>
      </c>
      <c r="I5646" s="1399">
        <v>647472.27999999991</v>
      </c>
    </row>
    <row r="5647" spans="2:9">
      <c r="B5647" s="1297"/>
      <c r="C5647" s="1297"/>
      <c r="D5647" s="1297" t="s">
        <v>942</v>
      </c>
      <c r="E5647" s="1399">
        <v>43893.73</v>
      </c>
      <c r="I5647" s="1399">
        <v>43893.73</v>
      </c>
    </row>
    <row r="5648" spans="2:9">
      <c r="B5648" s="1297"/>
      <c r="C5648" s="1297"/>
      <c r="D5648" s="1297" t="s">
        <v>943</v>
      </c>
      <c r="E5648" s="1399">
        <v>4583.5600000000004</v>
      </c>
      <c r="I5648" s="1399">
        <v>4583.5600000000004</v>
      </c>
    </row>
    <row r="5649" spans="2:9">
      <c r="B5649" s="1297"/>
      <c r="C5649" s="1297"/>
      <c r="D5649" s="1297" t="s">
        <v>944</v>
      </c>
      <c r="E5649" s="1399">
        <v>4753029.8500000006</v>
      </c>
      <c r="I5649" s="1399">
        <v>4753029.8500000006</v>
      </c>
    </row>
    <row r="5650" spans="2:9">
      <c r="B5650" s="1297"/>
      <c r="C5650" s="1297"/>
      <c r="D5650" s="1297" t="s">
        <v>945</v>
      </c>
      <c r="E5650" s="1399">
        <v>2688839.74</v>
      </c>
      <c r="I5650" s="1399">
        <v>2688839.74</v>
      </c>
    </row>
    <row r="5651" spans="2:9">
      <c r="B5651" s="1297"/>
      <c r="C5651" s="1297"/>
      <c r="D5651" s="1297" t="s">
        <v>946</v>
      </c>
      <c r="E5651" s="1399">
        <v>232432.88</v>
      </c>
      <c r="I5651" s="1399">
        <v>232432.88</v>
      </c>
    </row>
    <row r="5652" spans="2:9">
      <c r="B5652" s="1297"/>
      <c r="C5652" s="1297"/>
      <c r="D5652" s="1297" t="s">
        <v>978</v>
      </c>
      <c r="E5652" s="1399">
        <v>25005.01</v>
      </c>
      <c r="I5652" s="1399">
        <v>25005.01</v>
      </c>
    </row>
    <row r="5653" spans="2:9">
      <c r="B5653" s="1297"/>
      <c r="C5653" s="1297"/>
      <c r="D5653" s="1297" t="s">
        <v>1214</v>
      </c>
      <c r="E5653" s="1399">
        <v>209933.95</v>
      </c>
      <c r="I5653" s="1399">
        <v>209933.95</v>
      </c>
    </row>
    <row r="5654" spans="2:9">
      <c r="B5654" s="1297"/>
      <c r="C5654" s="1297"/>
      <c r="D5654" s="1297" t="s">
        <v>947</v>
      </c>
      <c r="E5654" s="1399">
        <v>183416.72999999998</v>
      </c>
      <c r="I5654" s="1399">
        <v>183416.72999999998</v>
      </c>
    </row>
    <row r="5655" spans="2:9">
      <c r="B5655" s="1297"/>
      <c r="C5655" s="1297"/>
      <c r="D5655" s="1297" t="s">
        <v>948</v>
      </c>
      <c r="G5655" s="1399">
        <v>39470728.50999999</v>
      </c>
      <c r="I5655" s="1399">
        <v>39470728.50999999</v>
      </c>
    </row>
    <row r="5656" spans="2:9">
      <c r="B5656" s="1297"/>
      <c r="C5656" s="1297"/>
      <c r="D5656" s="1297" t="s">
        <v>1167</v>
      </c>
      <c r="G5656" s="1399">
        <v>3000</v>
      </c>
      <c r="I5656" s="1399">
        <v>3000</v>
      </c>
    </row>
    <row r="5657" spans="2:9">
      <c r="B5657" s="1297"/>
      <c r="C5657" s="1400" t="s">
        <v>1582</v>
      </c>
      <c r="D5657" s="1400"/>
      <c r="E5657" s="1401">
        <v>10537345.850000001</v>
      </c>
      <c r="F5657" s="1401">
        <v>21281053.750000004</v>
      </c>
      <c r="G5657" s="1401">
        <v>39473728.50999999</v>
      </c>
      <c r="H5657" s="1401">
        <v>34161038.210000001</v>
      </c>
      <c r="I5657" s="1401">
        <v>105453166.31999999</v>
      </c>
    </row>
    <row r="5658" spans="2:9">
      <c r="B5658" s="1297" t="s">
        <v>1583</v>
      </c>
      <c r="C5658" s="1297" t="s">
        <v>1584</v>
      </c>
      <c r="D5658" s="1297" t="s">
        <v>906</v>
      </c>
      <c r="F5658" s="1399">
        <v>2944988.6999999997</v>
      </c>
      <c r="I5658" s="1399">
        <v>2944988.6999999997</v>
      </c>
    </row>
    <row r="5659" spans="2:9">
      <c r="B5659" s="1297"/>
      <c r="C5659" s="1297"/>
      <c r="D5659" s="1297" t="s">
        <v>952</v>
      </c>
      <c r="F5659" s="1399">
        <v>7530.3899999999994</v>
      </c>
      <c r="I5659" s="1399">
        <v>7530.3899999999994</v>
      </c>
    </row>
    <row r="5660" spans="2:9">
      <c r="B5660" s="1297"/>
      <c r="C5660" s="1297"/>
      <c r="D5660" s="1297" t="s">
        <v>907</v>
      </c>
      <c r="F5660" s="1399">
        <v>732014.62</v>
      </c>
      <c r="I5660" s="1399">
        <v>732014.62</v>
      </c>
    </row>
    <row r="5661" spans="2:9">
      <c r="B5661" s="1297"/>
      <c r="C5661" s="1297"/>
      <c r="D5661" s="1297" t="s">
        <v>908</v>
      </c>
      <c r="F5661" s="1399">
        <v>34649.550000000003</v>
      </c>
      <c r="I5661" s="1399">
        <v>34649.550000000003</v>
      </c>
    </row>
    <row r="5662" spans="2:9">
      <c r="B5662" s="1297"/>
      <c r="C5662" s="1297"/>
      <c r="D5662" s="1297" t="s">
        <v>1034</v>
      </c>
      <c r="F5662" s="1399">
        <v>2156.37</v>
      </c>
      <c r="I5662" s="1399">
        <v>2156.37</v>
      </c>
    </row>
    <row r="5663" spans="2:9">
      <c r="B5663" s="1297"/>
      <c r="C5663" s="1297"/>
      <c r="D5663" s="1297" t="s">
        <v>1036</v>
      </c>
      <c r="F5663" s="1399">
        <v>38725.339999999997</v>
      </c>
      <c r="I5663" s="1399">
        <v>38725.339999999997</v>
      </c>
    </row>
    <row r="5664" spans="2:9">
      <c r="B5664" s="1297"/>
      <c r="C5664" s="1297"/>
      <c r="D5664" s="1297" t="s">
        <v>1039</v>
      </c>
      <c r="F5664" s="1399">
        <v>4310.63</v>
      </c>
      <c r="I5664" s="1399">
        <v>4310.63</v>
      </c>
    </row>
    <row r="5665" spans="2:9">
      <c r="B5665" s="1297"/>
      <c r="C5665" s="1297"/>
      <c r="D5665" s="1297" t="s">
        <v>1041</v>
      </c>
      <c r="F5665" s="1399">
        <v>18386.3</v>
      </c>
      <c r="I5665" s="1399">
        <v>18386.3</v>
      </c>
    </row>
    <row r="5666" spans="2:9">
      <c r="B5666" s="1297"/>
      <c r="C5666" s="1297"/>
      <c r="D5666" s="1297" t="s">
        <v>1042</v>
      </c>
      <c r="F5666" s="1399">
        <v>6695</v>
      </c>
      <c r="I5666" s="1399">
        <v>6695</v>
      </c>
    </row>
    <row r="5667" spans="2:9">
      <c r="B5667" s="1297"/>
      <c r="C5667" s="1297"/>
      <c r="D5667" s="1297" t="s">
        <v>1043</v>
      </c>
      <c r="F5667" s="1399">
        <v>300</v>
      </c>
      <c r="I5667" s="1399">
        <v>300</v>
      </c>
    </row>
    <row r="5668" spans="2:9">
      <c r="B5668" s="1297"/>
      <c r="C5668" s="1297"/>
      <c r="D5668" s="1297" t="s">
        <v>1045</v>
      </c>
      <c r="F5668" s="1399">
        <v>114950.33</v>
      </c>
      <c r="I5668" s="1399">
        <v>114950.33</v>
      </c>
    </row>
    <row r="5669" spans="2:9">
      <c r="B5669" s="1297"/>
      <c r="C5669" s="1297"/>
      <c r="D5669" s="1297" t="s">
        <v>1046</v>
      </c>
      <c r="H5669" s="1399">
        <v>3995895</v>
      </c>
      <c r="I5669" s="1399">
        <v>3995895</v>
      </c>
    </row>
    <row r="5670" spans="2:9">
      <c r="B5670" s="1297"/>
      <c r="C5670" s="1297"/>
      <c r="D5670" s="1297" t="s">
        <v>1129</v>
      </c>
      <c r="H5670" s="1399">
        <v>-350451</v>
      </c>
      <c r="I5670" s="1399">
        <v>-350451</v>
      </c>
    </row>
    <row r="5671" spans="2:9">
      <c r="B5671" s="1297"/>
      <c r="C5671" s="1297"/>
      <c r="D5671" s="1297" t="s">
        <v>1047</v>
      </c>
      <c r="H5671" s="1399">
        <v>375970</v>
      </c>
      <c r="I5671" s="1399">
        <v>375970</v>
      </c>
    </row>
    <row r="5672" spans="2:9">
      <c r="B5672" s="1297"/>
      <c r="C5672" s="1297"/>
      <c r="D5672" s="1297" t="s">
        <v>1048</v>
      </c>
      <c r="H5672" s="1399">
        <v>-785060</v>
      </c>
      <c r="I5672" s="1399">
        <v>-785060</v>
      </c>
    </row>
    <row r="5673" spans="2:9">
      <c r="B5673" s="1297"/>
      <c r="C5673" s="1297"/>
      <c r="D5673" s="1297" t="s">
        <v>955</v>
      </c>
      <c r="H5673" s="1399">
        <v>143749.68</v>
      </c>
      <c r="I5673" s="1399">
        <v>143749.68</v>
      </c>
    </row>
    <row r="5674" spans="2:9">
      <c r="B5674" s="1297"/>
      <c r="C5674" s="1297"/>
      <c r="D5674" s="1297" t="s">
        <v>934</v>
      </c>
      <c r="H5674" s="1399">
        <v>14702</v>
      </c>
      <c r="I5674" s="1399">
        <v>14702</v>
      </c>
    </row>
    <row r="5675" spans="2:9">
      <c r="B5675" s="1297"/>
      <c r="C5675" s="1297"/>
      <c r="D5675" s="1297" t="s">
        <v>935</v>
      </c>
      <c r="H5675" s="1399">
        <v>224803.77</v>
      </c>
      <c r="I5675" s="1399">
        <v>224803.77</v>
      </c>
    </row>
    <row r="5676" spans="2:9">
      <c r="B5676" s="1297"/>
      <c r="C5676" s="1297"/>
      <c r="D5676" s="1297" t="s">
        <v>936</v>
      </c>
      <c r="H5676" s="1399">
        <v>11554.97</v>
      </c>
      <c r="I5676" s="1399">
        <v>11554.97</v>
      </c>
    </row>
    <row r="5677" spans="2:9">
      <c r="B5677" s="1297"/>
      <c r="C5677" s="1297"/>
      <c r="D5677" s="1297" t="s">
        <v>937</v>
      </c>
      <c r="H5677" s="1399">
        <v>2523.85</v>
      </c>
      <c r="I5677" s="1399">
        <v>2523.85</v>
      </c>
    </row>
    <row r="5678" spans="2:9">
      <c r="B5678" s="1297"/>
      <c r="C5678" s="1297"/>
      <c r="D5678" s="1297" t="s">
        <v>938</v>
      </c>
      <c r="H5678" s="1399">
        <v>5802</v>
      </c>
      <c r="I5678" s="1399">
        <v>5802</v>
      </c>
    </row>
    <row r="5679" spans="2:9">
      <c r="B5679" s="1297"/>
      <c r="C5679" s="1297"/>
      <c r="D5679" s="1297" t="s">
        <v>940</v>
      </c>
      <c r="E5679" s="1399">
        <v>276932.54000000004</v>
      </c>
      <c r="I5679" s="1399">
        <v>276932.54000000004</v>
      </c>
    </row>
    <row r="5680" spans="2:9">
      <c r="B5680" s="1297"/>
      <c r="C5680" s="1297"/>
      <c r="D5680" s="1297" t="s">
        <v>941</v>
      </c>
      <c r="E5680" s="1399">
        <v>153494.74</v>
      </c>
      <c r="I5680" s="1399">
        <v>153494.74</v>
      </c>
    </row>
    <row r="5681" spans="2:9">
      <c r="B5681" s="1297"/>
      <c r="C5681" s="1297"/>
      <c r="D5681" s="1297" t="s">
        <v>943</v>
      </c>
      <c r="E5681" s="1399">
        <v>12988.42</v>
      </c>
      <c r="I5681" s="1399">
        <v>12988.42</v>
      </c>
    </row>
    <row r="5682" spans="2:9">
      <c r="B5682" s="1297"/>
      <c r="C5682" s="1297"/>
      <c r="D5682" s="1297" t="s">
        <v>944</v>
      </c>
      <c r="E5682" s="1399">
        <v>1112281.5999999999</v>
      </c>
      <c r="I5682" s="1399">
        <v>1112281.5999999999</v>
      </c>
    </row>
    <row r="5683" spans="2:9">
      <c r="B5683" s="1297"/>
      <c r="C5683" s="1297"/>
      <c r="D5683" s="1297" t="s">
        <v>945</v>
      </c>
      <c r="E5683" s="1399">
        <v>180829.36</v>
      </c>
      <c r="I5683" s="1399">
        <v>180829.36</v>
      </c>
    </row>
    <row r="5684" spans="2:9">
      <c r="B5684" s="1297"/>
      <c r="C5684" s="1297"/>
      <c r="D5684" s="1297" t="s">
        <v>947</v>
      </c>
      <c r="E5684" s="1399">
        <v>8230.16</v>
      </c>
      <c r="I5684" s="1399">
        <v>8230.16</v>
      </c>
    </row>
    <row r="5685" spans="2:9">
      <c r="B5685" s="1297"/>
      <c r="C5685" s="1297"/>
      <c r="D5685" s="1297" t="s">
        <v>1115</v>
      </c>
      <c r="E5685" s="1399">
        <v>42870.44</v>
      </c>
      <c r="I5685" s="1399">
        <v>42870.44</v>
      </c>
    </row>
    <row r="5686" spans="2:9">
      <c r="B5686" s="1297"/>
      <c r="C5686" s="1297"/>
      <c r="D5686" s="1297" t="s">
        <v>948</v>
      </c>
      <c r="G5686" s="1399">
        <v>25368.55</v>
      </c>
      <c r="I5686" s="1399">
        <v>25368.55</v>
      </c>
    </row>
    <row r="5687" spans="2:9">
      <c r="B5687" s="1297"/>
      <c r="C5687" s="1297"/>
      <c r="D5687" s="1297" t="s">
        <v>1118</v>
      </c>
      <c r="G5687" s="1399">
        <v>36315.129999999997</v>
      </c>
      <c r="I5687" s="1399">
        <v>36315.129999999997</v>
      </c>
    </row>
    <row r="5688" spans="2:9">
      <c r="B5688" s="1297"/>
      <c r="C5688" s="1400" t="s">
        <v>1585</v>
      </c>
      <c r="D5688" s="1400"/>
      <c r="E5688" s="1401">
        <v>1787627.2599999995</v>
      </c>
      <c r="F5688" s="1401">
        <v>3904707.2299999995</v>
      </c>
      <c r="G5688" s="1401">
        <v>61683.679999999993</v>
      </c>
      <c r="H5688" s="1401">
        <v>3639490.2700000005</v>
      </c>
      <c r="I5688" s="1401">
        <v>9393508.4399999995</v>
      </c>
    </row>
    <row r="5689" spans="2:9">
      <c r="B5689" s="1297" t="s">
        <v>1586</v>
      </c>
      <c r="C5689" s="1297" t="s">
        <v>1587</v>
      </c>
      <c r="D5689" s="1297" t="s">
        <v>906</v>
      </c>
      <c r="F5689" s="1399">
        <v>12107414.76</v>
      </c>
      <c r="I5689" s="1399">
        <v>12107414.76</v>
      </c>
    </row>
    <row r="5690" spans="2:9">
      <c r="B5690" s="1297"/>
      <c r="C5690" s="1297"/>
      <c r="D5690" s="1297" t="s">
        <v>952</v>
      </c>
      <c r="F5690" s="1399">
        <v>13418.32</v>
      </c>
      <c r="I5690" s="1399">
        <v>13418.32</v>
      </c>
    </row>
    <row r="5691" spans="2:9">
      <c r="B5691" s="1297"/>
      <c r="C5691" s="1297"/>
      <c r="D5691" s="1297" t="s">
        <v>907</v>
      </c>
      <c r="F5691" s="1399">
        <v>2863935.14</v>
      </c>
      <c r="I5691" s="1399">
        <v>2863935.14</v>
      </c>
    </row>
    <row r="5692" spans="2:9">
      <c r="B5692" s="1297"/>
      <c r="C5692" s="1297"/>
      <c r="D5692" s="1297" t="s">
        <v>908</v>
      </c>
      <c r="F5692" s="1399">
        <v>50245.9</v>
      </c>
      <c r="I5692" s="1399">
        <v>50245.9</v>
      </c>
    </row>
    <row r="5693" spans="2:9">
      <c r="B5693" s="1297"/>
      <c r="C5693" s="1297"/>
      <c r="D5693" s="1297" t="s">
        <v>1036</v>
      </c>
      <c r="F5693" s="1399">
        <v>71531</v>
      </c>
      <c r="I5693" s="1399">
        <v>71531</v>
      </c>
    </row>
    <row r="5694" spans="2:9">
      <c r="B5694" s="1297"/>
      <c r="C5694" s="1297"/>
      <c r="D5694" s="1297" t="s">
        <v>1039</v>
      </c>
      <c r="F5694" s="1399">
        <v>151087.62</v>
      </c>
      <c r="I5694" s="1399">
        <v>151087.62</v>
      </c>
    </row>
    <row r="5695" spans="2:9">
      <c r="B5695" s="1297"/>
      <c r="C5695" s="1297"/>
      <c r="D5695" s="1297" t="s">
        <v>1041</v>
      </c>
      <c r="F5695" s="1399">
        <v>31115.86</v>
      </c>
      <c r="I5695" s="1399">
        <v>31115.86</v>
      </c>
    </row>
    <row r="5696" spans="2:9">
      <c r="B5696" s="1297"/>
      <c r="C5696" s="1297"/>
      <c r="D5696" s="1297" t="s">
        <v>1042</v>
      </c>
      <c r="F5696" s="1399">
        <v>55794.15</v>
      </c>
      <c r="I5696" s="1399">
        <v>55794.15</v>
      </c>
    </row>
    <row r="5697" spans="2:9">
      <c r="B5697" s="1297"/>
      <c r="C5697" s="1297"/>
      <c r="D5697" s="1297" t="s">
        <v>954</v>
      </c>
      <c r="F5697" s="1399">
        <v>350834.12</v>
      </c>
      <c r="I5697" s="1399">
        <v>350834.12</v>
      </c>
    </row>
    <row r="5698" spans="2:9">
      <c r="B5698" s="1297"/>
      <c r="C5698" s="1297"/>
      <c r="D5698" s="1297" t="s">
        <v>986</v>
      </c>
      <c r="F5698" s="1399">
        <v>31114.570000000003</v>
      </c>
      <c r="I5698" s="1399">
        <v>31114.570000000003</v>
      </c>
    </row>
    <row r="5699" spans="2:9">
      <c r="B5699" s="1297"/>
      <c r="C5699" s="1297"/>
      <c r="D5699" s="1297" t="s">
        <v>1045</v>
      </c>
      <c r="F5699" s="1399">
        <v>656357.26000000013</v>
      </c>
      <c r="I5699" s="1399">
        <v>656357.26000000013</v>
      </c>
    </row>
    <row r="5700" spans="2:9">
      <c r="B5700" s="1297"/>
      <c r="C5700" s="1297"/>
      <c r="D5700" s="1297" t="s">
        <v>1046</v>
      </c>
      <c r="H5700" s="1399">
        <v>15739766</v>
      </c>
      <c r="I5700" s="1399">
        <v>15739766</v>
      </c>
    </row>
    <row r="5701" spans="2:9">
      <c r="B5701" s="1297"/>
      <c r="C5701" s="1297"/>
      <c r="D5701" s="1297" t="s">
        <v>1128</v>
      </c>
      <c r="H5701" s="1399">
        <v>1424229</v>
      </c>
      <c r="I5701" s="1399">
        <v>1424229</v>
      </c>
    </row>
    <row r="5702" spans="2:9">
      <c r="B5702" s="1297"/>
      <c r="C5702" s="1297"/>
      <c r="D5702" s="1297" t="s">
        <v>1129</v>
      </c>
      <c r="H5702" s="1399">
        <v>-2117800</v>
      </c>
      <c r="I5702" s="1399">
        <v>-2117800</v>
      </c>
    </row>
    <row r="5703" spans="2:9">
      <c r="B5703" s="1297"/>
      <c r="C5703" s="1297"/>
      <c r="D5703" s="1297" t="s">
        <v>1047</v>
      </c>
      <c r="H5703" s="1399">
        <v>855415</v>
      </c>
      <c r="I5703" s="1399">
        <v>855415</v>
      </c>
    </row>
    <row r="5704" spans="2:9">
      <c r="B5704" s="1297"/>
      <c r="C5704" s="1297"/>
      <c r="D5704" s="1297" t="s">
        <v>1048</v>
      </c>
      <c r="H5704" s="1399">
        <v>-3747202</v>
      </c>
      <c r="I5704" s="1399">
        <v>-3747202</v>
      </c>
    </row>
    <row r="5705" spans="2:9">
      <c r="B5705" s="1297"/>
      <c r="C5705" s="1297"/>
      <c r="D5705" s="1297" t="s">
        <v>955</v>
      </c>
      <c r="H5705" s="1399">
        <v>338323.8</v>
      </c>
      <c r="I5705" s="1399">
        <v>338323.8</v>
      </c>
    </row>
    <row r="5706" spans="2:9">
      <c r="B5706" s="1297"/>
      <c r="C5706" s="1297"/>
      <c r="D5706" s="1297" t="s">
        <v>934</v>
      </c>
      <c r="H5706" s="1399">
        <v>59310</v>
      </c>
      <c r="I5706" s="1399">
        <v>59310</v>
      </c>
    </row>
    <row r="5707" spans="2:9">
      <c r="B5707" s="1297"/>
      <c r="C5707" s="1297"/>
      <c r="D5707" s="1297" t="s">
        <v>935</v>
      </c>
      <c r="H5707" s="1399">
        <v>354610.69</v>
      </c>
      <c r="I5707" s="1399">
        <v>354610.69</v>
      </c>
    </row>
    <row r="5708" spans="2:9">
      <c r="B5708" s="1297"/>
      <c r="C5708" s="1297"/>
      <c r="D5708" s="1297" t="s">
        <v>936</v>
      </c>
      <c r="H5708" s="1399">
        <v>44118.97</v>
      </c>
      <c r="I5708" s="1399">
        <v>44118.97</v>
      </c>
    </row>
    <row r="5709" spans="2:9">
      <c r="B5709" s="1297"/>
      <c r="C5709" s="1297"/>
      <c r="D5709" s="1297" t="s">
        <v>938</v>
      </c>
      <c r="H5709" s="1399">
        <v>14411</v>
      </c>
      <c r="I5709" s="1399">
        <v>14411</v>
      </c>
    </row>
    <row r="5710" spans="2:9">
      <c r="B5710" s="1297"/>
      <c r="C5710" s="1297"/>
      <c r="D5710" s="1297" t="s">
        <v>939</v>
      </c>
      <c r="H5710" s="1399">
        <v>59250</v>
      </c>
      <c r="I5710" s="1399">
        <v>59250</v>
      </c>
    </row>
    <row r="5711" spans="2:9">
      <c r="B5711" s="1297"/>
      <c r="C5711" s="1297"/>
      <c r="D5711" s="1297" t="s">
        <v>1131</v>
      </c>
      <c r="E5711" s="1399">
        <v>59690.68</v>
      </c>
      <c r="I5711" s="1399">
        <v>59690.68</v>
      </c>
    </row>
    <row r="5712" spans="2:9">
      <c r="B5712" s="1297"/>
      <c r="C5712" s="1297"/>
      <c r="D5712" s="1297" t="s">
        <v>940</v>
      </c>
      <c r="E5712" s="1399">
        <v>938953.54</v>
      </c>
      <c r="I5712" s="1399">
        <v>938953.54</v>
      </c>
    </row>
    <row r="5713" spans="2:9">
      <c r="B5713" s="1297"/>
      <c r="C5713" s="1297"/>
      <c r="D5713" s="1297" t="s">
        <v>941</v>
      </c>
      <c r="E5713" s="1399">
        <v>409353.14</v>
      </c>
      <c r="I5713" s="1399">
        <v>409353.14</v>
      </c>
    </row>
    <row r="5714" spans="2:9">
      <c r="B5714" s="1297"/>
      <c r="C5714" s="1297"/>
      <c r="D5714" s="1297" t="s">
        <v>943</v>
      </c>
      <c r="E5714" s="1399">
        <v>2675.1</v>
      </c>
      <c r="I5714" s="1399">
        <v>2675.1</v>
      </c>
    </row>
    <row r="5715" spans="2:9">
      <c r="B5715" s="1297"/>
      <c r="C5715" s="1297"/>
      <c r="D5715" s="1297" t="s">
        <v>944</v>
      </c>
      <c r="E5715" s="1399">
        <v>2610053.92</v>
      </c>
      <c r="I5715" s="1399">
        <v>2610053.92</v>
      </c>
    </row>
    <row r="5716" spans="2:9">
      <c r="B5716" s="1297"/>
      <c r="C5716" s="1297"/>
      <c r="D5716" s="1297" t="s">
        <v>945</v>
      </c>
      <c r="E5716" s="1399">
        <v>2179305.58</v>
      </c>
      <c r="I5716" s="1399">
        <v>2179305.58</v>
      </c>
    </row>
    <row r="5717" spans="2:9">
      <c r="B5717" s="1297"/>
      <c r="C5717" s="1297"/>
      <c r="D5717" s="1297" t="s">
        <v>946</v>
      </c>
      <c r="E5717" s="1399">
        <v>38303.760000000002</v>
      </c>
      <c r="I5717" s="1399">
        <v>38303.760000000002</v>
      </c>
    </row>
    <row r="5718" spans="2:9">
      <c r="B5718" s="1297"/>
      <c r="C5718" s="1297"/>
      <c r="D5718" s="1297" t="s">
        <v>978</v>
      </c>
      <c r="E5718" s="1399">
        <v>231246.03</v>
      </c>
      <c r="I5718" s="1399">
        <v>231246.03</v>
      </c>
    </row>
    <row r="5719" spans="2:9">
      <c r="B5719" s="1297"/>
      <c r="C5719" s="1297"/>
      <c r="D5719" s="1297" t="s">
        <v>947</v>
      </c>
      <c r="E5719" s="1399">
        <v>97371.08</v>
      </c>
      <c r="I5719" s="1399">
        <v>97371.08</v>
      </c>
    </row>
    <row r="5720" spans="2:9">
      <c r="B5720" s="1297"/>
      <c r="C5720" s="1297"/>
      <c r="D5720" s="1297" t="s">
        <v>948</v>
      </c>
      <c r="G5720" s="1399">
        <v>164148.74</v>
      </c>
      <c r="I5720" s="1399">
        <v>164148.74</v>
      </c>
    </row>
    <row r="5721" spans="2:9">
      <c r="B5721" s="1297"/>
      <c r="C5721" s="1400" t="s">
        <v>1588</v>
      </c>
      <c r="D5721" s="1400"/>
      <c r="E5721" s="1401">
        <v>6566952.8300000001</v>
      </c>
      <c r="F5721" s="1401">
        <v>16382848.699999999</v>
      </c>
      <c r="G5721" s="1401">
        <v>164148.74</v>
      </c>
      <c r="H5721" s="1401">
        <v>13024432.460000001</v>
      </c>
      <c r="I5721" s="1401">
        <v>36138382.729999997</v>
      </c>
    </row>
    <row r="5722" spans="2:9">
      <c r="B5722" s="1297" t="s">
        <v>1589</v>
      </c>
      <c r="C5722" s="1297" t="s">
        <v>1590</v>
      </c>
      <c r="D5722" s="1297" t="s">
        <v>906</v>
      </c>
      <c r="F5722" s="1399">
        <v>11318825.23</v>
      </c>
      <c r="I5722" s="1399">
        <v>11318825.23</v>
      </c>
    </row>
    <row r="5723" spans="2:9">
      <c r="B5723" s="1297"/>
      <c r="C5723" s="1297"/>
      <c r="D5723" s="1297" t="s">
        <v>952</v>
      </c>
      <c r="F5723" s="1399">
        <v>84442.18</v>
      </c>
      <c r="I5723" s="1399">
        <v>84442.18</v>
      </c>
    </row>
    <row r="5724" spans="2:9">
      <c r="B5724" s="1297"/>
      <c r="C5724" s="1297"/>
      <c r="D5724" s="1297" t="s">
        <v>907</v>
      </c>
      <c r="F5724" s="1399">
        <v>4264619.97</v>
      </c>
      <c r="I5724" s="1399">
        <v>4264619.97</v>
      </c>
    </row>
    <row r="5725" spans="2:9">
      <c r="B5725" s="1297"/>
      <c r="C5725" s="1297"/>
      <c r="D5725" s="1297" t="s">
        <v>908</v>
      </c>
      <c r="F5725" s="1399">
        <v>59062.35</v>
      </c>
      <c r="I5725" s="1399">
        <v>59062.35</v>
      </c>
    </row>
    <row r="5726" spans="2:9">
      <c r="B5726" s="1297"/>
      <c r="C5726" s="1297"/>
      <c r="D5726" s="1297" t="s">
        <v>909</v>
      </c>
      <c r="F5726" s="1399">
        <v>43084.02</v>
      </c>
      <c r="I5726" s="1399">
        <v>43084.02</v>
      </c>
    </row>
    <row r="5727" spans="2:9">
      <c r="B5727" s="1297"/>
      <c r="C5727" s="1297"/>
      <c r="D5727" s="1297" t="s">
        <v>910</v>
      </c>
      <c r="F5727" s="1399">
        <v>49369.47</v>
      </c>
      <c r="I5727" s="1399">
        <v>49369.47</v>
      </c>
    </row>
    <row r="5728" spans="2:9">
      <c r="B5728" s="1297"/>
      <c r="C5728" s="1297"/>
      <c r="D5728" s="1297" t="s">
        <v>1034</v>
      </c>
      <c r="F5728" s="1399">
        <v>183648.82</v>
      </c>
      <c r="I5728" s="1399">
        <v>183648.82</v>
      </c>
    </row>
    <row r="5729" spans="2:9">
      <c r="B5729" s="1297"/>
      <c r="C5729" s="1297"/>
      <c r="D5729" s="1297" t="s">
        <v>1035</v>
      </c>
      <c r="F5729" s="1399">
        <v>624024.47</v>
      </c>
      <c r="I5729" s="1399">
        <v>624024.47</v>
      </c>
    </row>
    <row r="5730" spans="2:9">
      <c r="B5730" s="1297"/>
      <c r="C5730" s="1297"/>
      <c r="D5730" s="1297" t="s">
        <v>1036</v>
      </c>
      <c r="F5730" s="1399">
        <v>172395.11</v>
      </c>
      <c r="I5730" s="1399">
        <v>172395.11</v>
      </c>
    </row>
    <row r="5731" spans="2:9">
      <c r="B5731" s="1297"/>
      <c r="C5731" s="1297"/>
      <c r="D5731" s="1297" t="s">
        <v>1037</v>
      </c>
      <c r="F5731" s="1399">
        <v>607.29999999999995</v>
      </c>
      <c r="I5731" s="1399">
        <v>607.29999999999995</v>
      </c>
    </row>
    <row r="5732" spans="2:9">
      <c r="B5732" s="1297"/>
      <c r="C5732" s="1297"/>
      <c r="D5732" s="1297" t="s">
        <v>1038</v>
      </c>
      <c r="F5732" s="1399">
        <v>0</v>
      </c>
      <c r="I5732" s="1399">
        <v>0</v>
      </c>
    </row>
    <row r="5733" spans="2:9">
      <c r="B5733" s="1297"/>
      <c r="C5733" s="1297"/>
      <c r="D5733" s="1297" t="s">
        <v>1039</v>
      </c>
      <c r="F5733" s="1399">
        <v>30682.859999999997</v>
      </c>
      <c r="I5733" s="1399">
        <v>30682.859999999997</v>
      </c>
    </row>
    <row r="5734" spans="2:9">
      <c r="B5734" s="1297"/>
      <c r="C5734" s="1297"/>
      <c r="D5734" s="1297" t="s">
        <v>1040</v>
      </c>
      <c r="F5734" s="1399">
        <v>484868.84999999992</v>
      </c>
      <c r="I5734" s="1399">
        <v>484868.84999999992</v>
      </c>
    </row>
    <row r="5735" spans="2:9">
      <c r="B5735" s="1297"/>
      <c r="C5735" s="1297"/>
      <c r="D5735" s="1297" t="s">
        <v>1041</v>
      </c>
      <c r="F5735" s="1399">
        <v>133814.39999999999</v>
      </c>
      <c r="I5735" s="1399">
        <v>133814.39999999999</v>
      </c>
    </row>
    <row r="5736" spans="2:9">
      <c r="B5736" s="1297"/>
      <c r="C5736" s="1297"/>
      <c r="D5736" s="1297" t="s">
        <v>1042</v>
      </c>
      <c r="F5736" s="1399">
        <v>85772.329999999987</v>
      </c>
      <c r="I5736" s="1399">
        <v>85772.329999999987</v>
      </c>
    </row>
    <row r="5737" spans="2:9">
      <c r="B5737" s="1297"/>
      <c r="C5737" s="1297"/>
      <c r="D5737" s="1297" t="s">
        <v>1043</v>
      </c>
      <c r="F5737" s="1399">
        <v>8789.3799999999992</v>
      </c>
      <c r="I5737" s="1399">
        <v>8789.3799999999992</v>
      </c>
    </row>
    <row r="5738" spans="2:9">
      <c r="B5738" s="1297"/>
      <c r="C5738" s="1297"/>
      <c r="D5738" s="1297" t="s">
        <v>986</v>
      </c>
      <c r="F5738" s="1399">
        <v>9003.7999999999993</v>
      </c>
      <c r="I5738" s="1399">
        <v>9003.7999999999993</v>
      </c>
    </row>
    <row r="5739" spans="2:9">
      <c r="B5739" s="1297"/>
      <c r="C5739" s="1297"/>
      <c r="D5739" s="1297" t="s">
        <v>1045</v>
      </c>
      <c r="F5739" s="1399">
        <v>145748.15</v>
      </c>
      <c r="I5739" s="1399">
        <v>145748.15</v>
      </c>
    </row>
    <row r="5740" spans="2:9">
      <c r="B5740" s="1297"/>
      <c r="C5740" s="1297"/>
      <c r="D5740" s="1297" t="s">
        <v>1046</v>
      </c>
      <c r="H5740" s="1399">
        <v>26084232</v>
      </c>
      <c r="I5740" s="1399">
        <v>26084232</v>
      </c>
    </row>
    <row r="5741" spans="2:9">
      <c r="B5741" s="1297"/>
      <c r="C5741" s="1297"/>
      <c r="D5741" s="1297" t="s">
        <v>1128</v>
      </c>
      <c r="H5741" s="1399">
        <v>2356501</v>
      </c>
      <c r="I5741" s="1399">
        <v>2356501</v>
      </c>
    </row>
    <row r="5742" spans="2:9">
      <c r="B5742" s="1297"/>
      <c r="C5742" s="1297"/>
      <c r="D5742" s="1297" t="s">
        <v>1129</v>
      </c>
      <c r="H5742" s="1399">
        <v>-3791707</v>
      </c>
      <c r="I5742" s="1399">
        <v>-3791707</v>
      </c>
    </row>
    <row r="5743" spans="2:9">
      <c r="B5743" s="1297"/>
      <c r="C5743" s="1297"/>
      <c r="D5743" s="1297" t="s">
        <v>1047</v>
      </c>
      <c r="H5743" s="1399">
        <v>755392</v>
      </c>
      <c r="I5743" s="1399">
        <v>755392</v>
      </c>
    </row>
    <row r="5744" spans="2:9">
      <c r="B5744" s="1297"/>
      <c r="C5744" s="1297"/>
      <c r="D5744" s="1297" t="s">
        <v>1048</v>
      </c>
      <c r="H5744" s="1399">
        <v>-3804959</v>
      </c>
      <c r="I5744" s="1399">
        <v>-3804959</v>
      </c>
    </row>
    <row r="5745" spans="2:9">
      <c r="B5745" s="1297"/>
      <c r="C5745" s="1297"/>
      <c r="D5745" s="1297" t="s">
        <v>932</v>
      </c>
      <c r="H5745" s="1399">
        <v>1895689</v>
      </c>
      <c r="I5745" s="1399">
        <v>1895689</v>
      </c>
    </row>
    <row r="5746" spans="2:9">
      <c r="B5746" s="1297"/>
      <c r="C5746" s="1297"/>
      <c r="D5746" s="1297" t="s">
        <v>955</v>
      </c>
      <c r="H5746" s="1399">
        <v>1658782.25</v>
      </c>
      <c r="I5746" s="1399">
        <v>1658782.25</v>
      </c>
    </row>
    <row r="5747" spans="2:9">
      <c r="B5747" s="1297"/>
      <c r="C5747" s="1297"/>
      <c r="D5747" s="1297" t="s">
        <v>934</v>
      </c>
      <c r="H5747" s="1399">
        <v>88940</v>
      </c>
      <c r="I5747" s="1399">
        <v>88940</v>
      </c>
    </row>
    <row r="5748" spans="2:9">
      <c r="B5748" s="1297"/>
      <c r="C5748" s="1297"/>
      <c r="D5748" s="1297" t="s">
        <v>1130</v>
      </c>
      <c r="H5748" s="1399">
        <v>3011303.1</v>
      </c>
      <c r="I5748" s="1399">
        <v>3011303.1</v>
      </c>
    </row>
    <row r="5749" spans="2:9">
      <c r="B5749" s="1297"/>
      <c r="C5749" s="1297"/>
      <c r="D5749" s="1297" t="s">
        <v>935</v>
      </c>
      <c r="H5749" s="1399">
        <v>513630.05</v>
      </c>
      <c r="I5749" s="1399">
        <v>513630.05</v>
      </c>
    </row>
    <row r="5750" spans="2:9">
      <c r="B5750" s="1297"/>
      <c r="C5750" s="1297"/>
      <c r="D5750" s="1297" t="s">
        <v>936</v>
      </c>
      <c r="H5750" s="1399">
        <v>80184.47</v>
      </c>
      <c r="I5750" s="1399">
        <v>80184.47</v>
      </c>
    </row>
    <row r="5751" spans="2:9">
      <c r="B5751" s="1297"/>
      <c r="C5751" s="1297"/>
      <c r="D5751" s="1297" t="s">
        <v>937</v>
      </c>
      <c r="H5751" s="1399">
        <v>43887.39</v>
      </c>
      <c r="I5751" s="1399">
        <v>43887.39</v>
      </c>
    </row>
    <row r="5752" spans="2:9">
      <c r="B5752" s="1297"/>
      <c r="C5752" s="1297"/>
      <c r="D5752" s="1297" t="s">
        <v>938</v>
      </c>
      <c r="H5752" s="1399">
        <v>30133</v>
      </c>
      <c r="I5752" s="1399">
        <v>30133</v>
      </c>
    </row>
    <row r="5753" spans="2:9">
      <c r="B5753" s="1297"/>
      <c r="C5753" s="1297"/>
      <c r="D5753" s="1297" t="s">
        <v>939</v>
      </c>
      <c r="H5753" s="1399">
        <v>52213.52</v>
      </c>
      <c r="I5753" s="1399">
        <v>52213.52</v>
      </c>
    </row>
    <row r="5754" spans="2:9">
      <c r="B5754" s="1297"/>
      <c r="C5754" s="1297"/>
      <c r="D5754" s="1297" t="s">
        <v>940</v>
      </c>
      <c r="E5754" s="1399">
        <v>1581180.06</v>
      </c>
      <c r="I5754" s="1399">
        <v>1581180.06</v>
      </c>
    </row>
    <row r="5755" spans="2:9">
      <c r="B5755" s="1297"/>
      <c r="C5755" s="1297"/>
      <c r="D5755" s="1297" t="s">
        <v>941</v>
      </c>
      <c r="E5755" s="1399">
        <v>606354.54</v>
      </c>
      <c r="I5755" s="1399">
        <v>606354.54</v>
      </c>
    </row>
    <row r="5756" spans="2:9">
      <c r="B5756" s="1297"/>
      <c r="C5756" s="1297"/>
      <c r="D5756" s="1297" t="s">
        <v>943</v>
      </c>
      <c r="E5756" s="1399">
        <v>2643.28</v>
      </c>
      <c r="I5756" s="1399">
        <v>2643.28</v>
      </c>
    </row>
    <row r="5757" spans="2:9">
      <c r="B5757" s="1297"/>
      <c r="C5757" s="1297"/>
      <c r="D5757" s="1297" t="s">
        <v>944</v>
      </c>
      <c r="E5757" s="1399">
        <v>3277392.91</v>
      </c>
      <c r="I5757" s="1399">
        <v>3277392.91</v>
      </c>
    </row>
    <row r="5758" spans="2:9">
      <c r="B5758" s="1297"/>
      <c r="C5758" s="1297"/>
      <c r="D5758" s="1297" t="s">
        <v>945</v>
      </c>
      <c r="E5758" s="1399">
        <v>1936619.2300000002</v>
      </c>
      <c r="I5758" s="1399">
        <v>1936619.2300000002</v>
      </c>
    </row>
    <row r="5759" spans="2:9">
      <c r="B5759" s="1297"/>
      <c r="C5759" s="1297"/>
      <c r="D5759" s="1297" t="s">
        <v>947</v>
      </c>
      <c r="E5759" s="1399">
        <v>131663.67999999999</v>
      </c>
      <c r="I5759" s="1399">
        <v>131663.67999999999</v>
      </c>
    </row>
    <row r="5760" spans="2:9">
      <c r="B5760" s="1297"/>
      <c r="C5760" s="1297"/>
      <c r="D5760" s="1297" t="s">
        <v>1116</v>
      </c>
      <c r="G5760" s="1399">
        <v>6000000</v>
      </c>
      <c r="I5760" s="1399">
        <v>6000000</v>
      </c>
    </row>
    <row r="5761" spans="2:9">
      <c r="B5761" s="1297"/>
      <c r="C5761" s="1297"/>
      <c r="D5761" s="1297" t="s">
        <v>948</v>
      </c>
      <c r="G5761" s="1399">
        <v>121295.24</v>
      </c>
      <c r="I5761" s="1399">
        <v>121295.24</v>
      </c>
    </row>
    <row r="5762" spans="2:9">
      <c r="B5762" s="1297"/>
      <c r="C5762" s="1400" t="s">
        <v>1591</v>
      </c>
      <c r="D5762" s="1400"/>
      <c r="E5762" s="1401">
        <v>7535853.7000000002</v>
      </c>
      <c r="F5762" s="1401">
        <v>17698758.689999998</v>
      </c>
      <c r="G5762" s="1401">
        <v>6121295.2400000002</v>
      </c>
      <c r="H5762" s="1401">
        <v>28974221.780000001</v>
      </c>
      <c r="I5762" s="1401">
        <v>60330129.410000004</v>
      </c>
    </row>
    <row r="5763" spans="2:9">
      <c r="B5763" s="1297" t="s">
        <v>1592</v>
      </c>
      <c r="C5763" s="1297" t="s">
        <v>1593</v>
      </c>
      <c r="D5763" s="1297" t="s">
        <v>906</v>
      </c>
      <c r="F5763" s="1399">
        <v>1348503.63</v>
      </c>
      <c r="I5763" s="1399">
        <v>1348503.63</v>
      </c>
    </row>
    <row r="5764" spans="2:9">
      <c r="B5764" s="1297"/>
      <c r="C5764" s="1297"/>
      <c r="D5764" s="1297" t="s">
        <v>952</v>
      </c>
      <c r="F5764" s="1399">
        <v>5977.2300000000005</v>
      </c>
      <c r="I5764" s="1399">
        <v>5977.2300000000005</v>
      </c>
    </row>
    <row r="5765" spans="2:9">
      <c r="B5765" s="1297"/>
      <c r="C5765" s="1297"/>
      <c r="D5765" s="1297" t="s">
        <v>907</v>
      </c>
      <c r="F5765" s="1399">
        <v>190087.85</v>
      </c>
      <c r="I5765" s="1399">
        <v>190087.85</v>
      </c>
    </row>
    <row r="5766" spans="2:9">
      <c r="B5766" s="1297"/>
      <c r="C5766" s="1297"/>
      <c r="D5766" s="1297" t="s">
        <v>995</v>
      </c>
      <c r="F5766" s="1399">
        <v>82228.240000000005</v>
      </c>
      <c r="I5766" s="1399">
        <v>82228.240000000005</v>
      </c>
    </row>
    <row r="5767" spans="2:9">
      <c r="B5767" s="1297"/>
      <c r="C5767" s="1297"/>
      <c r="D5767" s="1297" t="s">
        <v>908</v>
      </c>
      <c r="F5767" s="1399">
        <v>2702.38</v>
      </c>
      <c r="I5767" s="1399">
        <v>2702.38</v>
      </c>
    </row>
    <row r="5768" spans="2:9">
      <c r="B5768" s="1297"/>
      <c r="C5768" s="1297"/>
      <c r="D5768" s="1297" t="s">
        <v>910</v>
      </c>
      <c r="F5768" s="1399">
        <v>1377.4</v>
      </c>
      <c r="I5768" s="1399">
        <v>1377.4</v>
      </c>
    </row>
    <row r="5769" spans="2:9">
      <c r="B5769" s="1297"/>
      <c r="C5769" s="1297"/>
      <c r="D5769" s="1297" t="s">
        <v>1034</v>
      </c>
      <c r="F5769" s="1399">
        <v>8791.92</v>
      </c>
      <c r="I5769" s="1399">
        <v>8791.92</v>
      </c>
    </row>
    <row r="5770" spans="2:9">
      <c r="B5770" s="1297"/>
      <c r="C5770" s="1297"/>
      <c r="D5770" s="1297" t="s">
        <v>1035</v>
      </c>
      <c r="F5770" s="1399">
        <v>46640.56</v>
      </c>
      <c r="I5770" s="1399">
        <v>46640.56</v>
      </c>
    </row>
    <row r="5771" spans="2:9">
      <c r="B5771" s="1297"/>
      <c r="C5771" s="1297"/>
      <c r="D5771" s="1297" t="s">
        <v>1036</v>
      </c>
      <c r="F5771" s="1399">
        <v>13201</v>
      </c>
      <c r="I5771" s="1399">
        <v>13201</v>
      </c>
    </row>
    <row r="5772" spans="2:9">
      <c r="B5772" s="1297"/>
      <c r="C5772" s="1297"/>
      <c r="D5772" s="1297" t="s">
        <v>1037</v>
      </c>
      <c r="F5772" s="1399">
        <v>64211.83</v>
      </c>
      <c r="I5772" s="1399">
        <v>64211.83</v>
      </c>
    </row>
    <row r="5773" spans="2:9">
      <c r="B5773" s="1297"/>
      <c r="C5773" s="1297"/>
      <c r="D5773" s="1297" t="s">
        <v>1039</v>
      </c>
      <c r="F5773" s="1399">
        <v>1174.1500000000001</v>
      </c>
      <c r="I5773" s="1399">
        <v>1174.1500000000001</v>
      </c>
    </row>
    <row r="5774" spans="2:9">
      <c r="B5774" s="1297"/>
      <c r="C5774" s="1297"/>
      <c r="D5774" s="1297" t="s">
        <v>1042</v>
      </c>
      <c r="F5774" s="1399">
        <v>8373.7199999999993</v>
      </c>
      <c r="I5774" s="1399">
        <v>8373.7199999999993</v>
      </c>
    </row>
    <row r="5775" spans="2:9">
      <c r="B5775" s="1297"/>
      <c r="C5775" s="1297"/>
      <c r="D5775" s="1297" t="s">
        <v>1203</v>
      </c>
      <c r="F5775" s="1399">
        <v>8422</v>
      </c>
      <c r="I5775" s="1399">
        <v>8422</v>
      </c>
    </row>
    <row r="5776" spans="2:9">
      <c r="B5776" s="1297"/>
      <c r="C5776" s="1297"/>
      <c r="D5776" s="1297" t="s">
        <v>1045</v>
      </c>
      <c r="F5776" s="1399">
        <v>43939.509999999995</v>
      </c>
      <c r="I5776" s="1399">
        <v>43939.509999999995</v>
      </c>
    </row>
    <row r="5777" spans="2:9">
      <c r="B5777" s="1297"/>
      <c r="C5777" s="1297"/>
      <c r="D5777" s="1297" t="s">
        <v>1046</v>
      </c>
      <c r="H5777" s="1399">
        <v>2451057</v>
      </c>
      <c r="I5777" s="1399">
        <v>2451057</v>
      </c>
    </row>
    <row r="5778" spans="2:9">
      <c r="B5778" s="1297"/>
      <c r="C5778" s="1297"/>
      <c r="D5778" s="1297" t="s">
        <v>1047</v>
      </c>
      <c r="H5778" s="1399">
        <v>276247</v>
      </c>
      <c r="I5778" s="1399">
        <v>276247</v>
      </c>
    </row>
    <row r="5779" spans="2:9">
      <c r="B5779" s="1297"/>
      <c r="C5779" s="1297"/>
      <c r="D5779" s="1297" t="s">
        <v>1048</v>
      </c>
      <c r="H5779" s="1399">
        <v>-389280</v>
      </c>
      <c r="I5779" s="1399">
        <v>-389280</v>
      </c>
    </row>
    <row r="5780" spans="2:9">
      <c r="B5780" s="1297"/>
      <c r="C5780" s="1297"/>
      <c r="D5780" s="1297" t="s">
        <v>932</v>
      </c>
      <c r="H5780" s="1399">
        <v>99493</v>
      </c>
      <c r="I5780" s="1399">
        <v>99493</v>
      </c>
    </row>
    <row r="5781" spans="2:9">
      <c r="B5781" s="1297"/>
      <c r="C5781" s="1297"/>
      <c r="D5781" s="1297" t="s">
        <v>933</v>
      </c>
      <c r="H5781" s="1399">
        <v>204523.76</v>
      </c>
      <c r="I5781" s="1399">
        <v>204523.76</v>
      </c>
    </row>
    <row r="5782" spans="2:9">
      <c r="B5782" s="1297"/>
      <c r="C5782" s="1297"/>
      <c r="D5782" s="1297" t="s">
        <v>934</v>
      </c>
      <c r="H5782" s="1399">
        <v>8612</v>
      </c>
      <c r="I5782" s="1399">
        <v>8612</v>
      </c>
    </row>
    <row r="5783" spans="2:9">
      <c r="B5783" s="1297"/>
      <c r="C5783" s="1297"/>
      <c r="D5783" s="1297" t="s">
        <v>935</v>
      </c>
      <c r="H5783" s="1399">
        <v>25314.45</v>
      </c>
      <c r="I5783" s="1399">
        <v>25314.45</v>
      </c>
    </row>
    <row r="5784" spans="2:9">
      <c r="B5784" s="1297"/>
      <c r="C5784" s="1297"/>
      <c r="D5784" s="1297" t="s">
        <v>936</v>
      </c>
      <c r="H5784" s="1399">
        <v>8053.46</v>
      </c>
      <c r="I5784" s="1399">
        <v>8053.46</v>
      </c>
    </row>
    <row r="5785" spans="2:9">
      <c r="B5785" s="1297"/>
      <c r="C5785" s="1297"/>
      <c r="D5785" s="1297" t="s">
        <v>938</v>
      </c>
      <c r="H5785" s="1399">
        <v>2807</v>
      </c>
      <c r="I5785" s="1399">
        <v>2807</v>
      </c>
    </row>
    <row r="5786" spans="2:9">
      <c r="B5786" s="1297"/>
      <c r="C5786" s="1297"/>
      <c r="D5786" s="1297" t="s">
        <v>939</v>
      </c>
      <c r="H5786" s="1399">
        <v>1152.8</v>
      </c>
      <c r="I5786" s="1399">
        <v>1152.8</v>
      </c>
    </row>
    <row r="5787" spans="2:9">
      <c r="B5787" s="1297"/>
      <c r="C5787" s="1297"/>
      <c r="D5787" s="1297" t="s">
        <v>940</v>
      </c>
      <c r="E5787" s="1399">
        <v>134757.76000000001</v>
      </c>
      <c r="I5787" s="1399">
        <v>134757.76000000001</v>
      </c>
    </row>
    <row r="5788" spans="2:9">
      <c r="B5788" s="1297"/>
      <c r="C5788" s="1297"/>
      <c r="D5788" s="1297" t="s">
        <v>941</v>
      </c>
      <c r="E5788" s="1399">
        <v>58114.68</v>
      </c>
      <c r="I5788" s="1399">
        <v>58114.68</v>
      </c>
    </row>
    <row r="5789" spans="2:9">
      <c r="B5789" s="1297"/>
      <c r="C5789" s="1297"/>
      <c r="D5789" s="1297" t="s">
        <v>944</v>
      </c>
      <c r="E5789" s="1399">
        <v>381775.39</v>
      </c>
      <c r="I5789" s="1399">
        <v>381775.39</v>
      </c>
    </row>
    <row r="5790" spans="2:9">
      <c r="B5790" s="1297"/>
      <c r="C5790" s="1297"/>
      <c r="D5790" s="1297" t="s">
        <v>945</v>
      </c>
      <c r="E5790" s="1399">
        <v>215820.95</v>
      </c>
      <c r="I5790" s="1399">
        <v>215820.95</v>
      </c>
    </row>
    <row r="5791" spans="2:9">
      <c r="B5791" s="1297"/>
      <c r="C5791" s="1297"/>
      <c r="D5791" s="1297" t="s">
        <v>947</v>
      </c>
      <c r="E5791" s="1399">
        <v>11341.89</v>
      </c>
      <c r="I5791" s="1399">
        <v>11341.89</v>
      </c>
    </row>
    <row r="5792" spans="2:9">
      <c r="B5792" s="1297"/>
      <c r="C5792" s="1297"/>
      <c r="D5792" s="1297" t="s">
        <v>948</v>
      </c>
      <c r="G5792" s="1399">
        <v>6190.76</v>
      </c>
      <c r="I5792" s="1399">
        <v>6190.76</v>
      </c>
    </row>
    <row r="5793" spans="2:9">
      <c r="B5793" s="1297"/>
      <c r="C5793" s="1400" t="s">
        <v>1594</v>
      </c>
      <c r="D5793" s="1400"/>
      <c r="E5793" s="1401">
        <v>801810.67</v>
      </c>
      <c r="F5793" s="1401">
        <v>1825631.4199999997</v>
      </c>
      <c r="G5793" s="1401">
        <v>6190.76</v>
      </c>
      <c r="H5793" s="1401">
        <v>2687980.4699999997</v>
      </c>
      <c r="I5793" s="1401">
        <v>5321613.3199999984</v>
      </c>
    </row>
    <row r="5794" spans="2:9">
      <c r="B5794" s="1297" t="s">
        <v>1595</v>
      </c>
      <c r="C5794" s="1297" t="s">
        <v>1596</v>
      </c>
      <c r="D5794" s="1297" t="s">
        <v>906</v>
      </c>
      <c r="F5794" s="1399">
        <v>1670541.09</v>
      </c>
      <c r="I5794" s="1399">
        <v>1670541.09</v>
      </c>
    </row>
    <row r="5795" spans="2:9">
      <c r="B5795" s="1297"/>
      <c r="C5795" s="1297"/>
      <c r="D5795" s="1297" t="s">
        <v>952</v>
      </c>
      <c r="F5795" s="1399">
        <v>10721.36</v>
      </c>
      <c r="I5795" s="1399">
        <v>10721.36</v>
      </c>
    </row>
    <row r="5796" spans="2:9">
      <c r="B5796" s="1297"/>
      <c r="C5796" s="1297"/>
      <c r="D5796" s="1297" t="s">
        <v>907</v>
      </c>
      <c r="F5796" s="1399">
        <v>513772.21</v>
      </c>
      <c r="I5796" s="1399">
        <v>513772.21</v>
      </c>
    </row>
    <row r="5797" spans="2:9">
      <c r="B5797" s="1297"/>
      <c r="C5797" s="1297"/>
      <c r="D5797" s="1297" t="s">
        <v>1035</v>
      </c>
      <c r="F5797" s="1399">
        <v>327322.60000000003</v>
      </c>
      <c r="I5797" s="1399">
        <v>327322.60000000003</v>
      </c>
    </row>
    <row r="5798" spans="2:9">
      <c r="B5798" s="1297"/>
      <c r="C5798" s="1297"/>
      <c r="D5798" s="1297" t="s">
        <v>1039</v>
      </c>
      <c r="F5798" s="1399">
        <v>5531.91</v>
      </c>
      <c r="I5798" s="1399">
        <v>5531.91</v>
      </c>
    </row>
    <row r="5799" spans="2:9">
      <c r="B5799" s="1297"/>
      <c r="C5799" s="1297"/>
      <c r="D5799" s="1297" t="s">
        <v>1040</v>
      </c>
      <c r="F5799" s="1399">
        <v>39062.699999999997</v>
      </c>
      <c r="I5799" s="1399">
        <v>39062.699999999997</v>
      </c>
    </row>
    <row r="5800" spans="2:9">
      <c r="B5800" s="1297"/>
      <c r="C5800" s="1297"/>
      <c r="D5800" s="1297" t="s">
        <v>1041</v>
      </c>
      <c r="F5800" s="1399">
        <v>5452.82</v>
      </c>
      <c r="I5800" s="1399">
        <v>5452.82</v>
      </c>
    </row>
    <row r="5801" spans="2:9">
      <c r="B5801" s="1297"/>
      <c r="C5801" s="1297"/>
      <c r="D5801" s="1297" t="s">
        <v>1042</v>
      </c>
      <c r="F5801" s="1399">
        <v>21784.2</v>
      </c>
      <c r="I5801" s="1399">
        <v>21784.2</v>
      </c>
    </row>
    <row r="5802" spans="2:9">
      <c r="B5802" s="1297"/>
      <c r="C5802" s="1297"/>
      <c r="D5802" s="1297" t="s">
        <v>1045</v>
      </c>
      <c r="F5802" s="1399">
        <v>238649.02</v>
      </c>
      <c r="I5802" s="1399">
        <v>238649.02</v>
      </c>
    </row>
    <row r="5803" spans="2:9">
      <c r="B5803" s="1297"/>
      <c r="C5803" s="1297"/>
      <c r="D5803" s="1297" t="s">
        <v>1046</v>
      </c>
      <c r="H5803" s="1399">
        <v>4805190</v>
      </c>
      <c r="I5803" s="1399">
        <v>4805190</v>
      </c>
    </row>
    <row r="5804" spans="2:9">
      <c r="B5804" s="1297"/>
      <c r="C5804" s="1297"/>
      <c r="D5804" s="1297" t="s">
        <v>1047</v>
      </c>
      <c r="H5804" s="1399">
        <v>245615</v>
      </c>
      <c r="I5804" s="1399">
        <v>245615</v>
      </c>
    </row>
    <row r="5805" spans="2:9">
      <c r="B5805" s="1297"/>
      <c r="C5805" s="1297"/>
      <c r="D5805" s="1297" t="s">
        <v>1048</v>
      </c>
      <c r="H5805" s="1399">
        <v>-518508</v>
      </c>
      <c r="I5805" s="1399">
        <v>-518508</v>
      </c>
    </row>
    <row r="5806" spans="2:9">
      <c r="B5806" s="1297"/>
      <c r="C5806" s="1297"/>
      <c r="D5806" s="1297" t="s">
        <v>932</v>
      </c>
      <c r="H5806" s="1399">
        <v>785700</v>
      </c>
      <c r="I5806" s="1399">
        <v>785700</v>
      </c>
    </row>
    <row r="5807" spans="2:9">
      <c r="B5807" s="1297"/>
      <c r="C5807" s="1297"/>
      <c r="D5807" s="1297" t="s">
        <v>955</v>
      </c>
      <c r="H5807" s="1399">
        <v>264878.05</v>
      </c>
      <c r="I5807" s="1399">
        <v>264878.05</v>
      </c>
    </row>
    <row r="5808" spans="2:9">
      <c r="B5808" s="1297"/>
      <c r="C5808" s="1297"/>
      <c r="D5808" s="1297" t="s">
        <v>934</v>
      </c>
      <c r="H5808" s="1399">
        <v>17746</v>
      </c>
      <c r="I5808" s="1399">
        <v>17746</v>
      </c>
    </row>
    <row r="5809" spans="2:9">
      <c r="B5809" s="1297"/>
      <c r="C5809" s="1297"/>
      <c r="D5809" s="1297" t="s">
        <v>1130</v>
      </c>
      <c r="H5809" s="1399">
        <v>375327</v>
      </c>
      <c r="I5809" s="1399">
        <v>375327</v>
      </c>
    </row>
    <row r="5810" spans="2:9">
      <c r="B5810" s="1297"/>
      <c r="C5810" s="1297"/>
      <c r="D5810" s="1297" t="s">
        <v>935</v>
      </c>
      <c r="H5810" s="1399">
        <v>192579.34</v>
      </c>
      <c r="I5810" s="1399">
        <v>192579.34</v>
      </c>
    </row>
    <row r="5811" spans="2:9">
      <c r="B5811" s="1297"/>
      <c r="C5811" s="1297"/>
      <c r="D5811" s="1297" t="s">
        <v>936</v>
      </c>
      <c r="H5811" s="1399">
        <v>20308.73</v>
      </c>
      <c r="I5811" s="1399">
        <v>20308.73</v>
      </c>
    </row>
    <row r="5812" spans="2:9">
      <c r="B5812" s="1297"/>
      <c r="C5812" s="1297"/>
      <c r="D5812" s="1297" t="s">
        <v>938</v>
      </c>
      <c r="H5812" s="1399">
        <v>5240</v>
      </c>
      <c r="I5812" s="1399">
        <v>5240</v>
      </c>
    </row>
    <row r="5813" spans="2:9">
      <c r="B5813" s="1297"/>
      <c r="C5813" s="1297"/>
      <c r="D5813" s="1297" t="s">
        <v>940</v>
      </c>
      <c r="E5813" s="1399">
        <v>314675.96000000002</v>
      </c>
      <c r="I5813" s="1399">
        <v>314675.96000000002</v>
      </c>
    </row>
    <row r="5814" spans="2:9">
      <c r="B5814" s="1297"/>
      <c r="C5814" s="1297"/>
      <c r="D5814" s="1297" t="s">
        <v>941</v>
      </c>
      <c r="E5814" s="1399">
        <v>137923.72</v>
      </c>
      <c r="I5814" s="1399">
        <v>137923.72</v>
      </c>
    </row>
    <row r="5815" spans="2:9">
      <c r="B5815" s="1297"/>
      <c r="C5815" s="1297"/>
      <c r="D5815" s="1297" t="s">
        <v>944</v>
      </c>
      <c r="E5815" s="1399">
        <v>895500.7</v>
      </c>
      <c r="I5815" s="1399">
        <v>895500.7</v>
      </c>
    </row>
    <row r="5816" spans="2:9">
      <c r="B5816" s="1297"/>
      <c r="C5816" s="1297"/>
      <c r="D5816" s="1297" t="s">
        <v>945</v>
      </c>
      <c r="E5816" s="1399">
        <v>492585.72000000003</v>
      </c>
      <c r="I5816" s="1399">
        <v>492585.72000000003</v>
      </c>
    </row>
    <row r="5817" spans="2:9">
      <c r="B5817" s="1297"/>
      <c r="C5817" s="1297"/>
      <c r="D5817" s="1297" t="s">
        <v>947</v>
      </c>
      <c r="E5817" s="1399">
        <v>31753.63</v>
      </c>
      <c r="I5817" s="1399">
        <v>31753.63</v>
      </c>
    </row>
    <row r="5818" spans="2:9">
      <c r="B5818" s="1297"/>
      <c r="C5818" s="1297"/>
      <c r="D5818" s="1297" t="s">
        <v>1116</v>
      </c>
      <c r="G5818" s="1399">
        <v>1500000</v>
      </c>
      <c r="I5818" s="1399">
        <v>1500000</v>
      </c>
    </row>
    <row r="5819" spans="2:9">
      <c r="B5819" s="1297"/>
      <c r="C5819" s="1297"/>
      <c r="D5819" s="1297" t="s">
        <v>948</v>
      </c>
      <c r="G5819" s="1399">
        <v>295669.05000000005</v>
      </c>
      <c r="I5819" s="1399">
        <v>295669.05000000005</v>
      </c>
    </row>
    <row r="5820" spans="2:9">
      <c r="B5820" s="1297"/>
      <c r="C5820" s="1297"/>
      <c r="D5820" s="1297" t="s">
        <v>956</v>
      </c>
      <c r="G5820" s="1399">
        <v>9835</v>
      </c>
      <c r="I5820" s="1399">
        <v>9835</v>
      </c>
    </row>
    <row r="5821" spans="2:9">
      <c r="B5821" s="1297"/>
      <c r="C5821" s="1400" t="s">
        <v>1597</v>
      </c>
      <c r="D5821" s="1400"/>
      <c r="E5821" s="1401">
        <v>1872439.7299999997</v>
      </c>
      <c r="F5821" s="1401">
        <v>2832837.9100000006</v>
      </c>
      <c r="G5821" s="1401">
        <v>1805504.05</v>
      </c>
      <c r="H5821" s="1401">
        <v>6194076.1200000001</v>
      </c>
      <c r="I5821" s="1401">
        <v>12704857.810000004</v>
      </c>
    </row>
    <row r="5822" spans="2:9">
      <c r="B5822" s="1297" t="s">
        <v>1598</v>
      </c>
      <c r="C5822" s="1297" t="s">
        <v>1599</v>
      </c>
      <c r="D5822" s="1297" t="s">
        <v>906</v>
      </c>
      <c r="F5822" s="1399">
        <v>15661082.6</v>
      </c>
      <c r="I5822" s="1399">
        <v>15661082.6</v>
      </c>
    </row>
    <row r="5823" spans="2:9">
      <c r="B5823" s="1297"/>
      <c r="C5823" s="1297"/>
      <c r="D5823" s="1297" t="s">
        <v>952</v>
      </c>
      <c r="F5823" s="1399">
        <v>181456.73</v>
      </c>
      <c r="I5823" s="1399">
        <v>181456.73</v>
      </c>
    </row>
    <row r="5824" spans="2:9">
      <c r="B5824" s="1297"/>
      <c r="C5824" s="1297"/>
      <c r="D5824" s="1297" t="s">
        <v>907</v>
      </c>
      <c r="F5824" s="1399">
        <v>3186507.11</v>
      </c>
      <c r="I5824" s="1399">
        <v>3186507.11</v>
      </c>
    </row>
    <row r="5825" spans="2:9">
      <c r="B5825" s="1297"/>
      <c r="C5825" s="1297"/>
      <c r="D5825" s="1297" t="s">
        <v>909</v>
      </c>
      <c r="F5825" s="1399">
        <v>93510.56</v>
      </c>
      <c r="I5825" s="1399">
        <v>93510.56</v>
      </c>
    </row>
    <row r="5826" spans="2:9">
      <c r="B5826" s="1297"/>
      <c r="C5826" s="1297"/>
      <c r="D5826" s="1297" t="s">
        <v>910</v>
      </c>
      <c r="F5826" s="1399">
        <v>26387</v>
      </c>
      <c r="I5826" s="1399">
        <v>26387</v>
      </c>
    </row>
    <row r="5827" spans="2:9">
      <c r="B5827" s="1297"/>
      <c r="C5827" s="1297"/>
      <c r="D5827" s="1297" t="s">
        <v>1034</v>
      </c>
      <c r="F5827" s="1399">
        <v>63067.86</v>
      </c>
      <c r="I5827" s="1399">
        <v>63067.86</v>
      </c>
    </row>
    <row r="5828" spans="2:9">
      <c r="B5828" s="1297"/>
      <c r="C5828" s="1297"/>
      <c r="D5828" s="1297" t="s">
        <v>1035</v>
      </c>
      <c r="F5828" s="1399">
        <v>796538.11</v>
      </c>
      <c r="I5828" s="1399">
        <v>796538.11</v>
      </c>
    </row>
    <row r="5829" spans="2:9">
      <c r="B5829" s="1297"/>
      <c r="C5829" s="1297"/>
      <c r="D5829" s="1297" t="s">
        <v>1036</v>
      </c>
      <c r="F5829" s="1399">
        <v>164831.42000000001</v>
      </c>
      <c r="I5829" s="1399">
        <v>164831.42000000001</v>
      </c>
    </row>
    <row r="5830" spans="2:9">
      <c r="B5830" s="1297"/>
      <c r="C5830" s="1297"/>
      <c r="D5830" s="1297" t="s">
        <v>1003</v>
      </c>
      <c r="F5830" s="1399">
        <v>4519.01</v>
      </c>
      <c r="I5830" s="1399">
        <v>4519.01</v>
      </c>
    </row>
    <row r="5831" spans="2:9">
      <c r="B5831" s="1297"/>
      <c r="C5831" s="1297"/>
      <c r="D5831" s="1297" t="s">
        <v>1039</v>
      </c>
      <c r="F5831" s="1399">
        <v>49477.549999999996</v>
      </c>
      <c r="I5831" s="1399">
        <v>49477.549999999996</v>
      </c>
    </row>
    <row r="5832" spans="2:9">
      <c r="B5832" s="1297"/>
      <c r="C5832" s="1297"/>
      <c r="D5832" s="1297" t="s">
        <v>1040</v>
      </c>
      <c r="F5832" s="1399">
        <v>407997.95</v>
      </c>
      <c r="I5832" s="1399">
        <v>407997.95</v>
      </c>
    </row>
    <row r="5833" spans="2:9">
      <c r="B5833" s="1297"/>
      <c r="C5833" s="1297"/>
      <c r="D5833" s="1297" t="s">
        <v>1041</v>
      </c>
      <c r="F5833" s="1399">
        <v>171659.61000000002</v>
      </c>
      <c r="I5833" s="1399">
        <v>171659.61000000002</v>
      </c>
    </row>
    <row r="5834" spans="2:9">
      <c r="B5834" s="1297"/>
      <c r="C5834" s="1297"/>
      <c r="D5834" s="1297" t="s">
        <v>1042</v>
      </c>
      <c r="F5834" s="1399">
        <v>80802.69</v>
      </c>
      <c r="I5834" s="1399">
        <v>80802.69</v>
      </c>
    </row>
    <row r="5835" spans="2:9">
      <c r="B5835" s="1297"/>
      <c r="C5835" s="1297"/>
      <c r="D5835" s="1297" t="s">
        <v>1043</v>
      </c>
      <c r="F5835" s="1399">
        <v>37000</v>
      </c>
      <c r="I5835" s="1399">
        <v>37000</v>
      </c>
    </row>
    <row r="5836" spans="2:9">
      <c r="B5836" s="1297"/>
      <c r="C5836" s="1297"/>
      <c r="D5836" s="1297" t="s">
        <v>986</v>
      </c>
      <c r="F5836" s="1399">
        <v>100000</v>
      </c>
      <c r="I5836" s="1399">
        <v>100000</v>
      </c>
    </row>
    <row r="5837" spans="2:9">
      <c r="B5837" s="1297"/>
      <c r="C5837" s="1297"/>
      <c r="D5837" s="1297" t="s">
        <v>990</v>
      </c>
      <c r="F5837" s="1399">
        <v>2157.2399999999998</v>
      </c>
      <c r="I5837" s="1399">
        <v>2157.2399999999998</v>
      </c>
    </row>
    <row r="5838" spans="2:9">
      <c r="B5838" s="1297"/>
      <c r="C5838" s="1297"/>
      <c r="D5838" s="1297" t="s">
        <v>996</v>
      </c>
      <c r="F5838" s="1399">
        <v>24600</v>
      </c>
      <c r="I5838" s="1399">
        <v>24600</v>
      </c>
    </row>
    <row r="5839" spans="2:9">
      <c r="B5839" s="1297"/>
      <c r="C5839" s="1297"/>
      <c r="D5839" s="1297" t="s">
        <v>1045</v>
      </c>
      <c r="F5839" s="1399">
        <v>281384.56</v>
      </c>
      <c r="I5839" s="1399">
        <v>281384.56</v>
      </c>
    </row>
    <row r="5840" spans="2:9">
      <c r="B5840" s="1297"/>
      <c r="C5840" s="1297"/>
      <c r="D5840" s="1297" t="s">
        <v>1046</v>
      </c>
      <c r="H5840" s="1399">
        <v>20983932</v>
      </c>
      <c r="I5840" s="1399">
        <v>20983932</v>
      </c>
    </row>
    <row r="5841" spans="2:9">
      <c r="B5841" s="1297"/>
      <c r="C5841" s="1297"/>
      <c r="D5841" s="1297" t="s">
        <v>1128</v>
      </c>
      <c r="H5841" s="1399">
        <v>1743472</v>
      </c>
      <c r="I5841" s="1399">
        <v>1743472</v>
      </c>
    </row>
    <row r="5842" spans="2:9">
      <c r="B5842" s="1297"/>
      <c r="C5842" s="1297"/>
      <c r="D5842" s="1297" t="s">
        <v>1129</v>
      </c>
      <c r="H5842" s="1399">
        <v>-2592843</v>
      </c>
      <c r="I5842" s="1399">
        <v>-2592843</v>
      </c>
    </row>
    <row r="5843" spans="2:9">
      <c r="B5843" s="1297"/>
      <c r="C5843" s="1297"/>
      <c r="D5843" s="1297" t="s">
        <v>1047</v>
      </c>
      <c r="H5843" s="1399">
        <v>594554</v>
      </c>
      <c r="I5843" s="1399">
        <v>594554</v>
      </c>
    </row>
    <row r="5844" spans="2:9">
      <c r="B5844" s="1297"/>
      <c r="C5844" s="1297"/>
      <c r="D5844" s="1297" t="s">
        <v>1048</v>
      </c>
      <c r="H5844" s="1399">
        <v>-4571980</v>
      </c>
      <c r="I5844" s="1399">
        <v>-4571980</v>
      </c>
    </row>
    <row r="5845" spans="2:9">
      <c r="B5845" s="1297"/>
      <c r="C5845" s="1297"/>
      <c r="D5845" s="1297" t="s">
        <v>934</v>
      </c>
      <c r="H5845" s="1399">
        <v>64800</v>
      </c>
      <c r="I5845" s="1399">
        <v>64800</v>
      </c>
    </row>
    <row r="5846" spans="2:9">
      <c r="B5846" s="1297"/>
      <c r="C5846" s="1297"/>
      <c r="D5846" s="1297" t="s">
        <v>1130</v>
      </c>
      <c r="H5846" s="1399">
        <v>3093723.43</v>
      </c>
      <c r="I5846" s="1399">
        <v>3093723.43</v>
      </c>
    </row>
    <row r="5847" spans="2:9">
      <c r="B5847" s="1297"/>
      <c r="C5847" s="1297"/>
      <c r="D5847" s="1297" t="s">
        <v>935</v>
      </c>
      <c r="H5847" s="1399">
        <v>460923.5</v>
      </c>
      <c r="I5847" s="1399">
        <v>460923.5</v>
      </c>
    </row>
    <row r="5848" spans="2:9">
      <c r="B5848" s="1297"/>
      <c r="C5848" s="1297"/>
      <c r="D5848" s="1297" t="s">
        <v>936</v>
      </c>
      <c r="H5848" s="1399">
        <v>82985.679999999993</v>
      </c>
      <c r="I5848" s="1399">
        <v>82985.679999999993</v>
      </c>
    </row>
    <row r="5849" spans="2:9">
      <c r="B5849" s="1297"/>
      <c r="C5849" s="1297"/>
      <c r="D5849" s="1297" t="s">
        <v>937</v>
      </c>
      <c r="H5849" s="1399">
        <v>26805.01</v>
      </c>
      <c r="I5849" s="1399">
        <v>26805.01</v>
      </c>
    </row>
    <row r="5850" spans="2:9">
      <c r="B5850" s="1297"/>
      <c r="C5850" s="1297"/>
      <c r="D5850" s="1297" t="s">
        <v>938</v>
      </c>
      <c r="H5850" s="1399">
        <v>18154</v>
      </c>
      <c r="I5850" s="1399">
        <v>18154</v>
      </c>
    </row>
    <row r="5851" spans="2:9">
      <c r="B5851" s="1297"/>
      <c r="C5851" s="1297"/>
      <c r="D5851" s="1297" t="s">
        <v>939</v>
      </c>
      <c r="H5851" s="1399">
        <v>298977.93</v>
      </c>
      <c r="I5851" s="1399">
        <v>298977.93</v>
      </c>
    </row>
    <row r="5852" spans="2:9">
      <c r="B5852" s="1297"/>
      <c r="C5852" s="1297"/>
      <c r="D5852" s="1297" t="s">
        <v>940</v>
      </c>
      <c r="E5852" s="1399">
        <v>940829.13</v>
      </c>
      <c r="I5852" s="1399">
        <v>940829.13</v>
      </c>
    </row>
    <row r="5853" spans="2:9">
      <c r="B5853" s="1297"/>
      <c r="C5853" s="1297"/>
      <c r="D5853" s="1297" t="s">
        <v>941</v>
      </c>
      <c r="E5853" s="1399">
        <v>295953.08</v>
      </c>
      <c r="I5853" s="1399">
        <v>295953.08</v>
      </c>
    </row>
    <row r="5854" spans="2:9">
      <c r="B5854" s="1297"/>
      <c r="C5854" s="1297"/>
      <c r="D5854" s="1297" t="s">
        <v>944</v>
      </c>
      <c r="E5854" s="1399">
        <v>2583769.54</v>
      </c>
      <c r="I5854" s="1399">
        <v>2583769.54</v>
      </c>
    </row>
    <row r="5855" spans="2:9">
      <c r="B5855" s="1297"/>
      <c r="C5855" s="1297"/>
      <c r="D5855" s="1297" t="s">
        <v>945</v>
      </c>
      <c r="E5855" s="1399">
        <v>1705059.06</v>
      </c>
      <c r="I5855" s="1399">
        <v>1705059.06</v>
      </c>
    </row>
    <row r="5856" spans="2:9">
      <c r="B5856" s="1297"/>
      <c r="C5856" s="1297"/>
      <c r="D5856" s="1297" t="s">
        <v>946</v>
      </c>
      <c r="E5856" s="1399">
        <v>38198.75</v>
      </c>
      <c r="I5856" s="1399">
        <v>38198.75</v>
      </c>
    </row>
    <row r="5857" spans="2:9">
      <c r="B5857" s="1297"/>
      <c r="C5857" s="1297"/>
      <c r="D5857" s="1297" t="s">
        <v>947</v>
      </c>
      <c r="E5857" s="1399">
        <v>102053.82999999999</v>
      </c>
      <c r="I5857" s="1399">
        <v>102053.82999999999</v>
      </c>
    </row>
    <row r="5858" spans="2:9">
      <c r="B5858" s="1297"/>
      <c r="C5858" s="1297"/>
      <c r="D5858" s="1297" t="s">
        <v>1115</v>
      </c>
      <c r="E5858" s="1399">
        <v>42241.41</v>
      </c>
      <c r="I5858" s="1399">
        <v>42241.41</v>
      </c>
    </row>
    <row r="5859" spans="2:9">
      <c r="B5859" s="1297"/>
      <c r="C5859" s="1297"/>
      <c r="D5859" s="1297" t="s">
        <v>948</v>
      </c>
      <c r="G5859" s="1399">
        <v>7524043.879999998</v>
      </c>
      <c r="I5859" s="1399">
        <v>7524043.879999998</v>
      </c>
    </row>
    <row r="5860" spans="2:9">
      <c r="B5860" s="1297"/>
      <c r="C5860" s="1297"/>
      <c r="D5860" s="1297" t="s">
        <v>956</v>
      </c>
      <c r="G5860" s="1399">
        <v>-100919.54</v>
      </c>
      <c r="I5860" s="1399">
        <v>-100919.54</v>
      </c>
    </row>
    <row r="5861" spans="2:9">
      <c r="B5861" s="1297"/>
      <c r="C5861" s="1297"/>
      <c r="D5861" s="1297" t="s">
        <v>1118</v>
      </c>
      <c r="G5861" s="1399">
        <v>113116</v>
      </c>
      <c r="I5861" s="1399">
        <v>113116</v>
      </c>
    </row>
    <row r="5862" spans="2:9">
      <c r="B5862" s="1297"/>
      <c r="C5862" s="1400" t="s">
        <v>1600</v>
      </c>
      <c r="D5862" s="1400"/>
      <c r="E5862" s="1401">
        <v>5708104.8000000007</v>
      </c>
      <c r="F5862" s="1401">
        <v>21332980</v>
      </c>
      <c r="G5862" s="1401">
        <v>7536240.339999998</v>
      </c>
      <c r="H5862" s="1401">
        <v>20203504.550000001</v>
      </c>
      <c r="I5862" s="1401">
        <v>54780829.68999999</v>
      </c>
    </row>
    <row r="5863" spans="2:9">
      <c r="B5863" s="1297" t="s">
        <v>1601</v>
      </c>
      <c r="C5863" s="1297" t="s">
        <v>1602</v>
      </c>
      <c r="D5863" s="1297" t="s">
        <v>906</v>
      </c>
      <c r="F5863" s="1399">
        <v>24205561.050000001</v>
      </c>
      <c r="I5863" s="1399">
        <v>24205561.050000001</v>
      </c>
    </row>
    <row r="5864" spans="2:9">
      <c r="B5864" s="1297"/>
      <c r="C5864" s="1297"/>
      <c r="D5864" s="1297" t="s">
        <v>952</v>
      </c>
      <c r="F5864" s="1399">
        <v>341490.76</v>
      </c>
      <c r="I5864" s="1399">
        <v>341490.76</v>
      </c>
    </row>
    <row r="5865" spans="2:9">
      <c r="B5865" s="1297"/>
      <c r="C5865" s="1297"/>
      <c r="D5865" s="1297" t="s">
        <v>907</v>
      </c>
      <c r="F5865" s="1399">
        <v>12520569.23</v>
      </c>
      <c r="I5865" s="1399">
        <v>12520569.23</v>
      </c>
    </row>
    <row r="5866" spans="2:9">
      <c r="B5866" s="1297"/>
      <c r="C5866" s="1297"/>
      <c r="D5866" s="1297" t="s">
        <v>908</v>
      </c>
      <c r="F5866" s="1399">
        <v>909609.8</v>
      </c>
      <c r="I5866" s="1399">
        <v>909609.8</v>
      </c>
    </row>
    <row r="5867" spans="2:9">
      <c r="B5867" s="1297"/>
      <c r="C5867" s="1297"/>
      <c r="D5867" s="1297" t="s">
        <v>909</v>
      </c>
      <c r="F5867" s="1399">
        <v>92084.500000000015</v>
      </c>
      <c r="I5867" s="1399">
        <v>92084.500000000015</v>
      </c>
    </row>
    <row r="5868" spans="2:9">
      <c r="B5868" s="1297"/>
      <c r="C5868" s="1297"/>
      <c r="D5868" s="1297" t="s">
        <v>910</v>
      </c>
      <c r="F5868" s="1399">
        <v>951560.15</v>
      </c>
      <c r="I5868" s="1399">
        <v>951560.15</v>
      </c>
    </row>
    <row r="5869" spans="2:9">
      <c r="B5869" s="1297"/>
      <c r="C5869" s="1297"/>
      <c r="D5869" s="1297" t="s">
        <v>1034</v>
      </c>
      <c r="F5869" s="1399">
        <v>227124.18999999997</v>
      </c>
      <c r="I5869" s="1399">
        <v>227124.18999999997</v>
      </c>
    </row>
    <row r="5870" spans="2:9">
      <c r="B5870" s="1297"/>
      <c r="C5870" s="1297"/>
      <c r="D5870" s="1297" t="s">
        <v>1035</v>
      </c>
      <c r="F5870" s="1399">
        <v>1060655.56</v>
      </c>
      <c r="I5870" s="1399">
        <v>1060655.56</v>
      </c>
    </row>
    <row r="5871" spans="2:9">
      <c r="B5871" s="1297"/>
      <c r="C5871" s="1297"/>
      <c r="D5871" s="1297" t="s">
        <v>1036</v>
      </c>
      <c r="F5871" s="1399">
        <v>250772.81</v>
      </c>
      <c r="I5871" s="1399">
        <v>250772.81</v>
      </c>
    </row>
    <row r="5872" spans="2:9">
      <c r="B5872" s="1297"/>
      <c r="C5872" s="1297"/>
      <c r="D5872" s="1297" t="s">
        <v>1037</v>
      </c>
      <c r="F5872" s="1399">
        <v>16109</v>
      </c>
      <c r="I5872" s="1399">
        <v>16109</v>
      </c>
    </row>
    <row r="5873" spans="2:9">
      <c r="B5873" s="1297"/>
      <c r="C5873" s="1297"/>
      <c r="D5873" s="1297" t="s">
        <v>1038</v>
      </c>
      <c r="F5873" s="1399">
        <v>9430</v>
      </c>
      <c r="I5873" s="1399">
        <v>9430</v>
      </c>
    </row>
    <row r="5874" spans="2:9">
      <c r="B5874" s="1297"/>
      <c r="C5874" s="1297"/>
      <c r="D5874" s="1297" t="s">
        <v>1039</v>
      </c>
      <c r="F5874" s="1399">
        <v>288771.52</v>
      </c>
      <c r="I5874" s="1399">
        <v>288771.52</v>
      </c>
    </row>
    <row r="5875" spans="2:9">
      <c r="B5875" s="1297"/>
      <c r="C5875" s="1297"/>
      <c r="D5875" s="1297" t="s">
        <v>1040</v>
      </c>
      <c r="F5875" s="1399">
        <v>1148635.25</v>
      </c>
      <c r="I5875" s="1399">
        <v>1148635.25</v>
      </c>
    </row>
    <row r="5876" spans="2:9">
      <c r="B5876" s="1297"/>
      <c r="C5876" s="1297"/>
      <c r="D5876" s="1297" t="s">
        <v>1041</v>
      </c>
      <c r="F5876" s="1399">
        <v>46147.490000000013</v>
      </c>
      <c r="I5876" s="1399">
        <v>46147.490000000013</v>
      </c>
    </row>
    <row r="5877" spans="2:9">
      <c r="B5877" s="1297"/>
      <c r="C5877" s="1297"/>
      <c r="D5877" s="1297" t="s">
        <v>1042</v>
      </c>
      <c r="F5877" s="1399">
        <v>217574.63</v>
      </c>
      <c r="I5877" s="1399">
        <v>217574.63</v>
      </c>
    </row>
    <row r="5878" spans="2:9">
      <c r="B5878" s="1297"/>
      <c r="C5878" s="1297"/>
      <c r="D5878" s="1297" t="s">
        <v>953</v>
      </c>
      <c r="F5878" s="1399">
        <v>13920.15</v>
      </c>
      <c r="I5878" s="1399">
        <v>13920.15</v>
      </c>
    </row>
    <row r="5879" spans="2:9">
      <c r="B5879" s="1297"/>
      <c r="C5879" s="1297"/>
      <c r="D5879" s="1297" t="s">
        <v>1043</v>
      </c>
      <c r="F5879" s="1399">
        <v>20562.650000000001</v>
      </c>
      <c r="I5879" s="1399">
        <v>20562.650000000001</v>
      </c>
    </row>
    <row r="5880" spans="2:9">
      <c r="B5880" s="1297"/>
      <c r="C5880" s="1297"/>
      <c r="D5880" s="1297" t="s">
        <v>1044</v>
      </c>
      <c r="F5880" s="1399">
        <v>189162</v>
      </c>
      <c r="I5880" s="1399">
        <v>189162</v>
      </c>
    </row>
    <row r="5881" spans="2:9">
      <c r="B5881" s="1297"/>
      <c r="C5881" s="1297"/>
      <c r="D5881" s="1297" t="s">
        <v>1045</v>
      </c>
      <c r="F5881" s="1399">
        <v>2221765.8500000006</v>
      </c>
      <c r="I5881" s="1399">
        <v>2221765.8500000006</v>
      </c>
    </row>
    <row r="5882" spans="2:9">
      <c r="B5882" s="1297"/>
      <c r="C5882" s="1297"/>
      <c r="D5882" s="1297" t="s">
        <v>1046</v>
      </c>
      <c r="H5882" s="1399">
        <v>70001591</v>
      </c>
      <c r="I5882" s="1399">
        <v>70001591</v>
      </c>
    </row>
    <row r="5883" spans="2:9">
      <c r="B5883" s="1297"/>
      <c r="C5883" s="1297"/>
      <c r="D5883" s="1297" t="s">
        <v>1128</v>
      </c>
      <c r="H5883" s="1399">
        <v>5714565</v>
      </c>
      <c r="I5883" s="1399">
        <v>5714565</v>
      </c>
    </row>
    <row r="5884" spans="2:9">
      <c r="B5884" s="1297"/>
      <c r="C5884" s="1297"/>
      <c r="D5884" s="1297" t="s">
        <v>1129</v>
      </c>
      <c r="H5884" s="1399">
        <v>-10094973</v>
      </c>
      <c r="I5884" s="1399">
        <v>-10094973</v>
      </c>
    </row>
    <row r="5885" spans="2:9">
      <c r="B5885" s="1297"/>
      <c r="C5885" s="1297"/>
      <c r="D5885" s="1297" t="s">
        <v>1047</v>
      </c>
      <c r="H5885" s="1399">
        <v>1447908</v>
      </c>
      <c r="I5885" s="1399">
        <v>1447908</v>
      </c>
    </row>
    <row r="5886" spans="2:9">
      <c r="B5886" s="1297"/>
      <c r="C5886" s="1297"/>
      <c r="D5886" s="1297" t="s">
        <v>1048</v>
      </c>
      <c r="H5886" s="1399">
        <v>-8693582</v>
      </c>
      <c r="I5886" s="1399">
        <v>-8693582</v>
      </c>
    </row>
    <row r="5887" spans="2:9">
      <c r="B5887" s="1297"/>
      <c r="C5887" s="1297"/>
      <c r="D5887" s="1297" t="s">
        <v>932</v>
      </c>
      <c r="H5887" s="1399">
        <v>7440441</v>
      </c>
      <c r="I5887" s="1399">
        <v>7440441</v>
      </c>
    </row>
    <row r="5888" spans="2:9">
      <c r="B5888" s="1297"/>
      <c r="C5888" s="1297"/>
      <c r="D5888" s="1297" t="s">
        <v>955</v>
      </c>
      <c r="H5888" s="1399">
        <v>1051586</v>
      </c>
      <c r="I5888" s="1399">
        <v>1051586</v>
      </c>
    </row>
    <row r="5889" spans="2:9">
      <c r="B5889" s="1297"/>
      <c r="C5889" s="1297"/>
      <c r="D5889" s="1297" t="s">
        <v>934</v>
      </c>
      <c r="H5889" s="1399">
        <v>223730</v>
      </c>
      <c r="I5889" s="1399">
        <v>223730</v>
      </c>
    </row>
    <row r="5890" spans="2:9">
      <c r="B5890" s="1297"/>
      <c r="C5890" s="1297"/>
      <c r="D5890" s="1297" t="s">
        <v>1130</v>
      </c>
      <c r="H5890" s="1399">
        <v>-883669.67</v>
      </c>
      <c r="I5890" s="1399">
        <v>-883669.67</v>
      </c>
    </row>
    <row r="5891" spans="2:9">
      <c r="B5891" s="1297"/>
      <c r="C5891" s="1297"/>
      <c r="D5891" s="1297" t="s">
        <v>935</v>
      </c>
      <c r="H5891" s="1399">
        <v>914084.66999999993</v>
      </c>
      <c r="I5891" s="1399">
        <v>914084.66999999993</v>
      </c>
    </row>
    <row r="5892" spans="2:9">
      <c r="B5892" s="1297"/>
      <c r="C5892" s="1297"/>
      <c r="D5892" s="1297" t="s">
        <v>1131</v>
      </c>
      <c r="E5892" s="1399">
        <v>9436.08</v>
      </c>
      <c r="I5892" s="1399">
        <v>9436.08</v>
      </c>
    </row>
    <row r="5893" spans="2:9">
      <c r="B5893" s="1297"/>
      <c r="C5893" s="1297"/>
      <c r="D5893" s="1297" t="s">
        <v>940</v>
      </c>
      <c r="E5893" s="1399">
        <v>4249573.5599999996</v>
      </c>
      <c r="I5893" s="1399">
        <v>4249573.5599999996</v>
      </c>
    </row>
    <row r="5894" spans="2:9">
      <c r="B5894" s="1297"/>
      <c r="C5894" s="1297"/>
      <c r="D5894" s="1297" t="s">
        <v>941</v>
      </c>
      <c r="E5894" s="1399">
        <v>1567550.8600000003</v>
      </c>
      <c r="I5894" s="1399">
        <v>1567550.8600000003</v>
      </c>
    </row>
    <row r="5895" spans="2:9">
      <c r="B5895" s="1297"/>
      <c r="C5895" s="1297"/>
      <c r="D5895" s="1297" t="s">
        <v>943</v>
      </c>
      <c r="E5895" s="1399">
        <v>67768.460000000006</v>
      </c>
      <c r="I5895" s="1399">
        <v>67768.460000000006</v>
      </c>
    </row>
    <row r="5896" spans="2:9">
      <c r="B5896" s="1297"/>
      <c r="C5896" s="1297"/>
      <c r="D5896" s="1297" t="s">
        <v>944</v>
      </c>
      <c r="E5896" s="1399">
        <v>5901565.8399999999</v>
      </c>
      <c r="I5896" s="1399">
        <v>5901565.8399999999</v>
      </c>
    </row>
    <row r="5897" spans="2:9">
      <c r="B5897" s="1297"/>
      <c r="C5897" s="1297"/>
      <c r="D5897" s="1297" t="s">
        <v>945</v>
      </c>
      <c r="E5897" s="1399">
        <v>3861901</v>
      </c>
      <c r="I5897" s="1399">
        <v>3861901</v>
      </c>
    </row>
    <row r="5898" spans="2:9">
      <c r="B5898" s="1297"/>
      <c r="C5898" s="1297"/>
      <c r="D5898" s="1297" t="s">
        <v>946</v>
      </c>
      <c r="E5898" s="1399">
        <v>159597.45000000001</v>
      </c>
      <c r="I5898" s="1399">
        <v>159597.45000000001</v>
      </c>
    </row>
    <row r="5899" spans="2:9">
      <c r="B5899" s="1297"/>
      <c r="C5899" s="1297"/>
      <c r="D5899" s="1297" t="s">
        <v>947</v>
      </c>
      <c r="E5899" s="1399">
        <v>392106.05</v>
      </c>
      <c r="I5899" s="1399">
        <v>392106.05</v>
      </c>
    </row>
    <row r="5900" spans="2:9">
      <c r="B5900" s="1297"/>
      <c r="C5900" s="1297"/>
      <c r="D5900" s="1297" t="s">
        <v>948</v>
      </c>
      <c r="G5900" s="1399">
        <v>14416613.370000001</v>
      </c>
      <c r="I5900" s="1399">
        <v>14416613.370000001</v>
      </c>
    </row>
    <row r="5901" spans="2:9">
      <c r="B5901" s="1297"/>
      <c r="C5901" s="1400" t="s">
        <v>1603</v>
      </c>
      <c r="D5901" s="1400"/>
      <c r="E5901" s="1401">
        <v>16209499.300000001</v>
      </c>
      <c r="F5901" s="1401">
        <v>44731506.590000011</v>
      </c>
      <c r="G5901" s="1401">
        <v>14416613.370000001</v>
      </c>
      <c r="H5901" s="1401">
        <v>67121681</v>
      </c>
      <c r="I5901" s="1401">
        <v>142479300.25999999</v>
      </c>
    </row>
    <row r="5902" spans="2:9">
      <c r="B5902" s="1297" t="s">
        <v>1604</v>
      </c>
      <c r="C5902" s="1297" t="s">
        <v>1605</v>
      </c>
      <c r="D5902" s="1297" t="s">
        <v>906</v>
      </c>
      <c r="F5902" s="1399">
        <v>2093864.65</v>
      </c>
      <c r="I5902" s="1399">
        <v>2093864.65</v>
      </c>
    </row>
    <row r="5903" spans="2:9">
      <c r="B5903" s="1297"/>
      <c r="C5903" s="1297"/>
      <c r="D5903" s="1297" t="s">
        <v>952</v>
      </c>
      <c r="F5903" s="1399">
        <v>4319.26</v>
      </c>
      <c r="I5903" s="1399">
        <v>4319.26</v>
      </c>
    </row>
    <row r="5904" spans="2:9">
      <c r="B5904" s="1297"/>
      <c r="C5904" s="1297"/>
      <c r="D5904" s="1297" t="s">
        <v>907</v>
      </c>
      <c r="F5904" s="1399">
        <v>455396.58</v>
      </c>
      <c r="I5904" s="1399">
        <v>455396.58</v>
      </c>
    </row>
    <row r="5905" spans="2:9">
      <c r="B5905" s="1297"/>
      <c r="C5905" s="1297"/>
      <c r="D5905" s="1297" t="s">
        <v>908</v>
      </c>
      <c r="F5905" s="1399">
        <v>14408.31</v>
      </c>
      <c r="I5905" s="1399">
        <v>14408.31</v>
      </c>
    </row>
    <row r="5906" spans="2:9">
      <c r="B5906" s="1297"/>
      <c r="C5906" s="1297"/>
      <c r="D5906" s="1297" t="s">
        <v>910</v>
      </c>
      <c r="F5906" s="1399">
        <v>59696.03</v>
      </c>
      <c r="I5906" s="1399">
        <v>59696.03</v>
      </c>
    </row>
    <row r="5907" spans="2:9">
      <c r="B5907" s="1297"/>
      <c r="C5907" s="1297"/>
      <c r="D5907" s="1297" t="s">
        <v>1034</v>
      </c>
      <c r="F5907" s="1399">
        <v>700</v>
      </c>
      <c r="I5907" s="1399">
        <v>700</v>
      </c>
    </row>
    <row r="5908" spans="2:9">
      <c r="B5908" s="1297"/>
      <c r="C5908" s="1297"/>
      <c r="D5908" s="1297" t="s">
        <v>1039</v>
      </c>
      <c r="F5908" s="1399">
        <v>13360.980000000001</v>
      </c>
      <c r="I5908" s="1399">
        <v>13360.980000000001</v>
      </c>
    </row>
    <row r="5909" spans="2:9">
      <c r="B5909" s="1297"/>
      <c r="C5909" s="1297"/>
      <c r="D5909" s="1297" t="s">
        <v>1040</v>
      </c>
      <c r="F5909" s="1399">
        <v>42783.360000000001</v>
      </c>
      <c r="I5909" s="1399">
        <v>42783.360000000001</v>
      </c>
    </row>
    <row r="5910" spans="2:9">
      <c r="B5910" s="1297"/>
      <c r="C5910" s="1297"/>
      <c r="D5910" s="1297" t="s">
        <v>1127</v>
      </c>
      <c r="F5910" s="1399">
        <v>7409.56</v>
      </c>
      <c r="I5910" s="1399">
        <v>7409.56</v>
      </c>
    </row>
    <row r="5911" spans="2:9">
      <c r="B5911" s="1297"/>
      <c r="C5911" s="1297"/>
      <c r="D5911" s="1297" t="s">
        <v>1041</v>
      </c>
      <c r="F5911" s="1399">
        <v>91.5</v>
      </c>
      <c r="I5911" s="1399">
        <v>91.5</v>
      </c>
    </row>
    <row r="5912" spans="2:9">
      <c r="B5912" s="1297"/>
      <c r="C5912" s="1297"/>
      <c r="D5912" s="1297" t="s">
        <v>1042</v>
      </c>
      <c r="F5912" s="1399">
        <v>11203.03</v>
      </c>
      <c r="I5912" s="1399">
        <v>11203.03</v>
      </c>
    </row>
    <row r="5913" spans="2:9">
      <c r="B5913" s="1297"/>
      <c r="C5913" s="1297"/>
      <c r="D5913" s="1297" t="s">
        <v>986</v>
      </c>
      <c r="F5913" s="1399">
        <v>365404.74</v>
      </c>
      <c r="I5913" s="1399">
        <v>365404.74</v>
      </c>
    </row>
    <row r="5914" spans="2:9">
      <c r="B5914" s="1297"/>
      <c r="C5914" s="1297"/>
      <c r="D5914" s="1297" t="s">
        <v>1045</v>
      </c>
      <c r="F5914" s="1399">
        <v>158245.06999999998</v>
      </c>
      <c r="I5914" s="1399">
        <v>158245.06999999998</v>
      </c>
    </row>
    <row r="5915" spans="2:9">
      <c r="B5915" s="1297"/>
      <c r="C5915" s="1297"/>
      <c r="D5915" s="1297" t="s">
        <v>1046</v>
      </c>
      <c r="H5915" s="1399">
        <v>6356886.9999999981</v>
      </c>
      <c r="I5915" s="1399">
        <v>6356886.9999999981</v>
      </c>
    </row>
    <row r="5916" spans="2:9">
      <c r="B5916" s="1297"/>
      <c r="C5916" s="1297"/>
      <c r="D5916" s="1297" t="s">
        <v>1047</v>
      </c>
      <c r="H5916" s="1399">
        <v>386616.99999999994</v>
      </c>
      <c r="I5916" s="1399">
        <v>386616.99999999994</v>
      </c>
    </row>
    <row r="5917" spans="2:9">
      <c r="B5917" s="1297"/>
      <c r="C5917" s="1297"/>
      <c r="D5917" s="1297" t="s">
        <v>1048</v>
      </c>
      <c r="H5917" s="1399">
        <v>-638132</v>
      </c>
      <c r="I5917" s="1399">
        <v>-638132</v>
      </c>
    </row>
    <row r="5918" spans="2:9">
      <c r="B5918" s="1297"/>
      <c r="C5918" s="1297"/>
      <c r="D5918" s="1297" t="s">
        <v>932</v>
      </c>
      <c r="H5918" s="1399">
        <v>885209</v>
      </c>
      <c r="I5918" s="1399">
        <v>885209</v>
      </c>
    </row>
    <row r="5919" spans="2:9">
      <c r="B5919" s="1297"/>
      <c r="C5919" s="1297"/>
      <c r="D5919" s="1297" t="s">
        <v>955</v>
      </c>
      <c r="H5919" s="1399">
        <v>392332.7</v>
      </c>
      <c r="I5919" s="1399">
        <v>392332.7</v>
      </c>
    </row>
    <row r="5920" spans="2:9">
      <c r="B5920" s="1297"/>
      <c r="C5920" s="1297"/>
      <c r="D5920" s="1297" t="s">
        <v>934</v>
      </c>
      <c r="H5920" s="1399">
        <v>20281.95</v>
      </c>
      <c r="I5920" s="1399">
        <v>20281.95</v>
      </c>
    </row>
    <row r="5921" spans="2:9">
      <c r="B5921" s="1297"/>
      <c r="C5921" s="1297"/>
      <c r="D5921" s="1297" t="s">
        <v>1130</v>
      </c>
      <c r="H5921" s="1399">
        <v>-103953</v>
      </c>
      <c r="I5921" s="1399">
        <v>-103953</v>
      </c>
    </row>
    <row r="5922" spans="2:9">
      <c r="B5922" s="1297"/>
      <c r="C5922" s="1297"/>
      <c r="D5922" s="1297" t="s">
        <v>935</v>
      </c>
      <c r="H5922" s="1399">
        <v>208504</v>
      </c>
      <c r="I5922" s="1399">
        <v>208504</v>
      </c>
    </row>
    <row r="5923" spans="2:9">
      <c r="B5923" s="1297"/>
      <c r="C5923" s="1297"/>
      <c r="D5923" s="1297" t="s">
        <v>936</v>
      </c>
      <c r="H5923" s="1399">
        <v>21709.33</v>
      </c>
      <c r="I5923" s="1399">
        <v>21709.33</v>
      </c>
    </row>
    <row r="5924" spans="2:9">
      <c r="B5924" s="1297"/>
      <c r="C5924" s="1297"/>
      <c r="D5924" s="1297" t="s">
        <v>938</v>
      </c>
      <c r="H5924" s="1399">
        <v>7486</v>
      </c>
      <c r="I5924" s="1399">
        <v>7486</v>
      </c>
    </row>
    <row r="5925" spans="2:9">
      <c r="B5925" s="1297"/>
      <c r="C5925" s="1297"/>
      <c r="D5925" s="1297" t="s">
        <v>939</v>
      </c>
      <c r="H5925" s="1399">
        <v>42250</v>
      </c>
      <c r="I5925" s="1399">
        <v>42250</v>
      </c>
    </row>
    <row r="5926" spans="2:9">
      <c r="B5926" s="1297"/>
      <c r="C5926" s="1297"/>
      <c r="D5926" s="1297" t="s">
        <v>1131</v>
      </c>
      <c r="E5926" s="1399">
        <v>28407.71</v>
      </c>
      <c r="I5926" s="1399">
        <v>28407.71</v>
      </c>
    </row>
    <row r="5927" spans="2:9">
      <c r="B5927" s="1297"/>
      <c r="C5927" s="1297"/>
      <c r="D5927" s="1297" t="s">
        <v>940</v>
      </c>
      <c r="E5927" s="1399">
        <v>339211.59</v>
      </c>
      <c r="I5927" s="1399">
        <v>339211.59</v>
      </c>
    </row>
    <row r="5928" spans="2:9">
      <c r="B5928" s="1297"/>
      <c r="C5928" s="1297"/>
      <c r="D5928" s="1297" t="s">
        <v>941</v>
      </c>
      <c r="E5928" s="1399">
        <v>147055.04000000001</v>
      </c>
      <c r="I5928" s="1399">
        <v>147055.04000000001</v>
      </c>
    </row>
    <row r="5929" spans="2:9">
      <c r="B5929" s="1297"/>
      <c r="C5929" s="1297"/>
      <c r="D5929" s="1297" t="s">
        <v>943</v>
      </c>
      <c r="E5929" s="1399">
        <v>6995.96</v>
      </c>
      <c r="I5929" s="1399">
        <v>6995.96</v>
      </c>
    </row>
    <row r="5930" spans="2:9">
      <c r="B5930" s="1297"/>
      <c r="C5930" s="1297"/>
      <c r="D5930" s="1297" t="s">
        <v>944</v>
      </c>
      <c r="E5930" s="1399">
        <v>1013766.43</v>
      </c>
      <c r="I5930" s="1399">
        <v>1013766.43</v>
      </c>
    </row>
    <row r="5931" spans="2:9">
      <c r="B5931" s="1297"/>
      <c r="C5931" s="1297"/>
      <c r="D5931" s="1297" t="s">
        <v>945</v>
      </c>
      <c r="E5931" s="1399">
        <v>617225.31000000006</v>
      </c>
      <c r="I5931" s="1399">
        <v>617225.31000000006</v>
      </c>
    </row>
    <row r="5932" spans="2:9">
      <c r="B5932" s="1297"/>
      <c r="C5932" s="1297"/>
      <c r="D5932" s="1297" t="s">
        <v>947</v>
      </c>
      <c r="E5932" s="1399">
        <v>8348.35</v>
      </c>
      <c r="I5932" s="1399">
        <v>8348.35</v>
      </c>
    </row>
    <row r="5933" spans="2:9">
      <c r="B5933" s="1297"/>
      <c r="C5933" s="1297"/>
      <c r="D5933" s="1297" t="s">
        <v>948</v>
      </c>
      <c r="G5933" s="1399">
        <v>5336.75</v>
      </c>
      <c r="I5933" s="1399">
        <v>5336.75</v>
      </c>
    </row>
    <row r="5934" spans="2:9">
      <c r="B5934" s="1297"/>
      <c r="C5934" s="1297"/>
      <c r="D5934" s="1297" t="s">
        <v>1118</v>
      </c>
      <c r="G5934" s="1399">
        <v>-516.23</v>
      </c>
      <c r="I5934" s="1399">
        <v>-516.23</v>
      </c>
    </row>
    <row r="5935" spans="2:9">
      <c r="B5935" s="1297"/>
      <c r="C5935" s="1400" t="s">
        <v>1606</v>
      </c>
      <c r="D5935" s="1400"/>
      <c r="E5935" s="1401">
        <v>2161010.39</v>
      </c>
      <c r="F5935" s="1401">
        <v>3226883.0699999989</v>
      </c>
      <c r="G5935" s="1401">
        <v>4820.5200000000004</v>
      </c>
      <c r="H5935" s="1401">
        <v>7579191.9799999986</v>
      </c>
      <c r="I5935" s="1401">
        <v>12971905.959999995</v>
      </c>
    </row>
    <row r="5936" spans="2:9">
      <c r="B5936" s="1297" t="s">
        <v>1607</v>
      </c>
      <c r="C5936" s="1297" t="s">
        <v>1608</v>
      </c>
      <c r="D5936" s="1297" t="s">
        <v>906</v>
      </c>
      <c r="F5936" s="1399">
        <v>6438230.0899999999</v>
      </c>
      <c r="I5936" s="1399">
        <v>6438230.0899999999</v>
      </c>
    </row>
    <row r="5937" spans="2:9">
      <c r="B5937" s="1297"/>
      <c r="C5937" s="1297"/>
      <c r="D5937" s="1297" t="s">
        <v>952</v>
      </c>
      <c r="F5937" s="1399">
        <v>43616.2</v>
      </c>
      <c r="I5937" s="1399">
        <v>43616.2</v>
      </c>
    </row>
    <row r="5938" spans="2:9">
      <c r="B5938" s="1297"/>
      <c r="C5938" s="1297"/>
      <c r="D5938" s="1297" t="s">
        <v>907</v>
      </c>
      <c r="F5938" s="1399">
        <v>1544533.4</v>
      </c>
      <c r="I5938" s="1399">
        <v>1544533.4</v>
      </c>
    </row>
    <row r="5939" spans="2:9">
      <c r="B5939" s="1297"/>
      <c r="C5939" s="1297"/>
      <c r="D5939" s="1297" t="s">
        <v>908</v>
      </c>
      <c r="F5939" s="1399">
        <v>4766.87</v>
      </c>
      <c r="I5939" s="1399">
        <v>4766.87</v>
      </c>
    </row>
    <row r="5940" spans="2:9">
      <c r="B5940" s="1297"/>
      <c r="C5940" s="1297"/>
      <c r="D5940" s="1297" t="s">
        <v>1035</v>
      </c>
      <c r="F5940" s="1399">
        <v>83709.740000000005</v>
      </c>
      <c r="I5940" s="1399">
        <v>83709.740000000005</v>
      </c>
    </row>
    <row r="5941" spans="2:9">
      <c r="B5941" s="1297"/>
      <c r="C5941" s="1297"/>
      <c r="D5941" s="1297" t="s">
        <v>1036</v>
      </c>
      <c r="F5941" s="1399">
        <v>167118.1</v>
      </c>
      <c r="I5941" s="1399">
        <v>167118.1</v>
      </c>
    </row>
    <row r="5942" spans="2:9">
      <c r="B5942" s="1297"/>
      <c r="C5942" s="1297"/>
      <c r="D5942" s="1297" t="s">
        <v>1039</v>
      </c>
      <c r="F5942" s="1399">
        <v>11361.009999999998</v>
      </c>
      <c r="I5942" s="1399">
        <v>11361.009999999998</v>
      </c>
    </row>
    <row r="5943" spans="2:9">
      <c r="B5943" s="1297"/>
      <c r="C5943" s="1297"/>
      <c r="D5943" s="1297" t="s">
        <v>1040</v>
      </c>
      <c r="F5943" s="1399">
        <v>103919.11</v>
      </c>
      <c r="I5943" s="1399">
        <v>103919.11</v>
      </c>
    </row>
    <row r="5944" spans="2:9">
      <c r="B5944" s="1297"/>
      <c r="C5944" s="1297"/>
      <c r="D5944" s="1297" t="s">
        <v>1041</v>
      </c>
      <c r="F5944" s="1399">
        <v>20373.73</v>
      </c>
      <c r="I5944" s="1399">
        <v>20373.73</v>
      </c>
    </row>
    <row r="5945" spans="2:9">
      <c r="B5945" s="1297"/>
      <c r="C5945" s="1297"/>
      <c r="D5945" s="1297" t="s">
        <v>1042</v>
      </c>
      <c r="F5945" s="1399">
        <v>32387.88</v>
      </c>
      <c r="I5945" s="1399">
        <v>32387.88</v>
      </c>
    </row>
    <row r="5946" spans="2:9">
      <c r="B5946" s="1297"/>
      <c r="C5946" s="1297"/>
      <c r="D5946" s="1297" t="s">
        <v>954</v>
      </c>
      <c r="F5946" s="1399">
        <v>147527.25</v>
      </c>
      <c r="I5946" s="1399">
        <v>147527.25</v>
      </c>
    </row>
    <row r="5947" spans="2:9">
      <c r="B5947" s="1297"/>
      <c r="C5947" s="1297"/>
      <c r="D5947" s="1297" t="s">
        <v>1045</v>
      </c>
      <c r="F5947" s="1399">
        <v>125403.46000000002</v>
      </c>
      <c r="I5947" s="1399">
        <v>125403.46000000002</v>
      </c>
    </row>
    <row r="5948" spans="2:9">
      <c r="B5948" s="1297"/>
      <c r="C5948" s="1297"/>
      <c r="D5948" s="1297" t="s">
        <v>1046</v>
      </c>
      <c r="H5948" s="1399">
        <v>8359576</v>
      </c>
      <c r="I5948" s="1399">
        <v>8359576</v>
      </c>
    </row>
    <row r="5949" spans="2:9">
      <c r="B5949" s="1297"/>
      <c r="C5949" s="1297"/>
      <c r="D5949" s="1297" t="s">
        <v>1047</v>
      </c>
      <c r="H5949" s="1399">
        <v>433953</v>
      </c>
      <c r="I5949" s="1399">
        <v>433953</v>
      </c>
    </row>
    <row r="5950" spans="2:9">
      <c r="B5950" s="1297"/>
      <c r="C5950" s="1297"/>
      <c r="D5950" s="1297" t="s">
        <v>1048</v>
      </c>
      <c r="H5950" s="1399">
        <v>-1437315</v>
      </c>
      <c r="I5950" s="1399">
        <v>-1437315</v>
      </c>
    </row>
    <row r="5951" spans="2:9">
      <c r="B5951" s="1297"/>
      <c r="C5951" s="1297"/>
      <c r="D5951" s="1297" t="s">
        <v>932</v>
      </c>
      <c r="H5951" s="1399">
        <v>288578</v>
      </c>
      <c r="I5951" s="1399">
        <v>288578</v>
      </c>
    </row>
    <row r="5952" spans="2:9">
      <c r="B5952" s="1297"/>
      <c r="C5952" s="1297"/>
      <c r="D5952" s="1297" t="s">
        <v>955</v>
      </c>
      <c r="H5952" s="1399">
        <v>460956.82</v>
      </c>
      <c r="I5952" s="1399">
        <v>460956.82</v>
      </c>
    </row>
    <row r="5953" spans="2:9">
      <c r="B5953" s="1297"/>
      <c r="C5953" s="1297"/>
      <c r="D5953" s="1297" t="s">
        <v>934</v>
      </c>
      <c r="H5953" s="1399">
        <v>29802</v>
      </c>
      <c r="I5953" s="1399">
        <v>29802</v>
      </c>
    </row>
    <row r="5954" spans="2:9">
      <c r="B5954" s="1297"/>
      <c r="C5954" s="1297"/>
      <c r="D5954" s="1297" t="s">
        <v>935</v>
      </c>
      <c r="H5954" s="1399">
        <v>459289.18000000005</v>
      </c>
      <c r="I5954" s="1399">
        <v>459289.18000000005</v>
      </c>
    </row>
    <row r="5955" spans="2:9">
      <c r="B5955" s="1297"/>
      <c r="C5955" s="1297"/>
      <c r="D5955" s="1297" t="s">
        <v>936</v>
      </c>
      <c r="H5955" s="1399">
        <v>34314.75</v>
      </c>
      <c r="I5955" s="1399">
        <v>34314.75</v>
      </c>
    </row>
    <row r="5956" spans="2:9">
      <c r="B5956" s="1297"/>
      <c r="C5956" s="1297"/>
      <c r="D5956" s="1297" t="s">
        <v>937</v>
      </c>
      <c r="H5956" s="1399">
        <v>7708.87</v>
      </c>
      <c r="I5956" s="1399">
        <v>7708.87</v>
      </c>
    </row>
    <row r="5957" spans="2:9">
      <c r="B5957" s="1297"/>
      <c r="C5957" s="1297"/>
      <c r="D5957" s="1297" t="s">
        <v>938</v>
      </c>
      <c r="H5957" s="1399">
        <v>12165</v>
      </c>
      <c r="I5957" s="1399">
        <v>12165</v>
      </c>
    </row>
    <row r="5958" spans="2:9">
      <c r="B5958" s="1297"/>
      <c r="C5958" s="1297"/>
      <c r="D5958" s="1297" t="s">
        <v>939</v>
      </c>
      <c r="H5958" s="1399">
        <v>59690.75</v>
      </c>
      <c r="I5958" s="1399">
        <v>59690.75</v>
      </c>
    </row>
    <row r="5959" spans="2:9">
      <c r="B5959" s="1297"/>
      <c r="C5959" s="1297"/>
      <c r="D5959" s="1297" t="s">
        <v>940</v>
      </c>
      <c r="E5959" s="1399">
        <v>632113.28</v>
      </c>
      <c r="I5959" s="1399">
        <v>632113.28</v>
      </c>
    </row>
    <row r="5960" spans="2:9">
      <c r="B5960" s="1297"/>
      <c r="C5960" s="1297"/>
      <c r="D5960" s="1297" t="s">
        <v>941</v>
      </c>
      <c r="E5960" s="1399">
        <v>226666.9</v>
      </c>
      <c r="I5960" s="1399">
        <v>226666.9</v>
      </c>
    </row>
    <row r="5961" spans="2:9">
      <c r="B5961" s="1297"/>
      <c r="C5961" s="1297"/>
      <c r="D5961" s="1297" t="s">
        <v>943</v>
      </c>
      <c r="E5961" s="1399">
        <v>14727.48</v>
      </c>
      <c r="I5961" s="1399">
        <v>14727.48</v>
      </c>
    </row>
    <row r="5962" spans="2:9">
      <c r="B5962" s="1297"/>
      <c r="C5962" s="1297"/>
      <c r="D5962" s="1297" t="s">
        <v>944</v>
      </c>
      <c r="E5962" s="1399">
        <v>1747517.91</v>
      </c>
      <c r="I5962" s="1399">
        <v>1747517.91</v>
      </c>
    </row>
    <row r="5963" spans="2:9">
      <c r="B5963" s="1297"/>
      <c r="C5963" s="1297"/>
      <c r="D5963" s="1297" t="s">
        <v>945</v>
      </c>
      <c r="E5963" s="1399">
        <v>696049.29</v>
      </c>
      <c r="I5963" s="1399">
        <v>696049.29</v>
      </c>
    </row>
    <row r="5964" spans="2:9">
      <c r="B5964" s="1297"/>
      <c r="C5964" s="1297"/>
      <c r="D5964" s="1297" t="s">
        <v>947</v>
      </c>
      <c r="E5964" s="1399">
        <v>58675.37</v>
      </c>
      <c r="I5964" s="1399">
        <v>58675.37</v>
      </c>
    </row>
    <row r="5965" spans="2:9">
      <c r="B5965" s="1297"/>
      <c r="C5965" s="1297"/>
      <c r="D5965" s="1297" t="s">
        <v>948</v>
      </c>
      <c r="G5965" s="1399">
        <v>1503677.63</v>
      </c>
      <c r="I5965" s="1399">
        <v>1503677.63</v>
      </c>
    </row>
    <row r="5966" spans="2:9">
      <c r="B5966" s="1297"/>
      <c r="C5966" s="1400" t="s">
        <v>1609</v>
      </c>
      <c r="D5966" s="1400"/>
      <c r="E5966" s="1401">
        <v>3375750.23</v>
      </c>
      <c r="F5966" s="1401">
        <v>8722946.8400000017</v>
      </c>
      <c r="G5966" s="1401">
        <v>1503677.63</v>
      </c>
      <c r="H5966" s="1401">
        <v>8708719.3699999992</v>
      </c>
      <c r="I5966" s="1401">
        <v>22311094.070000004</v>
      </c>
    </row>
    <row r="5967" spans="2:9">
      <c r="B5967" s="1297" t="s">
        <v>1610</v>
      </c>
      <c r="C5967" s="1297" t="s">
        <v>1426</v>
      </c>
      <c r="D5967" s="1297" t="s">
        <v>906</v>
      </c>
      <c r="F5967" s="1399">
        <v>7091146.1299999999</v>
      </c>
      <c r="I5967" s="1399">
        <v>7091146.1299999999</v>
      </c>
    </row>
    <row r="5968" spans="2:9">
      <c r="B5968" s="1297"/>
      <c r="C5968" s="1297"/>
      <c r="D5968" s="1297" t="s">
        <v>952</v>
      </c>
      <c r="F5968" s="1399">
        <v>23477.119999999999</v>
      </c>
      <c r="I5968" s="1399">
        <v>23477.119999999999</v>
      </c>
    </row>
    <row r="5969" spans="2:9">
      <c r="B5969" s="1297"/>
      <c r="C5969" s="1297"/>
      <c r="D5969" s="1297" t="s">
        <v>907</v>
      </c>
      <c r="F5969" s="1399">
        <v>1848139.26</v>
      </c>
      <c r="I5969" s="1399">
        <v>1848139.26</v>
      </c>
    </row>
    <row r="5970" spans="2:9">
      <c r="B5970" s="1297"/>
      <c r="C5970" s="1297"/>
      <c r="D5970" s="1297" t="s">
        <v>908</v>
      </c>
      <c r="F5970" s="1399">
        <v>36413.449999999997</v>
      </c>
      <c r="I5970" s="1399">
        <v>36413.449999999997</v>
      </c>
    </row>
    <row r="5971" spans="2:9">
      <c r="B5971" s="1297"/>
      <c r="C5971" s="1297"/>
      <c r="D5971" s="1297" t="s">
        <v>909</v>
      </c>
      <c r="F5971" s="1399">
        <v>13680.26</v>
      </c>
      <c r="I5971" s="1399">
        <v>13680.26</v>
      </c>
    </row>
    <row r="5972" spans="2:9">
      <c r="B5972" s="1297"/>
      <c r="C5972" s="1297"/>
      <c r="D5972" s="1297" t="s">
        <v>910</v>
      </c>
      <c r="F5972" s="1399">
        <v>96144.34</v>
      </c>
      <c r="I5972" s="1399">
        <v>96144.34</v>
      </c>
    </row>
    <row r="5973" spans="2:9">
      <c r="B5973" s="1297"/>
      <c r="C5973" s="1297"/>
      <c r="D5973" s="1297" t="s">
        <v>1034</v>
      </c>
      <c r="F5973" s="1399">
        <v>2797.04</v>
      </c>
      <c r="I5973" s="1399">
        <v>2797.04</v>
      </c>
    </row>
    <row r="5974" spans="2:9">
      <c r="B5974" s="1297"/>
      <c r="C5974" s="1297"/>
      <c r="D5974" s="1297" t="s">
        <v>1035</v>
      </c>
      <c r="F5974" s="1399">
        <v>174499.36</v>
      </c>
      <c r="I5974" s="1399">
        <v>174499.36</v>
      </c>
    </row>
    <row r="5975" spans="2:9">
      <c r="B5975" s="1297"/>
      <c r="C5975" s="1297"/>
      <c r="D5975" s="1297" t="s">
        <v>1036</v>
      </c>
      <c r="F5975" s="1399">
        <v>156702.25</v>
      </c>
      <c r="I5975" s="1399">
        <v>156702.25</v>
      </c>
    </row>
    <row r="5976" spans="2:9">
      <c r="B5976" s="1297"/>
      <c r="C5976" s="1297"/>
      <c r="D5976" s="1297" t="s">
        <v>1003</v>
      </c>
      <c r="F5976" s="1399">
        <v>12404.9</v>
      </c>
      <c r="I5976" s="1399">
        <v>12404.9</v>
      </c>
    </row>
    <row r="5977" spans="2:9">
      <c r="B5977" s="1297"/>
      <c r="C5977" s="1297"/>
      <c r="D5977" s="1297" t="s">
        <v>1039</v>
      </c>
      <c r="F5977" s="1399">
        <v>10493.480000000001</v>
      </c>
      <c r="I5977" s="1399">
        <v>10493.480000000001</v>
      </c>
    </row>
    <row r="5978" spans="2:9">
      <c r="B5978" s="1297"/>
      <c r="C5978" s="1297"/>
      <c r="D5978" s="1297" t="s">
        <v>1040</v>
      </c>
      <c r="F5978" s="1399">
        <v>57401.02</v>
      </c>
      <c r="I5978" s="1399">
        <v>57401.02</v>
      </c>
    </row>
    <row r="5979" spans="2:9">
      <c r="B5979" s="1297"/>
      <c r="C5979" s="1297"/>
      <c r="D5979" s="1297" t="s">
        <v>1041</v>
      </c>
      <c r="F5979" s="1399">
        <v>3183</v>
      </c>
      <c r="I5979" s="1399">
        <v>3183</v>
      </c>
    </row>
    <row r="5980" spans="2:9">
      <c r="B5980" s="1297"/>
      <c r="C5980" s="1297"/>
      <c r="D5980" s="1297" t="s">
        <v>1042</v>
      </c>
      <c r="F5980" s="1399">
        <v>21452.5</v>
      </c>
      <c r="I5980" s="1399">
        <v>21452.5</v>
      </c>
    </row>
    <row r="5981" spans="2:9">
      <c r="B5981" s="1297"/>
      <c r="C5981" s="1297"/>
      <c r="D5981" s="1297" t="s">
        <v>1043</v>
      </c>
      <c r="F5981" s="1399">
        <v>1770</v>
      </c>
      <c r="I5981" s="1399">
        <v>1770</v>
      </c>
    </row>
    <row r="5982" spans="2:9">
      <c r="B5982" s="1297"/>
      <c r="C5982" s="1297"/>
      <c r="D5982" s="1297" t="s">
        <v>991</v>
      </c>
      <c r="F5982" s="1399">
        <v>5281.25</v>
      </c>
      <c r="I5982" s="1399">
        <v>5281.25</v>
      </c>
    </row>
    <row r="5983" spans="2:9">
      <c r="B5983" s="1297"/>
      <c r="C5983" s="1297"/>
      <c r="D5983" s="1297" t="s">
        <v>1044</v>
      </c>
      <c r="F5983" s="1399">
        <v>18900</v>
      </c>
      <c r="I5983" s="1399">
        <v>18900</v>
      </c>
    </row>
    <row r="5984" spans="2:9">
      <c r="B5984" s="1297"/>
      <c r="C5984" s="1297"/>
      <c r="D5984" s="1297" t="s">
        <v>1045</v>
      </c>
      <c r="F5984" s="1399">
        <v>31229.840000000004</v>
      </c>
      <c r="I5984" s="1399">
        <v>31229.840000000004</v>
      </c>
    </row>
    <row r="5985" spans="2:9">
      <c r="B5985" s="1297"/>
      <c r="C5985" s="1297"/>
      <c r="D5985" s="1297" t="s">
        <v>1046</v>
      </c>
      <c r="H5985" s="1399">
        <v>7297998</v>
      </c>
      <c r="I5985" s="1399">
        <v>7297998</v>
      </c>
    </row>
    <row r="5986" spans="2:9">
      <c r="B5986" s="1297"/>
      <c r="C5986" s="1297"/>
      <c r="D5986" s="1297" t="s">
        <v>1047</v>
      </c>
      <c r="H5986" s="1399">
        <v>446024</v>
      </c>
      <c r="I5986" s="1399">
        <v>446024</v>
      </c>
    </row>
    <row r="5987" spans="2:9">
      <c r="B5987" s="1297"/>
      <c r="C5987" s="1297"/>
      <c r="D5987" s="1297" t="s">
        <v>1048</v>
      </c>
      <c r="H5987" s="1399">
        <v>-1897214</v>
      </c>
      <c r="I5987" s="1399">
        <v>-1897214</v>
      </c>
    </row>
    <row r="5988" spans="2:9">
      <c r="B5988" s="1297"/>
      <c r="C5988" s="1297"/>
      <c r="D5988" s="1297" t="s">
        <v>955</v>
      </c>
      <c r="H5988" s="1399">
        <v>504223.59</v>
      </c>
      <c r="I5988" s="1399">
        <v>504223.59</v>
      </c>
    </row>
    <row r="5989" spans="2:9">
      <c r="B5989" s="1297"/>
      <c r="C5989" s="1297"/>
      <c r="D5989" s="1297" t="s">
        <v>934</v>
      </c>
      <c r="H5989" s="1399">
        <v>27120</v>
      </c>
      <c r="I5989" s="1399">
        <v>27120</v>
      </c>
    </row>
    <row r="5990" spans="2:9">
      <c r="B5990" s="1297"/>
      <c r="C5990" s="1297"/>
      <c r="D5990" s="1297" t="s">
        <v>935</v>
      </c>
      <c r="H5990" s="1399">
        <v>310598.19</v>
      </c>
      <c r="I5990" s="1399">
        <v>310598.19</v>
      </c>
    </row>
    <row r="5991" spans="2:9">
      <c r="B5991" s="1297"/>
      <c r="C5991" s="1297"/>
      <c r="D5991" s="1297" t="s">
        <v>936</v>
      </c>
      <c r="H5991" s="1399">
        <v>26961.59</v>
      </c>
      <c r="I5991" s="1399">
        <v>26961.59</v>
      </c>
    </row>
    <row r="5992" spans="2:9">
      <c r="B5992" s="1297"/>
      <c r="C5992" s="1297"/>
      <c r="D5992" s="1297" t="s">
        <v>938</v>
      </c>
      <c r="H5992" s="1399">
        <v>9732</v>
      </c>
      <c r="I5992" s="1399">
        <v>9732</v>
      </c>
    </row>
    <row r="5993" spans="2:9">
      <c r="B5993" s="1297"/>
      <c r="C5993" s="1297"/>
      <c r="D5993" s="1297" t="s">
        <v>939</v>
      </c>
      <c r="H5993" s="1399">
        <v>54038.29</v>
      </c>
      <c r="I5993" s="1399">
        <v>54038.29</v>
      </c>
    </row>
    <row r="5994" spans="2:9">
      <c r="B5994" s="1297"/>
      <c r="C5994" s="1297"/>
      <c r="D5994" s="1297" t="s">
        <v>1131</v>
      </c>
      <c r="E5994" s="1399">
        <v>1473508.15</v>
      </c>
      <c r="I5994" s="1399">
        <v>1473508.15</v>
      </c>
    </row>
    <row r="5995" spans="2:9">
      <c r="B5995" s="1297"/>
      <c r="C5995" s="1297"/>
      <c r="D5995" s="1297" t="s">
        <v>940</v>
      </c>
      <c r="E5995" s="1399">
        <v>510387.3</v>
      </c>
      <c r="I5995" s="1399">
        <v>510387.3</v>
      </c>
    </row>
    <row r="5996" spans="2:9">
      <c r="B5996" s="1297"/>
      <c r="C5996" s="1297"/>
      <c r="D5996" s="1297" t="s">
        <v>941</v>
      </c>
      <c r="E5996" s="1399">
        <v>171697.34</v>
      </c>
      <c r="I5996" s="1399">
        <v>171697.34</v>
      </c>
    </row>
    <row r="5997" spans="2:9">
      <c r="B5997" s="1297"/>
      <c r="C5997" s="1297"/>
      <c r="D5997" s="1297" t="s">
        <v>943</v>
      </c>
      <c r="E5997" s="1399">
        <v>27827.7</v>
      </c>
      <c r="I5997" s="1399">
        <v>27827.7</v>
      </c>
    </row>
    <row r="5998" spans="2:9">
      <c r="B5998" s="1297"/>
      <c r="C5998" s="1297"/>
      <c r="D5998" s="1297" t="s">
        <v>944</v>
      </c>
      <c r="E5998" s="1399">
        <v>1622060.13</v>
      </c>
      <c r="I5998" s="1399">
        <v>1622060.13</v>
      </c>
    </row>
    <row r="5999" spans="2:9">
      <c r="B5999" s="1297"/>
      <c r="C5999" s="1297"/>
      <c r="D5999" s="1297" t="s">
        <v>945</v>
      </c>
      <c r="E5999" s="1399">
        <v>627024.91</v>
      </c>
      <c r="I5999" s="1399">
        <v>627024.91</v>
      </c>
    </row>
    <row r="6000" spans="2:9">
      <c r="B6000" s="1297"/>
      <c r="C6000" s="1297"/>
      <c r="D6000" s="1297" t="s">
        <v>947</v>
      </c>
      <c r="E6000" s="1399">
        <v>59158.73</v>
      </c>
      <c r="I6000" s="1399">
        <v>59158.73</v>
      </c>
    </row>
    <row r="6001" spans="2:9">
      <c r="B6001" s="1297"/>
      <c r="C6001" s="1297"/>
      <c r="D6001" s="1297" t="s">
        <v>1116</v>
      </c>
      <c r="G6001" s="1399">
        <v>16500000</v>
      </c>
      <c r="I6001" s="1399">
        <v>16500000</v>
      </c>
    </row>
    <row r="6002" spans="2:9">
      <c r="B6002" s="1297"/>
      <c r="C6002" s="1297"/>
      <c r="D6002" s="1297" t="s">
        <v>1117</v>
      </c>
      <c r="G6002" s="1399">
        <v>-133742.39000000001</v>
      </c>
      <c r="I6002" s="1399">
        <v>-133742.39000000001</v>
      </c>
    </row>
    <row r="6003" spans="2:9">
      <c r="B6003" s="1297"/>
      <c r="C6003" s="1297"/>
      <c r="D6003" s="1297" t="s">
        <v>948</v>
      </c>
      <c r="G6003" s="1399">
        <v>2017478.1399999997</v>
      </c>
      <c r="I6003" s="1399">
        <v>2017478.1399999997</v>
      </c>
    </row>
    <row r="6004" spans="2:9">
      <c r="B6004" s="1297"/>
      <c r="C6004" s="1297"/>
      <c r="D6004" s="1297" t="s">
        <v>956</v>
      </c>
      <c r="G6004" s="1399">
        <v>11125</v>
      </c>
      <c r="I6004" s="1399">
        <v>11125</v>
      </c>
    </row>
    <row r="6005" spans="2:9">
      <c r="B6005" s="1297"/>
      <c r="C6005" s="1400" t="s">
        <v>1427</v>
      </c>
      <c r="D6005" s="1400"/>
      <c r="E6005" s="1401">
        <v>4491664.2600000007</v>
      </c>
      <c r="F6005" s="1401">
        <v>9605115.1999999974</v>
      </c>
      <c r="G6005" s="1401">
        <v>18394860.75</v>
      </c>
      <c r="H6005" s="1401">
        <v>6779481.6600000001</v>
      </c>
      <c r="I6005" s="1401">
        <v>39271121.86999999</v>
      </c>
    </row>
    <row r="6006" spans="2:9">
      <c r="B6006" s="1297" t="s">
        <v>1428</v>
      </c>
      <c r="C6006" s="1297" t="s">
        <v>1429</v>
      </c>
      <c r="D6006" s="1297" t="s">
        <v>906</v>
      </c>
      <c r="F6006" s="1399">
        <v>6853329.8099999996</v>
      </c>
      <c r="I6006" s="1399">
        <v>6853329.8099999996</v>
      </c>
    </row>
    <row r="6007" spans="2:9">
      <c r="B6007" s="1297"/>
      <c r="C6007" s="1297"/>
      <c r="D6007" s="1297" t="s">
        <v>952</v>
      </c>
      <c r="F6007" s="1399">
        <v>54555.07</v>
      </c>
      <c r="I6007" s="1399">
        <v>54555.07</v>
      </c>
    </row>
    <row r="6008" spans="2:9">
      <c r="B6008" s="1297"/>
      <c r="C6008" s="1297"/>
      <c r="D6008" s="1297" t="s">
        <v>907</v>
      </c>
      <c r="F6008" s="1399">
        <v>1696899.15</v>
      </c>
      <c r="I6008" s="1399">
        <v>1696899.15</v>
      </c>
    </row>
    <row r="6009" spans="2:9">
      <c r="B6009" s="1297"/>
      <c r="C6009" s="1297"/>
      <c r="D6009" s="1297" t="s">
        <v>908</v>
      </c>
      <c r="F6009" s="1399">
        <v>11502.69</v>
      </c>
      <c r="I6009" s="1399">
        <v>11502.69</v>
      </c>
    </row>
    <row r="6010" spans="2:9">
      <c r="B6010" s="1297"/>
      <c r="C6010" s="1297"/>
      <c r="D6010" s="1297" t="s">
        <v>909</v>
      </c>
      <c r="F6010" s="1399">
        <v>22981.759999999998</v>
      </c>
      <c r="I6010" s="1399">
        <v>22981.759999999998</v>
      </c>
    </row>
    <row r="6011" spans="2:9">
      <c r="B6011" s="1297"/>
      <c r="C6011" s="1297"/>
      <c r="D6011" s="1297" t="s">
        <v>910</v>
      </c>
      <c r="F6011" s="1399">
        <v>41951.25</v>
      </c>
      <c r="I6011" s="1399">
        <v>41951.25</v>
      </c>
    </row>
    <row r="6012" spans="2:9">
      <c r="B6012" s="1297"/>
      <c r="C6012" s="1297"/>
      <c r="D6012" s="1297" t="s">
        <v>1034</v>
      </c>
      <c r="F6012" s="1399">
        <v>22474.66</v>
      </c>
      <c r="I6012" s="1399">
        <v>22474.66</v>
      </c>
    </row>
    <row r="6013" spans="2:9">
      <c r="B6013" s="1297"/>
      <c r="C6013" s="1297"/>
      <c r="D6013" s="1297" t="s">
        <v>1035</v>
      </c>
      <c r="F6013" s="1399">
        <v>165581.29</v>
      </c>
      <c r="I6013" s="1399">
        <v>165581.29</v>
      </c>
    </row>
    <row r="6014" spans="2:9">
      <c r="B6014" s="1297"/>
      <c r="C6014" s="1297"/>
      <c r="D6014" s="1297" t="s">
        <v>1036</v>
      </c>
      <c r="F6014" s="1399">
        <v>114451.9</v>
      </c>
      <c r="I6014" s="1399">
        <v>114451.9</v>
      </c>
    </row>
    <row r="6015" spans="2:9">
      <c r="B6015" s="1297"/>
      <c r="C6015" s="1297"/>
      <c r="D6015" s="1297" t="s">
        <v>1039</v>
      </c>
      <c r="F6015" s="1399">
        <v>13388.199999999997</v>
      </c>
      <c r="I6015" s="1399">
        <v>13388.199999999997</v>
      </c>
    </row>
    <row r="6016" spans="2:9">
      <c r="B6016" s="1297"/>
      <c r="C6016" s="1297"/>
      <c r="D6016" s="1297" t="s">
        <v>1040</v>
      </c>
      <c r="F6016" s="1399">
        <v>160361.34</v>
      </c>
      <c r="I6016" s="1399">
        <v>160361.34</v>
      </c>
    </row>
    <row r="6017" spans="2:9">
      <c r="B6017" s="1297"/>
      <c r="C6017" s="1297"/>
      <c r="D6017" s="1297" t="s">
        <v>1041</v>
      </c>
      <c r="F6017" s="1399">
        <v>11309.55</v>
      </c>
      <c r="I6017" s="1399">
        <v>11309.55</v>
      </c>
    </row>
    <row r="6018" spans="2:9">
      <c r="B6018" s="1297"/>
      <c r="C6018" s="1297"/>
      <c r="D6018" s="1297" t="s">
        <v>1042</v>
      </c>
      <c r="F6018" s="1399">
        <v>29120.1</v>
      </c>
      <c r="I6018" s="1399">
        <v>29120.1</v>
      </c>
    </row>
    <row r="6019" spans="2:9">
      <c r="B6019" s="1297"/>
      <c r="C6019" s="1297"/>
      <c r="D6019" s="1297" t="s">
        <v>954</v>
      </c>
      <c r="F6019" s="1399">
        <v>136340.16999999998</v>
      </c>
      <c r="I6019" s="1399">
        <v>136340.16999999998</v>
      </c>
    </row>
    <row r="6020" spans="2:9">
      <c r="B6020" s="1297"/>
      <c r="C6020" s="1297"/>
      <c r="D6020" s="1297" t="s">
        <v>991</v>
      </c>
      <c r="F6020" s="1399">
        <v>610.91</v>
      </c>
      <c r="I6020" s="1399">
        <v>610.91</v>
      </c>
    </row>
    <row r="6021" spans="2:9">
      <c r="B6021" s="1297"/>
      <c r="C6021" s="1297"/>
      <c r="D6021" s="1297" t="s">
        <v>1044</v>
      </c>
      <c r="F6021" s="1399">
        <v>118529.05</v>
      </c>
      <c r="I6021" s="1399">
        <v>118529.05</v>
      </c>
    </row>
    <row r="6022" spans="2:9">
      <c r="B6022" s="1297"/>
      <c r="C6022" s="1297"/>
      <c r="D6022" s="1297" t="s">
        <v>1045</v>
      </c>
      <c r="F6022" s="1399">
        <v>179703.97999999998</v>
      </c>
      <c r="I6022" s="1399">
        <v>179703.97999999998</v>
      </c>
    </row>
    <row r="6023" spans="2:9">
      <c r="B6023" s="1297"/>
      <c r="C6023" s="1297"/>
      <c r="D6023" s="1297" t="s">
        <v>1046</v>
      </c>
      <c r="H6023" s="1399">
        <v>17743265</v>
      </c>
      <c r="I6023" s="1399">
        <v>17743265</v>
      </c>
    </row>
    <row r="6024" spans="2:9">
      <c r="B6024" s="1297"/>
      <c r="C6024" s="1297"/>
      <c r="D6024" s="1297" t="s">
        <v>1128</v>
      </c>
      <c r="H6024" s="1399">
        <v>1448057</v>
      </c>
      <c r="I6024" s="1399">
        <v>1448057</v>
      </c>
    </row>
    <row r="6025" spans="2:9">
      <c r="B6025" s="1297"/>
      <c r="C6025" s="1297"/>
      <c r="D6025" s="1297" t="s">
        <v>1129</v>
      </c>
      <c r="H6025" s="1399">
        <v>-2526337</v>
      </c>
      <c r="I6025" s="1399">
        <v>-2526337</v>
      </c>
    </row>
    <row r="6026" spans="2:9">
      <c r="B6026" s="1297"/>
      <c r="C6026" s="1297"/>
      <c r="D6026" s="1297" t="s">
        <v>1047</v>
      </c>
      <c r="H6026" s="1399">
        <v>850423</v>
      </c>
      <c r="I6026" s="1399">
        <v>850423</v>
      </c>
    </row>
    <row r="6027" spans="2:9">
      <c r="B6027" s="1297"/>
      <c r="C6027" s="1297"/>
      <c r="D6027" s="1297" t="s">
        <v>1048</v>
      </c>
      <c r="H6027" s="1399">
        <v>-2410622</v>
      </c>
      <c r="I6027" s="1399">
        <v>-2410622</v>
      </c>
    </row>
    <row r="6028" spans="2:9">
      <c r="B6028" s="1297"/>
      <c r="C6028" s="1297"/>
      <c r="D6028" s="1297" t="s">
        <v>932</v>
      </c>
      <c r="H6028" s="1399">
        <v>1174326</v>
      </c>
      <c r="I6028" s="1399">
        <v>1174326</v>
      </c>
    </row>
    <row r="6029" spans="2:9">
      <c r="B6029" s="1297"/>
      <c r="C6029" s="1297"/>
      <c r="D6029" s="1297" t="s">
        <v>955</v>
      </c>
      <c r="H6029" s="1399">
        <v>656779.4</v>
      </c>
      <c r="I6029" s="1399">
        <v>656779.4</v>
      </c>
    </row>
    <row r="6030" spans="2:9">
      <c r="B6030" s="1297"/>
      <c r="C6030" s="1297"/>
      <c r="D6030" s="1297" t="s">
        <v>934</v>
      </c>
      <c r="H6030" s="1399">
        <v>57630</v>
      </c>
      <c r="I6030" s="1399">
        <v>57630</v>
      </c>
    </row>
    <row r="6031" spans="2:9">
      <c r="B6031" s="1297"/>
      <c r="C6031" s="1297"/>
      <c r="D6031" s="1297" t="s">
        <v>935</v>
      </c>
      <c r="H6031" s="1399">
        <v>491653.33</v>
      </c>
      <c r="I6031" s="1399">
        <v>491653.33</v>
      </c>
    </row>
    <row r="6032" spans="2:9">
      <c r="B6032" s="1297"/>
      <c r="C6032" s="1297"/>
      <c r="D6032" s="1297" t="s">
        <v>936</v>
      </c>
      <c r="H6032" s="1399">
        <v>45519.57</v>
      </c>
      <c r="I6032" s="1399">
        <v>45519.57</v>
      </c>
    </row>
    <row r="6033" spans="2:9">
      <c r="B6033" s="1297"/>
      <c r="C6033" s="1297"/>
      <c r="D6033" s="1297" t="s">
        <v>937</v>
      </c>
      <c r="H6033" s="1399">
        <v>7931.64</v>
      </c>
      <c r="I6033" s="1399">
        <v>7931.64</v>
      </c>
    </row>
    <row r="6034" spans="2:9">
      <c r="B6034" s="1297"/>
      <c r="C6034" s="1297"/>
      <c r="D6034" s="1297" t="s">
        <v>938</v>
      </c>
      <c r="H6034" s="1399">
        <v>19839</v>
      </c>
      <c r="I6034" s="1399">
        <v>19839</v>
      </c>
    </row>
    <row r="6035" spans="2:9">
      <c r="B6035" s="1297"/>
      <c r="C6035" s="1297"/>
      <c r="D6035" s="1297" t="s">
        <v>939</v>
      </c>
      <c r="H6035" s="1399">
        <v>6068.53</v>
      </c>
      <c r="I6035" s="1399">
        <v>6068.53</v>
      </c>
    </row>
    <row r="6036" spans="2:9">
      <c r="B6036" s="1297"/>
      <c r="C6036" s="1297"/>
      <c r="D6036" s="1297" t="s">
        <v>1131</v>
      </c>
      <c r="E6036" s="1399">
        <v>68101.31</v>
      </c>
      <c r="I6036" s="1399">
        <v>68101.31</v>
      </c>
    </row>
    <row r="6037" spans="2:9">
      <c r="B6037" s="1297"/>
      <c r="C6037" s="1297"/>
      <c r="D6037" s="1297" t="s">
        <v>940</v>
      </c>
      <c r="E6037" s="1399">
        <v>944956.58</v>
      </c>
      <c r="I6037" s="1399">
        <v>944956.58</v>
      </c>
    </row>
    <row r="6038" spans="2:9">
      <c r="B6038" s="1297"/>
      <c r="C6038" s="1297"/>
      <c r="D6038" s="1297" t="s">
        <v>941</v>
      </c>
      <c r="E6038" s="1399">
        <v>390365.56</v>
      </c>
      <c r="I6038" s="1399">
        <v>390365.56</v>
      </c>
    </row>
    <row r="6039" spans="2:9">
      <c r="B6039" s="1297"/>
      <c r="C6039" s="1297"/>
      <c r="D6039" s="1297" t="s">
        <v>944</v>
      </c>
      <c r="E6039" s="1399">
        <v>2718948.44</v>
      </c>
      <c r="I6039" s="1399">
        <v>2718948.44</v>
      </c>
    </row>
    <row r="6040" spans="2:9">
      <c r="B6040" s="1297"/>
      <c r="C6040" s="1297"/>
      <c r="D6040" s="1297" t="s">
        <v>945</v>
      </c>
      <c r="E6040" s="1399">
        <v>1350871.03</v>
      </c>
      <c r="I6040" s="1399">
        <v>1350871.03</v>
      </c>
    </row>
    <row r="6041" spans="2:9">
      <c r="B6041" s="1297"/>
      <c r="C6041" s="1297"/>
      <c r="D6041" s="1297" t="s">
        <v>947</v>
      </c>
      <c r="E6041" s="1399">
        <v>129735</v>
      </c>
      <c r="I6041" s="1399">
        <v>129735</v>
      </c>
    </row>
    <row r="6042" spans="2:9">
      <c r="B6042" s="1297"/>
      <c r="C6042" s="1297"/>
      <c r="D6042" s="1297" t="s">
        <v>948</v>
      </c>
      <c r="G6042" s="1399">
        <v>3269898.45</v>
      </c>
      <c r="I6042" s="1399">
        <v>3269898.45</v>
      </c>
    </row>
    <row r="6043" spans="2:9">
      <c r="B6043" s="1297"/>
      <c r="C6043" s="1297"/>
      <c r="D6043" s="1297" t="s">
        <v>956</v>
      </c>
      <c r="G6043" s="1399">
        <v>1500</v>
      </c>
      <c r="I6043" s="1399">
        <v>1500</v>
      </c>
    </row>
    <row r="6044" spans="2:9">
      <c r="B6044" s="1297"/>
      <c r="C6044" s="1400" t="s">
        <v>1430</v>
      </c>
      <c r="D6044" s="1400"/>
      <c r="E6044" s="1401">
        <v>5602977.9199999999</v>
      </c>
      <c r="F6044" s="1401">
        <v>9633090.879999999</v>
      </c>
      <c r="G6044" s="1401">
        <v>3271398.45</v>
      </c>
      <c r="H6044" s="1401">
        <v>17564533.469999999</v>
      </c>
      <c r="I6044" s="1401">
        <v>36072000.719999999</v>
      </c>
    </row>
    <row r="6045" spans="2:9">
      <c r="B6045" s="1297" t="s">
        <v>1431</v>
      </c>
      <c r="C6045" s="1297" t="s">
        <v>1432</v>
      </c>
      <c r="D6045" s="1297" t="s">
        <v>906</v>
      </c>
      <c r="F6045" s="1399">
        <v>440124387.69</v>
      </c>
      <c r="I6045" s="1399">
        <v>440124387.69</v>
      </c>
    </row>
    <row r="6046" spans="2:9">
      <c r="B6046" s="1297"/>
      <c r="C6046" s="1297"/>
      <c r="D6046" s="1297" t="s">
        <v>952</v>
      </c>
      <c r="F6046" s="1399">
        <v>4687976.87</v>
      </c>
      <c r="I6046" s="1399">
        <v>4687976.87</v>
      </c>
    </row>
    <row r="6047" spans="2:9">
      <c r="B6047" s="1297"/>
      <c r="C6047" s="1297"/>
      <c r="D6047" s="1297" t="s">
        <v>907</v>
      </c>
      <c r="F6047" s="1399">
        <v>57678243.359999999</v>
      </c>
      <c r="I6047" s="1399">
        <v>57678243.359999999</v>
      </c>
    </row>
    <row r="6048" spans="2:9">
      <c r="B6048" s="1297"/>
      <c r="C6048" s="1297"/>
      <c r="D6048" s="1297" t="s">
        <v>1122</v>
      </c>
      <c r="F6048" s="1399">
        <v>-2329444</v>
      </c>
      <c r="I6048" s="1399">
        <v>-2329444</v>
      </c>
    </row>
    <row r="6049" spans="2:9">
      <c r="B6049" s="1297"/>
      <c r="C6049" s="1297"/>
      <c r="D6049" s="1297" t="s">
        <v>909</v>
      </c>
      <c r="F6049" s="1399">
        <v>19164.36</v>
      </c>
      <c r="I6049" s="1399">
        <v>19164.36</v>
      </c>
    </row>
    <row r="6050" spans="2:9">
      <c r="B6050" s="1297"/>
      <c r="C6050" s="1297"/>
      <c r="D6050" s="1297" t="s">
        <v>910</v>
      </c>
      <c r="F6050" s="1399">
        <v>1639022.3</v>
      </c>
      <c r="I6050" s="1399">
        <v>1639022.3</v>
      </c>
    </row>
    <row r="6051" spans="2:9">
      <c r="B6051" s="1297"/>
      <c r="C6051" s="1297"/>
      <c r="D6051" s="1297" t="s">
        <v>1034</v>
      </c>
      <c r="F6051" s="1399">
        <v>526685.87</v>
      </c>
      <c r="I6051" s="1399">
        <v>526685.87</v>
      </c>
    </row>
    <row r="6052" spans="2:9">
      <c r="B6052" s="1297"/>
      <c r="C6052" s="1297"/>
      <c r="D6052" s="1297" t="s">
        <v>1035</v>
      </c>
      <c r="F6052" s="1399">
        <v>1908251.9800000004</v>
      </c>
      <c r="I6052" s="1399">
        <v>1908251.9800000004</v>
      </c>
    </row>
    <row r="6053" spans="2:9">
      <c r="B6053" s="1297"/>
      <c r="C6053" s="1297"/>
      <c r="D6053" s="1297" t="s">
        <v>1036</v>
      </c>
      <c r="F6053" s="1399">
        <v>670917.30000000005</v>
      </c>
      <c r="I6053" s="1399">
        <v>670917.30000000005</v>
      </c>
    </row>
    <row r="6054" spans="2:9">
      <c r="B6054" s="1297"/>
      <c r="C6054" s="1297"/>
      <c r="D6054" s="1297" t="s">
        <v>1037</v>
      </c>
      <c r="F6054" s="1399">
        <v>25412</v>
      </c>
      <c r="I6054" s="1399">
        <v>25412</v>
      </c>
    </row>
    <row r="6055" spans="2:9">
      <c r="B6055" s="1297"/>
      <c r="C6055" s="1297"/>
      <c r="D6055" s="1297" t="s">
        <v>1038</v>
      </c>
      <c r="F6055" s="1399">
        <v>6080</v>
      </c>
      <c r="I6055" s="1399">
        <v>6080</v>
      </c>
    </row>
    <row r="6056" spans="2:9">
      <c r="B6056" s="1297"/>
      <c r="C6056" s="1297"/>
      <c r="D6056" s="1297" t="s">
        <v>1039</v>
      </c>
      <c r="F6056" s="1399">
        <v>592098.11</v>
      </c>
      <c r="I6056" s="1399">
        <v>592098.11</v>
      </c>
    </row>
    <row r="6057" spans="2:9">
      <c r="B6057" s="1297"/>
      <c r="C6057" s="1297"/>
      <c r="D6057" s="1297" t="s">
        <v>1040</v>
      </c>
      <c r="F6057" s="1399">
        <v>949809.24999999977</v>
      </c>
      <c r="I6057" s="1399">
        <v>949809.24999999977</v>
      </c>
    </row>
    <row r="6058" spans="2:9">
      <c r="B6058" s="1297"/>
      <c r="C6058" s="1297"/>
      <c r="D6058" s="1297" t="s">
        <v>1127</v>
      </c>
      <c r="F6058" s="1399">
        <v>52106.609999999986</v>
      </c>
      <c r="I6058" s="1399">
        <v>52106.609999999986</v>
      </c>
    </row>
    <row r="6059" spans="2:9">
      <c r="B6059" s="1297"/>
      <c r="C6059" s="1297"/>
      <c r="D6059" s="1297" t="s">
        <v>1041</v>
      </c>
      <c r="F6059" s="1399">
        <v>444646.07999999996</v>
      </c>
      <c r="I6059" s="1399">
        <v>444646.07999999996</v>
      </c>
    </row>
    <row r="6060" spans="2:9">
      <c r="B6060" s="1297"/>
      <c r="C6060" s="1297"/>
      <c r="D6060" s="1297" t="s">
        <v>1042</v>
      </c>
      <c r="F6060" s="1399">
        <v>155412.75</v>
      </c>
      <c r="I6060" s="1399">
        <v>155412.75</v>
      </c>
    </row>
    <row r="6061" spans="2:9">
      <c r="B6061" s="1297"/>
      <c r="C6061" s="1297"/>
      <c r="D6061" s="1297" t="s">
        <v>1043</v>
      </c>
      <c r="F6061" s="1399">
        <v>783988.98</v>
      </c>
      <c r="I6061" s="1399">
        <v>783988.98</v>
      </c>
    </row>
    <row r="6062" spans="2:9">
      <c r="B6062" s="1297"/>
      <c r="C6062" s="1297"/>
      <c r="D6062" s="1297" t="s">
        <v>986</v>
      </c>
      <c r="F6062" s="1399">
        <v>1245150.45</v>
      </c>
      <c r="I6062" s="1399">
        <v>1245150.45</v>
      </c>
    </row>
    <row r="6063" spans="2:9">
      <c r="B6063" s="1297"/>
      <c r="C6063" s="1297"/>
      <c r="D6063" s="1297" t="s">
        <v>996</v>
      </c>
      <c r="F6063" s="1399">
        <v>28725.87</v>
      </c>
      <c r="I6063" s="1399">
        <v>28725.87</v>
      </c>
    </row>
    <row r="6064" spans="2:9">
      <c r="B6064" s="1297"/>
      <c r="C6064" s="1297"/>
      <c r="D6064" s="1297" t="s">
        <v>1044</v>
      </c>
      <c r="F6064" s="1399">
        <v>796059.22</v>
      </c>
      <c r="I6064" s="1399">
        <v>796059.22</v>
      </c>
    </row>
    <row r="6065" spans="2:9">
      <c r="B6065" s="1297"/>
      <c r="C6065" s="1297"/>
      <c r="D6065" s="1297" t="s">
        <v>1045</v>
      </c>
      <c r="F6065" s="1399">
        <v>3395386.75</v>
      </c>
      <c r="I6065" s="1399">
        <v>3395386.75</v>
      </c>
    </row>
    <row r="6066" spans="2:9">
      <c r="B6066" s="1297"/>
      <c r="C6066" s="1297"/>
      <c r="D6066" s="1297" t="s">
        <v>1046</v>
      </c>
      <c r="H6066" s="1399">
        <v>245147846</v>
      </c>
      <c r="I6066" s="1399">
        <v>245147846</v>
      </c>
    </row>
    <row r="6067" spans="2:9">
      <c r="B6067" s="1297"/>
      <c r="C6067" s="1297"/>
      <c r="D6067" s="1297" t="s">
        <v>1128</v>
      </c>
      <c r="H6067" s="1399">
        <v>20491789</v>
      </c>
      <c r="I6067" s="1399">
        <v>20491789</v>
      </c>
    </row>
    <row r="6068" spans="2:9">
      <c r="B6068" s="1297"/>
      <c r="C6068" s="1297"/>
      <c r="D6068" s="1297" t="s">
        <v>1129</v>
      </c>
      <c r="H6068" s="1399">
        <v>-21288539</v>
      </c>
      <c r="I6068" s="1399">
        <v>-21288539</v>
      </c>
    </row>
    <row r="6069" spans="2:9">
      <c r="B6069" s="1297"/>
      <c r="C6069" s="1297"/>
      <c r="D6069" s="1297" t="s">
        <v>1047</v>
      </c>
      <c r="H6069" s="1399">
        <v>3873936</v>
      </c>
      <c r="I6069" s="1399">
        <v>3873936</v>
      </c>
    </row>
    <row r="6070" spans="2:9">
      <c r="B6070" s="1297"/>
      <c r="C6070" s="1297"/>
      <c r="D6070" s="1297" t="s">
        <v>1048</v>
      </c>
      <c r="H6070" s="1399">
        <v>-121572502</v>
      </c>
      <c r="I6070" s="1399">
        <v>-121572502</v>
      </c>
    </row>
    <row r="6071" spans="2:9">
      <c r="B6071" s="1297"/>
      <c r="C6071" s="1297"/>
      <c r="D6071" s="1297" t="s">
        <v>955</v>
      </c>
      <c r="H6071" s="1399">
        <v>2637758.36</v>
      </c>
      <c r="I6071" s="1399">
        <v>2637758.36</v>
      </c>
    </row>
    <row r="6072" spans="2:9">
      <c r="B6072" s="1297"/>
      <c r="C6072" s="1297"/>
      <c r="D6072" s="1297" t="s">
        <v>934</v>
      </c>
      <c r="H6072" s="1399">
        <v>659002</v>
      </c>
      <c r="I6072" s="1399">
        <v>659002</v>
      </c>
    </row>
    <row r="6073" spans="2:9">
      <c r="B6073" s="1297"/>
      <c r="C6073" s="1297"/>
      <c r="D6073" s="1297" t="s">
        <v>1130</v>
      </c>
      <c r="H6073" s="1399">
        <v>1767686.4</v>
      </c>
      <c r="I6073" s="1399">
        <v>1767686.4</v>
      </c>
    </row>
    <row r="6074" spans="2:9">
      <c r="B6074" s="1297"/>
      <c r="C6074" s="1297"/>
      <c r="D6074" s="1297" t="s">
        <v>935</v>
      </c>
      <c r="H6074" s="1399">
        <v>3114895.86</v>
      </c>
      <c r="I6074" s="1399">
        <v>3114895.86</v>
      </c>
    </row>
    <row r="6075" spans="2:9">
      <c r="B6075" s="1297"/>
      <c r="C6075" s="1297"/>
      <c r="D6075" s="1297" t="s">
        <v>936</v>
      </c>
      <c r="H6075" s="1399">
        <v>623968.25</v>
      </c>
      <c r="I6075" s="1399">
        <v>623968.25</v>
      </c>
    </row>
    <row r="6076" spans="2:9">
      <c r="B6076" s="1297"/>
      <c r="C6076" s="1297"/>
      <c r="D6076" s="1297" t="s">
        <v>937</v>
      </c>
      <c r="H6076" s="1399">
        <v>173889.68</v>
      </c>
      <c r="I6076" s="1399">
        <v>173889.68</v>
      </c>
    </row>
    <row r="6077" spans="2:9">
      <c r="B6077" s="1297"/>
      <c r="C6077" s="1297"/>
      <c r="D6077" s="1297" t="s">
        <v>1131</v>
      </c>
      <c r="E6077" s="1399">
        <v>971016.27999999991</v>
      </c>
      <c r="I6077" s="1399">
        <v>971016.27999999991</v>
      </c>
    </row>
    <row r="6078" spans="2:9">
      <c r="B6078" s="1297"/>
      <c r="C6078" s="1297"/>
      <c r="D6078" s="1297" t="s">
        <v>940</v>
      </c>
      <c r="E6078" s="1399">
        <v>14445417.199999997</v>
      </c>
      <c r="I6078" s="1399">
        <v>14445417.199999997</v>
      </c>
    </row>
    <row r="6079" spans="2:9">
      <c r="B6079" s="1297"/>
      <c r="C6079" s="1297"/>
      <c r="D6079" s="1297" t="s">
        <v>941</v>
      </c>
      <c r="E6079" s="1399">
        <v>5655839.9000000004</v>
      </c>
      <c r="I6079" s="1399">
        <v>5655839.9000000004</v>
      </c>
    </row>
    <row r="6080" spans="2:9">
      <c r="B6080" s="1297"/>
      <c r="C6080" s="1297"/>
      <c r="D6080" s="1297" t="s">
        <v>943</v>
      </c>
      <c r="E6080" s="1399">
        <v>242511.94999999995</v>
      </c>
      <c r="I6080" s="1399">
        <v>242511.94999999995</v>
      </c>
    </row>
    <row r="6081" spans="2:9">
      <c r="B6081" s="1297"/>
      <c r="C6081" s="1297"/>
      <c r="D6081" s="1297" t="s">
        <v>944</v>
      </c>
      <c r="E6081" s="1399">
        <v>52258608.980000004</v>
      </c>
      <c r="I6081" s="1399">
        <v>52258608.980000004</v>
      </c>
    </row>
    <row r="6082" spans="2:9">
      <c r="B6082" s="1297"/>
      <c r="C6082" s="1297"/>
      <c r="D6082" s="1297" t="s">
        <v>945</v>
      </c>
      <c r="E6082" s="1399">
        <v>27272087.890000001</v>
      </c>
      <c r="I6082" s="1399">
        <v>27272087.890000001</v>
      </c>
    </row>
    <row r="6083" spans="2:9">
      <c r="B6083" s="1297"/>
      <c r="C6083" s="1297"/>
      <c r="D6083" s="1297" t="s">
        <v>946</v>
      </c>
      <c r="E6083" s="1399">
        <v>1415715.77</v>
      </c>
      <c r="I6083" s="1399">
        <v>1415715.77</v>
      </c>
    </row>
    <row r="6084" spans="2:9">
      <c r="B6084" s="1297"/>
      <c r="C6084" s="1297"/>
      <c r="D6084" s="1297" t="s">
        <v>978</v>
      </c>
      <c r="E6084" s="1399">
        <v>192854.53999999998</v>
      </c>
      <c r="I6084" s="1399">
        <v>192854.53999999998</v>
      </c>
    </row>
    <row r="6085" spans="2:9">
      <c r="B6085" s="1297"/>
      <c r="C6085" s="1297"/>
      <c r="D6085" s="1297" t="s">
        <v>1006</v>
      </c>
      <c r="E6085" s="1399">
        <v>51408.94</v>
      </c>
      <c r="I6085" s="1399">
        <v>51408.94</v>
      </c>
    </row>
    <row r="6086" spans="2:9">
      <c r="B6086" s="1297"/>
      <c r="C6086" s="1297"/>
      <c r="D6086" s="1297" t="s">
        <v>1214</v>
      </c>
      <c r="E6086" s="1399">
        <v>1259031.76</v>
      </c>
      <c r="I6086" s="1399">
        <v>1259031.76</v>
      </c>
    </row>
    <row r="6087" spans="2:9">
      <c r="B6087" s="1297"/>
      <c r="C6087" s="1297"/>
      <c r="D6087" s="1297" t="s">
        <v>947</v>
      </c>
      <c r="E6087" s="1399">
        <v>1230788.9500000002</v>
      </c>
      <c r="I6087" s="1399">
        <v>1230788.9500000002</v>
      </c>
    </row>
    <row r="6088" spans="2:9">
      <c r="B6088" s="1297"/>
      <c r="C6088" s="1297"/>
      <c r="D6088" s="1297" t="s">
        <v>1116</v>
      </c>
      <c r="G6088" s="1399">
        <v>104415000</v>
      </c>
      <c r="I6088" s="1399">
        <v>104415000</v>
      </c>
    </row>
    <row r="6089" spans="2:9">
      <c r="B6089" s="1297"/>
      <c r="C6089" s="1297"/>
      <c r="D6089" s="1297" t="s">
        <v>1117</v>
      </c>
      <c r="G6089" s="1399">
        <v>3097709.35</v>
      </c>
      <c r="I6089" s="1399">
        <v>3097709.35</v>
      </c>
    </row>
    <row r="6090" spans="2:9">
      <c r="B6090" s="1297"/>
      <c r="C6090" s="1297"/>
      <c r="D6090" s="1297" t="s">
        <v>948</v>
      </c>
      <c r="G6090" s="1399">
        <v>31085311.740000002</v>
      </c>
      <c r="I6090" s="1399">
        <v>31085311.740000002</v>
      </c>
    </row>
    <row r="6091" spans="2:9">
      <c r="B6091" s="1297"/>
      <c r="C6091" s="1297"/>
      <c r="D6091" s="1297" t="s">
        <v>956</v>
      </c>
      <c r="G6091" s="1399">
        <v>134009971.53</v>
      </c>
      <c r="I6091" s="1399">
        <v>134009971.53</v>
      </c>
    </row>
    <row r="6092" spans="2:9">
      <c r="B6092" s="1297"/>
      <c r="C6092" s="1297"/>
      <c r="D6092" s="1297" t="s">
        <v>1118</v>
      </c>
      <c r="G6092" s="1399">
        <v>4524383.49</v>
      </c>
      <c r="I6092" s="1399">
        <v>4524383.49</v>
      </c>
    </row>
    <row r="6093" spans="2:9">
      <c r="B6093" s="1297"/>
      <c r="C6093" s="1400" t="s">
        <v>1433</v>
      </c>
      <c r="D6093" s="1400"/>
      <c r="E6093" s="1401">
        <v>104995282.16000001</v>
      </c>
      <c r="F6093" s="1401">
        <v>513400081.80000013</v>
      </c>
      <c r="G6093" s="1401">
        <v>277132376.11000001</v>
      </c>
      <c r="H6093" s="1401">
        <v>135629730.55000001</v>
      </c>
      <c r="I6093" s="1401">
        <v>1031157470.6200002</v>
      </c>
    </row>
    <row r="6094" spans="2:9">
      <c r="B6094" s="1297" t="s">
        <v>1434</v>
      </c>
      <c r="C6094" s="1297" t="s">
        <v>1435</v>
      </c>
      <c r="D6094" s="1297" t="s">
        <v>906</v>
      </c>
      <c r="F6094" s="1399">
        <v>211254.6</v>
      </c>
      <c r="I6094" s="1399">
        <v>211254.6</v>
      </c>
    </row>
    <row r="6095" spans="2:9">
      <c r="B6095" s="1297"/>
      <c r="C6095" s="1297"/>
      <c r="D6095" s="1297" t="s">
        <v>952</v>
      </c>
      <c r="F6095" s="1399">
        <v>24654.45</v>
      </c>
      <c r="I6095" s="1399">
        <v>24654.45</v>
      </c>
    </row>
    <row r="6096" spans="2:9">
      <c r="B6096" s="1297"/>
      <c r="C6096" s="1297"/>
      <c r="D6096" s="1297" t="s">
        <v>907</v>
      </c>
      <c r="F6096" s="1399">
        <v>1565513.08</v>
      </c>
      <c r="I6096" s="1399">
        <v>1565513.08</v>
      </c>
    </row>
    <row r="6097" spans="2:9">
      <c r="B6097" s="1297"/>
      <c r="C6097" s="1297"/>
      <c r="D6097" s="1297" t="s">
        <v>1145</v>
      </c>
      <c r="F6097" s="1399">
        <v>2952746.91</v>
      </c>
      <c r="I6097" s="1399">
        <v>2952746.91</v>
      </c>
    </row>
    <row r="6098" spans="2:9">
      <c r="B6098" s="1297"/>
      <c r="C6098" s="1297"/>
      <c r="D6098" s="1297" t="s">
        <v>909</v>
      </c>
      <c r="F6098" s="1399">
        <v>35033.19</v>
      </c>
      <c r="I6098" s="1399">
        <v>35033.19</v>
      </c>
    </row>
    <row r="6099" spans="2:9">
      <c r="B6099" s="1297"/>
      <c r="C6099" s="1297"/>
      <c r="D6099" s="1297" t="s">
        <v>910</v>
      </c>
      <c r="F6099" s="1399">
        <v>377075.35</v>
      </c>
      <c r="I6099" s="1399">
        <v>377075.35</v>
      </c>
    </row>
    <row r="6100" spans="2:9">
      <c r="B6100" s="1297"/>
      <c r="C6100" s="1297"/>
      <c r="D6100" s="1297" t="s">
        <v>1034</v>
      </c>
      <c r="F6100" s="1399">
        <v>44865.16</v>
      </c>
      <c r="I6100" s="1399">
        <v>44865.16</v>
      </c>
    </row>
    <row r="6101" spans="2:9">
      <c r="B6101" s="1297"/>
      <c r="C6101" s="1297"/>
      <c r="D6101" s="1297" t="s">
        <v>1035</v>
      </c>
      <c r="F6101" s="1399">
        <v>411064.51</v>
      </c>
      <c r="I6101" s="1399">
        <v>411064.51</v>
      </c>
    </row>
    <row r="6102" spans="2:9">
      <c r="B6102" s="1297"/>
      <c r="C6102" s="1297"/>
      <c r="D6102" s="1297" t="s">
        <v>1036</v>
      </c>
      <c r="F6102" s="1399">
        <v>120997.48</v>
      </c>
      <c r="I6102" s="1399">
        <v>120997.48</v>
      </c>
    </row>
    <row r="6103" spans="2:9">
      <c r="B6103" s="1297"/>
      <c r="C6103" s="1297"/>
      <c r="D6103" s="1297" t="s">
        <v>1037</v>
      </c>
      <c r="F6103" s="1399">
        <v>816644.88</v>
      </c>
      <c r="I6103" s="1399">
        <v>816644.88</v>
      </c>
    </row>
    <row r="6104" spans="2:9">
      <c r="B6104" s="1297"/>
      <c r="C6104" s="1297"/>
      <c r="D6104" s="1297" t="s">
        <v>1039</v>
      </c>
      <c r="F6104" s="1399">
        <v>34392.14</v>
      </c>
      <c r="I6104" s="1399">
        <v>34392.14</v>
      </c>
    </row>
    <row r="6105" spans="2:9">
      <c r="B6105" s="1297"/>
      <c r="C6105" s="1297"/>
      <c r="D6105" s="1297" t="s">
        <v>1040</v>
      </c>
      <c r="F6105" s="1399">
        <v>353039.31</v>
      </c>
      <c r="I6105" s="1399">
        <v>353039.31</v>
      </c>
    </row>
    <row r="6106" spans="2:9">
      <c r="B6106" s="1297"/>
      <c r="C6106" s="1297"/>
      <c r="D6106" s="1297" t="s">
        <v>1207</v>
      </c>
      <c r="F6106" s="1399">
        <v>19390.23</v>
      </c>
      <c r="I6106" s="1399">
        <v>19390.23</v>
      </c>
    </row>
    <row r="6107" spans="2:9">
      <c r="B6107" s="1297"/>
      <c r="C6107" s="1297"/>
      <c r="D6107" s="1297" t="s">
        <v>1041</v>
      </c>
      <c r="F6107" s="1399">
        <v>3414.9300000000003</v>
      </c>
      <c r="I6107" s="1399">
        <v>3414.9300000000003</v>
      </c>
    </row>
    <row r="6108" spans="2:9">
      <c r="B6108" s="1297"/>
      <c r="C6108" s="1297"/>
      <c r="D6108" s="1297" t="s">
        <v>1042</v>
      </c>
      <c r="F6108" s="1399">
        <v>15618</v>
      </c>
      <c r="I6108" s="1399">
        <v>15618</v>
      </c>
    </row>
    <row r="6109" spans="2:9">
      <c r="B6109" s="1297"/>
      <c r="C6109" s="1297"/>
      <c r="D6109" s="1297" t="s">
        <v>985</v>
      </c>
      <c r="F6109" s="1399">
        <v>82000.820000000007</v>
      </c>
      <c r="I6109" s="1399">
        <v>82000.820000000007</v>
      </c>
    </row>
    <row r="6110" spans="2:9">
      <c r="B6110" s="1297"/>
      <c r="C6110" s="1297"/>
      <c r="D6110" s="1297" t="s">
        <v>986</v>
      </c>
      <c r="F6110" s="1399">
        <v>253633.79</v>
      </c>
      <c r="I6110" s="1399">
        <v>253633.79</v>
      </c>
    </row>
    <row r="6111" spans="2:9">
      <c r="B6111" s="1297"/>
      <c r="C6111" s="1297"/>
      <c r="D6111" s="1297" t="s">
        <v>1004</v>
      </c>
      <c r="F6111" s="1399">
        <v>-31042.95</v>
      </c>
      <c r="I6111" s="1399">
        <v>-31042.95</v>
      </c>
    </row>
    <row r="6112" spans="2:9">
      <c r="B6112" s="1297"/>
      <c r="C6112" s="1297"/>
      <c r="D6112" s="1297" t="s">
        <v>1045</v>
      </c>
      <c r="F6112" s="1399">
        <v>467078.93</v>
      </c>
      <c r="I6112" s="1399">
        <v>467078.93</v>
      </c>
    </row>
    <row r="6113" spans="2:9">
      <c r="B6113" s="1297"/>
      <c r="C6113" s="1297"/>
      <c r="D6113" s="1297" t="s">
        <v>1046</v>
      </c>
      <c r="H6113" s="1399">
        <v>10555476</v>
      </c>
      <c r="I6113" s="1399">
        <v>10555476</v>
      </c>
    </row>
    <row r="6114" spans="2:9">
      <c r="B6114" s="1297"/>
      <c r="C6114" s="1297"/>
      <c r="D6114" s="1297" t="s">
        <v>1128</v>
      </c>
      <c r="H6114" s="1399">
        <v>870481</v>
      </c>
      <c r="I6114" s="1399">
        <v>870481</v>
      </c>
    </row>
    <row r="6115" spans="2:9">
      <c r="B6115" s="1297"/>
      <c r="C6115" s="1297"/>
      <c r="D6115" s="1297" t="s">
        <v>1129</v>
      </c>
      <c r="H6115" s="1399">
        <v>-1390287</v>
      </c>
      <c r="I6115" s="1399">
        <v>-1390287</v>
      </c>
    </row>
    <row r="6116" spans="2:9">
      <c r="B6116" s="1297"/>
      <c r="C6116" s="1297"/>
      <c r="D6116" s="1297" t="s">
        <v>1047</v>
      </c>
      <c r="H6116" s="1399">
        <v>59736</v>
      </c>
      <c r="I6116" s="1399">
        <v>59736</v>
      </c>
    </row>
    <row r="6117" spans="2:9">
      <c r="B6117" s="1297"/>
      <c r="C6117" s="1297"/>
      <c r="D6117" s="1297" t="s">
        <v>1048</v>
      </c>
      <c r="H6117" s="1399">
        <v>-1051179</v>
      </c>
      <c r="I6117" s="1399">
        <v>-1051179</v>
      </c>
    </row>
    <row r="6118" spans="2:9">
      <c r="B6118" s="1297"/>
      <c r="C6118" s="1297"/>
      <c r="D6118" s="1297" t="s">
        <v>932</v>
      </c>
      <c r="H6118" s="1399">
        <v>1126557</v>
      </c>
      <c r="I6118" s="1399">
        <v>1126557</v>
      </c>
    </row>
    <row r="6119" spans="2:9">
      <c r="B6119" s="1297"/>
      <c r="C6119" s="1297"/>
      <c r="D6119" s="1297" t="s">
        <v>955</v>
      </c>
      <c r="H6119" s="1399">
        <v>471469.73</v>
      </c>
      <c r="I6119" s="1399">
        <v>471469.73</v>
      </c>
    </row>
    <row r="6120" spans="2:9">
      <c r="B6120" s="1297"/>
      <c r="C6120" s="1297"/>
      <c r="D6120" s="1297" t="s">
        <v>934</v>
      </c>
      <c r="H6120" s="1399">
        <v>25876</v>
      </c>
      <c r="I6120" s="1399">
        <v>25876</v>
      </c>
    </row>
    <row r="6121" spans="2:9">
      <c r="B6121" s="1297"/>
      <c r="C6121" s="1297"/>
      <c r="D6121" s="1297" t="s">
        <v>935</v>
      </c>
      <c r="H6121" s="1399">
        <v>94784.68</v>
      </c>
      <c r="I6121" s="1399">
        <v>94784.68</v>
      </c>
    </row>
    <row r="6122" spans="2:9">
      <c r="B6122" s="1297"/>
      <c r="C6122" s="1297"/>
      <c r="D6122" s="1297" t="s">
        <v>936</v>
      </c>
      <c r="H6122" s="1399">
        <v>31163.4</v>
      </c>
      <c r="I6122" s="1399">
        <v>31163.4</v>
      </c>
    </row>
    <row r="6123" spans="2:9">
      <c r="B6123" s="1297"/>
      <c r="C6123" s="1297"/>
      <c r="D6123" s="1297" t="s">
        <v>938</v>
      </c>
      <c r="H6123" s="1399">
        <v>5240</v>
      </c>
      <c r="I6123" s="1399">
        <v>5240</v>
      </c>
    </row>
    <row r="6124" spans="2:9">
      <c r="B6124" s="1297"/>
      <c r="C6124" s="1297"/>
      <c r="D6124" s="1297" t="s">
        <v>939</v>
      </c>
      <c r="H6124" s="1399">
        <v>42250</v>
      </c>
      <c r="I6124" s="1399">
        <v>42250</v>
      </c>
    </row>
    <row r="6125" spans="2:9">
      <c r="B6125" s="1297"/>
      <c r="C6125" s="1297"/>
      <c r="D6125" s="1297" t="s">
        <v>940</v>
      </c>
      <c r="E6125" s="1399">
        <v>242184.52</v>
      </c>
      <c r="I6125" s="1399">
        <v>242184.52</v>
      </c>
    </row>
    <row r="6126" spans="2:9">
      <c r="B6126" s="1297"/>
      <c r="C6126" s="1297"/>
      <c r="D6126" s="1297" t="s">
        <v>941</v>
      </c>
      <c r="E6126" s="1399">
        <v>52488.619999999995</v>
      </c>
      <c r="I6126" s="1399">
        <v>52488.619999999995</v>
      </c>
    </row>
    <row r="6127" spans="2:9">
      <c r="B6127" s="1297"/>
      <c r="C6127" s="1297"/>
      <c r="D6127" s="1297" t="s">
        <v>944</v>
      </c>
      <c r="E6127" s="1399">
        <v>750529.24</v>
      </c>
      <c r="I6127" s="1399">
        <v>750529.24</v>
      </c>
    </row>
    <row r="6128" spans="2:9">
      <c r="B6128" s="1297"/>
      <c r="C6128" s="1297"/>
      <c r="D6128" s="1297" t="s">
        <v>945</v>
      </c>
      <c r="E6128" s="1399">
        <v>575843.44999999995</v>
      </c>
      <c r="I6128" s="1399">
        <v>575843.44999999995</v>
      </c>
    </row>
    <row r="6129" spans="2:9">
      <c r="B6129" s="1297"/>
      <c r="C6129" s="1297"/>
      <c r="D6129" s="1297" t="s">
        <v>946</v>
      </c>
      <c r="E6129" s="1399">
        <v>14653.92</v>
      </c>
      <c r="I6129" s="1399">
        <v>14653.92</v>
      </c>
    </row>
    <row r="6130" spans="2:9">
      <c r="B6130" s="1297"/>
      <c r="C6130" s="1297"/>
      <c r="D6130" s="1297" t="s">
        <v>947</v>
      </c>
      <c r="E6130" s="1399">
        <v>45782.12</v>
      </c>
      <c r="I6130" s="1399">
        <v>45782.12</v>
      </c>
    </row>
    <row r="6131" spans="2:9">
      <c r="B6131" s="1297"/>
      <c r="C6131" s="1297"/>
      <c r="D6131" s="1297" t="s">
        <v>1116</v>
      </c>
      <c r="G6131" s="1399">
        <v>2940000</v>
      </c>
      <c r="I6131" s="1399">
        <v>2940000</v>
      </c>
    </row>
    <row r="6132" spans="2:9">
      <c r="B6132" s="1297"/>
      <c r="C6132" s="1297"/>
      <c r="D6132" s="1297" t="s">
        <v>948</v>
      </c>
      <c r="G6132" s="1399">
        <v>1960975.54</v>
      </c>
      <c r="I6132" s="1399">
        <v>1960975.54</v>
      </c>
    </row>
    <row r="6133" spans="2:9">
      <c r="B6133" s="1297"/>
      <c r="C6133" s="1400" t="s">
        <v>1436</v>
      </c>
      <c r="D6133" s="1400"/>
      <c r="E6133" s="1401">
        <v>1681481.87</v>
      </c>
      <c r="F6133" s="1401">
        <v>7757374.8099999996</v>
      </c>
      <c r="G6133" s="1401">
        <v>4900975.54</v>
      </c>
      <c r="H6133" s="1401">
        <v>10841567.810000001</v>
      </c>
      <c r="I6133" s="1401">
        <v>25181400.029999997</v>
      </c>
    </row>
    <row r="6134" spans="2:9">
      <c r="B6134" s="1297" t="s">
        <v>1437</v>
      </c>
      <c r="C6134" s="1297" t="s">
        <v>1438</v>
      </c>
      <c r="D6134" s="1297" t="s">
        <v>907</v>
      </c>
      <c r="F6134" s="1399">
        <v>2869784.14</v>
      </c>
      <c r="I6134" s="1399">
        <v>2869784.14</v>
      </c>
    </row>
    <row r="6135" spans="2:9">
      <c r="B6135" s="1297"/>
      <c r="C6135" s="1297"/>
      <c r="D6135" s="1297" t="s">
        <v>1145</v>
      </c>
      <c r="F6135" s="1399">
        <v>17304552.02</v>
      </c>
      <c r="I6135" s="1399">
        <v>17304552.02</v>
      </c>
    </row>
    <row r="6136" spans="2:9">
      <c r="B6136" s="1297"/>
      <c r="C6136" s="1297"/>
      <c r="D6136" s="1297" t="s">
        <v>1037</v>
      </c>
      <c r="F6136" s="1399">
        <v>1311992.1299999999</v>
      </c>
      <c r="I6136" s="1399">
        <v>1311992.1299999999</v>
      </c>
    </row>
    <row r="6137" spans="2:9">
      <c r="B6137" s="1297"/>
      <c r="C6137" s="1297"/>
      <c r="D6137" s="1297" t="s">
        <v>1039</v>
      </c>
      <c r="F6137" s="1399">
        <v>3490.62</v>
      </c>
      <c r="I6137" s="1399">
        <v>3490.62</v>
      </c>
    </row>
    <row r="6138" spans="2:9">
      <c r="B6138" s="1297"/>
      <c r="C6138" s="1297"/>
      <c r="D6138" s="1297" t="s">
        <v>1040</v>
      </c>
      <c r="F6138" s="1399">
        <v>374430.81</v>
      </c>
      <c r="I6138" s="1399">
        <v>374430.81</v>
      </c>
    </row>
    <row r="6139" spans="2:9">
      <c r="B6139" s="1297"/>
      <c r="C6139" s="1297"/>
      <c r="D6139" s="1297" t="s">
        <v>1041</v>
      </c>
      <c r="F6139" s="1399">
        <v>85103.42</v>
      </c>
      <c r="I6139" s="1399">
        <v>85103.42</v>
      </c>
    </row>
    <row r="6140" spans="2:9">
      <c r="B6140" s="1297"/>
      <c r="C6140" s="1297"/>
      <c r="D6140" s="1297" t="s">
        <v>1045</v>
      </c>
      <c r="F6140" s="1399">
        <v>397724.05999999994</v>
      </c>
      <c r="I6140" s="1399">
        <v>397724.05999999994</v>
      </c>
    </row>
    <row r="6141" spans="2:9">
      <c r="B6141" s="1297"/>
      <c r="C6141" s="1297"/>
      <c r="D6141" s="1297" t="s">
        <v>1046</v>
      </c>
      <c r="H6141" s="1399">
        <v>18191973</v>
      </c>
      <c r="I6141" s="1399">
        <v>18191973</v>
      </c>
    </row>
    <row r="6142" spans="2:9">
      <c r="B6142" s="1297"/>
      <c r="C6142" s="1297"/>
      <c r="D6142" s="1297" t="s">
        <v>1047</v>
      </c>
      <c r="H6142" s="1399">
        <v>-1790273</v>
      </c>
      <c r="I6142" s="1399">
        <v>-1790273</v>
      </c>
    </row>
    <row r="6143" spans="2:9">
      <c r="B6143" s="1297"/>
      <c r="C6143" s="1297"/>
      <c r="D6143" s="1297" t="s">
        <v>1048</v>
      </c>
      <c r="H6143" s="1399">
        <v>-4556825</v>
      </c>
      <c r="I6143" s="1399">
        <v>-4556825</v>
      </c>
    </row>
    <row r="6144" spans="2:9">
      <c r="B6144" s="1297"/>
      <c r="C6144" s="1297"/>
      <c r="D6144" s="1297" t="s">
        <v>934</v>
      </c>
      <c r="H6144" s="1399">
        <v>45792.94</v>
      </c>
      <c r="I6144" s="1399">
        <v>45792.94</v>
      </c>
    </row>
    <row r="6145" spans="2:9">
      <c r="B6145" s="1297"/>
      <c r="C6145" s="1297"/>
      <c r="D6145" s="1297" t="s">
        <v>935</v>
      </c>
      <c r="H6145" s="1399">
        <v>69927.56</v>
      </c>
      <c r="I6145" s="1399">
        <v>69927.56</v>
      </c>
    </row>
    <row r="6146" spans="2:9">
      <c r="B6146" s="1297"/>
      <c r="C6146" s="1297"/>
      <c r="D6146" s="1297" t="s">
        <v>940</v>
      </c>
      <c r="E6146" s="1399">
        <v>902579.4800000001</v>
      </c>
      <c r="I6146" s="1399">
        <v>902579.4800000001</v>
      </c>
    </row>
    <row r="6147" spans="2:9">
      <c r="B6147" s="1297"/>
      <c r="C6147" s="1297"/>
      <c r="D6147" s="1297" t="s">
        <v>944</v>
      </c>
      <c r="E6147" s="1399">
        <v>873036.82000000007</v>
      </c>
      <c r="I6147" s="1399">
        <v>873036.82000000007</v>
      </c>
    </row>
    <row r="6148" spans="2:9">
      <c r="B6148" s="1297"/>
      <c r="C6148" s="1297"/>
      <c r="D6148" s="1297" t="s">
        <v>945</v>
      </c>
      <c r="E6148" s="1399">
        <v>887958.95</v>
      </c>
      <c r="I6148" s="1399">
        <v>887958.95</v>
      </c>
    </row>
    <row r="6149" spans="2:9">
      <c r="B6149" s="1297"/>
      <c r="C6149" s="1297"/>
      <c r="D6149" s="1297" t="s">
        <v>947</v>
      </c>
      <c r="E6149" s="1399">
        <v>57102.990000000005</v>
      </c>
      <c r="I6149" s="1399">
        <v>57102.990000000005</v>
      </c>
    </row>
    <row r="6150" spans="2:9">
      <c r="B6150" s="1297"/>
      <c r="C6150" s="1297"/>
      <c r="D6150" s="1297" t="s">
        <v>948</v>
      </c>
      <c r="G6150" s="1399">
        <v>300082.48</v>
      </c>
      <c r="I6150" s="1399">
        <v>300082.48</v>
      </c>
    </row>
    <row r="6151" spans="2:9">
      <c r="B6151" s="1297"/>
      <c r="C6151" s="1400" t="s">
        <v>1439</v>
      </c>
      <c r="D6151" s="1400"/>
      <c r="E6151" s="1401">
        <v>2720678.24</v>
      </c>
      <c r="F6151" s="1401">
        <v>22347077.199999999</v>
      </c>
      <c r="G6151" s="1401">
        <v>300082.48</v>
      </c>
      <c r="H6151" s="1401">
        <v>11960595.5</v>
      </c>
      <c r="I6151" s="1401">
        <v>37328433.420000002</v>
      </c>
    </row>
    <row r="6152" spans="2:9">
      <c r="B6152" s="1297" t="s">
        <v>1440</v>
      </c>
      <c r="C6152" s="1297" t="s">
        <v>1441</v>
      </c>
      <c r="D6152" s="1297" t="s">
        <v>907</v>
      </c>
      <c r="F6152" s="1399">
        <v>2515624.5699999998</v>
      </c>
      <c r="I6152" s="1399">
        <v>2515624.5699999998</v>
      </c>
    </row>
    <row r="6153" spans="2:9">
      <c r="B6153" s="1297"/>
      <c r="C6153" s="1297"/>
      <c r="D6153" s="1297" t="s">
        <v>1145</v>
      </c>
      <c r="F6153" s="1399">
        <v>10074116.34</v>
      </c>
      <c r="I6153" s="1399">
        <v>10074116.34</v>
      </c>
    </row>
    <row r="6154" spans="2:9">
      <c r="B6154" s="1297"/>
      <c r="C6154" s="1297"/>
      <c r="D6154" s="1297" t="s">
        <v>909</v>
      </c>
      <c r="F6154" s="1399">
        <v>82191.62</v>
      </c>
      <c r="I6154" s="1399">
        <v>82191.62</v>
      </c>
    </row>
    <row r="6155" spans="2:9">
      <c r="B6155" s="1297"/>
      <c r="C6155" s="1297"/>
      <c r="D6155" s="1297" t="s">
        <v>1034</v>
      </c>
      <c r="F6155" s="1399">
        <v>69303.929999999993</v>
      </c>
      <c r="I6155" s="1399">
        <v>69303.929999999993</v>
      </c>
    </row>
    <row r="6156" spans="2:9">
      <c r="B6156" s="1297"/>
      <c r="C6156" s="1297"/>
      <c r="D6156" s="1297" t="s">
        <v>1035</v>
      </c>
      <c r="F6156" s="1399">
        <v>64637.86</v>
      </c>
      <c r="I6156" s="1399">
        <v>64637.86</v>
      </c>
    </row>
    <row r="6157" spans="2:9">
      <c r="B6157" s="1297"/>
      <c r="C6157" s="1297"/>
      <c r="D6157" s="1297" t="s">
        <v>1036</v>
      </c>
      <c r="F6157" s="1399">
        <v>406407.15</v>
      </c>
      <c r="I6157" s="1399">
        <v>406407.15</v>
      </c>
    </row>
    <row r="6158" spans="2:9">
      <c r="B6158" s="1297"/>
      <c r="C6158" s="1297"/>
      <c r="D6158" s="1297" t="s">
        <v>1039</v>
      </c>
      <c r="F6158" s="1399">
        <v>27210.350000000002</v>
      </c>
      <c r="I6158" s="1399">
        <v>27210.350000000002</v>
      </c>
    </row>
    <row r="6159" spans="2:9">
      <c r="B6159" s="1297"/>
      <c r="C6159" s="1297"/>
      <c r="D6159" s="1297" t="s">
        <v>1040</v>
      </c>
      <c r="F6159" s="1399">
        <v>304057.14</v>
      </c>
      <c r="I6159" s="1399">
        <v>304057.14</v>
      </c>
    </row>
    <row r="6160" spans="2:9">
      <c r="B6160" s="1297"/>
      <c r="C6160" s="1297"/>
      <c r="D6160" s="1297" t="s">
        <v>1127</v>
      </c>
      <c r="F6160" s="1399">
        <v>153698.22</v>
      </c>
      <c r="I6160" s="1399">
        <v>153698.22</v>
      </c>
    </row>
    <row r="6161" spans="2:9">
      <c r="B6161" s="1297"/>
      <c r="C6161" s="1297"/>
      <c r="D6161" s="1297" t="s">
        <v>1041</v>
      </c>
      <c r="F6161" s="1399">
        <v>31367.78</v>
      </c>
      <c r="I6161" s="1399">
        <v>31367.78</v>
      </c>
    </row>
    <row r="6162" spans="2:9">
      <c r="B6162" s="1297"/>
      <c r="C6162" s="1297"/>
      <c r="D6162" s="1297" t="s">
        <v>1042</v>
      </c>
      <c r="F6162" s="1399">
        <v>53046.29</v>
      </c>
      <c r="I6162" s="1399">
        <v>53046.29</v>
      </c>
    </row>
    <row r="6163" spans="2:9">
      <c r="B6163" s="1297"/>
      <c r="C6163" s="1297"/>
      <c r="D6163" s="1297" t="s">
        <v>954</v>
      </c>
      <c r="F6163" s="1399">
        <v>108332.62</v>
      </c>
      <c r="I6163" s="1399">
        <v>108332.62</v>
      </c>
    </row>
    <row r="6164" spans="2:9">
      <c r="B6164" s="1297"/>
      <c r="C6164" s="1297"/>
      <c r="D6164" s="1297" t="s">
        <v>985</v>
      </c>
      <c r="F6164" s="1399">
        <v>450260.97</v>
      </c>
      <c r="I6164" s="1399">
        <v>450260.97</v>
      </c>
    </row>
    <row r="6165" spans="2:9">
      <c r="B6165" s="1297"/>
      <c r="C6165" s="1297"/>
      <c r="D6165" s="1297" t="s">
        <v>986</v>
      </c>
      <c r="F6165" s="1399">
        <v>34910.159999999996</v>
      </c>
      <c r="I6165" s="1399">
        <v>34910.159999999996</v>
      </c>
    </row>
    <row r="6166" spans="2:9">
      <c r="B6166" s="1297"/>
      <c r="C6166" s="1297"/>
      <c r="D6166" s="1297" t="s">
        <v>1045</v>
      </c>
      <c r="F6166" s="1399">
        <v>1374550.9500000002</v>
      </c>
      <c r="I6166" s="1399">
        <v>1374550.9500000002</v>
      </c>
    </row>
    <row r="6167" spans="2:9">
      <c r="B6167" s="1297"/>
      <c r="C6167" s="1297"/>
      <c r="D6167" s="1297" t="s">
        <v>1046</v>
      </c>
      <c r="H6167" s="1399">
        <v>17170666</v>
      </c>
      <c r="I6167" s="1399">
        <v>17170666</v>
      </c>
    </row>
    <row r="6168" spans="2:9">
      <c r="B6168" s="1297"/>
      <c r="C6168" s="1297"/>
      <c r="D6168" s="1297" t="s">
        <v>1128</v>
      </c>
      <c r="H6168" s="1399">
        <v>1561152</v>
      </c>
      <c r="I6168" s="1399">
        <v>1561152</v>
      </c>
    </row>
    <row r="6169" spans="2:9">
      <c r="B6169" s="1297"/>
      <c r="C6169" s="1297"/>
      <c r="D6169" s="1297" t="s">
        <v>1129</v>
      </c>
      <c r="H6169" s="1399">
        <v>-2152853</v>
      </c>
      <c r="I6169" s="1399">
        <v>-2152853</v>
      </c>
    </row>
    <row r="6170" spans="2:9">
      <c r="B6170" s="1297"/>
      <c r="C6170" s="1297"/>
      <c r="D6170" s="1297" t="s">
        <v>1047</v>
      </c>
      <c r="H6170" s="1399">
        <v>162191</v>
      </c>
      <c r="I6170" s="1399">
        <v>162191</v>
      </c>
    </row>
    <row r="6171" spans="2:9">
      <c r="B6171" s="1297"/>
      <c r="C6171" s="1297"/>
      <c r="D6171" s="1297" t="s">
        <v>1048</v>
      </c>
      <c r="H6171" s="1399">
        <v>-3895561</v>
      </c>
      <c r="I6171" s="1399">
        <v>-3895561</v>
      </c>
    </row>
    <row r="6172" spans="2:9">
      <c r="B6172" s="1297"/>
      <c r="C6172" s="1297"/>
      <c r="D6172" s="1297" t="s">
        <v>955</v>
      </c>
      <c r="H6172" s="1399">
        <v>900642.47</v>
      </c>
      <c r="I6172" s="1399">
        <v>900642.47</v>
      </c>
    </row>
    <row r="6173" spans="2:9">
      <c r="B6173" s="1297"/>
      <c r="C6173" s="1297"/>
      <c r="D6173" s="1297" t="s">
        <v>934</v>
      </c>
      <c r="H6173" s="1399">
        <v>54610</v>
      </c>
      <c r="I6173" s="1399">
        <v>54610</v>
      </c>
    </row>
    <row r="6174" spans="2:9">
      <c r="B6174" s="1297"/>
      <c r="C6174" s="1297"/>
      <c r="D6174" s="1297" t="s">
        <v>935</v>
      </c>
      <c r="H6174" s="1399">
        <v>104183.63</v>
      </c>
      <c r="I6174" s="1399">
        <v>104183.63</v>
      </c>
    </row>
    <row r="6175" spans="2:9">
      <c r="B6175" s="1297"/>
      <c r="C6175" s="1297"/>
      <c r="D6175" s="1297" t="s">
        <v>936</v>
      </c>
      <c r="H6175" s="1399">
        <v>43068.52</v>
      </c>
      <c r="I6175" s="1399">
        <v>43068.52</v>
      </c>
    </row>
    <row r="6176" spans="2:9">
      <c r="B6176" s="1297"/>
      <c r="C6176" s="1297"/>
      <c r="D6176" s="1297" t="s">
        <v>937</v>
      </c>
      <c r="H6176" s="1399">
        <v>33258.480000000003</v>
      </c>
      <c r="I6176" s="1399">
        <v>33258.480000000003</v>
      </c>
    </row>
    <row r="6177" spans="2:9">
      <c r="B6177" s="1297"/>
      <c r="C6177" s="1297"/>
      <c r="D6177" s="1297" t="s">
        <v>938</v>
      </c>
      <c r="H6177" s="1399">
        <v>14037</v>
      </c>
      <c r="I6177" s="1399">
        <v>14037</v>
      </c>
    </row>
    <row r="6178" spans="2:9">
      <c r="B6178" s="1297"/>
      <c r="C6178" s="1297"/>
      <c r="D6178" s="1297" t="s">
        <v>939</v>
      </c>
      <c r="H6178" s="1399">
        <v>62752.160000000003</v>
      </c>
      <c r="I6178" s="1399">
        <v>62752.160000000003</v>
      </c>
    </row>
    <row r="6179" spans="2:9">
      <c r="B6179" s="1297"/>
      <c r="C6179" s="1297"/>
      <c r="D6179" s="1297" t="s">
        <v>940</v>
      </c>
      <c r="E6179" s="1399">
        <v>1104439.18</v>
      </c>
      <c r="I6179" s="1399">
        <v>1104439.18</v>
      </c>
    </row>
    <row r="6180" spans="2:9">
      <c r="B6180" s="1297"/>
      <c r="C6180" s="1297"/>
      <c r="D6180" s="1297" t="s">
        <v>941</v>
      </c>
      <c r="E6180" s="1399">
        <v>427187.02</v>
      </c>
      <c r="I6180" s="1399">
        <v>427187.02</v>
      </c>
    </row>
    <row r="6181" spans="2:9">
      <c r="B6181" s="1297"/>
      <c r="C6181" s="1297"/>
      <c r="D6181" s="1297" t="s">
        <v>943</v>
      </c>
      <c r="E6181" s="1399">
        <v>44286.78</v>
      </c>
      <c r="I6181" s="1399">
        <v>44286.78</v>
      </c>
    </row>
    <row r="6182" spans="2:9">
      <c r="B6182" s="1297"/>
      <c r="C6182" s="1297"/>
      <c r="D6182" s="1297" t="s">
        <v>944</v>
      </c>
      <c r="E6182" s="1399">
        <v>1399463.7699999998</v>
      </c>
      <c r="I6182" s="1399">
        <v>1399463.7699999998</v>
      </c>
    </row>
    <row r="6183" spans="2:9">
      <c r="B6183" s="1297"/>
      <c r="C6183" s="1297"/>
      <c r="D6183" s="1297" t="s">
        <v>945</v>
      </c>
      <c r="E6183" s="1399">
        <v>1277474.6599999999</v>
      </c>
      <c r="I6183" s="1399">
        <v>1277474.6599999999</v>
      </c>
    </row>
    <row r="6184" spans="2:9">
      <c r="B6184" s="1297"/>
      <c r="C6184" s="1297"/>
      <c r="D6184" s="1297" t="s">
        <v>947</v>
      </c>
      <c r="E6184" s="1399">
        <v>101903.96</v>
      </c>
      <c r="I6184" s="1399">
        <v>101903.96</v>
      </c>
    </row>
    <row r="6185" spans="2:9">
      <c r="B6185" s="1297"/>
      <c r="C6185" s="1297"/>
      <c r="D6185" s="1297" t="s">
        <v>1115</v>
      </c>
      <c r="E6185" s="1399">
        <v>3681.02</v>
      </c>
      <c r="I6185" s="1399">
        <v>3681.02</v>
      </c>
    </row>
    <row r="6186" spans="2:9">
      <c r="B6186" s="1297"/>
      <c r="C6186" s="1297"/>
      <c r="D6186" s="1297" t="s">
        <v>948</v>
      </c>
      <c r="G6186" s="1399">
        <v>66175.59</v>
      </c>
      <c r="I6186" s="1399">
        <v>66175.59</v>
      </c>
    </row>
    <row r="6187" spans="2:9">
      <c r="B6187" s="1297"/>
      <c r="C6187" s="1400" t="s">
        <v>1442</v>
      </c>
      <c r="D6187" s="1400"/>
      <c r="E6187" s="1401">
        <v>4358436.3899999997</v>
      </c>
      <c r="F6187" s="1401">
        <v>15749715.949999999</v>
      </c>
      <c r="G6187" s="1401">
        <v>66175.59</v>
      </c>
      <c r="H6187" s="1401">
        <v>14058147.260000002</v>
      </c>
      <c r="I6187" s="1401">
        <v>34232475.190000005</v>
      </c>
    </row>
    <row r="6188" spans="2:9">
      <c r="B6188" s="1297" t="s">
        <v>1443</v>
      </c>
      <c r="C6188" s="1297" t="s">
        <v>1444</v>
      </c>
      <c r="D6188" s="1297" t="s">
        <v>907</v>
      </c>
      <c r="F6188" s="1399">
        <v>3171602.09</v>
      </c>
      <c r="I6188" s="1399">
        <v>3171602.09</v>
      </c>
    </row>
    <row r="6189" spans="2:9">
      <c r="B6189" s="1297"/>
      <c r="C6189" s="1297"/>
      <c r="D6189" s="1297" t="s">
        <v>1145</v>
      </c>
      <c r="F6189" s="1399">
        <v>12768101.73</v>
      </c>
      <c r="I6189" s="1399">
        <v>12768101.73</v>
      </c>
    </row>
    <row r="6190" spans="2:9">
      <c r="B6190" s="1297"/>
      <c r="C6190" s="1297"/>
      <c r="D6190" s="1297" t="s">
        <v>909</v>
      </c>
      <c r="F6190" s="1399">
        <v>8777.82</v>
      </c>
      <c r="I6190" s="1399">
        <v>8777.82</v>
      </c>
    </row>
    <row r="6191" spans="2:9">
      <c r="B6191" s="1297"/>
      <c r="C6191" s="1297"/>
      <c r="D6191" s="1297" t="s">
        <v>910</v>
      </c>
      <c r="F6191" s="1399">
        <v>555985.80000000005</v>
      </c>
      <c r="I6191" s="1399">
        <v>555985.80000000005</v>
      </c>
    </row>
    <row r="6192" spans="2:9">
      <c r="B6192" s="1297"/>
      <c r="C6192" s="1297"/>
      <c r="D6192" s="1297" t="s">
        <v>1035</v>
      </c>
      <c r="F6192" s="1399">
        <v>136513.29999999999</v>
      </c>
      <c r="I6192" s="1399">
        <v>136513.29999999999</v>
      </c>
    </row>
    <row r="6193" spans="2:9">
      <c r="B6193" s="1297"/>
      <c r="C6193" s="1297"/>
      <c r="D6193" s="1297" t="s">
        <v>1036</v>
      </c>
      <c r="F6193" s="1399">
        <v>509868.53</v>
      </c>
      <c r="I6193" s="1399">
        <v>509868.53</v>
      </c>
    </row>
    <row r="6194" spans="2:9">
      <c r="B6194" s="1297"/>
      <c r="C6194" s="1297"/>
      <c r="D6194" s="1297" t="s">
        <v>1037</v>
      </c>
      <c r="F6194" s="1399">
        <v>222905.9</v>
      </c>
      <c r="I6194" s="1399">
        <v>222905.9</v>
      </c>
    </row>
    <row r="6195" spans="2:9">
      <c r="B6195" s="1297"/>
      <c r="C6195" s="1297"/>
      <c r="D6195" s="1297" t="s">
        <v>1039</v>
      </c>
      <c r="F6195" s="1399">
        <v>75391.829999999987</v>
      </c>
      <c r="I6195" s="1399">
        <v>75391.829999999987</v>
      </c>
    </row>
    <row r="6196" spans="2:9">
      <c r="B6196" s="1297"/>
      <c r="C6196" s="1297"/>
      <c r="D6196" s="1297" t="s">
        <v>1040</v>
      </c>
      <c r="F6196" s="1399">
        <v>611869.54</v>
      </c>
      <c r="I6196" s="1399">
        <v>611869.54</v>
      </c>
    </row>
    <row r="6197" spans="2:9">
      <c r="B6197" s="1297"/>
      <c r="C6197" s="1297"/>
      <c r="D6197" s="1297" t="s">
        <v>1041</v>
      </c>
      <c r="F6197" s="1399">
        <v>40286.629999999997</v>
      </c>
      <c r="I6197" s="1399">
        <v>40286.629999999997</v>
      </c>
    </row>
    <row r="6198" spans="2:9">
      <c r="B6198" s="1297"/>
      <c r="C6198" s="1297"/>
      <c r="D6198" s="1297" t="s">
        <v>1042</v>
      </c>
      <c r="F6198" s="1399">
        <v>58598.3</v>
      </c>
      <c r="I6198" s="1399">
        <v>58598.3</v>
      </c>
    </row>
    <row r="6199" spans="2:9">
      <c r="B6199" s="1297"/>
      <c r="C6199" s="1297"/>
      <c r="D6199" s="1297" t="s">
        <v>986</v>
      </c>
      <c r="F6199" s="1399">
        <v>97506.08</v>
      </c>
      <c r="I6199" s="1399">
        <v>97506.08</v>
      </c>
    </row>
    <row r="6200" spans="2:9">
      <c r="B6200" s="1297"/>
      <c r="C6200" s="1297"/>
      <c r="D6200" s="1297" t="s">
        <v>1045</v>
      </c>
      <c r="F6200" s="1399">
        <v>4600826.0200000005</v>
      </c>
      <c r="I6200" s="1399">
        <v>4600826.0200000005</v>
      </c>
    </row>
    <row r="6201" spans="2:9">
      <c r="B6201" s="1297"/>
      <c r="C6201" s="1297"/>
      <c r="D6201" s="1297" t="s">
        <v>1046</v>
      </c>
      <c r="H6201" s="1399">
        <v>20855737</v>
      </c>
      <c r="I6201" s="1399">
        <v>20855737</v>
      </c>
    </row>
    <row r="6202" spans="2:9">
      <c r="B6202" s="1297"/>
      <c r="C6202" s="1297"/>
      <c r="D6202" s="1297" t="s">
        <v>1128</v>
      </c>
      <c r="H6202" s="1399">
        <v>1988766</v>
      </c>
      <c r="I6202" s="1399">
        <v>1988766</v>
      </c>
    </row>
    <row r="6203" spans="2:9">
      <c r="B6203" s="1297"/>
      <c r="C6203" s="1297"/>
      <c r="D6203" s="1297" t="s">
        <v>1129</v>
      </c>
      <c r="H6203" s="1399">
        <v>-3148363</v>
      </c>
      <c r="I6203" s="1399">
        <v>-3148363</v>
      </c>
    </row>
    <row r="6204" spans="2:9">
      <c r="B6204" s="1297"/>
      <c r="C6204" s="1297"/>
      <c r="D6204" s="1297" t="s">
        <v>1047</v>
      </c>
      <c r="H6204" s="1399">
        <v>336661</v>
      </c>
      <c r="I6204" s="1399">
        <v>336661</v>
      </c>
    </row>
    <row r="6205" spans="2:9">
      <c r="B6205" s="1297"/>
      <c r="C6205" s="1297"/>
      <c r="D6205" s="1297" t="s">
        <v>1048</v>
      </c>
      <c r="H6205" s="1399">
        <v>-3660107</v>
      </c>
      <c r="I6205" s="1399">
        <v>-3660107</v>
      </c>
    </row>
    <row r="6206" spans="2:9">
      <c r="B6206" s="1297"/>
      <c r="C6206" s="1297"/>
      <c r="D6206" s="1297" t="s">
        <v>932</v>
      </c>
      <c r="H6206" s="1399">
        <v>846536</v>
      </c>
      <c r="I6206" s="1399">
        <v>846536</v>
      </c>
    </row>
    <row r="6207" spans="2:9">
      <c r="B6207" s="1297"/>
      <c r="C6207" s="1297"/>
      <c r="D6207" s="1297" t="s">
        <v>955</v>
      </c>
      <c r="H6207" s="1399">
        <v>819745.86</v>
      </c>
      <c r="I6207" s="1399">
        <v>819745.86</v>
      </c>
    </row>
    <row r="6208" spans="2:9">
      <c r="B6208" s="1297"/>
      <c r="C6208" s="1297"/>
      <c r="D6208" s="1297" t="s">
        <v>934</v>
      </c>
      <c r="H6208" s="1399">
        <v>70028</v>
      </c>
      <c r="I6208" s="1399">
        <v>70028</v>
      </c>
    </row>
    <row r="6209" spans="2:9">
      <c r="B6209" s="1297"/>
      <c r="C6209" s="1297"/>
      <c r="D6209" s="1297" t="s">
        <v>935</v>
      </c>
      <c r="H6209" s="1399">
        <v>147617.14000000001</v>
      </c>
      <c r="I6209" s="1399">
        <v>147617.14000000001</v>
      </c>
    </row>
    <row r="6210" spans="2:9">
      <c r="B6210" s="1297"/>
      <c r="C6210" s="1297"/>
      <c r="D6210" s="1297" t="s">
        <v>936</v>
      </c>
      <c r="H6210" s="1399">
        <v>60576.04</v>
      </c>
      <c r="I6210" s="1399">
        <v>60576.04</v>
      </c>
    </row>
    <row r="6211" spans="2:9">
      <c r="B6211" s="1297"/>
      <c r="C6211" s="1297"/>
      <c r="D6211" s="1297" t="s">
        <v>937</v>
      </c>
      <c r="H6211" s="1399">
        <v>19601.38</v>
      </c>
      <c r="I6211" s="1399">
        <v>19601.38</v>
      </c>
    </row>
    <row r="6212" spans="2:9">
      <c r="B6212" s="1297"/>
      <c r="C6212" s="1297"/>
      <c r="D6212" s="1297" t="s">
        <v>938</v>
      </c>
      <c r="H6212" s="1399">
        <v>23769</v>
      </c>
      <c r="I6212" s="1399">
        <v>23769</v>
      </c>
    </row>
    <row r="6213" spans="2:9">
      <c r="B6213" s="1297"/>
      <c r="C6213" s="1297"/>
      <c r="D6213" s="1297" t="s">
        <v>940</v>
      </c>
      <c r="E6213" s="1399">
        <v>1108466.1000000001</v>
      </c>
      <c r="I6213" s="1399">
        <v>1108466.1000000001</v>
      </c>
    </row>
    <row r="6214" spans="2:9">
      <c r="B6214" s="1297"/>
      <c r="C6214" s="1297"/>
      <c r="D6214" s="1297" t="s">
        <v>941</v>
      </c>
      <c r="E6214" s="1399">
        <v>416870.96</v>
      </c>
      <c r="I6214" s="1399">
        <v>416870.96</v>
      </c>
    </row>
    <row r="6215" spans="2:9">
      <c r="B6215" s="1297"/>
      <c r="C6215" s="1297"/>
      <c r="D6215" s="1297" t="s">
        <v>943</v>
      </c>
      <c r="E6215" s="1399">
        <v>22953.32</v>
      </c>
      <c r="I6215" s="1399">
        <v>22953.32</v>
      </c>
    </row>
    <row r="6216" spans="2:9">
      <c r="B6216" s="1297"/>
      <c r="C6216" s="1297"/>
      <c r="D6216" s="1297" t="s">
        <v>944</v>
      </c>
      <c r="E6216" s="1399">
        <v>5991745.29</v>
      </c>
      <c r="I6216" s="1399">
        <v>5991745.29</v>
      </c>
    </row>
    <row r="6217" spans="2:9">
      <c r="B6217" s="1297"/>
      <c r="C6217" s="1297"/>
      <c r="D6217" s="1297" t="s">
        <v>947</v>
      </c>
      <c r="E6217" s="1399">
        <v>146088.32999999999</v>
      </c>
      <c r="I6217" s="1399">
        <v>146088.32999999999</v>
      </c>
    </row>
    <row r="6218" spans="2:9">
      <c r="B6218" s="1297"/>
      <c r="C6218" s="1297"/>
      <c r="D6218" s="1297" t="s">
        <v>1115</v>
      </c>
      <c r="E6218" s="1399">
        <v>65201.7</v>
      </c>
      <c r="I6218" s="1399">
        <v>65201.7</v>
      </c>
    </row>
    <row r="6219" spans="2:9">
      <c r="B6219" s="1297"/>
      <c r="C6219" s="1297"/>
      <c r="D6219" s="1297" t="s">
        <v>948</v>
      </c>
      <c r="G6219" s="1399">
        <v>744325.11</v>
      </c>
      <c r="I6219" s="1399">
        <v>744325.11</v>
      </c>
    </row>
    <row r="6220" spans="2:9">
      <c r="B6220" s="1297"/>
      <c r="C6220" s="1400" t="s">
        <v>1445</v>
      </c>
      <c r="D6220" s="1400"/>
      <c r="E6220" s="1401">
        <v>7751325.7000000002</v>
      </c>
      <c r="F6220" s="1401">
        <v>22858233.569999997</v>
      </c>
      <c r="G6220" s="1401">
        <v>744325.11</v>
      </c>
      <c r="H6220" s="1401">
        <v>18360567.419999998</v>
      </c>
      <c r="I6220" s="1401">
        <v>49714451.799999997</v>
      </c>
    </row>
    <row r="6221" spans="2:9">
      <c r="B6221" s="1297" t="s">
        <v>1446</v>
      </c>
      <c r="C6221" s="1297" t="s">
        <v>1447</v>
      </c>
      <c r="D6221" s="1297" t="s">
        <v>907</v>
      </c>
      <c r="F6221" s="1399">
        <v>4904103.8099999996</v>
      </c>
      <c r="I6221" s="1399">
        <v>4904103.8099999996</v>
      </c>
    </row>
    <row r="6222" spans="2:9">
      <c r="B6222" s="1297"/>
      <c r="C6222" s="1297"/>
      <c r="D6222" s="1297" t="s">
        <v>1145</v>
      </c>
      <c r="F6222" s="1399">
        <v>16377139.390000001</v>
      </c>
      <c r="I6222" s="1399">
        <v>16377139.390000001</v>
      </c>
    </row>
    <row r="6223" spans="2:9">
      <c r="B6223" s="1297"/>
      <c r="C6223" s="1297"/>
      <c r="D6223" s="1297" t="s">
        <v>909</v>
      </c>
      <c r="F6223" s="1399">
        <v>46287.88</v>
      </c>
      <c r="I6223" s="1399">
        <v>46287.88</v>
      </c>
    </row>
    <row r="6224" spans="2:9">
      <c r="B6224" s="1297"/>
      <c r="C6224" s="1297"/>
      <c r="D6224" s="1297" t="s">
        <v>910</v>
      </c>
      <c r="F6224" s="1399">
        <v>197948.63</v>
      </c>
      <c r="I6224" s="1399">
        <v>197948.63</v>
      </c>
    </row>
    <row r="6225" spans="2:9">
      <c r="B6225" s="1297"/>
      <c r="C6225" s="1297"/>
      <c r="D6225" s="1297" t="s">
        <v>1034</v>
      </c>
      <c r="F6225" s="1399">
        <v>92565.170000000013</v>
      </c>
      <c r="I6225" s="1399">
        <v>92565.170000000013</v>
      </c>
    </row>
    <row r="6226" spans="2:9">
      <c r="B6226" s="1297"/>
      <c r="C6226" s="1297"/>
      <c r="D6226" s="1297" t="s">
        <v>1035</v>
      </c>
      <c r="F6226" s="1399">
        <v>390822.77</v>
      </c>
      <c r="I6226" s="1399">
        <v>390822.77</v>
      </c>
    </row>
    <row r="6227" spans="2:9">
      <c r="B6227" s="1297"/>
      <c r="C6227" s="1297"/>
      <c r="D6227" s="1297" t="s">
        <v>1036</v>
      </c>
      <c r="F6227" s="1399">
        <v>128881.93000000001</v>
      </c>
      <c r="I6227" s="1399">
        <v>128881.93000000001</v>
      </c>
    </row>
    <row r="6228" spans="2:9">
      <c r="B6228" s="1297"/>
      <c r="C6228" s="1297"/>
      <c r="D6228" s="1297" t="s">
        <v>1037</v>
      </c>
      <c r="F6228" s="1399">
        <v>50150</v>
      </c>
      <c r="I6228" s="1399">
        <v>50150</v>
      </c>
    </row>
    <row r="6229" spans="2:9">
      <c r="B6229" s="1297"/>
      <c r="C6229" s="1297"/>
      <c r="D6229" s="1297" t="s">
        <v>1039</v>
      </c>
      <c r="F6229" s="1399">
        <v>40328.58</v>
      </c>
      <c r="I6229" s="1399">
        <v>40328.58</v>
      </c>
    </row>
    <row r="6230" spans="2:9">
      <c r="B6230" s="1297"/>
      <c r="C6230" s="1297"/>
      <c r="D6230" s="1297" t="s">
        <v>1040</v>
      </c>
      <c r="F6230" s="1399">
        <v>412082.02999999997</v>
      </c>
      <c r="I6230" s="1399">
        <v>412082.02999999997</v>
      </c>
    </row>
    <row r="6231" spans="2:9">
      <c r="B6231" s="1297"/>
      <c r="C6231" s="1297"/>
      <c r="D6231" s="1297" t="s">
        <v>1041</v>
      </c>
      <c r="F6231" s="1399">
        <v>416827.18</v>
      </c>
      <c r="I6231" s="1399">
        <v>416827.18</v>
      </c>
    </row>
    <row r="6232" spans="2:9">
      <c r="B6232" s="1297"/>
      <c r="C6232" s="1297"/>
      <c r="D6232" s="1297" t="s">
        <v>1042</v>
      </c>
      <c r="F6232" s="1399">
        <v>78189.56</v>
      </c>
      <c r="I6232" s="1399">
        <v>78189.56</v>
      </c>
    </row>
    <row r="6233" spans="2:9">
      <c r="B6233" s="1297"/>
      <c r="C6233" s="1297"/>
      <c r="D6233" s="1297" t="s">
        <v>985</v>
      </c>
      <c r="F6233" s="1399">
        <v>261069.08000000002</v>
      </c>
      <c r="I6233" s="1399">
        <v>261069.08000000002</v>
      </c>
    </row>
    <row r="6234" spans="2:9">
      <c r="B6234" s="1297"/>
      <c r="C6234" s="1297"/>
      <c r="D6234" s="1297" t="s">
        <v>1043</v>
      </c>
      <c r="F6234" s="1399">
        <v>33872.720000000001</v>
      </c>
      <c r="I6234" s="1399">
        <v>33872.720000000001</v>
      </c>
    </row>
    <row r="6235" spans="2:9">
      <c r="B6235" s="1297"/>
      <c r="C6235" s="1297"/>
      <c r="D6235" s="1297" t="s">
        <v>1044</v>
      </c>
      <c r="F6235" s="1399">
        <v>97338.27</v>
      </c>
      <c r="I6235" s="1399">
        <v>97338.27</v>
      </c>
    </row>
    <row r="6236" spans="2:9">
      <c r="B6236" s="1297"/>
      <c r="C6236" s="1297"/>
      <c r="D6236" s="1297" t="s">
        <v>1045</v>
      </c>
      <c r="F6236" s="1399">
        <v>295252.53999999998</v>
      </c>
      <c r="I6236" s="1399">
        <v>295252.53999999998</v>
      </c>
    </row>
    <row r="6237" spans="2:9">
      <c r="B6237" s="1297"/>
      <c r="C6237" s="1297"/>
      <c r="D6237" s="1297" t="s">
        <v>1046</v>
      </c>
      <c r="H6237" s="1399">
        <v>21717359</v>
      </c>
      <c r="I6237" s="1399">
        <v>21717359</v>
      </c>
    </row>
    <row r="6238" spans="2:9">
      <c r="B6238" s="1297"/>
      <c r="C6238" s="1297"/>
      <c r="D6238" s="1297" t="s">
        <v>1128</v>
      </c>
      <c r="H6238" s="1399">
        <v>1830811</v>
      </c>
      <c r="I6238" s="1399">
        <v>1830811</v>
      </c>
    </row>
    <row r="6239" spans="2:9">
      <c r="B6239" s="1297"/>
      <c r="C6239" s="1297"/>
      <c r="D6239" s="1297" t="s">
        <v>1129</v>
      </c>
      <c r="H6239" s="1399">
        <v>-2644878</v>
      </c>
      <c r="I6239" s="1399">
        <v>-2644878</v>
      </c>
    </row>
    <row r="6240" spans="2:9">
      <c r="B6240" s="1297"/>
      <c r="C6240" s="1297"/>
      <c r="D6240" s="1297" t="s">
        <v>1047</v>
      </c>
      <c r="H6240" s="1399">
        <v>296558</v>
      </c>
      <c r="I6240" s="1399">
        <v>296558</v>
      </c>
    </row>
    <row r="6241" spans="2:9">
      <c r="B6241" s="1297"/>
      <c r="C6241" s="1297"/>
      <c r="D6241" s="1297" t="s">
        <v>1048</v>
      </c>
      <c r="H6241" s="1399">
        <v>-4451342</v>
      </c>
      <c r="I6241" s="1399">
        <v>-4451342</v>
      </c>
    </row>
    <row r="6242" spans="2:9">
      <c r="B6242" s="1297"/>
      <c r="C6242" s="1297"/>
      <c r="D6242" s="1297" t="s">
        <v>955</v>
      </c>
      <c r="H6242" s="1399">
        <v>537473.03</v>
      </c>
      <c r="I6242" s="1399">
        <v>537473.03</v>
      </c>
    </row>
    <row r="6243" spans="2:9">
      <c r="B6243" s="1297"/>
      <c r="C6243" s="1297"/>
      <c r="D6243" s="1297" t="s">
        <v>934</v>
      </c>
      <c r="H6243" s="1399">
        <v>61802</v>
      </c>
      <c r="I6243" s="1399">
        <v>61802</v>
      </c>
    </row>
    <row r="6244" spans="2:9">
      <c r="B6244" s="1297"/>
      <c r="C6244" s="1297"/>
      <c r="D6244" s="1297" t="s">
        <v>935</v>
      </c>
      <c r="H6244" s="1399">
        <v>259682.86</v>
      </c>
      <c r="I6244" s="1399">
        <v>259682.86</v>
      </c>
    </row>
    <row r="6245" spans="2:9">
      <c r="B6245" s="1297"/>
      <c r="C6245" s="1297"/>
      <c r="D6245" s="1297" t="s">
        <v>936</v>
      </c>
      <c r="H6245" s="1399">
        <v>46570.02</v>
      </c>
      <c r="I6245" s="1399">
        <v>46570.02</v>
      </c>
    </row>
    <row r="6246" spans="2:9">
      <c r="B6246" s="1297"/>
      <c r="C6246" s="1297"/>
      <c r="D6246" s="1297" t="s">
        <v>937</v>
      </c>
      <c r="H6246" s="1399">
        <v>27243.279999999999</v>
      </c>
      <c r="I6246" s="1399">
        <v>27243.279999999999</v>
      </c>
    </row>
    <row r="6247" spans="2:9">
      <c r="B6247" s="1297"/>
      <c r="C6247" s="1297"/>
      <c r="D6247" s="1297" t="s">
        <v>938</v>
      </c>
      <c r="H6247" s="1399">
        <v>15534</v>
      </c>
      <c r="I6247" s="1399">
        <v>15534</v>
      </c>
    </row>
    <row r="6248" spans="2:9">
      <c r="B6248" s="1297"/>
      <c r="C6248" s="1297"/>
      <c r="D6248" s="1297" t="s">
        <v>940</v>
      </c>
      <c r="E6248" s="1399">
        <v>1352968.28</v>
      </c>
      <c r="I6248" s="1399">
        <v>1352968.28</v>
      </c>
    </row>
    <row r="6249" spans="2:9">
      <c r="B6249" s="1297"/>
      <c r="C6249" s="1297"/>
      <c r="D6249" s="1297" t="s">
        <v>941</v>
      </c>
      <c r="E6249" s="1399">
        <v>507487.13999999996</v>
      </c>
      <c r="I6249" s="1399">
        <v>507487.13999999996</v>
      </c>
    </row>
    <row r="6250" spans="2:9">
      <c r="B6250" s="1297"/>
      <c r="C6250" s="1297"/>
      <c r="D6250" s="1297" t="s">
        <v>943</v>
      </c>
      <c r="E6250" s="1399">
        <v>42468.6</v>
      </c>
      <c r="I6250" s="1399">
        <v>42468.6</v>
      </c>
    </row>
    <row r="6251" spans="2:9">
      <c r="B6251" s="1297"/>
      <c r="C6251" s="1297"/>
      <c r="D6251" s="1297" t="s">
        <v>944</v>
      </c>
      <c r="E6251" s="1399">
        <v>1974757.1799999997</v>
      </c>
      <c r="I6251" s="1399">
        <v>1974757.1799999997</v>
      </c>
    </row>
    <row r="6252" spans="2:9">
      <c r="B6252" s="1297"/>
      <c r="C6252" s="1297"/>
      <c r="D6252" s="1297" t="s">
        <v>945</v>
      </c>
      <c r="E6252" s="1399">
        <v>1417682.64</v>
      </c>
      <c r="I6252" s="1399">
        <v>1417682.64</v>
      </c>
    </row>
    <row r="6253" spans="2:9">
      <c r="B6253" s="1297"/>
      <c r="C6253" s="1297"/>
      <c r="D6253" s="1297" t="s">
        <v>1006</v>
      </c>
      <c r="E6253" s="1399">
        <v>3757.93</v>
      </c>
      <c r="I6253" s="1399">
        <v>3757.93</v>
      </c>
    </row>
    <row r="6254" spans="2:9">
      <c r="B6254" s="1297"/>
      <c r="C6254" s="1297"/>
      <c r="D6254" s="1297" t="s">
        <v>947</v>
      </c>
      <c r="E6254" s="1399">
        <v>229996.29</v>
      </c>
      <c r="I6254" s="1399">
        <v>229996.29</v>
      </c>
    </row>
    <row r="6255" spans="2:9">
      <c r="B6255" s="1297"/>
      <c r="C6255" s="1297"/>
      <c r="D6255" s="1297" t="s">
        <v>948</v>
      </c>
      <c r="G6255" s="1399">
        <v>7797196.7199999997</v>
      </c>
      <c r="I6255" s="1399">
        <v>7797196.7199999997</v>
      </c>
    </row>
    <row r="6256" spans="2:9">
      <c r="B6256" s="1297"/>
      <c r="C6256" s="1400" t="s">
        <v>1448</v>
      </c>
      <c r="D6256" s="1400"/>
      <c r="E6256" s="1401">
        <v>5529118.0599999996</v>
      </c>
      <c r="F6256" s="1401">
        <v>23822859.539999992</v>
      </c>
      <c r="G6256" s="1401">
        <v>7797196.7199999997</v>
      </c>
      <c r="H6256" s="1401">
        <v>17696813.190000001</v>
      </c>
      <c r="I6256" s="1401">
        <v>54845987.509999998</v>
      </c>
    </row>
    <row r="6257" spans="2:9">
      <c r="B6257" s="1297" t="s">
        <v>1449</v>
      </c>
      <c r="C6257" s="1297" t="s">
        <v>1450</v>
      </c>
      <c r="D6257" s="1297" t="s">
        <v>907</v>
      </c>
      <c r="F6257" s="1399">
        <v>701556.5</v>
      </c>
      <c r="I6257" s="1399">
        <v>701556.5</v>
      </c>
    </row>
    <row r="6258" spans="2:9">
      <c r="B6258" s="1297"/>
      <c r="C6258" s="1297"/>
      <c r="D6258" s="1297" t="s">
        <v>1145</v>
      </c>
      <c r="F6258" s="1399">
        <v>1419073.2</v>
      </c>
      <c r="I6258" s="1399">
        <v>1419073.2</v>
      </c>
    </row>
    <row r="6259" spans="2:9">
      <c r="B6259" s="1297"/>
      <c r="C6259" s="1297"/>
      <c r="D6259" s="1297" t="s">
        <v>909</v>
      </c>
      <c r="F6259" s="1399">
        <v>27348.92</v>
      </c>
      <c r="I6259" s="1399">
        <v>27348.92</v>
      </c>
    </row>
    <row r="6260" spans="2:9">
      <c r="B6260" s="1297"/>
      <c r="C6260" s="1297"/>
      <c r="D6260" s="1297" t="s">
        <v>910</v>
      </c>
      <c r="F6260" s="1399">
        <v>167402.16</v>
      </c>
      <c r="I6260" s="1399">
        <v>167402.16</v>
      </c>
    </row>
    <row r="6261" spans="2:9">
      <c r="B6261" s="1297"/>
      <c r="C6261" s="1297"/>
      <c r="D6261" s="1297" t="s">
        <v>1034</v>
      </c>
      <c r="F6261" s="1399">
        <v>42922.98</v>
      </c>
      <c r="I6261" s="1399">
        <v>42922.98</v>
      </c>
    </row>
    <row r="6262" spans="2:9">
      <c r="B6262" s="1297"/>
      <c r="C6262" s="1297"/>
      <c r="D6262" s="1297" t="s">
        <v>1035</v>
      </c>
      <c r="F6262" s="1399">
        <v>290631.2</v>
      </c>
      <c r="I6262" s="1399">
        <v>290631.2</v>
      </c>
    </row>
    <row r="6263" spans="2:9">
      <c r="B6263" s="1297"/>
      <c r="C6263" s="1297"/>
      <c r="D6263" s="1297" t="s">
        <v>1036</v>
      </c>
      <c r="F6263" s="1399">
        <v>108781.86</v>
      </c>
      <c r="I6263" s="1399">
        <v>108781.86</v>
      </c>
    </row>
    <row r="6264" spans="2:9">
      <c r="B6264" s="1297"/>
      <c r="C6264" s="1297"/>
      <c r="D6264" s="1297" t="s">
        <v>1037</v>
      </c>
      <c r="F6264" s="1399">
        <v>375500</v>
      </c>
      <c r="I6264" s="1399">
        <v>375500</v>
      </c>
    </row>
    <row r="6265" spans="2:9">
      <c r="B6265" s="1297"/>
      <c r="C6265" s="1297"/>
      <c r="D6265" s="1297" t="s">
        <v>1039</v>
      </c>
      <c r="F6265" s="1399">
        <v>20035.75</v>
      </c>
      <c r="I6265" s="1399">
        <v>20035.75</v>
      </c>
    </row>
    <row r="6266" spans="2:9">
      <c r="B6266" s="1297"/>
      <c r="C6266" s="1297"/>
      <c r="D6266" s="1297" t="s">
        <v>1040</v>
      </c>
      <c r="F6266" s="1399">
        <v>216513.99</v>
      </c>
      <c r="I6266" s="1399">
        <v>216513.99</v>
      </c>
    </row>
    <row r="6267" spans="2:9">
      <c r="B6267" s="1297"/>
      <c r="C6267" s="1297"/>
      <c r="D6267" s="1297" t="s">
        <v>1127</v>
      </c>
      <c r="F6267" s="1399">
        <v>8164.34</v>
      </c>
      <c r="I6267" s="1399">
        <v>8164.34</v>
      </c>
    </row>
    <row r="6268" spans="2:9">
      <c r="B6268" s="1297"/>
      <c r="C6268" s="1297"/>
      <c r="D6268" s="1297" t="s">
        <v>1041</v>
      </c>
      <c r="F6268" s="1399">
        <v>171839.97</v>
      </c>
      <c r="I6268" s="1399">
        <v>171839.97</v>
      </c>
    </row>
    <row r="6269" spans="2:9">
      <c r="B6269" s="1297"/>
      <c r="C6269" s="1297"/>
      <c r="D6269" s="1297" t="s">
        <v>1042</v>
      </c>
      <c r="F6269" s="1399">
        <v>15608.05</v>
      </c>
      <c r="I6269" s="1399">
        <v>15608.05</v>
      </c>
    </row>
    <row r="6270" spans="2:9">
      <c r="B6270" s="1297"/>
      <c r="C6270" s="1297"/>
      <c r="D6270" s="1297" t="s">
        <v>986</v>
      </c>
      <c r="F6270" s="1399">
        <v>207718.24</v>
      </c>
      <c r="I6270" s="1399">
        <v>207718.24</v>
      </c>
    </row>
    <row r="6271" spans="2:9">
      <c r="B6271" s="1297"/>
      <c r="C6271" s="1297"/>
      <c r="D6271" s="1297" t="s">
        <v>990</v>
      </c>
      <c r="F6271" s="1399">
        <v>37.119999999999997</v>
      </c>
      <c r="I6271" s="1399">
        <v>37.119999999999997</v>
      </c>
    </row>
    <row r="6272" spans="2:9">
      <c r="B6272" s="1297"/>
      <c r="C6272" s="1297"/>
      <c r="D6272" s="1297" t="s">
        <v>1045</v>
      </c>
      <c r="F6272" s="1399">
        <v>251056.2</v>
      </c>
      <c r="I6272" s="1399">
        <v>251056.2</v>
      </c>
    </row>
    <row r="6273" spans="2:9">
      <c r="B6273" s="1297"/>
      <c r="C6273" s="1297"/>
      <c r="D6273" s="1297" t="s">
        <v>1046</v>
      </c>
      <c r="H6273" s="1399">
        <v>7322442</v>
      </c>
      <c r="I6273" s="1399">
        <v>7322442</v>
      </c>
    </row>
    <row r="6274" spans="2:9">
      <c r="B6274" s="1297"/>
      <c r="C6274" s="1297"/>
      <c r="D6274" s="1297" t="s">
        <v>1129</v>
      </c>
      <c r="H6274" s="1399">
        <v>-940291</v>
      </c>
      <c r="I6274" s="1399">
        <v>-940291</v>
      </c>
    </row>
    <row r="6275" spans="2:9">
      <c r="B6275" s="1297"/>
      <c r="C6275" s="1297"/>
      <c r="D6275" s="1297" t="s">
        <v>1047</v>
      </c>
      <c r="H6275" s="1399">
        <v>39014</v>
      </c>
      <c r="I6275" s="1399">
        <v>39014</v>
      </c>
    </row>
    <row r="6276" spans="2:9">
      <c r="B6276" s="1297"/>
      <c r="C6276" s="1297"/>
      <c r="D6276" s="1297" t="s">
        <v>1048</v>
      </c>
      <c r="H6276" s="1399">
        <v>-563715</v>
      </c>
      <c r="I6276" s="1399">
        <v>-563715</v>
      </c>
    </row>
    <row r="6277" spans="2:9">
      <c r="B6277" s="1297"/>
      <c r="C6277" s="1297"/>
      <c r="D6277" s="1297" t="s">
        <v>932</v>
      </c>
      <c r="H6277" s="1399">
        <v>452139</v>
      </c>
      <c r="I6277" s="1399">
        <v>452139</v>
      </c>
    </row>
    <row r="6278" spans="2:9">
      <c r="B6278" s="1297"/>
      <c r="C6278" s="1297"/>
      <c r="D6278" s="1297" t="s">
        <v>934</v>
      </c>
      <c r="H6278" s="1399">
        <v>17746</v>
      </c>
      <c r="I6278" s="1399">
        <v>17746</v>
      </c>
    </row>
    <row r="6279" spans="2:9">
      <c r="B6279" s="1297"/>
      <c r="C6279" s="1297"/>
      <c r="D6279" s="1297" t="s">
        <v>935</v>
      </c>
      <c r="H6279" s="1399">
        <v>43424.44</v>
      </c>
      <c r="I6279" s="1399">
        <v>43424.44</v>
      </c>
    </row>
    <row r="6280" spans="2:9">
      <c r="B6280" s="1297"/>
      <c r="C6280" s="1297"/>
      <c r="D6280" s="1297" t="s">
        <v>936</v>
      </c>
      <c r="H6280" s="1399">
        <v>12605.42</v>
      </c>
      <c r="I6280" s="1399">
        <v>12605.42</v>
      </c>
    </row>
    <row r="6281" spans="2:9">
      <c r="B6281" s="1297"/>
      <c r="C6281" s="1297"/>
      <c r="D6281" s="1297" t="s">
        <v>937</v>
      </c>
      <c r="H6281" s="1399">
        <v>5927.88</v>
      </c>
      <c r="I6281" s="1399">
        <v>5927.88</v>
      </c>
    </row>
    <row r="6282" spans="2:9">
      <c r="B6282" s="1297"/>
      <c r="C6282" s="1297"/>
      <c r="D6282" s="1297" t="s">
        <v>938</v>
      </c>
      <c r="H6282" s="1399">
        <v>3743</v>
      </c>
      <c r="I6282" s="1399">
        <v>3743</v>
      </c>
    </row>
    <row r="6283" spans="2:9">
      <c r="B6283" s="1297"/>
      <c r="C6283" s="1297"/>
      <c r="D6283" s="1297" t="s">
        <v>939</v>
      </c>
      <c r="H6283" s="1399">
        <v>0.01</v>
      </c>
      <c r="I6283" s="1399">
        <v>0.01</v>
      </c>
    </row>
    <row r="6284" spans="2:9">
      <c r="B6284" s="1297"/>
      <c r="C6284" s="1297"/>
      <c r="D6284" s="1297" t="s">
        <v>940</v>
      </c>
      <c r="E6284" s="1399">
        <v>132586.78</v>
      </c>
      <c r="I6284" s="1399">
        <v>132586.78</v>
      </c>
    </row>
    <row r="6285" spans="2:9">
      <c r="B6285" s="1297"/>
      <c r="C6285" s="1297"/>
      <c r="D6285" s="1297" t="s">
        <v>941</v>
      </c>
      <c r="E6285" s="1399">
        <v>20651.78</v>
      </c>
      <c r="I6285" s="1399">
        <v>20651.78</v>
      </c>
    </row>
    <row r="6286" spans="2:9">
      <c r="B6286" s="1297"/>
      <c r="C6286" s="1297"/>
      <c r="D6286" s="1297" t="s">
        <v>944</v>
      </c>
      <c r="E6286" s="1399">
        <v>269044.12</v>
      </c>
      <c r="I6286" s="1399">
        <v>269044.12</v>
      </c>
    </row>
    <row r="6287" spans="2:9">
      <c r="B6287" s="1297"/>
      <c r="C6287" s="1297"/>
      <c r="D6287" s="1297" t="s">
        <v>945</v>
      </c>
      <c r="E6287" s="1399">
        <v>378531.03</v>
      </c>
      <c r="I6287" s="1399">
        <v>378531.03</v>
      </c>
    </row>
    <row r="6288" spans="2:9">
      <c r="B6288" s="1297"/>
      <c r="C6288" s="1297"/>
      <c r="D6288" s="1297" t="s">
        <v>947</v>
      </c>
      <c r="E6288" s="1399">
        <v>15148.35</v>
      </c>
      <c r="I6288" s="1399">
        <v>15148.35</v>
      </c>
    </row>
    <row r="6289" spans="2:9">
      <c r="B6289" s="1297"/>
      <c r="C6289" s="1297"/>
      <c r="D6289" s="1297" t="s">
        <v>1115</v>
      </c>
      <c r="E6289" s="1399">
        <v>0</v>
      </c>
      <c r="I6289" s="1399">
        <v>0</v>
      </c>
    </row>
    <row r="6290" spans="2:9">
      <c r="B6290" s="1297"/>
      <c r="C6290" s="1297"/>
      <c r="D6290" s="1297" t="s">
        <v>948</v>
      </c>
      <c r="G6290" s="1399">
        <v>120972.89</v>
      </c>
      <c r="I6290" s="1399">
        <v>120972.89</v>
      </c>
    </row>
    <row r="6291" spans="2:9">
      <c r="B6291" s="1297"/>
      <c r="C6291" s="1400" t="s">
        <v>1451</v>
      </c>
      <c r="D6291" s="1400"/>
      <c r="E6291" s="1401">
        <v>815962.05999999994</v>
      </c>
      <c r="F6291" s="1401">
        <v>4024190.4800000004</v>
      </c>
      <c r="G6291" s="1401">
        <v>120972.89</v>
      </c>
      <c r="H6291" s="1401">
        <v>6393035.75</v>
      </c>
      <c r="I6291" s="1401">
        <v>11354161.179999998</v>
      </c>
    </row>
    <row r="6292" spans="2:9">
      <c r="B6292" s="1297" t="s">
        <v>1452</v>
      </c>
      <c r="C6292" s="1297" t="s">
        <v>1453</v>
      </c>
      <c r="D6292" s="1297" t="s">
        <v>906</v>
      </c>
      <c r="F6292" s="1399">
        <v>3033181.56</v>
      </c>
      <c r="I6292" s="1399">
        <v>3033181.56</v>
      </c>
    </row>
    <row r="6293" spans="2:9">
      <c r="B6293" s="1297"/>
      <c r="C6293" s="1297"/>
      <c r="D6293" s="1297" t="s">
        <v>952</v>
      </c>
      <c r="F6293" s="1399">
        <v>34112.370000000003</v>
      </c>
      <c r="I6293" s="1399">
        <v>34112.370000000003</v>
      </c>
    </row>
    <row r="6294" spans="2:9">
      <c r="B6294" s="1297"/>
      <c r="C6294" s="1297"/>
      <c r="D6294" s="1297" t="s">
        <v>907</v>
      </c>
      <c r="F6294" s="1399">
        <v>1215641.32</v>
      </c>
      <c r="I6294" s="1399">
        <v>1215641.32</v>
      </c>
    </row>
    <row r="6295" spans="2:9">
      <c r="B6295" s="1297"/>
      <c r="C6295" s="1297"/>
      <c r="D6295" s="1297" t="s">
        <v>909</v>
      </c>
      <c r="F6295" s="1399">
        <v>16528.879999999997</v>
      </c>
      <c r="I6295" s="1399">
        <v>16528.879999999997</v>
      </c>
    </row>
    <row r="6296" spans="2:9">
      <c r="B6296" s="1297"/>
      <c r="C6296" s="1297"/>
      <c r="D6296" s="1297" t="s">
        <v>910</v>
      </c>
      <c r="F6296" s="1399">
        <v>1737.75</v>
      </c>
      <c r="I6296" s="1399">
        <v>1737.75</v>
      </c>
    </row>
    <row r="6297" spans="2:9">
      <c r="B6297" s="1297"/>
      <c r="C6297" s="1297"/>
      <c r="D6297" s="1297" t="s">
        <v>1034</v>
      </c>
      <c r="F6297" s="1399">
        <v>17665.009999999998</v>
      </c>
      <c r="I6297" s="1399">
        <v>17665.009999999998</v>
      </c>
    </row>
    <row r="6298" spans="2:9">
      <c r="B6298" s="1297"/>
      <c r="C6298" s="1297"/>
      <c r="D6298" s="1297" t="s">
        <v>1035</v>
      </c>
      <c r="F6298" s="1399">
        <v>169960.37</v>
      </c>
      <c r="I6298" s="1399">
        <v>169960.37</v>
      </c>
    </row>
    <row r="6299" spans="2:9">
      <c r="B6299" s="1297"/>
      <c r="C6299" s="1297"/>
      <c r="D6299" s="1297" t="s">
        <v>1036</v>
      </c>
      <c r="F6299" s="1399">
        <v>77270.930000000008</v>
      </c>
      <c r="I6299" s="1399">
        <v>77270.930000000008</v>
      </c>
    </row>
    <row r="6300" spans="2:9">
      <c r="B6300" s="1297"/>
      <c r="C6300" s="1297"/>
      <c r="D6300" s="1297" t="s">
        <v>1037</v>
      </c>
      <c r="F6300" s="1399">
        <v>81176.88</v>
      </c>
      <c r="I6300" s="1399">
        <v>81176.88</v>
      </c>
    </row>
    <row r="6301" spans="2:9">
      <c r="B6301" s="1297"/>
      <c r="C6301" s="1297"/>
      <c r="D6301" s="1297" t="s">
        <v>1039</v>
      </c>
      <c r="F6301" s="1399">
        <v>14591.810000000001</v>
      </c>
      <c r="I6301" s="1399">
        <v>14591.810000000001</v>
      </c>
    </row>
    <row r="6302" spans="2:9">
      <c r="B6302" s="1297"/>
      <c r="C6302" s="1297"/>
      <c r="D6302" s="1297" t="s">
        <v>1040</v>
      </c>
      <c r="F6302" s="1399">
        <v>148543.81</v>
      </c>
      <c r="I6302" s="1399">
        <v>148543.81</v>
      </c>
    </row>
    <row r="6303" spans="2:9">
      <c r="B6303" s="1297"/>
      <c r="C6303" s="1297"/>
      <c r="D6303" s="1297" t="s">
        <v>1041</v>
      </c>
      <c r="F6303" s="1399">
        <v>30028.400000000001</v>
      </c>
      <c r="I6303" s="1399">
        <v>30028.400000000001</v>
      </c>
    </row>
    <row r="6304" spans="2:9">
      <c r="B6304" s="1297"/>
      <c r="C6304" s="1297"/>
      <c r="D6304" s="1297" t="s">
        <v>1042</v>
      </c>
      <c r="F6304" s="1399">
        <v>17554.309999999998</v>
      </c>
      <c r="I6304" s="1399">
        <v>17554.309999999998</v>
      </c>
    </row>
    <row r="6305" spans="2:9">
      <c r="B6305" s="1297"/>
      <c r="C6305" s="1297"/>
      <c r="D6305" s="1297" t="s">
        <v>996</v>
      </c>
      <c r="F6305" s="1399">
        <v>60</v>
      </c>
      <c r="I6305" s="1399">
        <v>60</v>
      </c>
    </row>
    <row r="6306" spans="2:9">
      <c r="B6306" s="1297"/>
      <c r="C6306" s="1297"/>
      <c r="D6306" s="1297" t="s">
        <v>1045</v>
      </c>
      <c r="F6306" s="1399">
        <v>165011.78999999998</v>
      </c>
      <c r="I6306" s="1399">
        <v>165011.78999999998</v>
      </c>
    </row>
    <row r="6307" spans="2:9">
      <c r="B6307" s="1297"/>
      <c r="C6307" s="1297"/>
      <c r="D6307" s="1297" t="s">
        <v>1046</v>
      </c>
      <c r="H6307" s="1399">
        <v>8028802</v>
      </c>
      <c r="I6307" s="1399">
        <v>8028802</v>
      </c>
    </row>
    <row r="6308" spans="2:9">
      <c r="B6308" s="1297"/>
      <c r="C6308" s="1297"/>
      <c r="D6308" s="1297" t="s">
        <v>1128</v>
      </c>
      <c r="H6308" s="1399">
        <v>729941</v>
      </c>
      <c r="I6308" s="1399">
        <v>729941</v>
      </c>
    </row>
    <row r="6309" spans="2:9">
      <c r="B6309" s="1297"/>
      <c r="C6309" s="1297"/>
      <c r="D6309" s="1297" t="s">
        <v>1129</v>
      </c>
      <c r="H6309" s="1399">
        <v>-1202806</v>
      </c>
      <c r="I6309" s="1399">
        <v>-1202806</v>
      </c>
    </row>
    <row r="6310" spans="2:9">
      <c r="B6310" s="1297"/>
      <c r="C6310" s="1297"/>
      <c r="D6310" s="1297" t="s">
        <v>1047</v>
      </c>
      <c r="H6310" s="1399">
        <v>124720</v>
      </c>
      <c r="I6310" s="1399">
        <v>124720</v>
      </c>
    </row>
    <row r="6311" spans="2:9">
      <c r="B6311" s="1297"/>
      <c r="C6311" s="1297"/>
      <c r="D6311" s="1297" t="s">
        <v>1048</v>
      </c>
      <c r="H6311" s="1399">
        <v>-911580</v>
      </c>
      <c r="I6311" s="1399">
        <v>-911580</v>
      </c>
    </row>
    <row r="6312" spans="2:9">
      <c r="B6312" s="1297"/>
      <c r="C6312" s="1297"/>
      <c r="D6312" s="1297" t="s">
        <v>932</v>
      </c>
      <c r="H6312" s="1399">
        <v>847833</v>
      </c>
      <c r="I6312" s="1399">
        <v>847833</v>
      </c>
    </row>
    <row r="6313" spans="2:9">
      <c r="B6313" s="1297"/>
      <c r="C6313" s="1297"/>
      <c r="D6313" s="1297" t="s">
        <v>955</v>
      </c>
      <c r="H6313" s="1399">
        <v>140417.03</v>
      </c>
      <c r="I6313" s="1399">
        <v>140417.03</v>
      </c>
    </row>
    <row r="6314" spans="2:9">
      <c r="B6314" s="1297"/>
      <c r="C6314" s="1297"/>
      <c r="D6314" s="1297" t="s">
        <v>934</v>
      </c>
      <c r="H6314" s="1399">
        <v>26868</v>
      </c>
      <c r="I6314" s="1399">
        <v>26868</v>
      </c>
    </row>
    <row r="6315" spans="2:9">
      <c r="B6315" s="1297"/>
      <c r="C6315" s="1297"/>
      <c r="D6315" s="1297" t="s">
        <v>935</v>
      </c>
      <c r="H6315" s="1399">
        <v>134871.87999999998</v>
      </c>
      <c r="I6315" s="1399">
        <v>134871.87999999998</v>
      </c>
    </row>
    <row r="6316" spans="2:9">
      <c r="B6316" s="1297"/>
      <c r="C6316" s="1297"/>
      <c r="D6316" s="1297" t="s">
        <v>936</v>
      </c>
      <c r="H6316" s="1399">
        <v>24860.69</v>
      </c>
      <c r="I6316" s="1399">
        <v>24860.69</v>
      </c>
    </row>
    <row r="6317" spans="2:9">
      <c r="B6317" s="1297"/>
      <c r="C6317" s="1297"/>
      <c r="D6317" s="1297" t="s">
        <v>937</v>
      </c>
      <c r="H6317" s="1399">
        <v>17670.740000000002</v>
      </c>
      <c r="I6317" s="1399">
        <v>17670.740000000002</v>
      </c>
    </row>
    <row r="6318" spans="2:9">
      <c r="B6318" s="1297"/>
      <c r="C6318" s="1297"/>
      <c r="D6318" s="1297" t="s">
        <v>938</v>
      </c>
      <c r="H6318" s="1399">
        <v>7299</v>
      </c>
      <c r="I6318" s="1399">
        <v>7299</v>
      </c>
    </row>
    <row r="6319" spans="2:9">
      <c r="B6319" s="1297"/>
      <c r="C6319" s="1297"/>
      <c r="D6319" s="1297" t="s">
        <v>940</v>
      </c>
      <c r="E6319" s="1399">
        <v>354213.45999999996</v>
      </c>
      <c r="I6319" s="1399">
        <v>354213.45999999996</v>
      </c>
    </row>
    <row r="6320" spans="2:9">
      <c r="B6320" s="1297"/>
      <c r="C6320" s="1297"/>
      <c r="D6320" s="1297" t="s">
        <v>941</v>
      </c>
      <c r="E6320" s="1399">
        <v>139243.26</v>
      </c>
      <c r="I6320" s="1399">
        <v>139243.26</v>
      </c>
    </row>
    <row r="6321" spans="2:9">
      <c r="B6321" s="1297"/>
      <c r="C6321" s="1297"/>
      <c r="D6321" s="1297" t="s">
        <v>943</v>
      </c>
      <c r="E6321" s="1399">
        <v>6463.9000000000005</v>
      </c>
      <c r="I6321" s="1399">
        <v>6463.9000000000005</v>
      </c>
    </row>
    <row r="6322" spans="2:9">
      <c r="B6322" s="1297"/>
      <c r="C6322" s="1297"/>
      <c r="D6322" s="1297" t="s">
        <v>944</v>
      </c>
      <c r="E6322" s="1399">
        <v>659919.8600000001</v>
      </c>
      <c r="I6322" s="1399">
        <v>659919.8600000001</v>
      </c>
    </row>
    <row r="6323" spans="2:9">
      <c r="B6323" s="1297"/>
      <c r="C6323" s="1297"/>
      <c r="D6323" s="1297" t="s">
        <v>945</v>
      </c>
      <c r="E6323" s="1399">
        <v>355587.83</v>
      </c>
      <c r="I6323" s="1399">
        <v>355587.83</v>
      </c>
    </row>
    <row r="6324" spans="2:9">
      <c r="B6324" s="1297"/>
      <c r="C6324" s="1297"/>
      <c r="D6324" s="1297" t="s">
        <v>947</v>
      </c>
      <c r="E6324" s="1399">
        <v>31765.300000000003</v>
      </c>
      <c r="I6324" s="1399">
        <v>31765.300000000003</v>
      </c>
    </row>
    <row r="6325" spans="2:9">
      <c r="B6325" s="1297"/>
      <c r="C6325" s="1297"/>
      <c r="D6325" s="1297" t="s">
        <v>948</v>
      </c>
      <c r="G6325" s="1399">
        <v>1617158.53</v>
      </c>
      <c r="I6325" s="1399">
        <v>1617158.53</v>
      </c>
    </row>
    <row r="6326" spans="2:9">
      <c r="B6326" s="1297"/>
      <c r="C6326" s="1297"/>
      <c r="D6326" s="1297" t="s">
        <v>1118</v>
      </c>
      <c r="G6326" s="1399">
        <v>480</v>
      </c>
      <c r="I6326" s="1399">
        <v>480</v>
      </c>
    </row>
    <row r="6327" spans="2:9">
      <c r="B6327" s="1297"/>
      <c r="C6327" s="1400" t="s">
        <v>1454</v>
      </c>
      <c r="D6327" s="1400"/>
      <c r="E6327" s="1401">
        <v>1547193.61</v>
      </c>
      <c r="F6327" s="1401">
        <v>5023065.1899999985</v>
      </c>
      <c r="G6327" s="1401">
        <v>1617638.53</v>
      </c>
      <c r="H6327" s="1401">
        <v>7968897.3400000008</v>
      </c>
      <c r="I6327" s="1401">
        <v>16156794.669999998</v>
      </c>
    </row>
    <row r="6328" spans="2:9">
      <c r="B6328" s="1297" t="s">
        <v>1455</v>
      </c>
      <c r="C6328" s="1297" t="s">
        <v>1456</v>
      </c>
      <c r="D6328" s="1297" t="s">
        <v>907</v>
      </c>
      <c r="F6328" s="1399">
        <v>5487423.5499999998</v>
      </c>
      <c r="I6328" s="1399">
        <v>5487423.5499999998</v>
      </c>
    </row>
    <row r="6329" spans="2:9">
      <c r="B6329" s="1297"/>
      <c r="C6329" s="1297"/>
      <c r="D6329" s="1297" t="s">
        <v>1145</v>
      </c>
      <c r="F6329" s="1399">
        <v>26345629.850000001</v>
      </c>
      <c r="I6329" s="1399">
        <v>26345629.850000001</v>
      </c>
    </row>
    <row r="6330" spans="2:9">
      <c r="B6330" s="1297"/>
      <c r="C6330" s="1297"/>
      <c r="D6330" s="1297" t="s">
        <v>908</v>
      </c>
      <c r="F6330" s="1399">
        <v>117592.57</v>
      </c>
      <c r="I6330" s="1399">
        <v>117592.57</v>
      </c>
    </row>
    <row r="6331" spans="2:9">
      <c r="B6331" s="1297"/>
      <c r="C6331" s="1297"/>
      <c r="D6331" s="1297" t="s">
        <v>909</v>
      </c>
      <c r="F6331" s="1399">
        <v>21758.92</v>
      </c>
      <c r="I6331" s="1399">
        <v>21758.92</v>
      </c>
    </row>
    <row r="6332" spans="2:9">
      <c r="B6332" s="1297"/>
      <c r="C6332" s="1297"/>
      <c r="D6332" s="1297" t="s">
        <v>910</v>
      </c>
      <c r="F6332" s="1399">
        <v>49796.979999999996</v>
      </c>
      <c r="I6332" s="1399">
        <v>49796.979999999996</v>
      </c>
    </row>
    <row r="6333" spans="2:9">
      <c r="B6333" s="1297"/>
      <c r="C6333" s="1297"/>
      <c r="D6333" s="1297" t="s">
        <v>1034</v>
      </c>
      <c r="F6333" s="1399">
        <v>35859.759999999995</v>
      </c>
      <c r="I6333" s="1399">
        <v>35859.759999999995</v>
      </c>
    </row>
    <row r="6334" spans="2:9">
      <c r="B6334" s="1297"/>
      <c r="C6334" s="1297"/>
      <c r="D6334" s="1297" t="s">
        <v>1035</v>
      </c>
      <c r="F6334" s="1399">
        <v>361253.25000000006</v>
      </c>
      <c r="I6334" s="1399">
        <v>361253.25000000006</v>
      </c>
    </row>
    <row r="6335" spans="2:9">
      <c r="B6335" s="1297"/>
      <c r="C6335" s="1297"/>
      <c r="D6335" s="1297" t="s">
        <v>1036</v>
      </c>
      <c r="F6335" s="1399">
        <v>183098.71</v>
      </c>
      <c r="I6335" s="1399">
        <v>183098.71</v>
      </c>
    </row>
    <row r="6336" spans="2:9">
      <c r="B6336" s="1297"/>
      <c r="C6336" s="1297"/>
      <c r="D6336" s="1297" t="s">
        <v>1037</v>
      </c>
      <c r="F6336" s="1399">
        <v>252064.92</v>
      </c>
      <c r="I6336" s="1399">
        <v>252064.92</v>
      </c>
    </row>
    <row r="6337" spans="2:9">
      <c r="B6337" s="1297"/>
      <c r="C6337" s="1297"/>
      <c r="D6337" s="1297" t="s">
        <v>1039</v>
      </c>
      <c r="F6337" s="1399">
        <v>186231.49000000002</v>
      </c>
      <c r="I6337" s="1399">
        <v>186231.49000000002</v>
      </c>
    </row>
    <row r="6338" spans="2:9">
      <c r="B6338" s="1297"/>
      <c r="C6338" s="1297"/>
      <c r="D6338" s="1297" t="s">
        <v>1040</v>
      </c>
      <c r="F6338" s="1399">
        <v>270325.28000000003</v>
      </c>
      <c r="I6338" s="1399">
        <v>270325.28000000003</v>
      </c>
    </row>
    <row r="6339" spans="2:9">
      <c r="B6339" s="1297"/>
      <c r="C6339" s="1297"/>
      <c r="D6339" s="1297" t="s">
        <v>1041</v>
      </c>
      <c r="F6339" s="1399">
        <v>21519.370000000003</v>
      </c>
      <c r="I6339" s="1399">
        <v>21519.370000000003</v>
      </c>
    </row>
    <row r="6340" spans="2:9">
      <c r="B6340" s="1297"/>
      <c r="C6340" s="1297"/>
      <c r="D6340" s="1297" t="s">
        <v>1042</v>
      </c>
      <c r="F6340" s="1399">
        <v>90018.76</v>
      </c>
      <c r="I6340" s="1399">
        <v>90018.76</v>
      </c>
    </row>
    <row r="6341" spans="2:9">
      <c r="B6341" s="1297"/>
      <c r="C6341" s="1297"/>
      <c r="D6341" s="1297" t="s">
        <v>953</v>
      </c>
      <c r="F6341" s="1399">
        <v>29968.71</v>
      </c>
      <c r="I6341" s="1399">
        <v>29968.71</v>
      </c>
    </row>
    <row r="6342" spans="2:9">
      <c r="B6342" s="1297"/>
      <c r="C6342" s="1297"/>
      <c r="D6342" s="1297" t="s">
        <v>985</v>
      </c>
      <c r="F6342" s="1399">
        <v>170664.08</v>
      </c>
      <c r="I6342" s="1399">
        <v>170664.08</v>
      </c>
    </row>
    <row r="6343" spans="2:9">
      <c r="B6343" s="1297"/>
      <c r="C6343" s="1297"/>
      <c r="D6343" s="1297" t="s">
        <v>1043</v>
      </c>
      <c r="F6343" s="1399">
        <v>5277.5</v>
      </c>
      <c r="I6343" s="1399">
        <v>5277.5</v>
      </c>
    </row>
    <row r="6344" spans="2:9">
      <c r="B6344" s="1297"/>
      <c r="C6344" s="1297"/>
      <c r="D6344" s="1297" t="s">
        <v>986</v>
      </c>
      <c r="F6344" s="1399">
        <v>10310</v>
      </c>
      <c r="I6344" s="1399">
        <v>10310</v>
      </c>
    </row>
    <row r="6345" spans="2:9">
      <c r="B6345" s="1297"/>
      <c r="C6345" s="1297"/>
      <c r="D6345" s="1297" t="s">
        <v>1044</v>
      </c>
      <c r="F6345" s="1399">
        <v>470833.21</v>
      </c>
      <c r="I6345" s="1399">
        <v>470833.21</v>
      </c>
    </row>
    <row r="6346" spans="2:9">
      <c r="B6346" s="1297"/>
      <c r="C6346" s="1297"/>
      <c r="D6346" s="1297" t="s">
        <v>1045</v>
      </c>
      <c r="F6346" s="1399">
        <v>948407.45000000019</v>
      </c>
      <c r="I6346" s="1399">
        <v>948407.45000000019</v>
      </c>
    </row>
    <row r="6347" spans="2:9">
      <c r="B6347" s="1297"/>
      <c r="C6347" s="1297"/>
      <c r="D6347" s="1297" t="s">
        <v>1046</v>
      </c>
      <c r="H6347" s="1399">
        <v>37734881</v>
      </c>
      <c r="I6347" s="1399">
        <v>37734881</v>
      </c>
    </row>
    <row r="6348" spans="2:9">
      <c r="B6348" s="1297"/>
      <c r="C6348" s="1297"/>
      <c r="D6348" s="1297" t="s">
        <v>1128</v>
      </c>
      <c r="H6348" s="1399">
        <v>3107688</v>
      </c>
      <c r="I6348" s="1399">
        <v>3107688</v>
      </c>
    </row>
    <row r="6349" spans="2:9">
      <c r="B6349" s="1297"/>
      <c r="C6349" s="1297"/>
      <c r="D6349" s="1297" t="s">
        <v>1129</v>
      </c>
      <c r="H6349" s="1399">
        <v>-4930693</v>
      </c>
      <c r="I6349" s="1399">
        <v>-4930693</v>
      </c>
    </row>
    <row r="6350" spans="2:9">
      <c r="B6350" s="1297"/>
      <c r="C6350" s="1297"/>
      <c r="D6350" s="1297" t="s">
        <v>1047</v>
      </c>
      <c r="H6350" s="1399">
        <v>372035</v>
      </c>
      <c r="I6350" s="1399">
        <v>372035</v>
      </c>
    </row>
    <row r="6351" spans="2:9">
      <c r="B6351" s="1297"/>
      <c r="C6351" s="1297"/>
      <c r="D6351" s="1297" t="s">
        <v>1048</v>
      </c>
      <c r="H6351" s="1399">
        <v>-6775062</v>
      </c>
      <c r="I6351" s="1399">
        <v>-6775062</v>
      </c>
    </row>
    <row r="6352" spans="2:9">
      <c r="B6352" s="1297"/>
      <c r="C6352" s="1297"/>
      <c r="D6352" s="1297" t="s">
        <v>932</v>
      </c>
      <c r="H6352" s="1399">
        <v>600445</v>
      </c>
      <c r="I6352" s="1399">
        <v>600445</v>
      </c>
    </row>
    <row r="6353" spans="2:9">
      <c r="B6353" s="1297"/>
      <c r="C6353" s="1297"/>
      <c r="D6353" s="1297" t="s">
        <v>955</v>
      </c>
      <c r="H6353" s="1399">
        <v>1255404.1599999999</v>
      </c>
      <c r="I6353" s="1399">
        <v>1255404.1599999999</v>
      </c>
    </row>
    <row r="6354" spans="2:9">
      <c r="B6354" s="1297"/>
      <c r="C6354" s="1297"/>
      <c r="D6354" s="1297" t="s">
        <v>934</v>
      </c>
      <c r="H6354" s="1399">
        <v>126500</v>
      </c>
      <c r="I6354" s="1399">
        <v>126500</v>
      </c>
    </row>
    <row r="6355" spans="2:9">
      <c r="B6355" s="1297"/>
      <c r="C6355" s="1297"/>
      <c r="D6355" s="1297" t="s">
        <v>1130</v>
      </c>
      <c r="H6355" s="1399">
        <v>72465.100000000006</v>
      </c>
      <c r="I6355" s="1399">
        <v>72465.100000000006</v>
      </c>
    </row>
    <row r="6356" spans="2:9">
      <c r="B6356" s="1297"/>
      <c r="C6356" s="1297"/>
      <c r="D6356" s="1297" t="s">
        <v>935</v>
      </c>
      <c r="H6356" s="1399">
        <v>162187.59</v>
      </c>
      <c r="I6356" s="1399">
        <v>162187.59</v>
      </c>
    </row>
    <row r="6357" spans="2:9">
      <c r="B6357" s="1297"/>
      <c r="C6357" s="1297"/>
      <c r="D6357" s="1297" t="s">
        <v>936</v>
      </c>
      <c r="H6357" s="1399">
        <v>79834.320000000007</v>
      </c>
      <c r="I6357" s="1399">
        <v>79834.320000000007</v>
      </c>
    </row>
    <row r="6358" spans="2:9">
      <c r="B6358" s="1297"/>
      <c r="C6358" s="1297"/>
      <c r="D6358" s="1297" t="s">
        <v>937</v>
      </c>
      <c r="H6358" s="1399">
        <v>27319.11</v>
      </c>
      <c r="I6358" s="1399">
        <v>27319.11</v>
      </c>
    </row>
    <row r="6359" spans="2:9">
      <c r="B6359" s="1297"/>
      <c r="C6359" s="1297"/>
      <c r="D6359" s="1297" t="s">
        <v>938</v>
      </c>
      <c r="H6359" s="1399">
        <v>21336</v>
      </c>
      <c r="I6359" s="1399">
        <v>21336</v>
      </c>
    </row>
    <row r="6360" spans="2:9">
      <c r="B6360" s="1297"/>
      <c r="C6360" s="1297"/>
      <c r="D6360" s="1297" t="s">
        <v>940</v>
      </c>
      <c r="E6360" s="1399">
        <v>2698547.02</v>
      </c>
      <c r="I6360" s="1399">
        <v>2698547.02</v>
      </c>
    </row>
    <row r="6361" spans="2:9">
      <c r="B6361" s="1297"/>
      <c r="C6361" s="1297"/>
      <c r="D6361" s="1297" t="s">
        <v>941</v>
      </c>
      <c r="E6361" s="1399">
        <v>897065.08</v>
      </c>
      <c r="I6361" s="1399">
        <v>897065.08</v>
      </c>
    </row>
    <row r="6362" spans="2:9">
      <c r="B6362" s="1297"/>
      <c r="C6362" s="1297"/>
      <c r="D6362" s="1297" t="s">
        <v>943</v>
      </c>
      <c r="E6362" s="1399">
        <v>64610.14</v>
      </c>
      <c r="I6362" s="1399">
        <v>64610.14</v>
      </c>
    </row>
    <row r="6363" spans="2:9">
      <c r="B6363" s="1297"/>
      <c r="C6363" s="1297"/>
      <c r="D6363" s="1297" t="s">
        <v>944</v>
      </c>
      <c r="E6363" s="1399">
        <v>3860441.6699999995</v>
      </c>
      <c r="I6363" s="1399">
        <v>3860441.6699999995</v>
      </c>
    </row>
    <row r="6364" spans="2:9">
      <c r="B6364" s="1297"/>
      <c r="C6364" s="1297"/>
      <c r="D6364" s="1297" t="s">
        <v>945</v>
      </c>
      <c r="E6364" s="1399">
        <v>2764865.9800000004</v>
      </c>
      <c r="I6364" s="1399">
        <v>2764865.9800000004</v>
      </c>
    </row>
    <row r="6365" spans="2:9">
      <c r="B6365" s="1297"/>
      <c r="C6365" s="1297"/>
      <c r="D6365" s="1297" t="s">
        <v>946</v>
      </c>
      <c r="E6365" s="1399">
        <v>387781.26999999996</v>
      </c>
      <c r="I6365" s="1399">
        <v>387781.26999999996</v>
      </c>
    </row>
    <row r="6366" spans="2:9">
      <c r="B6366" s="1297"/>
      <c r="C6366" s="1297"/>
      <c r="D6366" s="1297" t="s">
        <v>978</v>
      </c>
      <c r="E6366" s="1399">
        <v>18283.34</v>
      </c>
      <c r="I6366" s="1399">
        <v>18283.34</v>
      </c>
    </row>
    <row r="6367" spans="2:9">
      <c r="B6367" s="1297"/>
      <c r="C6367" s="1297"/>
      <c r="D6367" s="1297" t="s">
        <v>947</v>
      </c>
      <c r="E6367" s="1399">
        <v>217524.91</v>
      </c>
      <c r="I6367" s="1399">
        <v>217524.91</v>
      </c>
    </row>
    <row r="6368" spans="2:9">
      <c r="B6368" s="1297"/>
      <c r="C6368" s="1297"/>
      <c r="D6368" s="1297" t="s">
        <v>948</v>
      </c>
      <c r="G6368" s="1399">
        <v>8380214.7599999998</v>
      </c>
      <c r="I6368" s="1399">
        <v>8380214.7599999998</v>
      </c>
    </row>
    <row r="6369" spans="2:9">
      <c r="B6369" s="1297"/>
      <c r="C6369" s="1400" t="s">
        <v>1457</v>
      </c>
      <c r="D6369" s="1400"/>
      <c r="E6369" s="1401">
        <v>10909119.41</v>
      </c>
      <c r="F6369" s="1401">
        <v>35058034.360000014</v>
      </c>
      <c r="G6369" s="1401">
        <v>8380214.7599999998</v>
      </c>
      <c r="H6369" s="1401">
        <v>31854340.280000001</v>
      </c>
      <c r="I6369" s="1401">
        <v>86201708.810000017</v>
      </c>
    </row>
    <row r="6370" spans="2:9">
      <c r="B6370" s="1297" t="s">
        <v>1458</v>
      </c>
      <c r="C6370" s="1297" t="s">
        <v>1459</v>
      </c>
      <c r="D6370" s="1297" t="s">
        <v>907</v>
      </c>
      <c r="F6370" s="1399">
        <v>2181531.69</v>
      </c>
      <c r="I6370" s="1399">
        <v>2181531.69</v>
      </c>
    </row>
    <row r="6371" spans="2:9">
      <c r="B6371" s="1297"/>
      <c r="C6371" s="1297"/>
      <c r="D6371" s="1297" t="s">
        <v>1145</v>
      </c>
      <c r="F6371" s="1399">
        <v>24100666.140000001</v>
      </c>
      <c r="I6371" s="1399">
        <v>24100666.140000001</v>
      </c>
    </row>
    <row r="6372" spans="2:9">
      <c r="B6372" s="1297"/>
      <c r="C6372" s="1297"/>
      <c r="D6372" s="1297" t="s">
        <v>1037</v>
      </c>
      <c r="F6372" s="1399">
        <v>707807.57</v>
      </c>
      <c r="I6372" s="1399">
        <v>707807.57</v>
      </c>
    </row>
    <row r="6373" spans="2:9">
      <c r="B6373" s="1297"/>
      <c r="C6373" s="1297"/>
      <c r="D6373" s="1297" t="s">
        <v>1064</v>
      </c>
      <c r="F6373" s="1399">
        <v>920071.3</v>
      </c>
      <c r="I6373" s="1399">
        <v>920071.3</v>
      </c>
    </row>
    <row r="6374" spans="2:9">
      <c r="B6374" s="1297"/>
      <c r="C6374" s="1297"/>
      <c r="D6374" s="1297" t="s">
        <v>1039</v>
      </c>
      <c r="F6374" s="1399">
        <v>38835.29</v>
      </c>
      <c r="I6374" s="1399">
        <v>38835.29</v>
      </c>
    </row>
    <row r="6375" spans="2:9">
      <c r="B6375" s="1297"/>
      <c r="C6375" s="1297"/>
      <c r="D6375" s="1297" t="s">
        <v>1040</v>
      </c>
      <c r="F6375" s="1399">
        <v>457715.59</v>
      </c>
      <c r="I6375" s="1399">
        <v>457715.59</v>
      </c>
    </row>
    <row r="6376" spans="2:9">
      <c r="B6376" s="1297"/>
      <c r="C6376" s="1297"/>
      <c r="D6376" s="1297" t="s">
        <v>1207</v>
      </c>
      <c r="F6376" s="1399">
        <v>49370.86</v>
      </c>
      <c r="I6376" s="1399">
        <v>49370.86</v>
      </c>
    </row>
    <row r="6377" spans="2:9">
      <c r="B6377" s="1297"/>
      <c r="C6377" s="1297"/>
      <c r="D6377" s="1297" t="s">
        <v>1041</v>
      </c>
      <c r="F6377" s="1399">
        <v>63420.959999999999</v>
      </c>
      <c r="I6377" s="1399">
        <v>63420.959999999999</v>
      </c>
    </row>
    <row r="6378" spans="2:9">
      <c r="B6378" s="1297"/>
      <c r="C6378" s="1297"/>
      <c r="D6378" s="1297" t="s">
        <v>1042</v>
      </c>
      <c r="F6378" s="1399">
        <v>57049.11</v>
      </c>
      <c r="I6378" s="1399">
        <v>57049.11</v>
      </c>
    </row>
    <row r="6379" spans="2:9">
      <c r="B6379" s="1297"/>
      <c r="C6379" s="1297"/>
      <c r="D6379" s="1297" t="s">
        <v>953</v>
      </c>
      <c r="F6379" s="1399">
        <v>618</v>
      </c>
      <c r="I6379" s="1399">
        <v>618</v>
      </c>
    </row>
    <row r="6380" spans="2:9">
      <c r="B6380" s="1297"/>
      <c r="C6380" s="1297"/>
      <c r="D6380" s="1297" t="s">
        <v>954</v>
      </c>
      <c r="F6380" s="1399">
        <v>496485.77999999997</v>
      </c>
      <c r="I6380" s="1399">
        <v>496485.77999999997</v>
      </c>
    </row>
    <row r="6381" spans="2:9">
      <c r="B6381" s="1297"/>
      <c r="C6381" s="1297"/>
      <c r="D6381" s="1297" t="s">
        <v>985</v>
      </c>
      <c r="F6381" s="1399">
        <v>50000</v>
      </c>
      <c r="I6381" s="1399">
        <v>50000</v>
      </c>
    </row>
    <row r="6382" spans="2:9">
      <c r="B6382" s="1297"/>
      <c r="C6382" s="1297"/>
      <c r="D6382" s="1297" t="s">
        <v>986</v>
      </c>
      <c r="F6382" s="1399">
        <v>65928.759999999995</v>
      </c>
      <c r="I6382" s="1399">
        <v>65928.759999999995</v>
      </c>
    </row>
    <row r="6383" spans="2:9">
      <c r="B6383" s="1297"/>
      <c r="C6383" s="1297"/>
      <c r="D6383" s="1297" t="s">
        <v>1045</v>
      </c>
      <c r="F6383" s="1399">
        <v>3344104.12</v>
      </c>
      <c r="I6383" s="1399">
        <v>3344104.12</v>
      </c>
    </row>
    <row r="6384" spans="2:9">
      <c r="B6384" s="1297"/>
      <c r="C6384" s="1297"/>
      <c r="D6384" s="1297" t="s">
        <v>1046</v>
      </c>
      <c r="H6384" s="1399">
        <v>16677824</v>
      </c>
      <c r="I6384" s="1399">
        <v>16677824</v>
      </c>
    </row>
    <row r="6385" spans="2:9">
      <c r="B6385" s="1297"/>
      <c r="C6385" s="1297"/>
      <c r="D6385" s="1297" t="s">
        <v>1128</v>
      </c>
      <c r="H6385" s="1399">
        <v>1248035</v>
      </c>
      <c r="I6385" s="1399">
        <v>1248035</v>
      </c>
    </row>
    <row r="6386" spans="2:9">
      <c r="B6386" s="1297"/>
      <c r="C6386" s="1297"/>
      <c r="D6386" s="1297" t="s">
        <v>1129</v>
      </c>
      <c r="H6386" s="1399">
        <v>-1741481</v>
      </c>
      <c r="I6386" s="1399">
        <v>-1741481</v>
      </c>
    </row>
    <row r="6387" spans="2:9">
      <c r="B6387" s="1297"/>
      <c r="C6387" s="1297"/>
      <c r="D6387" s="1297" t="s">
        <v>1047</v>
      </c>
      <c r="H6387" s="1399">
        <v>141093</v>
      </c>
      <c r="I6387" s="1399">
        <v>141093</v>
      </c>
    </row>
    <row r="6388" spans="2:9">
      <c r="B6388" s="1297"/>
      <c r="C6388" s="1297"/>
      <c r="D6388" s="1297" t="s">
        <v>1048</v>
      </c>
      <c r="H6388" s="1399">
        <v>-4739336</v>
      </c>
      <c r="I6388" s="1399">
        <v>-4739336</v>
      </c>
    </row>
    <row r="6389" spans="2:9">
      <c r="B6389" s="1297"/>
      <c r="C6389" s="1297"/>
      <c r="D6389" s="1297" t="s">
        <v>955</v>
      </c>
      <c r="H6389" s="1399">
        <v>923773.75</v>
      </c>
      <c r="I6389" s="1399">
        <v>923773.75</v>
      </c>
    </row>
    <row r="6390" spans="2:9">
      <c r="B6390" s="1297"/>
      <c r="C6390" s="1297"/>
      <c r="D6390" s="1297" t="s">
        <v>934</v>
      </c>
      <c r="H6390" s="1399">
        <v>32476</v>
      </c>
      <c r="I6390" s="1399">
        <v>32476</v>
      </c>
    </row>
    <row r="6391" spans="2:9">
      <c r="B6391" s="1297"/>
      <c r="C6391" s="1297"/>
      <c r="D6391" s="1297" t="s">
        <v>935</v>
      </c>
      <c r="H6391" s="1399">
        <v>199551.83000000002</v>
      </c>
      <c r="I6391" s="1399">
        <v>199551.83000000002</v>
      </c>
    </row>
    <row r="6392" spans="2:9">
      <c r="B6392" s="1297"/>
      <c r="C6392" s="1297"/>
      <c r="D6392" s="1297" t="s">
        <v>936</v>
      </c>
      <c r="H6392" s="1399">
        <v>62676.95</v>
      </c>
      <c r="I6392" s="1399">
        <v>62676.95</v>
      </c>
    </row>
    <row r="6393" spans="2:9">
      <c r="B6393" s="1297"/>
      <c r="C6393" s="1297"/>
      <c r="D6393" s="1297" t="s">
        <v>937</v>
      </c>
      <c r="H6393" s="1399">
        <v>22926.83</v>
      </c>
      <c r="I6393" s="1399">
        <v>22926.83</v>
      </c>
    </row>
    <row r="6394" spans="2:9">
      <c r="B6394" s="1297"/>
      <c r="C6394" s="1297"/>
      <c r="D6394" s="1297" t="s">
        <v>938</v>
      </c>
      <c r="H6394" s="1399">
        <v>10668</v>
      </c>
      <c r="I6394" s="1399">
        <v>10668</v>
      </c>
    </row>
    <row r="6395" spans="2:9">
      <c r="B6395" s="1297"/>
      <c r="C6395" s="1297"/>
      <c r="D6395" s="1297" t="s">
        <v>939</v>
      </c>
      <c r="H6395" s="1399">
        <v>135267.33000000002</v>
      </c>
      <c r="I6395" s="1399">
        <v>135267.33000000002</v>
      </c>
    </row>
    <row r="6396" spans="2:9">
      <c r="B6396" s="1297"/>
      <c r="C6396" s="1297"/>
      <c r="D6396" s="1297" t="s">
        <v>1131</v>
      </c>
      <c r="E6396" s="1399">
        <v>86518.71</v>
      </c>
      <c r="I6396" s="1399">
        <v>86518.71</v>
      </c>
    </row>
    <row r="6397" spans="2:9">
      <c r="B6397" s="1297"/>
      <c r="C6397" s="1297"/>
      <c r="D6397" s="1297" t="s">
        <v>940</v>
      </c>
      <c r="E6397" s="1399">
        <v>361944.92</v>
      </c>
      <c r="I6397" s="1399">
        <v>361944.92</v>
      </c>
    </row>
    <row r="6398" spans="2:9">
      <c r="B6398" s="1297"/>
      <c r="C6398" s="1297"/>
      <c r="D6398" s="1297" t="s">
        <v>941</v>
      </c>
      <c r="E6398" s="1399">
        <v>113200.86</v>
      </c>
      <c r="I6398" s="1399">
        <v>113200.86</v>
      </c>
    </row>
    <row r="6399" spans="2:9">
      <c r="B6399" s="1297"/>
      <c r="C6399" s="1297"/>
      <c r="D6399" s="1297" t="s">
        <v>943</v>
      </c>
      <c r="E6399" s="1399">
        <v>15250.6</v>
      </c>
      <c r="I6399" s="1399">
        <v>15250.6</v>
      </c>
    </row>
    <row r="6400" spans="2:9">
      <c r="B6400" s="1297"/>
      <c r="C6400" s="1297"/>
      <c r="D6400" s="1297" t="s">
        <v>944</v>
      </c>
      <c r="E6400" s="1399">
        <v>1726564.2</v>
      </c>
      <c r="I6400" s="1399">
        <v>1726564.2</v>
      </c>
    </row>
    <row r="6401" spans="2:9">
      <c r="B6401" s="1297"/>
      <c r="C6401" s="1297"/>
      <c r="D6401" s="1297" t="s">
        <v>945</v>
      </c>
      <c r="E6401" s="1399">
        <v>884509.63</v>
      </c>
      <c r="I6401" s="1399">
        <v>884509.63</v>
      </c>
    </row>
    <row r="6402" spans="2:9">
      <c r="B6402" s="1297"/>
      <c r="C6402" s="1297"/>
      <c r="D6402" s="1297" t="s">
        <v>978</v>
      </c>
      <c r="E6402" s="1399">
        <v>31997.200000000001</v>
      </c>
      <c r="I6402" s="1399">
        <v>31997.200000000001</v>
      </c>
    </row>
    <row r="6403" spans="2:9">
      <c r="B6403" s="1297"/>
      <c r="C6403" s="1297"/>
      <c r="D6403" s="1297" t="s">
        <v>947</v>
      </c>
      <c r="E6403" s="1399">
        <v>28321.200000000001</v>
      </c>
      <c r="I6403" s="1399">
        <v>28321.200000000001</v>
      </c>
    </row>
    <row r="6404" spans="2:9">
      <c r="B6404" s="1297"/>
      <c r="C6404" s="1297"/>
      <c r="D6404" s="1297" t="s">
        <v>948</v>
      </c>
      <c r="G6404" s="1399">
        <v>2282839.8699999996</v>
      </c>
      <c r="I6404" s="1399">
        <v>2282839.8699999996</v>
      </c>
    </row>
    <row r="6405" spans="2:9">
      <c r="B6405" s="1297"/>
      <c r="C6405" s="1400" t="s">
        <v>1460</v>
      </c>
      <c r="D6405" s="1400"/>
      <c r="E6405" s="1401">
        <v>3248307.3200000003</v>
      </c>
      <c r="F6405" s="1401">
        <v>32533605.170000006</v>
      </c>
      <c r="G6405" s="1401">
        <v>2282839.8699999996</v>
      </c>
      <c r="H6405" s="1401">
        <v>12973475.689999999</v>
      </c>
      <c r="I6405" s="1401">
        <v>51038228.050000012</v>
      </c>
    </row>
    <row r="6406" spans="2:9">
      <c r="B6406" s="1297" t="s">
        <v>1461</v>
      </c>
      <c r="C6406" s="1297" t="s">
        <v>1462</v>
      </c>
      <c r="D6406" s="1297" t="s">
        <v>906</v>
      </c>
      <c r="F6406" s="1399">
        <v>223497.32</v>
      </c>
      <c r="I6406" s="1399">
        <v>223497.32</v>
      </c>
    </row>
    <row r="6407" spans="2:9">
      <c r="B6407" s="1297"/>
      <c r="C6407" s="1297"/>
      <c r="D6407" s="1297" t="s">
        <v>907</v>
      </c>
      <c r="F6407" s="1399">
        <v>2517157.4300000002</v>
      </c>
      <c r="I6407" s="1399">
        <v>2517157.4300000002</v>
      </c>
    </row>
    <row r="6408" spans="2:9">
      <c r="B6408" s="1297"/>
      <c r="C6408" s="1297"/>
      <c r="D6408" s="1297" t="s">
        <v>1145</v>
      </c>
      <c r="F6408" s="1399">
        <v>7921528.8700000001</v>
      </c>
      <c r="I6408" s="1399">
        <v>7921528.8700000001</v>
      </c>
    </row>
    <row r="6409" spans="2:9">
      <c r="B6409" s="1297"/>
      <c r="C6409" s="1297"/>
      <c r="D6409" s="1297" t="s">
        <v>909</v>
      </c>
      <c r="F6409" s="1399">
        <v>5329.55</v>
      </c>
      <c r="I6409" s="1399">
        <v>5329.55</v>
      </c>
    </row>
    <row r="6410" spans="2:9">
      <c r="B6410" s="1297"/>
      <c r="C6410" s="1297"/>
      <c r="D6410" s="1297" t="s">
        <v>910</v>
      </c>
      <c r="F6410" s="1399">
        <v>52797.220000000008</v>
      </c>
      <c r="I6410" s="1399">
        <v>52797.220000000008</v>
      </c>
    </row>
    <row r="6411" spans="2:9">
      <c r="B6411" s="1297"/>
      <c r="C6411" s="1297"/>
      <c r="D6411" s="1297" t="s">
        <v>1035</v>
      </c>
      <c r="F6411" s="1399">
        <v>114677.79000000001</v>
      </c>
      <c r="I6411" s="1399">
        <v>114677.79000000001</v>
      </c>
    </row>
    <row r="6412" spans="2:9">
      <c r="B6412" s="1297"/>
      <c r="C6412" s="1297"/>
      <c r="D6412" s="1297" t="s">
        <v>1036</v>
      </c>
      <c r="F6412" s="1399">
        <v>134655.47</v>
      </c>
      <c r="I6412" s="1399">
        <v>134655.47</v>
      </c>
    </row>
    <row r="6413" spans="2:9">
      <c r="B6413" s="1297"/>
      <c r="C6413" s="1297"/>
      <c r="D6413" s="1297" t="s">
        <v>1039</v>
      </c>
      <c r="F6413" s="1399">
        <v>21524.650000000005</v>
      </c>
      <c r="I6413" s="1399">
        <v>21524.650000000005</v>
      </c>
    </row>
    <row r="6414" spans="2:9">
      <c r="B6414" s="1297"/>
      <c r="C6414" s="1297"/>
      <c r="D6414" s="1297" t="s">
        <v>1040</v>
      </c>
      <c r="F6414" s="1399">
        <v>44333.98</v>
      </c>
      <c r="I6414" s="1399">
        <v>44333.98</v>
      </c>
    </row>
    <row r="6415" spans="2:9">
      <c r="B6415" s="1297"/>
      <c r="C6415" s="1297"/>
      <c r="D6415" s="1297" t="s">
        <v>1041</v>
      </c>
      <c r="F6415" s="1399">
        <v>7777.42</v>
      </c>
      <c r="I6415" s="1399">
        <v>7777.42</v>
      </c>
    </row>
    <row r="6416" spans="2:9">
      <c r="B6416" s="1297"/>
      <c r="C6416" s="1297"/>
      <c r="D6416" s="1297" t="s">
        <v>1042</v>
      </c>
      <c r="F6416" s="1399">
        <v>33379.199999999997</v>
      </c>
      <c r="I6416" s="1399">
        <v>33379.199999999997</v>
      </c>
    </row>
    <row r="6417" spans="2:9">
      <c r="B6417" s="1297"/>
      <c r="C6417" s="1297"/>
      <c r="D6417" s="1297" t="s">
        <v>954</v>
      </c>
      <c r="F6417" s="1399">
        <v>102952.04999999999</v>
      </c>
      <c r="I6417" s="1399">
        <v>102952.04999999999</v>
      </c>
    </row>
    <row r="6418" spans="2:9">
      <c r="B6418" s="1297"/>
      <c r="C6418" s="1297"/>
      <c r="D6418" s="1297" t="s">
        <v>985</v>
      </c>
      <c r="F6418" s="1399">
        <v>4586.3500000000004</v>
      </c>
      <c r="I6418" s="1399">
        <v>4586.3500000000004</v>
      </c>
    </row>
    <row r="6419" spans="2:9">
      <c r="B6419" s="1297"/>
      <c r="C6419" s="1297"/>
      <c r="D6419" s="1297" t="s">
        <v>986</v>
      </c>
      <c r="F6419" s="1399">
        <v>42445.549999999996</v>
      </c>
      <c r="I6419" s="1399">
        <v>42445.549999999996</v>
      </c>
    </row>
    <row r="6420" spans="2:9">
      <c r="B6420" s="1297"/>
      <c r="C6420" s="1297"/>
      <c r="D6420" s="1297" t="s">
        <v>1045</v>
      </c>
      <c r="F6420" s="1399">
        <v>237120.52999999997</v>
      </c>
      <c r="I6420" s="1399">
        <v>237120.52999999997</v>
      </c>
    </row>
    <row r="6421" spans="2:9">
      <c r="B6421" s="1297"/>
      <c r="C6421" s="1297"/>
      <c r="D6421" s="1297" t="s">
        <v>1046</v>
      </c>
      <c r="H6421" s="1399">
        <v>13761526</v>
      </c>
      <c r="I6421" s="1399">
        <v>13761526</v>
      </c>
    </row>
    <row r="6422" spans="2:9">
      <c r="B6422" s="1297"/>
      <c r="C6422" s="1297"/>
      <c r="D6422" s="1297" t="s">
        <v>1128</v>
      </c>
      <c r="H6422" s="1399">
        <v>1111525</v>
      </c>
      <c r="I6422" s="1399">
        <v>1111525</v>
      </c>
    </row>
    <row r="6423" spans="2:9">
      <c r="B6423" s="1297"/>
      <c r="C6423" s="1297"/>
      <c r="D6423" s="1297" t="s">
        <v>1129</v>
      </c>
      <c r="H6423" s="1399">
        <v>-1917489</v>
      </c>
      <c r="I6423" s="1399">
        <v>-1917489</v>
      </c>
    </row>
    <row r="6424" spans="2:9">
      <c r="B6424" s="1297"/>
      <c r="C6424" s="1297"/>
      <c r="D6424" s="1297" t="s">
        <v>1047</v>
      </c>
      <c r="H6424" s="1399">
        <v>214651</v>
      </c>
      <c r="I6424" s="1399">
        <v>214651</v>
      </c>
    </row>
    <row r="6425" spans="2:9">
      <c r="B6425" s="1297"/>
      <c r="C6425" s="1297"/>
      <c r="D6425" s="1297" t="s">
        <v>1048</v>
      </c>
      <c r="H6425" s="1399">
        <v>-2519388</v>
      </c>
      <c r="I6425" s="1399">
        <v>-2519388</v>
      </c>
    </row>
    <row r="6426" spans="2:9">
      <c r="B6426" s="1297"/>
      <c r="C6426" s="1297"/>
      <c r="D6426" s="1297" t="s">
        <v>932</v>
      </c>
      <c r="H6426" s="1399">
        <v>285344</v>
      </c>
      <c r="I6426" s="1399">
        <v>285344</v>
      </c>
    </row>
    <row r="6427" spans="2:9">
      <c r="B6427" s="1297"/>
      <c r="C6427" s="1297"/>
      <c r="D6427" s="1297" t="s">
        <v>955</v>
      </c>
      <c r="H6427" s="1399">
        <v>738584.75</v>
      </c>
      <c r="I6427" s="1399">
        <v>738584.75</v>
      </c>
    </row>
    <row r="6428" spans="2:9">
      <c r="B6428" s="1297"/>
      <c r="C6428" s="1297"/>
      <c r="D6428" s="1297" t="s">
        <v>934</v>
      </c>
      <c r="H6428" s="1399">
        <v>48881.82</v>
      </c>
      <c r="I6428" s="1399">
        <v>48881.82</v>
      </c>
    </row>
    <row r="6429" spans="2:9">
      <c r="B6429" s="1297"/>
      <c r="C6429" s="1297"/>
      <c r="D6429" s="1297" t="s">
        <v>1130</v>
      </c>
      <c r="H6429" s="1399">
        <v>832520.2</v>
      </c>
      <c r="I6429" s="1399">
        <v>832520.2</v>
      </c>
    </row>
    <row r="6430" spans="2:9">
      <c r="B6430" s="1297"/>
      <c r="C6430" s="1297"/>
      <c r="D6430" s="1297" t="s">
        <v>935</v>
      </c>
      <c r="H6430" s="1399">
        <v>624184.65</v>
      </c>
      <c r="I6430" s="1399">
        <v>624184.65</v>
      </c>
    </row>
    <row r="6431" spans="2:9">
      <c r="B6431" s="1297"/>
      <c r="C6431" s="1297"/>
      <c r="D6431" s="1297" t="s">
        <v>936</v>
      </c>
      <c r="H6431" s="1399">
        <v>38866.71</v>
      </c>
      <c r="I6431" s="1399">
        <v>38866.71</v>
      </c>
    </row>
    <row r="6432" spans="2:9">
      <c r="B6432" s="1297"/>
      <c r="C6432" s="1297"/>
      <c r="D6432" s="1297" t="s">
        <v>937</v>
      </c>
      <c r="H6432" s="1399">
        <v>14252.18</v>
      </c>
      <c r="I6432" s="1399">
        <v>14252.18</v>
      </c>
    </row>
    <row r="6433" spans="2:9">
      <c r="B6433" s="1297"/>
      <c r="C6433" s="1297"/>
      <c r="D6433" s="1297" t="s">
        <v>938</v>
      </c>
      <c r="H6433" s="1399">
        <v>10481</v>
      </c>
      <c r="I6433" s="1399">
        <v>10481</v>
      </c>
    </row>
    <row r="6434" spans="2:9">
      <c r="B6434" s="1297"/>
      <c r="C6434" s="1297"/>
      <c r="D6434" s="1297" t="s">
        <v>939</v>
      </c>
      <c r="H6434" s="1399">
        <v>265607.61</v>
      </c>
      <c r="I6434" s="1399">
        <v>265607.61</v>
      </c>
    </row>
    <row r="6435" spans="2:9">
      <c r="B6435" s="1297"/>
      <c r="C6435" s="1297"/>
      <c r="D6435" s="1297" t="s">
        <v>1131</v>
      </c>
      <c r="E6435" s="1399">
        <v>58202.66</v>
      </c>
      <c r="I6435" s="1399">
        <v>58202.66</v>
      </c>
    </row>
    <row r="6436" spans="2:9">
      <c r="B6436" s="1297"/>
      <c r="C6436" s="1297"/>
      <c r="D6436" s="1297" t="s">
        <v>940</v>
      </c>
      <c r="E6436" s="1399">
        <v>985138.86</v>
      </c>
      <c r="I6436" s="1399">
        <v>985138.86</v>
      </c>
    </row>
    <row r="6437" spans="2:9">
      <c r="B6437" s="1297"/>
      <c r="C6437" s="1297"/>
      <c r="D6437" s="1297" t="s">
        <v>941</v>
      </c>
      <c r="E6437" s="1399">
        <v>426664.82</v>
      </c>
      <c r="I6437" s="1399">
        <v>426664.82</v>
      </c>
    </row>
    <row r="6438" spans="2:9">
      <c r="B6438" s="1297"/>
      <c r="C6438" s="1297"/>
      <c r="D6438" s="1297" t="s">
        <v>943</v>
      </c>
      <c r="E6438" s="1399">
        <v>15010.9</v>
      </c>
      <c r="I6438" s="1399">
        <v>15010.9</v>
      </c>
    </row>
    <row r="6439" spans="2:9">
      <c r="B6439" s="1297"/>
      <c r="C6439" s="1297"/>
      <c r="D6439" s="1297" t="s">
        <v>944</v>
      </c>
      <c r="E6439" s="1399">
        <v>4154845.5799999996</v>
      </c>
      <c r="I6439" s="1399">
        <v>4154845.5799999996</v>
      </c>
    </row>
    <row r="6440" spans="2:9">
      <c r="B6440" s="1297"/>
      <c r="C6440" s="1297"/>
      <c r="D6440" s="1297" t="s">
        <v>945</v>
      </c>
      <c r="E6440" s="1399">
        <v>1402681.2</v>
      </c>
      <c r="I6440" s="1399">
        <v>1402681.2</v>
      </c>
    </row>
    <row r="6441" spans="2:9">
      <c r="B6441" s="1297"/>
      <c r="C6441" s="1297"/>
      <c r="D6441" s="1297" t="s">
        <v>946</v>
      </c>
      <c r="E6441" s="1399">
        <v>458746.17</v>
      </c>
      <c r="I6441" s="1399">
        <v>458746.17</v>
      </c>
    </row>
    <row r="6442" spans="2:9">
      <c r="B6442" s="1297"/>
      <c r="C6442" s="1297"/>
      <c r="D6442" s="1297" t="s">
        <v>947</v>
      </c>
      <c r="E6442" s="1399">
        <v>71539.009999999995</v>
      </c>
      <c r="I6442" s="1399">
        <v>71539.009999999995</v>
      </c>
    </row>
    <row r="6443" spans="2:9">
      <c r="B6443" s="1297"/>
      <c r="C6443" s="1297"/>
      <c r="D6443" s="1297" t="s">
        <v>1115</v>
      </c>
      <c r="E6443" s="1399">
        <v>10024.629999999999</v>
      </c>
      <c r="I6443" s="1399">
        <v>10024.629999999999</v>
      </c>
    </row>
    <row r="6444" spans="2:9">
      <c r="B6444" s="1297"/>
      <c r="C6444" s="1297"/>
      <c r="D6444" s="1297" t="s">
        <v>948</v>
      </c>
      <c r="G6444" s="1399">
        <v>4783743.1400000006</v>
      </c>
      <c r="I6444" s="1399">
        <v>4783743.1400000006</v>
      </c>
    </row>
    <row r="6445" spans="2:9">
      <c r="B6445" s="1297"/>
      <c r="C6445" s="1400" t="s">
        <v>1463</v>
      </c>
      <c r="D6445" s="1400"/>
      <c r="E6445" s="1401">
        <v>7582853.8299999991</v>
      </c>
      <c r="F6445" s="1401">
        <v>11463763.380000003</v>
      </c>
      <c r="G6445" s="1401">
        <v>4783743.1400000006</v>
      </c>
      <c r="H6445" s="1401">
        <v>13509547.92</v>
      </c>
      <c r="I6445" s="1401">
        <v>37339908.269999996</v>
      </c>
    </row>
    <row r="6446" spans="2:9">
      <c r="B6446" s="1297" t="s">
        <v>1464</v>
      </c>
      <c r="C6446" s="1297" t="s">
        <v>1465</v>
      </c>
      <c r="D6446" s="1297" t="s">
        <v>906</v>
      </c>
      <c r="F6446" s="1399">
        <v>25900783.93</v>
      </c>
      <c r="I6446" s="1399">
        <v>25900783.93</v>
      </c>
    </row>
    <row r="6447" spans="2:9">
      <c r="B6447" s="1297"/>
      <c r="C6447" s="1297"/>
      <c r="D6447" s="1297" t="s">
        <v>907</v>
      </c>
      <c r="F6447" s="1399">
        <v>4391107.5199999996</v>
      </c>
      <c r="I6447" s="1399">
        <v>4391107.5199999996</v>
      </c>
    </row>
    <row r="6448" spans="2:9">
      <c r="B6448" s="1297"/>
      <c r="C6448" s="1297"/>
      <c r="D6448" s="1297" t="s">
        <v>908</v>
      </c>
      <c r="F6448" s="1399">
        <v>105363.15</v>
      </c>
      <c r="I6448" s="1399">
        <v>105363.15</v>
      </c>
    </row>
    <row r="6449" spans="2:9">
      <c r="B6449" s="1297"/>
      <c r="C6449" s="1297"/>
      <c r="D6449" s="1297" t="s">
        <v>1034</v>
      </c>
      <c r="F6449" s="1399">
        <v>82174.259999999995</v>
      </c>
      <c r="I6449" s="1399">
        <v>82174.259999999995</v>
      </c>
    </row>
    <row r="6450" spans="2:9">
      <c r="B6450" s="1297"/>
      <c r="C6450" s="1297"/>
      <c r="D6450" s="1297" t="s">
        <v>1035</v>
      </c>
      <c r="F6450" s="1399">
        <v>455324.7</v>
      </c>
      <c r="I6450" s="1399">
        <v>455324.7</v>
      </c>
    </row>
    <row r="6451" spans="2:9">
      <c r="B6451" s="1297"/>
      <c r="C6451" s="1297"/>
      <c r="D6451" s="1297" t="s">
        <v>1037</v>
      </c>
      <c r="F6451" s="1399">
        <v>186115.6</v>
      </c>
      <c r="I6451" s="1399">
        <v>186115.6</v>
      </c>
    </row>
    <row r="6452" spans="2:9">
      <c r="B6452" s="1297"/>
      <c r="C6452" s="1297"/>
      <c r="D6452" s="1297" t="s">
        <v>1039</v>
      </c>
      <c r="F6452" s="1399">
        <v>29795.82</v>
      </c>
      <c r="I6452" s="1399">
        <v>29795.82</v>
      </c>
    </row>
    <row r="6453" spans="2:9">
      <c r="B6453" s="1297"/>
      <c r="C6453" s="1297"/>
      <c r="D6453" s="1297" t="s">
        <v>1040</v>
      </c>
      <c r="F6453" s="1399">
        <v>113539.91</v>
      </c>
      <c r="I6453" s="1399">
        <v>113539.91</v>
      </c>
    </row>
    <row r="6454" spans="2:9">
      <c r="B6454" s="1297"/>
      <c r="C6454" s="1297"/>
      <c r="D6454" s="1297" t="s">
        <v>1041</v>
      </c>
      <c r="F6454" s="1399">
        <v>80933.08</v>
      </c>
      <c r="I6454" s="1399">
        <v>80933.08</v>
      </c>
    </row>
    <row r="6455" spans="2:9">
      <c r="B6455" s="1297"/>
      <c r="C6455" s="1297"/>
      <c r="D6455" s="1297" t="s">
        <v>1042</v>
      </c>
      <c r="F6455" s="1399">
        <v>41508.6</v>
      </c>
      <c r="I6455" s="1399">
        <v>41508.6</v>
      </c>
    </row>
    <row r="6456" spans="2:9">
      <c r="B6456" s="1297"/>
      <c r="C6456" s="1297"/>
      <c r="D6456" s="1297" t="s">
        <v>1043</v>
      </c>
      <c r="F6456" s="1399">
        <v>144502.56</v>
      </c>
      <c r="I6456" s="1399">
        <v>144502.56</v>
      </c>
    </row>
    <row r="6457" spans="2:9">
      <c r="B6457" s="1297"/>
      <c r="C6457" s="1297"/>
      <c r="D6457" s="1297" t="s">
        <v>986</v>
      </c>
      <c r="F6457" s="1399">
        <v>2000</v>
      </c>
      <c r="I6457" s="1399">
        <v>2000</v>
      </c>
    </row>
    <row r="6458" spans="2:9">
      <c r="B6458" s="1297"/>
      <c r="C6458" s="1297"/>
      <c r="D6458" s="1297" t="s">
        <v>1044</v>
      </c>
      <c r="F6458" s="1399">
        <v>62978.27</v>
      </c>
      <c r="I6458" s="1399">
        <v>62978.27</v>
      </c>
    </row>
    <row r="6459" spans="2:9">
      <c r="B6459" s="1297"/>
      <c r="C6459" s="1297"/>
      <c r="D6459" s="1297" t="s">
        <v>1045</v>
      </c>
      <c r="F6459" s="1399">
        <v>529988.98</v>
      </c>
      <c r="I6459" s="1399">
        <v>529988.98</v>
      </c>
    </row>
    <row r="6460" spans="2:9">
      <c r="B6460" s="1297"/>
      <c r="C6460" s="1297"/>
      <c r="D6460" s="1297" t="s">
        <v>1046</v>
      </c>
      <c r="H6460" s="1399">
        <v>36044797</v>
      </c>
      <c r="I6460" s="1399">
        <v>36044797</v>
      </c>
    </row>
    <row r="6461" spans="2:9">
      <c r="B6461" s="1297"/>
      <c r="C6461" s="1297"/>
      <c r="D6461" s="1297" t="s">
        <v>1128</v>
      </c>
      <c r="H6461" s="1399">
        <v>2996261</v>
      </c>
      <c r="I6461" s="1399">
        <v>2996261</v>
      </c>
    </row>
    <row r="6462" spans="2:9">
      <c r="B6462" s="1297"/>
      <c r="C6462" s="1297"/>
      <c r="D6462" s="1297" t="s">
        <v>1129</v>
      </c>
      <c r="H6462" s="1399">
        <v>-4367842</v>
      </c>
      <c r="I6462" s="1399">
        <v>-4367842</v>
      </c>
    </row>
    <row r="6463" spans="2:9">
      <c r="B6463" s="1297"/>
      <c r="C6463" s="1297"/>
      <c r="D6463" s="1297" t="s">
        <v>1047</v>
      </c>
      <c r="H6463" s="1399">
        <v>412329</v>
      </c>
      <c r="I6463" s="1399">
        <v>412329</v>
      </c>
    </row>
    <row r="6464" spans="2:9">
      <c r="B6464" s="1297"/>
      <c r="C6464" s="1297"/>
      <c r="D6464" s="1297" t="s">
        <v>1048</v>
      </c>
      <c r="H6464" s="1399">
        <v>-7440049</v>
      </c>
      <c r="I6464" s="1399">
        <v>-7440049</v>
      </c>
    </row>
    <row r="6465" spans="2:9">
      <c r="B6465" s="1297"/>
      <c r="C6465" s="1297"/>
      <c r="D6465" s="1297" t="s">
        <v>955</v>
      </c>
      <c r="H6465" s="1399">
        <v>728148.65</v>
      </c>
      <c r="I6465" s="1399">
        <v>728148.65</v>
      </c>
    </row>
    <row r="6466" spans="2:9">
      <c r="B6466" s="1297"/>
      <c r="C6466" s="1297"/>
      <c r="D6466" s="1297" t="s">
        <v>934</v>
      </c>
      <c r="H6466" s="1399">
        <v>104783</v>
      </c>
      <c r="I6466" s="1399">
        <v>104783</v>
      </c>
    </row>
    <row r="6467" spans="2:9">
      <c r="B6467" s="1297"/>
      <c r="C6467" s="1297"/>
      <c r="D6467" s="1297" t="s">
        <v>935</v>
      </c>
      <c r="H6467" s="1399">
        <v>186823.31</v>
      </c>
      <c r="I6467" s="1399">
        <v>186823.31</v>
      </c>
    </row>
    <row r="6468" spans="2:9">
      <c r="B6468" s="1297"/>
      <c r="C6468" s="1297"/>
      <c r="D6468" s="1297" t="s">
        <v>936</v>
      </c>
      <c r="H6468" s="1399">
        <v>81935.23</v>
      </c>
      <c r="I6468" s="1399">
        <v>81935.23</v>
      </c>
    </row>
    <row r="6469" spans="2:9">
      <c r="B6469" s="1297"/>
      <c r="C6469" s="1297"/>
      <c r="D6469" s="1297" t="s">
        <v>937</v>
      </c>
      <c r="H6469" s="1399">
        <v>45744.62</v>
      </c>
      <c r="I6469" s="1399">
        <v>45744.62</v>
      </c>
    </row>
    <row r="6470" spans="2:9">
      <c r="B6470" s="1297"/>
      <c r="C6470" s="1297"/>
      <c r="D6470" s="1297" t="s">
        <v>938</v>
      </c>
      <c r="H6470" s="1399">
        <v>21523</v>
      </c>
      <c r="I6470" s="1399">
        <v>21523</v>
      </c>
    </row>
    <row r="6471" spans="2:9">
      <c r="B6471" s="1297"/>
      <c r="C6471" s="1297"/>
      <c r="D6471" s="1297" t="s">
        <v>940</v>
      </c>
      <c r="E6471" s="1399">
        <v>2078404.82</v>
      </c>
      <c r="I6471" s="1399">
        <v>2078404.82</v>
      </c>
    </row>
    <row r="6472" spans="2:9">
      <c r="B6472" s="1297"/>
      <c r="C6472" s="1297"/>
      <c r="D6472" s="1297" t="s">
        <v>941</v>
      </c>
      <c r="E6472" s="1399">
        <v>743133.96</v>
      </c>
      <c r="I6472" s="1399">
        <v>743133.96</v>
      </c>
    </row>
    <row r="6473" spans="2:9">
      <c r="B6473" s="1297"/>
      <c r="C6473" s="1297"/>
      <c r="D6473" s="1297" t="s">
        <v>943</v>
      </c>
      <c r="E6473" s="1399">
        <v>39014.28</v>
      </c>
      <c r="I6473" s="1399">
        <v>39014.28</v>
      </c>
    </row>
    <row r="6474" spans="2:9">
      <c r="B6474" s="1297"/>
      <c r="C6474" s="1297"/>
      <c r="D6474" s="1297" t="s">
        <v>944</v>
      </c>
      <c r="E6474" s="1399">
        <v>5037591.4899999984</v>
      </c>
      <c r="I6474" s="1399">
        <v>5037591.4899999984</v>
      </c>
    </row>
    <row r="6475" spans="2:9">
      <c r="B6475" s="1297"/>
      <c r="C6475" s="1297"/>
      <c r="D6475" s="1297" t="s">
        <v>945</v>
      </c>
      <c r="E6475" s="1399">
        <v>2726427.3</v>
      </c>
      <c r="I6475" s="1399">
        <v>2726427.3</v>
      </c>
    </row>
    <row r="6476" spans="2:9">
      <c r="B6476" s="1297"/>
      <c r="C6476" s="1297"/>
      <c r="D6476" s="1297" t="s">
        <v>947</v>
      </c>
      <c r="E6476" s="1399">
        <v>158977.35999999999</v>
      </c>
      <c r="I6476" s="1399">
        <v>158977.35999999999</v>
      </c>
    </row>
    <row r="6477" spans="2:9">
      <c r="B6477" s="1297"/>
      <c r="C6477" s="1297"/>
      <c r="D6477" s="1297" t="s">
        <v>1115</v>
      </c>
      <c r="E6477" s="1399">
        <v>12376.82</v>
      </c>
      <c r="I6477" s="1399">
        <v>12376.82</v>
      </c>
    </row>
    <row r="6478" spans="2:9">
      <c r="B6478" s="1297"/>
      <c r="C6478" s="1297"/>
      <c r="D6478" s="1297" t="s">
        <v>948</v>
      </c>
      <c r="G6478" s="1399">
        <v>8285362.3899999997</v>
      </c>
      <c r="I6478" s="1399">
        <v>8285362.3899999997</v>
      </c>
    </row>
    <row r="6479" spans="2:9">
      <c r="B6479" s="1297"/>
      <c r="C6479" s="1297"/>
      <c r="D6479" s="1297" t="s">
        <v>956</v>
      </c>
      <c r="G6479" s="1399">
        <v>2893.02</v>
      </c>
      <c r="I6479" s="1399">
        <v>2893.02</v>
      </c>
    </row>
    <row r="6480" spans="2:9">
      <c r="B6480" s="1297"/>
      <c r="C6480" s="1297"/>
      <c r="D6480" s="1297" t="s">
        <v>1118</v>
      </c>
      <c r="G6480" s="1399">
        <v>919987.26</v>
      </c>
      <c r="I6480" s="1399">
        <v>919987.26</v>
      </c>
    </row>
    <row r="6481" spans="2:9">
      <c r="B6481" s="1297"/>
      <c r="C6481" s="1400" t="s">
        <v>1466</v>
      </c>
      <c r="D6481" s="1400"/>
      <c r="E6481" s="1401">
        <v>10795926.029999997</v>
      </c>
      <c r="F6481" s="1401">
        <v>32126116.379999999</v>
      </c>
      <c r="G6481" s="1401">
        <v>9208242.6699999999</v>
      </c>
      <c r="H6481" s="1401">
        <v>28814453.809999999</v>
      </c>
      <c r="I6481" s="1401">
        <v>80944738.889999986</v>
      </c>
    </row>
    <row r="6482" spans="2:9">
      <c r="B6482" s="1297" t="s">
        <v>1467</v>
      </c>
      <c r="C6482" s="1297" t="s">
        <v>1468</v>
      </c>
      <c r="D6482" s="1297" t="s">
        <v>906</v>
      </c>
      <c r="F6482" s="1399">
        <v>7585141.3499999996</v>
      </c>
      <c r="I6482" s="1399">
        <v>7585141.3499999996</v>
      </c>
    </row>
    <row r="6483" spans="2:9">
      <c r="B6483" s="1297"/>
      <c r="C6483" s="1297"/>
      <c r="D6483" s="1297" t="s">
        <v>907</v>
      </c>
      <c r="F6483" s="1399">
        <v>1852417.96</v>
      </c>
      <c r="I6483" s="1399">
        <v>1852417.96</v>
      </c>
    </row>
    <row r="6484" spans="2:9">
      <c r="B6484" s="1297"/>
      <c r="C6484" s="1297"/>
      <c r="D6484" s="1297" t="s">
        <v>908</v>
      </c>
      <c r="F6484" s="1399">
        <v>29051.4</v>
      </c>
      <c r="I6484" s="1399">
        <v>29051.4</v>
      </c>
    </row>
    <row r="6485" spans="2:9">
      <c r="B6485" s="1297"/>
      <c r="C6485" s="1297"/>
      <c r="D6485" s="1297" t="s">
        <v>909</v>
      </c>
      <c r="F6485" s="1399">
        <v>12678.85</v>
      </c>
      <c r="I6485" s="1399">
        <v>12678.85</v>
      </c>
    </row>
    <row r="6486" spans="2:9">
      <c r="B6486" s="1297"/>
      <c r="C6486" s="1297"/>
      <c r="D6486" s="1297" t="s">
        <v>910</v>
      </c>
      <c r="F6486" s="1399">
        <v>699241.07</v>
      </c>
      <c r="I6486" s="1399">
        <v>699241.07</v>
      </c>
    </row>
    <row r="6487" spans="2:9">
      <c r="B6487" s="1297"/>
      <c r="C6487" s="1297"/>
      <c r="D6487" s="1297" t="s">
        <v>1034</v>
      </c>
      <c r="F6487" s="1399">
        <v>177324.03</v>
      </c>
      <c r="I6487" s="1399">
        <v>177324.03</v>
      </c>
    </row>
    <row r="6488" spans="2:9">
      <c r="B6488" s="1297"/>
      <c r="C6488" s="1297"/>
      <c r="D6488" s="1297" t="s">
        <v>1035</v>
      </c>
      <c r="F6488" s="1399">
        <v>354405.82</v>
      </c>
      <c r="I6488" s="1399">
        <v>354405.82</v>
      </c>
    </row>
    <row r="6489" spans="2:9">
      <c r="B6489" s="1297"/>
      <c r="C6489" s="1297"/>
      <c r="D6489" s="1297" t="s">
        <v>1036</v>
      </c>
      <c r="F6489" s="1399">
        <v>136970.60999999999</v>
      </c>
      <c r="I6489" s="1399">
        <v>136970.60999999999</v>
      </c>
    </row>
    <row r="6490" spans="2:9">
      <c r="B6490" s="1297"/>
      <c r="C6490" s="1297"/>
      <c r="D6490" s="1297" t="s">
        <v>1037</v>
      </c>
      <c r="F6490" s="1399">
        <v>138337.07</v>
      </c>
      <c r="I6490" s="1399">
        <v>138337.07</v>
      </c>
    </row>
    <row r="6491" spans="2:9">
      <c r="B6491" s="1297"/>
      <c r="C6491" s="1297"/>
      <c r="D6491" s="1297" t="s">
        <v>1039</v>
      </c>
      <c r="F6491" s="1399">
        <v>36281.230000000003</v>
      </c>
      <c r="I6491" s="1399">
        <v>36281.230000000003</v>
      </c>
    </row>
    <row r="6492" spans="2:9">
      <c r="B6492" s="1297"/>
      <c r="C6492" s="1297"/>
      <c r="D6492" s="1297" t="s">
        <v>1040</v>
      </c>
      <c r="F6492" s="1399">
        <v>302928.25</v>
      </c>
      <c r="I6492" s="1399">
        <v>302928.25</v>
      </c>
    </row>
    <row r="6493" spans="2:9">
      <c r="B6493" s="1297"/>
      <c r="C6493" s="1297"/>
      <c r="D6493" s="1297" t="s">
        <v>1041</v>
      </c>
      <c r="F6493" s="1399">
        <v>27553.69</v>
      </c>
      <c r="I6493" s="1399">
        <v>27553.69</v>
      </c>
    </row>
    <row r="6494" spans="2:9">
      <c r="B6494" s="1297"/>
      <c r="C6494" s="1297"/>
      <c r="D6494" s="1297" t="s">
        <v>1042</v>
      </c>
      <c r="F6494" s="1399">
        <v>31814.35</v>
      </c>
      <c r="I6494" s="1399">
        <v>31814.35</v>
      </c>
    </row>
    <row r="6495" spans="2:9">
      <c r="B6495" s="1297"/>
      <c r="C6495" s="1297"/>
      <c r="D6495" s="1297" t="s">
        <v>985</v>
      </c>
      <c r="F6495" s="1399">
        <v>93096.68</v>
      </c>
      <c r="I6495" s="1399">
        <v>93096.68</v>
      </c>
    </row>
    <row r="6496" spans="2:9">
      <c r="B6496" s="1297"/>
      <c r="C6496" s="1297"/>
      <c r="D6496" s="1297" t="s">
        <v>986</v>
      </c>
      <c r="F6496" s="1399">
        <v>22735.75</v>
      </c>
      <c r="I6496" s="1399">
        <v>22735.75</v>
      </c>
    </row>
    <row r="6497" spans="2:9">
      <c r="B6497" s="1297"/>
      <c r="C6497" s="1297"/>
      <c r="D6497" s="1297" t="s">
        <v>996</v>
      </c>
      <c r="F6497" s="1399">
        <v>114277.12</v>
      </c>
      <c r="I6497" s="1399">
        <v>114277.12</v>
      </c>
    </row>
    <row r="6498" spans="2:9">
      <c r="B6498" s="1297"/>
      <c r="C6498" s="1297"/>
      <c r="D6498" s="1297" t="s">
        <v>1045</v>
      </c>
      <c r="F6498" s="1399">
        <v>219764.87000000002</v>
      </c>
      <c r="I6498" s="1399">
        <v>219764.87000000002</v>
      </c>
    </row>
    <row r="6499" spans="2:9">
      <c r="B6499" s="1297"/>
      <c r="C6499" s="1297"/>
      <c r="D6499" s="1297" t="s">
        <v>1046</v>
      </c>
      <c r="H6499" s="1399">
        <v>13061248</v>
      </c>
      <c r="I6499" s="1399">
        <v>13061248</v>
      </c>
    </row>
    <row r="6500" spans="2:9">
      <c r="B6500" s="1297"/>
      <c r="C6500" s="1297"/>
      <c r="D6500" s="1297" t="s">
        <v>1047</v>
      </c>
      <c r="H6500" s="1399">
        <v>118920</v>
      </c>
      <c r="I6500" s="1399">
        <v>118920</v>
      </c>
    </row>
    <row r="6501" spans="2:9">
      <c r="B6501" s="1297"/>
      <c r="C6501" s="1297"/>
      <c r="D6501" s="1297" t="s">
        <v>1048</v>
      </c>
      <c r="H6501" s="1399">
        <v>-2447471</v>
      </c>
      <c r="I6501" s="1399">
        <v>-2447471</v>
      </c>
    </row>
    <row r="6502" spans="2:9">
      <c r="B6502" s="1297"/>
      <c r="C6502" s="1297"/>
      <c r="D6502" s="1297" t="s">
        <v>932</v>
      </c>
      <c r="H6502" s="1399">
        <v>160455</v>
      </c>
      <c r="I6502" s="1399">
        <v>160455</v>
      </c>
    </row>
    <row r="6503" spans="2:9">
      <c r="B6503" s="1297"/>
      <c r="C6503" s="1297"/>
      <c r="D6503" s="1297" t="s">
        <v>933</v>
      </c>
      <c r="H6503" s="1399">
        <v>377126.85</v>
      </c>
      <c r="I6503" s="1399">
        <v>377126.85</v>
      </c>
    </row>
    <row r="6504" spans="2:9">
      <c r="B6504" s="1297"/>
      <c r="C6504" s="1297"/>
      <c r="D6504" s="1297" t="s">
        <v>934</v>
      </c>
      <c r="H6504" s="1399">
        <v>31896</v>
      </c>
      <c r="I6504" s="1399">
        <v>31896</v>
      </c>
    </row>
    <row r="6505" spans="2:9">
      <c r="B6505" s="1297"/>
      <c r="C6505" s="1297"/>
      <c r="D6505" s="1297" t="s">
        <v>935</v>
      </c>
      <c r="H6505" s="1399">
        <v>174959.54</v>
      </c>
      <c r="I6505" s="1399">
        <v>174959.54</v>
      </c>
    </row>
    <row r="6506" spans="2:9">
      <c r="B6506" s="1297"/>
      <c r="C6506" s="1297"/>
      <c r="D6506" s="1297" t="s">
        <v>936</v>
      </c>
      <c r="H6506" s="1399">
        <v>35715.35</v>
      </c>
      <c r="I6506" s="1399">
        <v>35715.35</v>
      </c>
    </row>
    <row r="6507" spans="2:9">
      <c r="B6507" s="1297"/>
      <c r="C6507" s="1297"/>
      <c r="D6507" s="1297" t="s">
        <v>937</v>
      </c>
      <c r="H6507" s="1399">
        <v>8644.56</v>
      </c>
      <c r="I6507" s="1399">
        <v>8644.56</v>
      </c>
    </row>
    <row r="6508" spans="2:9">
      <c r="B6508" s="1297"/>
      <c r="C6508" s="1297"/>
      <c r="D6508" s="1297" t="s">
        <v>938</v>
      </c>
      <c r="H6508" s="1399">
        <v>11978</v>
      </c>
      <c r="I6508" s="1399">
        <v>11978</v>
      </c>
    </row>
    <row r="6509" spans="2:9">
      <c r="B6509" s="1297"/>
      <c r="C6509" s="1297"/>
      <c r="D6509" s="1297" t="s">
        <v>940</v>
      </c>
      <c r="E6509" s="1399">
        <v>377384.8</v>
      </c>
      <c r="I6509" s="1399">
        <v>377384.8</v>
      </c>
    </row>
    <row r="6510" spans="2:9">
      <c r="B6510" s="1297"/>
      <c r="C6510" s="1297"/>
      <c r="D6510" s="1297" t="s">
        <v>941</v>
      </c>
      <c r="E6510" s="1399">
        <v>103772.34</v>
      </c>
      <c r="I6510" s="1399">
        <v>103772.34</v>
      </c>
    </row>
    <row r="6511" spans="2:9">
      <c r="B6511" s="1297"/>
      <c r="C6511" s="1297"/>
      <c r="D6511" s="1297" t="s">
        <v>944</v>
      </c>
      <c r="E6511" s="1399">
        <v>766238.22</v>
      </c>
      <c r="I6511" s="1399">
        <v>766238.22</v>
      </c>
    </row>
    <row r="6512" spans="2:9">
      <c r="B6512" s="1297"/>
      <c r="C6512" s="1297"/>
      <c r="D6512" s="1297" t="s">
        <v>945</v>
      </c>
      <c r="E6512" s="1399">
        <v>734850</v>
      </c>
      <c r="I6512" s="1399">
        <v>734850</v>
      </c>
    </row>
    <row r="6513" spans="2:9">
      <c r="B6513" s="1297"/>
      <c r="C6513" s="1297"/>
      <c r="D6513" s="1297" t="s">
        <v>978</v>
      </c>
      <c r="E6513" s="1399">
        <v>1200</v>
      </c>
      <c r="I6513" s="1399">
        <v>1200</v>
      </c>
    </row>
    <row r="6514" spans="2:9">
      <c r="B6514" s="1297"/>
      <c r="C6514" s="1297"/>
      <c r="D6514" s="1297" t="s">
        <v>947</v>
      </c>
      <c r="E6514" s="1399">
        <v>39084.97</v>
      </c>
      <c r="I6514" s="1399">
        <v>39084.97</v>
      </c>
    </row>
    <row r="6515" spans="2:9">
      <c r="B6515" s="1297"/>
      <c r="C6515" s="1297"/>
      <c r="D6515" s="1297" t="s">
        <v>1115</v>
      </c>
      <c r="E6515" s="1399">
        <v>68633.64</v>
      </c>
      <c r="I6515" s="1399">
        <v>68633.64</v>
      </c>
    </row>
    <row r="6516" spans="2:9">
      <c r="B6516" s="1297"/>
      <c r="C6516" s="1297"/>
      <c r="D6516" s="1297" t="s">
        <v>948</v>
      </c>
      <c r="G6516" s="1399">
        <v>1455126.7599999998</v>
      </c>
      <c r="I6516" s="1399">
        <v>1455126.7599999998</v>
      </c>
    </row>
    <row r="6517" spans="2:9">
      <c r="B6517" s="1297"/>
      <c r="C6517" s="1400" t="s">
        <v>1469</v>
      </c>
      <c r="D6517" s="1400"/>
      <c r="E6517" s="1401">
        <v>2091163.9699999997</v>
      </c>
      <c r="F6517" s="1401">
        <v>11834020.099999996</v>
      </c>
      <c r="G6517" s="1401">
        <v>1455126.7599999998</v>
      </c>
      <c r="H6517" s="1401">
        <v>11533472.299999999</v>
      </c>
      <c r="I6517" s="1401">
        <v>26913783.129999995</v>
      </c>
    </row>
    <row r="6518" spans="2:9">
      <c r="B6518" s="1297" t="s">
        <v>1470</v>
      </c>
      <c r="C6518" s="1297" t="s">
        <v>1471</v>
      </c>
      <c r="D6518" s="1297" t="s">
        <v>906</v>
      </c>
      <c r="F6518" s="1399">
        <v>43242785.25</v>
      </c>
      <c r="I6518" s="1399">
        <v>43242785.25</v>
      </c>
    </row>
    <row r="6519" spans="2:9">
      <c r="B6519" s="1297"/>
      <c r="C6519" s="1297"/>
      <c r="D6519" s="1297" t="s">
        <v>952</v>
      </c>
      <c r="F6519" s="1399">
        <v>457127.69</v>
      </c>
      <c r="I6519" s="1399">
        <v>457127.69</v>
      </c>
    </row>
    <row r="6520" spans="2:9">
      <c r="B6520" s="1297"/>
      <c r="C6520" s="1297"/>
      <c r="D6520" s="1297" t="s">
        <v>907</v>
      </c>
      <c r="F6520" s="1399">
        <v>7636931.7300000004</v>
      </c>
      <c r="I6520" s="1399">
        <v>7636931.7300000004</v>
      </c>
    </row>
    <row r="6521" spans="2:9">
      <c r="B6521" s="1297"/>
      <c r="C6521" s="1297"/>
      <c r="D6521" s="1297" t="s">
        <v>908</v>
      </c>
      <c r="F6521" s="1399">
        <v>1079173.3</v>
      </c>
      <c r="I6521" s="1399">
        <v>1079173.3</v>
      </c>
    </row>
    <row r="6522" spans="2:9">
      <c r="B6522" s="1297"/>
      <c r="C6522" s="1297"/>
      <c r="D6522" s="1297" t="s">
        <v>1035</v>
      </c>
      <c r="F6522" s="1399">
        <v>42849.34</v>
      </c>
      <c r="I6522" s="1399">
        <v>42849.34</v>
      </c>
    </row>
    <row r="6523" spans="2:9">
      <c r="B6523" s="1297"/>
      <c r="C6523" s="1297"/>
      <c r="D6523" s="1297" t="s">
        <v>1037</v>
      </c>
      <c r="F6523" s="1399">
        <v>504657</v>
      </c>
      <c r="I6523" s="1399">
        <v>504657</v>
      </c>
    </row>
    <row r="6524" spans="2:9">
      <c r="B6524" s="1297"/>
      <c r="C6524" s="1297"/>
      <c r="D6524" s="1297" t="s">
        <v>1038</v>
      </c>
      <c r="F6524" s="1399">
        <v>26800</v>
      </c>
      <c r="I6524" s="1399">
        <v>26800</v>
      </c>
    </row>
    <row r="6525" spans="2:9">
      <c r="B6525" s="1297"/>
      <c r="C6525" s="1297"/>
      <c r="D6525" s="1297" t="s">
        <v>1003</v>
      </c>
      <c r="F6525" s="1399">
        <v>258665.92</v>
      </c>
      <c r="I6525" s="1399">
        <v>258665.92</v>
      </c>
    </row>
    <row r="6526" spans="2:9">
      <c r="B6526" s="1297"/>
      <c r="C6526" s="1297"/>
      <c r="D6526" s="1297" t="s">
        <v>1039</v>
      </c>
      <c r="F6526" s="1399">
        <v>82880.060000000012</v>
      </c>
      <c r="I6526" s="1399">
        <v>82880.060000000012</v>
      </c>
    </row>
    <row r="6527" spans="2:9">
      <c r="B6527" s="1297"/>
      <c r="C6527" s="1297"/>
      <c r="D6527" s="1297" t="s">
        <v>1040</v>
      </c>
      <c r="F6527" s="1399">
        <v>251345.07000000004</v>
      </c>
      <c r="I6527" s="1399">
        <v>251345.07000000004</v>
      </c>
    </row>
    <row r="6528" spans="2:9">
      <c r="B6528" s="1297"/>
      <c r="C6528" s="1297"/>
      <c r="D6528" s="1297" t="s">
        <v>1041</v>
      </c>
      <c r="F6528" s="1399">
        <v>168079.97999999998</v>
      </c>
      <c r="I6528" s="1399">
        <v>168079.97999999998</v>
      </c>
    </row>
    <row r="6529" spans="2:9">
      <c r="B6529" s="1297"/>
      <c r="C6529" s="1297"/>
      <c r="D6529" s="1297" t="s">
        <v>1042</v>
      </c>
      <c r="F6529" s="1399">
        <v>13026.24</v>
      </c>
      <c r="I6529" s="1399">
        <v>13026.24</v>
      </c>
    </row>
    <row r="6530" spans="2:9">
      <c r="B6530" s="1297"/>
      <c r="C6530" s="1297"/>
      <c r="D6530" s="1297" t="s">
        <v>953</v>
      </c>
      <c r="F6530" s="1399">
        <v>191320.58000000005</v>
      </c>
      <c r="I6530" s="1399">
        <v>191320.58000000005</v>
      </c>
    </row>
    <row r="6531" spans="2:9">
      <c r="B6531" s="1297"/>
      <c r="C6531" s="1297"/>
      <c r="D6531" s="1297" t="s">
        <v>954</v>
      </c>
      <c r="F6531" s="1399">
        <v>123897.58</v>
      </c>
      <c r="I6531" s="1399">
        <v>123897.58</v>
      </c>
    </row>
    <row r="6532" spans="2:9">
      <c r="B6532" s="1297"/>
      <c r="C6532" s="1297"/>
      <c r="D6532" s="1297" t="s">
        <v>985</v>
      </c>
      <c r="F6532" s="1399">
        <v>1407869.11</v>
      </c>
      <c r="I6532" s="1399">
        <v>1407869.11</v>
      </c>
    </row>
    <row r="6533" spans="2:9">
      <c r="B6533" s="1297"/>
      <c r="C6533" s="1297"/>
      <c r="D6533" s="1297" t="s">
        <v>986</v>
      </c>
      <c r="F6533" s="1399">
        <v>49905.64</v>
      </c>
      <c r="I6533" s="1399">
        <v>49905.64</v>
      </c>
    </row>
    <row r="6534" spans="2:9">
      <c r="B6534" s="1297"/>
      <c r="C6534" s="1297"/>
      <c r="D6534" s="1297" t="s">
        <v>996</v>
      </c>
      <c r="F6534" s="1399">
        <v>3522.05</v>
      </c>
      <c r="I6534" s="1399">
        <v>3522.05</v>
      </c>
    </row>
    <row r="6535" spans="2:9">
      <c r="B6535" s="1297"/>
      <c r="C6535" s="1297"/>
      <c r="D6535" s="1297" t="s">
        <v>1044</v>
      </c>
      <c r="F6535" s="1399">
        <v>202271</v>
      </c>
      <c r="I6535" s="1399">
        <v>202271</v>
      </c>
    </row>
    <row r="6536" spans="2:9">
      <c r="B6536" s="1297"/>
      <c r="C6536" s="1297"/>
      <c r="D6536" s="1297" t="s">
        <v>1045</v>
      </c>
      <c r="F6536" s="1399">
        <v>1647941.4300000002</v>
      </c>
      <c r="I6536" s="1399">
        <v>1647941.4300000002</v>
      </c>
    </row>
    <row r="6537" spans="2:9">
      <c r="B6537" s="1297"/>
      <c r="C6537" s="1297"/>
      <c r="D6537" s="1297" t="s">
        <v>1046</v>
      </c>
      <c r="H6537" s="1399">
        <v>43894865</v>
      </c>
      <c r="I6537" s="1399">
        <v>43894865</v>
      </c>
    </row>
    <row r="6538" spans="2:9">
      <c r="B6538" s="1297"/>
      <c r="C6538" s="1297"/>
      <c r="D6538" s="1297" t="s">
        <v>1128</v>
      </c>
      <c r="H6538" s="1399">
        <v>3447964</v>
      </c>
      <c r="I6538" s="1399">
        <v>3447964</v>
      </c>
    </row>
    <row r="6539" spans="2:9">
      <c r="B6539" s="1297"/>
      <c r="C6539" s="1297"/>
      <c r="D6539" s="1297" t="s">
        <v>1129</v>
      </c>
      <c r="H6539" s="1399">
        <v>-4992085</v>
      </c>
      <c r="I6539" s="1399">
        <v>-4992085</v>
      </c>
    </row>
    <row r="6540" spans="2:9">
      <c r="B6540" s="1297"/>
      <c r="C6540" s="1297"/>
      <c r="D6540" s="1297" t="s">
        <v>1047</v>
      </c>
      <c r="H6540" s="1399">
        <v>535855</v>
      </c>
      <c r="I6540" s="1399">
        <v>535855</v>
      </c>
    </row>
    <row r="6541" spans="2:9">
      <c r="B6541" s="1297"/>
      <c r="C6541" s="1297"/>
      <c r="D6541" s="1297" t="s">
        <v>1048</v>
      </c>
      <c r="H6541" s="1399">
        <v>-13586773</v>
      </c>
      <c r="I6541" s="1399">
        <v>-13586773</v>
      </c>
    </row>
    <row r="6542" spans="2:9">
      <c r="B6542" s="1297"/>
      <c r="C6542" s="1297"/>
      <c r="D6542" s="1297" t="s">
        <v>934</v>
      </c>
      <c r="H6542" s="1399">
        <v>112668</v>
      </c>
      <c r="I6542" s="1399">
        <v>112668</v>
      </c>
    </row>
    <row r="6543" spans="2:9">
      <c r="B6543" s="1297"/>
      <c r="C6543" s="1297"/>
      <c r="D6543" s="1297" t="s">
        <v>1130</v>
      </c>
      <c r="H6543" s="1399">
        <v>112152.5</v>
      </c>
      <c r="I6543" s="1399">
        <v>112152.5</v>
      </c>
    </row>
    <row r="6544" spans="2:9">
      <c r="B6544" s="1297"/>
      <c r="C6544" s="1297"/>
      <c r="D6544" s="1297" t="s">
        <v>935</v>
      </c>
      <c r="H6544" s="1399">
        <v>552655.56000000006</v>
      </c>
      <c r="I6544" s="1399">
        <v>552655.56000000006</v>
      </c>
    </row>
    <row r="6545" spans="2:9">
      <c r="B6545" s="1297"/>
      <c r="C6545" s="1297"/>
      <c r="D6545" s="1297" t="s">
        <v>936</v>
      </c>
      <c r="H6545" s="1399">
        <v>128155.1</v>
      </c>
      <c r="I6545" s="1399">
        <v>128155.1</v>
      </c>
    </row>
    <row r="6546" spans="2:9">
      <c r="B6546" s="1297"/>
      <c r="C6546" s="1297"/>
      <c r="D6546" s="1297" t="s">
        <v>937</v>
      </c>
      <c r="H6546" s="1399">
        <v>94806.69</v>
      </c>
      <c r="I6546" s="1399">
        <v>94806.69</v>
      </c>
    </row>
    <row r="6547" spans="2:9">
      <c r="B6547" s="1297"/>
      <c r="C6547" s="1297"/>
      <c r="D6547" s="1297" t="s">
        <v>938</v>
      </c>
      <c r="H6547" s="1399">
        <v>42111</v>
      </c>
      <c r="I6547" s="1399">
        <v>42111</v>
      </c>
    </row>
    <row r="6548" spans="2:9">
      <c r="B6548" s="1297"/>
      <c r="C6548" s="1297"/>
      <c r="D6548" s="1297" t="s">
        <v>1131</v>
      </c>
      <c r="E6548" s="1399">
        <v>8848.98</v>
      </c>
      <c r="I6548" s="1399">
        <v>8848.98</v>
      </c>
    </row>
    <row r="6549" spans="2:9">
      <c r="B6549" s="1297"/>
      <c r="C6549" s="1297"/>
      <c r="D6549" s="1297" t="s">
        <v>940</v>
      </c>
      <c r="E6549" s="1399">
        <v>2108966.7599999998</v>
      </c>
      <c r="I6549" s="1399">
        <v>2108966.7599999998</v>
      </c>
    </row>
    <row r="6550" spans="2:9">
      <c r="B6550" s="1297"/>
      <c r="C6550" s="1297"/>
      <c r="D6550" s="1297" t="s">
        <v>941</v>
      </c>
      <c r="E6550" s="1399">
        <v>1061679.6399999999</v>
      </c>
      <c r="I6550" s="1399">
        <v>1061679.6399999999</v>
      </c>
    </row>
    <row r="6551" spans="2:9">
      <c r="B6551" s="1297"/>
      <c r="C6551" s="1297"/>
      <c r="D6551" s="1297" t="s">
        <v>943</v>
      </c>
      <c r="E6551" s="1399">
        <v>67658.94</v>
      </c>
      <c r="I6551" s="1399">
        <v>67658.94</v>
      </c>
    </row>
    <row r="6552" spans="2:9">
      <c r="B6552" s="1297"/>
      <c r="C6552" s="1297"/>
      <c r="D6552" s="1297" t="s">
        <v>944</v>
      </c>
      <c r="E6552" s="1399">
        <v>6227375.0799999991</v>
      </c>
      <c r="I6552" s="1399">
        <v>6227375.0799999991</v>
      </c>
    </row>
    <row r="6553" spans="2:9">
      <c r="B6553" s="1297"/>
      <c r="C6553" s="1297"/>
      <c r="D6553" s="1297" t="s">
        <v>945</v>
      </c>
      <c r="E6553" s="1399">
        <v>3923793.01</v>
      </c>
      <c r="I6553" s="1399">
        <v>3923793.01</v>
      </c>
    </row>
    <row r="6554" spans="2:9">
      <c r="B6554" s="1297"/>
      <c r="C6554" s="1297"/>
      <c r="D6554" s="1297" t="s">
        <v>946</v>
      </c>
      <c r="E6554" s="1399">
        <v>104871.4</v>
      </c>
      <c r="I6554" s="1399">
        <v>104871.4</v>
      </c>
    </row>
    <row r="6555" spans="2:9">
      <c r="B6555" s="1297"/>
      <c r="C6555" s="1297"/>
      <c r="D6555" s="1297" t="s">
        <v>947</v>
      </c>
      <c r="E6555" s="1399">
        <v>316483.74999999994</v>
      </c>
      <c r="I6555" s="1399">
        <v>316483.74999999994</v>
      </c>
    </row>
    <row r="6556" spans="2:9">
      <c r="B6556" s="1297"/>
      <c r="C6556" s="1297"/>
      <c r="D6556" s="1297" t="s">
        <v>1115</v>
      </c>
      <c r="E6556" s="1399">
        <v>20695.86</v>
      </c>
      <c r="I6556" s="1399">
        <v>20695.86</v>
      </c>
    </row>
    <row r="6557" spans="2:9">
      <c r="B6557" s="1297"/>
      <c r="C6557" s="1297"/>
      <c r="D6557" s="1297" t="s">
        <v>948</v>
      </c>
      <c r="G6557" s="1399">
        <v>949828.45</v>
      </c>
      <c r="I6557" s="1399">
        <v>949828.45</v>
      </c>
    </row>
    <row r="6558" spans="2:9">
      <c r="B6558" s="1297"/>
      <c r="C6558" s="1297"/>
      <c r="D6558" s="1297" t="s">
        <v>956</v>
      </c>
      <c r="G6558" s="1399">
        <v>13389.490000000002</v>
      </c>
      <c r="I6558" s="1399">
        <v>13389.490000000002</v>
      </c>
    </row>
    <row r="6559" spans="2:9">
      <c r="B6559" s="1297"/>
      <c r="C6559" s="1400" t="s">
        <v>1472</v>
      </c>
      <c r="D6559" s="1400"/>
      <c r="E6559" s="1401">
        <v>13840373.419999998</v>
      </c>
      <c r="F6559" s="1401">
        <v>57391048.969999999</v>
      </c>
      <c r="G6559" s="1401">
        <v>963217.94</v>
      </c>
      <c r="H6559" s="1401">
        <v>30342374.850000001</v>
      </c>
      <c r="I6559" s="1401">
        <v>102537015.18000001</v>
      </c>
    </row>
    <row r="6560" spans="2:9">
      <c r="B6560" s="1297" t="s">
        <v>1473</v>
      </c>
      <c r="C6560" s="1297" t="s">
        <v>1474</v>
      </c>
      <c r="D6560" s="1297" t="s">
        <v>1035</v>
      </c>
      <c r="F6560" s="1399">
        <v>7997.04</v>
      </c>
      <c r="I6560" s="1399">
        <v>7997.04</v>
      </c>
    </row>
    <row r="6561" spans="2:9">
      <c r="B6561" s="1297"/>
      <c r="C6561" s="1297"/>
      <c r="D6561" s="1297" t="s">
        <v>1037</v>
      </c>
      <c r="F6561" s="1399">
        <v>67270.33</v>
      </c>
      <c r="I6561" s="1399">
        <v>67270.33</v>
      </c>
    </row>
    <row r="6562" spans="2:9">
      <c r="B6562" s="1297"/>
      <c r="C6562" s="1297"/>
      <c r="D6562" s="1297" t="s">
        <v>1039</v>
      </c>
      <c r="F6562" s="1399">
        <v>3099.3900000000003</v>
      </c>
      <c r="I6562" s="1399">
        <v>3099.3900000000003</v>
      </c>
    </row>
    <row r="6563" spans="2:9">
      <c r="B6563" s="1297"/>
      <c r="C6563" s="1297"/>
      <c r="D6563" s="1297" t="s">
        <v>986</v>
      </c>
      <c r="F6563" s="1399">
        <v>25385</v>
      </c>
      <c r="I6563" s="1399">
        <v>25385</v>
      </c>
    </row>
    <row r="6564" spans="2:9">
      <c r="B6564" s="1297"/>
      <c r="C6564" s="1297"/>
      <c r="D6564" s="1297" t="s">
        <v>1045</v>
      </c>
      <c r="F6564" s="1399">
        <v>5376.72</v>
      </c>
      <c r="I6564" s="1399">
        <v>5376.72</v>
      </c>
    </row>
    <row r="6565" spans="2:9">
      <c r="B6565" s="1297"/>
      <c r="C6565" s="1297"/>
      <c r="D6565" s="1297" t="s">
        <v>1046</v>
      </c>
      <c r="H6565" s="1399">
        <v>6311493.71</v>
      </c>
      <c r="I6565" s="1399">
        <v>6311493.71</v>
      </c>
    </row>
    <row r="6566" spans="2:9">
      <c r="B6566" s="1297"/>
      <c r="C6566" s="1297"/>
      <c r="D6566" s="1297" t="s">
        <v>1128</v>
      </c>
      <c r="H6566" s="1399">
        <v>443298</v>
      </c>
      <c r="I6566" s="1399">
        <v>443298</v>
      </c>
    </row>
    <row r="6567" spans="2:9">
      <c r="B6567" s="1297"/>
      <c r="C6567" s="1297"/>
      <c r="D6567" s="1297" t="s">
        <v>1047</v>
      </c>
      <c r="H6567" s="1399">
        <v>34772</v>
      </c>
      <c r="I6567" s="1399">
        <v>34772</v>
      </c>
    </row>
    <row r="6568" spans="2:9">
      <c r="B6568" s="1297"/>
      <c r="C6568" s="1297"/>
      <c r="D6568" s="1297" t="s">
        <v>935</v>
      </c>
      <c r="H6568" s="1399">
        <v>7318</v>
      </c>
      <c r="I6568" s="1399">
        <v>7318</v>
      </c>
    </row>
    <row r="6569" spans="2:9">
      <c r="B6569" s="1297"/>
      <c r="C6569" s="1297"/>
      <c r="D6569" s="1297" t="s">
        <v>936</v>
      </c>
      <c r="H6569" s="1399">
        <v>4201.8100000000004</v>
      </c>
      <c r="I6569" s="1399">
        <v>4201.8100000000004</v>
      </c>
    </row>
    <row r="6570" spans="2:9">
      <c r="B6570" s="1297"/>
      <c r="C6570" s="1297"/>
      <c r="D6570" s="1297" t="s">
        <v>939</v>
      </c>
      <c r="H6570" s="1399">
        <v>36255.730000000003</v>
      </c>
      <c r="I6570" s="1399">
        <v>36255.730000000003</v>
      </c>
    </row>
    <row r="6571" spans="2:9">
      <c r="B6571" s="1297"/>
      <c r="C6571" s="1297"/>
      <c r="D6571" s="1297" t="s">
        <v>944</v>
      </c>
      <c r="E6571" s="1399">
        <v>190692.43</v>
      </c>
      <c r="I6571" s="1399">
        <v>190692.43</v>
      </c>
    </row>
    <row r="6572" spans="2:9">
      <c r="B6572" s="1297"/>
      <c r="C6572" s="1297"/>
      <c r="D6572" s="1297" t="s">
        <v>945</v>
      </c>
      <c r="E6572" s="1399">
        <v>259892.28</v>
      </c>
      <c r="I6572" s="1399">
        <v>259892.28</v>
      </c>
    </row>
    <row r="6573" spans="2:9">
      <c r="B6573" s="1297"/>
      <c r="C6573" s="1297"/>
      <c r="D6573" s="1297" t="s">
        <v>948</v>
      </c>
      <c r="G6573" s="1399">
        <v>4815.3599999999997</v>
      </c>
      <c r="I6573" s="1399">
        <v>4815.3599999999997</v>
      </c>
    </row>
    <row r="6574" spans="2:9">
      <c r="B6574" s="1297"/>
      <c r="C6574" s="1400" t="s">
        <v>1475</v>
      </c>
      <c r="D6574" s="1400"/>
      <c r="E6574" s="1401">
        <v>450584.70999999996</v>
      </c>
      <c r="F6574" s="1401">
        <v>109128.48</v>
      </c>
      <c r="G6574" s="1401">
        <v>4815.3599999999997</v>
      </c>
      <c r="H6574" s="1401">
        <v>6837339.25</v>
      </c>
      <c r="I6574" s="1401">
        <v>7401867.8000000007</v>
      </c>
    </row>
    <row r="6575" spans="2:9">
      <c r="B6575" s="1297" t="s">
        <v>1476</v>
      </c>
      <c r="C6575" s="1297" t="s">
        <v>1477</v>
      </c>
      <c r="D6575" s="1297" t="s">
        <v>1035</v>
      </c>
      <c r="F6575" s="1399">
        <v>96602</v>
      </c>
      <c r="I6575" s="1399">
        <v>96602</v>
      </c>
    </row>
    <row r="6576" spans="2:9">
      <c r="B6576" s="1297"/>
      <c r="C6576" s="1297"/>
      <c r="D6576" s="1297" t="s">
        <v>985</v>
      </c>
      <c r="F6576" s="1399">
        <v>30691</v>
      </c>
      <c r="I6576" s="1399">
        <v>30691</v>
      </c>
    </row>
    <row r="6577" spans="2:9">
      <c r="B6577" s="1297"/>
      <c r="C6577" s="1297"/>
      <c r="D6577" s="1297" t="s">
        <v>1046</v>
      </c>
      <c r="H6577" s="1399">
        <v>24386544</v>
      </c>
      <c r="I6577" s="1399">
        <v>24386544</v>
      </c>
    </row>
    <row r="6578" spans="2:9">
      <c r="B6578" s="1297"/>
      <c r="C6578" s="1297"/>
      <c r="D6578" s="1297" t="s">
        <v>935</v>
      </c>
      <c r="H6578" s="1399">
        <v>115279</v>
      </c>
      <c r="I6578" s="1399">
        <v>115279</v>
      </c>
    </row>
    <row r="6579" spans="2:9">
      <c r="B6579" s="1297"/>
      <c r="C6579" s="1297"/>
      <c r="D6579" s="1297" t="s">
        <v>944</v>
      </c>
      <c r="E6579" s="1399">
        <v>2022212</v>
      </c>
      <c r="I6579" s="1399">
        <v>2022212</v>
      </c>
    </row>
    <row r="6580" spans="2:9">
      <c r="B6580" s="1297"/>
      <c r="C6580" s="1297"/>
      <c r="D6580" s="1297" t="s">
        <v>945</v>
      </c>
      <c r="E6580" s="1399">
        <v>320663</v>
      </c>
      <c r="I6580" s="1399">
        <v>320663</v>
      </c>
    </row>
    <row r="6581" spans="2:9">
      <c r="B6581" s="1297"/>
      <c r="C6581" s="1400" t="s">
        <v>1478</v>
      </c>
      <c r="D6581" s="1400"/>
      <c r="E6581" s="1401">
        <v>2342875</v>
      </c>
      <c r="F6581" s="1401">
        <v>127293</v>
      </c>
      <c r="G6581" s="1401"/>
      <c r="H6581" s="1401">
        <v>24501823</v>
      </c>
      <c r="I6581" s="1401">
        <v>26971991</v>
      </c>
    </row>
    <row r="6582" spans="2:9">
      <c r="B6582" s="1297" t="s">
        <v>1479</v>
      </c>
      <c r="C6582" s="1297" t="s">
        <v>1480</v>
      </c>
      <c r="D6582" s="1297" t="s">
        <v>1034</v>
      </c>
      <c r="F6582" s="1399">
        <v>15050</v>
      </c>
      <c r="I6582" s="1399">
        <v>15050</v>
      </c>
    </row>
    <row r="6583" spans="2:9">
      <c r="B6583" s="1297"/>
      <c r="C6583" s="1297"/>
      <c r="D6583" s="1297" t="s">
        <v>1035</v>
      </c>
      <c r="F6583" s="1399">
        <v>3946.81</v>
      </c>
      <c r="I6583" s="1399">
        <v>3946.81</v>
      </c>
    </row>
    <row r="6584" spans="2:9">
      <c r="B6584" s="1297"/>
      <c r="C6584" s="1297"/>
      <c r="D6584" s="1297" t="s">
        <v>1003</v>
      </c>
      <c r="F6584" s="1399">
        <v>378.01</v>
      </c>
      <c r="I6584" s="1399">
        <v>378.01</v>
      </c>
    </row>
    <row r="6585" spans="2:9">
      <c r="B6585" s="1297"/>
      <c r="C6585" s="1297"/>
      <c r="D6585" s="1297" t="s">
        <v>985</v>
      </c>
      <c r="F6585" s="1399">
        <v>14542.97</v>
      </c>
      <c r="I6585" s="1399">
        <v>14542.97</v>
      </c>
    </row>
    <row r="6586" spans="2:9">
      <c r="B6586" s="1297"/>
      <c r="C6586" s="1297"/>
      <c r="D6586" s="1297" t="s">
        <v>1045</v>
      </c>
      <c r="F6586" s="1399">
        <v>303</v>
      </c>
      <c r="I6586" s="1399">
        <v>303</v>
      </c>
    </row>
    <row r="6587" spans="2:9">
      <c r="B6587" s="1297"/>
      <c r="C6587" s="1297"/>
      <c r="D6587" s="1297" t="s">
        <v>1046</v>
      </c>
      <c r="H6587" s="1399">
        <v>607559.48</v>
      </c>
      <c r="I6587" s="1399">
        <v>607559.48</v>
      </c>
    </row>
    <row r="6588" spans="2:9">
      <c r="B6588" s="1297"/>
      <c r="C6588" s="1297"/>
      <c r="D6588" s="1297" t="s">
        <v>1128</v>
      </c>
      <c r="H6588" s="1399">
        <v>41687</v>
      </c>
      <c r="I6588" s="1399">
        <v>41687</v>
      </c>
    </row>
    <row r="6589" spans="2:9">
      <c r="B6589" s="1297"/>
      <c r="C6589" s="1297"/>
      <c r="D6589" s="1297" t="s">
        <v>1047</v>
      </c>
      <c r="H6589" s="1399">
        <v>17747</v>
      </c>
      <c r="I6589" s="1399">
        <v>17747</v>
      </c>
    </row>
    <row r="6590" spans="2:9">
      <c r="B6590" s="1297"/>
      <c r="C6590" s="1297"/>
      <c r="D6590" s="1297" t="s">
        <v>932</v>
      </c>
      <c r="H6590" s="1399">
        <v>153720</v>
      </c>
      <c r="I6590" s="1399">
        <v>153720</v>
      </c>
    </row>
    <row r="6591" spans="2:9">
      <c r="B6591" s="1297"/>
      <c r="C6591" s="1297"/>
      <c r="D6591" s="1297" t="s">
        <v>944</v>
      </c>
      <c r="E6591" s="1399">
        <v>64799</v>
      </c>
      <c r="I6591" s="1399">
        <v>64799</v>
      </c>
    </row>
    <row r="6592" spans="2:9">
      <c r="B6592" s="1297"/>
      <c r="C6592" s="1297"/>
      <c r="D6592" s="1297" t="s">
        <v>978</v>
      </c>
      <c r="E6592" s="1399">
        <v>7798.75</v>
      </c>
      <c r="I6592" s="1399">
        <v>7798.75</v>
      </c>
    </row>
    <row r="6593" spans="2:9">
      <c r="B6593" s="1297"/>
      <c r="C6593" s="1400" t="s">
        <v>1481</v>
      </c>
      <c r="D6593" s="1400"/>
      <c r="E6593" s="1401">
        <v>72597.75</v>
      </c>
      <c r="F6593" s="1401">
        <v>34220.79</v>
      </c>
      <c r="G6593" s="1401"/>
      <c r="H6593" s="1401">
        <v>820713.48</v>
      </c>
      <c r="I6593" s="1401">
        <v>927532.02</v>
      </c>
    </row>
    <row r="6594" spans="2:9">
      <c r="B6594" s="1297" t="s">
        <v>1482</v>
      </c>
      <c r="C6594" s="1297" t="s">
        <v>1648</v>
      </c>
      <c r="D6594" s="1297" t="s">
        <v>986</v>
      </c>
      <c r="F6594" s="1399">
        <v>20983</v>
      </c>
      <c r="I6594" s="1399">
        <v>20983</v>
      </c>
    </row>
    <row r="6595" spans="2:9">
      <c r="B6595" s="1297"/>
      <c r="C6595" s="1297"/>
      <c r="D6595" s="1297" t="s">
        <v>991</v>
      </c>
      <c r="F6595" s="1399">
        <v>9144</v>
      </c>
      <c r="I6595" s="1399">
        <v>9144</v>
      </c>
    </row>
    <row r="6596" spans="2:9">
      <c r="B6596" s="1297"/>
      <c r="C6596" s="1297"/>
      <c r="D6596" s="1297" t="s">
        <v>1046</v>
      </c>
      <c r="H6596" s="1399">
        <v>1025808</v>
      </c>
      <c r="I6596" s="1399">
        <v>1025808</v>
      </c>
    </row>
    <row r="6597" spans="2:9">
      <c r="B6597" s="1297"/>
      <c r="C6597" s="1297"/>
      <c r="D6597" s="1297" t="s">
        <v>1047</v>
      </c>
      <c r="H6597" s="1399">
        <v>6831.04</v>
      </c>
      <c r="I6597" s="1399">
        <v>6831.04</v>
      </c>
    </row>
    <row r="6598" spans="2:9">
      <c r="B6598" s="1297"/>
      <c r="C6598" s="1297"/>
      <c r="D6598" s="1297" t="s">
        <v>944</v>
      </c>
      <c r="E6598" s="1399">
        <v>58529</v>
      </c>
      <c r="I6598" s="1399">
        <v>58529</v>
      </c>
    </row>
    <row r="6599" spans="2:9">
      <c r="B6599" s="1297"/>
      <c r="C6599" s="1297"/>
      <c r="D6599" s="1297" t="s">
        <v>945</v>
      </c>
      <c r="E6599" s="1399">
        <v>31070.33</v>
      </c>
      <c r="I6599" s="1399">
        <v>31070.33</v>
      </c>
    </row>
    <row r="6600" spans="2:9">
      <c r="B6600" s="1297"/>
      <c r="C6600" s="1400" t="s">
        <v>1649</v>
      </c>
      <c r="D6600" s="1400"/>
      <c r="E6600" s="1401">
        <v>89599.33</v>
      </c>
      <c r="F6600" s="1401">
        <v>30127</v>
      </c>
      <c r="G6600" s="1401"/>
      <c r="H6600" s="1401">
        <v>1032639.04</v>
      </c>
      <c r="I6600" s="1401">
        <v>1152365.3700000001</v>
      </c>
    </row>
    <row r="6601" spans="2:9">
      <c r="B6601" s="1297" t="s">
        <v>1650</v>
      </c>
      <c r="C6601" s="1297" t="s">
        <v>1651</v>
      </c>
      <c r="D6601" s="1297" t="s">
        <v>1034</v>
      </c>
      <c r="F6601" s="1399">
        <v>22148.02</v>
      </c>
      <c r="I6601" s="1399">
        <v>22148.02</v>
      </c>
    </row>
    <row r="6602" spans="2:9">
      <c r="B6602" s="1297"/>
      <c r="C6602" s="1297"/>
      <c r="D6602" s="1297" t="s">
        <v>1035</v>
      </c>
      <c r="F6602" s="1399">
        <v>24080.29</v>
      </c>
      <c r="I6602" s="1399">
        <v>24080.29</v>
      </c>
    </row>
    <row r="6603" spans="2:9">
      <c r="B6603" s="1297"/>
      <c r="C6603" s="1297"/>
      <c r="D6603" s="1297" t="s">
        <v>1039</v>
      </c>
      <c r="F6603" s="1399">
        <v>543.70000000000005</v>
      </c>
      <c r="I6603" s="1399">
        <v>543.70000000000005</v>
      </c>
    </row>
    <row r="6604" spans="2:9">
      <c r="B6604" s="1297"/>
      <c r="C6604" s="1297"/>
      <c r="D6604" s="1297" t="s">
        <v>1040</v>
      </c>
      <c r="F6604" s="1399">
        <v>34162.300000000003</v>
      </c>
      <c r="I6604" s="1399">
        <v>34162.300000000003</v>
      </c>
    </row>
    <row r="6605" spans="2:9">
      <c r="B6605" s="1297"/>
      <c r="C6605" s="1297"/>
      <c r="D6605" s="1297" t="s">
        <v>1207</v>
      </c>
      <c r="F6605" s="1399">
        <v>7261.84</v>
      </c>
      <c r="I6605" s="1399">
        <v>7261.84</v>
      </c>
    </row>
    <row r="6606" spans="2:9">
      <c r="B6606" s="1297"/>
      <c r="C6606" s="1297"/>
      <c r="D6606" s="1297" t="s">
        <v>954</v>
      </c>
      <c r="F6606" s="1399">
        <v>45003.53</v>
      </c>
      <c r="I6606" s="1399">
        <v>45003.53</v>
      </c>
    </row>
    <row r="6607" spans="2:9">
      <c r="B6607" s="1297"/>
      <c r="C6607" s="1297"/>
      <c r="D6607" s="1297" t="s">
        <v>1045</v>
      </c>
      <c r="F6607" s="1399">
        <v>5095.37</v>
      </c>
      <c r="I6607" s="1399">
        <v>5095.37</v>
      </c>
    </row>
    <row r="6608" spans="2:9">
      <c r="B6608" s="1297"/>
      <c r="C6608" s="1297"/>
      <c r="D6608" s="1297" t="s">
        <v>1046</v>
      </c>
      <c r="H6608" s="1399">
        <v>1601860</v>
      </c>
      <c r="I6608" s="1399">
        <v>1601860</v>
      </c>
    </row>
    <row r="6609" spans="2:9">
      <c r="B6609" s="1297"/>
      <c r="C6609" s="1297"/>
      <c r="D6609" s="1297" t="s">
        <v>935</v>
      </c>
      <c r="H6609" s="1399">
        <v>82000</v>
      </c>
      <c r="I6609" s="1399">
        <v>82000</v>
      </c>
    </row>
    <row r="6610" spans="2:9">
      <c r="B6610" s="1297"/>
      <c r="C6610" s="1297"/>
      <c r="D6610" s="1297" t="s">
        <v>940</v>
      </c>
      <c r="E6610" s="1399">
        <v>79017.039999999994</v>
      </c>
      <c r="I6610" s="1399">
        <v>79017.039999999994</v>
      </c>
    </row>
    <row r="6611" spans="2:9">
      <c r="B6611" s="1297"/>
      <c r="C6611" s="1297"/>
      <c r="D6611" s="1297" t="s">
        <v>944</v>
      </c>
      <c r="E6611" s="1399">
        <v>465183.41</v>
      </c>
      <c r="I6611" s="1399">
        <v>465183.41</v>
      </c>
    </row>
    <row r="6612" spans="2:9">
      <c r="B6612" s="1297"/>
      <c r="C6612" s="1297"/>
      <c r="D6612" s="1297" t="s">
        <v>945</v>
      </c>
      <c r="E6612" s="1399">
        <v>30204</v>
      </c>
      <c r="I6612" s="1399">
        <v>30204</v>
      </c>
    </row>
    <row r="6613" spans="2:9">
      <c r="B6613" s="1297"/>
      <c r="C6613" s="1400" t="s">
        <v>1652</v>
      </c>
      <c r="D6613" s="1400"/>
      <c r="E6613" s="1401">
        <v>574404.44999999995</v>
      </c>
      <c r="F6613" s="1401">
        <v>138295.04999999999</v>
      </c>
      <c r="G6613" s="1401"/>
      <c r="H6613" s="1401">
        <v>1683860</v>
      </c>
      <c r="I6613" s="1401">
        <v>2396559.5</v>
      </c>
    </row>
    <row r="6614" spans="2:9">
      <c r="B6614" s="1297" t="s">
        <v>1653</v>
      </c>
      <c r="C6614" s="1297" t="s">
        <v>1654</v>
      </c>
      <c r="D6614" s="1297" t="s">
        <v>1034</v>
      </c>
      <c r="F6614" s="1399">
        <v>26917.55</v>
      </c>
      <c r="I6614" s="1399">
        <v>26917.55</v>
      </c>
    </row>
    <row r="6615" spans="2:9">
      <c r="B6615" s="1297"/>
      <c r="C6615" s="1297"/>
      <c r="D6615" s="1297" t="s">
        <v>1040</v>
      </c>
      <c r="F6615" s="1399">
        <v>26331.99</v>
      </c>
      <c r="I6615" s="1399">
        <v>26331.99</v>
      </c>
    </row>
    <row r="6616" spans="2:9">
      <c r="B6616" s="1297"/>
      <c r="C6616" s="1297"/>
      <c r="D6616" s="1297" t="s">
        <v>1046</v>
      </c>
      <c r="H6616" s="1399">
        <v>905675.66999999993</v>
      </c>
      <c r="I6616" s="1399">
        <v>905675.66999999993</v>
      </c>
    </row>
    <row r="6617" spans="2:9">
      <c r="B6617" s="1297"/>
      <c r="C6617" s="1297"/>
      <c r="D6617" s="1297" t="s">
        <v>935</v>
      </c>
      <c r="H6617" s="1399">
        <v>25000</v>
      </c>
      <c r="I6617" s="1399">
        <v>25000</v>
      </c>
    </row>
    <row r="6618" spans="2:9">
      <c r="B6618" s="1297"/>
      <c r="C6618" s="1297"/>
      <c r="D6618" s="1297" t="s">
        <v>940</v>
      </c>
      <c r="E6618" s="1399">
        <v>28272.14</v>
      </c>
      <c r="I6618" s="1399">
        <v>28272.14</v>
      </c>
    </row>
    <row r="6619" spans="2:9">
      <c r="B6619" s="1297"/>
      <c r="C6619" s="1297"/>
      <c r="D6619" s="1297" t="s">
        <v>944</v>
      </c>
      <c r="E6619" s="1399">
        <v>308656.48</v>
      </c>
      <c r="I6619" s="1399">
        <v>308656.48</v>
      </c>
    </row>
    <row r="6620" spans="2:9">
      <c r="B6620" s="1297"/>
      <c r="C6620" s="1297"/>
      <c r="D6620" s="1297" t="s">
        <v>945</v>
      </c>
      <c r="E6620" s="1399">
        <v>11325</v>
      </c>
      <c r="I6620" s="1399">
        <v>11325</v>
      </c>
    </row>
    <row r="6621" spans="2:9">
      <c r="B6621" s="1297"/>
      <c r="C6621" s="1400" t="s">
        <v>1655</v>
      </c>
      <c r="D6621" s="1400"/>
      <c r="E6621" s="1401">
        <v>348253.62</v>
      </c>
      <c r="F6621" s="1401">
        <v>53249.54</v>
      </c>
      <c r="G6621" s="1401"/>
      <c r="H6621" s="1401">
        <v>930675.66999999993</v>
      </c>
      <c r="I6621" s="1401">
        <v>1332178.83</v>
      </c>
    </row>
    <row r="6622" spans="2:9">
      <c r="B6622" s="1297" t="s">
        <v>1656</v>
      </c>
      <c r="C6622" s="1297" t="s">
        <v>1657</v>
      </c>
      <c r="D6622" s="1297" t="s">
        <v>1040</v>
      </c>
      <c r="F6622" s="1399">
        <v>9602.36</v>
      </c>
      <c r="I6622" s="1399">
        <v>9602.36</v>
      </c>
    </row>
    <row r="6623" spans="2:9">
      <c r="B6623" s="1297"/>
      <c r="C6623" s="1297"/>
      <c r="D6623" s="1297" t="s">
        <v>986</v>
      </c>
      <c r="F6623" s="1399">
        <v>606775.63</v>
      </c>
      <c r="I6623" s="1399">
        <v>606775.63</v>
      </c>
    </row>
    <row r="6624" spans="2:9">
      <c r="B6624" s="1297"/>
      <c r="C6624" s="1297"/>
      <c r="D6624" s="1297" t="s">
        <v>1046</v>
      </c>
      <c r="H6624" s="1399">
        <v>3936254.68</v>
      </c>
      <c r="I6624" s="1399">
        <v>3936254.68</v>
      </c>
    </row>
    <row r="6625" spans="2:9">
      <c r="B6625" s="1297"/>
      <c r="C6625" s="1297"/>
      <c r="D6625" s="1297" t="s">
        <v>1131</v>
      </c>
      <c r="E6625" s="1399">
        <v>588472.17000000004</v>
      </c>
      <c r="I6625" s="1399">
        <v>588472.17000000004</v>
      </c>
    </row>
    <row r="6626" spans="2:9">
      <c r="B6626" s="1297"/>
      <c r="C6626" s="1297"/>
      <c r="D6626" s="1297" t="s">
        <v>940</v>
      </c>
      <c r="E6626" s="1399">
        <v>135253.1</v>
      </c>
      <c r="I6626" s="1399">
        <v>135253.1</v>
      </c>
    </row>
    <row r="6627" spans="2:9">
      <c r="B6627" s="1297"/>
      <c r="C6627" s="1297"/>
      <c r="D6627" s="1297" t="s">
        <v>941</v>
      </c>
      <c r="E6627" s="1399">
        <v>69360.36</v>
      </c>
      <c r="I6627" s="1399">
        <v>69360.36</v>
      </c>
    </row>
    <row r="6628" spans="2:9">
      <c r="B6628" s="1297"/>
      <c r="C6628" s="1297"/>
      <c r="D6628" s="1297" t="s">
        <v>1118</v>
      </c>
      <c r="G6628" s="1399">
        <v>6782.64</v>
      </c>
      <c r="I6628" s="1399">
        <v>6782.64</v>
      </c>
    </row>
    <row r="6629" spans="2:9">
      <c r="B6629" s="1297"/>
      <c r="C6629" s="1400" t="s">
        <v>1658</v>
      </c>
      <c r="D6629" s="1400"/>
      <c r="E6629" s="1401">
        <v>793085.63</v>
      </c>
      <c r="F6629" s="1401">
        <v>616377.99</v>
      </c>
      <c r="G6629" s="1401">
        <v>6782.64</v>
      </c>
      <c r="H6629" s="1401">
        <v>3936254.68</v>
      </c>
      <c r="I6629" s="1401">
        <v>5352500.9399999995</v>
      </c>
    </row>
    <row r="6630" spans="2:9">
      <c r="B6630" s="1297" t="s">
        <v>1659</v>
      </c>
      <c r="C6630" s="1297" t="s">
        <v>1660</v>
      </c>
      <c r="D6630" s="1297" t="s">
        <v>1034</v>
      </c>
      <c r="F6630" s="1399">
        <v>9986</v>
      </c>
      <c r="I6630" s="1399">
        <v>9986</v>
      </c>
    </row>
    <row r="6631" spans="2:9">
      <c r="B6631" s="1297"/>
      <c r="C6631" s="1297"/>
      <c r="D6631" s="1297" t="s">
        <v>1035</v>
      </c>
      <c r="F6631" s="1399">
        <v>209837</v>
      </c>
      <c r="I6631" s="1399">
        <v>209837</v>
      </c>
    </row>
    <row r="6632" spans="2:9">
      <c r="B6632" s="1297"/>
      <c r="C6632" s="1297"/>
      <c r="D6632" s="1297" t="s">
        <v>1039</v>
      </c>
      <c r="F6632" s="1399">
        <v>26</v>
      </c>
      <c r="I6632" s="1399">
        <v>26</v>
      </c>
    </row>
    <row r="6633" spans="2:9">
      <c r="B6633" s="1297"/>
      <c r="C6633" s="1297"/>
      <c r="D6633" s="1297" t="s">
        <v>1040</v>
      </c>
      <c r="F6633" s="1399">
        <v>27480</v>
      </c>
      <c r="I6633" s="1399">
        <v>27480</v>
      </c>
    </row>
    <row r="6634" spans="2:9">
      <c r="B6634" s="1297"/>
      <c r="C6634" s="1297"/>
      <c r="D6634" s="1297" t="s">
        <v>1046</v>
      </c>
      <c r="H6634" s="1399">
        <v>767672</v>
      </c>
      <c r="I6634" s="1399">
        <v>767672</v>
      </c>
    </row>
    <row r="6635" spans="2:9">
      <c r="B6635" s="1297"/>
      <c r="C6635" s="1297"/>
      <c r="D6635" s="1297" t="s">
        <v>1128</v>
      </c>
      <c r="H6635" s="1399">
        <v>56167</v>
      </c>
      <c r="I6635" s="1399">
        <v>56167</v>
      </c>
    </row>
    <row r="6636" spans="2:9">
      <c r="B6636" s="1297"/>
      <c r="C6636" s="1297"/>
      <c r="D6636" s="1297" t="s">
        <v>1129</v>
      </c>
      <c r="H6636" s="1399">
        <v>-666</v>
      </c>
      <c r="I6636" s="1399">
        <v>-666</v>
      </c>
    </row>
    <row r="6637" spans="2:9">
      <c r="B6637" s="1297"/>
      <c r="C6637" s="1297"/>
      <c r="D6637" s="1297" t="s">
        <v>1047</v>
      </c>
      <c r="H6637" s="1399">
        <v>25291</v>
      </c>
      <c r="I6637" s="1399">
        <v>25291</v>
      </c>
    </row>
    <row r="6638" spans="2:9">
      <c r="B6638" s="1297"/>
      <c r="C6638" s="1297"/>
      <c r="D6638" s="1297" t="s">
        <v>932</v>
      </c>
      <c r="H6638" s="1399">
        <v>402617</v>
      </c>
      <c r="I6638" s="1399">
        <v>402617</v>
      </c>
    </row>
    <row r="6639" spans="2:9">
      <c r="B6639" s="1297"/>
      <c r="C6639" s="1297"/>
      <c r="D6639" s="1297" t="s">
        <v>940</v>
      </c>
      <c r="E6639" s="1399">
        <v>8407</v>
      </c>
      <c r="I6639" s="1399">
        <v>8407</v>
      </c>
    </row>
    <row r="6640" spans="2:9">
      <c r="B6640" s="1297"/>
      <c r="C6640" s="1297"/>
      <c r="D6640" s="1297" t="s">
        <v>944</v>
      </c>
      <c r="E6640" s="1399">
        <v>362251</v>
      </c>
      <c r="I6640" s="1399">
        <v>362251</v>
      </c>
    </row>
    <row r="6641" spans="2:9">
      <c r="B6641" s="1297"/>
      <c r="C6641" s="1297"/>
      <c r="D6641" s="1297" t="s">
        <v>945</v>
      </c>
      <c r="E6641" s="1399">
        <v>19398</v>
      </c>
      <c r="I6641" s="1399">
        <v>19398</v>
      </c>
    </row>
    <row r="6642" spans="2:9">
      <c r="B6642" s="1297"/>
      <c r="C6642" s="1400" t="s">
        <v>1517</v>
      </c>
      <c r="D6642" s="1400"/>
      <c r="E6642" s="1401">
        <v>390056</v>
      </c>
      <c r="F6642" s="1401">
        <v>247329</v>
      </c>
      <c r="G6642" s="1401"/>
      <c r="H6642" s="1401">
        <v>1251081</v>
      </c>
      <c r="I6642" s="1401">
        <v>1888466</v>
      </c>
    </row>
    <row r="6643" spans="2:9">
      <c r="B6643" s="1297" t="s">
        <v>1518</v>
      </c>
      <c r="C6643" s="1297" t="s">
        <v>1519</v>
      </c>
      <c r="D6643" s="1297" t="s">
        <v>906</v>
      </c>
      <c r="F6643" s="1399">
        <v>390543.13</v>
      </c>
      <c r="I6643" s="1399">
        <v>390543.13</v>
      </c>
    </row>
    <row r="6644" spans="2:9">
      <c r="B6644" s="1297"/>
      <c r="C6644" s="1297"/>
      <c r="D6644" s="1297" t="s">
        <v>1126</v>
      </c>
      <c r="F6644" s="1399">
        <v>466569.83</v>
      </c>
      <c r="I6644" s="1399">
        <v>466569.83</v>
      </c>
    </row>
    <row r="6645" spans="2:9">
      <c r="B6645" s="1297"/>
      <c r="C6645" s="1297"/>
      <c r="D6645" s="1297" t="s">
        <v>907</v>
      </c>
      <c r="F6645" s="1399">
        <v>945308.73</v>
      </c>
      <c r="I6645" s="1399">
        <v>945308.73</v>
      </c>
    </row>
    <row r="6646" spans="2:9">
      <c r="B6646" s="1297"/>
      <c r="C6646" s="1297"/>
      <c r="D6646" s="1297" t="s">
        <v>909</v>
      </c>
      <c r="F6646" s="1399">
        <v>57195.33</v>
      </c>
      <c r="I6646" s="1399">
        <v>57195.33</v>
      </c>
    </row>
    <row r="6647" spans="2:9">
      <c r="B6647" s="1297"/>
      <c r="C6647" s="1297"/>
      <c r="D6647" s="1297" t="s">
        <v>910</v>
      </c>
      <c r="F6647" s="1399">
        <v>5574</v>
      </c>
      <c r="I6647" s="1399">
        <v>5574</v>
      </c>
    </row>
    <row r="6648" spans="2:9">
      <c r="B6648" s="1297"/>
      <c r="C6648" s="1297"/>
      <c r="D6648" s="1297" t="s">
        <v>1034</v>
      </c>
      <c r="F6648" s="1399">
        <v>44376.44</v>
      </c>
      <c r="I6648" s="1399">
        <v>44376.44</v>
      </c>
    </row>
    <row r="6649" spans="2:9">
      <c r="B6649" s="1297"/>
      <c r="C6649" s="1297"/>
      <c r="D6649" s="1297" t="s">
        <v>1035</v>
      </c>
      <c r="F6649" s="1399">
        <v>101905.4</v>
      </c>
      <c r="I6649" s="1399">
        <v>101905.4</v>
      </c>
    </row>
    <row r="6650" spans="2:9">
      <c r="B6650" s="1297"/>
      <c r="C6650" s="1297"/>
      <c r="D6650" s="1297" t="s">
        <v>1036</v>
      </c>
      <c r="F6650" s="1399">
        <v>79377.960000000006</v>
      </c>
      <c r="I6650" s="1399">
        <v>79377.960000000006</v>
      </c>
    </row>
    <row r="6651" spans="2:9">
      <c r="B6651" s="1297"/>
      <c r="C6651" s="1297"/>
      <c r="D6651" s="1297" t="s">
        <v>1039</v>
      </c>
      <c r="F6651" s="1399">
        <v>31938.260000000002</v>
      </c>
      <c r="I6651" s="1399">
        <v>31938.260000000002</v>
      </c>
    </row>
    <row r="6652" spans="2:9">
      <c r="B6652" s="1297"/>
      <c r="C6652" s="1297"/>
      <c r="D6652" s="1297" t="s">
        <v>1040</v>
      </c>
      <c r="F6652" s="1399">
        <v>47479.72</v>
      </c>
      <c r="I6652" s="1399">
        <v>47479.72</v>
      </c>
    </row>
    <row r="6653" spans="2:9">
      <c r="B6653" s="1297"/>
      <c r="C6653" s="1297"/>
      <c r="D6653" s="1297" t="s">
        <v>1041</v>
      </c>
      <c r="F6653" s="1399">
        <v>41661.9</v>
      </c>
      <c r="I6653" s="1399">
        <v>41661.9</v>
      </c>
    </row>
    <row r="6654" spans="2:9">
      <c r="B6654" s="1297"/>
      <c r="C6654" s="1297"/>
      <c r="D6654" s="1297" t="s">
        <v>1042</v>
      </c>
      <c r="F6654" s="1399">
        <v>21896</v>
      </c>
      <c r="I6654" s="1399">
        <v>21896</v>
      </c>
    </row>
    <row r="6655" spans="2:9">
      <c r="B6655" s="1297"/>
      <c r="C6655" s="1297"/>
      <c r="D6655" s="1297" t="s">
        <v>954</v>
      </c>
      <c r="F6655" s="1399">
        <v>900</v>
      </c>
      <c r="I6655" s="1399">
        <v>900</v>
      </c>
    </row>
    <row r="6656" spans="2:9">
      <c r="B6656" s="1297"/>
      <c r="C6656" s="1297"/>
      <c r="D6656" s="1297" t="s">
        <v>1043</v>
      </c>
      <c r="F6656" s="1399">
        <v>19660</v>
      </c>
      <c r="I6656" s="1399">
        <v>19660</v>
      </c>
    </row>
    <row r="6657" spans="2:9">
      <c r="B6657" s="1297"/>
      <c r="C6657" s="1297"/>
      <c r="D6657" s="1297" t="s">
        <v>986</v>
      </c>
      <c r="F6657" s="1399">
        <v>1000</v>
      </c>
      <c r="I6657" s="1399">
        <v>1000</v>
      </c>
    </row>
    <row r="6658" spans="2:9">
      <c r="B6658" s="1297"/>
      <c r="C6658" s="1297"/>
      <c r="D6658" s="1297" t="s">
        <v>991</v>
      </c>
      <c r="F6658" s="1399">
        <v>1851.5</v>
      </c>
      <c r="I6658" s="1399">
        <v>1851.5</v>
      </c>
    </row>
    <row r="6659" spans="2:9">
      <c r="B6659" s="1297"/>
      <c r="C6659" s="1297"/>
      <c r="D6659" s="1297" t="s">
        <v>1044</v>
      </c>
      <c r="F6659" s="1399">
        <v>19386</v>
      </c>
      <c r="I6659" s="1399">
        <v>19386</v>
      </c>
    </row>
    <row r="6660" spans="2:9">
      <c r="B6660" s="1297"/>
      <c r="C6660" s="1297"/>
      <c r="D6660" s="1297" t="s">
        <v>1045</v>
      </c>
      <c r="F6660" s="1399">
        <v>86219.6</v>
      </c>
      <c r="I6660" s="1399">
        <v>86219.6</v>
      </c>
    </row>
    <row r="6661" spans="2:9">
      <c r="B6661" s="1297"/>
      <c r="C6661" s="1297"/>
      <c r="D6661" s="1297" t="s">
        <v>1046</v>
      </c>
      <c r="H6661" s="1399">
        <v>7376719</v>
      </c>
      <c r="I6661" s="1399">
        <v>7376719</v>
      </c>
    </row>
    <row r="6662" spans="2:9">
      <c r="B6662" s="1297"/>
      <c r="C6662" s="1297"/>
      <c r="D6662" s="1297" t="s">
        <v>1047</v>
      </c>
      <c r="H6662" s="1399">
        <v>70398</v>
      </c>
      <c r="I6662" s="1399">
        <v>70398</v>
      </c>
    </row>
    <row r="6663" spans="2:9">
      <c r="B6663" s="1297"/>
      <c r="C6663" s="1297"/>
      <c r="D6663" s="1297" t="s">
        <v>1048</v>
      </c>
      <c r="H6663" s="1399">
        <v>-197652</v>
      </c>
      <c r="I6663" s="1399">
        <v>-197652</v>
      </c>
    </row>
    <row r="6664" spans="2:9">
      <c r="B6664" s="1297"/>
      <c r="C6664" s="1297"/>
      <c r="D6664" s="1297" t="s">
        <v>932</v>
      </c>
      <c r="H6664" s="1399">
        <v>2747693</v>
      </c>
      <c r="I6664" s="1399">
        <v>2747693</v>
      </c>
    </row>
    <row r="6665" spans="2:9">
      <c r="B6665" s="1297"/>
      <c r="C6665" s="1297"/>
      <c r="D6665" s="1297" t="s">
        <v>955</v>
      </c>
      <c r="H6665" s="1399">
        <v>337475.9</v>
      </c>
      <c r="I6665" s="1399">
        <v>337475.9</v>
      </c>
    </row>
    <row r="6666" spans="2:9">
      <c r="B6666" s="1297"/>
      <c r="C6666" s="1297"/>
      <c r="D6666" s="1297" t="s">
        <v>934</v>
      </c>
      <c r="H6666" s="1399">
        <v>25768</v>
      </c>
      <c r="I6666" s="1399">
        <v>25768</v>
      </c>
    </row>
    <row r="6667" spans="2:9">
      <c r="B6667" s="1297"/>
      <c r="C6667" s="1297"/>
      <c r="D6667" s="1297" t="s">
        <v>935</v>
      </c>
      <c r="H6667" s="1399">
        <v>358186.44</v>
      </c>
      <c r="I6667" s="1399">
        <v>358186.44</v>
      </c>
    </row>
    <row r="6668" spans="2:9">
      <c r="B6668" s="1297"/>
      <c r="C6668" s="1297"/>
      <c r="D6668" s="1297" t="s">
        <v>936</v>
      </c>
      <c r="H6668" s="1399">
        <v>20308.73</v>
      </c>
      <c r="I6668" s="1399">
        <v>20308.73</v>
      </c>
    </row>
    <row r="6669" spans="2:9">
      <c r="B6669" s="1297"/>
      <c r="C6669" s="1297"/>
      <c r="D6669" s="1297" t="s">
        <v>937</v>
      </c>
      <c r="H6669" s="1399">
        <v>10582.57</v>
      </c>
      <c r="I6669" s="1399">
        <v>10582.57</v>
      </c>
    </row>
    <row r="6670" spans="2:9">
      <c r="B6670" s="1297"/>
      <c r="C6670" s="1297"/>
      <c r="D6670" s="1297" t="s">
        <v>938</v>
      </c>
      <c r="H6670" s="1399">
        <v>4866</v>
      </c>
      <c r="I6670" s="1399">
        <v>4866</v>
      </c>
    </row>
    <row r="6671" spans="2:9">
      <c r="B6671" s="1297"/>
      <c r="C6671" s="1297"/>
      <c r="D6671" s="1297" t="s">
        <v>939</v>
      </c>
      <c r="H6671" s="1399">
        <v>935.2</v>
      </c>
      <c r="I6671" s="1399">
        <v>935.2</v>
      </c>
    </row>
    <row r="6672" spans="2:9">
      <c r="B6672" s="1297"/>
      <c r="C6672" s="1297"/>
      <c r="D6672" s="1297" t="s">
        <v>940</v>
      </c>
      <c r="E6672" s="1399">
        <v>495673.26</v>
      </c>
      <c r="I6672" s="1399">
        <v>495673.26</v>
      </c>
    </row>
    <row r="6673" spans="2:9">
      <c r="B6673" s="1297"/>
      <c r="C6673" s="1297"/>
      <c r="D6673" s="1297" t="s">
        <v>941</v>
      </c>
      <c r="E6673" s="1399">
        <v>176408.02</v>
      </c>
      <c r="I6673" s="1399">
        <v>176408.02</v>
      </c>
    </row>
    <row r="6674" spans="2:9">
      <c r="B6674" s="1297"/>
      <c r="C6674" s="1297"/>
      <c r="D6674" s="1297" t="s">
        <v>944</v>
      </c>
      <c r="E6674" s="1399">
        <v>1366348.9200000002</v>
      </c>
      <c r="I6674" s="1399">
        <v>1366348.9200000002</v>
      </c>
    </row>
    <row r="6675" spans="2:9">
      <c r="B6675" s="1297"/>
      <c r="C6675" s="1297"/>
      <c r="D6675" s="1297" t="s">
        <v>945</v>
      </c>
      <c r="E6675" s="1399">
        <v>574891.91999999993</v>
      </c>
      <c r="I6675" s="1399">
        <v>574891.91999999993</v>
      </c>
    </row>
    <row r="6676" spans="2:9">
      <c r="B6676" s="1297"/>
      <c r="C6676" s="1297"/>
      <c r="D6676" s="1297" t="s">
        <v>1006</v>
      </c>
      <c r="E6676" s="1399">
        <v>10122.49</v>
      </c>
      <c r="I6676" s="1399">
        <v>10122.49</v>
      </c>
    </row>
    <row r="6677" spans="2:9">
      <c r="B6677" s="1297"/>
      <c r="C6677" s="1297"/>
      <c r="D6677" s="1297" t="s">
        <v>947</v>
      </c>
      <c r="E6677" s="1399">
        <v>65326.26</v>
      </c>
      <c r="I6677" s="1399">
        <v>65326.26</v>
      </c>
    </row>
    <row r="6678" spans="2:9">
      <c r="B6678" s="1297"/>
      <c r="C6678" s="1297"/>
      <c r="D6678" s="1297" t="s">
        <v>948</v>
      </c>
      <c r="G6678" s="1399">
        <v>406946.41000000009</v>
      </c>
      <c r="I6678" s="1399">
        <v>406946.41000000009</v>
      </c>
    </row>
    <row r="6679" spans="2:9">
      <c r="B6679" s="1297"/>
      <c r="C6679" s="1400" t="s">
        <v>1520</v>
      </c>
      <c r="D6679" s="1400"/>
      <c r="E6679" s="1401">
        <v>2688770.87</v>
      </c>
      <c r="F6679" s="1401">
        <v>2362843.7999999998</v>
      </c>
      <c r="G6679" s="1401">
        <v>406946.41000000009</v>
      </c>
      <c r="H6679" s="1401">
        <v>10755280.84</v>
      </c>
      <c r="I6679" s="1401">
        <v>16213841.92</v>
      </c>
    </row>
    <row r="6680" spans="2:9">
      <c r="B6680" s="1297" t="s">
        <v>1521</v>
      </c>
      <c r="C6680" s="1297" t="s">
        <v>1522</v>
      </c>
      <c r="D6680" s="1297" t="s">
        <v>907</v>
      </c>
      <c r="F6680" s="1399">
        <v>4995937.03</v>
      </c>
      <c r="I6680" s="1399">
        <v>4995937.03</v>
      </c>
    </row>
    <row r="6681" spans="2:9">
      <c r="B6681" s="1297"/>
      <c r="C6681" s="1297"/>
      <c r="D6681" s="1297" t="s">
        <v>1145</v>
      </c>
      <c r="F6681" s="1399">
        <v>17438888.210000001</v>
      </c>
      <c r="I6681" s="1399">
        <v>17438888.210000001</v>
      </c>
    </row>
    <row r="6682" spans="2:9">
      <c r="B6682" s="1297"/>
      <c r="C6682" s="1297"/>
      <c r="D6682" s="1297" t="s">
        <v>1035</v>
      </c>
      <c r="F6682" s="1399">
        <v>521922.41</v>
      </c>
      <c r="I6682" s="1399">
        <v>521922.41</v>
      </c>
    </row>
    <row r="6683" spans="2:9">
      <c r="B6683" s="1297"/>
      <c r="C6683" s="1297"/>
      <c r="D6683" s="1297" t="s">
        <v>1036</v>
      </c>
      <c r="F6683" s="1399">
        <v>591247.35</v>
      </c>
      <c r="I6683" s="1399">
        <v>591247.35</v>
      </c>
    </row>
    <row r="6684" spans="2:9">
      <c r="B6684" s="1297"/>
      <c r="C6684" s="1297"/>
      <c r="D6684" s="1297" t="s">
        <v>1037</v>
      </c>
      <c r="F6684" s="1399">
        <v>85548</v>
      </c>
      <c r="I6684" s="1399">
        <v>85548</v>
      </c>
    </row>
    <row r="6685" spans="2:9">
      <c r="B6685" s="1297"/>
      <c r="C6685" s="1297"/>
      <c r="D6685" s="1297" t="s">
        <v>1038</v>
      </c>
      <c r="F6685" s="1399">
        <v>0</v>
      </c>
      <c r="I6685" s="1399">
        <v>0</v>
      </c>
    </row>
    <row r="6686" spans="2:9">
      <c r="B6686" s="1297"/>
      <c r="C6686" s="1297"/>
      <c r="D6686" s="1297" t="s">
        <v>1039</v>
      </c>
      <c r="F6686" s="1399">
        <v>147947.93</v>
      </c>
      <c r="I6686" s="1399">
        <v>147947.93</v>
      </c>
    </row>
    <row r="6687" spans="2:9">
      <c r="B6687" s="1297"/>
      <c r="C6687" s="1297"/>
      <c r="D6687" s="1297" t="s">
        <v>1040</v>
      </c>
      <c r="F6687" s="1399">
        <v>231575.72999999998</v>
      </c>
      <c r="I6687" s="1399">
        <v>231575.72999999998</v>
      </c>
    </row>
    <row r="6688" spans="2:9">
      <c r="B6688" s="1297"/>
      <c r="C6688" s="1297"/>
      <c r="D6688" s="1297" t="s">
        <v>1127</v>
      </c>
      <c r="F6688" s="1399">
        <v>5618.5999999999995</v>
      </c>
      <c r="I6688" s="1399">
        <v>5618.5999999999995</v>
      </c>
    </row>
    <row r="6689" spans="2:9">
      <c r="B6689" s="1297"/>
      <c r="C6689" s="1297"/>
      <c r="D6689" s="1297" t="s">
        <v>1041</v>
      </c>
      <c r="F6689" s="1399">
        <v>8535.9</v>
      </c>
      <c r="I6689" s="1399">
        <v>8535.9</v>
      </c>
    </row>
    <row r="6690" spans="2:9">
      <c r="B6690" s="1297"/>
      <c r="C6690" s="1297"/>
      <c r="D6690" s="1297" t="s">
        <v>1042</v>
      </c>
      <c r="F6690" s="1399">
        <v>74965.539999999994</v>
      </c>
      <c r="I6690" s="1399">
        <v>74965.539999999994</v>
      </c>
    </row>
    <row r="6691" spans="2:9">
      <c r="B6691" s="1297"/>
      <c r="C6691" s="1297"/>
      <c r="D6691" s="1297" t="s">
        <v>986</v>
      </c>
      <c r="F6691" s="1399">
        <v>206326.87</v>
      </c>
      <c r="I6691" s="1399">
        <v>206326.87</v>
      </c>
    </row>
    <row r="6692" spans="2:9">
      <c r="B6692" s="1297"/>
      <c r="C6692" s="1297"/>
      <c r="D6692" s="1297" t="s">
        <v>996</v>
      </c>
      <c r="F6692" s="1399">
        <v>0</v>
      </c>
      <c r="I6692" s="1399">
        <v>0</v>
      </c>
    </row>
    <row r="6693" spans="2:9">
      <c r="B6693" s="1297"/>
      <c r="C6693" s="1297"/>
      <c r="D6693" s="1297" t="s">
        <v>1044</v>
      </c>
      <c r="F6693" s="1399">
        <v>198324.75</v>
      </c>
      <c r="I6693" s="1399">
        <v>198324.75</v>
      </c>
    </row>
    <row r="6694" spans="2:9">
      <c r="B6694" s="1297"/>
      <c r="C6694" s="1297"/>
      <c r="D6694" s="1297" t="s">
        <v>1045</v>
      </c>
      <c r="F6694" s="1399">
        <v>664679.76</v>
      </c>
      <c r="I6694" s="1399">
        <v>664679.76</v>
      </c>
    </row>
    <row r="6695" spans="2:9">
      <c r="B6695" s="1297"/>
      <c r="C6695" s="1297"/>
      <c r="D6695" s="1297" t="s">
        <v>1046</v>
      </c>
      <c r="H6695" s="1399">
        <v>27983900</v>
      </c>
      <c r="I6695" s="1399">
        <v>27983900</v>
      </c>
    </row>
    <row r="6696" spans="2:9">
      <c r="B6696" s="1297"/>
      <c r="C6696" s="1297"/>
      <c r="D6696" s="1297" t="s">
        <v>1047</v>
      </c>
      <c r="H6696" s="1399">
        <v>355240</v>
      </c>
      <c r="I6696" s="1399">
        <v>355240</v>
      </c>
    </row>
    <row r="6697" spans="2:9">
      <c r="B6697" s="1297"/>
      <c r="C6697" s="1297"/>
      <c r="D6697" s="1297" t="s">
        <v>1048</v>
      </c>
      <c r="H6697" s="1399">
        <v>-4953813</v>
      </c>
      <c r="I6697" s="1399">
        <v>-4953813</v>
      </c>
    </row>
    <row r="6698" spans="2:9">
      <c r="B6698" s="1297"/>
      <c r="C6698" s="1297"/>
      <c r="D6698" s="1297" t="s">
        <v>932</v>
      </c>
      <c r="H6698" s="1399">
        <v>1461005</v>
      </c>
      <c r="I6698" s="1399">
        <v>1461005</v>
      </c>
    </row>
    <row r="6699" spans="2:9">
      <c r="B6699" s="1297"/>
      <c r="C6699" s="1297"/>
      <c r="D6699" s="1297" t="s">
        <v>955</v>
      </c>
      <c r="H6699" s="1399">
        <v>632210.15</v>
      </c>
      <c r="I6699" s="1399">
        <v>632210.15</v>
      </c>
    </row>
    <row r="6700" spans="2:9">
      <c r="B6700" s="1297"/>
      <c r="C6700" s="1297"/>
      <c r="D6700" s="1297" t="s">
        <v>934</v>
      </c>
      <c r="H6700" s="1399">
        <v>110702</v>
      </c>
      <c r="I6700" s="1399">
        <v>110702</v>
      </c>
    </row>
    <row r="6701" spans="2:9">
      <c r="B6701" s="1297"/>
      <c r="C6701" s="1297"/>
      <c r="D6701" s="1297" t="s">
        <v>935</v>
      </c>
      <c r="H6701" s="1399">
        <v>478867.27</v>
      </c>
      <c r="I6701" s="1399">
        <v>478867.27</v>
      </c>
    </row>
    <row r="6702" spans="2:9">
      <c r="B6702" s="1297"/>
      <c r="C6702" s="1297"/>
      <c r="D6702" s="1297" t="s">
        <v>936</v>
      </c>
      <c r="H6702" s="1399">
        <v>59525.59</v>
      </c>
      <c r="I6702" s="1399">
        <v>59525.59</v>
      </c>
    </row>
    <row r="6703" spans="2:9">
      <c r="B6703" s="1297"/>
      <c r="C6703" s="1297"/>
      <c r="D6703" s="1297" t="s">
        <v>937</v>
      </c>
      <c r="H6703" s="1399">
        <v>32480.560000000001</v>
      </c>
      <c r="I6703" s="1399">
        <v>32480.560000000001</v>
      </c>
    </row>
    <row r="6704" spans="2:9">
      <c r="B6704" s="1297"/>
      <c r="C6704" s="1297"/>
      <c r="D6704" s="1297" t="s">
        <v>938</v>
      </c>
      <c r="H6704" s="1399">
        <v>17031</v>
      </c>
      <c r="I6704" s="1399">
        <v>17031</v>
      </c>
    </row>
    <row r="6705" spans="2:9">
      <c r="B6705" s="1297"/>
      <c r="C6705" s="1297"/>
      <c r="D6705" s="1297" t="s">
        <v>940</v>
      </c>
      <c r="E6705" s="1399">
        <v>1935946.8200000003</v>
      </c>
      <c r="I6705" s="1399">
        <v>1935946.8200000003</v>
      </c>
    </row>
    <row r="6706" spans="2:9">
      <c r="B6706" s="1297"/>
      <c r="C6706" s="1297"/>
      <c r="D6706" s="1297" t="s">
        <v>941</v>
      </c>
      <c r="E6706" s="1399">
        <v>869952.55999999994</v>
      </c>
      <c r="I6706" s="1399">
        <v>869952.55999999994</v>
      </c>
    </row>
    <row r="6707" spans="2:9">
      <c r="B6707" s="1297"/>
      <c r="C6707" s="1297"/>
      <c r="D6707" s="1297" t="s">
        <v>943</v>
      </c>
      <c r="E6707" s="1399">
        <v>36150.94</v>
      </c>
      <c r="I6707" s="1399">
        <v>36150.94</v>
      </c>
    </row>
    <row r="6708" spans="2:9">
      <c r="B6708" s="1297"/>
      <c r="C6708" s="1297"/>
      <c r="D6708" s="1297" t="s">
        <v>944</v>
      </c>
      <c r="E6708" s="1399">
        <v>4556808.830000001</v>
      </c>
      <c r="I6708" s="1399">
        <v>4556808.830000001</v>
      </c>
    </row>
    <row r="6709" spans="2:9">
      <c r="B6709" s="1297"/>
      <c r="C6709" s="1297"/>
      <c r="D6709" s="1297" t="s">
        <v>945</v>
      </c>
      <c r="E6709" s="1399">
        <v>1537258.55</v>
      </c>
      <c r="I6709" s="1399">
        <v>1537258.55</v>
      </c>
    </row>
    <row r="6710" spans="2:9">
      <c r="B6710" s="1297"/>
      <c r="C6710" s="1297"/>
      <c r="D6710" s="1297" t="s">
        <v>946</v>
      </c>
      <c r="E6710" s="1399">
        <v>31414.57</v>
      </c>
      <c r="I6710" s="1399">
        <v>31414.57</v>
      </c>
    </row>
    <row r="6711" spans="2:9">
      <c r="B6711" s="1297"/>
      <c r="C6711" s="1297"/>
      <c r="D6711" s="1297" t="s">
        <v>947</v>
      </c>
      <c r="E6711" s="1399">
        <v>195512.43</v>
      </c>
      <c r="I6711" s="1399">
        <v>195512.43</v>
      </c>
    </row>
    <row r="6712" spans="2:9">
      <c r="B6712" s="1297"/>
      <c r="C6712" s="1297"/>
      <c r="D6712" s="1297" t="s">
        <v>948</v>
      </c>
      <c r="G6712" s="1399">
        <v>6055972.1299999999</v>
      </c>
      <c r="I6712" s="1399">
        <v>6055972.1299999999</v>
      </c>
    </row>
    <row r="6713" spans="2:9">
      <c r="B6713" s="1297"/>
      <c r="C6713" s="1297"/>
      <c r="D6713" s="1297" t="s">
        <v>956</v>
      </c>
      <c r="G6713" s="1399">
        <v>1219.97</v>
      </c>
      <c r="I6713" s="1399">
        <v>1219.97</v>
      </c>
    </row>
    <row r="6714" spans="2:9">
      <c r="B6714" s="1297"/>
      <c r="C6714" s="1400" t="s">
        <v>1523</v>
      </c>
      <c r="D6714" s="1400"/>
      <c r="E6714" s="1401">
        <v>9163044.7000000011</v>
      </c>
      <c r="F6714" s="1401">
        <v>25171518.080000006</v>
      </c>
      <c r="G6714" s="1401">
        <v>6057192.0999999996</v>
      </c>
      <c r="H6714" s="1401">
        <v>26177148.569999997</v>
      </c>
      <c r="I6714" s="1401">
        <v>66568903.45000001</v>
      </c>
    </row>
    <row r="6715" spans="2:9">
      <c r="B6715" s="1297" t="s">
        <v>1524</v>
      </c>
      <c r="C6715" s="1297" t="s">
        <v>1525</v>
      </c>
      <c r="D6715" s="1297" t="s">
        <v>907</v>
      </c>
      <c r="F6715" s="1399">
        <v>1147484.81</v>
      </c>
      <c r="I6715" s="1399">
        <v>1147484.81</v>
      </c>
    </row>
    <row r="6716" spans="2:9">
      <c r="B6716" s="1297"/>
      <c r="C6716" s="1297"/>
      <c r="D6716" s="1297" t="s">
        <v>1145</v>
      </c>
      <c r="F6716" s="1399">
        <v>2388828.89</v>
      </c>
      <c r="I6716" s="1399">
        <v>2388828.89</v>
      </c>
    </row>
    <row r="6717" spans="2:9">
      <c r="B6717" s="1297"/>
      <c r="C6717" s="1297"/>
      <c r="D6717" s="1297" t="s">
        <v>1034</v>
      </c>
      <c r="F6717" s="1399">
        <v>13726.14</v>
      </c>
      <c r="I6717" s="1399">
        <v>13726.14</v>
      </c>
    </row>
    <row r="6718" spans="2:9">
      <c r="B6718" s="1297"/>
      <c r="C6718" s="1297"/>
      <c r="D6718" s="1297" t="s">
        <v>1035</v>
      </c>
      <c r="F6718" s="1399">
        <v>282379.23</v>
      </c>
      <c r="I6718" s="1399">
        <v>282379.23</v>
      </c>
    </row>
    <row r="6719" spans="2:9">
      <c r="B6719" s="1297"/>
      <c r="C6719" s="1297"/>
      <c r="D6719" s="1297" t="s">
        <v>1036</v>
      </c>
      <c r="F6719" s="1399">
        <v>57753.67</v>
      </c>
      <c r="I6719" s="1399">
        <v>57753.67</v>
      </c>
    </row>
    <row r="6720" spans="2:9">
      <c r="B6720" s="1297"/>
      <c r="C6720" s="1297"/>
      <c r="D6720" s="1297" t="s">
        <v>1037</v>
      </c>
      <c r="F6720" s="1399">
        <v>1797324.65</v>
      </c>
      <c r="I6720" s="1399">
        <v>1797324.65</v>
      </c>
    </row>
    <row r="6721" spans="2:9">
      <c r="B6721" s="1297"/>
      <c r="C6721" s="1297"/>
      <c r="D6721" s="1297" t="s">
        <v>1105</v>
      </c>
      <c r="F6721" s="1399">
        <v>98818.58</v>
      </c>
      <c r="I6721" s="1399">
        <v>98818.58</v>
      </c>
    </row>
    <row r="6722" spans="2:9">
      <c r="B6722" s="1297"/>
      <c r="C6722" s="1297"/>
      <c r="D6722" s="1297" t="s">
        <v>1039</v>
      </c>
      <c r="F6722" s="1399">
        <v>81019.87999999999</v>
      </c>
      <c r="I6722" s="1399">
        <v>81019.87999999999</v>
      </c>
    </row>
    <row r="6723" spans="2:9">
      <c r="B6723" s="1297"/>
      <c r="C6723" s="1297"/>
      <c r="D6723" s="1297" t="s">
        <v>1040</v>
      </c>
      <c r="F6723" s="1399">
        <v>171956.53</v>
      </c>
      <c r="I6723" s="1399">
        <v>171956.53</v>
      </c>
    </row>
    <row r="6724" spans="2:9">
      <c r="B6724" s="1297"/>
      <c r="C6724" s="1297"/>
      <c r="D6724" s="1297" t="s">
        <v>1041</v>
      </c>
      <c r="F6724" s="1399">
        <v>5460.16</v>
      </c>
      <c r="I6724" s="1399">
        <v>5460.16</v>
      </c>
    </row>
    <row r="6725" spans="2:9">
      <c r="B6725" s="1297"/>
      <c r="C6725" s="1297"/>
      <c r="D6725" s="1297" t="s">
        <v>1042</v>
      </c>
      <c r="F6725" s="1399">
        <v>28181.45</v>
      </c>
      <c r="I6725" s="1399">
        <v>28181.45</v>
      </c>
    </row>
    <row r="6726" spans="2:9">
      <c r="B6726" s="1297"/>
      <c r="C6726" s="1297"/>
      <c r="D6726" s="1297" t="s">
        <v>953</v>
      </c>
      <c r="F6726" s="1399">
        <v>18713.150000000001</v>
      </c>
      <c r="I6726" s="1399">
        <v>18713.150000000001</v>
      </c>
    </row>
    <row r="6727" spans="2:9">
      <c r="B6727" s="1297"/>
      <c r="C6727" s="1297"/>
      <c r="D6727" s="1297" t="s">
        <v>1043</v>
      </c>
      <c r="F6727" s="1399">
        <v>2317</v>
      </c>
      <c r="I6727" s="1399">
        <v>2317</v>
      </c>
    </row>
    <row r="6728" spans="2:9">
      <c r="B6728" s="1297"/>
      <c r="C6728" s="1297"/>
      <c r="D6728" s="1297" t="s">
        <v>1203</v>
      </c>
      <c r="F6728" s="1399">
        <v>2900</v>
      </c>
      <c r="I6728" s="1399">
        <v>2900</v>
      </c>
    </row>
    <row r="6729" spans="2:9">
      <c r="B6729" s="1297"/>
      <c r="C6729" s="1297"/>
      <c r="D6729" s="1297" t="s">
        <v>1045</v>
      </c>
      <c r="F6729" s="1399">
        <v>131654.66</v>
      </c>
      <c r="I6729" s="1399">
        <v>131654.66</v>
      </c>
    </row>
    <row r="6730" spans="2:9">
      <c r="B6730" s="1297"/>
      <c r="C6730" s="1297"/>
      <c r="D6730" s="1297" t="s">
        <v>1046</v>
      </c>
      <c r="H6730" s="1399">
        <v>8378341</v>
      </c>
      <c r="I6730" s="1399">
        <v>8378341</v>
      </c>
    </row>
    <row r="6731" spans="2:9">
      <c r="B6731" s="1297"/>
      <c r="C6731" s="1297"/>
      <c r="D6731" s="1297" t="s">
        <v>1047</v>
      </c>
      <c r="H6731" s="1399">
        <v>170610</v>
      </c>
      <c r="I6731" s="1399">
        <v>170610</v>
      </c>
    </row>
    <row r="6732" spans="2:9">
      <c r="B6732" s="1297"/>
      <c r="C6732" s="1297"/>
      <c r="D6732" s="1297" t="s">
        <v>1048</v>
      </c>
      <c r="H6732" s="1399">
        <v>-775645</v>
      </c>
      <c r="I6732" s="1399">
        <v>-775645</v>
      </c>
    </row>
    <row r="6733" spans="2:9">
      <c r="B6733" s="1297"/>
      <c r="C6733" s="1297"/>
      <c r="D6733" s="1297" t="s">
        <v>932</v>
      </c>
      <c r="H6733" s="1399">
        <v>1159320</v>
      </c>
      <c r="I6733" s="1399">
        <v>1159320</v>
      </c>
    </row>
    <row r="6734" spans="2:9">
      <c r="B6734" s="1297"/>
      <c r="C6734" s="1297"/>
      <c r="D6734" s="1297" t="s">
        <v>955</v>
      </c>
      <c r="H6734" s="1399">
        <v>452429.07</v>
      </c>
      <c r="I6734" s="1399">
        <v>452429.07</v>
      </c>
    </row>
    <row r="6735" spans="2:9">
      <c r="B6735" s="1297"/>
      <c r="C6735" s="1297"/>
      <c r="D6735" s="1297" t="s">
        <v>934</v>
      </c>
      <c r="H6735" s="1399">
        <v>27560</v>
      </c>
      <c r="I6735" s="1399">
        <v>27560</v>
      </c>
    </row>
    <row r="6736" spans="2:9">
      <c r="B6736" s="1297"/>
      <c r="C6736" s="1297"/>
      <c r="D6736" s="1297" t="s">
        <v>935</v>
      </c>
      <c r="H6736" s="1399">
        <v>125571.38</v>
      </c>
      <c r="I6736" s="1399">
        <v>125571.38</v>
      </c>
    </row>
    <row r="6737" spans="2:9">
      <c r="B6737" s="1297"/>
      <c r="C6737" s="1297"/>
      <c r="D6737" s="1297" t="s">
        <v>936</v>
      </c>
      <c r="H6737" s="1399">
        <v>21359.18</v>
      </c>
      <c r="I6737" s="1399">
        <v>21359.18</v>
      </c>
    </row>
    <row r="6738" spans="2:9">
      <c r="B6738" s="1297"/>
      <c r="C6738" s="1297"/>
      <c r="D6738" s="1297" t="s">
        <v>937</v>
      </c>
      <c r="H6738" s="1399">
        <v>6499.47</v>
      </c>
      <c r="I6738" s="1399">
        <v>6499.47</v>
      </c>
    </row>
    <row r="6739" spans="2:9">
      <c r="B6739" s="1297"/>
      <c r="C6739" s="1297"/>
      <c r="D6739" s="1297" t="s">
        <v>938</v>
      </c>
      <c r="H6739" s="1399">
        <v>8048</v>
      </c>
      <c r="I6739" s="1399">
        <v>8048</v>
      </c>
    </row>
    <row r="6740" spans="2:9">
      <c r="B6740" s="1297"/>
      <c r="C6740" s="1297"/>
      <c r="D6740" s="1297" t="s">
        <v>939</v>
      </c>
      <c r="H6740" s="1399">
        <v>56226.84</v>
      </c>
      <c r="I6740" s="1399">
        <v>56226.84</v>
      </c>
    </row>
    <row r="6741" spans="2:9">
      <c r="B6741" s="1297"/>
      <c r="C6741" s="1297"/>
      <c r="D6741" s="1297" t="s">
        <v>1131</v>
      </c>
      <c r="E6741" s="1399">
        <v>56236.800000000003</v>
      </c>
      <c r="I6741" s="1399">
        <v>56236.800000000003</v>
      </c>
    </row>
    <row r="6742" spans="2:9">
      <c r="B6742" s="1297"/>
      <c r="C6742" s="1297"/>
      <c r="D6742" s="1297" t="s">
        <v>940</v>
      </c>
      <c r="E6742" s="1399">
        <v>374946.51</v>
      </c>
      <c r="I6742" s="1399">
        <v>374946.51</v>
      </c>
    </row>
    <row r="6743" spans="2:9">
      <c r="B6743" s="1297"/>
      <c r="C6743" s="1297"/>
      <c r="D6743" s="1297" t="s">
        <v>941</v>
      </c>
      <c r="E6743" s="1399">
        <v>131615.56</v>
      </c>
      <c r="I6743" s="1399">
        <v>131615.56</v>
      </c>
    </row>
    <row r="6744" spans="2:9">
      <c r="B6744" s="1297"/>
      <c r="C6744" s="1297"/>
      <c r="D6744" s="1297" t="s">
        <v>943</v>
      </c>
      <c r="E6744" s="1399">
        <v>9866.42</v>
      </c>
      <c r="I6744" s="1399">
        <v>9866.42</v>
      </c>
    </row>
    <row r="6745" spans="2:9">
      <c r="B6745" s="1297"/>
      <c r="C6745" s="1297"/>
      <c r="D6745" s="1297" t="s">
        <v>944</v>
      </c>
      <c r="E6745" s="1399">
        <v>726818.03000000014</v>
      </c>
      <c r="I6745" s="1399">
        <v>726818.03000000014</v>
      </c>
    </row>
    <row r="6746" spans="2:9">
      <c r="B6746" s="1297"/>
      <c r="C6746" s="1297"/>
      <c r="D6746" s="1297" t="s">
        <v>945</v>
      </c>
      <c r="E6746" s="1399">
        <v>1523352.26</v>
      </c>
      <c r="I6746" s="1399">
        <v>1523352.26</v>
      </c>
    </row>
    <row r="6747" spans="2:9">
      <c r="B6747" s="1297"/>
      <c r="C6747" s="1297"/>
      <c r="D6747" s="1297" t="s">
        <v>947</v>
      </c>
      <c r="E6747" s="1399">
        <v>35248.85</v>
      </c>
      <c r="I6747" s="1399">
        <v>35248.85</v>
      </c>
    </row>
    <row r="6748" spans="2:9">
      <c r="B6748" s="1297"/>
      <c r="C6748" s="1297"/>
      <c r="D6748" s="1297" t="s">
        <v>948</v>
      </c>
      <c r="G6748" s="1399">
        <v>32046.92</v>
      </c>
      <c r="I6748" s="1399">
        <v>32046.92</v>
      </c>
    </row>
    <row r="6749" spans="2:9">
      <c r="B6749" s="1297"/>
      <c r="C6749" s="1297"/>
      <c r="D6749" s="1297" t="s">
        <v>956</v>
      </c>
      <c r="G6749" s="1399">
        <v>2758.88</v>
      </c>
      <c r="I6749" s="1399">
        <v>2758.88</v>
      </c>
    </row>
    <row r="6750" spans="2:9">
      <c r="B6750" s="1297"/>
      <c r="C6750" s="1400" t="s">
        <v>1526</v>
      </c>
      <c r="D6750" s="1400"/>
      <c r="E6750" s="1401">
        <v>2858084.43</v>
      </c>
      <c r="F6750" s="1401">
        <v>6228518.8000000017</v>
      </c>
      <c r="G6750" s="1401">
        <v>34805.799999999996</v>
      </c>
      <c r="H6750" s="1401">
        <v>9630319.9400000013</v>
      </c>
      <c r="I6750" s="1401">
        <v>18751728.970000006</v>
      </c>
    </row>
    <row r="6751" spans="2:9">
      <c r="B6751" s="1297" t="s">
        <v>1527</v>
      </c>
      <c r="C6751" s="1297" t="s">
        <v>1528</v>
      </c>
      <c r="D6751" s="1297" t="s">
        <v>952</v>
      </c>
      <c r="F6751" s="1399">
        <v>111642.55</v>
      </c>
      <c r="I6751" s="1399">
        <v>111642.55</v>
      </c>
    </row>
    <row r="6752" spans="2:9">
      <c r="B6752" s="1297"/>
      <c r="C6752" s="1297"/>
      <c r="D6752" s="1297" t="s">
        <v>907</v>
      </c>
      <c r="F6752" s="1399">
        <v>2225328.33</v>
      </c>
      <c r="I6752" s="1399">
        <v>2225328.33</v>
      </c>
    </row>
    <row r="6753" spans="2:9">
      <c r="B6753" s="1297"/>
      <c r="C6753" s="1297"/>
      <c r="D6753" s="1297" t="s">
        <v>1145</v>
      </c>
      <c r="F6753" s="1399">
        <v>11211312.810000001</v>
      </c>
      <c r="I6753" s="1399">
        <v>11211312.810000001</v>
      </c>
    </row>
    <row r="6754" spans="2:9">
      <c r="B6754" s="1297"/>
      <c r="C6754" s="1297"/>
      <c r="D6754" s="1297" t="s">
        <v>908</v>
      </c>
      <c r="F6754" s="1399">
        <v>15867.94</v>
      </c>
      <c r="I6754" s="1399">
        <v>15867.94</v>
      </c>
    </row>
    <row r="6755" spans="2:9">
      <c r="B6755" s="1297"/>
      <c r="C6755" s="1297"/>
      <c r="D6755" s="1297" t="s">
        <v>909</v>
      </c>
      <c r="F6755" s="1399">
        <v>478.97</v>
      </c>
      <c r="I6755" s="1399">
        <v>478.97</v>
      </c>
    </row>
    <row r="6756" spans="2:9">
      <c r="B6756" s="1297"/>
      <c r="C6756" s="1297"/>
      <c r="D6756" s="1297" t="s">
        <v>910</v>
      </c>
      <c r="F6756" s="1399">
        <v>213750.62</v>
      </c>
      <c r="I6756" s="1399">
        <v>213750.62</v>
      </c>
    </row>
    <row r="6757" spans="2:9">
      <c r="B6757" s="1297"/>
      <c r="C6757" s="1297"/>
      <c r="D6757" s="1297" t="s">
        <v>1034</v>
      </c>
      <c r="F6757" s="1399">
        <v>9953.86</v>
      </c>
      <c r="I6757" s="1399">
        <v>9953.86</v>
      </c>
    </row>
    <row r="6758" spans="2:9">
      <c r="B6758" s="1297"/>
      <c r="C6758" s="1297"/>
      <c r="D6758" s="1297" t="s">
        <v>1035</v>
      </c>
      <c r="F6758" s="1399">
        <v>133263.76999999999</v>
      </c>
      <c r="I6758" s="1399">
        <v>133263.76999999999</v>
      </c>
    </row>
    <row r="6759" spans="2:9">
      <c r="B6759" s="1297"/>
      <c r="C6759" s="1297"/>
      <c r="D6759" s="1297" t="s">
        <v>1036</v>
      </c>
      <c r="F6759" s="1399">
        <v>191595.94</v>
      </c>
      <c r="I6759" s="1399">
        <v>191595.94</v>
      </c>
    </row>
    <row r="6760" spans="2:9">
      <c r="B6760" s="1297"/>
      <c r="C6760" s="1297"/>
      <c r="D6760" s="1297" t="s">
        <v>1039</v>
      </c>
      <c r="F6760" s="1399">
        <v>124688.79000000001</v>
      </c>
      <c r="I6760" s="1399">
        <v>124688.79000000001</v>
      </c>
    </row>
    <row r="6761" spans="2:9">
      <c r="B6761" s="1297"/>
      <c r="C6761" s="1297"/>
      <c r="D6761" s="1297" t="s">
        <v>1040</v>
      </c>
      <c r="F6761" s="1399">
        <v>102150.15</v>
      </c>
      <c r="I6761" s="1399">
        <v>102150.15</v>
      </c>
    </row>
    <row r="6762" spans="2:9">
      <c r="B6762" s="1297"/>
      <c r="C6762" s="1297"/>
      <c r="D6762" s="1297" t="s">
        <v>1127</v>
      </c>
      <c r="F6762" s="1399">
        <v>15747.6</v>
      </c>
      <c r="I6762" s="1399">
        <v>15747.6</v>
      </c>
    </row>
    <row r="6763" spans="2:9">
      <c r="B6763" s="1297"/>
      <c r="C6763" s="1297"/>
      <c r="D6763" s="1297" t="s">
        <v>1041</v>
      </c>
      <c r="F6763" s="1399">
        <v>41437.31</v>
      </c>
      <c r="I6763" s="1399">
        <v>41437.31</v>
      </c>
    </row>
    <row r="6764" spans="2:9">
      <c r="B6764" s="1297"/>
      <c r="C6764" s="1297"/>
      <c r="D6764" s="1297" t="s">
        <v>1042</v>
      </c>
      <c r="F6764" s="1399">
        <v>49818.75</v>
      </c>
      <c r="I6764" s="1399">
        <v>49818.75</v>
      </c>
    </row>
    <row r="6765" spans="2:9">
      <c r="B6765" s="1297"/>
      <c r="C6765" s="1297"/>
      <c r="D6765" s="1297" t="s">
        <v>954</v>
      </c>
      <c r="F6765" s="1399">
        <v>173996.99</v>
      </c>
      <c r="I6765" s="1399">
        <v>173996.99</v>
      </c>
    </row>
    <row r="6766" spans="2:9">
      <c r="B6766" s="1297"/>
      <c r="C6766" s="1297"/>
      <c r="D6766" s="1297" t="s">
        <v>986</v>
      </c>
      <c r="F6766" s="1399">
        <v>33726.14</v>
      </c>
      <c r="I6766" s="1399">
        <v>33726.14</v>
      </c>
    </row>
    <row r="6767" spans="2:9">
      <c r="B6767" s="1297"/>
      <c r="C6767" s="1297"/>
      <c r="D6767" s="1297" t="s">
        <v>991</v>
      </c>
      <c r="F6767" s="1399">
        <v>9043.1</v>
      </c>
      <c r="I6767" s="1399">
        <v>9043.1</v>
      </c>
    </row>
    <row r="6768" spans="2:9">
      <c r="B6768" s="1297"/>
      <c r="C6768" s="1297"/>
      <c r="D6768" s="1297" t="s">
        <v>1044</v>
      </c>
      <c r="F6768" s="1399">
        <v>45048.45</v>
      </c>
      <c r="I6768" s="1399">
        <v>45048.45</v>
      </c>
    </row>
    <row r="6769" spans="2:9">
      <c r="B6769" s="1297"/>
      <c r="C6769" s="1297"/>
      <c r="D6769" s="1297" t="s">
        <v>1045</v>
      </c>
      <c r="F6769" s="1399">
        <v>426253.22</v>
      </c>
      <c r="I6769" s="1399">
        <v>426253.22</v>
      </c>
    </row>
    <row r="6770" spans="2:9">
      <c r="B6770" s="1297"/>
      <c r="C6770" s="1297"/>
      <c r="D6770" s="1297" t="s">
        <v>1046</v>
      </c>
      <c r="H6770" s="1399">
        <v>14839113</v>
      </c>
      <c r="I6770" s="1399">
        <v>14839113</v>
      </c>
    </row>
    <row r="6771" spans="2:9">
      <c r="B6771" s="1297"/>
      <c r="C6771" s="1297"/>
      <c r="D6771" s="1297" t="s">
        <v>1128</v>
      </c>
      <c r="H6771" s="1399">
        <v>1206706</v>
      </c>
      <c r="I6771" s="1399">
        <v>1206706</v>
      </c>
    </row>
    <row r="6772" spans="2:9">
      <c r="B6772" s="1297"/>
      <c r="C6772" s="1297"/>
      <c r="D6772" s="1297" t="s">
        <v>1129</v>
      </c>
      <c r="H6772" s="1399">
        <v>-1844355</v>
      </c>
      <c r="I6772" s="1399">
        <v>-1844355</v>
      </c>
    </row>
    <row r="6773" spans="2:9">
      <c r="B6773" s="1297"/>
      <c r="C6773" s="1297"/>
      <c r="D6773" s="1297" t="s">
        <v>1047</v>
      </c>
      <c r="H6773" s="1399">
        <v>98284</v>
      </c>
      <c r="I6773" s="1399">
        <v>98284</v>
      </c>
    </row>
    <row r="6774" spans="2:9">
      <c r="B6774" s="1297"/>
      <c r="C6774" s="1297"/>
      <c r="D6774" s="1297" t="s">
        <v>1048</v>
      </c>
      <c r="H6774" s="1399">
        <v>-2978871</v>
      </c>
      <c r="I6774" s="1399">
        <v>-2978871</v>
      </c>
    </row>
    <row r="6775" spans="2:9">
      <c r="B6775" s="1297"/>
      <c r="C6775" s="1297"/>
      <c r="D6775" s="1297" t="s">
        <v>955</v>
      </c>
      <c r="H6775" s="1399">
        <v>979587.37</v>
      </c>
      <c r="I6775" s="1399">
        <v>979587.37</v>
      </c>
    </row>
    <row r="6776" spans="2:9">
      <c r="B6776" s="1297"/>
      <c r="C6776" s="1297"/>
      <c r="D6776" s="1297" t="s">
        <v>934</v>
      </c>
      <c r="H6776" s="1399">
        <v>45606</v>
      </c>
      <c r="I6776" s="1399">
        <v>45606</v>
      </c>
    </row>
    <row r="6777" spans="2:9">
      <c r="B6777" s="1297"/>
      <c r="C6777" s="1297"/>
      <c r="D6777" s="1297" t="s">
        <v>935</v>
      </c>
      <c r="H6777" s="1399">
        <v>103180.07</v>
      </c>
      <c r="I6777" s="1399">
        <v>103180.07</v>
      </c>
    </row>
    <row r="6778" spans="2:9">
      <c r="B6778" s="1297"/>
      <c r="C6778" s="1297"/>
      <c r="D6778" s="1297" t="s">
        <v>936</v>
      </c>
      <c r="H6778" s="1399">
        <v>40967.61</v>
      </c>
      <c r="I6778" s="1399">
        <v>40967.61</v>
      </c>
    </row>
    <row r="6779" spans="2:9">
      <c r="B6779" s="1297"/>
      <c r="C6779" s="1297"/>
      <c r="D6779" s="1297" t="s">
        <v>937</v>
      </c>
      <c r="H6779" s="1399">
        <v>25193.72</v>
      </c>
      <c r="I6779" s="1399">
        <v>25193.72</v>
      </c>
    </row>
    <row r="6780" spans="2:9">
      <c r="B6780" s="1297"/>
      <c r="C6780" s="1297"/>
      <c r="D6780" s="1297" t="s">
        <v>938</v>
      </c>
      <c r="H6780" s="1399">
        <v>8984</v>
      </c>
      <c r="I6780" s="1399">
        <v>8984</v>
      </c>
    </row>
    <row r="6781" spans="2:9">
      <c r="B6781" s="1297"/>
      <c r="C6781" s="1297"/>
      <c r="D6781" s="1297" t="s">
        <v>939</v>
      </c>
      <c r="H6781" s="1399">
        <v>0</v>
      </c>
      <c r="I6781" s="1399">
        <v>0</v>
      </c>
    </row>
    <row r="6782" spans="2:9">
      <c r="B6782" s="1297"/>
      <c r="C6782" s="1297"/>
      <c r="D6782" s="1297" t="s">
        <v>1131</v>
      </c>
      <c r="E6782" s="1399">
        <v>49299.18</v>
      </c>
      <c r="I6782" s="1399">
        <v>49299.18</v>
      </c>
    </row>
    <row r="6783" spans="2:9">
      <c r="B6783" s="1297"/>
      <c r="C6783" s="1297"/>
      <c r="D6783" s="1297" t="s">
        <v>940</v>
      </c>
      <c r="E6783" s="1399">
        <v>898739.79999999993</v>
      </c>
      <c r="I6783" s="1399">
        <v>898739.79999999993</v>
      </c>
    </row>
    <row r="6784" spans="2:9">
      <c r="B6784" s="1297"/>
      <c r="C6784" s="1297"/>
      <c r="D6784" s="1297" t="s">
        <v>941</v>
      </c>
      <c r="E6784" s="1399">
        <v>398383.86</v>
      </c>
      <c r="I6784" s="1399">
        <v>398383.86</v>
      </c>
    </row>
    <row r="6785" spans="2:9">
      <c r="B6785" s="1297"/>
      <c r="C6785" s="1297"/>
      <c r="D6785" s="1297" t="s">
        <v>943</v>
      </c>
      <c r="E6785" s="1399">
        <v>3677.06</v>
      </c>
      <c r="I6785" s="1399">
        <v>3677.06</v>
      </c>
    </row>
    <row r="6786" spans="2:9">
      <c r="B6786" s="1297"/>
      <c r="C6786" s="1297"/>
      <c r="D6786" s="1297" t="s">
        <v>944</v>
      </c>
      <c r="E6786" s="1399">
        <v>2880629.4000000008</v>
      </c>
      <c r="I6786" s="1399">
        <v>2880629.4000000008</v>
      </c>
    </row>
    <row r="6787" spans="2:9">
      <c r="B6787" s="1297"/>
      <c r="C6787" s="1297"/>
      <c r="D6787" s="1297" t="s">
        <v>945</v>
      </c>
      <c r="E6787" s="1399">
        <v>2118569.23</v>
      </c>
      <c r="I6787" s="1399">
        <v>2118569.23</v>
      </c>
    </row>
    <row r="6788" spans="2:9">
      <c r="B6788" s="1297"/>
      <c r="C6788" s="1297"/>
      <c r="D6788" s="1297" t="s">
        <v>947</v>
      </c>
      <c r="E6788" s="1399">
        <v>102496.47</v>
      </c>
      <c r="I6788" s="1399">
        <v>102496.47</v>
      </c>
    </row>
    <row r="6789" spans="2:9">
      <c r="B6789" s="1297"/>
      <c r="C6789" s="1297"/>
      <c r="D6789" s="1297" t="s">
        <v>1116</v>
      </c>
      <c r="G6789" s="1399">
        <v>2000000</v>
      </c>
      <c r="I6789" s="1399">
        <v>2000000</v>
      </c>
    </row>
    <row r="6790" spans="2:9">
      <c r="B6790" s="1297"/>
      <c r="C6790" s="1297"/>
      <c r="D6790" s="1297" t="s">
        <v>948</v>
      </c>
      <c r="G6790" s="1399">
        <v>5003330.47</v>
      </c>
      <c r="I6790" s="1399">
        <v>5003330.47</v>
      </c>
    </row>
    <row r="6791" spans="2:9">
      <c r="B6791" s="1297"/>
      <c r="C6791" s="1400" t="s">
        <v>1529</v>
      </c>
      <c r="D6791" s="1400"/>
      <c r="E6791" s="1401">
        <v>6451795.0000000009</v>
      </c>
      <c r="F6791" s="1401">
        <v>15135105.289999999</v>
      </c>
      <c r="G6791" s="1401">
        <v>7003330.4699999997</v>
      </c>
      <c r="H6791" s="1401">
        <v>12524395.77</v>
      </c>
      <c r="I6791" s="1401">
        <v>41114626.529999994</v>
      </c>
    </row>
    <row r="6792" spans="2:9">
      <c r="B6792" s="1297" t="s">
        <v>1530</v>
      </c>
      <c r="C6792" s="1297" t="s">
        <v>1531</v>
      </c>
      <c r="D6792" s="1297" t="s">
        <v>907</v>
      </c>
      <c r="F6792" s="1399">
        <v>709001.57</v>
      </c>
      <c r="I6792" s="1399">
        <v>709001.57</v>
      </c>
    </row>
    <row r="6793" spans="2:9">
      <c r="B6793" s="1297"/>
      <c r="C6793" s="1297"/>
      <c r="D6793" s="1297" t="s">
        <v>1145</v>
      </c>
      <c r="F6793" s="1399">
        <v>1096371.77</v>
      </c>
      <c r="I6793" s="1399">
        <v>1096371.77</v>
      </c>
    </row>
    <row r="6794" spans="2:9">
      <c r="B6794" s="1297"/>
      <c r="C6794" s="1297"/>
      <c r="D6794" s="1297" t="s">
        <v>1037</v>
      </c>
      <c r="F6794" s="1399">
        <v>120270</v>
      </c>
      <c r="I6794" s="1399">
        <v>120270</v>
      </c>
    </row>
    <row r="6795" spans="2:9">
      <c r="B6795" s="1297"/>
      <c r="C6795" s="1297"/>
      <c r="D6795" s="1297" t="s">
        <v>1039</v>
      </c>
      <c r="F6795" s="1399">
        <v>39733.57</v>
      </c>
      <c r="I6795" s="1399">
        <v>39733.57</v>
      </c>
    </row>
    <row r="6796" spans="2:9">
      <c r="B6796" s="1297"/>
      <c r="C6796" s="1297"/>
      <c r="D6796" s="1297" t="s">
        <v>1040</v>
      </c>
      <c r="F6796" s="1399">
        <v>196097.8</v>
      </c>
      <c r="I6796" s="1399">
        <v>196097.8</v>
      </c>
    </row>
    <row r="6797" spans="2:9">
      <c r="B6797" s="1297"/>
      <c r="C6797" s="1297"/>
      <c r="D6797" s="1297" t="s">
        <v>1041</v>
      </c>
      <c r="F6797" s="1399">
        <v>82724.72</v>
      </c>
      <c r="I6797" s="1399">
        <v>82724.72</v>
      </c>
    </row>
    <row r="6798" spans="2:9">
      <c r="B6798" s="1297"/>
      <c r="C6798" s="1297"/>
      <c r="D6798" s="1297" t="s">
        <v>1042</v>
      </c>
      <c r="F6798" s="1399">
        <v>18234.849999999999</v>
      </c>
      <c r="I6798" s="1399">
        <v>18234.849999999999</v>
      </c>
    </row>
    <row r="6799" spans="2:9">
      <c r="B6799" s="1297"/>
      <c r="C6799" s="1297"/>
      <c r="D6799" s="1297" t="s">
        <v>954</v>
      </c>
      <c r="F6799" s="1399">
        <v>61857.42</v>
      </c>
      <c r="I6799" s="1399">
        <v>61857.42</v>
      </c>
    </row>
    <row r="6800" spans="2:9">
      <c r="B6800" s="1297"/>
      <c r="C6800" s="1297"/>
      <c r="D6800" s="1297" t="s">
        <v>1045</v>
      </c>
      <c r="F6800" s="1399">
        <v>1110</v>
      </c>
      <c r="I6800" s="1399">
        <v>1110</v>
      </c>
    </row>
    <row r="6801" spans="2:9">
      <c r="B6801" s="1297"/>
      <c r="C6801" s="1297"/>
      <c r="D6801" s="1297" t="s">
        <v>1046</v>
      </c>
      <c r="H6801" s="1399">
        <v>7023736</v>
      </c>
      <c r="I6801" s="1399">
        <v>7023736</v>
      </c>
    </row>
    <row r="6802" spans="2:9">
      <c r="B6802" s="1297"/>
      <c r="C6802" s="1297"/>
      <c r="D6802" s="1297" t="s">
        <v>1047</v>
      </c>
      <c r="H6802" s="1399">
        <v>38368</v>
      </c>
      <c r="I6802" s="1399">
        <v>38368</v>
      </c>
    </row>
    <row r="6803" spans="2:9">
      <c r="B6803" s="1297"/>
      <c r="C6803" s="1297"/>
      <c r="D6803" s="1297" t="s">
        <v>1048</v>
      </c>
      <c r="H6803" s="1399">
        <v>-422642</v>
      </c>
      <c r="I6803" s="1399">
        <v>-422642</v>
      </c>
    </row>
    <row r="6804" spans="2:9">
      <c r="B6804" s="1297"/>
      <c r="C6804" s="1297"/>
      <c r="D6804" s="1297" t="s">
        <v>932</v>
      </c>
      <c r="H6804" s="1399">
        <v>1173685</v>
      </c>
      <c r="I6804" s="1399">
        <v>1173685</v>
      </c>
    </row>
    <row r="6805" spans="2:9">
      <c r="B6805" s="1297"/>
      <c r="C6805" s="1297"/>
      <c r="D6805" s="1297" t="s">
        <v>955</v>
      </c>
      <c r="H6805" s="1399">
        <v>431923.06</v>
      </c>
      <c r="I6805" s="1399">
        <v>431923.06</v>
      </c>
    </row>
    <row r="6806" spans="2:9">
      <c r="B6806" s="1297"/>
      <c r="C6806" s="1297"/>
      <c r="D6806" s="1297" t="s">
        <v>934</v>
      </c>
      <c r="H6806" s="1399">
        <v>20118</v>
      </c>
      <c r="I6806" s="1399">
        <v>20118</v>
      </c>
    </row>
    <row r="6807" spans="2:9">
      <c r="B6807" s="1297"/>
      <c r="C6807" s="1297"/>
      <c r="D6807" s="1297" t="s">
        <v>935</v>
      </c>
      <c r="H6807" s="1399">
        <v>57253.17</v>
      </c>
      <c r="I6807" s="1399">
        <v>57253.17</v>
      </c>
    </row>
    <row r="6808" spans="2:9">
      <c r="B6808" s="1297"/>
      <c r="C6808" s="1297"/>
      <c r="D6808" s="1297" t="s">
        <v>936</v>
      </c>
      <c r="H6808" s="1399">
        <v>17507.53</v>
      </c>
      <c r="I6808" s="1399">
        <v>17507.53</v>
      </c>
    </row>
    <row r="6809" spans="2:9">
      <c r="B6809" s="1297"/>
      <c r="C6809" s="1297"/>
      <c r="D6809" s="1297" t="s">
        <v>938</v>
      </c>
      <c r="H6809" s="1399">
        <v>4492</v>
      </c>
      <c r="I6809" s="1399">
        <v>4492</v>
      </c>
    </row>
    <row r="6810" spans="2:9">
      <c r="B6810" s="1297"/>
      <c r="C6810" s="1297"/>
      <c r="D6810" s="1297" t="s">
        <v>940</v>
      </c>
      <c r="E6810" s="1399">
        <v>227077.32</v>
      </c>
      <c r="I6810" s="1399">
        <v>227077.32</v>
      </c>
    </row>
    <row r="6811" spans="2:9">
      <c r="B6811" s="1297"/>
      <c r="C6811" s="1297"/>
      <c r="D6811" s="1297" t="s">
        <v>941</v>
      </c>
      <c r="E6811" s="1399">
        <v>33730.1</v>
      </c>
      <c r="I6811" s="1399">
        <v>33730.1</v>
      </c>
    </row>
    <row r="6812" spans="2:9">
      <c r="B6812" s="1297"/>
      <c r="C6812" s="1297"/>
      <c r="D6812" s="1297" t="s">
        <v>944</v>
      </c>
      <c r="E6812" s="1399">
        <v>428357</v>
      </c>
      <c r="I6812" s="1399">
        <v>428357</v>
      </c>
    </row>
    <row r="6813" spans="2:9">
      <c r="B6813" s="1297"/>
      <c r="C6813" s="1297"/>
      <c r="D6813" s="1297" t="s">
        <v>945</v>
      </c>
      <c r="E6813" s="1399">
        <v>582944.73</v>
      </c>
      <c r="I6813" s="1399">
        <v>582944.73</v>
      </c>
    </row>
    <row r="6814" spans="2:9">
      <c r="B6814" s="1297"/>
      <c r="C6814" s="1297"/>
      <c r="D6814" s="1297" t="s">
        <v>948</v>
      </c>
      <c r="G6814" s="1399">
        <v>690515</v>
      </c>
      <c r="I6814" s="1399">
        <v>690515</v>
      </c>
    </row>
    <row r="6815" spans="2:9">
      <c r="B6815" s="1297"/>
      <c r="C6815" s="1400" t="s">
        <v>1532</v>
      </c>
      <c r="D6815" s="1400"/>
      <c r="E6815" s="1401">
        <v>1272109.1499999999</v>
      </c>
      <c r="F6815" s="1401">
        <v>2325401.7000000002</v>
      </c>
      <c r="G6815" s="1401">
        <v>690515</v>
      </c>
      <c r="H6815" s="1401">
        <v>8344440.7599999998</v>
      </c>
      <c r="I6815" s="1401">
        <v>12632466.609999999</v>
      </c>
    </row>
    <row r="6816" spans="2:9">
      <c r="B6816" s="1297" t="s">
        <v>1533</v>
      </c>
      <c r="C6816" s="1297" t="s">
        <v>1534</v>
      </c>
      <c r="D6816" s="1297" t="s">
        <v>906</v>
      </c>
      <c r="F6816" s="1399">
        <v>24585028.239999998</v>
      </c>
      <c r="I6816" s="1399">
        <v>24585028.239999998</v>
      </c>
    </row>
    <row r="6817" spans="2:9">
      <c r="B6817" s="1297"/>
      <c r="C6817" s="1297"/>
      <c r="D6817" s="1297" t="s">
        <v>952</v>
      </c>
      <c r="F6817" s="1399">
        <v>247368.77</v>
      </c>
      <c r="I6817" s="1399">
        <v>247368.77</v>
      </c>
    </row>
    <row r="6818" spans="2:9">
      <c r="B6818" s="1297"/>
      <c r="C6818" s="1297"/>
      <c r="D6818" s="1297" t="s">
        <v>907</v>
      </c>
      <c r="F6818" s="1399">
        <v>9527596.0500000007</v>
      </c>
      <c r="I6818" s="1399">
        <v>9527596.0500000007</v>
      </c>
    </row>
    <row r="6819" spans="2:9">
      <c r="B6819" s="1297"/>
      <c r="C6819" s="1297"/>
      <c r="D6819" s="1297" t="s">
        <v>908</v>
      </c>
      <c r="F6819" s="1399">
        <v>0</v>
      </c>
      <c r="I6819" s="1399">
        <v>0</v>
      </c>
    </row>
    <row r="6820" spans="2:9">
      <c r="B6820" s="1297"/>
      <c r="C6820" s="1297"/>
      <c r="D6820" s="1297" t="s">
        <v>1034</v>
      </c>
      <c r="F6820" s="1399">
        <v>487605.09</v>
      </c>
      <c r="I6820" s="1399">
        <v>487605.09</v>
      </c>
    </row>
    <row r="6821" spans="2:9">
      <c r="B6821" s="1297"/>
      <c r="C6821" s="1297"/>
      <c r="D6821" s="1297" t="s">
        <v>1035</v>
      </c>
      <c r="F6821" s="1399">
        <v>400774.34</v>
      </c>
      <c r="I6821" s="1399">
        <v>400774.34</v>
      </c>
    </row>
    <row r="6822" spans="2:9">
      <c r="B6822" s="1297"/>
      <c r="C6822" s="1297"/>
      <c r="D6822" s="1297" t="s">
        <v>1037</v>
      </c>
      <c r="F6822" s="1399">
        <v>0</v>
      </c>
      <c r="I6822" s="1399">
        <v>0</v>
      </c>
    </row>
    <row r="6823" spans="2:9">
      <c r="B6823" s="1297"/>
      <c r="C6823" s="1297"/>
      <c r="D6823" s="1297" t="s">
        <v>1038</v>
      </c>
      <c r="F6823" s="1399">
        <v>12875</v>
      </c>
      <c r="I6823" s="1399">
        <v>12875</v>
      </c>
    </row>
    <row r="6824" spans="2:9">
      <c r="B6824" s="1297"/>
      <c r="C6824" s="1297"/>
      <c r="D6824" s="1297" t="s">
        <v>1039</v>
      </c>
      <c r="F6824" s="1399">
        <v>65458.720000000001</v>
      </c>
      <c r="I6824" s="1399">
        <v>65458.720000000001</v>
      </c>
    </row>
    <row r="6825" spans="2:9">
      <c r="B6825" s="1297"/>
      <c r="C6825" s="1297"/>
      <c r="D6825" s="1297" t="s">
        <v>1040</v>
      </c>
      <c r="F6825" s="1399">
        <v>211943.8</v>
      </c>
      <c r="I6825" s="1399">
        <v>211943.8</v>
      </c>
    </row>
    <row r="6826" spans="2:9">
      <c r="B6826" s="1297"/>
      <c r="C6826" s="1297"/>
      <c r="D6826" s="1297" t="s">
        <v>1207</v>
      </c>
      <c r="F6826" s="1399">
        <v>0</v>
      </c>
      <c r="I6826" s="1399">
        <v>0</v>
      </c>
    </row>
    <row r="6827" spans="2:9">
      <c r="B6827" s="1297"/>
      <c r="C6827" s="1297"/>
      <c r="D6827" s="1297" t="s">
        <v>1041</v>
      </c>
      <c r="F6827" s="1399">
        <v>19900.53</v>
      </c>
      <c r="I6827" s="1399">
        <v>19900.53</v>
      </c>
    </row>
    <row r="6828" spans="2:9">
      <c r="B6828" s="1297"/>
      <c r="C6828" s="1297"/>
      <c r="D6828" s="1297" t="s">
        <v>1042</v>
      </c>
      <c r="F6828" s="1399">
        <v>71426.53</v>
      </c>
      <c r="I6828" s="1399">
        <v>71426.53</v>
      </c>
    </row>
    <row r="6829" spans="2:9">
      <c r="B6829" s="1297"/>
      <c r="C6829" s="1297"/>
      <c r="D6829" s="1297" t="s">
        <v>954</v>
      </c>
      <c r="F6829" s="1399">
        <v>436732.29</v>
      </c>
      <c r="I6829" s="1399">
        <v>436732.29</v>
      </c>
    </row>
    <row r="6830" spans="2:9">
      <c r="B6830" s="1297"/>
      <c r="C6830" s="1297"/>
      <c r="D6830" s="1297" t="s">
        <v>1044</v>
      </c>
      <c r="F6830" s="1399">
        <v>92918.45</v>
      </c>
      <c r="I6830" s="1399">
        <v>92918.45</v>
      </c>
    </row>
    <row r="6831" spans="2:9">
      <c r="B6831" s="1297"/>
      <c r="C6831" s="1297"/>
      <c r="D6831" s="1297" t="s">
        <v>1045</v>
      </c>
      <c r="F6831" s="1399">
        <v>782170.81</v>
      </c>
      <c r="I6831" s="1399">
        <v>782170.81</v>
      </c>
    </row>
    <row r="6832" spans="2:9">
      <c r="B6832" s="1297"/>
      <c r="C6832" s="1297"/>
      <c r="D6832" s="1297" t="s">
        <v>1046</v>
      </c>
      <c r="H6832" s="1399">
        <v>41484086</v>
      </c>
      <c r="I6832" s="1399">
        <v>41484086</v>
      </c>
    </row>
    <row r="6833" spans="2:9">
      <c r="B6833" s="1297"/>
      <c r="C6833" s="1297"/>
      <c r="D6833" s="1297" t="s">
        <v>1129</v>
      </c>
      <c r="H6833" s="1399">
        <v>-5134999</v>
      </c>
      <c r="I6833" s="1399">
        <v>-5134999</v>
      </c>
    </row>
    <row r="6834" spans="2:9">
      <c r="B6834" s="1297"/>
      <c r="C6834" s="1297"/>
      <c r="D6834" s="1297" t="s">
        <v>1047</v>
      </c>
      <c r="H6834" s="1399">
        <v>651349</v>
      </c>
      <c r="I6834" s="1399">
        <v>651349</v>
      </c>
    </row>
    <row r="6835" spans="2:9">
      <c r="B6835" s="1297"/>
      <c r="C6835" s="1297"/>
      <c r="D6835" s="1297" t="s">
        <v>1048</v>
      </c>
      <c r="H6835" s="1399">
        <v>-7228341</v>
      </c>
      <c r="I6835" s="1399">
        <v>-7228341</v>
      </c>
    </row>
    <row r="6836" spans="2:9">
      <c r="B6836" s="1297"/>
      <c r="C6836" s="1297"/>
      <c r="D6836" s="1297" t="s">
        <v>932</v>
      </c>
      <c r="H6836" s="1399">
        <v>693436</v>
      </c>
      <c r="I6836" s="1399">
        <v>693436</v>
      </c>
    </row>
    <row r="6837" spans="2:9">
      <c r="B6837" s="1297"/>
      <c r="C6837" s="1297"/>
      <c r="D6837" s="1297" t="s">
        <v>934</v>
      </c>
      <c r="H6837" s="1399">
        <v>118338</v>
      </c>
      <c r="I6837" s="1399">
        <v>118338</v>
      </c>
    </row>
    <row r="6838" spans="2:9">
      <c r="B6838" s="1297"/>
      <c r="C6838" s="1297"/>
      <c r="D6838" s="1297" t="s">
        <v>1130</v>
      </c>
      <c r="H6838" s="1399">
        <v>0</v>
      </c>
      <c r="I6838" s="1399">
        <v>0</v>
      </c>
    </row>
    <row r="6839" spans="2:9">
      <c r="B6839" s="1297"/>
      <c r="C6839" s="1297"/>
      <c r="D6839" s="1297" t="s">
        <v>935</v>
      </c>
      <c r="H6839" s="1399">
        <v>610095.79</v>
      </c>
      <c r="I6839" s="1399">
        <v>610095.79</v>
      </c>
    </row>
    <row r="6840" spans="2:9">
      <c r="B6840" s="1297"/>
      <c r="C6840" s="1297"/>
      <c r="D6840" s="1297" t="s">
        <v>936</v>
      </c>
      <c r="H6840" s="1399">
        <v>91739.44</v>
      </c>
      <c r="I6840" s="1399">
        <v>91739.44</v>
      </c>
    </row>
    <row r="6841" spans="2:9">
      <c r="B6841" s="1297"/>
      <c r="C6841" s="1297"/>
      <c r="D6841" s="1297" t="s">
        <v>937</v>
      </c>
      <c r="H6841" s="1399">
        <v>29468.560000000001</v>
      </c>
      <c r="I6841" s="1399">
        <v>29468.560000000001</v>
      </c>
    </row>
    <row r="6842" spans="2:9">
      <c r="B6842" s="1297"/>
      <c r="C6842" s="1297"/>
      <c r="D6842" s="1297" t="s">
        <v>938</v>
      </c>
      <c r="H6842" s="1399">
        <v>41736</v>
      </c>
      <c r="I6842" s="1399">
        <v>41736</v>
      </c>
    </row>
    <row r="6843" spans="2:9">
      <c r="B6843" s="1297"/>
      <c r="C6843" s="1297"/>
      <c r="D6843" s="1297" t="s">
        <v>939</v>
      </c>
      <c r="H6843" s="1399">
        <v>446743.99</v>
      </c>
      <c r="I6843" s="1399">
        <v>446743.99</v>
      </c>
    </row>
    <row r="6844" spans="2:9">
      <c r="B6844" s="1297"/>
      <c r="C6844" s="1297"/>
      <c r="D6844" s="1297" t="s">
        <v>1131</v>
      </c>
      <c r="E6844" s="1399">
        <v>44870.81</v>
      </c>
      <c r="I6844" s="1399">
        <v>44870.81</v>
      </c>
    </row>
    <row r="6845" spans="2:9">
      <c r="B6845" s="1297"/>
      <c r="C6845" s="1297"/>
      <c r="D6845" s="1297" t="s">
        <v>940</v>
      </c>
      <c r="E6845" s="1399">
        <v>2430066.6800000002</v>
      </c>
      <c r="I6845" s="1399">
        <v>2430066.6800000002</v>
      </c>
    </row>
    <row r="6846" spans="2:9">
      <c r="B6846" s="1297"/>
      <c r="C6846" s="1297"/>
      <c r="D6846" s="1297" t="s">
        <v>941</v>
      </c>
      <c r="E6846" s="1399">
        <v>931662.18</v>
      </c>
      <c r="I6846" s="1399">
        <v>931662.18</v>
      </c>
    </row>
    <row r="6847" spans="2:9">
      <c r="B6847" s="1297"/>
      <c r="C6847" s="1297"/>
      <c r="D6847" s="1297" t="s">
        <v>943</v>
      </c>
      <c r="E6847" s="1399">
        <v>1318.68</v>
      </c>
      <c r="I6847" s="1399">
        <v>1318.68</v>
      </c>
    </row>
    <row r="6848" spans="2:9">
      <c r="B6848" s="1297"/>
      <c r="C6848" s="1297"/>
      <c r="D6848" s="1297" t="s">
        <v>944</v>
      </c>
      <c r="E6848" s="1399">
        <v>10798002.93</v>
      </c>
      <c r="I6848" s="1399">
        <v>10798002.93</v>
      </c>
    </row>
    <row r="6849" spans="2:9">
      <c r="B6849" s="1297"/>
      <c r="C6849" s="1297"/>
      <c r="D6849" s="1297" t="s">
        <v>946</v>
      </c>
      <c r="E6849" s="1399">
        <v>0</v>
      </c>
      <c r="I6849" s="1399">
        <v>0</v>
      </c>
    </row>
    <row r="6850" spans="2:9">
      <c r="B6850" s="1297"/>
      <c r="C6850" s="1297"/>
      <c r="D6850" s="1297" t="s">
        <v>1006</v>
      </c>
      <c r="E6850" s="1399">
        <v>17636</v>
      </c>
      <c r="I6850" s="1399">
        <v>17636</v>
      </c>
    </row>
    <row r="6851" spans="2:9">
      <c r="B6851" s="1297"/>
      <c r="C6851" s="1297"/>
      <c r="D6851" s="1297" t="s">
        <v>947</v>
      </c>
      <c r="E6851" s="1399">
        <v>209478.12</v>
      </c>
      <c r="I6851" s="1399">
        <v>209478.12</v>
      </c>
    </row>
    <row r="6852" spans="2:9">
      <c r="B6852" s="1297"/>
      <c r="C6852" s="1297"/>
      <c r="D6852" s="1297" t="s">
        <v>1115</v>
      </c>
      <c r="E6852" s="1399">
        <v>0</v>
      </c>
      <c r="I6852" s="1399">
        <v>0</v>
      </c>
    </row>
    <row r="6853" spans="2:9">
      <c r="B6853" s="1297"/>
      <c r="C6853" s="1297"/>
      <c r="D6853" s="1297" t="s">
        <v>1116</v>
      </c>
      <c r="G6853" s="1399">
        <v>0</v>
      </c>
      <c r="I6853" s="1399">
        <v>0</v>
      </c>
    </row>
    <row r="6854" spans="2:9">
      <c r="B6854" s="1297"/>
      <c r="C6854" s="1297"/>
      <c r="D6854" s="1297" t="s">
        <v>1535</v>
      </c>
      <c r="G6854" s="1399">
        <v>0</v>
      </c>
      <c r="I6854" s="1399">
        <v>0</v>
      </c>
    </row>
    <row r="6855" spans="2:9">
      <c r="B6855" s="1297"/>
      <c r="C6855" s="1297"/>
      <c r="D6855" s="1297" t="s">
        <v>948</v>
      </c>
      <c r="G6855" s="1399">
        <v>7625001</v>
      </c>
      <c r="I6855" s="1399">
        <v>7625001</v>
      </c>
    </row>
    <row r="6856" spans="2:9">
      <c r="B6856" s="1297"/>
      <c r="C6856" s="1297"/>
      <c r="D6856" s="1297" t="s">
        <v>956</v>
      </c>
      <c r="G6856" s="1399">
        <v>0</v>
      </c>
      <c r="I6856" s="1399">
        <v>0</v>
      </c>
    </row>
    <row r="6857" spans="2:9">
      <c r="B6857" s="1297"/>
      <c r="C6857" s="1297"/>
      <c r="D6857" s="1297" t="s">
        <v>1118</v>
      </c>
      <c r="G6857" s="1399">
        <v>0</v>
      </c>
      <c r="I6857" s="1399">
        <v>0</v>
      </c>
    </row>
    <row r="6858" spans="2:9">
      <c r="B6858" s="1297"/>
      <c r="C6858" s="1400" t="s">
        <v>1536</v>
      </c>
      <c r="D6858" s="1400"/>
      <c r="E6858" s="1401">
        <v>14433035.4</v>
      </c>
      <c r="F6858" s="1401">
        <v>36941798.620000012</v>
      </c>
      <c r="G6858" s="1401">
        <v>7625001</v>
      </c>
      <c r="H6858" s="1401">
        <v>31803652.779999997</v>
      </c>
      <c r="I6858" s="1401">
        <v>90803487.800000042</v>
      </c>
    </row>
    <row r="6859" spans="2:9">
      <c r="B6859" s="1297" t="s">
        <v>1537</v>
      </c>
      <c r="C6859" s="1297" t="s">
        <v>1538</v>
      </c>
      <c r="D6859" s="1297" t="s">
        <v>907</v>
      </c>
      <c r="F6859" s="1399">
        <v>2153804.0299999998</v>
      </c>
      <c r="I6859" s="1399">
        <v>2153804.0299999998</v>
      </c>
    </row>
    <row r="6860" spans="2:9">
      <c r="B6860" s="1297"/>
      <c r="C6860" s="1297"/>
      <c r="D6860" s="1297" t="s">
        <v>1145</v>
      </c>
      <c r="F6860" s="1399">
        <v>3717055.05</v>
      </c>
      <c r="I6860" s="1399">
        <v>3717055.05</v>
      </c>
    </row>
    <row r="6861" spans="2:9">
      <c r="B6861" s="1297"/>
      <c r="C6861" s="1297"/>
      <c r="D6861" s="1297" t="s">
        <v>909</v>
      </c>
      <c r="F6861" s="1399">
        <v>36890.230000000003</v>
      </c>
      <c r="I6861" s="1399">
        <v>36890.230000000003</v>
      </c>
    </row>
    <row r="6862" spans="2:9">
      <c r="B6862" s="1297"/>
      <c r="C6862" s="1297"/>
      <c r="D6862" s="1297" t="s">
        <v>910</v>
      </c>
      <c r="F6862" s="1399">
        <v>12343.32</v>
      </c>
      <c r="I6862" s="1399">
        <v>12343.32</v>
      </c>
    </row>
    <row r="6863" spans="2:9">
      <c r="B6863" s="1297"/>
      <c r="C6863" s="1297"/>
      <c r="D6863" s="1297" t="s">
        <v>1034</v>
      </c>
      <c r="F6863" s="1399">
        <v>89144.1</v>
      </c>
      <c r="I6863" s="1399">
        <v>89144.1</v>
      </c>
    </row>
    <row r="6864" spans="2:9">
      <c r="B6864" s="1297"/>
      <c r="C6864" s="1297"/>
      <c r="D6864" s="1297" t="s">
        <v>1035</v>
      </c>
      <c r="F6864" s="1399">
        <v>239361.86</v>
      </c>
      <c r="I6864" s="1399">
        <v>239361.86</v>
      </c>
    </row>
    <row r="6865" spans="2:9">
      <c r="B6865" s="1297"/>
      <c r="C6865" s="1297"/>
      <c r="D6865" s="1297" t="s">
        <v>1036</v>
      </c>
      <c r="F6865" s="1399">
        <v>131440.53</v>
      </c>
      <c r="I6865" s="1399">
        <v>131440.53</v>
      </c>
    </row>
    <row r="6866" spans="2:9">
      <c r="B6866" s="1297"/>
      <c r="C6866" s="1297"/>
      <c r="D6866" s="1297" t="s">
        <v>1037</v>
      </c>
      <c r="F6866" s="1399">
        <v>159854.58000000002</v>
      </c>
      <c r="I6866" s="1399">
        <v>159854.58000000002</v>
      </c>
    </row>
    <row r="6867" spans="2:9">
      <c r="B6867" s="1297"/>
      <c r="C6867" s="1297"/>
      <c r="D6867" s="1297" t="s">
        <v>1038</v>
      </c>
      <c r="F6867" s="1399">
        <v>9747.9</v>
      </c>
      <c r="I6867" s="1399">
        <v>9747.9</v>
      </c>
    </row>
    <row r="6868" spans="2:9">
      <c r="B6868" s="1297"/>
      <c r="C6868" s="1297"/>
      <c r="D6868" s="1297" t="s">
        <v>1039</v>
      </c>
      <c r="F6868" s="1399">
        <v>45675.25</v>
      </c>
      <c r="I6868" s="1399">
        <v>45675.25</v>
      </c>
    </row>
    <row r="6869" spans="2:9">
      <c r="B6869" s="1297"/>
      <c r="C6869" s="1297"/>
      <c r="D6869" s="1297" t="s">
        <v>1040</v>
      </c>
      <c r="F6869" s="1399">
        <v>210614.04</v>
      </c>
      <c r="I6869" s="1399">
        <v>210614.04</v>
      </c>
    </row>
    <row r="6870" spans="2:9">
      <c r="B6870" s="1297"/>
      <c r="C6870" s="1297"/>
      <c r="D6870" s="1297" t="s">
        <v>1041</v>
      </c>
      <c r="F6870" s="1399">
        <v>33545.019999999997</v>
      </c>
      <c r="I6870" s="1399">
        <v>33545.019999999997</v>
      </c>
    </row>
    <row r="6871" spans="2:9">
      <c r="B6871" s="1297"/>
      <c r="C6871" s="1297"/>
      <c r="D6871" s="1297" t="s">
        <v>1042</v>
      </c>
      <c r="F6871" s="1399">
        <v>23480.73</v>
      </c>
      <c r="I6871" s="1399">
        <v>23480.73</v>
      </c>
    </row>
    <row r="6872" spans="2:9">
      <c r="B6872" s="1297"/>
      <c r="C6872" s="1297"/>
      <c r="D6872" s="1297" t="s">
        <v>954</v>
      </c>
      <c r="F6872" s="1399">
        <v>27109.07</v>
      </c>
      <c r="I6872" s="1399">
        <v>27109.07</v>
      </c>
    </row>
    <row r="6873" spans="2:9">
      <c r="B6873" s="1297"/>
      <c r="C6873" s="1297"/>
      <c r="D6873" s="1297" t="s">
        <v>985</v>
      </c>
      <c r="F6873" s="1399">
        <v>148412</v>
      </c>
      <c r="I6873" s="1399">
        <v>148412</v>
      </c>
    </row>
    <row r="6874" spans="2:9">
      <c r="B6874" s="1297"/>
      <c r="C6874" s="1297"/>
      <c r="D6874" s="1297" t="s">
        <v>1043</v>
      </c>
      <c r="F6874" s="1399">
        <v>63403.31</v>
      </c>
      <c r="I6874" s="1399">
        <v>63403.31</v>
      </c>
    </row>
    <row r="6875" spans="2:9">
      <c r="B6875" s="1297"/>
      <c r="C6875" s="1297"/>
      <c r="D6875" s="1297" t="s">
        <v>986</v>
      </c>
      <c r="F6875" s="1399">
        <v>505</v>
      </c>
      <c r="I6875" s="1399">
        <v>505</v>
      </c>
    </row>
    <row r="6876" spans="2:9">
      <c r="B6876" s="1297"/>
      <c r="C6876" s="1297"/>
      <c r="D6876" s="1297" t="s">
        <v>996</v>
      </c>
      <c r="F6876" s="1399">
        <v>15000</v>
      </c>
      <c r="I6876" s="1399">
        <v>15000</v>
      </c>
    </row>
    <row r="6877" spans="2:9">
      <c r="B6877" s="1297"/>
      <c r="C6877" s="1297"/>
      <c r="D6877" s="1297" t="s">
        <v>1045</v>
      </c>
      <c r="F6877" s="1399">
        <v>289940.26</v>
      </c>
      <c r="I6877" s="1399">
        <v>289940.26</v>
      </c>
    </row>
    <row r="6878" spans="2:9">
      <c r="B6878" s="1297"/>
      <c r="C6878" s="1297"/>
      <c r="D6878" s="1297" t="s">
        <v>1046</v>
      </c>
      <c r="H6878" s="1399">
        <v>11027777</v>
      </c>
      <c r="I6878" s="1399">
        <v>11027777</v>
      </c>
    </row>
    <row r="6879" spans="2:9">
      <c r="B6879" s="1297"/>
      <c r="C6879" s="1297"/>
      <c r="D6879" s="1297" t="s">
        <v>1047</v>
      </c>
      <c r="H6879" s="1399">
        <v>202149</v>
      </c>
      <c r="I6879" s="1399">
        <v>202149</v>
      </c>
    </row>
    <row r="6880" spans="2:9">
      <c r="B6880" s="1297"/>
      <c r="C6880" s="1297"/>
      <c r="D6880" s="1297" t="s">
        <v>1048</v>
      </c>
      <c r="H6880" s="1399">
        <v>-1358507</v>
      </c>
      <c r="I6880" s="1399">
        <v>-1358507</v>
      </c>
    </row>
    <row r="6881" spans="2:9">
      <c r="B6881" s="1297"/>
      <c r="C6881" s="1297"/>
      <c r="D6881" s="1297" t="s">
        <v>932</v>
      </c>
      <c r="H6881" s="1399">
        <v>932697</v>
      </c>
      <c r="I6881" s="1399">
        <v>932697</v>
      </c>
    </row>
    <row r="6882" spans="2:9">
      <c r="B6882" s="1297"/>
      <c r="C6882" s="1297"/>
      <c r="D6882" s="1297" t="s">
        <v>933</v>
      </c>
      <c r="H6882" s="1399">
        <v>601871.22</v>
      </c>
      <c r="I6882" s="1399">
        <v>601871.22</v>
      </c>
    </row>
    <row r="6883" spans="2:9">
      <c r="B6883" s="1297"/>
      <c r="C6883" s="1297"/>
      <c r="D6883" s="1297" t="s">
        <v>934</v>
      </c>
      <c r="H6883" s="1399">
        <v>40208</v>
      </c>
      <c r="I6883" s="1399">
        <v>40208</v>
      </c>
    </row>
    <row r="6884" spans="2:9">
      <c r="B6884" s="1297"/>
      <c r="C6884" s="1297"/>
      <c r="D6884" s="1297" t="s">
        <v>1130</v>
      </c>
      <c r="H6884" s="1399">
        <v>258712.1</v>
      </c>
      <c r="I6884" s="1399">
        <v>258712.1</v>
      </c>
    </row>
    <row r="6885" spans="2:9">
      <c r="B6885" s="1297"/>
      <c r="C6885" s="1297"/>
      <c r="D6885" s="1297" t="s">
        <v>935</v>
      </c>
      <c r="H6885" s="1399">
        <v>76103.59</v>
      </c>
      <c r="I6885" s="1399">
        <v>76103.59</v>
      </c>
    </row>
    <row r="6886" spans="2:9">
      <c r="B6886" s="1297"/>
      <c r="C6886" s="1297"/>
      <c r="D6886" s="1297" t="s">
        <v>936</v>
      </c>
      <c r="H6886" s="1399">
        <v>29412.639999999999</v>
      </c>
      <c r="I6886" s="1399">
        <v>29412.639999999999</v>
      </c>
    </row>
    <row r="6887" spans="2:9">
      <c r="B6887" s="1297"/>
      <c r="C6887" s="1297"/>
      <c r="D6887" s="1297" t="s">
        <v>937</v>
      </c>
      <c r="H6887" s="1399">
        <v>12302.25</v>
      </c>
      <c r="I6887" s="1399">
        <v>12302.25</v>
      </c>
    </row>
    <row r="6888" spans="2:9">
      <c r="B6888" s="1297"/>
      <c r="C6888" s="1297"/>
      <c r="D6888" s="1297" t="s">
        <v>938</v>
      </c>
      <c r="H6888" s="1399">
        <v>8984</v>
      </c>
      <c r="I6888" s="1399">
        <v>8984</v>
      </c>
    </row>
    <row r="6889" spans="2:9">
      <c r="B6889" s="1297"/>
      <c r="C6889" s="1297"/>
      <c r="D6889" s="1297" t="s">
        <v>939</v>
      </c>
      <c r="H6889" s="1399">
        <v>20000</v>
      </c>
      <c r="I6889" s="1399">
        <v>20000</v>
      </c>
    </row>
    <row r="6890" spans="2:9">
      <c r="B6890" s="1297"/>
      <c r="C6890" s="1297"/>
      <c r="D6890" s="1297" t="s">
        <v>940</v>
      </c>
      <c r="E6890" s="1399">
        <v>671639.98</v>
      </c>
      <c r="I6890" s="1399">
        <v>671639.98</v>
      </c>
    </row>
    <row r="6891" spans="2:9">
      <c r="B6891" s="1297"/>
      <c r="C6891" s="1297"/>
      <c r="D6891" s="1297" t="s">
        <v>941</v>
      </c>
      <c r="E6891" s="1399">
        <v>218797.6</v>
      </c>
      <c r="I6891" s="1399">
        <v>218797.6</v>
      </c>
    </row>
    <row r="6892" spans="2:9">
      <c r="B6892" s="1297"/>
      <c r="C6892" s="1297"/>
      <c r="D6892" s="1297" t="s">
        <v>943</v>
      </c>
      <c r="E6892" s="1399">
        <v>11766</v>
      </c>
      <c r="I6892" s="1399">
        <v>11766</v>
      </c>
    </row>
    <row r="6893" spans="2:9">
      <c r="B6893" s="1297"/>
      <c r="C6893" s="1297"/>
      <c r="D6893" s="1297" t="s">
        <v>944</v>
      </c>
      <c r="E6893" s="1399">
        <v>1527827.3699999999</v>
      </c>
      <c r="I6893" s="1399">
        <v>1527827.3699999999</v>
      </c>
    </row>
    <row r="6894" spans="2:9">
      <c r="B6894" s="1297"/>
      <c r="C6894" s="1297"/>
      <c r="D6894" s="1297" t="s">
        <v>945</v>
      </c>
      <c r="E6894" s="1399">
        <v>1237464.7499999998</v>
      </c>
      <c r="I6894" s="1399">
        <v>1237464.7499999998</v>
      </c>
    </row>
    <row r="6895" spans="2:9">
      <c r="B6895" s="1297"/>
      <c r="C6895" s="1297"/>
      <c r="D6895" s="1297" t="s">
        <v>947</v>
      </c>
      <c r="E6895" s="1399">
        <v>80915.100000000006</v>
      </c>
      <c r="I6895" s="1399">
        <v>80915.100000000006</v>
      </c>
    </row>
    <row r="6896" spans="2:9">
      <c r="B6896" s="1297"/>
      <c r="C6896" s="1297"/>
      <c r="D6896" s="1297" t="s">
        <v>948</v>
      </c>
      <c r="G6896" s="1399">
        <v>229.32999999998719</v>
      </c>
      <c r="I6896" s="1399">
        <v>229.32999999998719</v>
      </c>
    </row>
    <row r="6897" spans="2:9">
      <c r="B6897" s="1297"/>
      <c r="C6897" s="1400" t="s">
        <v>1539</v>
      </c>
      <c r="D6897" s="1400"/>
      <c r="E6897" s="1401">
        <v>3748410.7999999993</v>
      </c>
      <c r="F6897" s="1401">
        <v>7407326.2800000012</v>
      </c>
      <c r="G6897" s="1401">
        <v>229.32999999998719</v>
      </c>
      <c r="H6897" s="1401">
        <v>11851709.800000001</v>
      </c>
      <c r="I6897" s="1401">
        <v>23007676.210000005</v>
      </c>
    </row>
    <row r="6898" spans="2:9">
      <c r="B6898" s="1297" t="s">
        <v>1540</v>
      </c>
      <c r="C6898" s="1297" t="s">
        <v>1541</v>
      </c>
      <c r="D6898" s="1297" t="s">
        <v>1039</v>
      </c>
      <c r="F6898" s="1399">
        <v>714.07</v>
      </c>
      <c r="I6898" s="1399">
        <v>714.07</v>
      </c>
    </row>
    <row r="6899" spans="2:9">
      <c r="B6899" s="1297"/>
      <c r="C6899" s="1297"/>
      <c r="D6899" s="1297" t="s">
        <v>996</v>
      </c>
      <c r="F6899" s="1399">
        <v>460476</v>
      </c>
      <c r="I6899" s="1399">
        <v>460476</v>
      </c>
    </row>
    <row r="6900" spans="2:9">
      <c r="B6900" s="1297"/>
      <c r="C6900" s="1297"/>
      <c r="D6900" s="1297" t="s">
        <v>1044</v>
      </c>
      <c r="F6900" s="1399">
        <v>79401.84</v>
      </c>
      <c r="I6900" s="1399">
        <v>79401.84</v>
      </c>
    </row>
    <row r="6901" spans="2:9">
      <c r="B6901" s="1297"/>
      <c r="C6901" s="1297"/>
      <c r="D6901" s="1297" t="s">
        <v>1045</v>
      </c>
      <c r="F6901" s="1399">
        <v>572499.77</v>
      </c>
      <c r="I6901" s="1399">
        <v>572499.77</v>
      </c>
    </row>
    <row r="6902" spans="2:9">
      <c r="B6902" s="1297"/>
      <c r="C6902" s="1297"/>
      <c r="D6902" s="1297" t="s">
        <v>935</v>
      </c>
      <c r="H6902" s="1399">
        <v>4761565.34</v>
      </c>
      <c r="I6902" s="1399">
        <v>4761565.34</v>
      </c>
    </row>
    <row r="6903" spans="2:9">
      <c r="B6903" s="1297"/>
      <c r="C6903" s="1297"/>
      <c r="D6903" s="1297" t="s">
        <v>936</v>
      </c>
      <c r="H6903" s="1399">
        <v>14006.02</v>
      </c>
      <c r="I6903" s="1399">
        <v>14006.02</v>
      </c>
    </row>
    <row r="6904" spans="2:9">
      <c r="B6904" s="1297"/>
      <c r="C6904" s="1297"/>
      <c r="D6904" s="1297" t="s">
        <v>939</v>
      </c>
      <c r="H6904" s="1399">
        <v>10990.82</v>
      </c>
      <c r="I6904" s="1399">
        <v>10990.82</v>
      </c>
    </row>
    <row r="6905" spans="2:9">
      <c r="B6905" s="1297"/>
      <c r="C6905" s="1297"/>
      <c r="D6905" s="1297" t="s">
        <v>944</v>
      </c>
      <c r="E6905" s="1399">
        <v>1306443.6500000001</v>
      </c>
      <c r="I6905" s="1399">
        <v>1306443.6500000001</v>
      </c>
    </row>
    <row r="6906" spans="2:9">
      <c r="B6906" s="1297"/>
      <c r="C6906" s="1400" t="s">
        <v>1542</v>
      </c>
      <c r="D6906" s="1400"/>
      <c r="E6906" s="1401">
        <v>1306443.6500000001</v>
      </c>
      <c r="F6906" s="1401">
        <v>1113091.6800000002</v>
      </c>
      <c r="G6906" s="1401"/>
      <c r="H6906" s="1401">
        <v>4786562.18</v>
      </c>
      <c r="I6906" s="1401">
        <v>7206097.5099999998</v>
      </c>
    </row>
    <row r="6907" spans="2:9">
      <c r="B6907" s="1297" t="s">
        <v>1543</v>
      </c>
      <c r="C6907" s="1297" t="s">
        <v>1544</v>
      </c>
      <c r="D6907" s="1297" t="s">
        <v>1034</v>
      </c>
      <c r="F6907" s="1399">
        <v>8739.14</v>
      </c>
      <c r="I6907" s="1399">
        <v>8739.14</v>
      </c>
    </row>
    <row r="6908" spans="2:9">
      <c r="B6908" s="1297"/>
      <c r="C6908" s="1297"/>
      <c r="D6908" s="1297" t="s">
        <v>1039</v>
      </c>
      <c r="F6908" s="1399">
        <v>6827.9100000000008</v>
      </c>
      <c r="I6908" s="1399">
        <v>6827.9100000000008</v>
      </c>
    </row>
    <row r="6909" spans="2:9">
      <c r="B6909" s="1297"/>
      <c r="C6909" s="1297"/>
      <c r="D6909" s="1297" t="s">
        <v>954</v>
      </c>
      <c r="F6909" s="1399">
        <v>110.95</v>
      </c>
      <c r="I6909" s="1399">
        <v>110.95</v>
      </c>
    </row>
    <row r="6910" spans="2:9">
      <c r="B6910" s="1297"/>
      <c r="C6910" s="1297"/>
      <c r="D6910" s="1297" t="s">
        <v>1043</v>
      </c>
      <c r="F6910" s="1399">
        <v>0</v>
      </c>
      <c r="I6910" s="1399">
        <v>0</v>
      </c>
    </row>
    <row r="6911" spans="2:9">
      <c r="B6911" s="1297"/>
      <c r="C6911" s="1297"/>
      <c r="D6911" s="1297" t="s">
        <v>996</v>
      </c>
      <c r="F6911" s="1399">
        <v>461537.72</v>
      </c>
      <c r="I6911" s="1399">
        <v>461537.72</v>
      </c>
    </row>
    <row r="6912" spans="2:9">
      <c r="B6912" s="1297"/>
      <c r="C6912" s="1297"/>
      <c r="D6912" s="1297" t="s">
        <v>1044</v>
      </c>
      <c r="F6912" s="1399">
        <v>10800</v>
      </c>
      <c r="I6912" s="1399">
        <v>10800</v>
      </c>
    </row>
    <row r="6913" spans="2:9">
      <c r="B6913" s="1297"/>
      <c r="C6913" s="1297"/>
      <c r="D6913" s="1297" t="s">
        <v>1045</v>
      </c>
      <c r="F6913" s="1399">
        <v>487191.1</v>
      </c>
      <c r="I6913" s="1399">
        <v>487191.1</v>
      </c>
    </row>
    <row r="6914" spans="2:9">
      <c r="B6914" s="1297"/>
      <c r="C6914" s="1297"/>
      <c r="D6914" s="1297" t="s">
        <v>935</v>
      </c>
      <c r="H6914" s="1399">
        <v>2879540.63</v>
      </c>
      <c r="I6914" s="1399">
        <v>2879540.63</v>
      </c>
    </row>
    <row r="6915" spans="2:9">
      <c r="B6915" s="1297"/>
      <c r="C6915" s="1297"/>
      <c r="D6915" s="1297" t="s">
        <v>936</v>
      </c>
      <c r="H6915" s="1399">
        <v>13655.87</v>
      </c>
      <c r="I6915" s="1399">
        <v>13655.87</v>
      </c>
    </row>
    <row r="6916" spans="2:9">
      <c r="B6916" s="1297"/>
      <c r="C6916" s="1297"/>
      <c r="D6916" s="1297" t="s">
        <v>944</v>
      </c>
      <c r="E6916" s="1399">
        <v>526669.31000000006</v>
      </c>
      <c r="I6916" s="1399">
        <v>526669.31000000006</v>
      </c>
    </row>
    <row r="6917" spans="2:9">
      <c r="B6917" s="1297"/>
      <c r="C6917" s="1297"/>
      <c r="D6917" s="1297" t="s">
        <v>1118</v>
      </c>
      <c r="G6917" s="1399">
        <v>18993</v>
      </c>
      <c r="I6917" s="1399">
        <v>18993</v>
      </c>
    </row>
    <row r="6918" spans="2:9">
      <c r="B6918" s="1297"/>
      <c r="C6918" s="1400" t="s">
        <v>1545</v>
      </c>
      <c r="D6918" s="1400"/>
      <c r="E6918" s="1401">
        <v>526669.31000000006</v>
      </c>
      <c r="F6918" s="1401">
        <v>975206.82</v>
      </c>
      <c r="G6918" s="1401">
        <v>18993</v>
      </c>
      <c r="H6918" s="1401">
        <v>2893196.5</v>
      </c>
      <c r="I6918" s="1401">
        <v>4414065.63</v>
      </c>
    </row>
    <row r="6919" spans="2:9">
      <c r="B6919" s="1297" t="s">
        <v>1546</v>
      </c>
      <c r="C6919" s="1297" t="s">
        <v>1547</v>
      </c>
      <c r="D6919" s="1297" t="s">
        <v>1039</v>
      </c>
      <c r="F6919" s="1399">
        <v>3665.26</v>
      </c>
      <c r="I6919" s="1399">
        <v>3665.26</v>
      </c>
    </row>
    <row r="6920" spans="2:9">
      <c r="B6920" s="1297"/>
      <c r="C6920" s="1297"/>
      <c r="D6920" s="1297" t="s">
        <v>996</v>
      </c>
      <c r="F6920" s="1399">
        <v>2667791.54</v>
      </c>
      <c r="I6920" s="1399">
        <v>2667791.54</v>
      </c>
    </row>
    <row r="6921" spans="2:9">
      <c r="B6921" s="1297"/>
      <c r="C6921" s="1297"/>
      <c r="D6921" s="1297" t="s">
        <v>1044</v>
      </c>
      <c r="F6921" s="1399">
        <v>9200</v>
      </c>
      <c r="I6921" s="1399">
        <v>9200</v>
      </c>
    </row>
    <row r="6922" spans="2:9">
      <c r="B6922" s="1297"/>
      <c r="C6922" s="1297"/>
      <c r="D6922" s="1297" t="s">
        <v>1045</v>
      </c>
      <c r="F6922" s="1399">
        <v>836936.15999999992</v>
      </c>
      <c r="I6922" s="1399">
        <v>836936.15999999992</v>
      </c>
    </row>
    <row r="6923" spans="2:9">
      <c r="B6923" s="1297"/>
      <c r="C6923" s="1297"/>
      <c r="D6923" s="1297" t="s">
        <v>935</v>
      </c>
      <c r="H6923" s="1399">
        <v>2471782</v>
      </c>
      <c r="I6923" s="1399">
        <v>2471782</v>
      </c>
    </row>
    <row r="6924" spans="2:9">
      <c r="B6924" s="1297"/>
      <c r="C6924" s="1297"/>
      <c r="D6924" s="1297" t="s">
        <v>939</v>
      </c>
      <c r="H6924" s="1399">
        <v>290337.48000000004</v>
      </c>
      <c r="I6924" s="1399">
        <v>290337.48000000004</v>
      </c>
    </row>
    <row r="6925" spans="2:9">
      <c r="B6925" s="1297"/>
      <c r="C6925" s="1297"/>
      <c r="D6925" s="1297" t="s">
        <v>944</v>
      </c>
      <c r="E6925" s="1399">
        <v>1210243.42</v>
      </c>
      <c r="I6925" s="1399">
        <v>1210243.42</v>
      </c>
    </row>
    <row r="6926" spans="2:9">
      <c r="B6926" s="1297"/>
      <c r="C6926" s="1400" t="s">
        <v>1548</v>
      </c>
      <c r="D6926" s="1400"/>
      <c r="E6926" s="1401">
        <v>1210243.42</v>
      </c>
      <c r="F6926" s="1401">
        <v>3517592.96</v>
      </c>
      <c r="G6926" s="1401"/>
      <c r="H6926" s="1401">
        <v>2762119.48</v>
      </c>
      <c r="I6926" s="1401">
        <v>7489955.8600000003</v>
      </c>
    </row>
    <row r="6927" spans="2:9">
      <c r="B6927" s="1297" t="s">
        <v>1549</v>
      </c>
      <c r="C6927" s="1297" t="s">
        <v>1550</v>
      </c>
      <c r="D6927" s="1297" t="s">
        <v>1039</v>
      </c>
      <c r="F6927" s="1399">
        <v>2825.86</v>
      </c>
      <c r="I6927" s="1399">
        <v>2825.86</v>
      </c>
    </row>
    <row r="6928" spans="2:9">
      <c r="B6928" s="1297"/>
      <c r="C6928" s="1297"/>
      <c r="D6928" s="1297" t="s">
        <v>996</v>
      </c>
      <c r="F6928" s="1399">
        <v>259717</v>
      </c>
      <c r="I6928" s="1399">
        <v>259717</v>
      </c>
    </row>
    <row r="6929" spans="2:9">
      <c r="B6929" s="1297"/>
      <c r="C6929" s="1297"/>
      <c r="D6929" s="1297" t="s">
        <v>1044</v>
      </c>
      <c r="F6929" s="1399">
        <v>62452.51</v>
      </c>
      <c r="I6929" s="1399">
        <v>62452.51</v>
      </c>
    </row>
    <row r="6930" spans="2:9">
      <c r="B6930" s="1297"/>
      <c r="C6930" s="1297"/>
      <c r="D6930" s="1297" t="s">
        <v>1045</v>
      </c>
      <c r="F6930" s="1399">
        <v>895584.50000000012</v>
      </c>
      <c r="I6930" s="1399">
        <v>895584.50000000012</v>
      </c>
    </row>
    <row r="6931" spans="2:9">
      <c r="B6931" s="1297"/>
      <c r="C6931" s="1297"/>
      <c r="D6931" s="1297" t="s">
        <v>935</v>
      </c>
      <c r="H6931" s="1399">
        <v>6370253</v>
      </c>
      <c r="I6931" s="1399">
        <v>6370253</v>
      </c>
    </row>
    <row r="6932" spans="2:9">
      <c r="B6932" s="1297"/>
      <c r="C6932" s="1297"/>
      <c r="D6932" s="1297" t="s">
        <v>936</v>
      </c>
      <c r="H6932" s="1399">
        <v>21009.03</v>
      </c>
      <c r="I6932" s="1399">
        <v>21009.03</v>
      </c>
    </row>
    <row r="6933" spans="2:9">
      <c r="B6933" s="1297"/>
      <c r="C6933" s="1297"/>
      <c r="D6933" s="1297" t="s">
        <v>939</v>
      </c>
      <c r="H6933" s="1399">
        <v>215157.26</v>
      </c>
      <c r="I6933" s="1399">
        <v>215157.26</v>
      </c>
    </row>
    <row r="6934" spans="2:9">
      <c r="B6934" s="1297"/>
      <c r="C6934" s="1297"/>
      <c r="D6934" s="1297" t="s">
        <v>944</v>
      </c>
      <c r="E6934" s="1399">
        <v>1643856.27</v>
      </c>
      <c r="I6934" s="1399">
        <v>1643856.27</v>
      </c>
    </row>
    <row r="6935" spans="2:9">
      <c r="B6935" s="1297"/>
      <c r="C6935" s="1297"/>
      <c r="D6935" s="1297" t="s">
        <v>1118</v>
      </c>
      <c r="G6935" s="1399">
        <v>343853.76999999996</v>
      </c>
      <c r="I6935" s="1399">
        <v>343853.76999999996</v>
      </c>
    </row>
    <row r="6936" spans="2:9">
      <c r="B6936" s="1297"/>
      <c r="C6936" s="1400" t="s">
        <v>1551</v>
      </c>
      <c r="D6936" s="1400"/>
      <c r="E6936" s="1401">
        <v>1643856.27</v>
      </c>
      <c r="F6936" s="1401">
        <v>1220579.8700000001</v>
      </c>
      <c r="G6936" s="1401">
        <v>343853.76999999996</v>
      </c>
      <c r="H6936" s="1401">
        <v>6606419.29</v>
      </c>
      <c r="I6936" s="1401">
        <v>9814709.1999999993</v>
      </c>
    </row>
    <row r="6937" spans="2:9">
      <c r="B6937" s="1297" t="s">
        <v>1552</v>
      </c>
      <c r="C6937" s="1297" t="s">
        <v>1553</v>
      </c>
      <c r="D6937" s="1297" t="s">
        <v>1037</v>
      </c>
      <c r="F6937" s="1399">
        <v>141117.76000000001</v>
      </c>
      <c r="I6937" s="1399">
        <v>141117.76000000001</v>
      </c>
    </row>
    <row r="6938" spans="2:9">
      <c r="B6938" s="1297"/>
      <c r="C6938" s="1297"/>
      <c r="D6938" s="1297" t="s">
        <v>1105</v>
      </c>
      <c r="F6938" s="1399">
        <v>491548.65</v>
      </c>
      <c r="I6938" s="1399">
        <v>491548.65</v>
      </c>
    </row>
    <row r="6939" spans="2:9">
      <c r="B6939" s="1297"/>
      <c r="C6939" s="1297"/>
      <c r="D6939" s="1297" t="s">
        <v>1039</v>
      </c>
      <c r="F6939" s="1399">
        <v>30460.55</v>
      </c>
      <c r="I6939" s="1399">
        <v>30460.55</v>
      </c>
    </row>
    <row r="6940" spans="2:9">
      <c r="B6940" s="1297"/>
      <c r="C6940" s="1297"/>
      <c r="D6940" s="1297" t="s">
        <v>996</v>
      </c>
      <c r="F6940" s="1399">
        <v>3566517.6999999997</v>
      </c>
      <c r="I6940" s="1399">
        <v>3566517.6999999997</v>
      </c>
    </row>
    <row r="6941" spans="2:9">
      <c r="B6941" s="1297"/>
      <c r="C6941" s="1297"/>
      <c r="D6941" s="1297" t="s">
        <v>1005</v>
      </c>
      <c r="F6941" s="1399">
        <v>1235999.43</v>
      </c>
      <c r="I6941" s="1399">
        <v>1235999.43</v>
      </c>
    </row>
    <row r="6942" spans="2:9">
      <c r="B6942" s="1297"/>
      <c r="C6942" s="1297"/>
      <c r="D6942" s="1297" t="s">
        <v>1044</v>
      </c>
      <c r="F6942" s="1399">
        <v>48552.62</v>
      </c>
      <c r="I6942" s="1399">
        <v>48552.62</v>
      </c>
    </row>
    <row r="6943" spans="2:9">
      <c r="B6943" s="1297"/>
      <c r="C6943" s="1297"/>
      <c r="D6943" s="1297" t="s">
        <v>1045</v>
      </c>
      <c r="F6943" s="1399">
        <v>377736.19000000006</v>
      </c>
      <c r="I6943" s="1399">
        <v>377736.19000000006</v>
      </c>
    </row>
    <row r="6944" spans="2:9">
      <c r="B6944" s="1297"/>
      <c r="C6944" s="1297"/>
      <c r="D6944" s="1297" t="s">
        <v>935</v>
      </c>
      <c r="H6944" s="1399">
        <v>2725319.7800000003</v>
      </c>
      <c r="I6944" s="1399">
        <v>2725319.7800000003</v>
      </c>
    </row>
    <row r="6945" spans="2:9">
      <c r="B6945" s="1297"/>
      <c r="C6945" s="1297"/>
      <c r="D6945" s="1297" t="s">
        <v>936</v>
      </c>
      <c r="H6945" s="1399">
        <v>18557.98</v>
      </c>
      <c r="I6945" s="1399">
        <v>18557.98</v>
      </c>
    </row>
    <row r="6946" spans="2:9">
      <c r="B6946" s="1297"/>
      <c r="C6946" s="1297"/>
      <c r="D6946" s="1297" t="s">
        <v>939</v>
      </c>
      <c r="H6946" s="1399">
        <v>4738.13</v>
      </c>
      <c r="I6946" s="1399">
        <v>4738.13</v>
      </c>
    </row>
    <row r="6947" spans="2:9">
      <c r="B6947" s="1297"/>
      <c r="C6947" s="1297"/>
      <c r="D6947" s="1297" t="s">
        <v>1131</v>
      </c>
      <c r="E6947" s="1399">
        <v>354189.41</v>
      </c>
      <c r="I6947" s="1399">
        <v>354189.41</v>
      </c>
    </row>
    <row r="6948" spans="2:9">
      <c r="B6948" s="1297"/>
      <c r="C6948" s="1297"/>
      <c r="D6948" s="1297" t="s">
        <v>944</v>
      </c>
      <c r="E6948" s="1399">
        <v>908109.19000000006</v>
      </c>
      <c r="I6948" s="1399">
        <v>908109.19000000006</v>
      </c>
    </row>
    <row r="6949" spans="2:9">
      <c r="B6949" s="1297"/>
      <c r="C6949" s="1297"/>
      <c r="D6949" s="1297" t="s">
        <v>948</v>
      </c>
      <c r="G6949" s="1399">
        <v>688983.08</v>
      </c>
      <c r="I6949" s="1399">
        <v>688983.08</v>
      </c>
    </row>
    <row r="6950" spans="2:9">
      <c r="B6950" s="1297"/>
      <c r="C6950" s="1297"/>
      <c r="D6950" s="1297" t="s">
        <v>1118</v>
      </c>
      <c r="G6950" s="1399">
        <v>578871.13</v>
      </c>
      <c r="I6950" s="1399">
        <v>578871.13</v>
      </c>
    </row>
    <row r="6951" spans="2:9">
      <c r="B6951" s="1297"/>
      <c r="C6951" s="1400" t="s">
        <v>1554</v>
      </c>
      <c r="D6951" s="1400"/>
      <c r="E6951" s="1401">
        <v>1262298.6000000001</v>
      </c>
      <c r="F6951" s="1401">
        <v>5891932.9000000004</v>
      </c>
      <c r="G6951" s="1401">
        <v>1267854.21</v>
      </c>
      <c r="H6951" s="1401">
        <v>2748615.89</v>
      </c>
      <c r="I6951" s="1401">
        <v>11170701.600000001</v>
      </c>
    </row>
    <row r="6952" spans="2:9">
      <c r="B6952" s="1297" t="s">
        <v>1555</v>
      </c>
      <c r="C6952" s="1297" t="s">
        <v>1556</v>
      </c>
      <c r="D6952" s="1297" t="s">
        <v>1105</v>
      </c>
      <c r="F6952" s="1399">
        <v>111291</v>
      </c>
      <c r="I6952" s="1399">
        <v>111291</v>
      </c>
    </row>
    <row r="6953" spans="2:9">
      <c r="B6953" s="1297"/>
      <c r="C6953" s="1297"/>
      <c r="D6953" s="1297" t="s">
        <v>1039</v>
      </c>
      <c r="F6953" s="1399">
        <v>1957.11</v>
      </c>
      <c r="I6953" s="1399">
        <v>1957.11</v>
      </c>
    </row>
    <row r="6954" spans="2:9">
      <c r="B6954" s="1297"/>
      <c r="C6954" s="1297"/>
      <c r="D6954" s="1297" t="s">
        <v>986</v>
      </c>
      <c r="F6954" s="1399">
        <v>103050</v>
      </c>
      <c r="I6954" s="1399">
        <v>103050</v>
      </c>
    </row>
    <row r="6955" spans="2:9">
      <c r="B6955" s="1297"/>
      <c r="C6955" s="1297"/>
      <c r="D6955" s="1297" t="s">
        <v>996</v>
      </c>
      <c r="F6955" s="1399">
        <v>1882163.8900000001</v>
      </c>
      <c r="I6955" s="1399">
        <v>1882163.8900000001</v>
      </c>
    </row>
    <row r="6956" spans="2:9">
      <c r="B6956" s="1297"/>
      <c r="C6956" s="1297"/>
      <c r="D6956" s="1297" t="s">
        <v>1045</v>
      </c>
      <c r="F6956" s="1399">
        <v>996060.23</v>
      </c>
      <c r="I6956" s="1399">
        <v>996060.23</v>
      </c>
    </row>
    <row r="6957" spans="2:9">
      <c r="B6957" s="1297"/>
      <c r="C6957" s="1297"/>
      <c r="D6957" s="1297" t="s">
        <v>935</v>
      </c>
      <c r="H6957" s="1399">
        <v>3857799</v>
      </c>
      <c r="I6957" s="1399">
        <v>3857799</v>
      </c>
    </row>
    <row r="6958" spans="2:9">
      <c r="B6958" s="1297"/>
      <c r="C6958" s="1297"/>
      <c r="D6958" s="1297" t="s">
        <v>936</v>
      </c>
      <c r="H6958" s="1399">
        <v>21009.03</v>
      </c>
      <c r="I6958" s="1399">
        <v>21009.03</v>
      </c>
    </row>
    <row r="6959" spans="2:9">
      <c r="B6959" s="1297"/>
      <c r="C6959" s="1297"/>
      <c r="D6959" s="1297" t="s">
        <v>939</v>
      </c>
      <c r="H6959" s="1399">
        <v>104632</v>
      </c>
      <c r="I6959" s="1399">
        <v>104632</v>
      </c>
    </row>
    <row r="6960" spans="2:9">
      <c r="B6960" s="1297"/>
      <c r="C6960" s="1297"/>
      <c r="D6960" s="1297" t="s">
        <v>944</v>
      </c>
      <c r="E6960" s="1399">
        <v>820980.39</v>
      </c>
      <c r="I6960" s="1399">
        <v>820980.39</v>
      </c>
    </row>
    <row r="6961" spans="2:9">
      <c r="B6961" s="1297"/>
      <c r="C6961" s="1297"/>
      <c r="D6961" s="1297" t="s">
        <v>946</v>
      </c>
      <c r="E6961" s="1399">
        <v>202088</v>
      </c>
      <c r="I6961" s="1399">
        <v>202088</v>
      </c>
    </row>
    <row r="6962" spans="2:9">
      <c r="B6962" s="1297"/>
      <c r="C6962" s="1400" t="s">
        <v>1557</v>
      </c>
      <c r="D6962" s="1400"/>
      <c r="E6962" s="1401">
        <v>1023068.39</v>
      </c>
      <c r="F6962" s="1401">
        <v>3094522.23</v>
      </c>
      <c r="G6962" s="1401"/>
      <c r="H6962" s="1401">
        <v>3983440.03</v>
      </c>
      <c r="I6962" s="1401">
        <v>8101030.6500000004</v>
      </c>
    </row>
    <row r="6963" spans="2:9">
      <c r="B6963" s="1297" t="s">
        <v>1558</v>
      </c>
      <c r="C6963" s="1297" t="s">
        <v>1559</v>
      </c>
      <c r="D6963" s="1297" t="s">
        <v>908</v>
      </c>
      <c r="F6963" s="1399">
        <v>0</v>
      </c>
      <c r="I6963" s="1399">
        <v>0</v>
      </c>
    </row>
    <row r="6964" spans="2:9">
      <c r="B6964" s="1297"/>
      <c r="C6964" s="1297"/>
      <c r="D6964" s="1297" t="s">
        <v>1039</v>
      </c>
      <c r="F6964" s="1399">
        <v>7166.85</v>
      </c>
      <c r="I6964" s="1399">
        <v>7166.85</v>
      </c>
    </row>
    <row r="6965" spans="2:9">
      <c r="B6965" s="1297"/>
      <c r="C6965" s="1297"/>
      <c r="D6965" s="1297" t="s">
        <v>996</v>
      </c>
      <c r="F6965" s="1399">
        <v>3101878.0300000003</v>
      </c>
      <c r="I6965" s="1399">
        <v>3101878.0300000003</v>
      </c>
    </row>
    <row r="6966" spans="2:9">
      <c r="B6966" s="1297"/>
      <c r="C6966" s="1297"/>
      <c r="D6966" s="1297" t="s">
        <v>1004</v>
      </c>
      <c r="F6966" s="1399">
        <v>-1389736.51</v>
      </c>
      <c r="I6966" s="1399">
        <v>-1389736.51</v>
      </c>
    </row>
    <row r="6967" spans="2:9">
      <c r="B6967" s="1297"/>
      <c r="C6967" s="1297"/>
      <c r="D6967" s="1297" t="s">
        <v>1044</v>
      </c>
      <c r="F6967" s="1399">
        <v>16698</v>
      </c>
      <c r="I6967" s="1399">
        <v>16698</v>
      </c>
    </row>
    <row r="6968" spans="2:9">
      <c r="B6968" s="1297"/>
      <c r="C6968" s="1297"/>
      <c r="D6968" s="1297" t="s">
        <v>1045</v>
      </c>
      <c r="F6968" s="1399">
        <v>260430.32</v>
      </c>
      <c r="I6968" s="1399">
        <v>260430.32</v>
      </c>
    </row>
    <row r="6969" spans="2:9">
      <c r="B6969" s="1297"/>
      <c r="C6969" s="1297"/>
      <c r="D6969" s="1297" t="s">
        <v>935</v>
      </c>
      <c r="H6969" s="1399">
        <v>464855</v>
      </c>
      <c r="I6969" s="1399">
        <v>464855</v>
      </c>
    </row>
    <row r="6970" spans="2:9">
      <c r="B6970" s="1297"/>
      <c r="C6970" s="1297"/>
      <c r="D6970" s="1297" t="s">
        <v>936</v>
      </c>
      <c r="H6970" s="1399">
        <v>3851.66</v>
      </c>
      <c r="I6970" s="1399">
        <v>3851.66</v>
      </c>
    </row>
    <row r="6971" spans="2:9">
      <c r="B6971" s="1297"/>
      <c r="C6971" s="1297"/>
      <c r="D6971" s="1297" t="s">
        <v>944</v>
      </c>
      <c r="E6971" s="1399">
        <v>738130.09000000008</v>
      </c>
      <c r="I6971" s="1399">
        <v>738130.09000000008</v>
      </c>
    </row>
    <row r="6972" spans="2:9">
      <c r="B6972" s="1297"/>
      <c r="C6972" s="1297"/>
      <c r="D6972" s="1297" t="s">
        <v>948</v>
      </c>
      <c r="G6972" s="1399">
        <v>325450.32</v>
      </c>
      <c r="I6972" s="1399">
        <v>325450.32</v>
      </c>
    </row>
    <row r="6973" spans="2:9">
      <c r="B6973" s="1297"/>
      <c r="C6973" s="1400" t="s">
        <v>1560</v>
      </c>
      <c r="D6973" s="1400"/>
      <c r="E6973" s="1401">
        <v>738130.09000000008</v>
      </c>
      <c r="F6973" s="1401">
        <v>1996436.6900000004</v>
      </c>
      <c r="G6973" s="1401">
        <v>325450.32</v>
      </c>
      <c r="H6973" s="1401">
        <v>468706.66</v>
      </c>
      <c r="I6973" s="1401">
        <v>3528723.7600000002</v>
      </c>
    </row>
    <row r="6974" spans="2:9">
      <c r="B6974" s="1297" t="s">
        <v>1561</v>
      </c>
      <c r="C6974" s="1297" t="s">
        <v>1562</v>
      </c>
      <c r="D6974" s="1297" t="s">
        <v>1039</v>
      </c>
      <c r="F6974" s="1399">
        <v>2904.04</v>
      </c>
      <c r="I6974" s="1399">
        <v>2904.04</v>
      </c>
    </row>
    <row r="6975" spans="2:9">
      <c r="B6975" s="1297"/>
      <c r="C6975" s="1297"/>
      <c r="D6975" s="1297" t="s">
        <v>996</v>
      </c>
      <c r="F6975" s="1399">
        <v>405866.76</v>
      </c>
      <c r="I6975" s="1399">
        <v>405866.76</v>
      </c>
    </row>
    <row r="6976" spans="2:9">
      <c r="B6976" s="1297"/>
      <c r="C6976" s="1297"/>
      <c r="D6976" s="1297" t="s">
        <v>1044</v>
      </c>
      <c r="F6976" s="1399">
        <v>9737.2000000000007</v>
      </c>
      <c r="I6976" s="1399">
        <v>9737.2000000000007</v>
      </c>
    </row>
    <row r="6977" spans="2:9">
      <c r="B6977" s="1297"/>
      <c r="C6977" s="1297"/>
      <c r="D6977" s="1297" t="s">
        <v>1045</v>
      </c>
      <c r="F6977" s="1399">
        <v>607654.23</v>
      </c>
      <c r="I6977" s="1399">
        <v>607654.23</v>
      </c>
    </row>
    <row r="6978" spans="2:9">
      <c r="B6978" s="1297"/>
      <c r="C6978" s="1297"/>
      <c r="D6978" s="1297" t="s">
        <v>935</v>
      </c>
      <c r="H6978" s="1399">
        <v>453494</v>
      </c>
      <c r="I6978" s="1399">
        <v>453494</v>
      </c>
    </row>
    <row r="6979" spans="2:9">
      <c r="B6979" s="1297"/>
      <c r="C6979" s="1297"/>
      <c r="D6979" s="1297" t="s">
        <v>936</v>
      </c>
      <c r="H6979" s="1399">
        <v>1400.6</v>
      </c>
      <c r="I6979" s="1399">
        <v>1400.6</v>
      </c>
    </row>
    <row r="6980" spans="2:9">
      <c r="B6980" s="1297"/>
      <c r="C6980" s="1297"/>
      <c r="D6980" s="1297" t="s">
        <v>944</v>
      </c>
      <c r="E6980" s="1399">
        <v>800365.53</v>
      </c>
      <c r="I6980" s="1399">
        <v>800365.53</v>
      </c>
    </row>
    <row r="6981" spans="2:9">
      <c r="B6981" s="1297"/>
      <c r="C6981" s="1400" t="s">
        <v>1563</v>
      </c>
      <c r="D6981" s="1400"/>
      <c r="E6981" s="1401">
        <v>800365.53</v>
      </c>
      <c r="F6981" s="1401">
        <v>1026162.23</v>
      </c>
      <c r="G6981" s="1401"/>
      <c r="H6981" s="1401">
        <v>454894.6</v>
      </c>
      <c r="I6981" s="1401">
        <v>2281422.3600000003</v>
      </c>
    </row>
    <row r="6982" spans="2:9">
      <c r="B6982" s="1297" t="s">
        <v>1564</v>
      </c>
      <c r="C6982" s="1297" t="s">
        <v>1565</v>
      </c>
      <c r="D6982" s="1297" t="s">
        <v>1039</v>
      </c>
      <c r="F6982" s="1399">
        <v>4766.6000000000004</v>
      </c>
      <c r="I6982" s="1399">
        <v>4766.6000000000004</v>
      </c>
    </row>
    <row r="6983" spans="2:9">
      <c r="B6983" s="1297"/>
      <c r="C6983" s="1297"/>
      <c r="D6983" s="1297" t="s">
        <v>1044</v>
      </c>
      <c r="F6983" s="1399">
        <v>47727</v>
      </c>
      <c r="I6983" s="1399">
        <v>47727</v>
      </c>
    </row>
    <row r="6984" spans="2:9">
      <c r="B6984" s="1297"/>
      <c r="C6984" s="1297"/>
      <c r="D6984" s="1297" t="s">
        <v>1045</v>
      </c>
      <c r="F6984" s="1399">
        <v>547525.38</v>
      </c>
      <c r="I6984" s="1399">
        <v>547525.38</v>
      </c>
    </row>
    <row r="6985" spans="2:9">
      <c r="B6985" s="1297"/>
      <c r="C6985" s="1297"/>
      <c r="D6985" s="1297" t="s">
        <v>935</v>
      </c>
      <c r="H6985" s="1399">
        <v>2244790</v>
      </c>
      <c r="I6985" s="1399">
        <v>2244790</v>
      </c>
    </row>
    <row r="6986" spans="2:9">
      <c r="B6986" s="1297"/>
      <c r="C6986" s="1297"/>
      <c r="D6986" s="1297" t="s">
        <v>936</v>
      </c>
      <c r="H6986" s="1399">
        <v>5602.41</v>
      </c>
      <c r="I6986" s="1399">
        <v>5602.41</v>
      </c>
    </row>
    <row r="6987" spans="2:9">
      <c r="B6987" s="1297"/>
      <c r="C6987" s="1297"/>
      <c r="D6987" s="1297" t="s">
        <v>944</v>
      </c>
      <c r="E6987" s="1399">
        <v>652401.38</v>
      </c>
      <c r="I6987" s="1399">
        <v>652401.38</v>
      </c>
    </row>
    <row r="6988" spans="2:9">
      <c r="B6988" s="1297"/>
      <c r="C6988" s="1400" t="s">
        <v>1566</v>
      </c>
      <c r="D6988" s="1400"/>
      <c r="E6988" s="1401">
        <v>652401.38</v>
      </c>
      <c r="F6988" s="1401">
        <v>600018.98</v>
      </c>
      <c r="G6988" s="1401"/>
      <c r="H6988" s="1401">
        <v>2250392.41</v>
      </c>
      <c r="I6988" s="1401">
        <v>3502812.77</v>
      </c>
    </row>
    <row r="6989" spans="2:9">
      <c r="B6989" s="1297" t="s">
        <v>1567</v>
      </c>
      <c r="C6989" s="1297" t="s">
        <v>1568</v>
      </c>
      <c r="D6989" s="1297" t="s">
        <v>1039</v>
      </c>
      <c r="F6989" s="1399">
        <v>1555.75</v>
      </c>
      <c r="I6989" s="1399">
        <v>1555.75</v>
      </c>
    </row>
    <row r="6990" spans="2:9">
      <c r="B6990" s="1297"/>
      <c r="C6990" s="1297"/>
      <c r="D6990" s="1297" t="s">
        <v>996</v>
      </c>
      <c r="F6990" s="1399">
        <v>689879.36</v>
      </c>
      <c r="I6990" s="1399">
        <v>689879.36</v>
      </c>
    </row>
    <row r="6991" spans="2:9">
      <c r="B6991" s="1297"/>
      <c r="C6991" s="1297"/>
      <c r="D6991" s="1297" t="s">
        <v>1004</v>
      </c>
      <c r="F6991" s="1399">
        <v>-70207.42</v>
      </c>
      <c r="I6991" s="1399">
        <v>-70207.42</v>
      </c>
    </row>
    <row r="6992" spans="2:9">
      <c r="B6992" s="1297"/>
      <c r="C6992" s="1297"/>
      <c r="D6992" s="1297" t="s">
        <v>1044</v>
      </c>
      <c r="F6992" s="1399">
        <v>28888</v>
      </c>
      <c r="I6992" s="1399">
        <v>28888</v>
      </c>
    </row>
    <row r="6993" spans="2:9">
      <c r="B6993" s="1297"/>
      <c r="C6993" s="1297"/>
      <c r="D6993" s="1297" t="s">
        <v>1045</v>
      </c>
      <c r="F6993" s="1399">
        <v>546394.69999999995</v>
      </c>
      <c r="I6993" s="1399">
        <v>546394.69999999995</v>
      </c>
    </row>
    <row r="6994" spans="2:9">
      <c r="B6994" s="1297"/>
      <c r="C6994" s="1297"/>
      <c r="D6994" s="1297" t="s">
        <v>935</v>
      </c>
      <c r="H6994" s="1399">
        <v>1805424</v>
      </c>
      <c r="I6994" s="1399">
        <v>1805424</v>
      </c>
    </row>
    <row r="6995" spans="2:9">
      <c r="B6995" s="1297"/>
      <c r="C6995" s="1297"/>
      <c r="D6995" s="1297" t="s">
        <v>936</v>
      </c>
      <c r="H6995" s="1399">
        <v>5252.25</v>
      </c>
      <c r="I6995" s="1399">
        <v>5252.25</v>
      </c>
    </row>
    <row r="6996" spans="2:9">
      <c r="B6996" s="1297"/>
      <c r="C6996" s="1297"/>
      <c r="D6996" s="1297" t="s">
        <v>944</v>
      </c>
      <c r="E6996" s="1399">
        <v>804722.85</v>
      </c>
      <c r="I6996" s="1399">
        <v>804722.85</v>
      </c>
    </row>
    <row r="6997" spans="2:9">
      <c r="B6997" s="1297"/>
      <c r="C6997" s="1400" t="s">
        <v>1569</v>
      </c>
      <c r="D6997" s="1400"/>
      <c r="E6997" s="1401">
        <v>804722.85</v>
      </c>
      <c r="F6997" s="1401">
        <v>1196510.3899999999</v>
      </c>
      <c r="G6997" s="1401"/>
      <c r="H6997" s="1401">
        <v>1810676.25</v>
      </c>
      <c r="I6997" s="1401">
        <v>3811909.4899999998</v>
      </c>
    </row>
    <row r="6998" spans="2:9">
      <c r="B6998" s="1297" t="s">
        <v>1570</v>
      </c>
      <c r="C6998" s="1297" t="s">
        <v>1571</v>
      </c>
      <c r="D6998" s="1297" t="s">
        <v>1039</v>
      </c>
      <c r="F6998" s="1399">
        <v>4722.5</v>
      </c>
      <c r="I6998" s="1399">
        <v>4722.5</v>
      </c>
    </row>
    <row r="6999" spans="2:9">
      <c r="B6999" s="1297"/>
      <c r="C6999" s="1297"/>
      <c r="D6999" s="1297" t="s">
        <v>996</v>
      </c>
      <c r="F6999" s="1399">
        <v>685838.5</v>
      </c>
      <c r="I6999" s="1399">
        <v>685838.5</v>
      </c>
    </row>
    <row r="7000" spans="2:9">
      <c r="B7000" s="1297"/>
      <c r="C7000" s="1297"/>
      <c r="D7000" s="1297" t="s">
        <v>1044</v>
      </c>
      <c r="F7000" s="1399">
        <v>3000</v>
      </c>
      <c r="I7000" s="1399">
        <v>3000</v>
      </c>
    </row>
    <row r="7001" spans="2:9">
      <c r="B7001" s="1297"/>
      <c r="C7001" s="1297"/>
      <c r="D7001" s="1297" t="s">
        <v>1045</v>
      </c>
      <c r="F7001" s="1399">
        <v>205997.76</v>
      </c>
      <c r="I7001" s="1399">
        <v>205997.76</v>
      </c>
    </row>
    <row r="7002" spans="2:9">
      <c r="B7002" s="1297"/>
      <c r="C7002" s="1297"/>
      <c r="D7002" s="1297" t="s">
        <v>935</v>
      </c>
      <c r="H7002" s="1399">
        <v>837283</v>
      </c>
      <c r="I7002" s="1399">
        <v>837283</v>
      </c>
    </row>
    <row r="7003" spans="2:9">
      <c r="B7003" s="1297"/>
      <c r="C7003" s="1297"/>
      <c r="D7003" s="1297" t="s">
        <v>936</v>
      </c>
      <c r="H7003" s="1399">
        <v>1050.45</v>
      </c>
      <c r="I7003" s="1399">
        <v>1050.45</v>
      </c>
    </row>
    <row r="7004" spans="2:9">
      <c r="B7004" s="1297"/>
      <c r="C7004" s="1297"/>
      <c r="D7004" s="1297" t="s">
        <v>944</v>
      </c>
      <c r="E7004" s="1399">
        <v>858751.66</v>
      </c>
      <c r="I7004" s="1399">
        <v>858751.66</v>
      </c>
    </row>
    <row r="7005" spans="2:9">
      <c r="B7005" s="1297"/>
      <c r="C7005" s="1297"/>
      <c r="D7005" s="1297" t="s">
        <v>945</v>
      </c>
      <c r="E7005" s="1399">
        <v>30379.9</v>
      </c>
      <c r="I7005" s="1399">
        <v>30379.9</v>
      </c>
    </row>
    <row r="7006" spans="2:9">
      <c r="B7006" s="1297"/>
      <c r="C7006" s="1400" t="s">
        <v>1572</v>
      </c>
      <c r="D7006" s="1400"/>
      <c r="E7006" s="1401">
        <v>889131.56</v>
      </c>
      <c r="F7006" s="1401">
        <v>899558.76</v>
      </c>
      <c r="G7006" s="1401"/>
      <c r="H7006" s="1401">
        <v>838333.45</v>
      </c>
      <c r="I7006" s="1401">
        <v>2627023.77</v>
      </c>
    </row>
    <row r="7007" spans="2:9">
      <c r="B7007" s="1297" t="s">
        <v>1573</v>
      </c>
      <c r="C7007" s="1297" t="s">
        <v>1574</v>
      </c>
      <c r="D7007" s="1297" t="s">
        <v>1039</v>
      </c>
      <c r="F7007" s="1399">
        <v>2200.06</v>
      </c>
      <c r="I7007" s="1399">
        <v>2200.06</v>
      </c>
    </row>
    <row r="7008" spans="2:9">
      <c r="B7008" s="1297"/>
      <c r="C7008" s="1297"/>
      <c r="D7008" s="1297" t="s">
        <v>996</v>
      </c>
      <c r="F7008" s="1399">
        <v>152285</v>
      </c>
      <c r="I7008" s="1399">
        <v>152285</v>
      </c>
    </row>
    <row r="7009" spans="2:9">
      <c r="B7009" s="1297"/>
      <c r="C7009" s="1297"/>
      <c r="D7009" s="1297" t="s">
        <v>1044</v>
      </c>
      <c r="F7009" s="1399">
        <v>178204.17</v>
      </c>
      <c r="I7009" s="1399">
        <v>178204.17</v>
      </c>
    </row>
    <row r="7010" spans="2:9">
      <c r="B7010" s="1297"/>
      <c r="C7010" s="1297"/>
      <c r="D7010" s="1297" t="s">
        <v>1045</v>
      </c>
      <c r="F7010" s="1399">
        <v>1717775.0700000003</v>
      </c>
      <c r="I7010" s="1399">
        <v>1717775.0700000003</v>
      </c>
    </row>
    <row r="7011" spans="2:9">
      <c r="B7011" s="1297"/>
      <c r="C7011" s="1297"/>
      <c r="D7011" s="1297" t="s">
        <v>1046</v>
      </c>
      <c r="H7011" s="1399">
        <v>55000</v>
      </c>
      <c r="I7011" s="1399">
        <v>55000</v>
      </c>
    </row>
    <row r="7012" spans="2:9">
      <c r="B7012" s="1297"/>
      <c r="C7012" s="1297"/>
      <c r="D7012" s="1297" t="s">
        <v>935</v>
      </c>
      <c r="H7012" s="1399">
        <v>2334807.85</v>
      </c>
      <c r="I7012" s="1399">
        <v>2334807.85</v>
      </c>
    </row>
    <row r="7013" spans="2:9">
      <c r="B7013" s="1297"/>
      <c r="C7013" s="1297"/>
      <c r="D7013" s="1297" t="s">
        <v>936</v>
      </c>
      <c r="H7013" s="1399">
        <v>12255.27</v>
      </c>
      <c r="I7013" s="1399">
        <v>12255.27</v>
      </c>
    </row>
    <row r="7014" spans="2:9">
      <c r="B7014" s="1297"/>
      <c r="C7014" s="1297"/>
      <c r="D7014" s="1297" t="s">
        <v>944</v>
      </c>
      <c r="E7014" s="1399">
        <v>1153991.2399999998</v>
      </c>
      <c r="I7014" s="1399">
        <v>1153991.2399999998</v>
      </c>
    </row>
    <row r="7015" spans="2:9">
      <c r="B7015" s="1297"/>
      <c r="C7015" s="1297"/>
      <c r="D7015" s="1297" t="s">
        <v>946</v>
      </c>
      <c r="E7015" s="1399">
        <v>1837952.28</v>
      </c>
      <c r="I7015" s="1399">
        <v>1837952.28</v>
      </c>
    </row>
    <row r="7016" spans="2:9">
      <c r="B7016" s="1297"/>
      <c r="C7016" s="1400" t="s">
        <v>1575</v>
      </c>
      <c r="D7016" s="1400"/>
      <c r="E7016" s="1401">
        <v>2991943.5199999996</v>
      </c>
      <c r="F7016" s="1401">
        <v>2050464.3000000003</v>
      </c>
      <c r="G7016" s="1401"/>
      <c r="H7016" s="1401">
        <v>2402063.12</v>
      </c>
      <c r="I7016" s="1401">
        <v>7444470.9400000004</v>
      </c>
    </row>
    <row r="7017" spans="2:9">
      <c r="B7017" s="1297" t="s">
        <v>1576</v>
      </c>
      <c r="C7017" s="1297" t="s">
        <v>1577</v>
      </c>
      <c r="D7017" s="1297" t="s">
        <v>1039</v>
      </c>
      <c r="F7017" s="1399">
        <v>2998.5899999999997</v>
      </c>
      <c r="I7017" s="1399">
        <v>2998.5899999999997</v>
      </c>
    </row>
    <row r="7018" spans="2:9">
      <c r="B7018" s="1297"/>
      <c r="C7018" s="1297"/>
      <c r="D7018" s="1297" t="s">
        <v>996</v>
      </c>
      <c r="F7018" s="1399">
        <v>3193616.57</v>
      </c>
      <c r="I7018" s="1399">
        <v>3193616.57</v>
      </c>
    </row>
    <row r="7019" spans="2:9">
      <c r="B7019" s="1297"/>
      <c r="C7019" s="1297"/>
      <c r="D7019" s="1297" t="s">
        <v>1004</v>
      </c>
      <c r="F7019" s="1399">
        <v>-2063144.31</v>
      </c>
      <c r="I7019" s="1399">
        <v>-2063144.31</v>
      </c>
    </row>
    <row r="7020" spans="2:9">
      <c r="B7020" s="1297"/>
      <c r="C7020" s="1297"/>
      <c r="D7020" s="1297" t="s">
        <v>1044</v>
      </c>
      <c r="F7020" s="1399">
        <v>65317.47</v>
      </c>
      <c r="I7020" s="1399">
        <v>65317.47</v>
      </c>
    </row>
    <row r="7021" spans="2:9">
      <c r="B7021" s="1297"/>
      <c r="C7021" s="1297"/>
      <c r="D7021" s="1297" t="s">
        <v>1045</v>
      </c>
      <c r="F7021" s="1399">
        <v>667545.52</v>
      </c>
      <c r="I7021" s="1399">
        <v>667545.52</v>
      </c>
    </row>
    <row r="7022" spans="2:9">
      <c r="B7022" s="1297"/>
      <c r="C7022" s="1297"/>
      <c r="D7022" s="1297" t="s">
        <v>935</v>
      </c>
      <c r="H7022" s="1399">
        <v>5156461</v>
      </c>
      <c r="I7022" s="1399">
        <v>5156461</v>
      </c>
    </row>
    <row r="7023" spans="2:9">
      <c r="B7023" s="1297"/>
      <c r="C7023" s="1297"/>
      <c r="D7023" s="1297" t="s">
        <v>936</v>
      </c>
      <c r="H7023" s="1399">
        <v>17157.37</v>
      </c>
      <c r="I7023" s="1399">
        <v>17157.37</v>
      </c>
    </row>
    <row r="7024" spans="2:9">
      <c r="B7024" s="1297"/>
      <c r="C7024" s="1297"/>
      <c r="D7024" s="1297" t="s">
        <v>944</v>
      </c>
      <c r="E7024" s="1399">
        <v>1518746.14</v>
      </c>
      <c r="I7024" s="1399">
        <v>1518746.14</v>
      </c>
    </row>
    <row r="7025" spans="2:9">
      <c r="B7025" s="1297"/>
      <c r="C7025" s="1297"/>
      <c r="D7025" s="1297" t="s">
        <v>1118</v>
      </c>
      <c r="G7025" s="1399">
        <v>125412.32</v>
      </c>
      <c r="I7025" s="1399">
        <v>125412.32</v>
      </c>
    </row>
    <row r="7026" spans="2:9">
      <c r="B7026" s="1297"/>
      <c r="C7026" s="1400" t="s">
        <v>1713</v>
      </c>
      <c r="D7026" s="1400"/>
      <c r="E7026" s="1401">
        <v>1518746.14</v>
      </c>
      <c r="F7026" s="1401">
        <v>1866333.8399999996</v>
      </c>
      <c r="G7026" s="1401">
        <v>125412.32</v>
      </c>
      <c r="H7026" s="1401">
        <v>5173618.37</v>
      </c>
      <c r="I7026" s="1401">
        <v>8684110.6699999999</v>
      </c>
    </row>
    <row r="7027" spans="2:9">
      <c r="B7027" s="1297" t="s">
        <v>1714</v>
      </c>
      <c r="C7027" s="1297" t="s">
        <v>1715</v>
      </c>
      <c r="D7027" s="1297" t="s">
        <v>1037</v>
      </c>
      <c r="F7027" s="1399">
        <v>94050</v>
      </c>
      <c r="I7027" s="1399">
        <v>94050</v>
      </c>
    </row>
    <row r="7028" spans="2:9">
      <c r="B7028" s="1297"/>
      <c r="C7028" s="1297"/>
      <c r="D7028" s="1297" t="s">
        <v>1105</v>
      </c>
      <c r="F7028" s="1399">
        <v>278503.76</v>
      </c>
      <c r="I7028" s="1399">
        <v>278503.76</v>
      </c>
    </row>
    <row r="7029" spans="2:9">
      <c r="B7029" s="1297"/>
      <c r="C7029" s="1297"/>
      <c r="D7029" s="1297" t="s">
        <v>1064</v>
      </c>
      <c r="F7029" s="1399">
        <v>25075</v>
      </c>
      <c r="I7029" s="1399">
        <v>25075</v>
      </c>
    </row>
    <row r="7030" spans="2:9">
      <c r="B7030" s="1297"/>
      <c r="C7030" s="1297"/>
      <c r="D7030" s="1297" t="s">
        <v>1039</v>
      </c>
      <c r="F7030" s="1399">
        <v>9709.06</v>
      </c>
      <c r="I7030" s="1399">
        <v>9709.06</v>
      </c>
    </row>
    <row r="7031" spans="2:9">
      <c r="B7031" s="1297"/>
      <c r="C7031" s="1297"/>
      <c r="D7031" s="1297" t="s">
        <v>996</v>
      </c>
      <c r="F7031" s="1399">
        <v>839003.45</v>
      </c>
      <c r="I7031" s="1399">
        <v>839003.45</v>
      </c>
    </row>
    <row r="7032" spans="2:9">
      <c r="B7032" s="1297"/>
      <c r="C7032" s="1297"/>
      <c r="D7032" s="1297" t="s">
        <v>1004</v>
      </c>
      <c r="F7032" s="1399">
        <v>-241696.21</v>
      </c>
      <c r="I7032" s="1399">
        <v>-241696.21</v>
      </c>
    </row>
    <row r="7033" spans="2:9">
      <c r="B7033" s="1297"/>
      <c r="C7033" s="1297"/>
      <c r="D7033" s="1297" t="s">
        <v>1044</v>
      </c>
      <c r="F7033" s="1399">
        <v>39600</v>
      </c>
      <c r="I7033" s="1399">
        <v>39600</v>
      </c>
    </row>
    <row r="7034" spans="2:9">
      <c r="B7034" s="1297"/>
      <c r="C7034" s="1297"/>
      <c r="D7034" s="1297" t="s">
        <v>1045</v>
      </c>
      <c r="F7034" s="1399">
        <v>5521.44</v>
      </c>
      <c r="I7034" s="1399">
        <v>5521.44</v>
      </c>
    </row>
    <row r="7035" spans="2:9">
      <c r="B7035" s="1297"/>
      <c r="C7035" s="1297"/>
      <c r="D7035" s="1297" t="s">
        <v>935</v>
      </c>
      <c r="H7035" s="1399">
        <v>631155.35</v>
      </c>
      <c r="I7035" s="1399">
        <v>631155.35</v>
      </c>
    </row>
    <row r="7036" spans="2:9">
      <c r="B7036" s="1297"/>
      <c r="C7036" s="1297"/>
      <c r="D7036" s="1297" t="s">
        <v>936</v>
      </c>
      <c r="H7036" s="1399">
        <v>2451.04</v>
      </c>
      <c r="I7036" s="1399">
        <v>2451.04</v>
      </c>
    </row>
    <row r="7037" spans="2:9">
      <c r="B7037" s="1297"/>
      <c r="C7037" s="1297"/>
      <c r="D7037" s="1297" t="s">
        <v>944</v>
      </c>
      <c r="E7037" s="1399">
        <v>584876.98</v>
      </c>
      <c r="I7037" s="1399">
        <v>584876.98</v>
      </c>
    </row>
    <row r="7038" spans="2:9">
      <c r="B7038" s="1297"/>
      <c r="C7038" s="1297"/>
      <c r="D7038" s="1297" t="s">
        <v>948</v>
      </c>
      <c r="G7038" s="1399">
        <v>0</v>
      </c>
      <c r="I7038" s="1399">
        <v>0</v>
      </c>
    </row>
    <row r="7039" spans="2:9">
      <c r="B7039" s="1297"/>
      <c r="C7039" s="1297"/>
      <c r="D7039" s="1297" t="s">
        <v>956</v>
      </c>
      <c r="G7039" s="1399">
        <v>6344.25</v>
      </c>
      <c r="I7039" s="1399">
        <v>6344.25</v>
      </c>
    </row>
    <row r="7040" spans="2:9">
      <c r="B7040" s="1297"/>
      <c r="C7040" s="1297"/>
      <c r="D7040" s="1297" t="s">
        <v>1118</v>
      </c>
      <c r="G7040" s="1399">
        <v>-694</v>
      </c>
      <c r="I7040" s="1399">
        <v>-694</v>
      </c>
    </row>
    <row r="7041" spans="2:9">
      <c r="B7041" s="1297"/>
      <c r="C7041" s="1400" t="s">
        <v>1716</v>
      </c>
      <c r="D7041" s="1400"/>
      <c r="E7041" s="1401">
        <v>584876.98</v>
      </c>
      <c r="F7041" s="1401">
        <v>1049766.5</v>
      </c>
      <c r="G7041" s="1401">
        <v>5650.25</v>
      </c>
      <c r="H7041" s="1401">
        <v>633606.39</v>
      </c>
      <c r="I7041" s="1401">
        <v>2273900.12</v>
      </c>
    </row>
    <row r="7042" spans="2:9">
      <c r="B7042" s="1297" t="s">
        <v>1717</v>
      </c>
      <c r="C7042" s="1297" t="s">
        <v>1718</v>
      </c>
      <c r="D7042" s="1297" t="s">
        <v>1039</v>
      </c>
      <c r="F7042" s="1399">
        <v>1625.1</v>
      </c>
      <c r="I7042" s="1399">
        <v>1625.1</v>
      </c>
    </row>
    <row r="7043" spans="2:9">
      <c r="B7043" s="1297"/>
      <c r="C7043" s="1297"/>
      <c r="D7043" s="1297" t="s">
        <v>996</v>
      </c>
      <c r="F7043" s="1399">
        <v>267387.86</v>
      </c>
      <c r="I7043" s="1399">
        <v>267387.86</v>
      </c>
    </row>
    <row r="7044" spans="2:9">
      <c r="B7044" s="1297"/>
      <c r="C7044" s="1297"/>
      <c r="D7044" s="1297" t="s">
        <v>1044</v>
      </c>
      <c r="F7044" s="1399">
        <v>65458</v>
      </c>
      <c r="I7044" s="1399">
        <v>65458</v>
      </c>
    </row>
    <row r="7045" spans="2:9">
      <c r="B7045" s="1297"/>
      <c r="C7045" s="1297"/>
      <c r="D7045" s="1297" t="s">
        <v>1045</v>
      </c>
      <c r="F7045" s="1399">
        <v>237671.03</v>
      </c>
      <c r="I7045" s="1399">
        <v>237671.03</v>
      </c>
    </row>
    <row r="7046" spans="2:9">
      <c r="B7046" s="1297"/>
      <c r="C7046" s="1297"/>
      <c r="D7046" s="1297" t="s">
        <v>935</v>
      </c>
      <c r="H7046" s="1399">
        <v>564610</v>
      </c>
      <c r="I7046" s="1399">
        <v>564610</v>
      </c>
    </row>
    <row r="7047" spans="2:9">
      <c r="B7047" s="1297"/>
      <c r="C7047" s="1297"/>
      <c r="D7047" s="1297" t="s">
        <v>936</v>
      </c>
      <c r="H7047" s="1399">
        <v>3501.51</v>
      </c>
      <c r="I7047" s="1399">
        <v>3501.51</v>
      </c>
    </row>
    <row r="7048" spans="2:9">
      <c r="B7048" s="1297"/>
      <c r="C7048" s="1297"/>
      <c r="D7048" s="1297" t="s">
        <v>939</v>
      </c>
      <c r="H7048" s="1399">
        <v>225082.77000000002</v>
      </c>
      <c r="I7048" s="1399">
        <v>225082.77000000002</v>
      </c>
    </row>
    <row r="7049" spans="2:9">
      <c r="B7049" s="1297"/>
      <c r="C7049" s="1297"/>
      <c r="D7049" s="1297" t="s">
        <v>944</v>
      </c>
      <c r="E7049" s="1399">
        <v>1394328.98</v>
      </c>
      <c r="I7049" s="1399">
        <v>1394328.98</v>
      </c>
    </row>
    <row r="7050" spans="2:9">
      <c r="B7050" s="1297"/>
      <c r="C7050" s="1297"/>
      <c r="D7050" s="1297" t="s">
        <v>1118</v>
      </c>
      <c r="G7050" s="1399">
        <v>236109.22999999998</v>
      </c>
      <c r="I7050" s="1399">
        <v>236109.22999999998</v>
      </c>
    </row>
    <row r="7051" spans="2:9">
      <c r="B7051" s="1297"/>
      <c r="C7051" s="1400" t="s">
        <v>1719</v>
      </c>
      <c r="D7051" s="1400"/>
      <c r="E7051" s="1401">
        <v>1394328.98</v>
      </c>
      <c r="F7051" s="1401">
        <v>572141.99</v>
      </c>
      <c r="G7051" s="1401">
        <v>236109.22999999998</v>
      </c>
      <c r="H7051" s="1401">
        <v>793194.28</v>
      </c>
      <c r="I7051" s="1401">
        <v>2995774.48</v>
      </c>
    </row>
    <row r="7052" spans="2:9">
      <c r="B7052" s="1297" t="s">
        <v>1720</v>
      </c>
      <c r="C7052" s="1297" t="s">
        <v>1721</v>
      </c>
      <c r="D7052" s="1297" t="s">
        <v>1037</v>
      </c>
      <c r="F7052" s="1399">
        <v>11725</v>
      </c>
      <c r="I7052" s="1399">
        <v>11725</v>
      </c>
    </row>
    <row r="7053" spans="2:9">
      <c r="B7053" s="1297"/>
      <c r="C7053" s="1297"/>
      <c r="D7053" s="1297" t="s">
        <v>1105</v>
      </c>
      <c r="F7053" s="1399">
        <v>98845</v>
      </c>
      <c r="I7053" s="1399">
        <v>98845</v>
      </c>
    </row>
    <row r="7054" spans="2:9">
      <c r="B7054" s="1297"/>
      <c r="C7054" s="1297"/>
      <c r="D7054" s="1297" t="s">
        <v>1039</v>
      </c>
      <c r="F7054" s="1399">
        <v>0</v>
      </c>
      <c r="I7054" s="1399">
        <v>0</v>
      </c>
    </row>
    <row r="7055" spans="2:9">
      <c r="B7055" s="1297"/>
      <c r="C7055" s="1297"/>
      <c r="D7055" s="1297" t="s">
        <v>996</v>
      </c>
      <c r="F7055" s="1399">
        <v>277255</v>
      </c>
      <c r="I7055" s="1399">
        <v>277255</v>
      </c>
    </row>
    <row r="7056" spans="2:9">
      <c r="B7056" s="1297"/>
      <c r="C7056" s="1297"/>
      <c r="D7056" s="1297" t="s">
        <v>1004</v>
      </c>
      <c r="F7056" s="1399">
        <v>-453829.9</v>
      </c>
      <c r="I7056" s="1399">
        <v>-453829.9</v>
      </c>
    </row>
    <row r="7057" spans="1:9">
      <c r="B7057" s="1297"/>
      <c r="C7057" s="1297"/>
      <c r="D7057" s="1297" t="s">
        <v>1005</v>
      </c>
      <c r="F7057" s="1399">
        <v>453134.6</v>
      </c>
      <c r="I7057" s="1399">
        <v>453134.6</v>
      </c>
    </row>
    <row r="7058" spans="1:9">
      <c r="B7058" s="1297"/>
      <c r="C7058" s="1297"/>
      <c r="D7058" s="1297" t="s">
        <v>1044</v>
      </c>
      <c r="F7058" s="1399">
        <v>30095.06</v>
      </c>
      <c r="I7058" s="1399">
        <v>30095.06</v>
      </c>
    </row>
    <row r="7059" spans="1:9">
      <c r="B7059" s="1297"/>
      <c r="C7059" s="1297"/>
      <c r="D7059" s="1297" t="s">
        <v>1045</v>
      </c>
      <c r="F7059" s="1399">
        <v>41226.370000000003</v>
      </c>
      <c r="I7059" s="1399">
        <v>41226.370000000003</v>
      </c>
    </row>
    <row r="7060" spans="1:9">
      <c r="B7060" s="1297"/>
      <c r="C7060" s="1297"/>
      <c r="D7060" s="1297" t="s">
        <v>935</v>
      </c>
      <c r="H7060" s="1399">
        <v>1832550</v>
      </c>
      <c r="I7060" s="1399">
        <v>1832550</v>
      </c>
    </row>
    <row r="7061" spans="1:9">
      <c r="B7061" s="1297"/>
      <c r="C7061" s="1297"/>
      <c r="D7061" s="1297" t="s">
        <v>936</v>
      </c>
      <c r="H7061" s="1399">
        <v>4902.1099999999997</v>
      </c>
      <c r="I7061" s="1399">
        <v>4902.1099999999997</v>
      </c>
    </row>
    <row r="7062" spans="1:9">
      <c r="B7062" s="1297"/>
      <c r="C7062" s="1297"/>
      <c r="D7062" s="1297" t="s">
        <v>944</v>
      </c>
      <c r="E7062" s="1399">
        <v>655756.62000000011</v>
      </c>
      <c r="I7062" s="1399">
        <v>655756.62000000011</v>
      </c>
    </row>
    <row r="7063" spans="1:9">
      <c r="B7063" s="1297"/>
      <c r="C7063" s="1297"/>
      <c r="D7063" s="1297" t="s">
        <v>1118</v>
      </c>
      <c r="G7063" s="1399">
        <v>6444.64</v>
      </c>
      <c r="I7063" s="1399">
        <v>6444.64</v>
      </c>
    </row>
    <row r="7064" spans="1:9">
      <c r="B7064" s="1297"/>
      <c r="C7064" s="1400" t="s">
        <v>1722</v>
      </c>
      <c r="D7064" s="1400"/>
      <c r="E7064" s="1401">
        <v>655756.62000000011</v>
      </c>
      <c r="F7064" s="1401">
        <v>458451.12999999995</v>
      </c>
      <c r="G7064" s="1401">
        <v>6444.64</v>
      </c>
      <c r="H7064" s="1401">
        <v>1837452.11</v>
      </c>
      <c r="I7064" s="1401">
        <v>2958104.5</v>
      </c>
    </row>
    <row r="7065" spans="1:9">
      <c r="A7065" s="1297" t="s">
        <v>1723</v>
      </c>
      <c r="B7065" s="1297"/>
      <c r="C7065" s="1297"/>
      <c r="D7065" s="1297"/>
      <c r="E7065" s="1399">
        <v>2317494955.2499986</v>
      </c>
      <c r="F7065" s="1399">
        <v>8358162242.2300119</v>
      </c>
      <c r="G7065" s="1399">
        <v>2288512622.6699996</v>
      </c>
      <c r="H7065" s="1399">
        <v>7523382694.9199982</v>
      </c>
      <c r="I7065" s="1399">
        <v>20487552515.070042</v>
      </c>
    </row>
    <row r="7066" spans="1:9">
      <c r="A7066" s="1297" t="s">
        <v>902</v>
      </c>
      <c r="B7066" s="1297"/>
      <c r="C7066" s="1297"/>
      <c r="D7066" s="1297"/>
      <c r="E7066" s="1399">
        <v>2317494955.2499986</v>
      </c>
      <c r="F7066" s="1399">
        <v>8358162242.2300119</v>
      </c>
      <c r="G7066" s="1399">
        <v>2288512622.6699996</v>
      </c>
      <c r="H7066" s="1399">
        <v>7523382694.9199982</v>
      </c>
      <c r="I7066" s="1399">
        <v>20487552515.070042</v>
      </c>
    </row>
    <row r="7067" spans="1:9">
      <c r="B7067" s="1297"/>
      <c r="C7067" s="1297"/>
      <c r="D7067" s="1297"/>
    </row>
    <row r="7068" spans="1:9">
      <c r="B7068" s="1297"/>
      <c r="C7068" s="1297"/>
      <c r="D7068" s="1297"/>
    </row>
    <row r="7069" spans="1:9">
      <c r="B7069" s="1297"/>
      <c r="C7069" s="1297"/>
      <c r="D7069" s="1297"/>
    </row>
    <row r="7070" spans="1:9">
      <c r="B7070" s="1297"/>
      <c r="C7070" s="1297"/>
      <c r="D7070" s="1297"/>
    </row>
    <row r="7071" spans="1:9">
      <c r="B7071" s="1297"/>
      <c r="C7071" s="1297"/>
      <c r="D7071" s="1297"/>
    </row>
    <row r="7072" spans="1:9">
      <c r="B7072" s="1297"/>
      <c r="C7072" s="1297"/>
      <c r="D7072" s="1297"/>
    </row>
    <row r="7073" s="1297" customFormat="1"/>
    <row r="7074" s="1297" customFormat="1"/>
    <row r="7075" s="1297" customFormat="1"/>
    <row r="7076" s="1297" customFormat="1"/>
    <row r="7077" s="1297" customFormat="1"/>
    <row r="7078" s="1297" customFormat="1"/>
    <row r="7079" s="1297" customFormat="1"/>
    <row r="7080" s="1297" customFormat="1"/>
    <row r="7081" s="1297" customFormat="1"/>
    <row r="7082" s="1297" customFormat="1"/>
    <row r="7083" s="1297" customFormat="1"/>
    <row r="7084" s="1297" customFormat="1"/>
    <row r="7085" s="1297" customFormat="1"/>
    <row r="7086" s="1297" customFormat="1"/>
    <row r="7087" s="1297" customFormat="1"/>
    <row r="7088" s="1297" customFormat="1"/>
    <row r="7089" s="1297" customFormat="1"/>
    <row r="7090" s="1297" customFormat="1"/>
    <row r="7091" s="1297" customFormat="1"/>
    <row r="7092" s="1297" customFormat="1"/>
    <row r="7093" s="1297" customFormat="1"/>
    <row r="7094" s="1297" customFormat="1"/>
    <row r="7095" s="1297" customFormat="1"/>
    <row r="7096" s="1297" customFormat="1"/>
    <row r="7097" s="1297" customFormat="1"/>
    <row r="7098" s="1297" customFormat="1"/>
    <row r="7099" s="1297" customFormat="1"/>
    <row r="7100" s="1297" customFormat="1"/>
    <row r="7101" s="1297" customFormat="1"/>
    <row r="7102" s="1297" customFormat="1"/>
    <row r="7103" s="1297" customFormat="1"/>
    <row r="7104" s="1297" customFormat="1"/>
    <row r="7105" s="1297" customFormat="1"/>
    <row r="7106" s="1297" customFormat="1"/>
    <row r="7107" s="1297" customFormat="1"/>
    <row r="7108" s="1297" customFormat="1"/>
    <row r="7109" s="1297" customFormat="1"/>
    <row r="7110" s="1297" customFormat="1"/>
    <row r="7111" s="1297" customFormat="1"/>
    <row r="7112" s="1297" customFormat="1"/>
    <row r="7113" s="1297" customFormat="1"/>
    <row r="7114" s="1297" customFormat="1"/>
    <row r="7115" s="1297" customFormat="1"/>
    <row r="7116" s="1297" customFormat="1"/>
    <row r="7117" s="1297" customFormat="1"/>
    <row r="7118" s="1297" customFormat="1"/>
    <row r="7119" s="1297" customFormat="1"/>
    <row r="7120" s="1297" customFormat="1"/>
    <row r="7121" s="1297" customFormat="1"/>
    <row r="7122" s="1297" customFormat="1"/>
    <row r="7123" s="1297" customFormat="1"/>
    <row r="7124" s="1297" customFormat="1"/>
    <row r="7125" s="1297" customFormat="1"/>
    <row r="7126" s="1297" customFormat="1"/>
    <row r="7127" s="1297" customFormat="1"/>
    <row r="7128" s="1297" customFormat="1"/>
    <row r="7129" s="1297" customFormat="1"/>
    <row r="7130" s="1297" customFormat="1"/>
    <row r="7131" s="1297" customFormat="1"/>
    <row r="7132" s="1297" customFormat="1"/>
    <row r="7133" s="1297" customFormat="1"/>
    <row r="7134" s="1297" customFormat="1"/>
    <row r="7135" s="1297" customFormat="1"/>
    <row r="7136" s="1297" customFormat="1"/>
    <row r="7137" s="1297" customFormat="1"/>
    <row r="7138" s="1297" customFormat="1"/>
    <row r="7139" s="1297" customFormat="1"/>
    <row r="7140" s="1297" customFormat="1"/>
    <row r="7141" s="1297" customFormat="1"/>
    <row r="7142" s="1297" customFormat="1"/>
    <row r="7143" s="1297" customFormat="1"/>
    <row r="7144" s="1297" customFormat="1"/>
    <row r="7145" s="1297" customFormat="1"/>
    <row r="7146" s="1297" customFormat="1"/>
    <row r="7147" s="1297" customFormat="1"/>
    <row r="7148" s="1297" customFormat="1"/>
    <row r="7149" s="1297" customFormat="1"/>
    <row r="7150" s="1297" customFormat="1"/>
    <row r="7151" s="1297" customFormat="1"/>
    <row r="7152" s="1297" customFormat="1"/>
    <row r="7153" s="1297" customFormat="1"/>
    <row r="7154" s="1297" customFormat="1"/>
    <row r="7155" s="1297" customFormat="1"/>
    <row r="7156" s="1297" customFormat="1"/>
    <row r="7157" s="1297" customFormat="1"/>
    <row r="7158" s="1297" customFormat="1"/>
    <row r="7159" s="1297" customFormat="1"/>
    <row r="7160" s="1297" customFormat="1"/>
    <row r="7161" s="1297" customFormat="1"/>
    <row r="7162" s="1297" customFormat="1"/>
    <row r="7163" s="1297" customFormat="1"/>
    <row r="7164" s="1297" customFormat="1"/>
    <row r="7165" s="1297" customFormat="1"/>
    <row r="7166" s="1297" customFormat="1"/>
    <row r="7167" s="1297" customFormat="1"/>
    <row r="7168" s="1297" customFormat="1"/>
    <row r="7169" s="1297" customFormat="1"/>
    <row r="7170" s="1297" customFormat="1"/>
    <row r="7171" s="1297" customFormat="1"/>
    <row r="7172" s="1297" customFormat="1"/>
    <row r="7173" s="1297" customFormat="1"/>
    <row r="7174" s="1297" customFormat="1"/>
    <row r="7175" s="1297" customFormat="1"/>
    <row r="7176" s="1297" customFormat="1"/>
    <row r="7177" s="1297" customFormat="1"/>
    <row r="7178" s="1297" customFormat="1"/>
    <row r="7179" s="1297" customFormat="1"/>
    <row r="7180" s="1297" customFormat="1"/>
    <row r="7181" s="1297" customFormat="1"/>
    <row r="7182" s="1297" customFormat="1"/>
    <row r="7183" s="1297" customFormat="1"/>
    <row r="7184" s="1297" customFormat="1"/>
    <row r="7185" s="1297" customFormat="1"/>
    <row r="7186" s="1297" customFormat="1"/>
    <row r="7187" s="1297" customFormat="1"/>
    <row r="7188" s="1297" customFormat="1"/>
    <row r="7189" s="1297" customFormat="1"/>
    <row r="7190" s="1297" customFormat="1"/>
    <row r="7191" s="1297" customFormat="1"/>
    <row r="7192" s="1297" customFormat="1"/>
    <row r="7193" s="1297" customFormat="1"/>
    <row r="7194" s="1297" customFormat="1"/>
    <row r="7195" s="1297" customFormat="1"/>
    <row r="7196" s="1297" customFormat="1"/>
    <row r="7197" s="1297" customFormat="1"/>
    <row r="7198" s="1297" customFormat="1"/>
    <row r="7199" s="1297" customFormat="1"/>
    <row r="7200" s="1297" customFormat="1"/>
    <row r="7201" s="1297" customFormat="1"/>
    <row r="7202" s="1297" customFormat="1"/>
    <row r="7203" s="1297" customFormat="1"/>
    <row r="7204" s="1297" customFormat="1"/>
    <row r="7205" s="1297" customFormat="1"/>
    <row r="7206" s="1297" customFormat="1"/>
    <row r="7207" s="1297" customFormat="1"/>
    <row r="7208" s="1297" customFormat="1"/>
    <row r="7209" s="1297" customFormat="1"/>
    <row r="7210" s="1297" customFormat="1"/>
    <row r="7211" s="1297" customFormat="1"/>
    <row r="7212" s="1297" customFormat="1"/>
    <row r="7213" s="1297" customFormat="1"/>
    <row r="7214" s="1297" customFormat="1"/>
    <row r="7215" s="1297" customFormat="1"/>
    <row r="7216" s="1297" customFormat="1"/>
    <row r="7217" s="1297" customFormat="1"/>
    <row r="7218" s="1297" customFormat="1"/>
    <row r="7219" s="1297" customFormat="1"/>
    <row r="7220" s="1297" customFormat="1"/>
    <row r="7221" s="1297" customFormat="1"/>
    <row r="7222" s="1297" customFormat="1"/>
    <row r="7223" s="1297" customFormat="1"/>
    <row r="7224" s="1297" customFormat="1"/>
    <row r="7225" s="1297" customFormat="1"/>
    <row r="7226" s="1297" customFormat="1"/>
    <row r="7227" s="1297" customFormat="1"/>
    <row r="7228" s="1297" customFormat="1"/>
    <row r="7229" s="1297" customFormat="1"/>
    <row r="7230" s="1297" customFormat="1"/>
    <row r="7231" s="1297" customFormat="1"/>
    <row r="7232" s="1297" customFormat="1"/>
    <row r="7233" s="1297" customFormat="1"/>
    <row r="7234" s="1297" customFormat="1"/>
    <row r="7235" s="1297" customFormat="1"/>
    <row r="7236" s="1297" customFormat="1"/>
    <row r="7237" s="1297" customFormat="1"/>
    <row r="7238" s="1297" customFormat="1"/>
    <row r="7239" s="1297" customFormat="1"/>
    <row r="7240" s="1297" customFormat="1"/>
    <row r="7241" s="1297" customFormat="1"/>
    <row r="7242" s="1297" customFormat="1"/>
    <row r="7243" s="1297" customFormat="1"/>
    <row r="7244" s="1297" customFormat="1"/>
    <row r="7245" s="1297" customFormat="1"/>
    <row r="7246" s="1297" customFormat="1"/>
    <row r="7247" s="1297" customFormat="1"/>
    <row r="7248" s="1297" customFormat="1"/>
    <row r="7249" s="1297" customFormat="1"/>
    <row r="7250" s="1297" customFormat="1"/>
    <row r="7251" s="1297" customFormat="1"/>
    <row r="7252" s="1297" customFormat="1"/>
    <row r="7253" s="1297" customFormat="1"/>
    <row r="7254" s="1297" customFormat="1"/>
    <row r="7255" s="1297" customFormat="1"/>
    <row r="7256" s="1297" customFormat="1"/>
    <row r="7257" s="1297" customFormat="1"/>
    <row r="7258" s="1297" customFormat="1"/>
    <row r="7259" s="1297" customFormat="1"/>
    <row r="7260" s="1297" customFormat="1"/>
    <row r="7261" s="1297" customFormat="1"/>
    <row r="7262" s="1297" customFormat="1"/>
    <row r="7263" s="1297" customFormat="1"/>
    <row r="7264" s="1297" customFormat="1"/>
    <row r="7265" spans="4:4" s="1297" customFormat="1"/>
    <row r="7266" spans="4:4" s="1297" customFormat="1"/>
    <row r="7267" spans="4:4" s="1297" customFormat="1"/>
    <row r="7268" spans="4:4" s="1297" customFormat="1"/>
    <row r="7269" spans="4:4" s="1297" customFormat="1"/>
    <row r="7270" spans="4:4" s="1297" customFormat="1"/>
    <row r="7271" spans="4:4" s="1297" customFormat="1">
      <c r="D7271" s="1399"/>
    </row>
    <row r="7272" spans="4:4" s="1297" customFormat="1">
      <c r="D7272" s="1399"/>
    </row>
    <row r="7273" spans="4:4" s="1297" customFormat="1">
      <c r="D7273" s="1399"/>
    </row>
    <row r="7274" spans="4:4" s="1297" customFormat="1">
      <c r="D7274" s="1399"/>
    </row>
    <row r="7275" spans="4:4" s="1297" customFormat="1">
      <c r="D7275" s="1399"/>
    </row>
    <row r="7276" spans="4:4" s="1297" customFormat="1">
      <c r="D7276" s="1399"/>
    </row>
    <row r="7277" spans="4:4" s="1297" customFormat="1">
      <c r="D7277" s="1399"/>
    </row>
    <row r="7278" spans="4:4" s="1297" customFormat="1">
      <c r="D7278" s="1399"/>
    </row>
    <row r="7279" spans="4:4" s="1297" customFormat="1">
      <c r="D7279" s="1399"/>
    </row>
    <row r="7280" spans="4:4" s="1297" customFormat="1">
      <c r="D7280" s="1399"/>
    </row>
    <row r="7281" s="1297" customFormat="1"/>
    <row r="7282" s="1297" customFormat="1"/>
    <row r="7283" s="1297" customFormat="1"/>
    <row r="7284" s="1297" customFormat="1"/>
    <row r="7285" s="1297" customFormat="1"/>
    <row r="7286" s="1297" customFormat="1"/>
    <row r="7287" s="1297" customFormat="1"/>
    <row r="7288" s="1297" customFormat="1"/>
    <row r="7289" s="1297" customFormat="1"/>
    <row r="7290" s="1297" customFormat="1"/>
    <row r="7291" s="1297" customFormat="1"/>
    <row r="7292" s="1297" customFormat="1"/>
    <row r="7293" s="1297" customFormat="1"/>
    <row r="7294" s="1297" customFormat="1"/>
    <row r="7295" s="1297" customFormat="1"/>
    <row r="7296" s="1297" customFormat="1"/>
    <row r="7297" s="1297" customFormat="1"/>
    <row r="7298" s="1297" customFormat="1"/>
    <row r="7299" s="1297" customFormat="1"/>
    <row r="7300" s="1297" customFormat="1"/>
    <row r="7301" s="1297" customFormat="1"/>
    <row r="7302" s="1297" customFormat="1"/>
    <row r="7303" s="1297" customFormat="1"/>
    <row r="7304" s="1297" customFormat="1"/>
    <row r="7305" s="1297" customFormat="1"/>
    <row r="7306" s="1297" customFormat="1"/>
    <row r="7307" s="1297" customFormat="1"/>
    <row r="7308" s="1297" customFormat="1"/>
    <row r="7309" s="1297" customFormat="1"/>
    <row r="7310" s="1297" customFormat="1"/>
    <row r="7311" s="1297" customFormat="1"/>
    <row r="7312" s="1297" customFormat="1"/>
    <row r="7313" s="1297" customFormat="1"/>
    <row r="7314" s="1297" customFormat="1"/>
    <row r="7315" s="1297" customFormat="1"/>
    <row r="7316" s="1297" customFormat="1"/>
    <row r="7317" s="1297" customFormat="1"/>
    <row r="7318" s="1297" customFormat="1"/>
    <row r="7319" s="1297" customFormat="1"/>
    <row r="7320" s="1297" customFormat="1"/>
    <row r="7321" s="1297" customFormat="1"/>
    <row r="7322" s="1297" customFormat="1"/>
    <row r="7323" s="1297" customFormat="1"/>
    <row r="7324" s="1297" customFormat="1"/>
    <row r="7325" s="1297" customFormat="1"/>
    <row r="7326" s="1297" customFormat="1"/>
    <row r="7327" s="1297" customFormat="1"/>
    <row r="7328" s="1297" customFormat="1"/>
    <row r="7329" s="1297" customFormat="1"/>
    <row r="7330" s="1297" customFormat="1"/>
    <row r="7331" s="1297" customFormat="1"/>
    <row r="7332" s="1297" customFormat="1"/>
    <row r="7333" s="1297" customFormat="1"/>
    <row r="7334" s="1297" customFormat="1"/>
    <row r="7335" s="1297" customFormat="1"/>
    <row r="7336" s="1297" customFormat="1"/>
    <row r="7337" s="1297" customFormat="1"/>
    <row r="7338" s="1297" customFormat="1"/>
    <row r="7339" s="1297" customFormat="1"/>
    <row r="7340" s="1297" customFormat="1"/>
    <row r="7341" s="1297" customFormat="1"/>
    <row r="7342" s="1297" customFormat="1"/>
    <row r="7343" s="1297" customFormat="1"/>
    <row r="7344" s="1297" customFormat="1"/>
    <row r="7345" s="1297" customFormat="1"/>
    <row r="7346" s="1297" customFormat="1"/>
    <row r="7347" s="1297" customFormat="1"/>
    <row r="7348" s="1297" customFormat="1"/>
    <row r="7349" s="1297" customFormat="1"/>
    <row r="7350" s="1297" customFormat="1"/>
    <row r="7351" s="1297" customFormat="1"/>
    <row r="7352" s="1297" customFormat="1"/>
    <row r="7353" s="1297" customFormat="1"/>
    <row r="7354" s="1297" customFormat="1"/>
    <row r="7355" s="1297" customFormat="1"/>
    <row r="7356" s="1297" customFormat="1"/>
    <row r="7357" s="1297" customFormat="1"/>
    <row r="7358" s="1297" customFormat="1"/>
    <row r="7359" s="1297" customFormat="1"/>
    <row r="7360" s="1297" customFormat="1"/>
    <row r="7361" s="1297" customFormat="1"/>
    <row r="7362" s="1297" customFormat="1"/>
    <row r="7363" s="1297" customFormat="1"/>
    <row r="7364" s="1297" customFormat="1"/>
    <row r="7365" s="1297" customFormat="1"/>
    <row r="7366" s="1297" customFormat="1"/>
    <row r="7367" s="1297" customFormat="1"/>
    <row r="7368" s="1297" customFormat="1"/>
    <row r="7369" s="1297" customFormat="1"/>
    <row r="7370" s="1297" customFormat="1"/>
    <row r="7371" s="1297" customFormat="1"/>
    <row r="7372" s="1297" customFormat="1"/>
    <row r="7373" s="1297" customFormat="1"/>
    <row r="7374" s="1297" customFormat="1"/>
    <row r="7375" s="1297" customFormat="1"/>
    <row r="7376" s="1297" customFormat="1"/>
    <row r="7377" s="1297" customFormat="1"/>
    <row r="7378" s="1297" customFormat="1"/>
    <row r="7379" s="1297" customFormat="1"/>
    <row r="7380" s="1297" customFormat="1"/>
    <row r="7381" s="1297" customFormat="1"/>
    <row r="7382" s="1297" customFormat="1"/>
    <row r="7383" s="1297" customFormat="1"/>
    <row r="7384" s="1297" customFormat="1"/>
    <row r="7385" s="1297" customFormat="1"/>
    <row r="7386" s="1297" customFormat="1"/>
    <row r="7387" s="1297" customFormat="1"/>
    <row r="7388" s="1297" customFormat="1"/>
    <row r="7389" s="1297" customFormat="1"/>
    <row r="7390" s="1297" customFormat="1"/>
    <row r="7391" s="1297" customFormat="1"/>
    <row r="7392" s="1297" customFormat="1"/>
    <row r="7393" s="1297" customFormat="1"/>
    <row r="7394" s="1297" customFormat="1"/>
    <row r="7395" s="1297" customFormat="1"/>
    <row r="7396" s="1297" customFormat="1"/>
    <row r="7397" s="1297" customFormat="1"/>
    <row r="7398" s="1297" customFormat="1"/>
    <row r="7399" s="1297" customFormat="1"/>
    <row r="7400" s="1297" customFormat="1"/>
    <row r="7401" s="1297" customFormat="1"/>
    <row r="7402" s="1297" customFormat="1"/>
    <row r="7403" s="1297" customFormat="1"/>
    <row r="7404" s="1297" customFormat="1"/>
    <row r="7405" s="1297" customFormat="1"/>
    <row r="7406" s="1297" customFormat="1"/>
    <row r="7407" s="1297" customFormat="1"/>
    <row r="7408" s="1297" customFormat="1"/>
    <row r="7409" s="1297" customFormat="1"/>
    <row r="7410" s="1297" customFormat="1"/>
    <row r="7411" s="1297" customFormat="1"/>
    <row r="7412" s="1297" customFormat="1"/>
    <row r="7413" s="1297" customFormat="1"/>
    <row r="7414" s="1297" customFormat="1"/>
    <row r="7415" s="1297" customFormat="1"/>
    <row r="7416" s="1297" customFormat="1"/>
    <row r="7417" s="1297" customFormat="1"/>
    <row r="7418" s="1297" customFormat="1"/>
    <row r="7419" s="1297" customFormat="1"/>
    <row r="7420" s="1297" customFormat="1"/>
    <row r="7421" s="1297" customFormat="1"/>
    <row r="7422" s="1297" customFormat="1"/>
    <row r="7423" s="1297" customFormat="1"/>
    <row r="7424" s="1297" customFormat="1"/>
    <row r="7425" s="1297" customFormat="1"/>
    <row r="7426" s="1297" customFormat="1"/>
    <row r="7427" s="1297" customFormat="1"/>
    <row r="7428" s="1297" customFormat="1"/>
    <row r="7429" s="1297" customFormat="1"/>
    <row r="7430" s="1297" customFormat="1"/>
    <row r="7431" s="1297" customFormat="1"/>
    <row r="7432" s="1297" customFormat="1"/>
    <row r="7433" s="1297" customFormat="1"/>
    <row r="7434" s="1297" customFormat="1"/>
    <row r="7435" s="1297" customFormat="1"/>
    <row r="7436" s="1297" customFormat="1"/>
    <row r="7437" s="1297" customFormat="1"/>
    <row r="7438" s="1297" customFormat="1"/>
    <row r="7439" s="1297" customFormat="1"/>
    <row r="7440" s="1297" customFormat="1"/>
    <row r="7441" s="1297" customFormat="1"/>
    <row r="7442" s="1297" customFormat="1"/>
    <row r="7443" s="1297" customFormat="1"/>
    <row r="7444" s="1297" customFormat="1"/>
    <row r="7445" s="1297" customFormat="1"/>
    <row r="7446" s="1297" customFormat="1"/>
    <row r="7447" s="1297" customFormat="1"/>
    <row r="7448" s="1297" customFormat="1"/>
    <row r="7449" s="1297" customFormat="1"/>
    <row r="7450" s="1297" customFormat="1"/>
    <row r="7451" s="1297" customFormat="1"/>
    <row r="7452" s="1297" customFormat="1"/>
    <row r="7453" s="1297" customFormat="1"/>
    <row r="7454" s="1297" customFormat="1"/>
    <row r="7455" s="1297" customFormat="1"/>
    <row r="7456" s="1297" customFormat="1"/>
    <row r="7457" s="1297" customFormat="1"/>
    <row r="7458" s="1297" customFormat="1"/>
    <row r="7459" s="1297" customFormat="1"/>
    <row r="7460" s="1297" customFormat="1"/>
    <row r="7461" s="1297" customFormat="1"/>
    <row r="7462" s="1297" customFormat="1"/>
    <row r="7463" s="1297" customFormat="1"/>
    <row r="7464" s="1297" customFormat="1"/>
    <row r="7465" s="1297" customFormat="1"/>
    <row r="7466" s="1297" customFormat="1"/>
    <row r="7467" s="1297" customFormat="1"/>
    <row r="7468" s="1297" customFormat="1"/>
    <row r="7469" s="1297" customFormat="1"/>
    <row r="7470" s="1297" customFormat="1"/>
    <row r="7471" s="1297" customFormat="1"/>
    <row r="7472" s="1297" customFormat="1"/>
    <row r="7473" s="1297" customFormat="1"/>
    <row r="7474" s="1297" customFormat="1"/>
    <row r="7475" s="1297" customFormat="1"/>
    <row r="7476" s="1297" customFormat="1"/>
    <row r="7477" s="1297" customFormat="1"/>
    <row r="7478" s="1297" customFormat="1"/>
    <row r="7479" s="1297" customFormat="1"/>
    <row r="7480" s="1297" customFormat="1"/>
    <row r="7481" s="1297" customFormat="1"/>
    <row r="7482" s="1297" customFormat="1"/>
    <row r="7483" s="1297" customFormat="1"/>
    <row r="7484" s="1297" customFormat="1"/>
    <row r="7485" s="1297" customFormat="1"/>
    <row r="7486" s="1297" customFormat="1"/>
    <row r="7487" s="1297" customFormat="1"/>
    <row r="7488" s="1297" customFormat="1"/>
    <row r="7489" s="1297" customFormat="1"/>
    <row r="7490" s="1297" customFormat="1"/>
    <row r="7491" s="1297" customFormat="1"/>
    <row r="7492" s="1297" customFormat="1"/>
    <row r="7493" s="1297" customFormat="1"/>
    <row r="7494" s="1297" customFormat="1"/>
    <row r="7495" s="1297" customFormat="1"/>
    <row r="7496" s="1297" customFormat="1"/>
    <row r="7497" s="1297" customFormat="1"/>
    <row r="7498" s="1297" customFormat="1"/>
    <row r="7499" s="1297" customFormat="1"/>
    <row r="7500" s="1297" customFormat="1"/>
    <row r="7501" s="1297" customFormat="1"/>
    <row r="7502" s="1297" customFormat="1"/>
    <row r="7503" s="1297" customFormat="1"/>
    <row r="7504" s="1297" customFormat="1"/>
    <row r="7505" s="1297" customFormat="1"/>
    <row r="7506" s="1297" customFormat="1"/>
    <row r="7507" s="1297" customFormat="1"/>
    <row r="7508" s="1297" customFormat="1"/>
    <row r="7509" s="1297" customFormat="1"/>
    <row r="7510" s="1297" customFormat="1"/>
    <row r="7511" s="1297" customFormat="1"/>
    <row r="7512" s="1297" customFormat="1"/>
    <row r="7513" s="1297" customFormat="1"/>
    <row r="7514" s="1297" customFormat="1"/>
    <row r="7515" s="1297" customFormat="1"/>
    <row r="7516" s="1297" customFormat="1"/>
    <row r="7517" s="1297" customFormat="1"/>
    <row r="7518" s="1297" customFormat="1"/>
    <row r="7519" s="1297" customFormat="1"/>
    <row r="7520" s="1297" customFormat="1"/>
    <row r="7521" s="1297" customFormat="1"/>
    <row r="7522" s="1297" customFormat="1"/>
    <row r="7523" s="1297" customFormat="1"/>
    <row r="7524" s="1297" customFormat="1"/>
    <row r="7525" s="1297" customFormat="1"/>
    <row r="7526" s="1297" customFormat="1"/>
    <row r="7527" s="1297" customFormat="1"/>
    <row r="7528" s="1297" customFormat="1"/>
    <row r="7529" s="1297" customFormat="1"/>
    <row r="7530" s="1297" customFormat="1"/>
    <row r="7531" s="1297" customFormat="1"/>
    <row r="7532" s="1297" customFormat="1"/>
    <row r="7533" s="1297" customFormat="1"/>
    <row r="7534" s="1297" customFormat="1"/>
    <row r="7535" s="1297" customFormat="1"/>
    <row r="7536" s="1297" customFormat="1"/>
    <row r="7537" s="1297" customFormat="1"/>
    <row r="7538" s="1297" customFormat="1"/>
    <row r="7539" s="1297" customFormat="1"/>
    <row r="7540" s="1297" customFormat="1"/>
    <row r="7541" s="1297" customFormat="1"/>
    <row r="7542" s="1297" customFormat="1"/>
    <row r="7543" s="1297" customFormat="1"/>
    <row r="7544" s="1297" customFormat="1"/>
    <row r="7545" s="1297" customFormat="1"/>
    <row r="7546" s="1297" customFormat="1"/>
    <row r="7547" s="1297" customFormat="1"/>
    <row r="7548" s="1297" customFormat="1"/>
    <row r="7549" s="1297" customFormat="1"/>
    <row r="7550" s="1297" customFormat="1"/>
    <row r="7551" s="1297" customFormat="1"/>
    <row r="7552" s="1297" customFormat="1"/>
    <row r="7553" s="1297" customFormat="1"/>
    <row r="7554" s="1297" customFormat="1"/>
    <row r="7555" s="1297" customFormat="1"/>
    <row r="7556" s="1297" customFormat="1"/>
    <row r="7557" s="1297" customFormat="1"/>
    <row r="7558" s="1297" customFormat="1"/>
    <row r="7559" s="1297" customFormat="1"/>
    <row r="7560" s="1297" customFormat="1"/>
    <row r="7561" s="1297" customFormat="1"/>
    <row r="7562" s="1297" customFormat="1"/>
    <row r="7563" s="1297" customFormat="1"/>
    <row r="7564" s="1297" customFormat="1"/>
    <row r="7565" s="1297" customFormat="1"/>
    <row r="7566" s="1297" customFormat="1"/>
    <row r="7567" s="1297" customFormat="1"/>
    <row r="7568" s="1297" customFormat="1"/>
    <row r="7569" s="1297" customFormat="1"/>
    <row r="7570" s="1297" customFormat="1"/>
    <row r="7571" s="1297" customFormat="1"/>
    <row r="7572" s="1297" customFormat="1"/>
    <row r="7573" s="1297" customFormat="1"/>
    <row r="7574" s="1297" customFormat="1"/>
    <row r="7575" s="1297" customFormat="1"/>
    <row r="7576" s="1297" customFormat="1"/>
    <row r="7577" s="1297" customFormat="1"/>
    <row r="7578" s="1297" customFormat="1"/>
    <row r="7579" s="1297" customFormat="1"/>
    <row r="7580" s="1297" customFormat="1"/>
    <row r="7581" s="1297" customFormat="1"/>
    <row r="7582" s="1297" customFormat="1"/>
    <row r="7583" s="1297" customFormat="1"/>
    <row r="7584" s="1297" customFormat="1"/>
    <row r="7585" s="1297" customFormat="1"/>
    <row r="7586" s="1297" customFormat="1"/>
    <row r="7587" s="1297" customFormat="1"/>
    <row r="7588" s="1297" customFormat="1"/>
    <row r="7589" s="1297" customFormat="1"/>
    <row r="7590" s="1297" customFormat="1"/>
    <row r="7591" s="1297" customFormat="1"/>
    <row r="7592" s="1297" customFormat="1"/>
    <row r="7593" s="1297" customFormat="1"/>
    <row r="7594" s="1297" customFormat="1"/>
    <row r="7595" s="1297" customFormat="1"/>
    <row r="7596" s="1297" customFormat="1"/>
    <row r="7597" s="1297" customFormat="1"/>
    <row r="7598" s="1297" customFormat="1"/>
    <row r="7599" s="1297" customFormat="1"/>
    <row r="7600" s="1297" customFormat="1"/>
    <row r="7601" s="1297" customFormat="1"/>
    <row r="7602" s="1297" customFormat="1"/>
    <row r="7603" s="1297" customFormat="1"/>
    <row r="7604" s="1297" customFormat="1"/>
    <row r="7605" s="1297" customFormat="1"/>
    <row r="7606" s="1297" customFormat="1"/>
    <row r="7607" s="1297" customFormat="1"/>
    <row r="7608" s="1297" customFormat="1"/>
    <row r="7609" s="1297" customFormat="1"/>
    <row r="7610" s="1297" customFormat="1"/>
    <row r="7611" s="1297" customFormat="1"/>
    <row r="7612" s="1297" customFormat="1"/>
    <row r="7613" s="1297" customFormat="1"/>
    <row r="7614" s="1297" customFormat="1"/>
    <row r="7615" s="1297" customFormat="1"/>
    <row r="7616" s="1297" customFormat="1"/>
    <row r="7617" s="1297" customFormat="1"/>
    <row r="7618" s="1297" customFormat="1"/>
    <row r="7619" s="1297" customFormat="1"/>
    <row r="7620" s="1297" customFormat="1"/>
    <row r="7621" s="1297" customFormat="1"/>
    <row r="7622" s="1297" customFormat="1"/>
    <row r="7623" s="1297" customFormat="1"/>
    <row r="7624" s="1297" customFormat="1"/>
    <row r="7625" s="1297" customFormat="1"/>
    <row r="7626" s="1297" customFormat="1"/>
    <row r="7627" s="1297" customFormat="1"/>
    <row r="7628" s="1297" customFormat="1"/>
    <row r="7629" s="1297" customFormat="1"/>
    <row r="7630" s="1297" customFormat="1"/>
    <row r="7631" s="1297" customFormat="1"/>
    <row r="7632" s="1297" customFormat="1"/>
    <row r="7633" s="1297" customFormat="1"/>
    <row r="7634" s="1297" customFormat="1"/>
    <row r="7635" s="1297" customFormat="1"/>
    <row r="7636" s="1297" customFormat="1"/>
    <row r="7637" s="1297" customFormat="1"/>
    <row r="7638" s="1297" customFormat="1"/>
    <row r="7639" s="1297" customFormat="1"/>
    <row r="7640" s="1297" customFormat="1"/>
    <row r="7641" s="1297" customFormat="1"/>
    <row r="7642" s="1297" customFormat="1"/>
    <row r="7643" s="1297" customFormat="1"/>
    <row r="7644" s="1297" customFormat="1"/>
    <row r="7645" s="1297" customFormat="1"/>
    <row r="7646" s="1297" customFormat="1"/>
    <row r="7647" s="1297" customFormat="1"/>
    <row r="7648" s="1297" customFormat="1"/>
    <row r="7649" s="1297" customFormat="1"/>
    <row r="7650" s="1297" customFormat="1"/>
    <row r="7651" s="1297" customFormat="1"/>
    <row r="7652" s="1297" customFormat="1"/>
    <row r="7653" s="1297" customFormat="1"/>
    <row r="7654" s="1297" customFormat="1"/>
    <row r="7655" s="1297" customFormat="1"/>
    <row r="7656" s="1297" customFormat="1"/>
    <row r="7657" s="1297" customFormat="1"/>
    <row r="7658" s="1297" customFormat="1"/>
    <row r="7659" s="1297" customFormat="1"/>
    <row r="7660" s="1297" customFormat="1"/>
    <row r="7661" s="1297" customFormat="1"/>
    <row r="7662" s="1297" customFormat="1"/>
    <row r="7663" s="1297" customFormat="1"/>
    <row r="7664" s="1297" customFormat="1"/>
    <row r="7665" s="1297" customFormat="1"/>
    <row r="7666" s="1297" customFormat="1"/>
    <row r="7667" s="1297" customFormat="1"/>
  </sheetData>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J210"/>
  <sheetViews>
    <sheetView topLeftCell="B10" workbookViewId="0">
      <selection activeCell="E30" sqref="E30:F30"/>
    </sheetView>
  </sheetViews>
  <sheetFormatPr defaultColWidth="8.83203125" defaultRowHeight="12"/>
  <cols>
    <col min="1" max="1" width="4.83203125" style="3" customWidth="1"/>
    <col min="2" max="2" width="5.5" style="3" customWidth="1"/>
    <col min="3" max="3" width="4.83203125" style="3" customWidth="1"/>
    <col min="4" max="4" width="12.83203125" style="3" customWidth="1"/>
    <col min="5" max="6" width="11.33203125" style="3" customWidth="1"/>
    <col min="7" max="8" width="14.83203125" style="3" customWidth="1"/>
    <col min="9" max="12" width="10.83203125"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515" t="s">
        <v>376</v>
      </c>
      <c r="C1" s="1515"/>
      <c r="D1" s="1515"/>
      <c r="E1" s="1515"/>
      <c r="F1" s="1515"/>
      <c r="G1" s="1515"/>
      <c r="H1" s="1515"/>
      <c r="I1" s="1515"/>
      <c r="J1" s="1515"/>
      <c r="K1" s="1515"/>
      <c r="L1" s="1515"/>
      <c r="M1" s="1515"/>
      <c r="N1" s="1515"/>
      <c r="O1" s="1515"/>
      <c r="P1" s="1515"/>
      <c r="Q1" s="1515"/>
      <c r="R1" s="1515"/>
      <c r="S1" s="1515"/>
      <c r="T1" s="402"/>
      <c r="U1" s="403"/>
      <c r="V1" s="404"/>
      <c r="W1" s="404"/>
      <c r="X1" s="404"/>
      <c r="Y1" s="404"/>
      <c r="Z1" s="404"/>
      <c r="AA1" s="404"/>
      <c r="AB1" s="405"/>
      <c r="AC1" s="272"/>
      <c r="AD1" s="272"/>
      <c r="AE1" s="272"/>
      <c r="AF1" s="265"/>
      <c r="AG1" s="265"/>
      <c r="AH1" s="265"/>
    </row>
    <row r="2" spans="1:34" ht="20.100000000000001" customHeight="1">
      <c r="A2" s="1585" t="s">
        <v>376</v>
      </c>
      <c r="B2" s="1530" t="s">
        <v>218</v>
      </c>
      <c r="C2" s="1530"/>
      <c r="D2" s="1530"/>
      <c r="E2" s="1530"/>
      <c r="F2" s="1530"/>
      <c r="G2" s="1530"/>
      <c r="H2" s="1530"/>
      <c r="I2" s="1530"/>
      <c r="J2" s="1530"/>
      <c r="K2" s="1530"/>
      <c r="L2" s="1530"/>
      <c r="M2" s="1530"/>
      <c r="N2" s="1530"/>
      <c r="O2" s="1530"/>
      <c r="P2" s="1530"/>
      <c r="Q2" s="1530"/>
      <c r="R2" s="1530"/>
      <c r="S2" s="1530"/>
      <c r="T2" s="1585" t="s">
        <v>376</v>
      </c>
      <c r="U2" s="400" t="str">
        <f>W49</f>
        <v>GA</v>
      </c>
      <c r="V2" s="1531" t="s">
        <v>219</v>
      </c>
      <c r="W2" s="1531"/>
      <c r="X2" s="1531"/>
      <c r="Y2" s="1531"/>
      <c r="Z2" s="1531"/>
      <c r="AA2" s="1531"/>
      <c r="AB2" s="401"/>
      <c r="AC2" s="272"/>
      <c r="AD2" s="272"/>
      <c r="AE2" s="272"/>
      <c r="AF2" s="265"/>
      <c r="AG2" s="265"/>
      <c r="AH2" s="265"/>
    </row>
    <row r="3" spans="1:34" ht="21" customHeight="1">
      <c r="A3" s="1585"/>
      <c r="B3" s="406"/>
      <c r="C3" s="407"/>
      <c r="D3" s="407"/>
      <c r="E3" s="407"/>
      <c r="F3" s="407"/>
      <c r="G3" s="407"/>
      <c r="H3" s="407"/>
      <c r="I3" s="1589" t="s">
        <v>152</v>
      </c>
      <c r="J3" s="1589"/>
      <c r="K3" s="1589" t="s">
        <v>153</v>
      </c>
      <c r="L3" s="1589"/>
      <c r="M3" s="1589" t="s">
        <v>154</v>
      </c>
      <c r="N3" s="1589"/>
      <c r="O3" s="1589" t="s">
        <v>155</v>
      </c>
      <c r="P3" s="1589"/>
      <c r="Q3" s="1589" t="s">
        <v>156</v>
      </c>
      <c r="R3" s="1589"/>
      <c r="S3" s="407"/>
      <c r="T3" s="1585"/>
      <c r="U3" s="1499" t="s">
        <v>1841</v>
      </c>
      <c r="V3" s="1500"/>
      <c r="W3" s="1500"/>
      <c r="X3" s="1500"/>
      <c r="Y3" s="1500"/>
      <c r="Z3" s="1500"/>
      <c r="AA3" s="1500"/>
      <c r="AB3" s="1501"/>
      <c r="AC3" s="722"/>
      <c r="AD3" s="722"/>
      <c r="AE3" s="722"/>
      <c r="AF3" s="265"/>
      <c r="AG3" s="265"/>
      <c r="AH3" s="265"/>
    </row>
    <row r="4" spans="1:34" ht="21.95" customHeight="1">
      <c r="A4" s="1585"/>
      <c r="B4" s="406"/>
      <c r="C4" s="1446" t="str">
        <f>W49</f>
        <v>GA</v>
      </c>
      <c r="D4" s="1622" t="s">
        <v>450</v>
      </c>
      <c r="E4" s="1623"/>
      <c r="F4" s="1623"/>
      <c r="G4" s="1623"/>
      <c r="H4" s="1623"/>
      <c r="I4" s="1447"/>
      <c r="J4" s="1447"/>
      <c r="K4" s="1447"/>
      <c r="L4" s="1448"/>
      <c r="M4" s="538"/>
      <c r="N4" s="538"/>
      <c r="O4" s="538"/>
      <c r="P4" s="538"/>
      <c r="Q4" s="538"/>
      <c r="R4" s="538"/>
      <c r="S4" s="407"/>
      <c r="T4" s="1585"/>
      <c r="U4" s="1502"/>
      <c r="V4" s="1503"/>
      <c r="W4" s="1503"/>
      <c r="X4" s="1503"/>
      <c r="Y4" s="1503"/>
      <c r="Z4" s="1503"/>
      <c r="AA4" s="1503"/>
      <c r="AB4" s="1504"/>
      <c r="AC4" s="722"/>
      <c r="AD4" s="722"/>
      <c r="AE4" s="722"/>
      <c r="AF4" s="265"/>
      <c r="AG4" s="265"/>
      <c r="AH4" s="265"/>
    </row>
    <row r="5" spans="1:34" ht="15" customHeight="1">
      <c r="A5" s="1585"/>
      <c r="B5" s="406"/>
      <c r="C5" s="1614" t="str">
        <f>W50</f>
        <v>FY2010-11</v>
      </c>
      <c r="D5" s="1615"/>
      <c r="E5" s="1567"/>
      <c r="F5" s="1568"/>
      <c r="G5" s="1567" t="s">
        <v>166</v>
      </c>
      <c r="H5" s="1568"/>
      <c r="I5" s="1564" t="str">
        <f>W52</f>
        <v>Fulton County</v>
      </c>
      <c r="J5" s="1546"/>
      <c r="K5" s="1545" t="str">
        <f>W53</f>
        <v>Atlanta Public</v>
      </c>
      <c r="L5" s="1565"/>
      <c r="M5" s="1569" t="str">
        <f>W54</f>
        <v>FA3L1</v>
      </c>
      <c r="N5" s="1546"/>
      <c r="O5" s="1545" t="str">
        <f>W55</f>
        <v>FA4L1</v>
      </c>
      <c r="P5" s="1546"/>
      <c r="Q5" s="1545" t="str">
        <f>W56</f>
        <v>FA5L1</v>
      </c>
      <c r="R5" s="1546"/>
      <c r="S5" s="407"/>
      <c r="T5" s="1585"/>
      <c r="U5" s="1502"/>
      <c r="V5" s="1503"/>
      <c r="W5" s="1503"/>
      <c r="X5" s="1503"/>
      <c r="Y5" s="1503"/>
      <c r="Z5" s="1503"/>
      <c r="AA5" s="1503"/>
      <c r="AB5" s="1504"/>
      <c r="AC5" s="722"/>
      <c r="AD5" s="722"/>
      <c r="AE5" s="722"/>
      <c r="AF5" s="265"/>
      <c r="AG5" s="265"/>
      <c r="AH5" s="265"/>
    </row>
    <row r="6" spans="1:34" ht="15" customHeight="1" thickBot="1">
      <c r="A6" s="1585"/>
      <c r="B6" s="406"/>
      <c r="C6" s="1616"/>
      <c r="D6" s="1617"/>
      <c r="E6" s="1543" t="s">
        <v>151</v>
      </c>
      <c r="F6" s="1544"/>
      <c r="G6" s="1543" t="s">
        <v>356</v>
      </c>
      <c r="H6" s="1544"/>
      <c r="I6" s="1562" t="str">
        <f>X52</f>
        <v>District</v>
      </c>
      <c r="J6" s="1563"/>
      <c r="K6" s="1547" t="str">
        <f>X53</f>
        <v>Schools</v>
      </c>
      <c r="L6" s="1566"/>
      <c r="M6" s="1570" t="str">
        <f>X54</f>
        <v>FA3L2</v>
      </c>
      <c r="N6" s="1563"/>
      <c r="O6" s="1587" t="str">
        <f>X55</f>
        <v>FA4L2</v>
      </c>
      <c r="P6" s="1563"/>
      <c r="Q6" s="1547" t="str">
        <f>X56</f>
        <v>FA5L2</v>
      </c>
      <c r="R6" s="1548"/>
      <c r="S6" s="407"/>
      <c r="T6" s="1585"/>
      <c r="U6" s="1502"/>
      <c r="V6" s="1503"/>
      <c r="W6" s="1503"/>
      <c r="X6" s="1503"/>
      <c r="Y6" s="1503"/>
      <c r="Z6" s="1503"/>
      <c r="AA6" s="1503"/>
      <c r="AB6" s="1504"/>
      <c r="AC6" s="722"/>
      <c r="AD6" s="722"/>
      <c r="AE6" s="722"/>
      <c r="AF6" s="265"/>
      <c r="AG6" s="265"/>
      <c r="AH6" s="265"/>
    </row>
    <row r="7" spans="1:34" ht="15" customHeight="1">
      <c r="A7" s="1585"/>
      <c r="B7" s="409"/>
      <c r="C7" s="1449" t="s">
        <v>170</v>
      </c>
      <c r="D7" s="575"/>
      <c r="E7" s="573"/>
      <c r="F7" s="573"/>
      <c r="G7" s="573"/>
      <c r="H7" s="573"/>
      <c r="I7" s="573"/>
      <c r="J7" s="573"/>
      <c r="K7" s="573"/>
      <c r="L7" s="1450"/>
      <c r="M7" s="1438"/>
      <c r="N7" s="573"/>
      <c r="O7" s="573"/>
      <c r="P7" s="573"/>
      <c r="Q7" s="573"/>
      <c r="R7" s="573"/>
      <c r="S7" s="410"/>
      <c r="T7" s="1585"/>
      <c r="U7" s="1502"/>
      <c r="V7" s="1503"/>
      <c r="W7" s="1503"/>
      <c r="X7" s="1503"/>
      <c r="Y7" s="1503"/>
      <c r="Z7" s="1503"/>
      <c r="AA7" s="1503"/>
      <c r="AB7" s="1504"/>
      <c r="AC7" s="722"/>
      <c r="AD7" s="722"/>
      <c r="AE7" s="722"/>
      <c r="AF7" s="265"/>
      <c r="AG7" s="265"/>
      <c r="AH7" s="265"/>
    </row>
    <row r="8" spans="1:34" ht="15" customHeight="1">
      <c r="A8" s="1585"/>
      <c r="B8" s="406"/>
      <c r="C8" s="1618" t="s">
        <v>165</v>
      </c>
      <c r="D8" s="1619"/>
      <c r="E8" s="1429"/>
      <c r="F8" s="525">
        <f>E19</f>
        <v>11741.223774848462</v>
      </c>
      <c r="G8" s="531"/>
      <c r="H8" s="515">
        <f>G19</f>
        <v>13060.135195540093</v>
      </c>
      <c r="I8" s="518"/>
      <c r="J8" s="564">
        <f>I19</f>
        <v>12854.092351008807</v>
      </c>
      <c r="K8" s="545"/>
      <c r="L8" s="1451">
        <f>K19</f>
        <v>18980.36097992758</v>
      </c>
      <c r="M8" s="525"/>
      <c r="N8" s="564" t="e">
        <f>M19</f>
        <v>#DIV/0!</v>
      </c>
      <c r="O8" s="545"/>
      <c r="P8" s="564" t="e">
        <f>O19</f>
        <v>#DIV/0!</v>
      </c>
      <c r="Q8" s="545"/>
      <c r="R8" s="564" t="e">
        <f>Q19</f>
        <v>#DIV/0!</v>
      </c>
      <c r="S8" s="407"/>
      <c r="T8" s="1585"/>
      <c r="U8" s="1502"/>
      <c r="V8" s="1503"/>
      <c r="W8" s="1503"/>
      <c r="X8" s="1503"/>
      <c r="Y8" s="1503"/>
      <c r="Z8" s="1503"/>
      <c r="AA8" s="1503"/>
      <c r="AB8" s="1504"/>
      <c r="AC8" s="722"/>
      <c r="AD8" s="722"/>
      <c r="AE8" s="722"/>
      <c r="AF8" s="265"/>
      <c r="AG8" s="265"/>
      <c r="AH8" s="265"/>
    </row>
    <row r="9" spans="1:34" ht="15" customHeight="1">
      <c r="A9" s="1585"/>
      <c r="B9" s="406"/>
      <c r="C9" s="1604" t="s">
        <v>164</v>
      </c>
      <c r="D9" s="1605"/>
      <c r="E9" s="539"/>
      <c r="F9" s="526">
        <f>F19</f>
        <v>8471.9359651035993</v>
      </c>
      <c r="G9" s="532"/>
      <c r="H9" s="516">
        <f>H19</f>
        <v>8471.9359651035993</v>
      </c>
      <c r="I9" s="519"/>
      <c r="J9" s="565">
        <f>J19</f>
        <v>9869.7823108993471</v>
      </c>
      <c r="K9" s="540"/>
      <c r="L9" s="1452">
        <f>L19</f>
        <v>13174.164996504313</v>
      </c>
      <c r="M9" s="527"/>
      <c r="N9" s="565" t="e">
        <f>N19</f>
        <v>#DIV/0!</v>
      </c>
      <c r="O9" s="540"/>
      <c r="P9" s="565" t="e">
        <f>P19</f>
        <v>#DIV/0!</v>
      </c>
      <c r="Q9" s="540"/>
      <c r="R9" s="565" t="e">
        <f>R19</f>
        <v>#DIV/0!</v>
      </c>
      <c r="S9" s="407"/>
      <c r="T9" s="1585"/>
      <c r="U9" s="1502"/>
      <c r="V9" s="1503"/>
      <c r="W9" s="1503"/>
      <c r="X9" s="1503"/>
      <c r="Y9" s="1503"/>
      <c r="Z9" s="1503"/>
      <c r="AA9" s="1503"/>
      <c r="AB9" s="1504"/>
      <c r="AC9" s="722"/>
      <c r="AD9" s="722"/>
      <c r="AE9" s="722"/>
      <c r="AF9" s="265"/>
      <c r="AG9" s="265"/>
      <c r="AH9" s="265"/>
    </row>
    <row r="10" spans="1:34" ht="15" customHeight="1">
      <c r="A10" s="1585"/>
      <c r="B10" s="406"/>
      <c r="C10" s="1604" t="s">
        <v>171</v>
      </c>
      <c r="D10" s="1605"/>
      <c r="E10" s="540"/>
      <c r="F10" s="527">
        <f>F9-F8</f>
        <v>-3269.2878097448629</v>
      </c>
      <c r="G10" s="532"/>
      <c r="H10" s="517">
        <f>H9-H8</f>
        <v>-4588.199230436494</v>
      </c>
      <c r="I10" s="519"/>
      <c r="J10" s="566">
        <f>J9-J8</f>
        <v>-2984.3100401094598</v>
      </c>
      <c r="K10" s="540"/>
      <c r="L10" s="1453">
        <f>L9-L8</f>
        <v>-5806.1959834232675</v>
      </c>
      <c r="M10" s="527"/>
      <c r="N10" s="566" t="e">
        <f>N9-N8</f>
        <v>#DIV/0!</v>
      </c>
      <c r="O10" s="540"/>
      <c r="P10" s="566" t="e">
        <f>P9-P8</f>
        <v>#DIV/0!</v>
      </c>
      <c r="Q10" s="540"/>
      <c r="R10" s="566" t="e">
        <f>R9-R8</f>
        <v>#DIV/0!</v>
      </c>
      <c r="S10" s="407"/>
      <c r="T10" s="1585"/>
      <c r="U10" s="1505"/>
      <c r="V10" s="1506"/>
      <c r="W10" s="1506"/>
      <c r="X10" s="1506"/>
      <c r="Y10" s="1506"/>
      <c r="Z10" s="1506"/>
      <c r="AA10" s="1506"/>
      <c r="AB10" s="1507"/>
      <c r="AC10" s="722"/>
      <c r="AD10" s="722"/>
      <c r="AE10" s="722"/>
      <c r="AF10" s="265"/>
      <c r="AG10" s="265"/>
      <c r="AH10" s="265"/>
    </row>
    <row r="11" spans="1:34" ht="15" customHeight="1" thickBot="1">
      <c r="A11" s="1585"/>
      <c r="B11" s="406"/>
      <c r="C11" s="1604" t="s">
        <v>172</v>
      </c>
      <c r="D11" s="1605"/>
      <c r="E11" s="546"/>
      <c r="F11" s="547">
        <f>F10/F8</f>
        <v>-0.2784452347078325</v>
      </c>
      <c r="G11" s="548"/>
      <c r="H11" s="549">
        <f>H10/H8</f>
        <v>-0.35131330279056516</v>
      </c>
      <c r="I11" s="550"/>
      <c r="J11" s="567">
        <f>J10/J8</f>
        <v>-0.23216808768883998</v>
      </c>
      <c r="K11" s="551"/>
      <c r="L11" s="1454">
        <f>L10/L8</f>
        <v>-0.30590545614825398</v>
      </c>
      <c r="M11" s="547"/>
      <c r="N11" s="567" t="e">
        <f>N10/N8</f>
        <v>#DIV/0!</v>
      </c>
      <c r="O11" s="551"/>
      <c r="P11" s="567" t="e">
        <f>P10/P8</f>
        <v>#DIV/0!</v>
      </c>
      <c r="Q11" s="551"/>
      <c r="R11" s="567" t="e">
        <f>R10/R8</f>
        <v>#DIV/0!</v>
      </c>
      <c r="S11" s="407"/>
      <c r="T11" s="1585"/>
      <c r="U11" s="1488"/>
      <c r="V11" s="1489"/>
      <c r="W11" s="1489"/>
      <c r="X11" s="1489"/>
      <c r="Y11" s="1489"/>
      <c r="Z11" s="1489"/>
      <c r="AA11" s="1489"/>
      <c r="AB11" s="1490"/>
      <c r="AC11" s="722"/>
      <c r="AD11" s="722"/>
      <c r="AE11" s="722"/>
      <c r="AF11" s="265"/>
      <c r="AG11" s="265"/>
      <c r="AH11" s="265"/>
    </row>
    <row r="12" spans="1:34" ht="42" customHeight="1">
      <c r="A12" s="1585"/>
      <c r="B12" s="406"/>
      <c r="C12" s="1632" t="s">
        <v>173</v>
      </c>
      <c r="D12" s="1633"/>
      <c r="E12" s="552" t="s">
        <v>165</v>
      </c>
      <c r="F12" s="553" t="s">
        <v>164</v>
      </c>
      <c r="G12" s="552" t="s">
        <v>165</v>
      </c>
      <c r="H12" s="555" t="s">
        <v>164</v>
      </c>
      <c r="I12" s="554" t="s">
        <v>165</v>
      </c>
      <c r="J12" s="568" t="s">
        <v>164</v>
      </c>
      <c r="K12" s="552" t="s">
        <v>165</v>
      </c>
      <c r="L12" s="1455" t="s">
        <v>164</v>
      </c>
      <c r="M12" s="1439" t="s">
        <v>165</v>
      </c>
      <c r="N12" s="568" t="s">
        <v>164</v>
      </c>
      <c r="O12" s="552" t="s">
        <v>165</v>
      </c>
      <c r="P12" s="568" t="s">
        <v>164</v>
      </c>
      <c r="Q12" s="552" t="s">
        <v>165</v>
      </c>
      <c r="R12" s="568" t="s">
        <v>164</v>
      </c>
      <c r="S12" s="407"/>
      <c r="T12" s="1585"/>
      <c r="U12" s="1491"/>
      <c r="V12" s="1492"/>
      <c r="W12" s="1492"/>
      <c r="X12" s="1492"/>
      <c r="Y12" s="1492"/>
      <c r="Z12" s="1492"/>
      <c r="AA12" s="1492"/>
      <c r="AB12" s="1493"/>
      <c r="AC12" s="722"/>
      <c r="AD12" s="722"/>
      <c r="AE12" s="722"/>
      <c r="AF12" s="265"/>
      <c r="AG12" s="265"/>
      <c r="AH12" s="265"/>
    </row>
    <row r="13" spans="1:34" ht="15" customHeight="1">
      <c r="A13" s="1585"/>
      <c r="B13" s="406"/>
      <c r="C13" s="1456" t="s">
        <v>145</v>
      </c>
      <c r="D13" s="578"/>
      <c r="E13" s="541">
        <f>'$REV-DSUM'!B26/E21</f>
        <v>1505.4729033435444</v>
      </c>
      <c r="F13" s="498">
        <f>'$REV-DSUM'!B96/E23</f>
        <v>750.21788876772086</v>
      </c>
      <c r="G13" s="533">
        <f>'$REV-DB'!AS22</f>
        <v>1592.6492492079394</v>
      </c>
      <c r="H13" s="559">
        <f t="shared" ref="H13:H18" si="0">F13</f>
        <v>750.21788876772086</v>
      </c>
      <c r="I13" s="520">
        <f>'$REV-DSUM'!B166/I21</f>
        <v>1108.4521209403104</v>
      </c>
      <c r="J13" s="569">
        <f>'$REV-DSUM'!B236/I23</f>
        <v>1011.3806432400239</v>
      </c>
      <c r="K13" s="541">
        <f>'$REV-DSUM'!B306/K21</f>
        <v>2283.7877871160986</v>
      </c>
      <c r="L13" s="1457">
        <f>'$REV-DSUM'!B376/K23</f>
        <v>1028.2750780703798</v>
      </c>
      <c r="M13" s="1440" t="e">
        <f>'$REV-DSUM'!B446/M21</f>
        <v>#DIV/0!</v>
      </c>
      <c r="N13" s="569" t="e">
        <f>'$REV-DSUM'!B516/M23</f>
        <v>#DIV/0!</v>
      </c>
      <c r="O13" s="541" t="e">
        <f>'$REV-DSUM'!B586/O21</f>
        <v>#DIV/0!</v>
      </c>
      <c r="P13" s="569" t="e">
        <f>'$REV-DSUM'!B656/O23</f>
        <v>#DIV/0!</v>
      </c>
      <c r="Q13" s="541" t="e">
        <f>'$REV-DSUM'!B726/Q21</f>
        <v>#DIV/0!</v>
      </c>
      <c r="R13" s="569" t="e">
        <f>'$REV-DSUM'!B796/Q23</f>
        <v>#DIV/0!</v>
      </c>
      <c r="S13" s="407"/>
      <c r="T13" s="1585"/>
      <c r="U13" s="1491"/>
      <c r="V13" s="1492"/>
      <c r="W13" s="1492"/>
      <c r="X13" s="1492"/>
      <c r="Y13" s="1492"/>
      <c r="Z13" s="1492"/>
      <c r="AA13" s="1492"/>
      <c r="AB13" s="1493"/>
      <c r="AC13" s="722"/>
      <c r="AD13" s="722"/>
      <c r="AE13" s="722"/>
      <c r="AF13" s="265"/>
      <c r="AG13" s="265"/>
      <c r="AH13" s="265"/>
    </row>
    <row r="14" spans="1:34" ht="15" customHeight="1">
      <c r="A14" s="1585"/>
      <c r="B14" s="406"/>
      <c r="C14" s="1458" t="s">
        <v>144</v>
      </c>
      <c r="D14" s="580"/>
      <c r="E14" s="542">
        <f>'$REV-DSUM'!B36/E21</f>
        <v>4723.9235800625665</v>
      </c>
      <c r="F14" s="528">
        <f>'$REV-DSUM'!B106/E23</f>
        <v>4759.4467611777536</v>
      </c>
      <c r="G14" s="534">
        <f>'$REV-DB'!AS23</f>
        <v>4221.5145394880419</v>
      </c>
      <c r="H14" s="560">
        <f t="shared" si="0"/>
        <v>4759.4467611777536</v>
      </c>
      <c r="I14" s="521">
        <f>'$REV-DSUM'!B176/I21</f>
        <v>3394.9872036484794</v>
      </c>
      <c r="J14" s="570">
        <f>'$REV-DSUM'!B246/I23</f>
        <v>4423.2897558070281</v>
      </c>
      <c r="K14" s="542">
        <f>'$REV-DSUM'!B316/K21</f>
        <v>2542.9690462246863</v>
      </c>
      <c r="L14" s="1459">
        <f>'$REV-DSUM'!B386/K23</f>
        <v>5397.5478909345138</v>
      </c>
      <c r="M14" s="1441" t="e">
        <f>'$REV-DSUM'!B456/M21</f>
        <v>#DIV/0!</v>
      </c>
      <c r="N14" s="570" t="e">
        <f>'$REV-DSUM'!B526/M23</f>
        <v>#DIV/0!</v>
      </c>
      <c r="O14" s="542" t="e">
        <f>'$REV-DSUM'!B596/O21</f>
        <v>#DIV/0!</v>
      </c>
      <c r="P14" s="570" t="e">
        <f>'$REV-DSUM'!B666/O23</f>
        <v>#DIV/0!</v>
      </c>
      <c r="Q14" s="542" t="e">
        <f>'$REV-DSUM'!B736/Q21</f>
        <v>#DIV/0!</v>
      </c>
      <c r="R14" s="570" t="e">
        <f>'$REV-DSUM'!B806/Q23</f>
        <v>#DIV/0!</v>
      </c>
      <c r="S14" s="407"/>
      <c r="T14" s="1585"/>
      <c r="U14" s="1491"/>
      <c r="V14" s="1492"/>
      <c r="W14" s="1492"/>
      <c r="X14" s="1492"/>
      <c r="Y14" s="1492"/>
      <c r="Z14" s="1492"/>
      <c r="AA14" s="1492"/>
      <c r="AB14" s="1493"/>
      <c r="AC14" s="722"/>
      <c r="AD14" s="722"/>
      <c r="AE14" s="722"/>
      <c r="AF14" s="265"/>
      <c r="AG14" s="265"/>
      <c r="AH14" s="265"/>
    </row>
    <row r="15" spans="1:34" ht="15" customHeight="1">
      <c r="A15" s="1585"/>
      <c r="B15" s="406"/>
      <c r="C15" s="1458" t="s">
        <v>143</v>
      </c>
      <c r="D15" s="580"/>
      <c r="E15" s="542">
        <f>'$REV-DSUM'!B46/E21</f>
        <v>4821.3375289513124</v>
      </c>
      <c r="F15" s="528">
        <f>'$REV-DSUM'!B116/E23</f>
        <v>2095.4798211559437</v>
      </c>
      <c r="G15" s="534">
        <f>'$REV-DB'!AS24</f>
        <v>6102.8847713846008</v>
      </c>
      <c r="H15" s="560">
        <f t="shared" si="0"/>
        <v>2095.4798211559437</v>
      </c>
      <c r="I15" s="521">
        <f>'$REV-DSUM'!B186/I21</f>
        <v>7619.1691270211086</v>
      </c>
      <c r="J15" s="570">
        <f>'$REV-DSUM'!B256/I23</f>
        <v>3358.2956521739134</v>
      </c>
      <c r="K15" s="542">
        <f>'$REV-DSUM'!B326/K21</f>
        <v>10761.734169609728</v>
      </c>
      <c r="L15" s="1459">
        <f>'$REV-DSUM'!B396/K23</f>
        <v>4901.4552878116992</v>
      </c>
      <c r="M15" s="1441" t="e">
        <f>'$REV-DSUM'!B466/M21</f>
        <v>#DIV/0!</v>
      </c>
      <c r="N15" s="570" t="e">
        <f>'$REV-DSUM'!B536/M23</f>
        <v>#DIV/0!</v>
      </c>
      <c r="O15" s="542" t="e">
        <f>'$REV-DSUM'!B606/O21</f>
        <v>#DIV/0!</v>
      </c>
      <c r="P15" s="570" t="e">
        <f>'$REV-DSUM'!B676/O23</f>
        <v>#DIV/0!</v>
      </c>
      <c r="Q15" s="542" t="e">
        <f>'$REV-DSUM'!B746/Q21</f>
        <v>#DIV/0!</v>
      </c>
      <c r="R15" s="570" t="e">
        <f>'$REV-DSUM'!B816/Q23</f>
        <v>#DIV/0!</v>
      </c>
      <c r="S15" s="407"/>
      <c r="T15" s="1585"/>
      <c r="U15" s="1491"/>
      <c r="V15" s="1492"/>
      <c r="W15" s="1492"/>
      <c r="X15" s="1492"/>
      <c r="Y15" s="1492"/>
      <c r="Z15" s="1492"/>
      <c r="AA15" s="1492"/>
      <c r="AB15" s="1493"/>
      <c r="AC15" s="722"/>
      <c r="AD15" s="722"/>
      <c r="AE15" s="722"/>
      <c r="AF15" s="265"/>
      <c r="AG15" s="265"/>
      <c r="AH15" s="265"/>
    </row>
    <row r="16" spans="1:34" ht="15" customHeight="1">
      <c r="A16" s="1585"/>
      <c r="B16" s="406"/>
      <c r="C16" s="1458" t="s">
        <v>149</v>
      </c>
      <c r="D16" s="580"/>
      <c r="E16" s="542">
        <f>'$REV-DSUM'!B56/E21</f>
        <v>690.48976249103816</v>
      </c>
      <c r="F16" s="528">
        <f>'$REV-DSUM'!B126/E23</f>
        <v>758.95293347873496</v>
      </c>
      <c r="G16" s="534">
        <f>'$REV-DB'!AS25</f>
        <v>1143.0866354595119</v>
      </c>
      <c r="H16" s="560">
        <f t="shared" si="0"/>
        <v>758.95293347873496</v>
      </c>
      <c r="I16" s="521">
        <f>'$REV-DSUM'!B196/I21</f>
        <v>731.48389939890967</v>
      </c>
      <c r="J16" s="570">
        <f>'$REV-DSUM'!B266/I23</f>
        <v>998.25640262060756</v>
      </c>
      <c r="K16" s="542">
        <f>'$REV-DSUM'!B336/K21</f>
        <v>3391.869976977066</v>
      </c>
      <c r="L16" s="1459">
        <f>'$REV-DSUM'!B406/K23</f>
        <v>1533.9864833372174</v>
      </c>
      <c r="M16" s="1441" t="e">
        <f>'$REV-DSUM'!B476/M21</f>
        <v>#DIV/0!</v>
      </c>
      <c r="N16" s="570" t="e">
        <f>'$REV-DSUM'!B546/M23</f>
        <v>#DIV/0!</v>
      </c>
      <c r="O16" s="542" t="e">
        <f>'$REV-DSUM'!B616/O21</f>
        <v>#DIV/0!</v>
      </c>
      <c r="P16" s="570" t="e">
        <f>'$REV-DSUM'!B686/O23</f>
        <v>#DIV/0!</v>
      </c>
      <c r="Q16" s="542" t="e">
        <f>'$REV-DSUM'!B756/Q21</f>
        <v>#DIV/0!</v>
      </c>
      <c r="R16" s="570" t="e">
        <f>'$REV-DSUM'!B826/Q23</f>
        <v>#DIV/0!</v>
      </c>
      <c r="S16" s="407"/>
      <c r="T16" s="1585"/>
      <c r="U16" s="1491"/>
      <c r="V16" s="1492"/>
      <c r="W16" s="1492"/>
      <c r="X16" s="1492"/>
      <c r="Y16" s="1492"/>
      <c r="Z16" s="1492"/>
      <c r="AA16" s="1492"/>
      <c r="AB16" s="1493"/>
      <c r="AC16" s="722"/>
      <c r="AD16" s="722"/>
      <c r="AE16" s="722"/>
      <c r="AF16" s="265"/>
      <c r="AG16" s="265"/>
      <c r="AH16" s="265"/>
    </row>
    <row r="17" spans="1:34" ht="15" customHeight="1">
      <c r="A17" s="1585"/>
      <c r="B17" s="406"/>
      <c r="C17" s="1458" t="s">
        <v>363</v>
      </c>
      <c r="D17" s="580"/>
      <c r="E17" s="542">
        <f>'$REV-DSUM'!B66/E21</f>
        <v>0</v>
      </c>
      <c r="F17" s="528">
        <f>'$REV-DSUM'!B136/E23</f>
        <v>107.83856052344602</v>
      </c>
      <c r="G17" s="534">
        <f>'$REV-DB'!AS26</f>
        <v>0</v>
      </c>
      <c r="H17" s="560">
        <f t="shared" si="0"/>
        <v>107.83856052344602</v>
      </c>
      <c r="I17" s="521">
        <f>'$REV-DSUM'!B206/I21</f>
        <v>0</v>
      </c>
      <c r="J17" s="570">
        <f>'$REV-DSUM'!B276/I23</f>
        <v>78.55985705777249</v>
      </c>
      <c r="K17" s="542">
        <f>'$REV-DSUM'!B346/K21</f>
        <v>0</v>
      </c>
      <c r="L17" s="1459">
        <f>'$REV-DSUM'!B416/K23</f>
        <v>312.90025635050102</v>
      </c>
      <c r="M17" s="1441" t="e">
        <f>'$REV-DSUM'!B486/M21</f>
        <v>#DIV/0!</v>
      </c>
      <c r="N17" s="570" t="e">
        <f>'$REV-DSUM'!B556/M23</f>
        <v>#DIV/0!</v>
      </c>
      <c r="O17" s="542" t="e">
        <f>'$REV-DSUM'!B626/O21</f>
        <v>#DIV/0!</v>
      </c>
      <c r="P17" s="570" t="e">
        <f>'$REV-DSUM'!B696/O23</f>
        <v>#DIV/0!</v>
      </c>
      <c r="Q17" s="542" t="e">
        <f>'$REV-DSUM'!B766/Q21</f>
        <v>#DIV/0!</v>
      </c>
      <c r="R17" s="570" t="e">
        <f>'$REV-DSUM'!B836/Q23</f>
        <v>#DIV/0!</v>
      </c>
      <c r="S17" s="407"/>
      <c r="T17" s="1585"/>
      <c r="U17" s="1491"/>
      <c r="V17" s="1492"/>
      <c r="W17" s="1492"/>
      <c r="X17" s="1492"/>
      <c r="Y17" s="1492"/>
      <c r="Z17" s="1492"/>
      <c r="AA17" s="1492"/>
      <c r="AB17" s="1493"/>
      <c r="AC17" s="722"/>
      <c r="AD17" s="722"/>
      <c r="AE17" s="722"/>
      <c r="AF17" s="265"/>
      <c r="AG17" s="265"/>
      <c r="AH17" s="265"/>
    </row>
    <row r="18" spans="1:34" ht="15" customHeight="1">
      <c r="A18" s="1585"/>
      <c r="B18" s="406"/>
      <c r="C18" s="1458" t="s">
        <v>150</v>
      </c>
      <c r="D18" s="580"/>
      <c r="E18" s="542">
        <f>'$REV-DSUM'!B76/E21</f>
        <v>0</v>
      </c>
      <c r="F18" s="528">
        <f>'$REV-DSUM'!B146/E23</f>
        <v>0</v>
      </c>
      <c r="G18" s="534">
        <f>'$REV-DB'!AS27</f>
        <v>0</v>
      </c>
      <c r="H18" s="560">
        <f t="shared" si="0"/>
        <v>0</v>
      </c>
      <c r="I18" s="521">
        <f>'$REV-DSUM'!B216/I21</f>
        <v>0</v>
      </c>
      <c r="J18" s="570">
        <f>'$REV-DSUM'!B286/I23</f>
        <v>0</v>
      </c>
      <c r="K18" s="542">
        <f>'$REV-DSUM'!B356/K21</f>
        <v>0</v>
      </c>
      <c r="L18" s="1459">
        <f>'$REV-DSUM'!B426/K23</f>
        <v>0</v>
      </c>
      <c r="M18" s="1441" t="e">
        <f>'$REV-DSUM'!B496/M21</f>
        <v>#DIV/0!</v>
      </c>
      <c r="N18" s="570" t="e">
        <f>'$REV-DSUM'!B566/M23</f>
        <v>#DIV/0!</v>
      </c>
      <c r="O18" s="542" t="e">
        <f>'$REV-DSUM'!B636/O21</f>
        <v>#DIV/0!</v>
      </c>
      <c r="P18" s="570" t="e">
        <f>'$REV-DSUM'!B706/O23</f>
        <v>#DIV/0!</v>
      </c>
      <c r="Q18" s="542" t="e">
        <f>'$REV-DSUM'!B776/Q21</f>
        <v>#DIV/0!</v>
      </c>
      <c r="R18" s="570" t="e">
        <f>'$REV-DSUM'!B846/Q23</f>
        <v>#DIV/0!</v>
      </c>
      <c r="S18" s="407"/>
      <c r="T18" s="1585"/>
      <c r="U18" s="1494"/>
      <c r="V18" s="1495"/>
      <c r="W18" s="1495"/>
      <c r="X18" s="1495"/>
      <c r="Y18" s="1495"/>
      <c r="Z18" s="1495"/>
      <c r="AA18" s="1495"/>
      <c r="AB18" s="1496"/>
      <c r="AC18" s="722"/>
      <c r="AD18" s="722"/>
      <c r="AE18" s="722"/>
      <c r="AF18" s="265"/>
      <c r="AG18" s="265"/>
      <c r="AH18" s="265"/>
    </row>
    <row r="19" spans="1:34" ht="15" customHeight="1" thickBot="1">
      <c r="A19" s="1585"/>
      <c r="B19" s="406"/>
      <c r="C19" s="1458" t="s">
        <v>146</v>
      </c>
      <c r="D19" s="580"/>
      <c r="E19" s="542">
        <f>SUM(E13:E18)</f>
        <v>11741.223774848462</v>
      </c>
      <c r="F19" s="528">
        <f>SUM(F13:F18)</f>
        <v>8471.9359651035993</v>
      </c>
      <c r="G19" s="562">
        <f>SUM(G13:G18)</f>
        <v>13060.135195540093</v>
      </c>
      <c r="H19" s="561">
        <f>SUM(H13:H18)</f>
        <v>8471.9359651035993</v>
      </c>
      <c r="I19" s="521">
        <f t="shared" ref="I19:R19" si="1">SUM(I13:I18)</f>
        <v>12854.092351008807</v>
      </c>
      <c r="J19" s="847">
        <f t="shared" si="1"/>
        <v>9869.7823108993471</v>
      </c>
      <c r="K19" s="542">
        <f t="shared" si="1"/>
        <v>18980.36097992758</v>
      </c>
      <c r="L19" s="1459">
        <f t="shared" si="1"/>
        <v>13174.164996504313</v>
      </c>
      <c r="M19" s="1441" t="e">
        <f t="shared" si="1"/>
        <v>#DIV/0!</v>
      </c>
      <c r="N19" s="847" t="e">
        <f t="shared" si="1"/>
        <v>#DIV/0!</v>
      </c>
      <c r="O19" s="542" t="e">
        <f t="shared" si="1"/>
        <v>#DIV/0!</v>
      </c>
      <c r="P19" s="847" t="e">
        <f t="shared" si="1"/>
        <v>#DIV/0!</v>
      </c>
      <c r="Q19" s="542" t="e">
        <f t="shared" si="1"/>
        <v>#DIV/0!</v>
      </c>
      <c r="R19" s="570" t="e">
        <f t="shared" si="1"/>
        <v>#DIV/0!</v>
      </c>
      <c r="S19" s="407"/>
      <c r="T19" s="1585"/>
      <c r="U19" s="1488"/>
      <c r="V19" s="1489"/>
      <c r="W19" s="1489"/>
      <c r="X19" s="1489"/>
      <c r="Y19" s="1489"/>
      <c r="Z19" s="1489"/>
      <c r="AA19" s="1489"/>
      <c r="AB19" s="1490"/>
      <c r="AC19" s="722"/>
      <c r="AD19" s="722"/>
      <c r="AE19" s="722"/>
      <c r="AF19" s="265"/>
      <c r="AG19" s="265"/>
      <c r="AH19" s="265"/>
    </row>
    <row r="20" spans="1:34" ht="15" customHeight="1">
      <c r="A20" s="1585"/>
      <c r="B20" s="409"/>
      <c r="C20" s="1449" t="s">
        <v>174</v>
      </c>
      <c r="D20" s="575"/>
      <c r="E20" s="573"/>
      <c r="F20" s="573"/>
      <c r="G20" s="573"/>
      <c r="H20" s="573"/>
      <c r="I20" s="573"/>
      <c r="J20" s="573"/>
      <c r="K20" s="573"/>
      <c r="L20" s="1450"/>
      <c r="M20" s="1438"/>
      <c r="N20" s="573"/>
      <c r="O20" s="573"/>
      <c r="P20" s="573"/>
      <c r="Q20" s="573"/>
      <c r="R20" s="573"/>
      <c r="S20" s="410"/>
      <c r="T20" s="1585"/>
      <c r="U20" s="1491"/>
      <c r="V20" s="1492"/>
      <c r="W20" s="1492"/>
      <c r="X20" s="1492"/>
      <c r="Y20" s="1492"/>
      <c r="Z20" s="1492"/>
      <c r="AA20" s="1492"/>
      <c r="AB20" s="1493"/>
      <c r="AC20" s="722"/>
      <c r="AD20" s="722"/>
      <c r="AE20" s="722"/>
      <c r="AF20" s="265"/>
      <c r="AG20" s="265"/>
      <c r="AH20" s="265"/>
    </row>
    <row r="21" spans="1:34" ht="15" customHeight="1">
      <c r="A21" s="1585"/>
      <c r="B21" s="406"/>
      <c r="C21" s="1634" t="s">
        <v>165</v>
      </c>
      <c r="D21" s="1635"/>
      <c r="E21" s="1574">
        <f>'ENR#-DSUM'!B13</f>
        <v>1534300</v>
      </c>
      <c r="F21" s="1554"/>
      <c r="G21" s="1597" t="s">
        <v>1882</v>
      </c>
      <c r="H21" s="1598"/>
      <c r="I21" s="1582">
        <f>'ENR#-DSUM'!B33</f>
        <v>85844</v>
      </c>
      <c r="J21" s="1555"/>
      <c r="K21" s="1574">
        <f>'ENR#-DSUM'!B53</f>
        <v>44738</v>
      </c>
      <c r="L21" s="1575"/>
      <c r="M21" s="1554">
        <f>'ENR#-DSUM'!B73</f>
        <v>0</v>
      </c>
      <c r="N21" s="1555"/>
      <c r="O21" s="1574">
        <f>'ENR#-DSUM'!B93</f>
        <v>0</v>
      </c>
      <c r="P21" s="1555"/>
      <c r="Q21" s="1574">
        <f>'ENR#-DSUM'!B113</f>
        <v>0</v>
      </c>
      <c r="R21" s="1555"/>
      <c r="S21" s="407"/>
      <c r="T21" s="1585"/>
      <c r="U21" s="1491"/>
      <c r="V21" s="1492"/>
      <c r="W21" s="1492"/>
      <c r="X21" s="1492"/>
      <c r="Y21" s="1492"/>
      <c r="Z21" s="1492"/>
      <c r="AA21" s="1492"/>
      <c r="AB21" s="1493"/>
      <c r="AC21" s="722"/>
      <c r="AD21" s="1430">
        <f>(I21+K21)/E21</f>
        <v>8.5108518542657885E-2</v>
      </c>
      <c r="AE21" s="722"/>
      <c r="AF21" s="265"/>
      <c r="AG21" s="265"/>
      <c r="AH21" s="265"/>
    </row>
    <row r="22" spans="1:34" ht="15" customHeight="1">
      <c r="A22" s="1585"/>
      <c r="B22" s="406"/>
      <c r="C22" s="1636"/>
      <c r="D22" s="1637"/>
      <c r="E22" s="1572">
        <f>E21/(E21+E23)</f>
        <v>0.98527829953924451</v>
      </c>
      <c r="F22" s="1552"/>
      <c r="G22" s="1599"/>
      <c r="H22" s="1600"/>
      <c r="I22" s="1594">
        <f>I21/(I21+I23)</f>
        <v>0.96235510414564696</v>
      </c>
      <c r="J22" s="1553"/>
      <c r="K22" s="1572">
        <f>K21/(K21+K23)</f>
        <v>0.91248036876134531</v>
      </c>
      <c r="L22" s="1573"/>
      <c r="M22" s="1552" t="e">
        <f>M21/(M21+M23)</f>
        <v>#DIV/0!</v>
      </c>
      <c r="N22" s="1553"/>
      <c r="O22" s="1572" t="e">
        <f>O21/(O21+O23)</f>
        <v>#DIV/0!</v>
      </c>
      <c r="P22" s="1553"/>
      <c r="Q22" s="1572" t="e">
        <f>Q21/(Q21+Q23)</f>
        <v>#DIV/0!</v>
      </c>
      <c r="R22" s="1553"/>
      <c r="S22" s="407"/>
      <c r="T22" s="1585"/>
      <c r="U22" s="1491"/>
      <c r="V22" s="1492"/>
      <c r="W22" s="1492"/>
      <c r="X22" s="1492"/>
      <c r="Y22" s="1492"/>
      <c r="Z22" s="1492"/>
      <c r="AA22" s="1492"/>
      <c r="AB22" s="1493"/>
      <c r="AC22" s="722"/>
      <c r="AD22" s="1430"/>
      <c r="AE22" s="722"/>
      <c r="AF22" s="265"/>
      <c r="AG22" s="265"/>
      <c r="AH22" s="265"/>
    </row>
    <row r="23" spans="1:34" ht="15" customHeight="1">
      <c r="A23" s="1585"/>
      <c r="B23" s="406"/>
      <c r="C23" s="1634" t="s">
        <v>164</v>
      </c>
      <c r="D23" s="1635"/>
      <c r="E23" s="1574">
        <f>'ENR#-DSUM'!B23</f>
        <v>22925</v>
      </c>
      <c r="F23" s="1554"/>
      <c r="G23" s="1597" t="s">
        <v>1883</v>
      </c>
      <c r="H23" s="1598"/>
      <c r="I23" s="1582">
        <f>'ENR#-DSUM'!B43</f>
        <v>3358</v>
      </c>
      <c r="J23" s="1555"/>
      <c r="K23" s="1574">
        <f>'ENR#-DSUM'!B63</f>
        <v>4291</v>
      </c>
      <c r="L23" s="1575"/>
      <c r="M23" s="1554">
        <f>'ENR#-DSUM'!B83</f>
        <v>0</v>
      </c>
      <c r="N23" s="1555"/>
      <c r="O23" s="1574">
        <f>'ENR#-DSUM'!B103</f>
        <v>0</v>
      </c>
      <c r="P23" s="1555"/>
      <c r="Q23" s="1574">
        <f>'ENR#-DSUM'!B123</f>
        <v>0</v>
      </c>
      <c r="R23" s="1555"/>
      <c r="S23" s="407"/>
      <c r="T23" s="1585"/>
      <c r="U23" s="1491"/>
      <c r="V23" s="1492"/>
      <c r="W23" s="1492"/>
      <c r="X23" s="1492"/>
      <c r="Y23" s="1492"/>
      <c r="Z23" s="1492"/>
      <c r="AA23" s="1492"/>
      <c r="AB23" s="1493"/>
      <c r="AC23" s="722"/>
      <c r="AD23" s="1430">
        <f>(I23+K23)/E23</f>
        <v>0.33365321701199563</v>
      </c>
      <c r="AE23" s="722"/>
      <c r="AF23" s="265"/>
      <c r="AG23" s="265"/>
      <c r="AH23" s="265"/>
    </row>
    <row r="24" spans="1:34" ht="15" customHeight="1">
      <c r="A24" s="1585"/>
      <c r="B24" s="406"/>
      <c r="C24" s="1636"/>
      <c r="D24" s="1637"/>
      <c r="E24" s="1572">
        <f>E23/(E23+E21)</f>
        <v>1.4721700460755511E-2</v>
      </c>
      <c r="F24" s="1552"/>
      <c r="G24" s="1599"/>
      <c r="H24" s="1600"/>
      <c r="I24" s="1594">
        <f>I23/(I23+I21)</f>
        <v>3.7644895854353044E-2</v>
      </c>
      <c r="J24" s="1553"/>
      <c r="K24" s="1572">
        <f>K23/(K23+K21)</f>
        <v>8.751963123865468E-2</v>
      </c>
      <c r="L24" s="1573"/>
      <c r="M24" s="1552" t="e">
        <f>M23/(M23+M21)</f>
        <v>#DIV/0!</v>
      </c>
      <c r="N24" s="1553"/>
      <c r="O24" s="1572" t="e">
        <f>O23/(O23+O21)</f>
        <v>#DIV/0!</v>
      </c>
      <c r="P24" s="1553"/>
      <c r="Q24" s="1572" t="e">
        <f>Q23/(Q23+Q21)</f>
        <v>#DIV/0!</v>
      </c>
      <c r="R24" s="1553"/>
      <c r="S24" s="407"/>
      <c r="T24" s="1585"/>
      <c r="U24" s="1491"/>
      <c r="V24" s="1492"/>
      <c r="W24" s="1492"/>
      <c r="X24" s="1492"/>
      <c r="Y24" s="1492"/>
      <c r="Z24" s="1492"/>
      <c r="AA24" s="1492"/>
      <c r="AB24" s="1493"/>
      <c r="AC24" s="722"/>
      <c r="AD24" s="1430"/>
      <c r="AE24" s="722"/>
      <c r="AF24" s="265"/>
      <c r="AG24" s="265"/>
      <c r="AH24" s="265"/>
    </row>
    <row r="25" spans="1:34" ht="15" customHeight="1">
      <c r="A25" s="1585"/>
      <c r="B25" s="406"/>
      <c r="C25" s="1460" t="s">
        <v>1881</v>
      </c>
      <c r="D25" s="1428"/>
      <c r="E25" s="1431"/>
      <c r="F25" s="1434">
        <f>E21+E23</f>
        <v>1557225</v>
      </c>
      <c r="G25" s="1640" t="s">
        <v>157</v>
      </c>
      <c r="H25" s="1641"/>
      <c r="I25" s="1435"/>
      <c r="J25" s="1436">
        <f>I21+I23</f>
        <v>89202</v>
      </c>
      <c r="K25" s="1437"/>
      <c r="L25" s="1461">
        <f>K21+K23</f>
        <v>49029</v>
      </c>
      <c r="M25" s="1432"/>
      <c r="N25" s="1433"/>
      <c r="O25" s="1431"/>
      <c r="P25" s="1433"/>
      <c r="Q25" s="1431"/>
      <c r="R25" s="1433"/>
      <c r="S25" s="407"/>
      <c r="T25" s="1585"/>
      <c r="U25" s="1491"/>
      <c r="V25" s="1492"/>
      <c r="W25" s="1492"/>
      <c r="X25" s="1492"/>
      <c r="Y25" s="1492"/>
      <c r="Z25" s="1492"/>
      <c r="AA25" s="1492"/>
      <c r="AB25" s="1493"/>
      <c r="AC25" s="722"/>
      <c r="AD25" s="1430"/>
      <c r="AE25" s="722"/>
      <c r="AF25" s="265"/>
      <c r="AG25" s="265"/>
      <c r="AH25" s="265"/>
    </row>
    <row r="26" spans="1:34" ht="15" customHeight="1">
      <c r="A26" s="1585"/>
      <c r="B26" s="406"/>
      <c r="C26" s="1628" t="s">
        <v>72</v>
      </c>
      <c r="D26" s="1629"/>
      <c r="E26" s="1576"/>
      <c r="F26" s="1556"/>
      <c r="G26" s="1590" t="s">
        <v>157</v>
      </c>
      <c r="H26" s="1591"/>
      <c r="I26" s="1595"/>
      <c r="J26" s="1557"/>
      <c r="K26" s="1576"/>
      <c r="L26" s="1577"/>
      <c r="M26" s="1556"/>
      <c r="N26" s="1557"/>
      <c r="O26" s="1576"/>
      <c r="P26" s="1557"/>
      <c r="Q26" s="1576"/>
      <c r="R26" s="1557"/>
      <c r="S26" s="407"/>
      <c r="T26" s="1585"/>
      <c r="U26" s="1491"/>
      <c r="V26" s="1492"/>
      <c r="W26" s="1492"/>
      <c r="X26" s="1492"/>
      <c r="Y26" s="1492"/>
      <c r="Z26" s="1492"/>
      <c r="AA26" s="1492"/>
      <c r="AB26" s="1493"/>
      <c r="AC26" s="722"/>
      <c r="AD26" s="1430"/>
      <c r="AE26" s="722"/>
      <c r="AF26" s="265"/>
      <c r="AG26" s="265"/>
      <c r="AH26" s="265"/>
    </row>
    <row r="27" spans="1:34" ht="15" customHeight="1" thickBot="1">
      <c r="A27" s="1585"/>
      <c r="B27" s="406"/>
      <c r="C27" s="1630"/>
      <c r="D27" s="1631"/>
      <c r="E27" s="1578">
        <f>Y57</f>
        <v>49</v>
      </c>
      <c r="F27" s="1586"/>
      <c r="G27" s="1592" t="s">
        <v>157</v>
      </c>
      <c r="H27" s="1593"/>
      <c r="I27" s="1596">
        <f>Y52</f>
        <v>8</v>
      </c>
      <c r="J27" s="1559"/>
      <c r="K27" s="1578">
        <f>Y53</f>
        <v>13</v>
      </c>
      <c r="L27" s="1579"/>
      <c r="M27" s="1558" t="str">
        <f>Y54</f>
        <v>#</v>
      </c>
      <c r="N27" s="1559"/>
      <c r="O27" s="1588" t="str">
        <f>Y55</f>
        <v>#</v>
      </c>
      <c r="P27" s="1559"/>
      <c r="Q27" s="1578" t="str">
        <f>Y56</f>
        <v>#</v>
      </c>
      <c r="R27" s="1606"/>
      <c r="S27" s="407"/>
      <c r="T27" s="1585"/>
      <c r="U27" s="1491"/>
      <c r="V27" s="1492"/>
      <c r="W27" s="1492"/>
      <c r="X27" s="1492"/>
      <c r="Y27" s="1492"/>
      <c r="Z27" s="1492"/>
      <c r="AA27" s="1492"/>
      <c r="AB27" s="1493"/>
      <c r="AC27" s="722"/>
      <c r="AD27" s="1430"/>
      <c r="AE27" s="722"/>
      <c r="AF27" s="265"/>
      <c r="AG27" s="265"/>
      <c r="AH27" s="265"/>
    </row>
    <row r="28" spans="1:34" ht="15" customHeight="1">
      <c r="A28" s="1585"/>
      <c r="B28" s="409"/>
      <c r="C28" s="1449" t="s">
        <v>1880</v>
      </c>
      <c r="D28" s="575"/>
      <c r="E28" s="574"/>
      <c r="F28" s="574"/>
      <c r="G28" s="576"/>
      <c r="H28" s="576"/>
      <c r="I28" s="574"/>
      <c r="J28" s="574"/>
      <c r="K28" s="574"/>
      <c r="L28" s="1462"/>
      <c r="M28" s="1442"/>
      <c r="N28" s="574"/>
      <c r="O28" s="574"/>
      <c r="P28" s="574"/>
      <c r="Q28" s="574"/>
      <c r="R28" s="574"/>
      <c r="S28" s="410"/>
      <c r="T28" s="1585"/>
      <c r="U28" s="1491"/>
      <c r="V28" s="1492"/>
      <c r="W28" s="1492"/>
      <c r="X28" s="1492"/>
      <c r="Y28" s="1492"/>
      <c r="Z28" s="1492"/>
      <c r="AA28" s="1492"/>
      <c r="AB28" s="1493"/>
      <c r="AC28" s="722"/>
      <c r="AD28" s="1430"/>
      <c r="AE28" s="722"/>
      <c r="AF28" s="265"/>
      <c r="AG28" s="265"/>
      <c r="AH28" s="265"/>
    </row>
    <row r="29" spans="1:34" ht="15" customHeight="1">
      <c r="A29" s="1585"/>
      <c r="B29" s="406"/>
      <c r="C29" s="1624" t="s">
        <v>165</v>
      </c>
      <c r="D29" s="1625"/>
      <c r="E29" s="1560">
        <f>'$REV-DSUM'!B16</f>
        <v>18014559637.749996</v>
      </c>
      <c r="F29" s="1561"/>
      <c r="G29" s="1580" t="s">
        <v>157</v>
      </c>
      <c r="H29" s="1581"/>
      <c r="I29" s="1583">
        <f>'$REV-DSUM'!B156</f>
        <v>1103446703.78</v>
      </c>
      <c r="J29" s="1584"/>
      <c r="K29" s="1560">
        <f>'$REV-DSUM'!B296</f>
        <v>849143389.51999998</v>
      </c>
      <c r="L29" s="1603"/>
      <c r="M29" s="1561">
        <f>'$REV-DSUM'!B436</f>
        <v>0</v>
      </c>
      <c r="N29" s="1584"/>
      <c r="O29" s="1560">
        <f>'$REV-DSUM'!B576</f>
        <v>0</v>
      </c>
      <c r="P29" s="1584"/>
      <c r="Q29" s="1560">
        <f>'$REV-DSUM'!B716</f>
        <v>0</v>
      </c>
      <c r="R29" s="1584"/>
      <c r="S29" s="407"/>
      <c r="T29" s="1585"/>
      <c r="U29" s="1491"/>
      <c r="V29" s="1492"/>
      <c r="W29" s="1492"/>
      <c r="X29" s="1492"/>
      <c r="Y29" s="1492"/>
      <c r="Z29" s="1492"/>
      <c r="AA29" s="1492"/>
      <c r="AB29" s="1493"/>
      <c r="AC29" s="722"/>
      <c r="AD29" s="1430"/>
      <c r="AE29" s="722"/>
      <c r="AF29" s="265"/>
      <c r="AG29" s="265"/>
      <c r="AH29" s="265"/>
    </row>
    <row r="30" spans="1:34" ht="15" customHeight="1">
      <c r="A30" s="1585"/>
      <c r="B30" s="406"/>
      <c r="C30" s="1626"/>
      <c r="D30" s="1627"/>
      <c r="E30" s="1572">
        <f>E29/E33</f>
        <v>0.98933376397967698</v>
      </c>
      <c r="F30" s="1552"/>
      <c r="G30" s="1601" t="s">
        <v>157</v>
      </c>
      <c r="H30" s="1602"/>
      <c r="I30" s="1594">
        <f>I29/I33</f>
        <v>0.97084019255841947</v>
      </c>
      <c r="J30" s="1553"/>
      <c r="K30" s="1572">
        <f>K29/K33</f>
        <v>0.93758200107545941</v>
      </c>
      <c r="L30" s="1573"/>
      <c r="M30" s="1552" t="e">
        <f>M29/M33</f>
        <v>#DIV/0!</v>
      </c>
      <c r="N30" s="1553"/>
      <c r="O30" s="1572" t="e">
        <f>O29/O33</f>
        <v>#DIV/0!</v>
      </c>
      <c r="P30" s="1553"/>
      <c r="Q30" s="1572" t="e">
        <f>Q29/Q33</f>
        <v>#DIV/0!</v>
      </c>
      <c r="R30" s="1553"/>
      <c r="S30" s="407"/>
      <c r="T30" s="1585"/>
      <c r="U30" s="1491"/>
      <c r="V30" s="1492"/>
      <c r="W30" s="1492"/>
      <c r="X30" s="1492"/>
      <c r="Y30" s="1492"/>
      <c r="Z30" s="1492"/>
      <c r="AA30" s="1492"/>
      <c r="AB30" s="1493"/>
      <c r="AC30" s="722"/>
      <c r="AD30" s="1430"/>
      <c r="AE30" s="722"/>
      <c r="AF30" s="265"/>
      <c r="AG30" s="265"/>
      <c r="AH30" s="265"/>
    </row>
    <row r="31" spans="1:34" ht="15" customHeight="1">
      <c r="A31" s="1585"/>
      <c r="B31" s="406"/>
      <c r="C31" s="1624" t="s">
        <v>164</v>
      </c>
      <c r="D31" s="1625"/>
      <c r="E31" s="1560">
        <f>'$REV-DSUM'!B86</f>
        <v>194219132.00000003</v>
      </c>
      <c r="F31" s="1561"/>
      <c r="G31" s="1580" t="s">
        <v>157</v>
      </c>
      <c r="H31" s="1581"/>
      <c r="I31" s="1583">
        <f>'$REV-DSUM'!B226</f>
        <v>33142729</v>
      </c>
      <c r="J31" s="1584"/>
      <c r="K31" s="1560">
        <f>'$REV-DSUM'!B366</f>
        <v>56530342</v>
      </c>
      <c r="L31" s="1603"/>
      <c r="M31" s="1561">
        <f>'$REV-DSUM'!B506</f>
        <v>0</v>
      </c>
      <c r="N31" s="1584"/>
      <c r="O31" s="1560">
        <f>'$REV-DSUM'!B646</f>
        <v>0</v>
      </c>
      <c r="P31" s="1584"/>
      <c r="Q31" s="1560">
        <f>'$REV-DSUM'!B786</f>
        <v>0</v>
      </c>
      <c r="R31" s="1584"/>
      <c r="S31" s="407"/>
      <c r="T31" s="1585"/>
      <c r="U31" s="1491"/>
      <c r="V31" s="1492"/>
      <c r="W31" s="1492"/>
      <c r="X31" s="1492"/>
      <c r="Y31" s="1492"/>
      <c r="Z31" s="1492"/>
      <c r="AA31" s="1492"/>
      <c r="AB31" s="1493"/>
      <c r="AC31" s="722"/>
      <c r="AD31" s="1430"/>
      <c r="AE31" s="722"/>
      <c r="AF31" s="265"/>
      <c r="AG31" s="265"/>
      <c r="AH31" s="265"/>
    </row>
    <row r="32" spans="1:34" ht="15" customHeight="1">
      <c r="A32" s="1585"/>
      <c r="B32" s="406"/>
      <c r="C32" s="1626"/>
      <c r="D32" s="1627"/>
      <c r="E32" s="1572">
        <f>E31/E33</f>
        <v>1.0666236020322994E-2</v>
      </c>
      <c r="F32" s="1552"/>
      <c r="G32" s="1601" t="s">
        <v>157</v>
      </c>
      <c r="H32" s="1602"/>
      <c r="I32" s="1594">
        <f>I31/I33</f>
        <v>2.9159807441580497E-2</v>
      </c>
      <c r="J32" s="1553"/>
      <c r="K32" s="1572">
        <f>K31/K33</f>
        <v>6.2417998924540564E-2</v>
      </c>
      <c r="L32" s="1573"/>
      <c r="M32" s="1552" t="e">
        <f>M31/M33</f>
        <v>#DIV/0!</v>
      </c>
      <c r="N32" s="1553"/>
      <c r="O32" s="1572" t="e">
        <f>O31/O33</f>
        <v>#DIV/0!</v>
      </c>
      <c r="P32" s="1553"/>
      <c r="Q32" s="1572" t="e">
        <f>Q31/Q33</f>
        <v>#DIV/0!</v>
      </c>
      <c r="R32" s="1553"/>
      <c r="S32" s="407"/>
      <c r="T32" s="1585"/>
      <c r="U32" s="1491"/>
      <c r="V32" s="1492"/>
      <c r="W32" s="1492"/>
      <c r="X32" s="1492"/>
      <c r="Y32" s="1492"/>
      <c r="Z32" s="1492"/>
      <c r="AA32" s="1492"/>
      <c r="AB32" s="1493"/>
      <c r="AC32" s="722"/>
      <c r="AD32" s="1430"/>
      <c r="AE32" s="722"/>
      <c r="AF32" s="265"/>
      <c r="AG32" s="265"/>
      <c r="AH32" s="265"/>
    </row>
    <row r="33" spans="1:34" ht="15" customHeight="1" thickBot="1">
      <c r="A33" s="1585"/>
      <c r="B33" s="406"/>
      <c r="C33" s="1638" t="s">
        <v>176</v>
      </c>
      <c r="D33" s="1639"/>
      <c r="E33" s="1560">
        <f>E29+E31</f>
        <v>18208778769.749996</v>
      </c>
      <c r="F33" s="1561"/>
      <c r="G33" s="1580" t="s">
        <v>157</v>
      </c>
      <c r="H33" s="1581"/>
      <c r="I33" s="1583">
        <f>I29+I31</f>
        <v>1136589432.78</v>
      </c>
      <c r="J33" s="1584"/>
      <c r="K33" s="1560">
        <f>K29+K31</f>
        <v>905673731.51999998</v>
      </c>
      <c r="L33" s="1603"/>
      <c r="M33" s="1561">
        <f>M29+M31</f>
        <v>0</v>
      </c>
      <c r="N33" s="1584"/>
      <c r="O33" s="1560">
        <f>O29+O31</f>
        <v>0</v>
      </c>
      <c r="P33" s="1584"/>
      <c r="Q33" s="1560">
        <f>Q29+Q31</f>
        <v>0</v>
      </c>
      <c r="R33" s="1584"/>
      <c r="S33" s="407"/>
      <c r="T33" s="1585"/>
      <c r="U33" s="1491"/>
      <c r="V33" s="1492"/>
      <c r="W33" s="1492"/>
      <c r="X33" s="1492"/>
      <c r="Y33" s="1492"/>
      <c r="Z33" s="1492"/>
      <c r="AA33" s="1492"/>
      <c r="AB33" s="1493"/>
      <c r="AC33" s="722"/>
      <c r="AD33" s="722"/>
      <c r="AE33" s="722"/>
      <c r="AF33" s="265"/>
      <c r="AG33" s="265"/>
      <c r="AH33" s="265"/>
    </row>
    <row r="34" spans="1:34" ht="43.5" customHeight="1">
      <c r="A34" s="1585"/>
      <c r="B34" s="406"/>
      <c r="C34" s="1632" t="s">
        <v>177</v>
      </c>
      <c r="D34" s="1633"/>
      <c r="E34" s="552" t="s">
        <v>165</v>
      </c>
      <c r="F34" s="553" t="s">
        <v>164</v>
      </c>
      <c r="G34" s="552" t="s">
        <v>165</v>
      </c>
      <c r="H34" s="555" t="s">
        <v>164</v>
      </c>
      <c r="I34" s="554" t="s">
        <v>165</v>
      </c>
      <c r="J34" s="568" t="s">
        <v>164</v>
      </c>
      <c r="K34" s="552" t="s">
        <v>165</v>
      </c>
      <c r="L34" s="1455" t="s">
        <v>164</v>
      </c>
      <c r="M34" s="1439" t="s">
        <v>165</v>
      </c>
      <c r="N34" s="568" t="s">
        <v>164</v>
      </c>
      <c r="O34" s="552" t="s">
        <v>165</v>
      </c>
      <c r="P34" s="568" t="s">
        <v>164</v>
      </c>
      <c r="Q34" s="552" t="s">
        <v>165</v>
      </c>
      <c r="R34" s="568" t="s">
        <v>164</v>
      </c>
      <c r="S34" s="407"/>
      <c r="T34" s="1585"/>
      <c r="U34" s="1494"/>
      <c r="V34" s="1495"/>
      <c r="W34" s="1495"/>
      <c r="X34" s="1495"/>
      <c r="Y34" s="1495"/>
      <c r="Z34" s="1495"/>
      <c r="AA34" s="1495"/>
      <c r="AB34" s="1496"/>
      <c r="AC34" s="722"/>
      <c r="AD34" s="722"/>
      <c r="AE34" s="722"/>
      <c r="AF34" s="265"/>
      <c r="AG34" s="265"/>
      <c r="AH34" s="265"/>
    </row>
    <row r="35" spans="1:34" ht="15" customHeight="1">
      <c r="A35" s="1585"/>
      <c r="B35" s="406"/>
      <c r="C35" s="1618" t="s">
        <v>145</v>
      </c>
      <c r="D35" s="1619"/>
      <c r="E35" s="543">
        <f t="shared" ref="E35:R35" si="2">E13/E19</f>
        <v>0.12822112347168638</v>
      </c>
      <c r="F35" s="529">
        <f t="shared" si="2"/>
        <v>8.8553300197016641E-2</v>
      </c>
      <c r="G35" s="535">
        <f t="shared" si="2"/>
        <v>0.12194737844305113</v>
      </c>
      <c r="H35" s="556">
        <f t="shared" si="2"/>
        <v>8.8553300197016641E-2</v>
      </c>
      <c r="I35" s="522">
        <f t="shared" si="2"/>
        <v>8.6233402613862309E-2</v>
      </c>
      <c r="J35" s="571">
        <f t="shared" si="2"/>
        <v>0.10247243671455056</v>
      </c>
      <c r="K35" s="543">
        <f t="shared" si="2"/>
        <v>0.1203237277484494</v>
      </c>
      <c r="L35" s="1463">
        <f t="shared" si="2"/>
        <v>7.805239105045568E-2</v>
      </c>
      <c r="M35" s="1443" t="e">
        <f t="shared" si="2"/>
        <v>#DIV/0!</v>
      </c>
      <c r="N35" s="571" t="e">
        <f t="shared" si="2"/>
        <v>#DIV/0!</v>
      </c>
      <c r="O35" s="543" t="e">
        <f t="shared" si="2"/>
        <v>#DIV/0!</v>
      </c>
      <c r="P35" s="571" t="e">
        <f t="shared" si="2"/>
        <v>#DIV/0!</v>
      </c>
      <c r="Q35" s="543" t="e">
        <f t="shared" si="2"/>
        <v>#DIV/0!</v>
      </c>
      <c r="R35" s="571" t="e">
        <f t="shared" si="2"/>
        <v>#DIV/0!</v>
      </c>
      <c r="S35" s="407"/>
      <c r="T35" s="1585"/>
      <c r="U35" s="1571" t="s">
        <v>417</v>
      </c>
      <c r="V35" s="1571"/>
      <c r="W35" s="1571"/>
      <c r="X35" s="1571"/>
      <c r="Y35" s="1571"/>
      <c r="Z35" s="1571"/>
      <c r="AA35" s="1571"/>
      <c r="AB35" s="1571"/>
      <c r="AC35" s="722"/>
      <c r="AD35" s="722"/>
      <c r="AE35" s="722"/>
      <c r="AF35" s="265"/>
      <c r="AG35" s="265"/>
      <c r="AH35" s="265"/>
    </row>
    <row r="36" spans="1:34" ht="15" customHeight="1">
      <c r="A36" s="1585"/>
      <c r="B36" s="406"/>
      <c r="C36" s="1604" t="s">
        <v>144</v>
      </c>
      <c r="D36" s="1605"/>
      <c r="E36" s="544">
        <f t="shared" ref="E36:R36" si="3">E14/E19</f>
        <v>0.40233655968485582</v>
      </c>
      <c r="F36" s="530">
        <f t="shared" si="3"/>
        <v>0.56178974685150995</v>
      </c>
      <c r="G36" s="536">
        <f t="shared" si="3"/>
        <v>0.32323666457370576</v>
      </c>
      <c r="H36" s="557">
        <f t="shared" si="3"/>
        <v>0.56178974685150995</v>
      </c>
      <c r="I36" s="523">
        <f t="shared" si="3"/>
        <v>0.26411722515608316</v>
      </c>
      <c r="J36" s="572">
        <f t="shared" si="3"/>
        <v>0.4481648750167796</v>
      </c>
      <c r="K36" s="544">
        <f t="shared" si="3"/>
        <v>0.13397896114378269</v>
      </c>
      <c r="L36" s="1464">
        <f t="shared" si="3"/>
        <v>0.40970702070049386</v>
      </c>
      <c r="M36" s="1444" t="e">
        <f t="shared" si="3"/>
        <v>#DIV/0!</v>
      </c>
      <c r="N36" s="572" t="e">
        <f t="shared" si="3"/>
        <v>#DIV/0!</v>
      </c>
      <c r="O36" s="544" t="e">
        <f t="shared" si="3"/>
        <v>#DIV/0!</v>
      </c>
      <c r="P36" s="572" t="e">
        <f t="shared" si="3"/>
        <v>#DIV/0!</v>
      </c>
      <c r="Q36" s="544" t="e">
        <f t="shared" si="3"/>
        <v>#DIV/0!</v>
      </c>
      <c r="R36" s="572" t="e">
        <f t="shared" si="3"/>
        <v>#DIV/0!</v>
      </c>
      <c r="S36" s="407"/>
      <c r="T36" s="1585"/>
      <c r="U36" s="1571"/>
      <c r="V36" s="1571"/>
      <c r="W36" s="1571"/>
      <c r="X36" s="1571"/>
      <c r="Y36" s="1571"/>
      <c r="Z36" s="1571"/>
      <c r="AA36" s="1571"/>
      <c r="AB36" s="1571"/>
      <c r="AC36" s="722"/>
      <c r="AD36" s="722"/>
      <c r="AE36" s="722"/>
      <c r="AF36" s="265"/>
      <c r="AG36" s="265"/>
      <c r="AH36" s="265"/>
    </row>
    <row r="37" spans="1:34" ht="15" customHeight="1">
      <c r="A37" s="1585"/>
      <c r="B37" s="406"/>
      <c r="C37" s="1604" t="s">
        <v>143</v>
      </c>
      <c r="D37" s="1605"/>
      <c r="E37" s="544">
        <f t="shared" ref="E37:R37" si="4">E15/E19</f>
        <v>0.41063330547190247</v>
      </c>
      <c r="F37" s="530">
        <f t="shared" si="4"/>
        <v>0.24734368033320223</v>
      </c>
      <c r="G37" s="536">
        <f t="shared" si="4"/>
        <v>0.46729108696123417</v>
      </c>
      <c r="H37" s="557">
        <f t="shared" si="4"/>
        <v>0.24734368033320223</v>
      </c>
      <c r="I37" s="523">
        <f t="shared" si="4"/>
        <v>0.59274267828199834</v>
      </c>
      <c r="J37" s="572">
        <f t="shared" si="4"/>
        <v>0.34026035695491458</v>
      </c>
      <c r="K37" s="544">
        <f t="shared" si="4"/>
        <v>0.56699312415557601</v>
      </c>
      <c r="L37" s="1464">
        <f t="shared" si="4"/>
        <v>0.3720505465896527</v>
      </c>
      <c r="M37" s="1444" t="e">
        <f t="shared" si="4"/>
        <v>#DIV/0!</v>
      </c>
      <c r="N37" s="572" t="e">
        <f t="shared" si="4"/>
        <v>#DIV/0!</v>
      </c>
      <c r="O37" s="544" t="e">
        <f t="shared" si="4"/>
        <v>#DIV/0!</v>
      </c>
      <c r="P37" s="572" t="e">
        <f t="shared" si="4"/>
        <v>#DIV/0!</v>
      </c>
      <c r="Q37" s="544" t="e">
        <f t="shared" si="4"/>
        <v>#DIV/0!</v>
      </c>
      <c r="R37" s="572" t="e">
        <f t="shared" si="4"/>
        <v>#DIV/0!</v>
      </c>
      <c r="S37" s="407"/>
      <c r="T37" s="1585"/>
      <c r="U37" s="1571"/>
      <c r="V37" s="1571"/>
      <c r="W37" s="1571"/>
      <c r="X37" s="1571"/>
      <c r="Y37" s="1571"/>
      <c r="Z37" s="1571"/>
      <c r="AA37" s="1571"/>
      <c r="AB37" s="1571"/>
      <c r="AC37" s="722"/>
      <c r="AD37" s="722"/>
      <c r="AE37" s="722"/>
      <c r="AF37" s="265"/>
      <c r="AG37" s="265"/>
      <c r="AH37" s="265"/>
    </row>
    <row r="38" spans="1:34" ht="15" customHeight="1">
      <c r="A38" s="1585"/>
      <c r="B38" s="406"/>
      <c r="C38" s="1604" t="s">
        <v>149</v>
      </c>
      <c r="D38" s="1605"/>
      <c r="E38" s="544">
        <f>E16/E19</f>
        <v>5.880901137155526E-2</v>
      </c>
      <c r="F38" s="530">
        <f t="shared" ref="F38:R38" si="5">F16/F19</f>
        <v>8.958435670487909E-2</v>
      </c>
      <c r="G38" s="536">
        <f t="shared" si="5"/>
        <v>8.752487002200901E-2</v>
      </c>
      <c r="H38" s="557">
        <f t="shared" si="5"/>
        <v>8.958435670487909E-2</v>
      </c>
      <c r="I38" s="523">
        <f t="shared" si="5"/>
        <v>5.6906693948056301E-2</v>
      </c>
      <c r="J38" s="572">
        <f t="shared" si="5"/>
        <v>0.10114269709051417</v>
      </c>
      <c r="K38" s="544">
        <f t="shared" si="5"/>
        <v>0.17870418695219187</v>
      </c>
      <c r="L38" s="1464">
        <f t="shared" si="5"/>
        <v>0.11643899129426812</v>
      </c>
      <c r="M38" s="1444" t="e">
        <f t="shared" si="5"/>
        <v>#DIV/0!</v>
      </c>
      <c r="N38" s="572" t="e">
        <f t="shared" si="5"/>
        <v>#DIV/0!</v>
      </c>
      <c r="O38" s="544" t="e">
        <f t="shared" si="5"/>
        <v>#DIV/0!</v>
      </c>
      <c r="P38" s="572" t="e">
        <f t="shared" si="5"/>
        <v>#DIV/0!</v>
      </c>
      <c r="Q38" s="544" t="e">
        <f t="shared" si="5"/>
        <v>#DIV/0!</v>
      </c>
      <c r="R38" s="572" t="e">
        <f t="shared" si="5"/>
        <v>#DIV/0!</v>
      </c>
      <c r="S38" s="407"/>
      <c r="T38" s="1585"/>
      <c r="U38" s="1571"/>
      <c r="V38" s="1571"/>
      <c r="W38" s="1571"/>
      <c r="X38" s="1571"/>
      <c r="Y38" s="1571"/>
      <c r="Z38" s="1571"/>
      <c r="AA38" s="1571"/>
      <c r="AB38" s="1571"/>
      <c r="AC38" s="722"/>
      <c r="AD38" s="722"/>
      <c r="AE38" s="722"/>
      <c r="AF38" s="265"/>
      <c r="AG38" s="265"/>
      <c r="AH38" s="265"/>
    </row>
    <row r="39" spans="1:34" ht="15" customHeight="1">
      <c r="A39" s="1585"/>
      <c r="B39" s="406"/>
      <c r="C39" s="1604" t="s">
        <v>363</v>
      </c>
      <c r="D39" s="1605"/>
      <c r="E39" s="544">
        <f t="shared" ref="E39:R39" si="6">E17/E19</f>
        <v>0</v>
      </c>
      <c r="F39" s="530">
        <f t="shared" si="6"/>
        <v>1.2728915913392095E-2</v>
      </c>
      <c r="G39" s="536">
        <f t="shared" si="6"/>
        <v>0</v>
      </c>
      <c r="H39" s="557">
        <f t="shared" si="6"/>
        <v>1.2728915913392095E-2</v>
      </c>
      <c r="I39" s="523">
        <f t="shared" si="6"/>
        <v>0</v>
      </c>
      <c r="J39" s="572">
        <f t="shared" si="6"/>
        <v>7.9596342232409398E-3</v>
      </c>
      <c r="K39" s="544">
        <f t="shared" si="6"/>
        <v>0</v>
      </c>
      <c r="L39" s="1464">
        <f t="shared" si="6"/>
        <v>2.3751050365129575E-2</v>
      </c>
      <c r="M39" s="1444" t="e">
        <f t="shared" si="6"/>
        <v>#DIV/0!</v>
      </c>
      <c r="N39" s="572" t="e">
        <f t="shared" si="6"/>
        <v>#DIV/0!</v>
      </c>
      <c r="O39" s="544" t="e">
        <f t="shared" si="6"/>
        <v>#DIV/0!</v>
      </c>
      <c r="P39" s="572" t="e">
        <f t="shared" si="6"/>
        <v>#DIV/0!</v>
      </c>
      <c r="Q39" s="544" t="e">
        <f t="shared" si="6"/>
        <v>#DIV/0!</v>
      </c>
      <c r="R39" s="572" t="e">
        <f t="shared" si="6"/>
        <v>#DIV/0!</v>
      </c>
      <c r="S39" s="407"/>
      <c r="T39" s="1585"/>
      <c r="U39" s="1571"/>
      <c r="V39" s="1571"/>
      <c r="W39" s="1571"/>
      <c r="X39" s="1571"/>
      <c r="Y39" s="1571"/>
      <c r="Z39" s="1571"/>
      <c r="AA39" s="1571"/>
      <c r="AB39" s="1571"/>
      <c r="AC39" s="722"/>
      <c r="AD39" s="722"/>
      <c r="AE39" s="722"/>
      <c r="AF39" s="265"/>
      <c r="AG39" s="265"/>
      <c r="AH39" s="265"/>
    </row>
    <row r="40" spans="1:34" ht="15" customHeight="1" thickBot="1">
      <c r="A40" s="1585"/>
      <c r="B40" s="406"/>
      <c r="C40" s="1604" t="s">
        <v>150</v>
      </c>
      <c r="D40" s="1605"/>
      <c r="E40" s="544">
        <f t="shared" ref="E40:R40" si="7">E18/E19</f>
        <v>0</v>
      </c>
      <c r="F40" s="530">
        <f t="shared" si="7"/>
        <v>0</v>
      </c>
      <c r="G40" s="563">
        <f t="shared" si="7"/>
        <v>0</v>
      </c>
      <c r="H40" s="558">
        <f t="shared" si="7"/>
        <v>0</v>
      </c>
      <c r="I40" s="848">
        <f t="shared" si="7"/>
        <v>0</v>
      </c>
      <c r="J40" s="849">
        <f t="shared" si="7"/>
        <v>0</v>
      </c>
      <c r="K40" s="544">
        <f t="shared" si="7"/>
        <v>0</v>
      </c>
      <c r="L40" s="1464">
        <f t="shared" si="7"/>
        <v>0</v>
      </c>
      <c r="M40" s="1445" t="e">
        <f t="shared" si="7"/>
        <v>#DIV/0!</v>
      </c>
      <c r="N40" s="849" t="e">
        <f t="shared" si="7"/>
        <v>#DIV/0!</v>
      </c>
      <c r="O40" s="850" t="e">
        <f t="shared" si="7"/>
        <v>#DIV/0!</v>
      </c>
      <c r="P40" s="849" t="e">
        <f t="shared" si="7"/>
        <v>#DIV/0!</v>
      </c>
      <c r="Q40" s="544" t="e">
        <f t="shared" si="7"/>
        <v>#DIV/0!</v>
      </c>
      <c r="R40" s="572" t="e">
        <f t="shared" si="7"/>
        <v>#DIV/0!</v>
      </c>
      <c r="S40" s="407"/>
      <c r="T40" s="1585"/>
      <c r="U40" s="1516"/>
      <c r="V40" s="1517"/>
      <c r="W40" s="1517"/>
      <c r="X40" s="1517"/>
      <c r="Y40" s="1517"/>
      <c r="Z40" s="1517"/>
      <c r="AA40" s="1517"/>
      <c r="AB40" s="1518"/>
      <c r="AC40" s="722"/>
      <c r="AD40" s="722"/>
      <c r="AE40" s="722"/>
      <c r="AF40" s="265"/>
      <c r="AG40" s="265"/>
      <c r="AH40" s="265"/>
    </row>
    <row r="41" spans="1:34" ht="15" customHeight="1">
      <c r="A41" s="1585"/>
      <c r="B41" s="409"/>
      <c r="C41" s="1449" t="s">
        <v>1886</v>
      </c>
      <c r="D41" s="575"/>
      <c r="E41" s="573"/>
      <c r="F41" s="573"/>
      <c r="G41" s="573"/>
      <c r="H41" s="573"/>
      <c r="I41" s="573"/>
      <c r="J41" s="573"/>
      <c r="K41" s="573"/>
      <c r="L41" s="1450"/>
      <c r="M41" s="1438"/>
      <c r="N41" s="573"/>
      <c r="O41" s="573"/>
      <c r="P41" s="573"/>
      <c r="Q41" s="573"/>
      <c r="R41" s="573"/>
      <c r="S41" s="410"/>
      <c r="T41" s="1585"/>
      <c r="U41" s="1516"/>
      <c r="V41" s="1517"/>
      <c r="W41" s="1517"/>
      <c r="X41" s="1517"/>
      <c r="Y41" s="1517"/>
      <c r="Z41" s="1517"/>
      <c r="AA41" s="1517"/>
      <c r="AB41" s="1518"/>
      <c r="AC41" s="722"/>
      <c r="AD41" s="722"/>
      <c r="AE41" s="722"/>
      <c r="AF41" s="265"/>
      <c r="AG41" s="265"/>
      <c r="AH41" s="265"/>
    </row>
    <row r="42" spans="1:34" ht="15" customHeight="1">
      <c r="A42" s="1585"/>
      <c r="B42" s="406"/>
      <c r="C42" s="1620"/>
      <c r="D42" s="1621"/>
      <c r="E42" s="1607">
        <f>F10*E21</f>
        <v>-5016068286.4915428</v>
      </c>
      <c r="F42" s="1608"/>
      <c r="G42" s="1465"/>
      <c r="H42" s="1466"/>
      <c r="I42" s="1609">
        <f>J10*I21</f>
        <v>-256185111.08315647</v>
      </c>
      <c r="J42" s="1608"/>
      <c r="K42" s="1607">
        <f>L10*K21</f>
        <v>-259757595.90639013</v>
      </c>
      <c r="L42" s="1610"/>
      <c r="M42" s="1611" t="e">
        <f>N10*M21</f>
        <v>#DIV/0!</v>
      </c>
      <c r="N42" s="1612"/>
      <c r="O42" s="1613" t="e">
        <f>P10*O21</f>
        <v>#DIV/0!</v>
      </c>
      <c r="P42" s="1612"/>
      <c r="Q42" s="1613" t="e">
        <f>R10*Q21</f>
        <v>#DIV/0!</v>
      </c>
      <c r="R42" s="1612"/>
      <c r="S42" s="407"/>
      <c r="T42" s="1585"/>
      <c r="U42" s="1516"/>
      <c r="V42" s="1517"/>
      <c r="W42" s="1517"/>
      <c r="X42" s="1517"/>
      <c r="Y42" s="1517"/>
      <c r="Z42" s="1517"/>
      <c r="AA42" s="1517"/>
      <c r="AB42" s="1518"/>
      <c r="AC42" s="722"/>
      <c r="AD42" s="722"/>
      <c r="AE42" s="722"/>
      <c r="AF42" s="265"/>
      <c r="AG42" s="265"/>
      <c r="AH42" s="265"/>
    </row>
    <row r="43" spans="1:34" ht="15" customHeight="1">
      <c r="A43" s="1585"/>
      <c r="B43" s="407"/>
      <c r="C43" s="407"/>
      <c r="D43" s="407"/>
      <c r="E43" s="407"/>
      <c r="F43" s="407"/>
      <c r="G43" s="407"/>
      <c r="H43" s="407"/>
      <c r="I43" s="407"/>
      <c r="J43" s="407"/>
      <c r="K43" s="407"/>
      <c r="L43" s="407"/>
      <c r="M43" s="407"/>
      <c r="N43" s="407"/>
      <c r="O43" s="407"/>
      <c r="P43" s="407"/>
      <c r="Q43" s="407"/>
      <c r="R43" s="407"/>
      <c r="S43" s="407"/>
      <c r="T43" s="1585"/>
      <c r="U43" s="1516"/>
      <c r="V43" s="1517"/>
      <c r="W43" s="1517"/>
      <c r="X43" s="1517"/>
      <c r="Y43" s="1517"/>
      <c r="Z43" s="1517"/>
      <c r="AA43" s="1517"/>
      <c r="AB43" s="1518"/>
      <c r="AC43" s="722"/>
      <c r="AD43" s="722"/>
      <c r="AE43" s="722"/>
      <c r="AF43" s="265"/>
      <c r="AG43" s="265"/>
      <c r="AH43" s="265"/>
    </row>
    <row r="44" spans="1:34" ht="18" customHeight="1">
      <c r="A44" s="1585"/>
      <c r="B44" s="1530" t="s">
        <v>218</v>
      </c>
      <c r="C44" s="1530"/>
      <c r="D44" s="1530"/>
      <c r="E44" s="1530"/>
      <c r="F44" s="1530"/>
      <c r="G44" s="1530"/>
      <c r="H44" s="1530"/>
      <c r="I44" s="1530"/>
      <c r="J44" s="1530"/>
      <c r="K44" s="1530"/>
      <c r="L44" s="1530"/>
      <c r="M44" s="1530"/>
      <c r="N44" s="1530"/>
      <c r="O44" s="1530"/>
      <c r="P44" s="1530"/>
      <c r="Q44" s="1530"/>
      <c r="R44" s="1530"/>
      <c r="S44" s="1530"/>
      <c r="T44" s="1585"/>
      <c r="U44" s="395" t="str">
        <f>W49</f>
        <v>GA</v>
      </c>
      <c r="V44" s="1531" t="s">
        <v>220</v>
      </c>
      <c r="W44" s="1531"/>
      <c r="X44" s="1531"/>
      <c r="Y44" s="1531"/>
      <c r="Z44" s="1531"/>
      <c r="AA44" s="1531"/>
      <c r="AB44" s="395"/>
      <c r="AC44" s="272"/>
      <c r="AD44" s="723"/>
      <c r="AE44" s="272"/>
      <c r="AF44" s="265"/>
      <c r="AG44" s="265"/>
      <c r="AH44" s="265"/>
    </row>
    <row r="45" spans="1:34" ht="18" customHeight="1">
      <c r="A45" s="402"/>
      <c r="B45" s="1515" t="s">
        <v>376</v>
      </c>
      <c r="C45" s="1515"/>
      <c r="D45" s="1515"/>
      <c r="E45" s="1515"/>
      <c r="F45" s="1515"/>
      <c r="G45" s="1515"/>
      <c r="H45" s="1515"/>
      <c r="I45" s="1515"/>
      <c r="J45" s="1515"/>
      <c r="K45" s="1515"/>
      <c r="L45" s="1515"/>
      <c r="M45" s="1515"/>
      <c r="N45" s="1515"/>
      <c r="O45" s="1515"/>
      <c r="P45" s="1515"/>
      <c r="Q45" s="1515"/>
      <c r="R45" s="1515"/>
      <c r="S45" s="1515"/>
      <c r="T45" s="402"/>
      <c r="U45" s="411" t="s">
        <v>327</v>
      </c>
      <c r="V45" s="411"/>
      <c r="W45" s="411"/>
      <c r="X45" s="411"/>
      <c r="Y45" s="411"/>
      <c r="Z45" s="411"/>
      <c r="AA45" s="411"/>
      <c r="AB45" s="411"/>
      <c r="AC45" s="724"/>
      <c r="AD45" s="724"/>
      <c r="AE45" s="724"/>
      <c r="AF45" s="265"/>
      <c r="AG45" s="265"/>
      <c r="AH45" s="265"/>
    </row>
    <row r="46" spans="1:34" ht="15" customHeight="1">
      <c r="A46" s="412"/>
      <c r="B46" s="412"/>
      <c r="C46" s="412"/>
      <c r="D46" s="412"/>
      <c r="E46" s="412"/>
      <c r="F46" s="412"/>
      <c r="G46" s="412"/>
      <c r="H46" s="412"/>
      <c r="I46" s="412"/>
      <c r="J46" s="412"/>
      <c r="K46" s="412"/>
      <c r="L46" s="412"/>
      <c r="M46" s="412"/>
      <c r="N46" s="412"/>
      <c r="O46" s="412"/>
      <c r="P46" s="412"/>
      <c r="Q46" s="412"/>
      <c r="R46" s="412"/>
      <c r="S46" s="412"/>
      <c r="T46" s="413"/>
      <c r="U46" s="408"/>
      <c r="V46" s="408"/>
      <c r="W46" s="408"/>
      <c r="X46" s="408"/>
      <c r="Y46" s="408"/>
      <c r="Z46" s="408"/>
      <c r="AA46" s="408"/>
      <c r="AB46" s="408"/>
      <c r="AC46" s="265"/>
      <c r="AD46" s="265"/>
      <c r="AE46" s="265"/>
      <c r="AF46" s="265"/>
      <c r="AG46" s="265"/>
      <c r="AH46" s="265"/>
    </row>
    <row r="47" spans="1:34" ht="15" customHeight="1">
      <c r="A47" s="412"/>
      <c r="B47" s="412"/>
      <c r="C47" s="412"/>
      <c r="D47" s="412"/>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265"/>
      <c r="AE47" s="265"/>
      <c r="AF47" s="265"/>
      <c r="AG47" s="265"/>
      <c r="AH47" s="265"/>
    </row>
    <row r="48" spans="1:34" ht="15" customHeight="1">
      <c r="A48" s="412"/>
      <c r="B48" s="412"/>
      <c r="C48" s="415"/>
      <c r="D48" s="415"/>
      <c r="E48" s="412"/>
      <c r="F48" s="412"/>
      <c r="G48" s="412"/>
      <c r="H48" s="412"/>
      <c r="I48" s="412"/>
      <c r="J48" s="412"/>
      <c r="K48" s="412"/>
      <c r="L48" s="412"/>
      <c r="M48" s="412"/>
      <c r="N48" s="412"/>
      <c r="O48" s="412"/>
      <c r="P48" s="412"/>
      <c r="Q48" s="412"/>
      <c r="R48" s="412"/>
      <c r="S48" s="412"/>
      <c r="T48" s="413"/>
      <c r="U48" s="408"/>
      <c r="V48" s="414"/>
      <c r="W48" s="414"/>
      <c r="X48" s="408"/>
      <c r="Y48" s="408"/>
      <c r="Z48" s="408"/>
      <c r="AA48" s="408"/>
      <c r="AB48" s="408"/>
      <c r="AC48" s="265"/>
      <c r="AD48" s="1549" t="s">
        <v>492</v>
      </c>
      <c r="AE48" s="1549"/>
      <c r="AF48" s="1549"/>
      <c r="AG48" s="1549"/>
      <c r="AH48" s="1549"/>
    </row>
    <row r="49" spans="1:36" ht="15" customHeight="1">
      <c r="A49" s="412"/>
      <c r="B49" s="412"/>
      <c r="C49" s="1498" t="s">
        <v>556</v>
      </c>
      <c r="D49" s="1498"/>
      <c r="E49" s="1498"/>
      <c r="F49" s="1498"/>
      <c r="G49" s="1498"/>
      <c r="H49" s="1498"/>
      <c r="I49" s="1498"/>
      <c r="J49" s="1498"/>
      <c r="K49" s="412"/>
      <c r="L49" s="1514" t="s">
        <v>413</v>
      </c>
      <c r="M49" s="1514"/>
      <c r="N49" s="1514"/>
      <c r="O49" s="1514"/>
      <c r="P49" s="1514"/>
      <c r="Q49" s="1514"/>
      <c r="R49" s="1514"/>
      <c r="S49" s="412"/>
      <c r="T49" s="413"/>
      <c r="U49" s="408"/>
      <c r="V49" s="594" t="s">
        <v>161</v>
      </c>
      <c r="W49" s="460" t="s">
        <v>1833</v>
      </c>
      <c r="X49" s="455"/>
      <c r="Y49" s="456"/>
      <c r="Z49" s="456"/>
      <c r="AA49" s="414"/>
      <c r="AB49" s="408"/>
      <c r="AC49" s="265"/>
      <c r="AD49" s="1549"/>
      <c r="AE49" s="1549"/>
      <c r="AF49" s="1549"/>
      <c r="AG49" s="1549"/>
      <c r="AH49" s="1549"/>
    </row>
    <row r="50" spans="1:36" ht="15" customHeight="1">
      <c r="A50" s="412"/>
      <c r="B50" s="412"/>
      <c r="C50" s="1498"/>
      <c r="D50" s="1498"/>
      <c r="E50" s="1498"/>
      <c r="F50" s="1498"/>
      <c r="G50" s="1498"/>
      <c r="H50" s="1498"/>
      <c r="I50" s="1498"/>
      <c r="J50" s="1498"/>
      <c r="K50" s="412"/>
      <c r="L50" s="1514"/>
      <c r="M50" s="1514"/>
      <c r="N50" s="1514"/>
      <c r="O50" s="1514"/>
      <c r="P50" s="1514"/>
      <c r="Q50" s="1514"/>
      <c r="R50" s="1514"/>
      <c r="S50" s="412"/>
      <c r="T50" s="413"/>
      <c r="U50" s="408"/>
      <c r="V50" s="594" t="s">
        <v>162</v>
      </c>
      <c r="W50" s="460" t="s">
        <v>163</v>
      </c>
      <c r="X50" s="455"/>
      <c r="Y50" s="456"/>
      <c r="Z50" s="456"/>
      <c r="AA50" s="414"/>
      <c r="AB50" s="408"/>
      <c r="AC50" s="265"/>
      <c r="AD50" s="265"/>
      <c r="AE50" s="265"/>
      <c r="AF50" s="265"/>
      <c r="AG50" s="265"/>
      <c r="AH50" s="265"/>
    </row>
    <row r="51" spans="1:36" ht="15" customHeight="1">
      <c r="A51" s="412"/>
      <c r="B51" s="412"/>
      <c r="C51" s="1498"/>
      <c r="D51" s="1498"/>
      <c r="E51" s="1498"/>
      <c r="F51" s="1498"/>
      <c r="G51" s="1498"/>
      <c r="H51" s="1498"/>
      <c r="I51" s="1498"/>
      <c r="J51" s="1498"/>
      <c r="K51" s="412"/>
      <c r="L51" s="1514"/>
      <c r="M51" s="1514"/>
      <c r="N51" s="1514"/>
      <c r="O51" s="1514"/>
      <c r="P51" s="1514"/>
      <c r="Q51" s="1514"/>
      <c r="R51" s="1514"/>
      <c r="S51" s="412"/>
      <c r="T51" s="413"/>
      <c r="U51" s="408"/>
      <c r="V51" s="594"/>
      <c r="W51" s="596" t="s">
        <v>168</v>
      </c>
      <c r="X51" s="596" t="s">
        <v>169</v>
      </c>
      <c r="Y51" s="597" t="s">
        <v>243</v>
      </c>
      <c r="Z51" s="597"/>
      <c r="AA51" s="416"/>
      <c r="AB51" s="408"/>
      <c r="AC51" s="265"/>
      <c r="AD51" s="726"/>
      <c r="AE51" s="271"/>
      <c r="AF51" s="271"/>
      <c r="AG51" s="271"/>
      <c r="AH51" s="271"/>
      <c r="AI51" s="1"/>
      <c r="AJ51" s="1"/>
    </row>
    <row r="52" spans="1:36" ht="15" customHeight="1">
      <c r="A52" s="412"/>
      <c r="B52" s="412"/>
      <c r="C52" s="1498"/>
      <c r="D52" s="1498"/>
      <c r="E52" s="1498"/>
      <c r="F52" s="1498"/>
      <c r="G52" s="1498"/>
      <c r="H52" s="1498"/>
      <c r="I52" s="1498"/>
      <c r="J52" s="1498"/>
      <c r="K52" s="412"/>
      <c r="L52" s="1514"/>
      <c r="M52" s="1514"/>
      <c r="N52" s="1514"/>
      <c r="O52" s="1514"/>
      <c r="P52" s="1514"/>
      <c r="Q52" s="1514"/>
      <c r="R52" s="1514"/>
      <c r="S52" s="412"/>
      <c r="T52" s="413"/>
      <c r="U52" s="408"/>
      <c r="V52" s="594" t="s">
        <v>152</v>
      </c>
      <c r="W52" s="460" t="s">
        <v>811</v>
      </c>
      <c r="X52" s="460" t="s">
        <v>165</v>
      </c>
      <c r="Y52" s="461">
        <v>8</v>
      </c>
      <c r="Z52" s="460"/>
      <c r="AA52" s="417"/>
      <c r="AB52" s="408"/>
      <c r="AC52" s="265"/>
      <c r="AD52" s="716" t="s">
        <v>306</v>
      </c>
      <c r="AE52" s="716" t="s">
        <v>307</v>
      </c>
      <c r="AF52" s="717" t="s">
        <v>95</v>
      </c>
      <c r="AG52" s="716"/>
      <c r="AH52" s="271"/>
      <c r="AI52" s="1"/>
      <c r="AJ52" s="1"/>
    </row>
    <row r="53" spans="1:36" ht="15" customHeight="1">
      <c r="A53" s="412"/>
      <c r="B53" s="412"/>
      <c r="C53" s="1498"/>
      <c r="D53" s="1498"/>
      <c r="E53" s="1498"/>
      <c r="F53" s="1498"/>
      <c r="G53" s="1498"/>
      <c r="H53" s="1498"/>
      <c r="I53" s="1498"/>
      <c r="J53" s="1498"/>
      <c r="K53" s="412"/>
      <c r="L53" s="1514"/>
      <c r="M53" s="1514"/>
      <c r="N53" s="1514"/>
      <c r="O53" s="1514"/>
      <c r="P53" s="1514"/>
      <c r="Q53" s="1514"/>
      <c r="R53" s="1514"/>
      <c r="S53" s="412"/>
      <c r="T53" s="413"/>
      <c r="U53" s="408"/>
      <c r="V53" s="594" t="s">
        <v>153</v>
      </c>
      <c r="W53" s="460" t="s">
        <v>1846</v>
      </c>
      <c r="X53" s="460" t="s">
        <v>1847</v>
      </c>
      <c r="Y53" s="461">
        <v>13</v>
      </c>
      <c r="Z53" s="460"/>
      <c r="AA53" s="417"/>
      <c r="AB53" s="408"/>
      <c r="AC53" s="265"/>
      <c r="AD53" s="716" t="s">
        <v>361</v>
      </c>
      <c r="AE53" s="716" t="s">
        <v>362</v>
      </c>
      <c r="AF53" s="717" t="s">
        <v>95</v>
      </c>
      <c r="AG53" s="716"/>
      <c r="AH53" s="271"/>
      <c r="AI53" s="1"/>
      <c r="AJ53" s="1"/>
    </row>
    <row r="54" spans="1:36" ht="15" customHeight="1">
      <c r="A54" s="412"/>
      <c r="B54" s="412"/>
      <c r="C54" s="1498"/>
      <c r="D54" s="1498"/>
      <c r="E54" s="1498"/>
      <c r="F54" s="1498"/>
      <c r="G54" s="1498"/>
      <c r="H54" s="1498"/>
      <c r="I54" s="1498"/>
      <c r="J54" s="1498"/>
      <c r="K54" s="412"/>
      <c r="L54" s="1514"/>
      <c r="M54" s="1514"/>
      <c r="N54" s="1514"/>
      <c r="O54" s="1514"/>
      <c r="P54" s="1514"/>
      <c r="Q54" s="1514"/>
      <c r="R54" s="1514"/>
      <c r="S54" s="412"/>
      <c r="T54" s="413"/>
      <c r="U54" s="408"/>
      <c r="V54" s="594" t="s">
        <v>154</v>
      </c>
      <c r="W54" s="460" t="s">
        <v>357</v>
      </c>
      <c r="X54" s="460" t="s">
        <v>240</v>
      </c>
      <c r="Y54" s="461" t="s">
        <v>95</v>
      </c>
      <c r="Z54" s="460"/>
      <c r="AA54" s="417"/>
      <c r="AB54" s="408"/>
      <c r="AC54" s="265"/>
      <c r="AD54" s="716" t="s">
        <v>357</v>
      </c>
      <c r="AE54" s="716" t="s">
        <v>240</v>
      </c>
      <c r="AF54" s="717" t="s">
        <v>95</v>
      </c>
      <c r="AG54" s="716"/>
      <c r="AH54" s="271"/>
      <c r="AI54" s="1"/>
      <c r="AJ54" s="1"/>
    </row>
    <row r="55" spans="1:36" ht="15" customHeight="1">
      <c r="A55" s="412"/>
      <c r="B55" s="412"/>
      <c r="C55" s="1498"/>
      <c r="D55" s="1498"/>
      <c r="E55" s="1498"/>
      <c r="F55" s="1498"/>
      <c r="G55" s="1498"/>
      <c r="H55" s="1498"/>
      <c r="I55" s="1498"/>
      <c r="J55" s="1498"/>
      <c r="K55" s="412"/>
      <c r="L55" s="1514"/>
      <c r="M55" s="1514"/>
      <c r="N55" s="1514"/>
      <c r="O55" s="1514"/>
      <c r="P55" s="1514"/>
      <c r="Q55" s="1514"/>
      <c r="R55" s="1514"/>
      <c r="S55" s="412"/>
      <c r="T55" s="413"/>
      <c r="U55" s="408"/>
      <c r="V55" s="594" t="s">
        <v>155</v>
      </c>
      <c r="W55" s="460" t="s">
        <v>358</v>
      </c>
      <c r="X55" s="460" t="s">
        <v>242</v>
      </c>
      <c r="Y55" s="461" t="s">
        <v>95</v>
      </c>
      <c r="Z55" s="460"/>
      <c r="AA55" s="417"/>
      <c r="AB55" s="408"/>
      <c r="AC55" s="265"/>
      <c r="AD55" s="716" t="s">
        <v>358</v>
      </c>
      <c r="AE55" s="716" t="s">
        <v>242</v>
      </c>
      <c r="AF55" s="717" t="s">
        <v>95</v>
      </c>
      <c r="AG55" s="716"/>
      <c r="AH55" s="271"/>
      <c r="AI55" s="1"/>
      <c r="AJ55" s="1"/>
    </row>
    <row r="56" spans="1:36" ht="15" customHeight="1">
      <c r="A56" s="412"/>
      <c r="B56" s="412"/>
      <c r="C56" s="1498"/>
      <c r="D56" s="1498"/>
      <c r="E56" s="1498"/>
      <c r="F56" s="1498"/>
      <c r="G56" s="1498"/>
      <c r="H56" s="1498"/>
      <c r="I56" s="1498"/>
      <c r="J56" s="1498"/>
      <c r="K56" s="412"/>
      <c r="L56" s="1514"/>
      <c r="M56" s="1514"/>
      <c r="N56" s="1514"/>
      <c r="O56" s="1514"/>
      <c r="P56" s="1514"/>
      <c r="Q56" s="1514"/>
      <c r="R56" s="1514"/>
      <c r="S56" s="412"/>
      <c r="T56" s="413"/>
      <c r="U56" s="408"/>
      <c r="V56" s="594" t="s">
        <v>156</v>
      </c>
      <c r="W56" s="460" t="s">
        <v>359</v>
      </c>
      <c r="X56" s="460" t="s">
        <v>241</v>
      </c>
      <c r="Y56" s="461" t="s">
        <v>95</v>
      </c>
      <c r="Z56" s="460"/>
      <c r="AA56" s="417"/>
      <c r="AB56" s="408"/>
      <c r="AC56" s="265"/>
      <c r="AD56" s="716" t="s">
        <v>359</v>
      </c>
      <c r="AE56" s="716" t="s">
        <v>241</v>
      </c>
      <c r="AF56" s="717" t="s">
        <v>95</v>
      </c>
      <c r="AG56" s="716"/>
      <c r="AH56" s="271"/>
      <c r="AI56" s="1"/>
      <c r="AJ56" s="1"/>
    </row>
    <row r="57" spans="1:36" ht="15" customHeight="1">
      <c r="A57" s="412"/>
      <c r="B57" s="412"/>
      <c r="C57" s="1498"/>
      <c r="D57" s="1498"/>
      <c r="E57" s="1498"/>
      <c r="F57" s="1498"/>
      <c r="G57" s="1498"/>
      <c r="H57" s="1498"/>
      <c r="I57" s="1498"/>
      <c r="J57" s="1498"/>
      <c r="K57" s="412"/>
      <c r="L57" s="1514"/>
      <c r="M57" s="1514"/>
      <c r="N57" s="1514"/>
      <c r="O57" s="1514"/>
      <c r="P57" s="1514"/>
      <c r="Q57" s="1514"/>
      <c r="R57" s="1514"/>
      <c r="S57" s="412"/>
      <c r="T57" s="413"/>
      <c r="U57" s="408"/>
      <c r="V57" s="595"/>
      <c r="W57" s="462"/>
      <c r="X57" s="594" t="s">
        <v>151</v>
      </c>
      <c r="Y57" s="461">
        <v>49</v>
      </c>
      <c r="Z57" s="725"/>
      <c r="AA57" s="417"/>
      <c r="AB57" s="408"/>
      <c r="AC57" s="265"/>
      <c r="AD57" s="729"/>
      <c r="AE57" s="730" t="s">
        <v>151</v>
      </c>
      <c r="AF57" s="717" t="s">
        <v>95</v>
      </c>
      <c r="AG57" s="460"/>
      <c r="AH57" s="271"/>
      <c r="AI57" s="1"/>
      <c r="AJ57" s="1"/>
    </row>
    <row r="58" spans="1:36" ht="15" customHeight="1">
      <c r="A58" s="412"/>
      <c r="B58" s="412"/>
      <c r="C58" s="418"/>
      <c r="D58" s="418"/>
      <c r="E58" s="418"/>
      <c r="F58" s="418"/>
      <c r="G58" s="418"/>
      <c r="H58" s="418"/>
      <c r="I58" s="418"/>
      <c r="J58" s="418"/>
      <c r="K58" s="412"/>
      <c r="L58" s="437"/>
      <c r="M58" s="437"/>
      <c r="N58" s="437"/>
      <c r="O58" s="437"/>
      <c r="P58" s="437"/>
      <c r="Q58" s="437"/>
      <c r="R58" s="437"/>
      <c r="S58" s="412"/>
      <c r="T58" s="413"/>
      <c r="U58" s="408"/>
      <c r="V58" s="408"/>
      <c r="W58" s="408"/>
      <c r="X58" s="408"/>
      <c r="Y58" s="408"/>
      <c r="Z58" s="408"/>
      <c r="AA58" s="408"/>
      <c r="AB58" s="408"/>
      <c r="AC58" s="265"/>
      <c r="AD58" s="271"/>
      <c r="AE58" s="271"/>
      <c r="AF58" s="271"/>
      <c r="AG58" s="271"/>
      <c r="AH58" s="271"/>
      <c r="AI58" s="1"/>
      <c r="AJ58" s="1"/>
    </row>
    <row r="59" spans="1:36" ht="15" customHeight="1">
      <c r="A59" s="412"/>
      <c r="B59" s="412"/>
      <c r="C59" s="418"/>
      <c r="D59" s="418"/>
      <c r="E59" s="418"/>
      <c r="F59" s="418"/>
      <c r="G59" s="418"/>
      <c r="H59" s="418"/>
      <c r="I59" s="418"/>
      <c r="J59" s="418"/>
      <c r="K59" s="412"/>
      <c r="L59" s="437"/>
      <c r="M59" s="437"/>
      <c r="N59" s="437"/>
      <c r="O59" s="437"/>
      <c r="P59" s="437"/>
      <c r="Q59" s="437"/>
      <c r="R59" s="437"/>
      <c r="S59" s="412"/>
      <c r="T59" s="413"/>
      <c r="U59" s="408"/>
      <c r="V59" s="1551" t="s">
        <v>416</v>
      </c>
      <c r="W59" s="1551"/>
      <c r="X59" s="1551"/>
      <c r="Y59" s="1551"/>
      <c r="Z59" s="1551"/>
      <c r="AA59" s="419"/>
      <c r="AB59" s="419"/>
      <c r="AC59" s="265"/>
      <c r="AD59" s="271"/>
      <c r="AE59" s="271"/>
      <c r="AF59" s="271"/>
      <c r="AG59" s="271"/>
      <c r="AH59" s="271"/>
      <c r="AI59" s="1"/>
      <c r="AJ59" s="1"/>
    </row>
    <row r="60" spans="1:36" ht="15" customHeight="1">
      <c r="A60" s="412"/>
      <c r="B60" s="412"/>
      <c r="C60" s="412"/>
      <c r="D60" s="412"/>
      <c r="E60" s="412"/>
      <c r="F60" s="412"/>
      <c r="G60" s="412"/>
      <c r="H60" s="412"/>
      <c r="I60" s="412"/>
      <c r="J60" s="412"/>
      <c r="K60" s="412"/>
      <c r="L60" s="412"/>
      <c r="M60" s="412"/>
      <c r="N60" s="412"/>
      <c r="O60" s="412"/>
      <c r="P60" s="412"/>
      <c r="Q60" s="412"/>
      <c r="R60" s="412"/>
      <c r="S60" s="412"/>
      <c r="T60" s="413"/>
      <c r="U60" s="408"/>
      <c r="V60" s="1551"/>
      <c r="W60" s="1551"/>
      <c r="X60" s="1551"/>
      <c r="Y60" s="1551"/>
      <c r="Z60" s="1551"/>
      <c r="AA60" s="419"/>
      <c r="AB60" s="419"/>
      <c r="AC60" s="265"/>
      <c r="AD60" s="727"/>
      <c r="AE60" s="727"/>
      <c r="AF60" s="728"/>
      <c r="AG60" s="727"/>
      <c r="AH60" s="272"/>
    </row>
    <row r="61" spans="1:36" ht="15" customHeight="1">
      <c r="A61" s="412"/>
      <c r="B61" s="412"/>
      <c r="C61" s="412"/>
      <c r="D61" s="412"/>
      <c r="E61" s="412"/>
      <c r="F61" s="412"/>
      <c r="G61" s="412"/>
      <c r="H61" s="412"/>
      <c r="I61" s="412"/>
      <c r="J61" s="412"/>
      <c r="K61" s="412"/>
      <c r="L61" s="412"/>
      <c r="M61" s="412"/>
      <c r="N61" s="412"/>
      <c r="O61" s="412"/>
      <c r="P61" s="412"/>
      <c r="Q61" s="412"/>
      <c r="R61" s="412"/>
      <c r="S61" s="412"/>
      <c r="T61" s="413"/>
      <c r="U61" s="408"/>
      <c r="V61" s="1551"/>
      <c r="W61" s="1551"/>
      <c r="X61" s="1551"/>
      <c r="Y61" s="1551"/>
      <c r="Z61" s="1551"/>
      <c r="AA61" s="419"/>
      <c r="AB61" s="419"/>
      <c r="AC61" s="265"/>
      <c r="AD61" s="727"/>
      <c r="AE61" s="727"/>
      <c r="AF61" s="728"/>
      <c r="AG61" s="727"/>
      <c r="AH61" s="272"/>
    </row>
    <row r="62" spans="1:36" ht="15" customHeight="1">
      <c r="A62" s="412"/>
      <c r="B62" s="412"/>
      <c r="C62" s="412"/>
      <c r="D62" s="412"/>
      <c r="E62" s="412"/>
      <c r="F62" s="412"/>
      <c r="G62" s="412"/>
      <c r="H62" s="412"/>
      <c r="I62" s="412"/>
      <c r="J62" s="412"/>
      <c r="K62" s="412"/>
      <c r="L62" s="412"/>
      <c r="M62" s="412"/>
      <c r="N62" s="412"/>
      <c r="O62" s="412"/>
      <c r="P62" s="412"/>
      <c r="Q62" s="412"/>
      <c r="R62" s="412"/>
      <c r="S62" s="412"/>
      <c r="T62" s="413"/>
      <c r="U62" s="408"/>
      <c r="V62" s="1551"/>
      <c r="W62" s="1551"/>
      <c r="X62" s="1551"/>
      <c r="Y62" s="1551"/>
      <c r="Z62" s="1551"/>
      <c r="AA62" s="419"/>
      <c r="AB62" s="419"/>
      <c r="AC62" s="265"/>
      <c r="AD62" s="727"/>
      <c r="AE62" s="727"/>
      <c r="AF62" s="728"/>
      <c r="AG62" s="727"/>
      <c r="AH62" s="272"/>
    </row>
    <row r="63" spans="1:36" ht="15" customHeight="1">
      <c r="A63" s="412"/>
      <c r="B63" s="412"/>
      <c r="C63" s="412"/>
      <c r="D63" s="412"/>
      <c r="E63" s="412"/>
      <c r="F63" s="412"/>
      <c r="G63" s="412"/>
      <c r="H63" s="412"/>
      <c r="I63" s="412"/>
      <c r="J63" s="412"/>
      <c r="K63" s="412"/>
      <c r="L63" s="412"/>
      <c r="M63" s="412"/>
      <c r="N63" s="412"/>
      <c r="O63" s="412"/>
      <c r="P63" s="412"/>
      <c r="Q63" s="412"/>
      <c r="R63" s="412"/>
      <c r="S63" s="412"/>
      <c r="T63" s="413"/>
      <c r="U63" s="408"/>
      <c r="V63" s="1551"/>
      <c r="W63" s="1551"/>
      <c r="X63" s="1551"/>
      <c r="Y63" s="1551"/>
      <c r="Z63" s="1551"/>
      <c r="AA63" s="419"/>
      <c r="AB63" s="419"/>
      <c r="AC63" s="265"/>
      <c r="AD63" s="727"/>
      <c r="AE63" s="727"/>
      <c r="AF63" s="728"/>
      <c r="AG63" s="727"/>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27"/>
      <c r="AE64" s="727"/>
      <c r="AF64" s="728"/>
      <c r="AG64" s="727"/>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408"/>
      <c r="X65" s="408"/>
      <c r="Y65" s="408"/>
      <c r="Z65" s="408"/>
      <c r="AA65" s="408"/>
      <c r="AB65" s="408"/>
      <c r="AC65" s="265"/>
      <c r="AD65" s="720"/>
      <c r="AE65" s="721"/>
      <c r="AF65" s="728"/>
      <c r="AG65" s="727"/>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08"/>
      <c r="W66" s="1550"/>
      <c r="X66" s="1550"/>
      <c r="Y66" s="1550"/>
      <c r="Z66" s="1550"/>
      <c r="AA66" s="408"/>
      <c r="AB66" s="408"/>
      <c r="AC66" s="265"/>
      <c r="AD66" s="272"/>
      <c r="AE66" s="272"/>
      <c r="AF66" s="272"/>
      <c r="AG66" s="272"/>
      <c r="AH66" s="272"/>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18"/>
      <c r="X67" s="718"/>
      <c r="Y67" s="719"/>
      <c r="Z67" s="719"/>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18"/>
      <c r="X68" s="718"/>
      <c r="Y68" s="719"/>
      <c r="Z68" s="719"/>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08"/>
      <c r="V69" s="420"/>
      <c r="W69" s="718"/>
      <c r="X69" s="718"/>
      <c r="Y69" s="719"/>
      <c r="Z69" s="719"/>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18"/>
      <c r="X70" s="718"/>
      <c r="Y70" s="719"/>
      <c r="Z70" s="719"/>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20"/>
      <c r="W71" s="718"/>
      <c r="X71" s="718"/>
      <c r="Y71" s="719"/>
      <c r="Z71" s="719"/>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08"/>
      <c r="W72" s="408"/>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A74" s="412"/>
      <c r="B74" s="412"/>
      <c r="C74" s="412"/>
      <c r="D74" s="412"/>
      <c r="E74" s="412"/>
      <c r="F74" s="412"/>
      <c r="G74" s="412"/>
      <c r="H74" s="412"/>
      <c r="I74" s="412"/>
      <c r="J74" s="412"/>
      <c r="K74" s="412"/>
      <c r="L74" s="412"/>
      <c r="M74" s="412"/>
      <c r="N74" s="412"/>
      <c r="O74" s="412"/>
      <c r="P74" s="412"/>
      <c r="Q74" s="412"/>
      <c r="R74" s="412"/>
      <c r="S74" s="412"/>
      <c r="T74" s="413"/>
      <c r="U74" s="421"/>
      <c r="V74" s="421"/>
      <c r="W74" s="421"/>
      <c r="X74" s="408"/>
      <c r="Y74" s="408"/>
      <c r="Z74" s="408"/>
      <c r="AA74" s="408"/>
      <c r="AB74" s="408"/>
      <c r="AC74" s="265"/>
      <c r="AD74" s="265"/>
      <c r="AE74" s="265"/>
      <c r="AF74" s="265"/>
      <c r="AG74" s="265"/>
      <c r="AH74" s="265"/>
    </row>
    <row r="75" spans="1:34">
      <c r="T75" s="120"/>
      <c r="U75" s="399"/>
      <c r="V75" s="399"/>
      <c r="W75" s="399"/>
      <c r="X75" s="120"/>
      <c r="Y75" s="120"/>
      <c r="Z75" s="120"/>
      <c r="AA75" s="120"/>
      <c r="AB75" s="120"/>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399"/>
      <c r="V85" s="399"/>
      <c r="W85" s="399"/>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c r="U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row r="210" spans="20:20">
      <c r="T210" s="120"/>
    </row>
  </sheetData>
  <mergeCells count="147">
    <mergeCell ref="D4:H4"/>
    <mergeCell ref="C29:D30"/>
    <mergeCell ref="C26:D27"/>
    <mergeCell ref="C12:D12"/>
    <mergeCell ref="C21:D22"/>
    <mergeCell ref="C23:D24"/>
    <mergeCell ref="C31:D32"/>
    <mergeCell ref="C33:D33"/>
    <mergeCell ref="C34:D34"/>
    <mergeCell ref="C10:D10"/>
    <mergeCell ref="G23:H24"/>
    <mergeCell ref="G25:H25"/>
    <mergeCell ref="U40:AB40"/>
    <mergeCell ref="U41:AB41"/>
    <mergeCell ref="U42:AB42"/>
    <mergeCell ref="U43:AB43"/>
    <mergeCell ref="L49:R57"/>
    <mergeCell ref="C49:J57"/>
    <mergeCell ref="C5:D6"/>
    <mergeCell ref="C35:D35"/>
    <mergeCell ref="C36:D36"/>
    <mergeCell ref="C37:D37"/>
    <mergeCell ref="C38:D38"/>
    <mergeCell ref="C39:D39"/>
    <mergeCell ref="C40:D40"/>
    <mergeCell ref="C42:D42"/>
    <mergeCell ref="Q42:R42"/>
    <mergeCell ref="Q32:R32"/>
    <mergeCell ref="E33:F33"/>
    <mergeCell ref="G33:H33"/>
    <mergeCell ref="I33:J33"/>
    <mergeCell ref="K33:L33"/>
    <mergeCell ref="M33:N33"/>
    <mergeCell ref="O33:P33"/>
    <mergeCell ref="C8:D8"/>
    <mergeCell ref="C9:D9"/>
    <mergeCell ref="C11:D11"/>
    <mergeCell ref="Q23:R23"/>
    <mergeCell ref="Q24:R24"/>
    <mergeCell ref="Q26:R26"/>
    <mergeCell ref="Q27:R27"/>
    <mergeCell ref="I22:J22"/>
    <mergeCell ref="E42:F42"/>
    <mergeCell ref="I42:J42"/>
    <mergeCell ref="K42:L42"/>
    <mergeCell ref="M42:N42"/>
    <mergeCell ref="O42:P42"/>
    <mergeCell ref="E30:F30"/>
    <mergeCell ref="G30:H30"/>
    <mergeCell ref="I30:J30"/>
    <mergeCell ref="K30:L30"/>
    <mergeCell ref="M30:N30"/>
    <mergeCell ref="O30:P30"/>
    <mergeCell ref="Q33:R33"/>
    <mergeCell ref="O21:P21"/>
    <mergeCell ref="O22:P22"/>
    <mergeCell ref="O23:P23"/>
    <mergeCell ref="Q31:R31"/>
    <mergeCell ref="Q30:R30"/>
    <mergeCell ref="K21:L21"/>
    <mergeCell ref="E32:F32"/>
    <mergeCell ref="G32:H32"/>
    <mergeCell ref="I32:J32"/>
    <mergeCell ref="K32:L32"/>
    <mergeCell ref="M32:N32"/>
    <mergeCell ref="O32:P32"/>
    <mergeCell ref="E31:F31"/>
    <mergeCell ref="G31:H31"/>
    <mergeCell ref="I31:J31"/>
    <mergeCell ref="K31:L31"/>
    <mergeCell ref="M31:N31"/>
    <mergeCell ref="O31:P31"/>
    <mergeCell ref="K29:L29"/>
    <mergeCell ref="M29:N29"/>
    <mergeCell ref="O29:P29"/>
    <mergeCell ref="O5:P5"/>
    <mergeCell ref="O6:P6"/>
    <mergeCell ref="O24:P24"/>
    <mergeCell ref="O26:P26"/>
    <mergeCell ref="O27:P27"/>
    <mergeCell ref="A2:A44"/>
    <mergeCell ref="B2:S2"/>
    <mergeCell ref="I3:J3"/>
    <mergeCell ref="K3:L3"/>
    <mergeCell ref="M3:N3"/>
    <mergeCell ref="O3:P3"/>
    <mergeCell ref="Q3:R3"/>
    <mergeCell ref="G26:H26"/>
    <mergeCell ref="G27:H27"/>
    <mergeCell ref="E21:F21"/>
    <mergeCell ref="E22:F22"/>
    <mergeCell ref="E23:F23"/>
    <mergeCell ref="I23:J23"/>
    <mergeCell ref="E24:F24"/>
    <mergeCell ref="I24:J24"/>
    <mergeCell ref="I26:J26"/>
    <mergeCell ref="I27:J27"/>
    <mergeCell ref="G21:H22"/>
    <mergeCell ref="Q29:R29"/>
    <mergeCell ref="B1:S1"/>
    <mergeCell ref="B45:S45"/>
    <mergeCell ref="U3:AB10"/>
    <mergeCell ref="U11:AB18"/>
    <mergeCell ref="U19:AB34"/>
    <mergeCell ref="U35:AB35"/>
    <mergeCell ref="U36:AB36"/>
    <mergeCell ref="U37:AB37"/>
    <mergeCell ref="U38:AB38"/>
    <mergeCell ref="U39:AB39"/>
    <mergeCell ref="K22:L22"/>
    <mergeCell ref="K23:L23"/>
    <mergeCell ref="K24:L24"/>
    <mergeCell ref="K26:L26"/>
    <mergeCell ref="K27:L27"/>
    <mergeCell ref="G29:H29"/>
    <mergeCell ref="I21:J21"/>
    <mergeCell ref="I29:J29"/>
    <mergeCell ref="Q21:R21"/>
    <mergeCell ref="Q22:R22"/>
    <mergeCell ref="T2:T44"/>
    <mergeCell ref="B44:S44"/>
    <mergeCell ref="E26:F26"/>
    <mergeCell ref="E27:F27"/>
    <mergeCell ref="V2:AA2"/>
    <mergeCell ref="G6:H6"/>
    <mergeCell ref="Q5:R5"/>
    <mergeCell ref="Q6:R6"/>
    <mergeCell ref="E6:F6"/>
    <mergeCell ref="AD48:AH49"/>
    <mergeCell ref="V44:AA44"/>
    <mergeCell ref="W66:Z66"/>
    <mergeCell ref="V59:Z63"/>
    <mergeCell ref="M22:N22"/>
    <mergeCell ref="M23:N23"/>
    <mergeCell ref="M24:N24"/>
    <mergeCell ref="M26:N26"/>
    <mergeCell ref="M27:N27"/>
    <mergeCell ref="E29:F29"/>
    <mergeCell ref="M21:N21"/>
    <mergeCell ref="I6:J6"/>
    <mergeCell ref="I5:J5"/>
    <mergeCell ref="K5:L5"/>
    <mergeCell ref="K6:L6"/>
    <mergeCell ref="G5:H5"/>
    <mergeCell ref="E5:F5"/>
    <mergeCell ref="M5:N5"/>
    <mergeCell ref="M6:N6"/>
  </mergeCells>
  <phoneticPr fontId="146" type="noConversion"/>
  <conditionalFormatting sqref="G42:H42 M42:R42">
    <cfRule type="cellIs" dxfId="121" priority="7" operator="between">
      <formula>999999</formula>
      <formula>1000000000</formula>
    </cfRule>
  </conditionalFormatting>
  <conditionalFormatting sqref="Q4:R42">
    <cfRule type="expression" dxfId="120" priority="6">
      <formula>$W$56="FA5L1"</formula>
    </cfRule>
  </conditionalFormatting>
  <conditionalFormatting sqref="O4:P42">
    <cfRule type="expression" dxfId="119" priority="5">
      <formula>$W$55="FA4L1"</formula>
    </cfRule>
  </conditionalFormatting>
  <conditionalFormatting sqref="M4:N42">
    <cfRule type="expression" dxfId="118" priority="4">
      <formula>$W$54="FA3L1"</formula>
    </cfRule>
  </conditionalFormatting>
  <conditionalFormatting sqref="K4:L41">
    <cfRule type="expression" dxfId="117" priority="3">
      <formula>$W$53="FA2L1"</formula>
    </cfRule>
  </conditionalFormatting>
  <conditionalFormatting sqref="I5:J41">
    <cfRule type="expression" dxfId="116" priority="2">
      <formula>$W$52="FA1L1"</formula>
    </cfRule>
  </conditionalFormatting>
  <conditionalFormatting sqref="I4:J4">
    <cfRule type="expression" dxfId="115" priority="1">
      <formula>$W$52="FA1L1"</formula>
    </cfRule>
  </conditionalFormatting>
  <pageMargins left="0.25" right="0.25" top="1" bottom="1" header="0.3" footer="0.3"/>
  <pageSetup orientation="portrait" horizontalDpi="4294967292" verticalDpi="4294967292"/>
  <rowBreaks count="1" manualBreakCount="1">
    <brk id="43" max="16383" man="1"/>
  </rowBreaks>
  <colBreaks count="1" manualBreakCount="1">
    <brk id="28" max="1048575" man="1"/>
  </col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T58"/>
  <sheetViews>
    <sheetView workbookViewId="0">
      <selection sqref="A1:I2"/>
    </sheetView>
  </sheetViews>
  <sheetFormatPr defaultColWidth="8.83203125" defaultRowHeight="11.25"/>
  <cols>
    <col min="1" max="3" width="5.83203125" customWidth="1"/>
    <col min="4" max="4" width="12.6640625" customWidth="1"/>
    <col min="5" max="5" width="18.5" customWidth="1"/>
    <col min="6" max="6" width="17" customWidth="1"/>
    <col min="7" max="7" width="21.33203125" customWidth="1"/>
    <col min="8" max="8" width="12.83203125" customWidth="1"/>
    <col min="9" max="9" width="14" customWidth="1"/>
    <col min="10" max="10" width="33.5" customWidth="1"/>
    <col min="11" max="11" width="12.6640625" customWidth="1"/>
    <col min="12" max="12" width="19.5" customWidth="1"/>
    <col min="13" max="13" width="15" customWidth="1"/>
    <col min="14" max="14" width="14" customWidth="1"/>
    <col min="15" max="15" width="16.6640625" customWidth="1"/>
    <col min="16" max="16" width="10.83203125" customWidth="1"/>
    <col min="17" max="17" width="24.6640625" customWidth="1"/>
    <col min="18" max="18" width="27.5" customWidth="1"/>
    <col min="19" max="19" width="11" customWidth="1"/>
    <col min="20" max="20" width="11.83203125" customWidth="1"/>
    <col min="23" max="23" width="25.33203125" customWidth="1"/>
    <col min="25" max="25" width="13.33203125" customWidth="1"/>
    <col min="26" max="26" width="20" style="860" customWidth="1"/>
    <col min="27" max="28" width="12.33203125" customWidth="1"/>
    <col min="29" max="29" width="7.33203125" customWidth="1"/>
    <col min="30" max="30" width="26.6640625" customWidth="1"/>
  </cols>
  <sheetData>
    <row r="1" spans="1:43" s="3" customFormat="1" ht="25.5" customHeight="1" thickBot="1">
      <c r="A1" s="1963" t="s">
        <v>246</v>
      </c>
      <c r="B1" s="1963"/>
      <c r="C1" s="1963"/>
      <c r="D1" s="1963"/>
      <c r="E1" s="1963"/>
      <c r="F1" s="1963"/>
      <c r="G1" s="1963"/>
      <c r="H1" s="1963"/>
      <c r="I1" s="1963"/>
      <c r="J1" s="44"/>
      <c r="K1" s="44"/>
      <c r="L1" s="44"/>
      <c r="M1" s="44"/>
      <c r="N1" s="44"/>
      <c r="O1" s="44"/>
      <c r="P1" s="44"/>
      <c r="Q1" s="122"/>
      <c r="R1" s="44"/>
      <c r="S1" s="121"/>
      <c r="T1" s="44"/>
      <c r="U1" s="44"/>
      <c r="V1" s="44"/>
      <c r="W1" s="1935" t="s">
        <v>555</v>
      </c>
      <c r="X1" s="1935"/>
      <c r="Y1" s="1935"/>
      <c r="Z1" s="1935"/>
      <c r="AA1" s="1935"/>
      <c r="AB1" s="1935"/>
      <c r="AC1" s="1935"/>
      <c r="AD1" s="1935"/>
      <c r="AE1" s="44"/>
      <c r="AF1" s="44"/>
      <c r="AG1" s="44"/>
      <c r="AH1" s="44"/>
      <c r="AI1" s="44"/>
      <c r="AJ1" s="44"/>
      <c r="AK1" s="44"/>
      <c r="AL1" s="44"/>
      <c r="AM1" s="44"/>
      <c r="AN1" s="44"/>
      <c r="AO1" s="44"/>
      <c r="AP1" s="44"/>
      <c r="AQ1" s="44"/>
    </row>
    <row r="2" spans="1:43" s="3" customFormat="1" ht="15" customHeight="1" thickTop="1" thickBot="1">
      <c r="A2" s="1963"/>
      <c r="B2" s="1963"/>
      <c r="C2" s="1963"/>
      <c r="D2" s="1963"/>
      <c r="E2" s="1963"/>
      <c r="F2" s="1963"/>
      <c r="G2" s="1963"/>
      <c r="H2" s="1963"/>
      <c r="I2" s="1963"/>
      <c r="J2" s="79" t="s">
        <v>178</v>
      </c>
      <c r="K2" s="79" t="s">
        <v>12</v>
      </c>
      <c r="L2" s="837"/>
      <c r="M2" s="80"/>
      <c r="N2" s="79" t="s">
        <v>1</v>
      </c>
      <c r="O2" s="81"/>
      <c r="P2" s="838" t="s">
        <v>247</v>
      </c>
      <c r="Q2" s="83" t="s">
        <v>238</v>
      </c>
      <c r="R2" s="838" t="s">
        <v>3</v>
      </c>
      <c r="S2" s="838" t="s">
        <v>112</v>
      </c>
      <c r="T2" s="839" t="s">
        <v>287</v>
      </c>
      <c r="U2" s="44"/>
      <c r="V2" s="44"/>
      <c r="W2" s="950" t="s">
        <v>1</v>
      </c>
      <c r="X2" s="954"/>
      <c r="Y2" s="968" t="s">
        <v>247</v>
      </c>
      <c r="Z2" s="955" t="s">
        <v>238</v>
      </c>
      <c r="AA2" s="887" t="s">
        <v>3</v>
      </c>
      <c r="AB2" s="887" t="s">
        <v>112</v>
      </c>
      <c r="AC2" s="887" t="s">
        <v>287</v>
      </c>
      <c r="AD2" s="1273" t="s">
        <v>604</v>
      </c>
      <c r="AE2" s="44"/>
      <c r="AF2" s="44"/>
      <c r="AG2" s="44"/>
      <c r="AH2" s="44"/>
      <c r="AI2" s="44"/>
      <c r="AJ2" s="44"/>
      <c r="AK2" s="44"/>
      <c r="AL2" s="44"/>
      <c r="AM2" s="44"/>
      <c r="AN2" s="44"/>
      <c r="AO2" s="44"/>
      <c r="AP2" s="44"/>
      <c r="AQ2" s="44"/>
    </row>
    <row r="3" spans="1:43" s="3" customFormat="1" ht="15" customHeight="1" thickTop="1">
      <c r="A3" s="273"/>
      <c r="B3" s="382" t="s">
        <v>564</v>
      </c>
      <c r="C3" s="383"/>
      <c r="D3" s="383"/>
      <c r="E3" s="383"/>
      <c r="F3" s="383"/>
      <c r="G3" s="383"/>
      <c r="H3" s="930"/>
      <c r="I3" s="931"/>
      <c r="J3" s="72" t="s">
        <v>22</v>
      </c>
      <c r="K3" s="832" t="s">
        <v>13</v>
      </c>
      <c r="L3" s="1945" t="s">
        <v>19</v>
      </c>
      <c r="M3" s="1946"/>
      <c r="N3" s="1947" t="s">
        <v>409</v>
      </c>
      <c r="O3" s="1945"/>
      <c r="P3" s="85" t="str">
        <f>IF(AND(R8&gt;-0.005,R8&lt;0.005),"","CHECK!")</f>
        <v/>
      </c>
      <c r="Q3" s="65">
        <f>SUM(Q36:Q48)</f>
        <v>1557225</v>
      </c>
      <c r="R3" s="107"/>
      <c r="S3" s="107"/>
      <c r="T3" s="99"/>
      <c r="U3" s="44"/>
      <c r="V3" s="44"/>
      <c r="W3" s="1939" t="s">
        <v>409</v>
      </c>
      <c r="X3" s="1941"/>
      <c r="Y3" s="969" t="str">
        <f>IF(AND(AA3&gt;-0.005,AA3&lt;0.005),"","CHECK!")</f>
        <v/>
      </c>
      <c r="Z3" s="951">
        <f>Q3</f>
        <v>1557225</v>
      </c>
      <c r="AA3" s="957">
        <f>Z3-Z8-Z4</f>
        <v>0</v>
      </c>
      <c r="AB3" s="894" t="s">
        <v>670</v>
      </c>
      <c r="AC3" s="925"/>
      <c r="AD3" s="1274"/>
      <c r="AE3" s="44"/>
      <c r="AF3" s="44"/>
      <c r="AG3" s="44"/>
      <c r="AH3" s="44"/>
      <c r="AI3" s="44"/>
      <c r="AJ3" s="44"/>
      <c r="AK3" s="44"/>
      <c r="AL3" s="44"/>
      <c r="AM3" s="44"/>
      <c r="AN3" s="44"/>
      <c r="AO3" s="44"/>
      <c r="AP3" s="44"/>
      <c r="AQ3" s="44"/>
    </row>
    <row r="4" spans="1:43" s="3" customFormat="1" ht="15" customHeight="1">
      <c r="A4" s="273"/>
      <c r="B4" s="384" t="s">
        <v>302</v>
      </c>
      <c r="C4" s="1964" t="s">
        <v>573</v>
      </c>
      <c r="D4" s="1964"/>
      <c r="E4" s="1964"/>
      <c r="F4" s="1964"/>
      <c r="G4" s="1964"/>
      <c r="H4" s="1964"/>
      <c r="I4" s="1965"/>
      <c r="J4" s="72" t="s">
        <v>23</v>
      </c>
      <c r="K4" s="832" t="s">
        <v>182</v>
      </c>
      <c r="L4" s="1945" t="s">
        <v>20</v>
      </c>
      <c r="M4" s="1946"/>
      <c r="N4" s="1947" t="s">
        <v>410</v>
      </c>
      <c r="O4" s="1945"/>
      <c r="P4" s="85"/>
      <c r="Q4" s="65">
        <f>SUMIF($L$36:$L$48,"X",$Q$36:$Q$48)</f>
        <v>0</v>
      </c>
      <c r="R4" s="88"/>
      <c r="S4" s="88"/>
      <c r="T4" s="99"/>
      <c r="U4" s="44"/>
      <c r="V4" s="44"/>
      <c r="W4" s="1939" t="s">
        <v>410</v>
      </c>
      <c r="X4" s="1941"/>
      <c r="Y4" s="969"/>
      <c r="Z4" s="951">
        <f>Q4</f>
        <v>0</v>
      </c>
      <c r="AA4" s="956"/>
      <c r="AB4" s="894"/>
      <c r="AC4" s="886"/>
      <c r="AD4" s="1274"/>
      <c r="AE4" s="44"/>
      <c r="AF4" s="44"/>
      <c r="AG4" s="44"/>
      <c r="AH4" s="44"/>
      <c r="AI4" s="44"/>
      <c r="AJ4" s="44"/>
      <c r="AK4" s="44"/>
      <c r="AL4" s="44"/>
      <c r="AM4" s="44"/>
      <c r="AN4" s="44"/>
      <c r="AO4" s="44"/>
      <c r="AP4" s="44"/>
      <c r="AQ4" s="44"/>
    </row>
    <row r="5" spans="1:43" s="3" customFormat="1" ht="15" customHeight="1">
      <c r="A5" s="273"/>
      <c r="B5" s="384" t="s">
        <v>302</v>
      </c>
      <c r="C5" s="1964" t="s">
        <v>563</v>
      </c>
      <c r="D5" s="1964"/>
      <c r="E5" s="1964"/>
      <c r="F5" s="1964"/>
      <c r="G5" s="1964"/>
      <c r="H5" s="1964"/>
      <c r="I5" s="1965"/>
      <c r="J5" s="72" t="s">
        <v>24</v>
      </c>
      <c r="K5" s="832" t="s">
        <v>183</v>
      </c>
      <c r="L5" s="1945" t="s">
        <v>165</v>
      </c>
      <c r="M5" s="1946"/>
      <c r="N5" s="1947" t="s">
        <v>324</v>
      </c>
      <c r="O5" s="1945"/>
      <c r="P5" s="85"/>
      <c r="Q5" s="66">
        <f>Q3-Q4</f>
        <v>1557225</v>
      </c>
      <c r="R5" s="88"/>
      <c r="S5" s="88"/>
      <c r="T5" s="99" t="s">
        <v>249</v>
      </c>
      <c r="U5" s="44"/>
      <c r="V5" s="44"/>
      <c r="W5" s="1939" t="s">
        <v>324</v>
      </c>
      <c r="X5" s="1941"/>
      <c r="Y5" s="969"/>
      <c r="Z5" s="951">
        <f>Q5</f>
        <v>1557225</v>
      </c>
      <c r="AA5" s="956"/>
      <c r="AB5" s="894"/>
      <c r="AC5" s="886" t="s">
        <v>249</v>
      </c>
      <c r="AD5" s="1274"/>
      <c r="AE5" s="44"/>
      <c r="AF5" s="44"/>
      <c r="AG5" s="44"/>
      <c r="AH5" s="44"/>
      <c r="AI5" s="44"/>
      <c r="AJ5" s="44"/>
      <c r="AK5" s="44"/>
      <c r="AL5" s="44"/>
      <c r="AM5" s="44"/>
      <c r="AN5" s="44"/>
      <c r="AO5" s="44"/>
      <c r="AP5" s="44"/>
      <c r="AQ5" s="44"/>
    </row>
    <row r="6" spans="1:43" s="3" customFormat="1" ht="15" customHeight="1">
      <c r="A6" s="273"/>
      <c r="B6" s="384" t="s">
        <v>302</v>
      </c>
      <c r="C6" s="1964" t="s">
        <v>303</v>
      </c>
      <c r="D6" s="1964"/>
      <c r="E6" s="1964"/>
      <c r="F6" s="1964"/>
      <c r="G6" s="1964"/>
      <c r="H6" s="1964"/>
      <c r="I6" s="1965"/>
      <c r="J6" s="72" t="s">
        <v>25</v>
      </c>
      <c r="K6" s="832" t="s">
        <v>184</v>
      </c>
      <c r="L6" s="1945" t="s">
        <v>167</v>
      </c>
      <c r="M6" s="1946"/>
      <c r="N6" s="1947" t="s">
        <v>373</v>
      </c>
      <c r="O6" s="1948"/>
      <c r="P6" s="84"/>
      <c r="Q6" s="66">
        <f>SUMIFS($Q$36:$Q$48,$P$36:$P$48,"D",$L$36:$L$48,"I")</f>
        <v>1534300</v>
      </c>
      <c r="R6" s="88"/>
      <c r="S6" s="88"/>
      <c r="T6" s="99" t="s">
        <v>250</v>
      </c>
      <c r="U6" s="44"/>
      <c r="V6" s="44"/>
      <c r="W6" s="1939" t="s">
        <v>373</v>
      </c>
      <c r="X6" s="1944"/>
      <c r="Y6" s="969" t="str">
        <f>IF(AND(AA6&gt;-0.005,AA6&lt;0.005),"","CHECK!")</f>
        <v/>
      </c>
      <c r="Z6" s="951">
        <f>Q6+SUMIFS($Q$36:$Q$48,$R$36:$R$48,"Y",$P$36:$P$48,"C",$L$36:$L$48,"I")</f>
        <v>1534300</v>
      </c>
      <c r="AA6" s="956">
        <f>Z6-'ENR#-DSUM-CONV'!B13</f>
        <v>0</v>
      </c>
      <c r="AB6" s="894" t="s">
        <v>300</v>
      </c>
      <c r="AC6" s="886" t="s">
        <v>250</v>
      </c>
      <c r="AD6" s="1274"/>
      <c r="AE6" s="44"/>
      <c r="AF6" s="44"/>
      <c r="AG6" s="44"/>
      <c r="AH6" s="44"/>
      <c r="AI6" s="44"/>
      <c r="AJ6" s="44"/>
      <c r="AK6" s="44"/>
      <c r="AL6" s="44"/>
      <c r="AM6" s="44"/>
      <c r="AN6" s="44"/>
      <c r="AO6" s="44"/>
      <c r="AP6" s="44"/>
      <c r="AQ6" s="44"/>
    </row>
    <row r="7" spans="1:43" s="3" customFormat="1" ht="15" customHeight="1">
      <c r="A7" s="273"/>
      <c r="B7" s="384" t="s">
        <v>302</v>
      </c>
      <c r="C7" s="1964" t="s">
        <v>570</v>
      </c>
      <c r="D7" s="1964"/>
      <c r="E7" s="1964"/>
      <c r="F7" s="1964"/>
      <c r="G7" s="1964"/>
      <c r="H7" s="1964"/>
      <c r="I7" s="1965"/>
      <c r="J7" s="72" t="s">
        <v>201</v>
      </c>
      <c r="K7" s="832" t="s">
        <v>14</v>
      </c>
      <c r="L7" s="1945" t="s">
        <v>21</v>
      </c>
      <c r="M7" s="1946"/>
      <c r="N7" s="1947" t="s">
        <v>374</v>
      </c>
      <c r="O7" s="1948"/>
      <c r="P7" s="84"/>
      <c r="Q7" s="66">
        <f>SUMIFS($Q$36:$Q$48,$P$36:$P$48,"C",$L$36:$L$48,"I")</f>
        <v>22925</v>
      </c>
      <c r="R7" s="88"/>
      <c r="S7" s="88"/>
      <c r="T7" s="99" t="s">
        <v>251</v>
      </c>
      <c r="U7" s="44"/>
      <c r="V7" s="44"/>
      <c r="W7" s="1939" t="s">
        <v>374</v>
      </c>
      <c r="X7" s="1944"/>
      <c r="Y7" s="969" t="str">
        <f>IF(AND(AA7&gt;-0.005,AA7&lt;0.005),"","CHECK!")</f>
        <v/>
      </c>
      <c r="Z7" s="951">
        <f>Q7-SUMIFS($Q$36:$Q$48,$R$36:$R$48,"Y",$P$36:$P$48,"C",$L$36:$L$48,"I")</f>
        <v>22925</v>
      </c>
      <c r="AA7" s="956">
        <f>Z7-'ENR#-DSUM-CONV'!B23</f>
        <v>0</v>
      </c>
      <c r="AB7" s="894" t="s">
        <v>300</v>
      </c>
      <c r="AC7" s="886" t="s">
        <v>251</v>
      </c>
      <c r="AD7" s="1274"/>
      <c r="AE7" s="44"/>
      <c r="AF7" s="44"/>
      <c r="AG7" s="44"/>
      <c r="AH7" s="44"/>
      <c r="AI7" s="44"/>
      <c r="AJ7" s="44"/>
      <c r="AK7" s="44"/>
      <c r="AL7" s="44"/>
      <c r="AM7" s="44"/>
      <c r="AN7" s="44"/>
      <c r="AO7" s="44"/>
      <c r="AP7" s="44"/>
      <c r="AQ7" s="44"/>
    </row>
    <row r="8" spans="1:43" s="3" customFormat="1" ht="15" customHeight="1" thickBot="1">
      <c r="A8" s="273"/>
      <c r="B8" s="384" t="s">
        <v>302</v>
      </c>
      <c r="C8" s="1964" t="s">
        <v>565</v>
      </c>
      <c r="D8" s="1964"/>
      <c r="E8" s="1964"/>
      <c r="F8" s="1964"/>
      <c r="G8" s="1964"/>
      <c r="H8" s="1964"/>
      <c r="I8" s="1965"/>
      <c r="J8" s="72" t="s">
        <v>26</v>
      </c>
      <c r="K8" s="832" t="s">
        <v>15</v>
      </c>
      <c r="L8" s="1945" t="s">
        <v>144</v>
      </c>
      <c r="M8" s="1946"/>
      <c r="N8" s="1947" t="s">
        <v>274</v>
      </c>
      <c r="O8" s="1948"/>
      <c r="P8" s="85" t="str">
        <f>IF(AND(R8&gt;-0.005,R8&lt;0.005),"","CHECK!")</f>
        <v/>
      </c>
      <c r="Q8" s="67">
        <f>Q6+Q7</f>
        <v>1557225</v>
      </c>
      <c r="R8" s="851">
        <f>Q5-Q8</f>
        <v>0</v>
      </c>
      <c r="S8" s="88" t="s">
        <v>114</v>
      </c>
      <c r="T8" s="99" t="s">
        <v>252</v>
      </c>
      <c r="U8" s="44"/>
      <c r="V8" s="44"/>
      <c r="W8" s="1939" t="s">
        <v>274</v>
      </c>
      <c r="X8" s="1944"/>
      <c r="Y8" s="969" t="str">
        <f>IF(AND(AA8&gt;-0.005,AA8&lt;0.005),"","CHECK!")</f>
        <v/>
      </c>
      <c r="Z8" s="951">
        <f>Z6+Z7</f>
        <v>1557225</v>
      </c>
      <c r="AA8" s="956">
        <f>Z5-Z8</f>
        <v>0</v>
      </c>
      <c r="AB8" s="894" t="s">
        <v>114</v>
      </c>
      <c r="AC8" s="886" t="s">
        <v>252</v>
      </c>
      <c r="AD8" s="1274"/>
      <c r="AE8" s="44"/>
      <c r="AF8" s="44"/>
      <c r="AG8" s="44"/>
      <c r="AH8" s="44"/>
      <c r="AI8" s="44"/>
      <c r="AJ8" s="44"/>
      <c r="AK8" s="44"/>
      <c r="AL8" s="44"/>
      <c r="AM8" s="44"/>
      <c r="AN8" s="44"/>
      <c r="AO8" s="44"/>
      <c r="AP8" s="44"/>
      <c r="AQ8" s="44"/>
    </row>
    <row r="9" spans="1:43" s="3" customFormat="1" ht="15" customHeight="1" thickTop="1" thickBot="1">
      <c r="A9" s="273"/>
      <c r="B9" s="384" t="s">
        <v>302</v>
      </c>
      <c r="C9" s="1964" t="s">
        <v>569</v>
      </c>
      <c r="D9" s="1964"/>
      <c r="E9" s="1964"/>
      <c r="F9" s="1964"/>
      <c r="G9" s="1964"/>
      <c r="H9" s="1964"/>
      <c r="I9" s="1965"/>
      <c r="J9" s="77"/>
      <c r="K9" s="832" t="s">
        <v>158</v>
      </c>
      <c r="L9" s="1949" t="s">
        <v>43</v>
      </c>
      <c r="M9" s="1950"/>
      <c r="N9" s="1947" t="s">
        <v>275</v>
      </c>
      <c r="O9" s="1945"/>
      <c r="P9" s="84"/>
      <c r="Q9" s="66">
        <f>SUMIFS($Q$36:$Q$48,$O$36:$O$48,"FA1",$P$36:$P$48,"D",$L$36:$L$48,"I")</f>
        <v>85844</v>
      </c>
      <c r="R9" s="851"/>
      <c r="S9" s="88"/>
      <c r="T9" s="99" t="s">
        <v>253</v>
      </c>
      <c r="U9" s="44"/>
      <c r="V9" s="44"/>
      <c r="W9" s="1891" t="s">
        <v>275</v>
      </c>
      <c r="X9" s="1892"/>
      <c r="Y9" s="969" t="str">
        <f t="shared" ref="Y9:Y27" si="0">IF(AND(AA9&gt;-0.005,AA9&lt;0.005),"","CHECK!")</f>
        <v/>
      </c>
      <c r="Z9" s="952">
        <f>Q9+SUMIFS($Q$36:$Q$48,$R$36:$R$48,"Y",$O$36:$O$48,"FA1",$P$36:$P$48,"C",$L$36:$L$48,"I")</f>
        <v>85844</v>
      </c>
      <c r="AA9" s="957">
        <f>Z9-'ENR#-DSUM-CONV'!B33</f>
        <v>0</v>
      </c>
      <c r="AB9" s="898"/>
      <c r="AC9" s="925" t="s">
        <v>253</v>
      </c>
      <c r="AD9" s="1275"/>
      <c r="AE9" s="44"/>
      <c r="AF9" s="44"/>
      <c r="AG9" s="44"/>
      <c r="AH9" s="44"/>
      <c r="AI9" s="44"/>
      <c r="AJ9" s="44"/>
      <c r="AK9" s="44"/>
      <c r="AL9" s="44"/>
      <c r="AM9" s="44"/>
      <c r="AN9" s="44"/>
      <c r="AO9" s="44"/>
      <c r="AP9" s="44"/>
      <c r="AQ9" s="44"/>
    </row>
    <row r="10" spans="1:43" s="3" customFormat="1" ht="15" customHeight="1" thickTop="1" thickBot="1">
      <c r="A10" s="273"/>
      <c r="B10" s="384" t="s">
        <v>302</v>
      </c>
      <c r="C10" s="1964" t="s">
        <v>304</v>
      </c>
      <c r="D10" s="1964"/>
      <c r="E10" s="1964"/>
      <c r="F10" s="1964"/>
      <c r="G10" s="1964"/>
      <c r="H10" s="1964"/>
      <c r="I10" s="1965"/>
      <c r="J10" s="378" t="s">
        <v>369</v>
      </c>
      <c r="K10" s="832" t="s">
        <v>159</v>
      </c>
      <c r="L10" s="1949" t="s">
        <v>44</v>
      </c>
      <c r="M10" s="1950"/>
      <c r="N10" s="1947" t="s">
        <v>276</v>
      </c>
      <c r="O10" s="1945"/>
      <c r="P10" s="84"/>
      <c r="Q10" s="66">
        <f>SUMIFS($Q$36:$Q$48,$O$36:$O$48,"FA1",$P$36:$P$48,"C",$L$36:$L$48,"I")</f>
        <v>3358</v>
      </c>
      <c r="R10" s="851"/>
      <c r="S10" s="88"/>
      <c r="T10" s="99" t="s">
        <v>254</v>
      </c>
      <c r="U10" s="44"/>
      <c r="V10" s="44"/>
      <c r="W10" s="1936" t="s">
        <v>276</v>
      </c>
      <c r="X10" s="1943"/>
      <c r="Y10" s="969" t="str">
        <f t="shared" si="0"/>
        <v/>
      </c>
      <c r="Z10" s="953">
        <f>Q10-SUMIFS($Q$36:$Q$48,$R$36:$R$48,"Y",$O$36:$O$48,"FA1",$P$36:$P$48,"C",$L$36:$L$48,"I")</f>
        <v>3358</v>
      </c>
      <c r="AA10" s="958">
        <f>Z10-'ENR#-DSUM-CONV'!B43</f>
        <v>0</v>
      </c>
      <c r="AB10" s="927"/>
      <c r="AC10" s="892" t="s">
        <v>254</v>
      </c>
      <c r="AD10" s="1279">
        <f>'ENR#-DSUM-CONV'!B183</f>
        <v>0</v>
      </c>
      <c r="AE10" s="44"/>
      <c r="AF10" s="44"/>
      <c r="AG10" s="44"/>
      <c r="AH10" s="44"/>
      <c r="AI10" s="44"/>
      <c r="AJ10" s="44"/>
      <c r="AK10" s="44"/>
      <c r="AL10" s="44"/>
      <c r="AM10" s="44"/>
      <c r="AN10" s="44"/>
      <c r="AO10" s="44"/>
      <c r="AP10" s="44"/>
      <c r="AQ10" s="44"/>
    </row>
    <row r="11" spans="1:43" s="3" customFormat="1" ht="15" customHeight="1" thickTop="1">
      <c r="A11" s="273"/>
      <c r="B11" s="384" t="s">
        <v>302</v>
      </c>
      <c r="C11" s="1964" t="s">
        <v>572</v>
      </c>
      <c r="D11" s="1964"/>
      <c r="E11" s="1964"/>
      <c r="F11" s="1964"/>
      <c r="G11" s="1964"/>
      <c r="H11" s="1964"/>
      <c r="I11" s="1965"/>
      <c r="J11" s="374" t="s">
        <v>811</v>
      </c>
      <c r="K11" s="832" t="s">
        <v>160</v>
      </c>
      <c r="L11" s="1949" t="s">
        <v>45</v>
      </c>
      <c r="M11" s="1950"/>
      <c r="N11" s="1947" t="s">
        <v>277</v>
      </c>
      <c r="O11" s="1945"/>
      <c r="P11" s="84"/>
      <c r="Q11" s="66">
        <f>SUMIFS($Q$36:$Q$48,$O$36:$O$48,"FA2",$P$36:$P$48,"D",$L$36:$L$48,"I")</f>
        <v>44738</v>
      </c>
      <c r="R11" s="851"/>
      <c r="S11" s="88"/>
      <c r="T11" s="99" t="s">
        <v>255</v>
      </c>
      <c r="U11" s="123"/>
      <c r="V11" s="44"/>
      <c r="W11" s="1891" t="s">
        <v>277</v>
      </c>
      <c r="X11" s="1892"/>
      <c r="Y11" s="969" t="str">
        <f t="shared" si="0"/>
        <v/>
      </c>
      <c r="Z11" s="952">
        <f>Q11+SUMIFS($Q$36:$Q$48,$R$36:$R$48,"Y",$O$36:$O$48,"FA2",$P$36:$P$48,"C",$L$36:$L$48,"I")</f>
        <v>44738</v>
      </c>
      <c r="AA11" s="957">
        <f>Z11-'ENR#-DSUM-CONV'!B53</f>
        <v>0</v>
      </c>
      <c r="AB11" s="898"/>
      <c r="AC11" s="925" t="s">
        <v>255</v>
      </c>
      <c r="AD11" s="1280"/>
      <c r="AE11" s="44"/>
      <c r="AF11" s="44"/>
      <c r="AG11" s="44"/>
      <c r="AH11" s="44"/>
      <c r="AI11" s="44"/>
      <c r="AJ11" s="44"/>
      <c r="AK11" s="44"/>
      <c r="AL11" s="44"/>
      <c r="AM11" s="44"/>
      <c r="AN11" s="44"/>
      <c r="AO11" s="44"/>
      <c r="AP11" s="44"/>
      <c r="AQ11" s="44"/>
    </row>
    <row r="12" spans="1:43" s="3" customFormat="1" ht="15" customHeight="1" thickBot="1">
      <c r="A12" s="273"/>
      <c r="B12" s="384"/>
      <c r="C12" s="1964" t="s">
        <v>571</v>
      </c>
      <c r="D12" s="1964"/>
      <c r="E12" s="1964"/>
      <c r="F12" s="1964"/>
      <c r="G12" s="1964"/>
      <c r="H12" s="1964"/>
      <c r="I12" s="1965"/>
      <c r="J12" s="374" t="str">
        <f>'FIG3'!W52</f>
        <v>Fulton County</v>
      </c>
      <c r="K12" s="832" t="s">
        <v>16</v>
      </c>
      <c r="L12" s="1949" t="s">
        <v>27</v>
      </c>
      <c r="M12" s="1950"/>
      <c r="N12" s="1947" t="s">
        <v>278</v>
      </c>
      <c r="O12" s="1945"/>
      <c r="P12" s="84"/>
      <c r="Q12" s="66">
        <f>SUMIFS($Q$36:$Q$48,$O$36:$O$48,"FA2",$P$36:$P$48,"C",$L$36:$L$48,"I")</f>
        <v>4291</v>
      </c>
      <c r="R12" s="851"/>
      <c r="S12" s="88"/>
      <c r="T12" s="99" t="s">
        <v>256</v>
      </c>
      <c r="U12" s="123"/>
      <c r="V12" s="44"/>
      <c r="W12" s="1936" t="s">
        <v>278</v>
      </c>
      <c r="X12" s="1943"/>
      <c r="Y12" s="969" t="str">
        <f t="shared" si="0"/>
        <v/>
      </c>
      <c r="Z12" s="953">
        <f>Q12-SUMIFS($Q$36:$Q$48,$R$36:$R$48,"Y",$O$36:$O$48,"FA2",$P$36:$P$48,"C",$L$36:$L$48,"I")</f>
        <v>4291</v>
      </c>
      <c r="AA12" s="958">
        <f>Z12-'ENR#-DSUM-CONV'!B63</f>
        <v>0</v>
      </c>
      <c r="AB12" s="927"/>
      <c r="AC12" s="892" t="s">
        <v>256</v>
      </c>
      <c r="AD12" s="1279">
        <f>'ENR#-DSUM-CONV'!B193</f>
        <v>0</v>
      </c>
      <c r="AE12" s="44"/>
      <c r="AF12" s="44"/>
      <c r="AG12" s="44"/>
      <c r="AH12" s="44"/>
      <c r="AI12" s="44"/>
      <c r="AJ12" s="44"/>
      <c r="AK12" s="44"/>
      <c r="AL12" s="44"/>
      <c r="AM12" s="44"/>
      <c r="AN12" s="44"/>
      <c r="AO12" s="44"/>
      <c r="AP12" s="44"/>
      <c r="AQ12" s="44"/>
    </row>
    <row r="13" spans="1:43" s="3" customFormat="1" ht="15" customHeight="1" thickTop="1" thickBot="1">
      <c r="A13" s="273"/>
      <c r="B13" s="384" t="s">
        <v>302</v>
      </c>
      <c r="C13" s="1964" t="s">
        <v>566</v>
      </c>
      <c r="D13" s="1964"/>
      <c r="E13" s="1964"/>
      <c r="F13" s="1964"/>
      <c r="G13" s="1964"/>
      <c r="H13" s="1964"/>
      <c r="I13" s="1965"/>
      <c r="J13" s="379" t="str">
        <f>'FIG3'!X52</f>
        <v>District</v>
      </c>
      <c r="K13" s="832" t="s">
        <v>17</v>
      </c>
      <c r="L13" s="1949" t="s">
        <v>28</v>
      </c>
      <c r="M13" s="1950"/>
      <c r="N13" s="1947" t="s">
        <v>279</v>
      </c>
      <c r="O13" s="1945"/>
      <c r="P13" s="84"/>
      <c r="Q13" s="66">
        <f>SUMIFS($Q$36:$Q$48,$O$36:$O$48,"FA3",$P$36:$P$48,"D",$L$36:$L$48,"I")</f>
        <v>0</v>
      </c>
      <c r="R13" s="851"/>
      <c r="S13" s="88"/>
      <c r="T13" s="99" t="s">
        <v>257</v>
      </c>
      <c r="U13" s="124"/>
      <c r="V13" s="44"/>
      <c r="W13" s="1891" t="s">
        <v>279</v>
      </c>
      <c r="X13" s="1892"/>
      <c r="Y13" s="969" t="str">
        <f t="shared" si="0"/>
        <v/>
      </c>
      <c r="Z13" s="952">
        <f>Q13+SUMIFS($Q$36:$Q$48,$R$36:$R$48,"Y",$O$36:$O$48,"FA3",$P$36:$P$48,"C",$L$36:$L$48,"I")</f>
        <v>0</v>
      </c>
      <c r="AA13" s="957">
        <f>'ENR#-DSUM-CONV'!B73</f>
        <v>0</v>
      </c>
      <c r="AB13" s="898"/>
      <c r="AC13" s="925" t="s">
        <v>257</v>
      </c>
      <c r="AD13" s="1280"/>
      <c r="AE13" s="44"/>
      <c r="AF13" s="44"/>
      <c r="AG13" s="44"/>
      <c r="AH13" s="44"/>
      <c r="AI13" s="44"/>
      <c r="AJ13" s="44"/>
      <c r="AK13" s="44"/>
      <c r="AL13" s="44"/>
      <c r="AM13" s="44"/>
      <c r="AN13" s="44"/>
      <c r="AO13" s="44"/>
      <c r="AP13" s="44"/>
      <c r="AQ13" s="44"/>
    </row>
    <row r="14" spans="1:43" s="3" customFormat="1" ht="15" customHeight="1" thickBot="1">
      <c r="A14" s="273"/>
      <c r="B14" s="384" t="s">
        <v>302</v>
      </c>
      <c r="C14" s="1964" t="s">
        <v>558</v>
      </c>
      <c r="D14" s="1964"/>
      <c r="E14" s="1964"/>
      <c r="F14" s="1964"/>
      <c r="G14" s="1964"/>
      <c r="H14" s="1964"/>
      <c r="I14" s="1965"/>
      <c r="J14" s="374" t="s">
        <v>1836</v>
      </c>
      <c r="K14" s="832" t="s">
        <v>18</v>
      </c>
      <c r="L14" s="1949" t="s">
        <v>29</v>
      </c>
      <c r="M14" s="1950"/>
      <c r="N14" s="1947" t="s">
        <v>280</v>
      </c>
      <c r="O14" s="1945"/>
      <c r="P14" s="84"/>
      <c r="Q14" s="66">
        <f>SUMIFS($Q$36:$Q$48,$O$36:$O$48,"FA3",$P$36:$P$48,"C",$L$36:$L$48,"I")</f>
        <v>0</v>
      </c>
      <c r="R14" s="851"/>
      <c r="S14" s="88"/>
      <c r="T14" s="99" t="s">
        <v>258</v>
      </c>
      <c r="U14" s="125"/>
      <c r="V14" s="44"/>
      <c r="W14" s="1936" t="s">
        <v>280</v>
      </c>
      <c r="X14" s="1943"/>
      <c r="Y14" s="969" t="str">
        <f t="shared" si="0"/>
        <v/>
      </c>
      <c r="Z14" s="953">
        <f>Q14-SUMIFS($Q$36:$Q$48,$R$36:$R$48,"Y",$O$36:$O$48,"FA3",$P$36:$P$48,"C",$L$36:$L$48,"I")</f>
        <v>0</v>
      </c>
      <c r="AA14" s="958">
        <f>Z14-'ENR#-DSUM-CONV'!B83</f>
        <v>0</v>
      </c>
      <c r="AB14" s="927"/>
      <c r="AC14" s="892" t="s">
        <v>258</v>
      </c>
      <c r="AD14" s="1279">
        <f>'ENR#-DSUM-CONV'!B203</f>
        <v>0</v>
      </c>
      <c r="AE14" s="44"/>
      <c r="AF14" s="44"/>
      <c r="AG14" s="44"/>
      <c r="AH14" s="44"/>
      <c r="AI14" s="44"/>
      <c r="AJ14" s="44"/>
      <c r="AK14" s="44"/>
      <c r="AL14" s="44"/>
      <c r="AM14" s="44"/>
      <c r="AN14" s="44"/>
      <c r="AO14" s="44"/>
      <c r="AP14" s="44"/>
      <c r="AQ14" s="44"/>
    </row>
    <row r="15" spans="1:43" s="3" customFormat="1" ht="15" customHeight="1" thickTop="1">
      <c r="A15" s="273"/>
      <c r="B15" s="385"/>
      <c r="C15" s="1964" t="s">
        <v>559</v>
      </c>
      <c r="D15" s="1964"/>
      <c r="E15" s="1964"/>
      <c r="F15" s="1964"/>
      <c r="G15" s="1964"/>
      <c r="H15" s="1964"/>
      <c r="I15" s="1965"/>
      <c r="J15" s="374" t="str">
        <f>'FIG3'!W53</f>
        <v>Atlanta Public</v>
      </c>
      <c r="K15" s="832" t="s">
        <v>40</v>
      </c>
      <c r="L15" s="1949" t="s">
        <v>56</v>
      </c>
      <c r="M15" s="1950"/>
      <c r="N15" s="1947" t="s">
        <v>281</v>
      </c>
      <c r="O15" s="1945"/>
      <c r="P15" s="84"/>
      <c r="Q15" s="66">
        <f>SUMIFS($Q$36:$Q$48,$O$36:$O$48,"FA4",$P$36:$P$48,"D",$L$36:$L$48,"I")</f>
        <v>0</v>
      </c>
      <c r="R15" s="851"/>
      <c r="S15" s="88"/>
      <c r="T15" s="99" t="s">
        <v>259</v>
      </c>
      <c r="U15" s="125"/>
      <c r="V15" s="44"/>
      <c r="W15" s="1891" t="s">
        <v>281</v>
      </c>
      <c r="X15" s="1892"/>
      <c r="Y15" s="969" t="str">
        <f t="shared" si="0"/>
        <v/>
      </c>
      <c r="Z15" s="952">
        <f>Q15+SUMIFS($Q$36:$Q$48,$R$36:$R$48,"Y",$O$36:$O$48,"FA4",$P$36:$P$48,"C",$L$36:$L$48,"I")</f>
        <v>0</v>
      </c>
      <c r="AA15" s="957">
        <f>Z15-'ENR#-DSUM-CONV'!B93</f>
        <v>0</v>
      </c>
      <c r="AB15" s="898"/>
      <c r="AC15" s="925" t="s">
        <v>259</v>
      </c>
      <c r="AD15" s="1280"/>
      <c r="AE15" s="44"/>
      <c r="AF15" s="44"/>
      <c r="AG15" s="44"/>
      <c r="AH15" s="44"/>
      <c r="AI15" s="44"/>
      <c r="AJ15" s="44"/>
      <c r="AK15" s="44"/>
      <c r="AL15" s="44"/>
      <c r="AM15" s="44"/>
      <c r="AN15" s="44"/>
      <c r="AO15" s="44"/>
      <c r="AP15" s="44"/>
      <c r="AQ15" s="44"/>
    </row>
    <row r="16" spans="1:43" s="3" customFormat="1" ht="15" customHeight="1" thickBot="1">
      <c r="A16" s="273"/>
      <c r="B16" s="386"/>
      <c r="C16" s="1964" t="s">
        <v>560</v>
      </c>
      <c r="D16" s="1964"/>
      <c r="E16" s="1964"/>
      <c r="F16" s="1964"/>
      <c r="G16" s="1964"/>
      <c r="H16" s="1964"/>
      <c r="I16" s="1965"/>
      <c r="J16" s="379" t="str">
        <f>'FIG3'!X53</f>
        <v>Schools</v>
      </c>
      <c r="K16" s="832" t="s">
        <v>46</v>
      </c>
      <c r="L16" s="1949" t="s">
        <v>57</v>
      </c>
      <c r="M16" s="1950"/>
      <c r="N16" s="1947" t="s">
        <v>282</v>
      </c>
      <c r="O16" s="1945"/>
      <c r="P16" s="84"/>
      <c r="Q16" s="66">
        <f>SUMIFS($Q$36:$Q$48,$O$36:$O$48,"FA4",$P$36:$P$48,"C",$L$36:$L$48,"I")</f>
        <v>0</v>
      </c>
      <c r="R16" s="851"/>
      <c r="S16" s="88"/>
      <c r="T16" s="99" t="s">
        <v>260</v>
      </c>
      <c r="U16" s="124"/>
      <c r="V16" s="44"/>
      <c r="W16" s="1936" t="s">
        <v>282</v>
      </c>
      <c r="X16" s="1943"/>
      <c r="Y16" s="969" t="str">
        <f t="shared" si="0"/>
        <v/>
      </c>
      <c r="Z16" s="953">
        <f>Q16-SUMIFS($Q$36:$Q$48,$R$36:$R$48,"Y",$O$36:$O$48,"FA4",$P$36:$P$48,"C",$L$36:$L$48,"I")</f>
        <v>0</v>
      </c>
      <c r="AA16" s="958">
        <f>Z16-'ENR#-DSUM-CONV'!B103</f>
        <v>0</v>
      </c>
      <c r="AB16" s="927"/>
      <c r="AC16" s="892" t="s">
        <v>260</v>
      </c>
      <c r="AD16" s="1279">
        <f>'ENR#-DSUM-CONV'!B213</f>
        <v>0</v>
      </c>
      <c r="AE16" s="44"/>
      <c r="AF16" s="44"/>
      <c r="AG16" s="44"/>
      <c r="AH16" s="44"/>
      <c r="AI16" s="44"/>
      <c r="AJ16" s="44"/>
      <c r="AK16" s="44"/>
      <c r="AL16" s="44"/>
      <c r="AM16" s="44"/>
      <c r="AN16" s="44"/>
      <c r="AO16" s="44"/>
      <c r="AP16" s="44"/>
      <c r="AQ16" s="44"/>
    </row>
    <row r="17" spans="1:43" s="3" customFormat="1" ht="15" customHeight="1" thickTop="1">
      <c r="A17" s="273"/>
      <c r="B17" s="384"/>
      <c r="C17" s="1966"/>
      <c r="D17" s="1966"/>
      <c r="E17" s="1966"/>
      <c r="F17" s="1966"/>
      <c r="G17" s="1966"/>
      <c r="H17" s="1966"/>
      <c r="I17" s="1967"/>
      <c r="J17" s="374" t="str">
        <f>'FIG3'!V54</f>
        <v>FA3</v>
      </c>
      <c r="K17" s="832" t="s">
        <v>47</v>
      </c>
      <c r="L17" s="1949" t="s">
        <v>58</v>
      </c>
      <c r="M17" s="1950"/>
      <c r="N17" s="1947" t="s">
        <v>283</v>
      </c>
      <c r="O17" s="1945"/>
      <c r="P17" s="84"/>
      <c r="Q17" s="66">
        <f>SUMIFS($Q$36:$Q$48,$O$36:$O$48,"FA5",$P$36:$P$48,"D",$L$36:$L$48,"I")</f>
        <v>0</v>
      </c>
      <c r="R17" s="851"/>
      <c r="S17" s="88"/>
      <c r="T17" s="99" t="s">
        <v>261</v>
      </c>
      <c r="U17" s="124"/>
      <c r="V17" s="44"/>
      <c r="W17" s="1891" t="s">
        <v>283</v>
      </c>
      <c r="X17" s="1892"/>
      <c r="Y17" s="969" t="str">
        <f t="shared" si="0"/>
        <v/>
      </c>
      <c r="Z17" s="952">
        <f>Q17+SUMIFS($Q$36:$Q$48,$R$36:$R$48,"Y",$O$36:$O$48,"FA5",$P$36:$P$48,"C",$L$36:$L$48,"I")</f>
        <v>0</v>
      </c>
      <c r="AA17" s="957">
        <f>Z17-'ENR#-DSUM-CONV'!B113</f>
        <v>0</v>
      </c>
      <c r="AB17" s="898"/>
      <c r="AC17" s="925" t="s">
        <v>261</v>
      </c>
      <c r="AD17" s="1280"/>
      <c r="AE17" s="44"/>
      <c r="AF17" s="44"/>
      <c r="AG17" s="44"/>
      <c r="AH17" s="44"/>
      <c r="AI17" s="44"/>
      <c r="AJ17" s="44"/>
      <c r="AK17" s="44"/>
      <c r="AL17" s="44"/>
      <c r="AM17" s="44"/>
      <c r="AN17" s="44"/>
      <c r="AO17" s="44"/>
      <c r="AP17" s="44"/>
      <c r="AQ17" s="44"/>
    </row>
    <row r="18" spans="1:43" s="3" customFormat="1" ht="15" customHeight="1" thickBot="1">
      <c r="A18" s="273"/>
      <c r="B18" s="932"/>
      <c r="C18" s="1968"/>
      <c r="D18" s="1968"/>
      <c r="E18" s="1968"/>
      <c r="F18" s="1968"/>
      <c r="G18" s="1968"/>
      <c r="H18" s="1968"/>
      <c r="I18" s="1969"/>
      <c r="J18" s="374" t="str">
        <f>'FIG3'!W54</f>
        <v>FA3L1</v>
      </c>
      <c r="K18" s="832" t="s">
        <v>48</v>
      </c>
      <c r="L18" s="1949" t="s">
        <v>59</v>
      </c>
      <c r="M18" s="1950"/>
      <c r="N18" s="1947" t="s">
        <v>284</v>
      </c>
      <c r="O18" s="1945"/>
      <c r="P18" s="86"/>
      <c r="Q18" s="66">
        <f>SUMIFS($Q$36:$Q$48,$O$36:$O$48,"FA5",$P$36:$P$48,"C",$L$36:$L$48,"I")</f>
        <v>0</v>
      </c>
      <c r="R18" s="852"/>
      <c r="S18" s="89"/>
      <c r="T18" s="100" t="s">
        <v>262</v>
      </c>
      <c r="U18" s="124"/>
      <c r="V18" s="44"/>
      <c r="W18" s="1936" t="s">
        <v>284</v>
      </c>
      <c r="X18" s="1943"/>
      <c r="Y18" s="969" t="str">
        <f t="shared" si="0"/>
        <v/>
      </c>
      <c r="Z18" s="953">
        <f>Q18-SUMIFS($Q$36:$Q$48,$R$36:$R$48,"Y",$O$36:$O$48,"FA5",$P$36:$P$48,"C",$L$36:$L$48,"I")</f>
        <v>0</v>
      </c>
      <c r="AA18" s="958">
        <f>Z18-'ENR#-DSUM-CONV'!B123</f>
        <v>0</v>
      </c>
      <c r="AB18" s="927"/>
      <c r="AC18" s="896" t="s">
        <v>262</v>
      </c>
      <c r="AD18" s="1279">
        <f>'ENR#-DSUM-CONV'!B223</f>
        <v>0</v>
      </c>
      <c r="AE18" s="44"/>
      <c r="AF18" s="44"/>
      <c r="AG18" s="44"/>
      <c r="AH18" s="44"/>
      <c r="AI18" s="44"/>
      <c r="AJ18" s="44"/>
      <c r="AK18" s="44"/>
      <c r="AL18" s="44"/>
      <c r="AM18" s="44"/>
      <c r="AN18" s="44"/>
      <c r="AO18" s="44"/>
      <c r="AP18" s="44"/>
      <c r="AQ18" s="44"/>
    </row>
    <row r="19" spans="1:43" s="3" customFormat="1" ht="15" customHeight="1" thickTop="1" thickBot="1">
      <c r="A19" s="273"/>
      <c r="B19" s="933"/>
      <c r="C19" s="1968"/>
      <c r="D19" s="1968"/>
      <c r="E19" s="1968"/>
      <c r="F19" s="1968"/>
      <c r="G19" s="1968"/>
      <c r="H19" s="1968"/>
      <c r="I19" s="1969"/>
      <c r="J19" s="379" t="str">
        <f>'FIG3'!X54</f>
        <v>FA3L2</v>
      </c>
      <c r="K19" s="832" t="s">
        <v>49</v>
      </c>
      <c r="L19" s="1949" t="s">
        <v>60</v>
      </c>
      <c r="M19" s="1950"/>
      <c r="N19" s="1947" t="s">
        <v>75</v>
      </c>
      <c r="O19" s="1945"/>
      <c r="P19" s="84"/>
      <c r="Q19" s="66">
        <f>SUM(Q9,Q11,Q13,Q15,Q17)</f>
        <v>130582</v>
      </c>
      <c r="R19" s="851"/>
      <c r="S19" s="88"/>
      <c r="T19" s="100" t="s">
        <v>263</v>
      </c>
      <c r="U19" s="124"/>
      <c r="V19" s="44"/>
      <c r="W19" s="1939" t="s">
        <v>75</v>
      </c>
      <c r="X19" s="1941"/>
      <c r="Y19" s="969" t="str">
        <f t="shared" si="0"/>
        <v/>
      </c>
      <c r="Z19" s="951">
        <f>Z9+Z11+Z13+Z15+Z17</f>
        <v>130582</v>
      </c>
      <c r="AA19" s="956">
        <f>Z19-'ENR#-DSUM-CONV'!B133</f>
        <v>0</v>
      </c>
      <c r="AB19" s="894"/>
      <c r="AC19" s="895" t="s">
        <v>263</v>
      </c>
      <c r="AD19" s="1280"/>
      <c r="AE19" s="44"/>
      <c r="AF19" s="44"/>
      <c r="AG19" s="44"/>
      <c r="AH19" s="44"/>
      <c r="AI19" s="44"/>
      <c r="AJ19" s="44"/>
      <c r="AK19" s="44"/>
      <c r="AL19" s="44"/>
      <c r="AM19" s="44"/>
      <c r="AN19" s="44"/>
      <c r="AO19" s="44"/>
      <c r="AP19" s="44"/>
      <c r="AQ19" s="44"/>
    </row>
    <row r="20" spans="1:43" s="3" customFormat="1" ht="15" customHeight="1" thickTop="1" thickBot="1">
      <c r="A20" s="273"/>
      <c r="B20" s="1970" t="s">
        <v>667</v>
      </c>
      <c r="C20" s="1971"/>
      <c r="D20" s="1972"/>
      <c r="E20" s="1976" t="s">
        <v>615</v>
      </c>
      <c r="F20" s="1977"/>
      <c r="G20" s="1978"/>
      <c r="H20" s="1979" t="s">
        <v>618</v>
      </c>
      <c r="I20" s="1980"/>
      <c r="J20" s="374" t="str">
        <f>'FIG3'!V55</f>
        <v>FA4</v>
      </c>
      <c r="K20" s="832" t="s">
        <v>50</v>
      </c>
      <c r="L20" s="1949" t="s">
        <v>61</v>
      </c>
      <c r="M20" s="1950"/>
      <c r="N20" s="1947" t="s">
        <v>76</v>
      </c>
      <c r="O20" s="1945"/>
      <c r="P20" s="86"/>
      <c r="Q20" s="65">
        <f>SUM(Q10,Q12,Q14,Q16,Q18)</f>
        <v>7649</v>
      </c>
      <c r="R20" s="852"/>
      <c r="S20" s="89"/>
      <c r="T20" s="100" t="s">
        <v>264</v>
      </c>
      <c r="U20" s="124"/>
      <c r="V20" s="44"/>
      <c r="W20" s="1939" t="s">
        <v>76</v>
      </c>
      <c r="X20" s="1941"/>
      <c r="Y20" s="969" t="str">
        <f t="shared" si="0"/>
        <v/>
      </c>
      <c r="Z20" s="951">
        <f>Z10+Z12+Z14+Z16+Z18</f>
        <v>7649</v>
      </c>
      <c r="AA20" s="956">
        <f>Z20-'ENR#-DSUM-CONV'!B143</f>
        <v>0</v>
      </c>
      <c r="AB20" s="894"/>
      <c r="AC20" s="895" t="s">
        <v>264</v>
      </c>
      <c r="AD20" s="1281"/>
      <c r="AE20" s="44"/>
      <c r="AF20" s="44"/>
      <c r="AG20" s="44"/>
      <c r="AH20" s="44"/>
      <c r="AI20" s="44"/>
      <c r="AJ20" s="44"/>
      <c r="AK20" s="44"/>
      <c r="AL20" s="44"/>
      <c r="AM20" s="44"/>
      <c r="AN20" s="44"/>
      <c r="AO20" s="44"/>
      <c r="AP20" s="44"/>
      <c r="AQ20" s="44"/>
    </row>
    <row r="21" spans="1:43" s="3" customFormat="1" ht="15" customHeight="1" thickTop="1">
      <c r="A21" s="273"/>
      <c r="B21" s="1973"/>
      <c r="C21" s="1974"/>
      <c r="D21" s="1975"/>
      <c r="E21" s="913"/>
      <c r="F21" s="918" t="s">
        <v>616</v>
      </c>
      <c r="G21" s="920" t="s">
        <v>617</v>
      </c>
      <c r="H21" s="921" t="s">
        <v>616</v>
      </c>
      <c r="I21" s="922" t="s">
        <v>617</v>
      </c>
      <c r="J21" s="374" t="str">
        <f>'FIG3'!W55</f>
        <v>FA4L1</v>
      </c>
      <c r="K21" s="832" t="s">
        <v>38</v>
      </c>
      <c r="L21" s="1949" t="s">
        <v>62</v>
      </c>
      <c r="M21" s="1950"/>
      <c r="N21" s="1947" t="s">
        <v>285</v>
      </c>
      <c r="O21" s="1945"/>
      <c r="P21" s="84"/>
      <c r="Q21" s="66">
        <f>SUMIFS($Q$36:$Q$48,$O$36:$O$48,"NFA",$P$36:$P$48,"D",$L$36:$L$48,"I")</f>
        <v>1403718</v>
      </c>
      <c r="R21" s="851"/>
      <c r="S21" s="88"/>
      <c r="T21" s="100" t="s">
        <v>265</v>
      </c>
      <c r="U21" s="124"/>
      <c r="V21" s="44"/>
      <c r="W21" s="1939" t="s">
        <v>285</v>
      </c>
      <c r="X21" s="1941"/>
      <c r="Y21" s="969" t="str">
        <f t="shared" si="0"/>
        <v/>
      </c>
      <c r="Z21" s="951">
        <f>Q21+SUMIFS($Q$36:$Q$48,$R$36:$R$48,"Y",$O$36:$O$48,"NFA",$P$36:$P$48,"C",$L$36:$L$48,"I")</f>
        <v>1403718</v>
      </c>
      <c r="AA21" s="956">
        <f>Z21-'ENR#-DSUM-CONV'!B153</f>
        <v>0</v>
      </c>
      <c r="AB21" s="894"/>
      <c r="AC21" s="895" t="s">
        <v>265</v>
      </c>
      <c r="AD21" s="1281"/>
      <c r="AE21" s="44"/>
      <c r="AF21" s="44"/>
      <c r="AG21" s="44"/>
      <c r="AH21" s="44"/>
      <c r="AI21" s="44"/>
      <c r="AJ21" s="44"/>
      <c r="AK21" s="44"/>
      <c r="AL21" s="44"/>
      <c r="AM21" s="44"/>
      <c r="AN21" s="44"/>
      <c r="AO21" s="44"/>
      <c r="AP21" s="44"/>
      <c r="AQ21" s="44"/>
    </row>
    <row r="22" spans="1:43" s="3" customFormat="1" ht="15" customHeight="1" thickBot="1">
      <c r="A22" s="273"/>
      <c r="B22" s="1973"/>
      <c r="C22" s="1974"/>
      <c r="D22" s="1975"/>
      <c r="E22" s="917" t="s">
        <v>0</v>
      </c>
      <c r="F22" s="936">
        <f t="array" ref="F22">SUM(IF(FREQUENCY(MATCH(I$36:I$48,I$36:I$48,0),IF($L$36:$L$48&amp;$P$36:$P$48="IC",MATCH(I$36:I$48,I$36:I$48,0),0))&gt;0,1),0)-1</f>
        <v>1</v>
      </c>
      <c r="G22" s="937">
        <f t="array" ref="G22">SUM(IF(FREQUENCY(MATCH(J$36:J$48,J$36:J$48,0),IF($L$36:$L$48&amp;$P$36:$P$48="IC",MATCH(J$36:J$48,J$36:J$48,0),0))&gt;0,1),0)-1</f>
        <v>3</v>
      </c>
      <c r="H22" s="938">
        <f t="array" ref="H22">F22-(SUM(IF(FREQUENCY(MATCH(I$36:I$48,I$36:I$48,0),IF($L$36:$L$48&amp;$P$36:$P$48&amp;$R$36:$R$48="ICY",MATCH(I$36:I$48,I$36:I$48,0),0))&gt;0,1),0)-1)</f>
        <v>1</v>
      </c>
      <c r="I22" s="938">
        <f t="array" ref="I22">G22-(SUM(IF(FREQUENCY(MATCH(J$36:J$48,J$36:J$48,0),IF($L$36:$L$48&amp;$P$36:$P$48&amp;$R$36:$R$48="ICY",MATCH(J$36:J$48,J$36:J$48,0),0))&gt;0,1),0)-1)</f>
        <v>3</v>
      </c>
      <c r="J22" s="379" t="str">
        <f>'FIG3'!X55</f>
        <v>FA4L2</v>
      </c>
      <c r="K22" s="832" t="s">
        <v>51</v>
      </c>
      <c r="L22" s="1949" t="s">
        <v>63</v>
      </c>
      <c r="M22" s="1950"/>
      <c r="N22" s="1947" t="s">
        <v>286</v>
      </c>
      <c r="O22" s="1945"/>
      <c r="P22" s="86"/>
      <c r="Q22" s="65">
        <f>SUMIFS($Q$36:$Q$48,$O$36:$O$48,"NFA",$P$36:$P$48,"C",$L$36:$L$48,"I")</f>
        <v>15276</v>
      </c>
      <c r="R22" s="852"/>
      <c r="S22" s="89"/>
      <c r="T22" s="100" t="s">
        <v>266</v>
      </c>
      <c r="U22" s="124"/>
      <c r="V22" s="44"/>
      <c r="W22" s="1939" t="s">
        <v>286</v>
      </c>
      <c r="X22" s="1941"/>
      <c r="Y22" s="969" t="str">
        <f t="shared" si="0"/>
        <v/>
      </c>
      <c r="Z22" s="951">
        <f>Q22-SUMIFS($Q$36:$Q$48,$R$36:$R$48,"Y",$O$36:$O$48,"NFA",$P$36:$P$48,"C",$L$36:$L$48,"I")</f>
        <v>15276</v>
      </c>
      <c r="AA22" s="956">
        <f>Z22-'ENR#-DSUM-CONV'!B163</f>
        <v>0</v>
      </c>
      <c r="AB22" s="894"/>
      <c r="AC22" s="895" t="s">
        <v>266</v>
      </c>
      <c r="AD22" s="1279">
        <f>'ENR#-DSUM-CONV'!B233</f>
        <v>0</v>
      </c>
      <c r="AE22" s="44"/>
      <c r="AF22" s="44"/>
      <c r="AG22" s="44"/>
      <c r="AH22" s="44"/>
      <c r="AI22" s="44"/>
      <c r="AJ22" s="44"/>
      <c r="AK22" s="44"/>
      <c r="AL22" s="44"/>
      <c r="AM22" s="44"/>
      <c r="AN22" s="44"/>
      <c r="AO22" s="44"/>
      <c r="AP22" s="44"/>
      <c r="AQ22" s="44"/>
    </row>
    <row r="23" spans="1:43" s="3" customFormat="1" ht="15" customHeight="1" thickTop="1">
      <c r="A23" s="273"/>
      <c r="B23" s="1973"/>
      <c r="C23" s="1974"/>
      <c r="D23" s="1975"/>
      <c r="E23" s="914" t="s">
        <v>152</v>
      </c>
      <c r="F23" s="939">
        <f t="array" ref="F23">SUM(IF(FREQUENCY(MATCH(I$36:I$48,I$36:I$48,0),IF($L$36:$L$48&amp;$O$36:$O$48&amp;$P$36:$P$48="IFA1C",MATCH(I$36:I$48,I$36:I$48,0),0))&gt;0,1),0)-1</f>
        <v>1</v>
      </c>
      <c r="G23" s="940">
        <f t="array" ref="G23">SUM(IF(FREQUENCY(MATCH(J$36:J$48,J$36:J$48,0),IF($L$36:$L$48&amp;$O$36:$O$48&amp;$P$36:$P$48="IFA1C",MATCH(J$36:J$48,J$36:J$48,0),0))&gt;0,1),0)-1</f>
        <v>1</v>
      </c>
      <c r="H23" s="941">
        <f t="array" ref="H23">F23-(SUM(IF(FREQUENCY(MATCH(I$36:I$48,I$36:I$48,0),IF($L$36:$L$48&amp;$O$36:$O$48&amp;$P$36:$P$48&amp;$R$36:$R$48="IFA1CY",MATCH(I$36:I$48,I$36:I$48,0),0))&gt;0,1),0)-1)</f>
        <v>1</v>
      </c>
      <c r="I23" s="935">
        <f t="array" ref="I23">G23-(SUM(IF(FREQUENCY(MATCH(J$36:J$48,J$36:J$48,0),IF($L$36:$L$48&amp;$O$36:$O$48&amp;$P$36:$P$48&amp;$R$36:$R$48="IFA1CY",MATCH(J$36:J$48,J$36:J$48,0),0))&gt;0,1),0)-1)</f>
        <v>1</v>
      </c>
      <c r="J23" s="374" t="str">
        <f>'FIG3'!V56</f>
        <v>FA5</v>
      </c>
      <c r="K23" s="832" t="s">
        <v>52</v>
      </c>
      <c r="L23" s="1949" t="s">
        <v>64</v>
      </c>
      <c r="M23" s="1950"/>
      <c r="N23" s="1947" t="s">
        <v>74</v>
      </c>
      <c r="O23" s="1945"/>
      <c r="P23" s="85" t="str">
        <f>IF(AND(R23&gt;-0.005,R23&lt;0.005),"","CHECK!")</f>
        <v/>
      </c>
      <c r="Q23" s="66">
        <f>Q19+Q21</f>
        <v>1534300</v>
      </c>
      <c r="R23" s="853">
        <f>Q6-Q23</f>
        <v>0</v>
      </c>
      <c r="S23" s="133" t="s">
        <v>111</v>
      </c>
      <c r="T23" s="100" t="s">
        <v>267</v>
      </c>
      <c r="U23" s="124"/>
      <c r="V23" s="44"/>
      <c r="W23" s="1891" t="s">
        <v>74</v>
      </c>
      <c r="X23" s="1892"/>
      <c r="Y23" s="969" t="str">
        <f t="shared" si="0"/>
        <v/>
      </c>
      <c r="Z23" s="952">
        <f>Z19+Z21</f>
        <v>1534300</v>
      </c>
      <c r="AA23" s="957">
        <f>Z6-Z23</f>
        <v>0</v>
      </c>
      <c r="AB23" s="898" t="s">
        <v>111</v>
      </c>
      <c r="AC23" s="897" t="s">
        <v>267</v>
      </c>
      <c r="AD23" s="1280"/>
      <c r="AE23" s="44"/>
      <c r="AF23" s="44"/>
      <c r="AG23" s="44"/>
      <c r="AH23" s="44"/>
      <c r="AI23" s="44"/>
      <c r="AJ23" s="44"/>
      <c r="AK23" s="44"/>
      <c r="AL23" s="44"/>
      <c r="AM23" s="44"/>
      <c r="AN23" s="44"/>
      <c r="AO23" s="44"/>
      <c r="AP23" s="44"/>
      <c r="AQ23" s="44"/>
    </row>
    <row r="24" spans="1:43" s="3" customFormat="1" ht="15" customHeight="1" thickBot="1">
      <c r="A24" s="273"/>
      <c r="B24" s="1973"/>
      <c r="C24" s="1974"/>
      <c r="D24" s="1975"/>
      <c r="E24" s="914" t="s">
        <v>153</v>
      </c>
      <c r="F24" s="939">
        <f t="array" ref="F24">SUM(IF(FREQUENCY(MATCH(I$36:I$48,I$36:I$48,0),IF($L$36:$L$48&amp;$O$36:$O$48&amp;$P$36:$P$48="IFA2C",MATCH(I$36:I$48,I$36:I$48,0),0))&gt;0,1),0)-1</f>
        <v>1</v>
      </c>
      <c r="G24" s="940">
        <f t="array" ref="G24">SUM(IF(FREQUENCY(MATCH(J$36:J$48,J$36:J$48,0),IF($L$36:$L$48&amp;$O$36:$O$48&amp;$P$36:$P$48="IFA2C",MATCH(J$36:J$48,J$36:J$48,0),0))&gt;0,1),0)-1</f>
        <v>1</v>
      </c>
      <c r="H24" s="941">
        <f t="array" ref="H24">F24-(SUM(IF(FREQUENCY(MATCH(I$36:I$48,I$36:I$48,0),IF($L$36:$L$48&amp;$O$36:$O$48&amp;$P$36:$P$48&amp;$R$36:$R$48="IFA2CY",MATCH(I$36:I$48,I$36:I$48,0),0))&gt;0,1),0)-1)</f>
        <v>1</v>
      </c>
      <c r="I24" s="941">
        <f t="array" ref="I24">G24-(SUM(IF(FREQUENCY(MATCH(J$36:J$48,J$36:J$48,0),IF($L$36:$L$48&amp;$O$36:$O$48&amp;$P$36:$P$48&amp;$R$36:$R$48="IFA2CY",MATCH(J$36:J$48,J$36:J$48,0),0))&gt;0,1),0)-1)</f>
        <v>1</v>
      </c>
      <c r="J24" s="374" t="str">
        <f>'FIG3'!W56</f>
        <v>FA5L1</v>
      </c>
      <c r="K24" s="832" t="s">
        <v>53</v>
      </c>
      <c r="L24" s="1949" t="s">
        <v>65</v>
      </c>
      <c r="M24" s="1950"/>
      <c r="N24" s="1947" t="s">
        <v>77</v>
      </c>
      <c r="O24" s="1945"/>
      <c r="P24" s="85" t="str">
        <f>IF(AND(R24&gt;-0.005,R24&lt;0.005),"","CHECK!")</f>
        <v/>
      </c>
      <c r="Q24" s="68">
        <f>Q20+Q22</f>
        <v>22925</v>
      </c>
      <c r="R24" s="854">
        <f>Q7-Q24</f>
        <v>0</v>
      </c>
      <c r="S24" s="134" t="s">
        <v>113</v>
      </c>
      <c r="T24" s="100" t="s">
        <v>268</v>
      </c>
      <c r="U24" s="124"/>
      <c r="V24" s="44"/>
      <c r="W24" s="1939" t="s">
        <v>77</v>
      </c>
      <c r="X24" s="1940"/>
      <c r="Y24" s="969" t="str">
        <f t="shared" si="0"/>
        <v/>
      </c>
      <c r="Z24" s="962">
        <f>Z20+Z22</f>
        <v>22925</v>
      </c>
      <c r="AA24" s="956">
        <f>Z7-Z24</f>
        <v>0</v>
      </c>
      <c r="AB24" s="894" t="s">
        <v>113</v>
      </c>
      <c r="AC24" s="895" t="s">
        <v>268</v>
      </c>
      <c r="AD24" s="1281"/>
      <c r="AE24" s="44"/>
      <c r="AF24" s="44"/>
      <c r="AG24" s="44"/>
      <c r="AH24" s="44"/>
      <c r="AI24" s="44"/>
      <c r="AJ24" s="44"/>
      <c r="AK24" s="44"/>
      <c r="AL24" s="44"/>
      <c r="AM24" s="44"/>
      <c r="AN24" s="44"/>
      <c r="AO24" s="44"/>
      <c r="AP24" s="44"/>
      <c r="AQ24" s="44"/>
    </row>
    <row r="25" spans="1:43" s="3" customFormat="1" ht="15" customHeight="1" thickTop="1" thickBot="1">
      <c r="A25" s="273"/>
      <c r="B25" s="1973"/>
      <c r="C25" s="1974"/>
      <c r="D25" s="1975"/>
      <c r="E25" s="915" t="s">
        <v>154</v>
      </c>
      <c r="F25" s="939">
        <f t="array" ref="F25">SUM(IF(FREQUENCY(MATCH(I$36:I$48,I$36:I$48,0),IF($L$36:$L$48&amp;$O$36:$O$48&amp;$P$36:$P$48="IFA3C",MATCH(I$36:I$48,I$36:I$48,0),0))&gt;0,1),0)-1</f>
        <v>0</v>
      </c>
      <c r="G25" s="940">
        <f t="array" ref="G25">SUM(IF(FREQUENCY(MATCH(J$36:J$48,J$36:J$48,0),IF($L$36:$L$48&amp;$O$36:$O$48&amp;$P$36:$P$48="IFA3C",MATCH(J$36:J$48,J$36:J$48,0),0))&gt;0,1),0)-1</f>
        <v>0</v>
      </c>
      <c r="H25" s="935">
        <f t="array" ref="H25">F25-(SUM(IF(FREQUENCY(MATCH(I$36:I$48,I$36:I$48,0),IF($L$36:$L$48&amp;$O$36:$O$48&amp;$P$36:$P$48&amp;$R$36:$R$48="IFA3CY",MATCH(I$36:I$48,I$36:I$48,0),0))&gt;0,1),0)-1)</f>
        <v>0</v>
      </c>
      <c r="I25" s="935">
        <f t="array" ref="I25">G25-(SUM(IF(FREQUENCY(MATCH(J$36:J$48,J$36:J$48,0),IF($L$36:$L$48&amp;$O$36:$O$48&amp;$P$36:$P$48&amp;$R$36:$R$48="IFA3CY",MATCH(J$36:J$48,J$36:J$48,0),0))&gt;0,1),0)-1)</f>
        <v>0</v>
      </c>
      <c r="J25" s="379" t="str">
        <f>'FIG3'!X56</f>
        <v>FA5L2</v>
      </c>
      <c r="K25" s="832" t="s">
        <v>54</v>
      </c>
      <c r="L25" s="1949" t="s">
        <v>66</v>
      </c>
      <c r="M25" s="1950"/>
      <c r="N25" s="1947" t="s">
        <v>80</v>
      </c>
      <c r="O25" s="1945"/>
      <c r="P25" s="85" t="str">
        <f>IF(AND(R25&gt;-0.005,R25&lt;0.005),"","CHECK!")</f>
        <v/>
      </c>
      <c r="Q25" s="66">
        <f>Q23+Q24</f>
        <v>1557225</v>
      </c>
      <c r="R25" s="855">
        <f>Q5-Q25</f>
        <v>0</v>
      </c>
      <c r="S25" s="132" t="s">
        <v>120</v>
      </c>
      <c r="T25" s="100" t="s">
        <v>269</v>
      </c>
      <c r="U25" s="44"/>
      <c r="V25" s="44"/>
      <c r="W25" s="1939" t="s">
        <v>80</v>
      </c>
      <c r="X25" s="1941"/>
      <c r="Y25" s="969" t="str">
        <f t="shared" si="0"/>
        <v/>
      </c>
      <c r="Z25" s="951">
        <f>Z23+Z24</f>
        <v>1557225</v>
      </c>
      <c r="AA25" s="956">
        <f>Z5-Z25</f>
        <v>0</v>
      </c>
      <c r="AB25" s="894" t="s">
        <v>120</v>
      </c>
      <c r="AC25" s="895" t="s">
        <v>269</v>
      </c>
      <c r="AD25" s="1281">
        <f>SUM(AD10:AD22)</f>
        <v>0</v>
      </c>
      <c r="AE25" s="44"/>
      <c r="AF25" s="44"/>
      <c r="AG25" s="44"/>
      <c r="AH25" s="44"/>
      <c r="AI25" s="44"/>
      <c r="AJ25" s="44"/>
      <c r="AK25" s="44"/>
      <c r="AL25" s="44"/>
      <c r="AM25" s="44"/>
      <c r="AN25" s="44"/>
      <c r="AO25" s="44"/>
      <c r="AP25" s="44"/>
      <c r="AQ25" s="44"/>
    </row>
    <row r="26" spans="1:43" s="3" customFormat="1" ht="15" customHeight="1" thickTop="1">
      <c r="A26" s="251"/>
      <c r="B26" s="1973"/>
      <c r="C26" s="1974"/>
      <c r="D26" s="1975"/>
      <c r="E26" s="915" t="s">
        <v>155</v>
      </c>
      <c r="F26" s="939">
        <f t="array" ref="F26">SUM(IF(FREQUENCY(MATCH(I$36:I$48,I$36:I$48,0),IF($L$36:$L$48&amp;$O$36:$O$48&amp;$P$36:$P$48="IFA4C",MATCH(I$36:I$48,I$36:I$48,0),0))&gt;0,1),0)-1</f>
        <v>0</v>
      </c>
      <c r="G26" s="940">
        <f t="array" ref="G26">SUM(IF(FREQUENCY(MATCH(J$36:J$48,J$36:J$48,0),IF($L$36:$L$48&amp;$O$36:$O$48&amp;$P$36:$P$48="IFA4C",MATCH(J$36:J$48,J$36:J$48,0),0))&gt;0,1),0)-1</f>
        <v>0</v>
      </c>
      <c r="H26" s="935">
        <f t="array" ref="H26">F26-(SUM(IF(FREQUENCY(MATCH(I$36:I$48,I$36:I$48,0),IF($L$36:$L$48&amp;$O$36:$O$48&amp;$P$36:$P$48&amp;$R$36:$R$48="IFA4CY",MATCH(I$36:I$48,I$36:I$48,0),0))&gt;0,1),0)-1)</f>
        <v>0</v>
      </c>
      <c r="I26" s="935">
        <f t="array" ref="I26">G26-(SUM(IF(FREQUENCY(MATCH(J$36:J$48,J$36:J$48,0),IF($L$36:$L$48&amp;$O$36:$O$48&amp;$P$36:$P$48&amp;$R$36:$R$48="IFA4CY",MATCH(J$36:J$48,J$36:J$48,0),0))&gt;0,1),0)-1)</f>
        <v>0</v>
      </c>
      <c r="J26" s="77"/>
      <c r="K26" s="832" t="s">
        <v>55</v>
      </c>
      <c r="L26" s="1949" t="s">
        <v>67</v>
      </c>
      <c r="M26" s="1950"/>
      <c r="N26" s="1956" t="s">
        <v>78</v>
      </c>
      <c r="O26" s="1957"/>
      <c r="P26" s="117"/>
      <c r="Q26" s="135">
        <f>SUMIFS($Q$36:$Q$48,$L$36:$L$48,"ADJ*",$O$36:$O$48,"D")</f>
        <v>0</v>
      </c>
      <c r="R26" s="118"/>
      <c r="S26" s="119"/>
      <c r="T26" s="102" t="s">
        <v>270</v>
      </c>
      <c r="U26" s="44"/>
      <c r="V26" s="44"/>
      <c r="W26" s="1891"/>
      <c r="X26" s="1942"/>
      <c r="Y26" s="970" t="str">
        <f t="shared" si="0"/>
        <v/>
      </c>
      <c r="Z26" s="1277"/>
      <c r="AA26" s="957">
        <f>Z23-Q23-AD25</f>
        <v>0</v>
      </c>
      <c r="AB26" s="898" t="s">
        <v>71</v>
      </c>
      <c r="AC26" s="897" t="s">
        <v>270</v>
      </c>
      <c r="AD26" s="1275" t="s">
        <v>605</v>
      </c>
      <c r="AE26" s="44"/>
      <c r="AF26" s="44"/>
      <c r="AG26" s="44"/>
      <c r="AH26" s="44"/>
      <c r="AI26" s="44"/>
      <c r="AJ26" s="44"/>
      <c r="AK26" s="44"/>
      <c r="AL26" s="44"/>
      <c r="AM26" s="44"/>
      <c r="AN26" s="44"/>
      <c r="AO26" s="44"/>
      <c r="AP26" s="44"/>
      <c r="AQ26" s="44"/>
    </row>
    <row r="27" spans="1:43" s="3" customFormat="1" ht="15" customHeight="1">
      <c r="A27" s="251"/>
      <c r="B27" s="1973"/>
      <c r="C27" s="1974"/>
      <c r="D27" s="1975"/>
      <c r="E27" s="915" t="s">
        <v>156</v>
      </c>
      <c r="F27" s="939">
        <f t="array" ref="F27">SUM(IF(FREQUENCY(MATCH(I$36:I$48,I$36:I$48,0),IF($L$36:$L$48&amp;$O$36:$O$48&amp;$P$36:$P$48="IFA5C",MATCH(I$36:I$48,I$36:I$48,0),0))&gt;0,1),0)-1</f>
        <v>0</v>
      </c>
      <c r="G27" s="940">
        <f t="array" ref="G27">SUM(IF(FREQUENCY(MATCH(J$36:J$48,J$36:J$48,0),IF($L$36:$L$48&amp;$O$36:$O$48&amp;$P$36:$P$48="IFA5C",MATCH(J$36:J$48,J$36:J$48,0),0))&gt;0,1),0)-1</f>
        <v>0</v>
      </c>
      <c r="H27" s="935">
        <f t="array" ref="H27">F27-(SUM(IF(FREQUENCY(MATCH(I$36:I$48,I$36:I$48,0),IF($L$36:$L$48&amp;$O$36:$O$48&amp;$P$36:$P$48&amp;$R$36:$R$48="IFA5CY",MATCH(I$36:I$48,I$36:I$48,0),0))&gt;0,1),0)-1)</f>
        <v>0</v>
      </c>
      <c r="I27" s="935">
        <f t="array" ref="I27">G27-(SUM(IF(FREQUENCY(MATCH(J$36:J$48,J$36:J$48,0),IF($L$36:$L$48&amp;$O$36:$O$48&amp;$P$36:$P$48&amp;$R$36:$R$48="IFA5CY",MATCH(J$36:J$48,J$36:J$48,0),0))&gt;0,1),0)-1)</f>
        <v>0</v>
      </c>
      <c r="J27" s="77"/>
      <c r="K27" s="832" t="s">
        <v>39</v>
      </c>
      <c r="L27" s="1958"/>
      <c r="M27" s="1959"/>
      <c r="N27" s="1947" t="s">
        <v>79</v>
      </c>
      <c r="O27" s="1945"/>
      <c r="P27" s="84"/>
      <c r="Q27" s="66">
        <f>SUMIFS($Q$36:$Q$48,$L$36:$L$48,"ADJ*",$O$36:$O$48,"C")</f>
        <v>0</v>
      </c>
      <c r="R27" s="88"/>
      <c r="S27" s="88"/>
      <c r="T27" s="99" t="s">
        <v>271</v>
      </c>
      <c r="U27" s="44"/>
      <c r="V27" s="44"/>
      <c r="W27" s="1939"/>
      <c r="X27" s="1940"/>
      <c r="Y27" s="970" t="str">
        <f t="shared" si="0"/>
        <v/>
      </c>
      <c r="Z27" s="962"/>
      <c r="AA27" s="956">
        <f>Z24-Q24+AD25</f>
        <v>0</v>
      </c>
      <c r="AB27" s="894" t="s">
        <v>71</v>
      </c>
      <c r="AC27" s="886" t="s">
        <v>271</v>
      </c>
      <c r="AD27" s="1274" t="s">
        <v>606</v>
      </c>
      <c r="AE27" s="44"/>
      <c r="AF27" s="44"/>
      <c r="AG27" s="44"/>
      <c r="AH27" s="44"/>
      <c r="AI27" s="44"/>
      <c r="AJ27" s="44"/>
      <c r="AK27" s="44"/>
      <c r="AL27" s="44"/>
      <c r="AM27" s="44"/>
      <c r="AN27" s="44"/>
      <c r="AO27" s="44"/>
      <c r="AP27" s="44"/>
      <c r="AQ27" s="44"/>
    </row>
    <row r="28" spans="1:43" s="3" customFormat="1" ht="15" customHeight="1" thickBot="1">
      <c r="A28" s="251"/>
      <c r="B28" s="1973"/>
      <c r="C28" s="1974"/>
      <c r="D28" s="1975"/>
      <c r="E28" s="915" t="s">
        <v>41</v>
      </c>
      <c r="F28" s="939">
        <f t="array" ref="F28">SUM(IF(FREQUENCY(MATCH(I$36:I$48,I$36:I$48,0),IF($L$36:$L$48&amp;$O$36:$O$48&amp;$P$36:$P$48="INFAC",MATCH(I$36:I$48,I$36:I$48,0),0))&gt;0,1),0)-1</f>
        <v>1</v>
      </c>
      <c r="G28" s="940">
        <f t="array" ref="G28">SUM(IF(FREQUENCY(MATCH(J$36:J$48,J$36:J$48,0),IF($L$36:$L$48&amp;$O$36:$O$48&amp;$P$36:$P$48="INFAC",MATCH(J$36:J$48,J$36:J$48,0),0))&gt;0,1),0)-1</f>
        <v>1</v>
      </c>
      <c r="H28" s="941">
        <f t="array" ref="H28">F28-(SUM(IF(FREQUENCY(MATCH(I$36:I$48,I$36:I$48,0),IF($L$36:$L$48&amp;$O$36:$O$48&amp;$P$36:$P$48&amp;$R$36:$R$48="INFACY",MATCH(I$36:I$48,I$36:I$48,0),0))&gt;0,1),0)-1)</f>
        <v>1</v>
      </c>
      <c r="I28" s="941">
        <f t="array" ref="I28">G28-(SUM(IF(FREQUENCY(MATCH(J$36:J$48,J$36:J$48,0),IF($L$36:$L$48&amp;$O$36:$O$48&amp;$P$36:$P$48&amp;$R$36:$R$48="INFACY",MATCH(J$36:J$48,J$36:J$48,0),0))&gt;0,1),0)-1)</f>
        <v>1</v>
      </c>
      <c r="J28" s="78"/>
      <c r="K28" s="831"/>
      <c r="L28" s="76"/>
      <c r="M28" s="73"/>
      <c r="N28" s="1951"/>
      <c r="O28" s="1952"/>
      <c r="P28" s="87"/>
      <c r="Q28" s="363"/>
      <c r="R28" s="830"/>
      <c r="S28" s="830"/>
      <c r="T28" s="307"/>
      <c r="U28" s="44"/>
      <c r="V28" s="44"/>
      <c r="W28" s="1936"/>
      <c r="X28" s="1937"/>
      <c r="Y28" s="971"/>
      <c r="Z28" s="1278"/>
      <c r="AA28" s="926"/>
      <c r="AB28" s="927"/>
      <c r="AC28" s="892"/>
      <c r="AD28" s="1276"/>
      <c r="AE28" s="44"/>
      <c r="AF28" s="44"/>
      <c r="AG28" s="44"/>
      <c r="AH28" s="44"/>
      <c r="AI28" s="44"/>
      <c r="AJ28" s="44"/>
      <c r="AK28" s="44"/>
      <c r="AL28" s="44"/>
      <c r="AM28" s="44"/>
      <c r="AN28" s="44"/>
      <c r="AO28" s="44"/>
      <c r="AP28" s="44"/>
      <c r="AQ28" s="44"/>
    </row>
    <row r="29" spans="1:43" s="3" customFormat="1" ht="21" customHeight="1" thickTop="1" thickBot="1">
      <c r="A29" s="840"/>
      <c r="B29" s="1973"/>
      <c r="C29" s="1974"/>
      <c r="D29" s="1975"/>
      <c r="E29" s="919" t="s">
        <v>561</v>
      </c>
      <c r="F29" s="942">
        <f>SUM(F23:F28)</f>
        <v>3</v>
      </c>
      <c r="G29" s="943">
        <f>SUM(G23:G28)</f>
        <v>3</v>
      </c>
      <c r="H29" s="921">
        <f>SUM(H23:H28)</f>
        <v>3</v>
      </c>
      <c r="I29" s="921">
        <f>SUM(I23:I28)</f>
        <v>3</v>
      </c>
      <c r="J29" s="124"/>
      <c r="K29" s="127"/>
      <c r="L29" s="128"/>
      <c r="M29" s="128"/>
      <c r="N29" s="127"/>
      <c r="O29" s="127"/>
      <c r="P29" s="129"/>
      <c r="Q29" s="130"/>
      <c r="R29" s="131"/>
      <c r="S29" s="1938"/>
      <c r="T29" s="1938"/>
      <c r="U29" s="44"/>
      <c r="V29" s="44"/>
      <c r="W29" s="44"/>
      <c r="X29" s="44"/>
      <c r="Y29" s="44"/>
      <c r="Z29" s="44"/>
      <c r="AA29" s="44"/>
      <c r="AB29" s="44"/>
      <c r="AC29" s="44"/>
      <c r="AD29" s="44"/>
      <c r="AE29" s="44"/>
      <c r="AF29" s="44"/>
      <c r="AG29" s="44"/>
      <c r="AH29" s="44"/>
      <c r="AI29" s="44"/>
      <c r="AJ29" s="44"/>
      <c r="AK29" s="44"/>
      <c r="AL29" s="44"/>
      <c r="AM29" s="44"/>
      <c r="AN29" s="44"/>
      <c r="AO29" s="44"/>
      <c r="AP29" s="44"/>
      <c r="AQ29" s="44"/>
    </row>
    <row r="30" spans="1:43" s="3" customFormat="1" ht="21" customHeight="1" thickTop="1" thickBot="1">
      <c r="A30" s="912"/>
      <c r="B30" s="1981" t="s">
        <v>562</v>
      </c>
      <c r="C30" s="1982"/>
      <c r="D30" s="1982"/>
      <c r="E30" s="1982"/>
      <c r="F30" s="1982"/>
      <c r="G30" s="1982"/>
      <c r="H30" s="1982"/>
      <c r="I30" s="1983"/>
      <c r="J30" s="124"/>
      <c r="K30" s="127"/>
      <c r="L30" s="128"/>
      <c r="M30" s="128"/>
      <c r="N30" s="127"/>
      <c r="O30" s="127"/>
      <c r="P30" s="129"/>
      <c r="Q30" s="130"/>
      <c r="R30" s="131"/>
      <c r="S30" s="929"/>
      <c r="T30" s="929"/>
      <c r="U30" s="124"/>
      <c r="V30" s="44"/>
      <c r="W30" s="44"/>
      <c r="X30" s="44"/>
      <c r="Y30" s="44"/>
      <c r="Z30" s="44"/>
      <c r="AA30" s="44"/>
      <c r="AB30" s="44"/>
      <c r="AC30" s="44"/>
      <c r="AD30" s="44"/>
      <c r="AE30" s="44"/>
      <c r="AF30" s="44"/>
      <c r="AG30" s="44"/>
      <c r="AH30" s="44"/>
      <c r="AI30" s="44"/>
      <c r="AJ30" s="44"/>
      <c r="AK30" s="44"/>
      <c r="AL30" s="44"/>
      <c r="AM30" s="44"/>
      <c r="AN30" s="44"/>
      <c r="AO30" s="44"/>
      <c r="AP30" s="44"/>
      <c r="AQ30" s="44"/>
    </row>
    <row r="31" spans="1:43" s="3" customFormat="1" ht="21" customHeight="1" thickBot="1">
      <c r="A31" s="912"/>
      <c r="B31" s="912"/>
      <c r="C31" s="912"/>
      <c r="D31" s="912"/>
      <c r="E31" s="912"/>
      <c r="F31" s="912"/>
      <c r="G31" s="912"/>
      <c r="H31" s="912"/>
      <c r="I31" s="126"/>
      <c r="J31" s="124"/>
      <c r="K31" s="127"/>
      <c r="L31" s="128"/>
      <c r="M31" s="128"/>
      <c r="N31" s="127"/>
      <c r="O31" s="127"/>
      <c r="P31" s="129"/>
      <c r="Q31" s="130"/>
      <c r="R31" s="131"/>
      <c r="S31" s="1962" t="s">
        <v>608</v>
      </c>
      <c r="T31" s="1962"/>
      <c r="U31" s="44"/>
      <c r="V31" s="44"/>
      <c r="W31" s="44"/>
      <c r="X31" s="44"/>
      <c r="Y31" s="44"/>
      <c r="Z31" s="44"/>
      <c r="AA31" s="44"/>
      <c r="AB31" s="44"/>
      <c r="AC31" s="44"/>
      <c r="AD31" s="44"/>
      <c r="AE31" s="44"/>
      <c r="AF31" s="44"/>
      <c r="AG31" s="44"/>
      <c r="AH31" s="44"/>
      <c r="AI31" s="44"/>
      <c r="AJ31" s="44"/>
      <c r="AK31" s="44"/>
      <c r="AL31" s="44"/>
      <c r="AM31" s="44"/>
      <c r="AN31" s="44"/>
      <c r="AO31" s="44"/>
      <c r="AP31" s="44"/>
      <c r="AQ31" s="44"/>
    </row>
    <row r="32" spans="1:43" s="3" customFormat="1" ht="15.95" customHeight="1" thickTop="1" thickBot="1">
      <c r="A32" s="96" t="s">
        <v>137</v>
      </c>
      <c r="B32" s="96" t="s">
        <v>30</v>
      </c>
      <c r="C32" s="96" t="s">
        <v>147</v>
      </c>
      <c r="D32" s="833" t="s">
        <v>138</v>
      </c>
      <c r="E32" s="833" t="s">
        <v>31</v>
      </c>
      <c r="F32" s="833" t="s">
        <v>180</v>
      </c>
      <c r="G32" s="833" t="s">
        <v>32</v>
      </c>
      <c r="H32" s="833" t="s">
        <v>33</v>
      </c>
      <c r="I32" s="833" t="s">
        <v>34</v>
      </c>
      <c r="J32" s="833" t="s">
        <v>35</v>
      </c>
      <c r="K32" s="834" t="s">
        <v>36</v>
      </c>
      <c r="L32" s="835" t="s">
        <v>179</v>
      </c>
      <c r="M32" s="835" t="s">
        <v>37</v>
      </c>
      <c r="N32" s="835" t="s">
        <v>140</v>
      </c>
      <c r="O32" s="835" t="s">
        <v>2</v>
      </c>
      <c r="P32" s="835" t="s">
        <v>70</v>
      </c>
      <c r="Q32" s="835" t="s">
        <v>71</v>
      </c>
      <c r="R32" s="858" t="s">
        <v>97</v>
      </c>
      <c r="S32" s="833" t="s">
        <v>139</v>
      </c>
      <c r="T32" s="833" t="s">
        <v>98</v>
      </c>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row>
    <row r="33" spans="1:46" s="3" customFormat="1" ht="15.95" customHeight="1" thickTop="1" thickBot="1">
      <c r="A33" s="114" t="s">
        <v>96</v>
      </c>
      <c r="B33" s="115"/>
      <c r="C33" s="116"/>
      <c r="D33" s="113">
        <f t="shared" ref="D33:T33" si="1">COUNTBLANK(D36:D48)-2</f>
        <v>11</v>
      </c>
      <c r="E33" s="113">
        <f t="shared" si="1"/>
        <v>11</v>
      </c>
      <c r="F33" s="113">
        <f t="shared" si="1"/>
        <v>11</v>
      </c>
      <c r="G33" s="113">
        <f t="shared" si="1"/>
        <v>11</v>
      </c>
      <c r="H33" s="113">
        <f t="shared" si="1"/>
        <v>11</v>
      </c>
      <c r="I33" s="113">
        <f>COUNTBLANK(I36:I48)</f>
        <v>9</v>
      </c>
      <c r="J33" s="113">
        <f>COUNTBLANK(J36:J48)</f>
        <v>5</v>
      </c>
      <c r="K33" s="356">
        <f t="shared" si="1"/>
        <v>11</v>
      </c>
      <c r="L33" s="360">
        <f t="shared" si="1"/>
        <v>5</v>
      </c>
      <c r="M33" s="360">
        <f t="shared" si="1"/>
        <v>5</v>
      </c>
      <c r="N33" s="360">
        <f t="shared" si="1"/>
        <v>5</v>
      </c>
      <c r="O33" s="360">
        <f t="shared" si="1"/>
        <v>5</v>
      </c>
      <c r="P33" s="360">
        <f t="shared" si="1"/>
        <v>5</v>
      </c>
      <c r="Q33" s="360">
        <f t="shared" si="1"/>
        <v>5</v>
      </c>
      <c r="R33" s="360">
        <f t="shared" si="1"/>
        <v>6</v>
      </c>
      <c r="S33" s="113">
        <f t="shared" si="1"/>
        <v>11</v>
      </c>
      <c r="T33" s="113">
        <f t="shared" si="1"/>
        <v>11</v>
      </c>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row>
    <row r="34" spans="1:46" s="3" customFormat="1" ht="15.95" customHeight="1" thickTop="1" thickBot="1">
      <c r="A34" s="62"/>
      <c r="B34" s="62" t="s">
        <v>204</v>
      </c>
      <c r="C34" s="62"/>
      <c r="D34" s="1953" t="s">
        <v>185</v>
      </c>
      <c r="E34" s="1954"/>
      <c r="F34" s="1954"/>
      <c r="G34" s="1955"/>
      <c r="H34" s="1953" t="s">
        <v>181</v>
      </c>
      <c r="I34" s="1954"/>
      <c r="J34" s="1954"/>
      <c r="K34" s="1954"/>
      <c r="L34" s="1960" t="s">
        <v>202</v>
      </c>
      <c r="M34" s="1961"/>
      <c r="N34" s="1961"/>
      <c r="O34" s="1961"/>
      <c r="P34" s="1961"/>
      <c r="Q34" s="1961"/>
      <c r="R34" s="870"/>
      <c r="S34" s="110" t="s">
        <v>541</v>
      </c>
      <c r="T34" s="110" t="s">
        <v>542</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row>
    <row r="35" spans="1:46" s="3" customFormat="1" ht="15.95" customHeight="1" thickTop="1" thickBot="1">
      <c r="A35" s="292" t="s">
        <v>137</v>
      </c>
      <c r="B35" s="292" t="s">
        <v>30</v>
      </c>
      <c r="C35" s="292" t="s">
        <v>147</v>
      </c>
      <c r="D35" s="111" t="s">
        <v>186</v>
      </c>
      <c r="E35" s="111" t="s">
        <v>187</v>
      </c>
      <c r="F35" s="111" t="s">
        <v>188</v>
      </c>
      <c r="G35" s="111" t="s">
        <v>189</v>
      </c>
      <c r="H35" s="111" t="s">
        <v>11</v>
      </c>
      <c r="I35" s="111" t="s">
        <v>190</v>
      </c>
      <c r="J35" s="111" t="s">
        <v>191</v>
      </c>
      <c r="K35" s="836" t="s">
        <v>192</v>
      </c>
      <c r="L35" s="361" t="s">
        <v>203</v>
      </c>
      <c r="M35" s="361" t="s">
        <v>42</v>
      </c>
      <c r="N35" s="361" t="s">
        <v>148</v>
      </c>
      <c r="O35" s="361" t="s">
        <v>193</v>
      </c>
      <c r="P35" s="361" t="s">
        <v>142</v>
      </c>
      <c r="Q35" s="362" t="s">
        <v>239</v>
      </c>
      <c r="R35" s="362" t="s">
        <v>672</v>
      </c>
      <c r="S35" s="857" t="s">
        <v>541</v>
      </c>
      <c r="T35" s="857" t="s">
        <v>542</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row>
    <row r="36" spans="1:46" s="3" customFormat="1" ht="15.95" customHeight="1">
      <c r="A36" s="375" t="s">
        <v>567</v>
      </c>
      <c r="B36" s="934"/>
      <c r="C36" s="267"/>
      <c r="D36" s="166"/>
      <c r="E36" s="166"/>
      <c r="F36" s="166"/>
      <c r="G36" s="166"/>
      <c r="H36" s="249"/>
      <c r="I36" s="947">
        <v>0</v>
      </c>
      <c r="J36" s="947">
        <v>0</v>
      </c>
      <c r="K36" s="944"/>
      <c r="L36" s="250"/>
      <c r="M36" s="249"/>
      <c r="N36" s="249"/>
      <c r="O36" s="249"/>
      <c r="P36" s="249"/>
      <c r="Q36" s="945"/>
      <c r="R36" s="946"/>
      <c r="S36" s="946"/>
      <c r="T36" s="946"/>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spans="1:46" s="1297" customFormat="1" ht="12">
      <c r="A37" s="3"/>
      <c r="B37" s="3"/>
      <c r="C37" s="3"/>
      <c r="D37" s="3"/>
      <c r="E37" s="3"/>
      <c r="F37" s="3"/>
      <c r="G37" s="3"/>
      <c r="H37" s="5"/>
      <c r="I37" s="3">
        <v>761</v>
      </c>
      <c r="J37" s="3" t="s">
        <v>698</v>
      </c>
      <c r="K37" s="3"/>
      <c r="L37" s="5" t="s">
        <v>34</v>
      </c>
      <c r="M37" s="5" t="s">
        <v>1833</v>
      </c>
      <c r="N37" s="5" t="s">
        <v>163</v>
      </c>
      <c r="O37" s="5" t="s">
        <v>153</v>
      </c>
      <c r="P37" s="5" t="s">
        <v>138</v>
      </c>
      <c r="Q37" s="505">
        <v>44738</v>
      </c>
      <c r="R37" s="3" t="s">
        <v>140</v>
      </c>
      <c r="S37" s="5"/>
      <c r="T37" s="3"/>
      <c r="U37" s="3"/>
      <c r="V37" s="3"/>
    </row>
    <row r="38" spans="1:46" s="1297" customFormat="1" ht="12">
      <c r="I38" s="1297">
        <v>660</v>
      </c>
      <c r="J38" s="1297" t="s">
        <v>811</v>
      </c>
      <c r="L38" s="5" t="s">
        <v>34</v>
      </c>
      <c r="M38" s="5" t="s">
        <v>1833</v>
      </c>
      <c r="N38" s="5" t="s">
        <v>163</v>
      </c>
      <c r="O38" s="5" t="s">
        <v>152</v>
      </c>
      <c r="P38" s="5" t="s">
        <v>138</v>
      </c>
      <c r="Q38" s="1297">
        <v>85844</v>
      </c>
      <c r="R38" s="5" t="s">
        <v>140</v>
      </c>
    </row>
    <row r="39" spans="1:46" s="1297" customFormat="1" ht="12">
      <c r="J39" s="1297" t="s">
        <v>1837</v>
      </c>
      <c r="L39" s="5" t="s">
        <v>34</v>
      </c>
      <c r="M39" s="5" t="s">
        <v>1833</v>
      </c>
      <c r="N39" s="5" t="s">
        <v>163</v>
      </c>
      <c r="O39" s="5" t="s">
        <v>41</v>
      </c>
      <c r="P39" s="5" t="s">
        <v>138</v>
      </c>
      <c r="Q39" s="1297">
        <v>1403718</v>
      </c>
      <c r="R39" s="1297" t="s">
        <v>140</v>
      </c>
    </row>
    <row r="40" spans="1:46" s="1297" customFormat="1" ht="12">
      <c r="J40" s="1297" t="s">
        <v>1839</v>
      </c>
      <c r="L40" s="2" t="s">
        <v>34</v>
      </c>
      <c r="M40" s="2" t="s">
        <v>1833</v>
      </c>
      <c r="N40" s="2" t="s">
        <v>163</v>
      </c>
      <c r="O40" s="2" t="s">
        <v>152</v>
      </c>
      <c r="P40" s="2" t="s">
        <v>147</v>
      </c>
      <c r="Q40" s="1297">
        <f>'1$REV-CharterAuditData'!G12</f>
        <v>3358</v>
      </c>
      <c r="R40" s="2" t="s">
        <v>140</v>
      </c>
    </row>
    <row r="41" spans="1:46" s="1297" customFormat="1" ht="12">
      <c r="J41" s="1297" t="s">
        <v>1838</v>
      </c>
      <c r="L41" s="2" t="s">
        <v>34</v>
      </c>
      <c r="M41" s="2" t="s">
        <v>1833</v>
      </c>
      <c r="N41" s="2" t="s">
        <v>163</v>
      </c>
      <c r="O41" s="2" t="s">
        <v>153</v>
      </c>
      <c r="P41" s="2" t="s">
        <v>147</v>
      </c>
      <c r="Q41" s="1297">
        <f>'1$REV-CharterAuditData'!G29</f>
        <v>4291</v>
      </c>
    </row>
    <row r="42" spans="1:46" s="1297" customFormat="1" ht="12">
      <c r="J42" s="1297" t="s">
        <v>1617</v>
      </c>
      <c r="L42" s="2" t="s">
        <v>34</v>
      </c>
      <c r="M42" s="2" t="s">
        <v>1833</v>
      </c>
      <c r="N42" s="2" t="s">
        <v>163</v>
      </c>
      <c r="O42" s="2" t="s">
        <v>41</v>
      </c>
      <c r="P42" s="2" t="s">
        <v>147</v>
      </c>
      <c r="Q42" s="1297">
        <f>'1$REV-CharterAuditData'!G60</f>
        <v>15276</v>
      </c>
      <c r="R42" s="2" t="s">
        <v>140</v>
      </c>
    </row>
    <row r="43" spans="1:46" s="1297" customFormat="1"/>
    <row r="44" spans="1:46" s="1297" customFormat="1"/>
    <row r="45" spans="1:46" s="1297" customFormat="1"/>
    <row r="46" spans="1:46" s="1297" customFormat="1"/>
    <row r="47" spans="1:46" s="1297" customFormat="1"/>
    <row r="48" spans="1:46" s="265" customFormat="1" ht="15.95" customHeight="1">
      <c r="A48" s="269" t="s">
        <v>305</v>
      </c>
      <c r="B48" s="916" t="s">
        <v>619</v>
      </c>
      <c r="C48" s="270"/>
      <c r="D48" s="270"/>
      <c r="E48" s="266"/>
      <c r="F48" s="266"/>
      <c r="G48" s="266"/>
      <c r="H48" s="268"/>
      <c r="I48" s="947" t="s">
        <v>574</v>
      </c>
      <c r="J48" s="947" t="s">
        <v>574</v>
      </c>
      <c r="K48" s="944"/>
      <c r="L48" s="250"/>
      <c r="M48" s="268"/>
      <c r="N48" s="268"/>
      <c r="O48" s="268"/>
      <c r="P48" s="268"/>
      <c r="Q48" s="949"/>
      <c r="R48" s="948"/>
      <c r="S48" s="944"/>
      <c r="T48" s="948"/>
      <c r="U48" s="271"/>
      <c r="V48" s="272"/>
      <c r="W48" s="272"/>
      <c r="X48" s="272"/>
      <c r="Y48" s="272"/>
      <c r="Z48" s="272"/>
      <c r="AA48" s="272"/>
      <c r="AB48" s="272"/>
      <c r="AC48" s="272"/>
      <c r="AD48" s="272"/>
      <c r="AE48" s="272"/>
      <c r="AF48" s="272"/>
      <c r="AG48" s="271"/>
      <c r="AH48" s="271"/>
      <c r="AI48" s="271"/>
      <c r="AJ48" s="271"/>
      <c r="AK48" s="271"/>
      <c r="AL48" s="271"/>
      <c r="AM48" s="271"/>
      <c r="AN48" s="271"/>
      <c r="AO48" s="271"/>
      <c r="AP48" s="911"/>
      <c r="AQ48" s="272"/>
      <c r="AR48" s="272"/>
      <c r="AS48" s="272"/>
      <c r="AT48" s="272"/>
    </row>
    <row r="49" spans="1:26" s="3" customFormat="1" ht="15.95" customHeight="1">
      <c r="H49" s="5"/>
      <c r="Q49" s="4"/>
      <c r="S49" s="5"/>
    </row>
    <row r="50" spans="1:26" s="3" customFormat="1" ht="30" customHeight="1">
      <c r="A50" s="823" t="s">
        <v>535</v>
      </c>
      <c r="B50" s="823" t="s">
        <v>535</v>
      </c>
      <c r="C50" s="823" t="s">
        <v>535</v>
      </c>
      <c r="D50" s="823" t="s">
        <v>535</v>
      </c>
      <c r="E50" s="823" t="s">
        <v>535</v>
      </c>
      <c r="F50" s="823" t="s">
        <v>535</v>
      </c>
      <c r="G50" s="823" t="s">
        <v>535</v>
      </c>
      <c r="H50" s="823" t="s">
        <v>535</v>
      </c>
      <c r="I50" s="823" t="s">
        <v>535</v>
      </c>
      <c r="J50" s="823" t="s">
        <v>535</v>
      </c>
      <c r="K50" s="823" t="s">
        <v>535</v>
      </c>
      <c r="L50" s="823" t="s">
        <v>535</v>
      </c>
      <c r="M50" s="823" t="s">
        <v>535</v>
      </c>
      <c r="N50" s="823" t="s">
        <v>535</v>
      </c>
      <c r="O50" s="823" t="s">
        <v>535</v>
      </c>
      <c r="P50" s="823" t="s">
        <v>535</v>
      </c>
      <c r="Q50" s="823" t="s">
        <v>535</v>
      </c>
      <c r="R50" s="823" t="s">
        <v>535</v>
      </c>
      <c r="S50" s="823" t="s">
        <v>535</v>
      </c>
      <c r="T50" s="823" t="s">
        <v>535</v>
      </c>
      <c r="U50" s="868"/>
      <c r="V50" s="868"/>
    </row>
    <row r="51" spans="1:26" s="3" customFormat="1" ht="30" customHeight="1">
      <c r="A51" s="823" t="s">
        <v>535</v>
      </c>
      <c r="B51" s="823" t="s">
        <v>535</v>
      </c>
      <c r="C51" s="823" t="s">
        <v>535</v>
      </c>
      <c r="D51" s="823" t="s">
        <v>535</v>
      </c>
      <c r="E51" s="823" t="s">
        <v>535</v>
      </c>
      <c r="F51" s="823" t="s">
        <v>535</v>
      </c>
      <c r="G51" s="823" t="s">
        <v>535</v>
      </c>
      <c r="H51" s="823" t="s">
        <v>535</v>
      </c>
      <c r="I51" s="823" t="s">
        <v>535</v>
      </c>
      <c r="J51" s="823" t="s">
        <v>535</v>
      </c>
      <c r="K51" s="823" t="s">
        <v>535</v>
      </c>
      <c r="L51" s="823" t="s">
        <v>535</v>
      </c>
      <c r="M51" s="823" t="s">
        <v>535</v>
      </c>
      <c r="N51" s="823" t="s">
        <v>535</v>
      </c>
      <c r="O51" s="823" t="s">
        <v>535</v>
      </c>
      <c r="P51" s="823" t="s">
        <v>535</v>
      </c>
      <c r="Q51" s="823" t="s">
        <v>535</v>
      </c>
      <c r="R51" s="823" t="s">
        <v>535</v>
      </c>
      <c r="S51" s="823" t="s">
        <v>535</v>
      </c>
      <c r="T51" s="823" t="s">
        <v>535</v>
      </c>
      <c r="U51" s="868"/>
      <c r="V51" s="868"/>
      <c r="Z51" s="868"/>
    </row>
    <row r="52" spans="1:26" s="3" customFormat="1" ht="30" customHeight="1">
      <c r="A52" s="823" t="s">
        <v>535</v>
      </c>
      <c r="B52" s="823" t="s">
        <v>535</v>
      </c>
      <c r="C52" s="823" t="s">
        <v>535</v>
      </c>
      <c r="D52" s="823" t="s">
        <v>535</v>
      </c>
      <c r="E52" s="823" t="s">
        <v>535</v>
      </c>
      <c r="F52" s="823" t="s">
        <v>535</v>
      </c>
      <c r="G52" s="823" t="s">
        <v>535</v>
      </c>
      <c r="H52" s="823" t="s">
        <v>535</v>
      </c>
      <c r="I52" s="823" t="s">
        <v>535</v>
      </c>
      <c r="J52" s="823" t="s">
        <v>535</v>
      </c>
      <c r="K52" s="823" t="s">
        <v>535</v>
      </c>
      <c r="L52" s="823" t="s">
        <v>535</v>
      </c>
      <c r="M52" s="823" t="s">
        <v>535</v>
      </c>
      <c r="N52" s="823" t="s">
        <v>535</v>
      </c>
      <c r="O52" s="823" t="s">
        <v>535</v>
      </c>
      <c r="P52" s="823" t="s">
        <v>535</v>
      </c>
      <c r="Q52" s="823" t="s">
        <v>535</v>
      </c>
      <c r="R52" s="823" t="s">
        <v>535</v>
      </c>
      <c r="S52" s="823" t="s">
        <v>535</v>
      </c>
      <c r="T52" s="823" t="s">
        <v>535</v>
      </c>
      <c r="U52" s="868"/>
      <c r="V52" s="868"/>
      <c r="Z52" s="868"/>
    </row>
    <row r="53" spans="1:26" s="3" customFormat="1" ht="30" customHeight="1">
      <c r="A53" s="823" t="s">
        <v>535</v>
      </c>
      <c r="B53" s="823" t="s">
        <v>535</v>
      </c>
      <c r="C53" s="823" t="s">
        <v>535</v>
      </c>
      <c r="D53" s="823" t="s">
        <v>535</v>
      </c>
      <c r="E53" s="823" t="s">
        <v>535</v>
      </c>
      <c r="F53" s="823" t="s">
        <v>535</v>
      </c>
      <c r="G53" s="823" t="s">
        <v>535</v>
      </c>
      <c r="H53" s="823" t="s">
        <v>535</v>
      </c>
      <c r="I53" s="823" t="s">
        <v>535</v>
      </c>
      <c r="J53" s="823" t="s">
        <v>535</v>
      </c>
      <c r="K53" s="823" t="s">
        <v>535</v>
      </c>
      <c r="L53" s="823" t="s">
        <v>535</v>
      </c>
      <c r="M53" s="823" t="s">
        <v>535</v>
      </c>
      <c r="N53" s="823" t="s">
        <v>535</v>
      </c>
      <c r="O53" s="823" t="s">
        <v>535</v>
      </c>
      <c r="P53" s="823" t="s">
        <v>535</v>
      </c>
      <c r="Q53" s="823" t="s">
        <v>535</v>
      </c>
      <c r="R53" s="823" t="s">
        <v>535</v>
      </c>
      <c r="S53" s="823" t="s">
        <v>535</v>
      </c>
      <c r="T53" s="823" t="s">
        <v>535</v>
      </c>
      <c r="U53" s="868"/>
      <c r="V53" s="868"/>
      <c r="Z53" s="868"/>
    </row>
    <row r="54" spans="1:26" s="3" customFormat="1" ht="30" customHeight="1">
      <c r="A54" s="823" t="s">
        <v>535</v>
      </c>
      <c r="B54" s="823" t="s">
        <v>535</v>
      </c>
      <c r="C54" s="823" t="s">
        <v>535</v>
      </c>
      <c r="D54" s="823" t="s">
        <v>535</v>
      </c>
      <c r="E54" s="823" t="s">
        <v>535</v>
      </c>
      <c r="F54" s="823" t="s">
        <v>535</v>
      </c>
      <c r="G54" s="823" t="s">
        <v>535</v>
      </c>
      <c r="H54" s="823" t="s">
        <v>535</v>
      </c>
      <c r="I54" s="823" t="s">
        <v>535</v>
      </c>
      <c r="J54" s="823" t="s">
        <v>535</v>
      </c>
      <c r="K54" s="823" t="s">
        <v>535</v>
      </c>
      <c r="L54" s="823" t="s">
        <v>535</v>
      </c>
      <c r="M54" s="823" t="s">
        <v>535</v>
      </c>
      <c r="N54" s="823" t="s">
        <v>535</v>
      </c>
      <c r="O54" s="823" t="s">
        <v>535</v>
      </c>
      <c r="P54" s="823" t="s">
        <v>535</v>
      </c>
      <c r="Q54" s="823" t="s">
        <v>535</v>
      </c>
      <c r="R54" s="823" t="s">
        <v>535</v>
      </c>
      <c r="S54" s="823" t="s">
        <v>535</v>
      </c>
      <c r="T54" s="823" t="s">
        <v>535</v>
      </c>
      <c r="U54" s="868"/>
      <c r="V54" s="868"/>
    </row>
    <row r="58" spans="1:26" ht="12">
      <c r="A58" s="3"/>
      <c r="B58" s="3"/>
      <c r="C58" s="3"/>
      <c r="D58" s="3"/>
      <c r="E58" s="3"/>
      <c r="F58" s="3"/>
      <c r="G58" s="3"/>
      <c r="H58" s="5"/>
      <c r="I58" s="3"/>
      <c r="J58" s="3"/>
      <c r="K58" s="3"/>
      <c r="L58" s="5"/>
      <c r="M58" s="5"/>
      <c r="N58" s="5"/>
      <c r="O58" s="5"/>
      <c r="P58" s="5"/>
      <c r="Q58" s="505"/>
      <c r="R58" s="3"/>
      <c r="S58" s="5"/>
      <c r="T58" s="3"/>
      <c r="U58" s="3"/>
      <c r="V58" s="3"/>
    </row>
  </sheetData>
  <autoFilter ref="A35:T48"/>
  <sortState ref="A36:T46">
    <sortCondition ref="I36:I46"/>
  </sortState>
  <mergeCells count="104">
    <mergeCell ref="S31:T31"/>
    <mergeCell ref="A1:I2"/>
    <mergeCell ref="C5:I5"/>
    <mergeCell ref="C6:I6"/>
    <mergeCell ref="C7:I7"/>
    <mergeCell ref="C8:I8"/>
    <mergeCell ref="C9:I9"/>
    <mergeCell ref="C10:I10"/>
    <mergeCell ref="C11:I11"/>
    <mergeCell ref="C12:I12"/>
    <mergeCell ref="C13:I13"/>
    <mergeCell ref="C14:I14"/>
    <mergeCell ref="C15:I15"/>
    <mergeCell ref="C16:I16"/>
    <mergeCell ref="C17:I17"/>
    <mergeCell ref="C18:I18"/>
    <mergeCell ref="C19:I19"/>
    <mergeCell ref="C4:I4"/>
    <mergeCell ref="B20:D29"/>
    <mergeCell ref="E20:G20"/>
    <mergeCell ref="H20:I20"/>
    <mergeCell ref="B30:I30"/>
    <mergeCell ref="L24:M24"/>
    <mergeCell ref="N24:O24"/>
    <mergeCell ref="L25:M25"/>
    <mergeCell ref="N25:O25"/>
    <mergeCell ref="N28:O28"/>
    <mergeCell ref="D34:G34"/>
    <mergeCell ref="H34:K34"/>
    <mergeCell ref="L26:M26"/>
    <mergeCell ref="N26:O26"/>
    <mergeCell ref="L27:M27"/>
    <mergeCell ref="N27:O27"/>
    <mergeCell ref="L34:Q34"/>
    <mergeCell ref="L21:M21"/>
    <mergeCell ref="N21:O21"/>
    <mergeCell ref="L22:M22"/>
    <mergeCell ref="N22:O22"/>
    <mergeCell ref="L23:M23"/>
    <mergeCell ref="N23:O23"/>
    <mergeCell ref="L18:M18"/>
    <mergeCell ref="N18:O18"/>
    <mergeCell ref="L19:M19"/>
    <mergeCell ref="N19:O19"/>
    <mergeCell ref="L20:M20"/>
    <mergeCell ref="N20:O20"/>
    <mergeCell ref="L15:M15"/>
    <mergeCell ref="N15:O15"/>
    <mergeCell ref="L16:M16"/>
    <mergeCell ref="N16:O16"/>
    <mergeCell ref="L17:M17"/>
    <mergeCell ref="N17:O17"/>
    <mergeCell ref="L12:M12"/>
    <mergeCell ref="N12:O12"/>
    <mergeCell ref="L13:M13"/>
    <mergeCell ref="N13:O13"/>
    <mergeCell ref="L14:M14"/>
    <mergeCell ref="N14:O14"/>
    <mergeCell ref="L8:M8"/>
    <mergeCell ref="N8:O8"/>
    <mergeCell ref="L9:M9"/>
    <mergeCell ref="N9:O9"/>
    <mergeCell ref="L10:M10"/>
    <mergeCell ref="N10:O10"/>
    <mergeCell ref="L11:M11"/>
    <mergeCell ref="N11:O11"/>
    <mergeCell ref="W4:X4"/>
    <mergeCell ref="W5:X5"/>
    <mergeCell ref="W6:X6"/>
    <mergeCell ref="W7:X7"/>
    <mergeCell ref="L3:M3"/>
    <mergeCell ref="N3:O3"/>
    <mergeCell ref="L4:M4"/>
    <mergeCell ref="N4:O4"/>
    <mergeCell ref="L5:M5"/>
    <mergeCell ref="N5:O5"/>
    <mergeCell ref="L6:M6"/>
    <mergeCell ref="N6:O6"/>
    <mergeCell ref="L7:M7"/>
    <mergeCell ref="N7:O7"/>
    <mergeCell ref="W1:AD1"/>
    <mergeCell ref="W28:X28"/>
    <mergeCell ref="S29:T29"/>
    <mergeCell ref="W23:X23"/>
    <mergeCell ref="W24:X24"/>
    <mergeCell ref="W25:X25"/>
    <mergeCell ref="W26:X26"/>
    <mergeCell ref="W27:X27"/>
    <mergeCell ref="W18:X18"/>
    <mergeCell ref="W19:X19"/>
    <mergeCell ref="W20:X20"/>
    <mergeCell ref="W21:X21"/>
    <mergeCell ref="W22:X22"/>
    <mergeCell ref="W13:X13"/>
    <mergeCell ref="W14:X14"/>
    <mergeCell ref="W15:X15"/>
    <mergeCell ref="W16:X16"/>
    <mergeCell ref="W17:X17"/>
    <mergeCell ref="W8:X8"/>
    <mergeCell ref="W9:X9"/>
    <mergeCell ref="W10:X10"/>
    <mergeCell ref="W11:X11"/>
    <mergeCell ref="W12:X12"/>
    <mergeCell ref="W3:X3"/>
  </mergeCells>
  <phoneticPr fontId="146" type="noConversion"/>
  <conditionalFormatting sqref="R8:S8 R23:S24">
    <cfRule type="expression" dxfId="12" priority="8">
      <formula>"&lt;&gt;0"</formula>
    </cfRule>
  </conditionalFormatting>
  <conditionalFormatting sqref="R8:S8">
    <cfRule type="expression" dxfId="11" priority="7">
      <formula>0</formula>
    </cfRule>
  </conditionalFormatting>
  <conditionalFormatting sqref="D33:Q33 S33:T33">
    <cfRule type="cellIs" dxfId="10" priority="6" operator="notEqual">
      <formula>0</formula>
    </cfRule>
  </conditionalFormatting>
  <conditionalFormatting sqref="AA8:AB8 AA23:AB24">
    <cfRule type="expression" dxfId="9" priority="5">
      <formula>"&lt;&gt;0"</formula>
    </cfRule>
  </conditionalFormatting>
  <conditionalFormatting sqref="AA8:AB8">
    <cfRule type="expression" dxfId="8" priority="4">
      <formula>0</formula>
    </cfRule>
  </conditionalFormatting>
  <conditionalFormatting sqref="R33">
    <cfRule type="cellIs" dxfId="7" priority="3" operator="notEqual">
      <formula>0</formula>
    </cfRule>
  </conditionalFormatting>
  <conditionalFormatting sqref="AB3">
    <cfRule type="expression" dxfId="6" priority="2">
      <formula>"&lt;&gt;0"</formula>
    </cfRule>
  </conditionalFormatting>
  <conditionalFormatting sqref="AB3">
    <cfRule type="expression" dxfId="5" priority="1">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G417"/>
  <sheetViews>
    <sheetView workbookViewId="0"/>
  </sheetViews>
  <sheetFormatPr defaultColWidth="8.83203125" defaultRowHeight="12"/>
  <cols>
    <col min="1" max="1" width="3" style="3" customWidth="1"/>
    <col min="2" max="2" width="41.5" style="3" customWidth="1"/>
    <col min="3" max="3" width="1.6640625" style="3" customWidth="1"/>
    <col min="4" max="4" width="12.33203125" style="5" customWidth="1"/>
    <col min="5" max="5" width="15.83203125" style="3" customWidth="1"/>
    <col min="6" max="6" width="14.5" style="5" customWidth="1"/>
    <col min="7" max="7" width="20" style="3" customWidth="1"/>
    <col min="8" max="8" width="16.5" style="5" customWidth="1"/>
    <col min="9" max="9" width="11.6640625" style="5" customWidth="1"/>
    <col min="10" max="10" width="15.33203125" style="3" customWidth="1"/>
    <col min="11" max="11" width="12" style="3" customWidth="1"/>
    <col min="12" max="12" width="17.1640625" style="5" customWidth="1"/>
    <col min="13" max="13" width="15.1640625" style="5" customWidth="1"/>
    <col min="14" max="14" width="14.5" style="3" customWidth="1"/>
    <col min="15" max="15" width="16" style="5" customWidth="1"/>
    <col min="16" max="16" width="10.83203125" style="5" customWidth="1"/>
    <col min="17" max="17" width="22.83203125" style="3" customWidth="1"/>
    <col min="18" max="18" width="25.83203125" style="3" customWidth="1"/>
    <col min="19" max="19" width="16.5" style="3" customWidth="1"/>
    <col min="20" max="20" width="15.83203125" style="3" customWidth="1"/>
    <col min="21" max="21" width="10.83203125" style="3" customWidth="1"/>
    <col min="22" max="22" width="12.6640625" style="3" customWidth="1"/>
    <col min="23" max="32" width="10.83203125" style="3" customWidth="1"/>
    <col min="33" max="16384" width="8.83203125" style="3"/>
  </cols>
  <sheetData>
    <row r="1" spans="1:33" ht="15.95" customHeight="1" thickTop="1" thickBot="1">
      <c r="A1" s="79" t="s">
        <v>95</v>
      </c>
      <c r="B1" s="81" t="s">
        <v>5</v>
      </c>
      <c r="C1" s="81"/>
      <c r="D1" s="235"/>
      <c r="E1" s="81"/>
      <c r="F1" s="98" t="s">
        <v>3</v>
      </c>
      <c r="G1" s="79" t="s">
        <v>6</v>
      </c>
      <c r="H1" s="82"/>
      <c r="I1" s="98" t="s">
        <v>3</v>
      </c>
      <c r="J1" s="79" t="s">
        <v>7</v>
      </c>
      <c r="K1" s="81"/>
      <c r="L1" s="98" t="s">
        <v>3</v>
      </c>
      <c r="M1" s="79" t="s">
        <v>8</v>
      </c>
      <c r="N1" s="81"/>
      <c r="O1" s="98" t="s">
        <v>3</v>
      </c>
      <c r="P1" s="79" t="s">
        <v>9</v>
      </c>
      <c r="Q1" s="81"/>
      <c r="R1" s="98" t="s">
        <v>3</v>
      </c>
      <c r="S1" s="79" t="s">
        <v>10</v>
      </c>
      <c r="T1" s="81"/>
      <c r="U1" s="98" t="s">
        <v>3</v>
      </c>
      <c r="X1" s="120"/>
      <c r="Y1" s="120"/>
      <c r="Z1" s="120"/>
      <c r="AA1" s="120"/>
      <c r="AB1" s="120"/>
      <c r="AC1" s="120"/>
    </row>
    <row r="2" spans="1:33" ht="15.95" customHeight="1" thickTop="1">
      <c r="A2" s="72"/>
      <c r="B2" s="64" t="s">
        <v>325</v>
      </c>
      <c r="C2" s="64"/>
      <c r="D2" s="85"/>
      <c r="E2" s="66">
        <f>'ENR#-DB'!Q6</f>
        <v>1534300</v>
      </c>
      <c r="F2" s="236"/>
      <c r="G2" s="215"/>
      <c r="H2" s="66">
        <f>'ENR#-DB'!Q9</f>
        <v>85844</v>
      </c>
      <c r="I2" s="236"/>
      <c r="J2" s="215"/>
      <c r="K2" s="66">
        <f>'ENR#-DB'!Q11</f>
        <v>44738</v>
      </c>
      <c r="L2" s="236"/>
      <c r="M2" s="215"/>
      <c r="N2" s="66">
        <f>'ENR#-DB'!Q13</f>
        <v>0</v>
      </c>
      <c r="O2" s="236"/>
      <c r="P2" s="215"/>
      <c r="Q2" s="66">
        <f>'ENR#-DB'!Q15</f>
        <v>0</v>
      </c>
      <c r="R2" s="236"/>
      <c r="S2" s="215"/>
      <c r="T2" s="66">
        <f>'ENR#-DB'!Q17</f>
        <v>0</v>
      </c>
      <c r="U2" s="236"/>
      <c r="X2" s="120"/>
      <c r="Y2" s="120"/>
      <c r="Z2" s="120"/>
      <c r="AA2" s="120"/>
      <c r="AB2" s="120"/>
      <c r="AC2" s="120"/>
    </row>
    <row r="3" spans="1:33" ht="15.95" customHeight="1">
      <c r="A3" s="72"/>
      <c r="B3" s="64" t="s">
        <v>68</v>
      </c>
      <c r="C3" s="64"/>
      <c r="D3" s="85" t="str">
        <f>IF(AND(F3&gt;-0.005,F3&lt;0.005),"","ERROR!")</f>
        <v/>
      </c>
      <c r="E3" s="66">
        <f>B13</f>
        <v>1534300</v>
      </c>
      <c r="F3" s="236">
        <f>E2-E3</f>
        <v>0</v>
      </c>
      <c r="G3" s="85" t="str">
        <f>IF(AND(I3&gt;-0.005,I3&lt;0.005),"","ERROR!")</f>
        <v/>
      </c>
      <c r="H3" s="66">
        <f>B33</f>
        <v>85844</v>
      </c>
      <c r="I3" s="236">
        <f>H2-H3</f>
        <v>0</v>
      </c>
      <c r="J3" s="85" t="str">
        <f>IF(AND(L3&gt;-0.005,L3&lt;0.005),"","ERROR!")</f>
        <v/>
      </c>
      <c r="K3" s="66">
        <f>B53</f>
        <v>44738</v>
      </c>
      <c r="L3" s="236">
        <f>K2-K3</f>
        <v>0</v>
      </c>
      <c r="M3" s="85" t="str">
        <f>IF(AND(O3&gt;-0.005,O3&lt;0.005),"","ERROR!")</f>
        <v/>
      </c>
      <c r="N3" s="66">
        <f>B73</f>
        <v>0</v>
      </c>
      <c r="O3" s="236">
        <f>N2-N3</f>
        <v>0</v>
      </c>
      <c r="P3" s="85" t="str">
        <f>IF(AND(R3&gt;-0.005,R3&lt;0.005),"","ERROR!")</f>
        <v/>
      </c>
      <c r="Q3" s="66">
        <f>B93</f>
        <v>0</v>
      </c>
      <c r="R3" s="236">
        <f>Q2-Q3</f>
        <v>0</v>
      </c>
      <c r="S3" s="85" t="str">
        <f>IF(AND(U3&gt;-0.005,U3&lt;0.005),"","ERROR!")</f>
        <v/>
      </c>
      <c r="T3" s="66">
        <f>B113</f>
        <v>0</v>
      </c>
      <c r="U3" s="236">
        <f>T2-T3</f>
        <v>0</v>
      </c>
      <c r="X3" s="120"/>
      <c r="Y3" s="120"/>
      <c r="Z3" s="120"/>
      <c r="AA3" s="120"/>
      <c r="AB3" s="120"/>
      <c r="AC3" s="120"/>
    </row>
    <row r="4" spans="1:33" ht="15.95" customHeight="1">
      <c r="A4" s="72"/>
      <c r="B4" s="64"/>
      <c r="C4" s="64"/>
      <c r="D4" s="85"/>
      <c r="E4" s="66"/>
      <c r="F4" s="236"/>
      <c r="G4" s="215"/>
      <c r="H4" s="66"/>
      <c r="I4" s="236"/>
      <c r="J4" s="215"/>
      <c r="K4" s="66"/>
      <c r="L4" s="236"/>
      <c r="M4" s="215"/>
      <c r="N4" s="66"/>
      <c r="O4" s="236"/>
      <c r="P4" s="215"/>
      <c r="Q4" s="66"/>
      <c r="R4" s="236"/>
      <c r="S4" s="215"/>
      <c r="T4" s="66"/>
      <c r="U4" s="236"/>
      <c r="X4" s="120"/>
      <c r="Y4" s="120"/>
      <c r="Z4" s="120"/>
      <c r="AA4" s="120"/>
      <c r="AB4" s="120"/>
      <c r="AC4" s="120"/>
    </row>
    <row r="5" spans="1:33" ht="15.95" customHeight="1">
      <c r="A5" s="72"/>
      <c r="B5" s="64" t="s">
        <v>326</v>
      </c>
      <c r="C5" s="64"/>
      <c r="D5" s="85"/>
      <c r="E5" s="66">
        <f>'ENR#-DB'!Q7</f>
        <v>22925</v>
      </c>
      <c r="F5" s="236"/>
      <c r="G5" s="215"/>
      <c r="H5" s="66">
        <f>'ENR#-DB'!Q10</f>
        <v>3358</v>
      </c>
      <c r="I5" s="236"/>
      <c r="J5" s="215"/>
      <c r="K5" s="66">
        <f>'ENR#-DB'!Q12</f>
        <v>4291</v>
      </c>
      <c r="L5" s="236"/>
      <c r="M5" s="215"/>
      <c r="N5" s="66">
        <f>'ENR#-DB'!Q14</f>
        <v>0</v>
      </c>
      <c r="O5" s="236"/>
      <c r="P5" s="215"/>
      <c r="Q5" s="66">
        <f>'ENR#-DB'!Q16</f>
        <v>0</v>
      </c>
      <c r="R5" s="236"/>
      <c r="S5" s="215"/>
      <c r="T5" s="66">
        <f>'ENR#-DB'!Q18</f>
        <v>0</v>
      </c>
      <c r="U5" s="236"/>
      <c r="X5" s="120"/>
      <c r="Y5" s="120"/>
      <c r="Z5" s="120"/>
      <c r="AA5" s="120"/>
      <c r="AB5" s="120"/>
      <c r="AC5" s="120"/>
    </row>
    <row r="6" spans="1:33" ht="15.95" customHeight="1" thickBot="1">
      <c r="A6" s="72"/>
      <c r="B6" s="64" t="s">
        <v>69</v>
      </c>
      <c r="C6" s="64"/>
      <c r="D6" s="85" t="str">
        <f>IF(AND(F6&gt;-0.005,F6&lt;0.005),"","ERROR!")</f>
        <v/>
      </c>
      <c r="E6" s="66">
        <f>B23</f>
        <v>22925</v>
      </c>
      <c r="F6" s="236">
        <f>E5-E6</f>
        <v>0</v>
      </c>
      <c r="G6" s="85" t="str">
        <f>IF(AND(I6&gt;-0.005,I6&lt;0.005),"","ERROR!")</f>
        <v/>
      </c>
      <c r="H6" s="66">
        <f>B43</f>
        <v>3358</v>
      </c>
      <c r="I6" s="236">
        <f>H5-H6</f>
        <v>0</v>
      </c>
      <c r="J6" s="85" t="str">
        <f>IF(AND(L6&gt;-0.005,L6&lt;0.005),"","ERROR!")</f>
        <v/>
      </c>
      <c r="K6" s="66">
        <f>B63</f>
        <v>4291</v>
      </c>
      <c r="L6" s="236">
        <f>K5-K6</f>
        <v>0</v>
      </c>
      <c r="M6" s="85" t="str">
        <f>IF(AND(O6&gt;-0.005,O6&lt;0.005),"","ERROR!")</f>
        <v/>
      </c>
      <c r="N6" s="66">
        <f>B83</f>
        <v>0</v>
      </c>
      <c r="O6" s="236">
        <f>N5-N6</f>
        <v>0</v>
      </c>
      <c r="P6" s="85" t="str">
        <f>IF(AND(R6&gt;-0.005,R6&lt;0.005),"","ERROR!")</f>
        <v/>
      </c>
      <c r="Q6" s="66">
        <f>B103</f>
        <v>0</v>
      </c>
      <c r="R6" s="236">
        <f>Q5-Q6</f>
        <v>0</v>
      </c>
      <c r="S6" s="85" t="str">
        <f>IF(AND(U6&gt;-0.005,U6&lt;0.005),"","ERROR!")</f>
        <v/>
      </c>
      <c r="T6" s="66">
        <f>B123</f>
        <v>0</v>
      </c>
      <c r="U6" s="236">
        <f>T5-T6</f>
        <v>0</v>
      </c>
      <c r="X6" s="120"/>
      <c r="Y6" s="120"/>
      <c r="Z6" s="120"/>
      <c r="AA6" s="120"/>
      <c r="AB6" s="120"/>
      <c r="AC6" s="120"/>
    </row>
    <row r="7" spans="1:33" ht="15.95" customHeight="1" thickTop="1" thickBot="1">
      <c r="A7" s="72"/>
      <c r="B7" s="64"/>
      <c r="C7" s="64"/>
      <c r="D7" s="85"/>
      <c r="E7" s="1984" t="s">
        <v>353</v>
      </c>
      <c r="F7" s="1985"/>
      <c r="G7" s="215"/>
      <c r="H7" s="66"/>
      <c r="I7" s="236"/>
      <c r="J7" s="215"/>
      <c r="K7" s="66"/>
      <c r="L7" s="236"/>
      <c r="M7" s="215"/>
      <c r="N7" s="66"/>
      <c r="O7" s="236"/>
      <c r="P7" s="215"/>
      <c r="Q7" s="66"/>
      <c r="R7" s="236"/>
      <c r="S7" s="215"/>
      <c r="T7" s="66"/>
      <c r="U7" s="236"/>
      <c r="X7" s="120"/>
      <c r="Y7" s="120"/>
      <c r="Z7" s="120"/>
      <c r="AA7" s="120"/>
      <c r="AB7" s="120"/>
      <c r="AC7" s="120"/>
    </row>
    <row r="8" spans="1:33" ht="15.95" customHeight="1" thickTop="1">
      <c r="A8" s="72"/>
      <c r="B8" s="64"/>
      <c r="C8" s="64"/>
      <c r="D8" s="85"/>
      <c r="E8" s="239" t="s">
        <v>352</v>
      </c>
      <c r="F8" s="236" t="str">
        <f>'FIG3'!W50</f>
        <v>FY2010-11</v>
      </c>
      <c r="G8" s="215"/>
      <c r="H8" s="66"/>
      <c r="I8" s="236"/>
      <c r="J8" s="215"/>
      <c r="K8" s="66"/>
      <c r="L8" s="236"/>
      <c r="M8" s="215"/>
      <c r="N8" s="66"/>
      <c r="O8" s="236"/>
      <c r="P8" s="215"/>
      <c r="Q8" s="66"/>
      <c r="R8" s="236"/>
      <c r="S8" s="215"/>
      <c r="T8" s="66"/>
      <c r="U8" s="236"/>
      <c r="X8" s="120"/>
      <c r="Y8" s="120"/>
      <c r="Z8" s="120"/>
      <c r="AA8" s="120"/>
      <c r="AB8" s="120"/>
      <c r="AC8" s="120"/>
    </row>
    <row r="9" spans="1:33" ht="15.95" customHeight="1" thickBot="1">
      <c r="A9" s="78"/>
      <c r="B9" s="104"/>
      <c r="C9" s="104"/>
      <c r="D9" s="243"/>
      <c r="E9" s="1986" t="s">
        <v>354</v>
      </c>
      <c r="F9" s="1987"/>
      <c r="G9" s="244"/>
      <c r="H9" s="238"/>
      <c r="I9" s="237"/>
      <c r="J9" s="245"/>
      <c r="K9" s="104"/>
      <c r="L9" s="237"/>
      <c r="M9" s="246"/>
      <c r="N9" s="104"/>
      <c r="O9" s="237"/>
      <c r="P9" s="246"/>
      <c r="Q9" s="104"/>
      <c r="R9" s="214"/>
      <c r="S9" s="869"/>
      <c r="T9" s="103"/>
      <c r="U9" s="214"/>
      <c r="V9" s="1"/>
      <c r="W9" s="1"/>
      <c r="X9" s="1"/>
      <c r="Y9" s="1"/>
      <c r="Z9" s="1"/>
      <c r="AA9" s="1"/>
      <c r="AB9" s="1"/>
      <c r="AC9" s="1"/>
      <c r="AD9" s="1"/>
      <c r="AE9" s="1"/>
      <c r="AF9" s="1"/>
      <c r="AG9" s="1"/>
    </row>
    <row r="10" spans="1:33" ht="15.95" customHeight="1" thickTop="1" thickBot="1">
      <c r="A10" s="49"/>
      <c r="B10" s="50" t="s">
        <v>0</v>
      </c>
      <c r="C10" s="49"/>
      <c r="D10" s="54"/>
      <c r="E10" s="53"/>
      <c r="F10" s="54"/>
      <c r="G10" s="53"/>
      <c r="H10" s="54"/>
      <c r="I10" s="54"/>
      <c r="J10" s="53"/>
      <c r="K10" s="53"/>
      <c r="L10" s="54"/>
      <c r="M10" s="55"/>
      <c r="N10" s="53"/>
      <c r="O10" s="54"/>
      <c r="P10" s="54"/>
      <c r="Q10" s="53"/>
      <c r="R10" s="53"/>
      <c r="S10" s="871" t="str">
        <f>'ENR#-DB'!$S$34</f>
        <v>UD1</v>
      </c>
      <c r="T10" s="871" t="str">
        <f>'ENR#-DB'!$T$34</f>
        <v>UD2</v>
      </c>
      <c r="U10" s="60"/>
      <c r="V10" s="56"/>
      <c r="W10" s="56"/>
      <c r="X10" s="56"/>
      <c r="Y10" s="56"/>
      <c r="Z10" s="56"/>
      <c r="AA10" s="56"/>
      <c r="AB10" s="56"/>
      <c r="AC10" s="56"/>
      <c r="AD10" s="56"/>
      <c r="AE10" s="56"/>
      <c r="AF10" s="56"/>
      <c r="AG10" s="1"/>
    </row>
    <row r="11" spans="1:33" ht="15.95" customHeight="1" thickTop="1" thickBot="1">
      <c r="A11" s="49"/>
      <c r="B11" s="51" t="s">
        <v>4</v>
      </c>
      <c r="C11" s="15"/>
      <c r="D11" s="301" t="s">
        <v>186</v>
      </c>
      <c r="E11" s="301" t="s">
        <v>187</v>
      </c>
      <c r="F11" s="301" t="s">
        <v>188</v>
      </c>
      <c r="G11" s="301" t="s">
        <v>189</v>
      </c>
      <c r="H11" s="301" t="s">
        <v>11</v>
      </c>
      <c r="I11" s="301" t="s">
        <v>190</v>
      </c>
      <c r="J11" s="301" t="s">
        <v>191</v>
      </c>
      <c r="K11" s="304" t="s">
        <v>192</v>
      </c>
      <c r="L11" s="301" t="s">
        <v>203</v>
      </c>
      <c r="M11" s="301" t="s">
        <v>42</v>
      </c>
      <c r="N11" s="301" t="s">
        <v>148</v>
      </c>
      <c r="O11" s="301" t="s">
        <v>193</v>
      </c>
      <c r="P11" s="301" t="s">
        <v>142</v>
      </c>
      <c r="Q11" s="112" t="s">
        <v>239</v>
      </c>
      <c r="R11" s="112" t="s">
        <v>672</v>
      </c>
      <c r="S11" s="859" t="s">
        <v>541</v>
      </c>
      <c r="T11" s="859" t="s">
        <v>542</v>
      </c>
      <c r="U11" s="59"/>
      <c r="V11" s="2"/>
      <c r="W11" s="2"/>
      <c r="X11" s="2"/>
      <c r="Y11" s="2"/>
      <c r="Z11" s="2"/>
      <c r="AA11" s="2"/>
      <c r="AB11" s="2"/>
      <c r="AC11" s="2"/>
      <c r="AD11" s="2"/>
      <c r="AE11" s="2"/>
      <c r="AF11" s="2"/>
      <c r="AG11" s="1"/>
    </row>
    <row r="12" spans="1:33" ht="15.95" customHeight="1" thickTop="1">
      <c r="A12" s="49"/>
      <c r="B12" s="50" t="s">
        <v>146</v>
      </c>
      <c r="C12" s="12"/>
      <c r="D12" s="37"/>
      <c r="E12" s="37"/>
      <c r="F12" s="37"/>
      <c r="G12" s="37"/>
      <c r="H12" s="37"/>
      <c r="I12" s="37"/>
      <c r="J12" s="37"/>
      <c r="K12" s="37"/>
      <c r="L12" s="364" t="s">
        <v>34</v>
      </c>
      <c r="M12" s="365"/>
      <c r="N12" s="365" t="str">
        <f t="shared" ref="N12:N18" si="0">$F$8</f>
        <v>FY2010-11</v>
      </c>
      <c r="O12" s="364"/>
      <c r="P12" s="364" t="s">
        <v>138</v>
      </c>
      <c r="Q12" s="364"/>
      <c r="R12" s="37"/>
      <c r="S12" s="37"/>
      <c r="T12" s="37"/>
      <c r="U12" s="58"/>
      <c r="V12" s="1"/>
      <c r="W12" s="1"/>
      <c r="X12" s="1"/>
      <c r="Y12" s="1"/>
      <c r="Z12" s="1"/>
      <c r="AA12" s="1"/>
      <c r="AB12" s="1"/>
      <c r="AC12" s="1"/>
      <c r="AD12" s="1"/>
      <c r="AE12" s="1"/>
      <c r="AF12" s="1"/>
      <c r="AG12" s="1"/>
    </row>
    <row r="13" spans="1:33" ht="15.95" customHeight="1">
      <c r="A13" s="49"/>
      <c r="B13" s="57">
        <f>DSUM('ENR#-DB'!D35:T48,"TOTAL ENROLLMENT",'ENR#-DSUM'!D11:T18)</f>
        <v>1534300</v>
      </c>
      <c r="C13" s="12"/>
      <c r="D13" s="37"/>
      <c r="E13" s="37"/>
      <c r="F13" s="37"/>
      <c r="G13" s="37"/>
      <c r="H13" s="37"/>
      <c r="I13" s="37"/>
      <c r="J13" s="37"/>
      <c r="K13" s="37"/>
      <c r="L13" s="37" t="s">
        <v>34</v>
      </c>
      <c r="M13" s="240"/>
      <c r="N13" s="240" t="str">
        <f t="shared" si="0"/>
        <v>FY2010-11</v>
      </c>
      <c r="O13" s="37"/>
      <c r="P13" s="37" t="s">
        <v>138</v>
      </c>
      <c r="Q13" s="37"/>
      <c r="R13" s="37"/>
      <c r="S13" s="37"/>
      <c r="T13" s="37"/>
      <c r="U13" s="58"/>
      <c r="V13" s="1"/>
      <c r="W13" s="1"/>
      <c r="X13" s="1"/>
      <c r="Y13" s="1"/>
      <c r="Z13" s="1"/>
      <c r="AA13" s="1"/>
      <c r="AB13" s="1"/>
      <c r="AC13" s="1"/>
      <c r="AD13" s="1"/>
      <c r="AE13" s="1"/>
      <c r="AF13" s="1"/>
      <c r="AG13" s="1"/>
    </row>
    <row r="14" spans="1:33" ht="15.95" customHeight="1">
      <c r="A14" s="49"/>
      <c r="B14" s="52"/>
      <c r="C14" s="12"/>
      <c r="D14" s="37"/>
      <c r="E14" s="37"/>
      <c r="F14" s="37"/>
      <c r="G14" s="37"/>
      <c r="H14" s="37"/>
      <c r="I14" s="37"/>
      <c r="J14" s="37"/>
      <c r="K14" s="37"/>
      <c r="L14" s="37" t="s">
        <v>34</v>
      </c>
      <c r="M14" s="240"/>
      <c r="N14" s="240" t="str">
        <f t="shared" si="0"/>
        <v>FY2010-11</v>
      </c>
      <c r="O14" s="37"/>
      <c r="P14" s="37" t="s">
        <v>138</v>
      </c>
      <c r="Q14" s="37"/>
      <c r="R14" s="37"/>
      <c r="S14" s="37"/>
      <c r="T14" s="37"/>
      <c r="U14" s="58"/>
      <c r="V14" s="1"/>
      <c r="W14" s="1"/>
      <c r="X14" s="1"/>
      <c r="Y14" s="1"/>
      <c r="Z14" s="1"/>
      <c r="AA14" s="1"/>
      <c r="AB14" s="1"/>
      <c r="AC14" s="1"/>
      <c r="AD14" s="1"/>
      <c r="AE14" s="1"/>
      <c r="AF14" s="1"/>
      <c r="AG14" s="1"/>
    </row>
    <row r="15" spans="1:33" ht="15.95" customHeight="1">
      <c r="A15" s="49"/>
      <c r="B15" s="1988"/>
      <c r="C15" s="12"/>
      <c r="D15" s="37"/>
      <c r="E15" s="37"/>
      <c r="F15" s="37"/>
      <c r="G15" s="37"/>
      <c r="H15" s="37"/>
      <c r="I15" s="37"/>
      <c r="J15" s="37"/>
      <c r="K15" s="37"/>
      <c r="L15" s="37" t="s">
        <v>34</v>
      </c>
      <c r="M15" s="240"/>
      <c r="N15" s="240" t="str">
        <f t="shared" si="0"/>
        <v>FY2010-11</v>
      </c>
      <c r="O15" s="37"/>
      <c r="P15" s="37" t="s">
        <v>138</v>
      </c>
      <c r="Q15" s="37"/>
      <c r="R15" s="37"/>
      <c r="S15" s="37"/>
      <c r="T15" s="37"/>
      <c r="U15" s="58"/>
      <c r="V15" s="1"/>
      <c r="W15" s="1"/>
      <c r="X15" s="1"/>
      <c r="Y15" s="1"/>
      <c r="Z15" s="1"/>
      <c r="AA15" s="1"/>
      <c r="AB15" s="1"/>
      <c r="AC15" s="1"/>
      <c r="AD15" s="1"/>
      <c r="AE15" s="1"/>
      <c r="AF15" s="1"/>
      <c r="AG15" s="1"/>
    </row>
    <row r="16" spans="1:33" ht="15.95" customHeight="1">
      <c r="A16" s="49"/>
      <c r="B16" s="1988"/>
      <c r="C16" s="12"/>
      <c r="D16" s="37"/>
      <c r="E16" s="37"/>
      <c r="F16" s="37"/>
      <c r="G16" s="37"/>
      <c r="H16" s="37"/>
      <c r="I16" s="37"/>
      <c r="J16" s="37"/>
      <c r="K16" s="37"/>
      <c r="L16" s="37" t="s">
        <v>34</v>
      </c>
      <c r="M16" s="240"/>
      <c r="N16" s="240" t="str">
        <f t="shared" si="0"/>
        <v>FY2010-11</v>
      </c>
      <c r="O16" s="37"/>
      <c r="P16" s="37" t="s">
        <v>138</v>
      </c>
      <c r="Q16" s="37"/>
      <c r="R16" s="37"/>
      <c r="S16" s="37"/>
      <c r="T16" s="37"/>
      <c r="U16" s="58"/>
      <c r="V16" s="1"/>
      <c r="W16" s="1"/>
      <c r="X16" s="1"/>
      <c r="Y16" s="1"/>
      <c r="Z16" s="1"/>
      <c r="AA16" s="1"/>
      <c r="AB16" s="1"/>
      <c r="AC16" s="1"/>
      <c r="AD16" s="1"/>
      <c r="AE16" s="1"/>
      <c r="AF16" s="1"/>
      <c r="AG16" s="1"/>
    </row>
    <row r="17" spans="1:33" ht="15.95" customHeight="1">
      <c r="A17" s="49"/>
      <c r="B17" s="1988"/>
      <c r="C17" s="12"/>
      <c r="D17" s="37"/>
      <c r="E17" s="37"/>
      <c r="F17" s="37"/>
      <c r="G17" s="37"/>
      <c r="H17" s="37"/>
      <c r="I17" s="37"/>
      <c r="J17" s="37"/>
      <c r="K17" s="37"/>
      <c r="L17" s="37" t="s">
        <v>34</v>
      </c>
      <c r="M17" s="240"/>
      <c r="N17" s="240" t="str">
        <f t="shared" si="0"/>
        <v>FY2010-11</v>
      </c>
      <c r="O17" s="37"/>
      <c r="P17" s="37" t="s">
        <v>138</v>
      </c>
      <c r="Q17" s="37"/>
      <c r="R17" s="37"/>
      <c r="S17" s="37"/>
      <c r="T17" s="37"/>
      <c r="U17" s="58"/>
      <c r="V17" s="1"/>
      <c r="W17" s="1"/>
      <c r="X17" s="1"/>
      <c r="Y17" s="1"/>
      <c r="Z17" s="1"/>
      <c r="AA17" s="1"/>
      <c r="AB17" s="1"/>
      <c r="AC17" s="1"/>
      <c r="AD17" s="1"/>
      <c r="AE17" s="1"/>
      <c r="AF17" s="1"/>
      <c r="AG17" s="1"/>
    </row>
    <row r="18" spans="1:33" ht="15.95" customHeight="1">
      <c r="A18" s="49"/>
      <c r="B18" s="1988"/>
      <c r="C18" s="12"/>
      <c r="D18" s="37"/>
      <c r="E18" s="37"/>
      <c r="F18" s="37"/>
      <c r="G18" s="37"/>
      <c r="H18" s="37"/>
      <c r="I18" s="37"/>
      <c r="J18" s="37"/>
      <c r="K18" s="37"/>
      <c r="L18" s="37" t="s">
        <v>34</v>
      </c>
      <c r="M18" s="240"/>
      <c r="N18" s="240" t="str">
        <f t="shared" si="0"/>
        <v>FY2010-11</v>
      </c>
      <c r="O18" s="37"/>
      <c r="P18" s="37" t="s">
        <v>138</v>
      </c>
      <c r="Q18" s="37"/>
      <c r="R18" s="37"/>
      <c r="S18" s="37"/>
      <c r="T18" s="37"/>
      <c r="U18" s="58"/>
      <c r="V18" s="1"/>
      <c r="W18" s="1"/>
      <c r="X18" s="1"/>
      <c r="Y18" s="1"/>
      <c r="Z18" s="1"/>
      <c r="AA18" s="1"/>
      <c r="AB18" s="1"/>
      <c r="AC18" s="1"/>
      <c r="AD18" s="1"/>
      <c r="AE18" s="1"/>
      <c r="AF18" s="1"/>
      <c r="AG18" s="1"/>
    </row>
    <row r="19" spans="1:33" ht="15.95" customHeight="1">
      <c r="A19" s="11"/>
      <c r="B19" s="12"/>
      <c r="C19" s="12"/>
      <c r="D19" s="14"/>
      <c r="E19" s="13"/>
      <c r="F19" s="14"/>
      <c r="G19" s="13"/>
      <c r="H19" s="14"/>
      <c r="I19" s="14"/>
      <c r="J19" s="13"/>
      <c r="K19" s="13"/>
      <c r="L19" s="14"/>
      <c r="M19" s="14"/>
      <c r="N19" s="13"/>
      <c r="O19" s="14"/>
      <c r="P19" s="14"/>
      <c r="Q19" s="13"/>
      <c r="R19" s="14"/>
      <c r="S19" s="14"/>
      <c r="T19" s="14"/>
      <c r="U19" s="58"/>
      <c r="V19" s="1"/>
      <c r="W19" s="1"/>
      <c r="X19" s="1"/>
      <c r="Y19" s="1"/>
      <c r="Z19" s="1"/>
      <c r="AA19" s="1"/>
      <c r="AB19" s="1"/>
      <c r="AC19" s="1"/>
      <c r="AD19" s="1"/>
      <c r="AE19" s="1"/>
      <c r="AF19" s="1"/>
      <c r="AG19" s="1"/>
    </row>
    <row r="20" spans="1:33" ht="15.95" customHeight="1" thickBot="1">
      <c r="A20" s="49"/>
      <c r="B20" s="50" t="s">
        <v>0</v>
      </c>
      <c r="C20" s="49"/>
      <c r="D20" s="54"/>
      <c r="E20" s="53"/>
      <c r="F20" s="54"/>
      <c r="G20" s="53"/>
      <c r="H20" s="54"/>
      <c r="I20" s="54"/>
      <c r="J20" s="53"/>
      <c r="K20" s="53"/>
      <c r="L20" s="54"/>
      <c r="M20" s="55"/>
      <c r="N20" s="53"/>
      <c r="O20" s="54"/>
      <c r="P20" s="54"/>
      <c r="Q20" s="53"/>
      <c r="R20" s="53"/>
      <c r="S20" s="871" t="str">
        <f>'ENR#-DB'!$S$34</f>
        <v>UD1</v>
      </c>
      <c r="T20" s="871" t="str">
        <f>'ENR#-DB'!$T$34</f>
        <v>UD2</v>
      </c>
      <c r="U20" s="60"/>
      <c r="V20" s="56"/>
      <c r="W20" s="56"/>
      <c r="X20" s="56"/>
      <c r="Y20" s="56"/>
      <c r="Z20" s="56"/>
      <c r="AA20" s="56"/>
      <c r="AB20" s="56"/>
      <c r="AC20" s="56"/>
      <c r="AD20" s="56"/>
      <c r="AE20" s="56"/>
      <c r="AF20" s="56"/>
      <c r="AG20" s="1"/>
    </row>
    <row r="21" spans="1:33" ht="15.95" customHeight="1" thickTop="1" thickBot="1">
      <c r="A21" s="49"/>
      <c r="B21" s="51" t="s">
        <v>175</v>
      </c>
      <c r="C21" s="15"/>
      <c r="D21" s="301" t="s">
        <v>186</v>
      </c>
      <c r="E21" s="301" t="s">
        <v>187</v>
      </c>
      <c r="F21" s="301" t="s">
        <v>188</v>
      </c>
      <c r="G21" s="301" t="s">
        <v>189</v>
      </c>
      <c r="H21" s="301" t="s">
        <v>11</v>
      </c>
      <c r="I21" s="301" t="s">
        <v>190</v>
      </c>
      <c r="J21" s="301" t="s">
        <v>191</v>
      </c>
      <c r="K21" s="304" t="s">
        <v>192</v>
      </c>
      <c r="L21" s="301" t="s">
        <v>203</v>
      </c>
      <c r="M21" s="301" t="s">
        <v>42</v>
      </c>
      <c r="N21" s="301" t="s">
        <v>148</v>
      </c>
      <c r="O21" s="301" t="s">
        <v>193</v>
      </c>
      <c r="P21" s="301" t="s">
        <v>142</v>
      </c>
      <c r="Q21" s="112" t="s">
        <v>239</v>
      </c>
      <c r="R21" s="112" t="s">
        <v>672</v>
      </c>
      <c r="S21" s="859" t="s">
        <v>541</v>
      </c>
      <c r="T21" s="859" t="s">
        <v>542</v>
      </c>
      <c r="U21" s="59"/>
      <c r="V21" s="2"/>
      <c r="W21" s="2"/>
      <c r="X21" s="2"/>
      <c r="Y21" s="2"/>
      <c r="Z21" s="2"/>
      <c r="AA21" s="2"/>
      <c r="AB21" s="2"/>
      <c r="AC21" s="2"/>
      <c r="AD21" s="2"/>
      <c r="AE21" s="2"/>
      <c r="AF21" s="2"/>
      <c r="AG21" s="1"/>
    </row>
    <row r="22" spans="1:33" ht="15.95" customHeight="1" thickTop="1">
      <c r="A22" s="49"/>
      <c r="B22" s="50" t="s">
        <v>146</v>
      </c>
      <c r="C22" s="12"/>
      <c r="D22" s="37"/>
      <c r="E22" s="37"/>
      <c r="F22" s="37"/>
      <c r="G22" s="37"/>
      <c r="H22" s="37"/>
      <c r="I22" s="37"/>
      <c r="J22" s="37"/>
      <c r="K22" s="37"/>
      <c r="L22" s="37" t="s">
        <v>34</v>
      </c>
      <c r="M22" s="240"/>
      <c r="N22" s="37" t="str">
        <f t="shared" ref="N22:N28" si="1">$F$8</f>
        <v>FY2010-11</v>
      </c>
      <c r="O22" s="37"/>
      <c r="P22" s="37" t="s">
        <v>147</v>
      </c>
      <c r="Q22" s="37"/>
      <c r="R22" s="37"/>
      <c r="S22" s="37"/>
      <c r="T22" s="37"/>
      <c r="U22" s="58"/>
      <c r="V22" s="1"/>
      <c r="W22" s="1"/>
      <c r="X22" s="1"/>
      <c r="Y22" s="1"/>
      <c r="Z22" s="1"/>
      <c r="AA22" s="1"/>
      <c r="AB22" s="1"/>
      <c r="AC22" s="1"/>
      <c r="AD22" s="1"/>
      <c r="AE22" s="1"/>
      <c r="AF22" s="1"/>
      <c r="AG22" s="1"/>
    </row>
    <row r="23" spans="1:33" ht="15.95" customHeight="1">
      <c r="A23" s="49"/>
      <c r="B23" s="57">
        <f>DSUM('ENR#-DB'!D35:T48,"TOTAL ENROLLMENT",'ENR#-DSUM'!D21:T28)</f>
        <v>22925</v>
      </c>
      <c r="C23" s="12"/>
      <c r="D23" s="37"/>
      <c r="E23" s="37"/>
      <c r="F23" s="37"/>
      <c r="G23" s="37"/>
      <c r="H23" s="37"/>
      <c r="I23" s="37"/>
      <c r="J23" s="37"/>
      <c r="K23" s="37"/>
      <c r="L23" s="37" t="s">
        <v>34</v>
      </c>
      <c r="M23" s="240"/>
      <c r="N23" s="37" t="str">
        <f t="shared" si="1"/>
        <v>FY2010-11</v>
      </c>
      <c r="O23" s="37"/>
      <c r="P23" s="37" t="s">
        <v>147</v>
      </c>
      <c r="Q23" s="37"/>
      <c r="R23" s="37"/>
      <c r="S23" s="37"/>
      <c r="T23" s="37"/>
      <c r="U23" s="58"/>
      <c r="V23" s="1"/>
      <c r="W23" s="1"/>
      <c r="X23" s="1"/>
      <c r="Y23" s="1"/>
      <c r="Z23" s="1"/>
      <c r="AA23" s="1"/>
      <c r="AB23" s="1"/>
      <c r="AC23" s="1"/>
      <c r="AD23" s="1"/>
      <c r="AE23" s="1"/>
      <c r="AF23" s="1"/>
      <c r="AG23" s="1"/>
    </row>
    <row r="24" spans="1:33" ht="15.95" customHeight="1">
      <c r="A24" s="49"/>
      <c r="B24" s="52"/>
      <c r="C24" s="12"/>
      <c r="D24" s="37"/>
      <c r="E24" s="37"/>
      <c r="F24" s="37"/>
      <c r="G24" s="37"/>
      <c r="H24" s="37"/>
      <c r="I24" s="37"/>
      <c r="J24" s="37"/>
      <c r="K24" s="37"/>
      <c r="L24" s="37" t="s">
        <v>34</v>
      </c>
      <c r="M24" s="240"/>
      <c r="N24" s="37" t="str">
        <f t="shared" si="1"/>
        <v>FY2010-11</v>
      </c>
      <c r="O24" s="37"/>
      <c r="P24" s="37" t="s">
        <v>147</v>
      </c>
      <c r="Q24" s="37"/>
      <c r="R24" s="37"/>
      <c r="S24" s="37"/>
      <c r="T24" s="37"/>
      <c r="U24" s="58"/>
      <c r="V24" s="1"/>
      <c r="W24" s="1"/>
      <c r="X24" s="1"/>
      <c r="Y24" s="1"/>
      <c r="Z24" s="1"/>
      <c r="AA24" s="1"/>
      <c r="AB24" s="1"/>
      <c r="AC24" s="1"/>
      <c r="AD24" s="1"/>
      <c r="AE24" s="1"/>
      <c r="AF24" s="1"/>
      <c r="AG24" s="1"/>
    </row>
    <row r="25" spans="1:33" ht="15.95" customHeight="1">
      <c r="A25" s="49"/>
      <c r="B25" s="52"/>
      <c r="C25" s="12"/>
      <c r="D25" s="37"/>
      <c r="E25" s="37"/>
      <c r="F25" s="37"/>
      <c r="G25" s="37"/>
      <c r="H25" s="37"/>
      <c r="I25" s="37"/>
      <c r="J25" s="37"/>
      <c r="K25" s="37"/>
      <c r="L25" s="37" t="s">
        <v>34</v>
      </c>
      <c r="M25" s="240"/>
      <c r="N25" s="37" t="str">
        <f t="shared" si="1"/>
        <v>FY2010-11</v>
      </c>
      <c r="O25" s="37"/>
      <c r="P25" s="37" t="s">
        <v>147</v>
      </c>
      <c r="Q25" s="37"/>
      <c r="R25" s="37"/>
      <c r="S25" s="37"/>
      <c r="T25" s="37"/>
      <c r="U25" s="58"/>
      <c r="V25" s="1"/>
      <c r="W25" s="1"/>
      <c r="X25" s="1"/>
      <c r="Y25" s="1"/>
      <c r="Z25" s="1"/>
      <c r="AA25" s="1"/>
      <c r="AB25" s="1"/>
      <c r="AC25" s="1"/>
      <c r="AD25" s="1"/>
      <c r="AE25" s="1"/>
      <c r="AF25" s="1"/>
      <c r="AG25" s="1"/>
    </row>
    <row r="26" spans="1:33" ht="15.95" customHeight="1">
      <c r="A26" s="49"/>
      <c r="B26" s="52"/>
      <c r="C26" s="12"/>
      <c r="D26" s="37"/>
      <c r="E26" s="37"/>
      <c r="F26" s="37"/>
      <c r="G26" s="37"/>
      <c r="H26" s="37"/>
      <c r="I26" s="37"/>
      <c r="J26" s="37"/>
      <c r="K26" s="37"/>
      <c r="L26" s="37" t="s">
        <v>34</v>
      </c>
      <c r="M26" s="240"/>
      <c r="N26" s="37" t="str">
        <f t="shared" si="1"/>
        <v>FY2010-11</v>
      </c>
      <c r="O26" s="37"/>
      <c r="P26" s="37" t="s">
        <v>147</v>
      </c>
      <c r="Q26" s="37"/>
      <c r="R26" s="37"/>
      <c r="S26" s="37"/>
      <c r="T26" s="37"/>
      <c r="U26" s="58"/>
      <c r="V26" s="1"/>
      <c r="W26" s="1"/>
      <c r="X26" s="1"/>
      <c r="Y26" s="1"/>
      <c r="Z26" s="1"/>
      <c r="AA26" s="1"/>
      <c r="AB26" s="1"/>
      <c r="AC26" s="1"/>
      <c r="AD26" s="1"/>
      <c r="AE26" s="1"/>
      <c r="AF26" s="1"/>
      <c r="AG26" s="1"/>
    </row>
    <row r="27" spans="1:33" ht="15.95" customHeight="1">
      <c r="A27" s="49"/>
      <c r="B27" s="52"/>
      <c r="C27" s="12"/>
      <c r="D27" s="37"/>
      <c r="E27" s="37"/>
      <c r="F27" s="37"/>
      <c r="G27" s="37"/>
      <c r="H27" s="37"/>
      <c r="I27" s="37"/>
      <c r="J27" s="37"/>
      <c r="K27" s="37"/>
      <c r="L27" s="37" t="s">
        <v>34</v>
      </c>
      <c r="M27" s="240"/>
      <c r="N27" s="37" t="str">
        <f t="shared" si="1"/>
        <v>FY2010-11</v>
      </c>
      <c r="O27" s="37"/>
      <c r="P27" s="37" t="s">
        <v>147</v>
      </c>
      <c r="Q27" s="37"/>
      <c r="R27" s="37"/>
      <c r="S27" s="37"/>
      <c r="T27" s="37"/>
      <c r="U27" s="58"/>
      <c r="V27" s="1"/>
      <c r="W27" s="1"/>
      <c r="X27" s="1"/>
      <c r="Y27" s="1"/>
      <c r="Z27" s="1"/>
      <c r="AA27" s="1"/>
      <c r="AB27" s="1"/>
      <c r="AC27" s="1"/>
      <c r="AD27" s="1"/>
      <c r="AE27" s="1"/>
      <c r="AF27" s="1"/>
      <c r="AG27" s="1"/>
    </row>
    <row r="28" spans="1:33" ht="15.95" customHeight="1">
      <c r="A28" s="49"/>
      <c r="B28" s="52"/>
      <c r="C28" s="12"/>
      <c r="D28" s="37"/>
      <c r="E28" s="37"/>
      <c r="F28" s="37"/>
      <c r="G28" s="37"/>
      <c r="H28" s="37"/>
      <c r="I28" s="37"/>
      <c r="J28" s="37"/>
      <c r="K28" s="37"/>
      <c r="L28" s="37" t="s">
        <v>34</v>
      </c>
      <c r="M28" s="240"/>
      <c r="N28" s="37" t="str">
        <f t="shared" si="1"/>
        <v>FY2010-11</v>
      </c>
      <c r="O28" s="37"/>
      <c r="P28" s="37" t="s">
        <v>147</v>
      </c>
      <c r="Q28" s="37"/>
      <c r="R28" s="37"/>
      <c r="S28" s="37"/>
      <c r="T28" s="37"/>
      <c r="U28" s="58"/>
      <c r="V28" s="1"/>
      <c r="W28" s="1"/>
      <c r="X28" s="1"/>
      <c r="Y28" s="1"/>
      <c r="Z28" s="1"/>
      <c r="AA28" s="1"/>
      <c r="AB28" s="1"/>
      <c r="AC28" s="1"/>
      <c r="AD28" s="1"/>
      <c r="AE28" s="1"/>
      <c r="AF28" s="1"/>
      <c r="AG28" s="1"/>
    </row>
    <row r="29" spans="1:33" ht="15.95" customHeight="1">
      <c r="A29" s="25"/>
      <c r="B29" s="26"/>
      <c r="C29" s="26"/>
      <c r="D29" s="28"/>
      <c r="E29" s="28"/>
      <c r="F29" s="28"/>
      <c r="G29" s="28"/>
      <c r="H29" s="28"/>
      <c r="I29" s="28"/>
      <c r="J29" s="28"/>
      <c r="K29" s="28"/>
      <c r="L29" s="28"/>
      <c r="M29" s="28"/>
      <c r="N29" s="28"/>
      <c r="O29" s="28"/>
      <c r="P29" s="28"/>
      <c r="Q29" s="28"/>
      <c r="R29" s="28"/>
      <c r="S29" s="28"/>
      <c r="T29" s="28"/>
      <c r="U29" s="58"/>
      <c r="V29" s="1"/>
      <c r="W29" s="1"/>
      <c r="X29" s="1"/>
      <c r="Y29" s="1"/>
      <c r="Z29" s="1"/>
      <c r="AA29" s="1"/>
      <c r="AB29" s="1"/>
      <c r="AC29" s="1"/>
      <c r="AD29" s="1"/>
      <c r="AE29" s="1"/>
      <c r="AF29" s="1"/>
      <c r="AG29" s="1"/>
    </row>
    <row r="30" spans="1:33" ht="15.95" customHeight="1" thickBot="1">
      <c r="A30" s="49"/>
      <c r="B30" s="50" t="str">
        <f>"FA1 = "&amp;'FIG3'!$W$52&amp;" "&amp;'FIG3'!$X$52</f>
        <v>FA1 = Fulton County District</v>
      </c>
      <c r="C30" s="49"/>
      <c r="D30" s="54"/>
      <c r="E30" s="54"/>
      <c r="F30" s="54"/>
      <c r="G30" s="54"/>
      <c r="H30" s="54"/>
      <c r="I30" s="54"/>
      <c r="J30" s="54"/>
      <c r="K30" s="54"/>
      <c r="L30" s="54"/>
      <c r="M30" s="55"/>
      <c r="N30" s="54"/>
      <c r="O30" s="54"/>
      <c r="P30" s="54"/>
      <c r="Q30" s="54"/>
      <c r="R30" s="53"/>
      <c r="S30" s="871" t="str">
        <f>'ENR#-DB'!$S$34</f>
        <v>UD1</v>
      </c>
      <c r="T30" s="871" t="str">
        <f>'ENR#-DB'!$T$34</f>
        <v>UD2</v>
      </c>
      <c r="U30" s="60"/>
      <c r="V30" s="56"/>
      <c r="W30" s="56"/>
      <c r="X30" s="56"/>
      <c r="Y30" s="56"/>
      <c r="Z30" s="56"/>
      <c r="AA30" s="56"/>
      <c r="AB30" s="56"/>
      <c r="AC30" s="56"/>
      <c r="AD30" s="56"/>
      <c r="AE30" s="56"/>
      <c r="AF30" s="56"/>
      <c r="AG30" s="1"/>
    </row>
    <row r="31" spans="1:33" ht="15.95" customHeight="1" thickTop="1" thickBot="1">
      <c r="A31" s="49"/>
      <c r="B31" s="51" t="s">
        <v>4</v>
      </c>
      <c r="C31" s="15"/>
      <c r="D31" s="301" t="s">
        <v>186</v>
      </c>
      <c r="E31" s="301" t="s">
        <v>187</v>
      </c>
      <c r="F31" s="301" t="s">
        <v>188</v>
      </c>
      <c r="G31" s="301" t="s">
        <v>189</v>
      </c>
      <c r="H31" s="301" t="s">
        <v>11</v>
      </c>
      <c r="I31" s="301" t="s">
        <v>190</v>
      </c>
      <c r="J31" s="301" t="s">
        <v>191</v>
      </c>
      <c r="K31" s="304" t="s">
        <v>192</v>
      </c>
      <c r="L31" s="301" t="s">
        <v>203</v>
      </c>
      <c r="M31" s="301" t="s">
        <v>42</v>
      </c>
      <c r="N31" s="301" t="s">
        <v>148</v>
      </c>
      <c r="O31" s="301" t="s">
        <v>193</v>
      </c>
      <c r="P31" s="301" t="s">
        <v>142</v>
      </c>
      <c r="Q31" s="112" t="s">
        <v>239</v>
      </c>
      <c r="R31" s="112" t="s">
        <v>672</v>
      </c>
      <c r="S31" s="859" t="s">
        <v>541</v>
      </c>
      <c r="T31" s="859" t="s">
        <v>542</v>
      </c>
      <c r="U31" s="59"/>
      <c r="V31" s="2"/>
      <c r="W31" s="2"/>
      <c r="X31" s="2"/>
      <c r="Y31" s="2"/>
      <c r="Z31" s="2"/>
      <c r="AA31" s="2"/>
      <c r="AB31" s="2"/>
      <c r="AC31" s="2"/>
      <c r="AD31" s="2"/>
      <c r="AE31" s="2"/>
      <c r="AF31" s="2"/>
      <c r="AG31" s="1"/>
    </row>
    <row r="32" spans="1:33" ht="15.95" customHeight="1" thickTop="1">
      <c r="A32" s="49"/>
      <c r="B32" s="50" t="s">
        <v>146</v>
      </c>
      <c r="C32" s="12"/>
      <c r="D32" s="38"/>
      <c r="E32" s="38"/>
      <c r="F32" s="38"/>
      <c r="G32" s="38"/>
      <c r="H32" s="38"/>
      <c r="I32" s="38"/>
      <c r="J32" s="38"/>
      <c r="K32" s="38"/>
      <c r="L32" s="38" t="s">
        <v>34</v>
      </c>
      <c r="M32" s="38"/>
      <c r="N32" s="38" t="str">
        <f t="shared" ref="N32:N38" si="2">$F$8</f>
        <v>FY2010-11</v>
      </c>
      <c r="O32" s="38" t="s">
        <v>152</v>
      </c>
      <c r="P32" s="38" t="s">
        <v>138</v>
      </c>
      <c r="Q32" s="38"/>
      <c r="R32" s="38"/>
      <c r="S32" s="38"/>
      <c r="T32" s="38"/>
      <c r="U32" s="58"/>
      <c r="V32" s="1"/>
      <c r="W32" s="1"/>
      <c r="X32" s="1"/>
      <c r="Y32" s="1"/>
      <c r="Z32" s="1"/>
      <c r="AA32" s="1"/>
      <c r="AB32" s="1"/>
      <c r="AC32" s="1"/>
      <c r="AD32" s="1"/>
      <c r="AE32" s="1"/>
      <c r="AF32" s="1"/>
      <c r="AG32" s="1"/>
    </row>
    <row r="33" spans="1:33" ht="15.95" customHeight="1">
      <c r="A33" s="49"/>
      <c r="B33" s="57">
        <f>DSUM('ENR#-DB'!D35:T48,"TOTAL ENROLLMENT",'ENR#-DSUM'!D31:T38)</f>
        <v>85844</v>
      </c>
      <c r="C33" s="12"/>
      <c r="D33" s="38"/>
      <c r="E33" s="38"/>
      <c r="F33" s="38"/>
      <c r="G33" s="38"/>
      <c r="H33" s="38"/>
      <c r="I33" s="38"/>
      <c r="J33" s="38"/>
      <c r="K33" s="38"/>
      <c r="L33" s="38" t="s">
        <v>34</v>
      </c>
      <c r="M33" s="38"/>
      <c r="N33" s="38" t="str">
        <f t="shared" si="2"/>
        <v>FY2010-11</v>
      </c>
      <c r="O33" s="38" t="s">
        <v>152</v>
      </c>
      <c r="P33" s="38" t="s">
        <v>138</v>
      </c>
      <c r="Q33" s="38"/>
      <c r="R33" s="38"/>
      <c r="S33" s="38"/>
      <c r="T33" s="38"/>
      <c r="U33" s="58"/>
      <c r="V33" s="1"/>
      <c r="W33" s="1"/>
      <c r="X33" s="1"/>
      <c r="Y33" s="1"/>
      <c r="Z33" s="1"/>
      <c r="AA33" s="1"/>
      <c r="AB33" s="1"/>
      <c r="AC33" s="1"/>
      <c r="AD33" s="1"/>
      <c r="AE33" s="1"/>
      <c r="AF33" s="1"/>
      <c r="AG33" s="1"/>
    </row>
    <row r="34" spans="1:33" ht="15.95" customHeight="1">
      <c r="A34" s="49"/>
      <c r="B34" s="52"/>
      <c r="C34" s="12"/>
      <c r="D34" s="38"/>
      <c r="E34" s="38"/>
      <c r="F34" s="38"/>
      <c r="G34" s="38"/>
      <c r="H34" s="38"/>
      <c r="I34" s="38"/>
      <c r="J34" s="38"/>
      <c r="K34" s="38"/>
      <c r="L34" s="38" t="s">
        <v>34</v>
      </c>
      <c r="M34" s="38"/>
      <c r="N34" s="38" t="str">
        <f t="shared" si="2"/>
        <v>FY2010-11</v>
      </c>
      <c r="O34" s="38" t="s">
        <v>152</v>
      </c>
      <c r="P34" s="38" t="s">
        <v>138</v>
      </c>
      <c r="Q34" s="38"/>
      <c r="R34" s="38"/>
      <c r="S34" s="38"/>
      <c r="T34" s="38"/>
      <c r="U34" s="58"/>
      <c r="V34" s="1"/>
      <c r="W34" s="1"/>
      <c r="X34" s="1"/>
      <c r="Y34" s="1"/>
      <c r="Z34" s="1"/>
      <c r="AA34" s="1"/>
      <c r="AB34" s="1"/>
      <c r="AC34" s="1"/>
      <c r="AD34" s="1"/>
      <c r="AE34" s="1"/>
      <c r="AF34" s="1"/>
      <c r="AG34" s="1"/>
    </row>
    <row r="35" spans="1:33" ht="15.95" customHeight="1">
      <c r="A35" s="49"/>
      <c r="B35" s="52"/>
      <c r="C35" s="12"/>
      <c r="D35" s="38"/>
      <c r="E35" s="38"/>
      <c r="F35" s="38"/>
      <c r="G35" s="38"/>
      <c r="H35" s="38"/>
      <c r="I35" s="38"/>
      <c r="J35" s="38"/>
      <c r="K35" s="38"/>
      <c r="L35" s="38" t="s">
        <v>34</v>
      </c>
      <c r="M35" s="38"/>
      <c r="N35" s="38" t="str">
        <f t="shared" si="2"/>
        <v>FY2010-11</v>
      </c>
      <c r="O35" s="38" t="s">
        <v>152</v>
      </c>
      <c r="P35" s="38" t="s">
        <v>138</v>
      </c>
      <c r="Q35" s="38"/>
      <c r="R35" s="38"/>
      <c r="S35" s="38"/>
      <c r="T35" s="38"/>
      <c r="U35" s="58"/>
      <c r="V35" s="1"/>
      <c r="W35" s="1"/>
      <c r="X35" s="1"/>
      <c r="Y35" s="1"/>
      <c r="Z35" s="1"/>
      <c r="AA35" s="1"/>
      <c r="AB35" s="1"/>
      <c r="AC35" s="1"/>
      <c r="AD35" s="1"/>
      <c r="AE35" s="1"/>
      <c r="AF35" s="1"/>
      <c r="AG35" s="1"/>
    </row>
    <row r="36" spans="1:33" ht="15.95" customHeight="1">
      <c r="A36" s="49"/>
      <c r="B36" s="52"/>
      <c r="C36" s="12"/>
      <c r="D36" s="38"/>
      <c r="E36" s="38"/>
      <c r="F36" s="38"/>
      <c r="G36" s="38"/>
      <c r="H36" s="38"/>
      <c r="I36" s="38"/>
      <c r="J36" s="38"/>
      <c r="K36" s="38"/>
      <c r="L36" s="38" t="s">
        <v>34</v>
      </c>
      <c r="M36" s="38"/>
      <c r="N36" s="38" t="str">
        <f t="shared" si="2"/>
        <v>FY2010-11</v>
      </c>
      <c r="O36" s="38" t="s">
        <v>152</v>
      </c>
      <c r="P36" s="38" t="s">
        <v>138</v>
      </c>
      <c r="Q36" s="38"/>
      <c r="R36" s="38"/>
      <c r="S36" s="38"/>
      <c r="T36" s="38"/>
      <c r="U36" s="58"/>
      <c r="V36" s="1"/>
      <c r="W36" s="1"/>
      <c r="X36" s="1"/>
      <c r="Y36" s="1"/>
      <c r="Z36" s="1"/>
      <c r="AA36" s="1"/>
      <c r="AB36" s="1"/>
      <c r="AC36" s="1"/>
      <c r="AD36" s="1"/>
      <c r="AE36" s="1"/>
      <c r="AF36" s="1"/>
      <c r="AG36" s="1"/>
    </row>
    <row r="37" spans="1:33" ht="15.95" customHeight="1">
      <c r="A37" s="49"/>
      <c r="B37" s="52"/>
      <c r="C37" s="12"/>
      <c r="D37" s="38"/>
      <c r="E37" s="38"/>
      <c r="F37" s="38"/>
      <c r="G37" s="38"/>
      <c r="H37" s="38"/>
      <c r="I37" s="38"/>
      <c r="J37" s="38"/>
      <c r="K37" s="38"/>
      <c r="L37" s="38" t="s">
        <v>34</v>
      </c>
      <c r="M37" s="38"/>
      <c r="N37" s="38" t="str">
        <f t="shared" si="2"/>
        <v>FY2010-11</v>
      </c>
      <c r="O37" s="38" t="s">
        <v>152</v>
      </c>
      <c r="P37" s="38" t="s">
        <v>138</v>
      </c>
      <c r="Q37" s="38"/>
      <c r="R37" s="38"/>
      <c r="S37" s="38"/>
      <c r="T37" s="38"/>
      <c r="U37" s="58"/>
      <c r="V37" s="1"/>
      <c r="W37" s="1"/>
      <c r="X37" s="1"/>
      <c r="Y37" s="1"/>
      <c r="Z37" s="1"/>
      <c r="AA37" s="1"/>
      <c r="AB37" s="1"/>
      <c r="AC37" s="1"/>
      <c r="AD37" s="1"/>
      <c r="AE37" s="1"/>
      <c r="AF37" s="1"/>
      <c r="AG37" s="1"/>
    </row>
    <row r="38" spans="1:33" ht="15.95" customHeight="1">
      <c r="A38" s="49"/>
      <c r="B38" s="52"/>
      <c r="C38" s="12"/>
      <c r="D38" s="38"/>
      <c r="E38" s="38"/>
      <c r="F38" s="38"/>
      <c r="G38" s="38"/>
      <c r="H38" s="38"/>
      <c r="I38" s="38"/>
      <c r="J38" s="38"/>
      <c r="K38" s="38"/>
      <c r="L38" s="38" t="s">
        <v>34</v>
      </c>
      <c r="M38" s="38"/>
      <c r="N38" s="38" t="str">
        <f t="shared" si="2"/>
        <v>FY2010-11</v>
      </c>
      <c r="O38" s="38" t="s">
        <v>152</v>
      </c>
      <c r="P38" s="38" t="s">
        <v>138</v>
      </c>
      <c r="Q38" s="38"/>
      <c r="R38" s="38"/>
      <c r="S38" s="38"/>
      <c r="T38" s="38"/>
      <c r="U38" s="58"/>
      <c r="V38" s="1"/>
      <c r="W38" s="1"/>
      <c r="X38" s="1"/>
      <c r="Y38" s="1"/>
      <c r="Z38" s="1"/>
      <c r="AA38" s="1"/>
      <c r="AB38" s="1"/>
      <c r="AC38" s="1"/>
      <c r="AD38" s="1"/>
      <c r="AE38" s="1"/>
      <c r="AF38" s="1"/>
      <c r="AG38" s="1"/>
    </row>
    <row r="39" spans="1:33" ht="15.95" customHeight="1">
      <c r="A39" s="25"/>
      <c r="B39" s="26"/>
      <c r="C39" s="26"/>
      <c r="D39" s="28"/>
      <c r="E39" s="28"/>
      <c r="F39" s="28"/>
      <c r="G39" s="28"/>
      <c r="H39" s="28"/>
      <c r="I39" s="28"/>
      <c r="J39" s="28"/>
      <c r="K39" s="28"/>
      <c r="L39" s="28"/>
      <c r="M39" s="28"/>
      <c r="N39" s="28"/>
      <c r="O39" s="28"/>
      <c r="P39" s="28"/>
      <c r="Q39" s="28"/>
      <c r="R39" s="28"/>
      <c r="S39" s="28"/>
      <c r="T39" s="28"/>
      <c r="U39" s="58"/>
      <c r="V39" s="1"/>
      <c r="W39" s="1"/>
      <c r="X39" s="1"/>
      <c r="Y39" s="1"/>
      <c r="Z39" s="1"/>
      <c r="AA39" s="1"/>
      <c r="AB39" s="1"/>
      <c r="AC39" s="1"/>
      <c r="AD39" s="1"/>
      <c r="AE39" s="1"/>
      <c r="AF39" s="1"/>
      <c r="AG39" s="1"/>
    </row>
    <row r="40" spans="1:33" ht="15.95" customHeight="1" thickBot="1">
      <c r="A40" s="49"/>
      <c r="B40" s="50" t="str">
        <f>"FA1 = "&amp;'FIG3'!$W$52&amp;" "&amp;'FIG3'!$X$52</f>
        <v>FA1 = Fulton County District</v>
      </c>
      <c r="C40" s="49"/>
      <c r="D40" s="54"/>
      <c r="E40" s="54"/>
      <c r="F40" s="54"/>
      <c r="G40" s="54"/>
      <c r="H40" s="54"/>
      <c r="I40" s="54"/>
      <c r="J40" s="54"/>
      <c r="K40" s="54"/>
      <c r="L40" s="54"/>
      <c r="M40" s="55"/>
      <c r="N40" s="54"/>
      <c r="O40" s="54"/>
      <c r="P40" s="54"/>
      <c r="Q40" s="54"/>
      <c r="R40" s="53"/>
      <c r="S40" s="871" t="str">
        <f>'ENR#-DB'!$S$34</f>
        <v>UD1</v>
      </c>
      <c r="T40" s="871" t="str">
        <f>'ENR#-DB'!$T$34</f>
        <v>UD2</v>
      </c>
      <c r="U40" s="60"/>
      <c r="V40" s="56"/>
      <c r="W40" s="56"/>
      <c r="X40" s="56"/>
      <c r="Y40" s="56"/>
      <c r="Z40" s="56"/>
      <c r="AA40" s="56"/>
      <c r="AB40" s="56"/>
      <c r="AC40" s="56"/>
      <c r="AD40" s="56"/>
      <c r="AE40" s="56"/>
      <c r="AF40" s="56"/>
      <c r="AG40" s="1"/>
    </row>
    <row r="41" spans="1:33" ht="15.95" customHeight="1" thickTop="1" thickBot="1">
      <c r="A41" s="49"/>
      <c r="B41" s="51" t="s">
        <v>175</v>
      </c>
      <c r="C41" s="15"/>
      <c r="D41" s="301" t="s">
        <v>186</v>
      </c>
      <c r="E41" s="301" t="s">
        <v>187</v>
      </c>
      <c r="F41" s="301" t="s">
        <v>188</v>
      </c>
      <c r="G41" s="301" t="s">
        <v>189</v>
      </c>
      <c r="H41" s="301" t="s">
        <v>11</v>
      </c>
      <c r="I41" s="301" t="s">
        <v>190</v>
      </c>
      <c r="J41" s="301" t="s">
        <v>191</v>
      </c>
      <c r="K41" s="304" t="s">
        <v>192</v>
      </c>
      <c r="L41" s="301" t="s">
        <v>203</v>
      </c>
      <c r="M41" s="301" t="s">
        <v>42</v>
      </c>
      <c r="N41" s="301" t="s">
        <v>148</v>
      </c>
      <c r="O41" s="301" t="s">
        <v>193</v>
      </c>
      <c r="P41" s="301" t="s">
        <v>142</v>
      </c>
      <c r="Q41" s="112" t="s">
        <v>239</v>
      </c>
      <c r="R41" s="112" t="s">
        <v>672</v>
      </c>
      <c r="S41" s="859" t="s">
        <v>541</v>
      </c>
      <c r="T41" s="859" t="s">
        <v>542</v>
      </c>
      <c r="U41" s="59"/>
      <c r="V41" s="2"/>
      <c r="W41" s="2"/>
      <c r="X41" s="2"/>
      <c r="Y41" s="2"/>
      <c r="Z41" s="2"/>
      <c r="AA41" s="2"/>
      <c r="AB41" s="2"/>
      <c r="AC41" s="2"/>
      <c r="AD41" s="2"/>
      <c r="AE41" s="2"/>
      <c r="AF41" s="2"/>
      <c r="AG41" s="1"/>
    </row>
    <row r="42" spans="1:33" ht="15.95" customHeight="1" thickTop="1">
      <c r="A42" s="49"/>
      <c r="B42" s="50" t="s">
        <v>146</v>
      </c>
      <c r="C42" s="12"/>
      <c r="D42" s="38"/>
      <c r="E42" s="38"/>
      <c r="F42" s="38"/>
      <c r="G42" s="38"/>
      <c r="H42" s="38"/>
      <c r="I42" s="38"/>
      <c r="J42" s="38"/>
      <c r="K42" s="38"/>
      <c r="L42" s="38" t="s">
        <v>34</v>
      </c>
      <c r="M42" s="38"/>
      <c r="N42" s="38" t="str">
        <f t="shared" ref="N42:N48" si="3">$F$8</f>
        <v>FY2010-11</v>
      </c>
      <c r="O42" s="38" t="s">
        <v>152</v>
      </c>
      <c r="P42" s="38" t="s">
        <v>147</v>
      </c>
      <c r="Q42" s="38"/>
      <c r="R42" s="38"/>
      <c r="S42" s="38"/>
      <c r="T42" s="38"/>
      <c r="U42" s="58"/>
      <c r="V42" s="1"/>
      <c r="W42" s="1"/>
      <c r="X42" s="1"/>
      <c r="Y42" s="1"/>
      <c r="Z42" s="1"/>
      <c r="AA42" s="1"/>
      <c r="AB42" s="1"/>
      <c r="AC42" s="1"/>
      <c r="AD42" s="1"/>
      <c r="AE42" s="1"/>
      <c r="AF42" s="1"/>
      <c r="AG42" s="1"/>
    </row>
    <row r="43" spans="1:33" ht="15.95" customHeight="1">
      <c r="A43" s="49"/>
      <c r="B43" s="57">
        <f>DSUM('ENR#-DB'!D35:T48,"TOTAL ENROLLMENT",'ENR#-DSUM'!D41:T48)</f>
        <v>3358</v>
      </c>
      <c r="C43" s="12"/>
      <c r="D43" s="38"/>
      <c r="E43" s="38"/>
      <c r="F43" s="38"/>
      <c r="G43" s="38"/>
      <c r="H43" s="38"/>
      <c r="I43" s="38"/>
      <c r="J43" s="38"/>
      <c r="K43" s="38"/>
      <c r="L43" s="38" t="s">
        <v>34</v>
      </c>
      <c r="M43" s="38"/>
      <c r="N43" s="38" t="str">
        <f t="shared" si="3"/>
        <v>FY2010-11</v>
      </c>
      <c r="O43" s="38" t="s">
        <v>152</v>
      </c>
      <c r="P43" s="38" t="s">
        <v>147</v>
      </c>
      <c r="Q43" s="38"/>
      <c r="R43" s="38"/>
      <c r="S43" s="38"/>
      <c r="T43" s="38"/>
      <c r="U43" s="58"/>
      <c r="V43" s="1"/>
      <c r="W43" s="1"/>
      <c r="X43" s="1"/>
      <c r="Y43" s="1"/>
      <c r="Z43" s="1"/>
      <c r="AA43" s="1"/>
      <c r="AB43" s="1"/>
      <c r="AC43" s="1"/>
      <c r="AD43" s="1"/>
      <c r="AE43" s="1"/>
      <c r="AF43" s="1"/>
      <c r="AG43" s="1"/>
    </row>
    <row r="44" spans="1:33" ht="15.95" customHeight="1">
      <c r="A44" s="49"/>
      <c r="B44" s="52"/>
      <c r="C44" s="12"/>
      <c r="D44" s="38"/>
      <c r="E44" s="38"/>
      <c r="F44" s="38"/>
      <c r="G44" s="38"/>
      <c r="H44" s="38"/>
      <c r="I44" s="38"/>
      <c r="J44" s="38"/>
      <c r="K44" s="38"/>
      <c r="L44" s="38" t="s">
        <v>34</v>
      </c>
      <c r="M44" s="38"/>
      <c r="N44" s="38" t="str">
        <f t="shared" si="3"/>
        <v>FY2010-11</v>
      </c>
      <c r="O44" s="38" t="s">
        <v>152</v>
      </c>
      <c r="P44" s="38" t="s">
        <v>147</v>
      </c>
      <c r="Q44" s="38"/>
      <c r="R44" s="38"/>
      <c r="S44" s="38"/>
      <c r="T44" s="38"/>
      <c r="U44" s="58"/>
      <c r="V44" s="1"/>
      <c r="W44" s="1"/>
      <c r="X44" s="1"/>
      <c r="Y44" s="1"/>
      <c r="Z44" s="1"/>
      <c r="AA44" s="1"/>
      <c r="AB44" s="1"/>
      <c r="AC44" s="1"/>
      <c r="AD44" s="1"/>
      <c r="AE44" s="1"/>
      <c r="AF44" s="1"/>
      <c r="AG44" s="1"/>
    </row>
    <row r="45" spans="1:33" ht="15.95" customHeight="1">
      <c r="A45" s="49"/>
      <c r="B45" s="52"/>
      <c r="C45" s="12"/>
      <c r="D45" s="38"/>
      <c r="E45" s="38"/>
      <c r="F45" s="38"/>
      <c r="G45" s="38"/>
      <c r="H45" s="38"/>
      <c r="I45" s="38"/>
      <c r="J45" s="38"/>
      <c r="K45" s="38"/>
      <c r="L45" s="38" t="s">
        <v>34</v>
      </c>
      <c r="M45" s="38"/>
      <c r="N45" s="38" t="str">
        <f t="shared" si="3"/>
        <v>FY2010-11</v>
      </c>
      <c r="O45" s="38" t="s">
        <v>152</v>
      </c>
      <c r="P45" s="38" t="s">
        <v>147</v>
      </c>
      <c r="Q45" s="38"/>
      <c r="R45" s="38"/>
      <c r="S45" s="38"/>
      <c r="T45" s="38"/>
      <c r="U45" s="58"/>
      <c r="V45" s="1"/>
      <c r="W45" s="1"/>
      <c r="X45" s="1"/>
      <c r="Y45" s="1"/>
      <c r="Z45" s="1"/>
      <c r="AA45" s="1"/>
      <c r="AB45" s="1"/>
      <c r="AC45" s="1"/>
      <c r="AD45" s="1"/>
      <c r="AE45" s="1"/>
      <c r="AF45" s="1"/>
      <c r="AG45" s="1"/>
    </row>
    <row r="46" spans="1:33" ht="15.95" customHeight="1">
      <c r="A46" s="49"/>
      <c r="B46" s="52"/>
      <c r="C46" s="12"/>
      <c r="D46" s="38"/>
      <c r="E46" s="38"/>
      <c r="F46" s="38"/>
      <c r="G46" s="38"/>
      <c r="H46" s="38"/>
      <c r="I46" s="38"/>
      <c r="J46" s="38"/>
      <c r="K46" s="38"/>
      <c r="L46" s="38" t="s">
        <v>34</v>
      </c>
      <c r="M46" s="38"/>
      <c r="N46" s="38" t="str">
        <f t="shared" si="3"/>
        <v>FY2010-11</v>
      </c>
      <c r="O46" s="38" t="s">
        <v>152</v>
      </c>
      <c r="P46" s="38" t="s">
        <v>147</v>
      </c>
      <c r="Q46" s="38"/>
      <c r="R46" s="38"/>
      <c r="S46" s="38"/>
      <c r="T46" s="38"/>
      <c r="U46" s="58"/>
      <c r="V46" s="1"/>
      <c r="W46" s="1"/>
      <c r="X46" s="1"/>
      <c r="Y46" s="1"/>
      <c r="Z46" s="1"/>
      <c r="AA46" s="1"/>
      <c r="AB46" s="1"/>
      <c r="AC46" s="1"/>
      <c r="AD46" s="1"/>
      <c r="AE46" s="1"/>
      <c r="AF46" s="1"/>
      <c r="AG46" s="1"/>
    </row>
    <row r="47" spans="1:33" ht="15.95" customHeight="1">
      <c r="A47" s="49"/>
      <c r="B47" s="52"/>
      <c r="C47" s="12"/>
      <c r="D47" s="38"/>
      <c r="E47" s="38"/>
      <c r="F47" s="38"/>
      <c r="G47" s="38"/>
      <c r="H47" s="38"/>
      <c r="I47" s="38"/>
      <c r="J47" s="38"/>
      <c r="K47" s="38"/>
      <c r="L47" s="38" t="s">
        <v>34</v>
      </c>
      <c r="M47" s="38"/>
      <c r="N47" s="38" t="str">
        <f t="shared" si="3"/>
        <v>FY2010-11</v>
      </c>
      <c r="O47" s="38" t="s">
        <v>152</v>
      </c>
      <c r="P47" s="38" t="s">
        <v>147</v>
      </c>
      <c r="Q47" s="38"/>
      <c r="R47" s="38"/>
      <c r="S47" s="38"/>
      <c r="T47" s="38"/>
      <c r="U47" s="58"/>
      <c r="V47" s="1"/>
      <c r="W47" s="1"/>
      <c r="X47" s="1"/>
      <c r="Y47" s="1"/>
      <c r="Z47" s="1"/>
      <c r="AA47" s="1"/>
      <c r="AB47" s="1"/>
      <c r="AC47" s="1"/>
      <c r="AD47" s="1"/>
      <c r="AE47" s="1"/>
      <c r="AF47" s="1"/>
      <c r="AG47" s="1"/>
    </row>
    <row r="48" spans="1:33" ht="15.95" customHeight="1">
      <c r="A48" s="49"/>
      <c r="B48" s="52"/>
      <c r="C48" s="12"/>
      <c r="D48" s="38"/>
      <c r="E48" s="38"/>
      <c r="F48" s="38"/>
      <c r="G48" s="38"/>
      <c r="H48" s="38"/>
      <c r="I48" s="38"/>
      <c r="J48" s="38"/>
      <c r="K48" s="38"/>
      <c r="L48" s="38" t="s">
        <v>34</v>
      </c>
      <c r="M48" s="38"/>
      <c r="N48" s="38" t="str">
        <f t="shared" si="3"/>
        <v>FY2010-11</v>
      </c>
      <c r="O48" s="38" t="s">
        <v>152</v>
      </c>
      <c r="P48" s="38" t="s">
        <v>147</v>
      </c>
      <c r="Q48" s="38"/>
      <c r="R48" s="38"/>
      <c r="S48" s="38"/>
      <c r="T48" s="38"/>
      <c r="U48" s="58"/>
      <c r="V48" s="1"/>
      <c r="W48" s="1"/>
      <c r="X48" s="1"/>
      <c r="Y48" s="1"/>
      <c r="Z48" s="1"/>
      <c r="AA48" s="1"/>
      <c r="AB48" s="1"/>
      <c r="AC48" s="1"/>
      <c r="AD48" s="1"/>
      <c r="AE48" s="1"/>
      <c r="AF48" s="1"/>
      <c r="AG48" s="1"/>
    </row>
    <row r="49" spans="1:33" ht="15.95" customHeight="1">
      <c r="A49" s="29"/>
      <c r="B49" s="30"/>
      <c r="C49" s="30"/>
      <c r="D49" s="32"/>
      <c r="E49" s="32"/>
      <c r="F49" s="32"/>
      <c r="G49" s="32"/>
      <c r="H49" s="32"/>
      <c r="I49" s="32"/>
      <c r="J49" s="32"/>
      <c r="K49" s="32"/>
      <c r="L49" s="32"/>
      <c r="M49" s="32"/>
      <c r="N49" s="32"/>
      <c r="O49" s="32"/>
      <c r="P49" s="32"/>
      <c r="Q49" s="32"/>
      <c r="R49" s="32"/>
      <c r="S49" s="32"/>
      <c r="T49" s="32"/>
      <c r="U49" s="58"/>
      <c r="V49" s="1"/>
      <c r="W49" s="1"/>
      <c r="X49" s="1"/>
      <c r="Y49" s="1"/>
      <c r="Z49" s="1"/>
      <c r="AA49" s="1"/>
      <c r="AB49" s="1"/>
      <c r="AC49" s="1"/>
      <c r="AD49" s="1"/>
      <c r="AE49" s="1"/>
      <c r="AF49" s="1"/>
      <c r="AG49" s="1"/>
    </row>
    <row r="50" spans="1:33" ht="15.95" customHeight="1" thickBot="1">
      <c r="A50" s="49"/>
      <c r="B50" s="50" t="str">
        <f>"FA2 = "&amp;'FIG3'!$W$53&amp;" "&amp;'FIG3'!$X$53</f>
        <v>FA2 = Atlanta Public Schools</v>
      </c>
      <c r="C50" s="49"/>
      <c r="D50" s="54"/>
      <c r="E50" s="54"/>
      <c r="F50" s="54"/>
      <c r="G50" s="54"/>
      <c r="H50" s="54"/>
      <c r="I50" s="54"/>
      <c r="J50" s="54"/>
      <c r="K50" s="54"/>
      <c r="L50" s="54"/>
      <c r="M50" s="55"/>
      <c r="N50" s="54"/>
      <c r="O50" s="54"/>
      <c r="P50" s="54"/>
      <c r="Q50" s="54"/>
      <c r="R50" s="53"/>
      <c r="S50" s="871" t="str">
        <f>'ENR#-DB'!$S$34</f>
        <v>UD1</v>
      </c>
      <c r="T50" s="871" t="str">
        <f>'ENR#-DB'!$T$34</f>
        <v>UD2</v>
      </c>
      <c r="U50" s="60"/>
      <c r="V50" s="56"/>
      <c r="W50" s="56"/>
      <c r="X50" s="56"/>
      <c r="Y50" s="56"/>
      <c r="Z50" s="56"/>
      <c r="AA50" s="56"/>
      <c r="AB50" s="56"/>
      <c r="AC50" s="56"/>
      <c r="AD50" s="56"/>
      <c r="AE50" s="56"/>
      <c r="AF50" s="56"/>
      <c r="AG50" s="1"/>
    </row>
    <row r="51" spans="1:33" ht="15.95" customHeight="1" thickTop="1" thickBot="1">
      <c r="A51" s="49"/>
      <c r="B51" s="51" t="s">
        <v>4</v>
      </c>
      <c r="C51" s="15"/>
      <c r="D51" s="301" t="s">
        <v>186</v>
      </c>
      <c r="E51" s="301" t="s">
        <v>187</v>
      </c>
      <c r="F51" s="301" t="s">
        <v>188</v>
      </c>
      <c r="G51" s="301" t="s">
        <v>189</v>
      </c>
      <c r="H51" s="301" t="s">
        <v>11</v>
      </c>
      <c r="I51" s="301" t="s">
        <v>190</v>
      </c>
      <c r="J51" s="301" t="s">
        <v>191</v>
      </c>
      <c r="K51" s="304" t="s">
        <v>192</v>
      </c>
      <c r="L51" s="301" t="s">
        <v>203</v>
      </c>
      <c r="M51" s="301" t="s">
        <v>42</v>
      </c>
      <c r="N51" s="301" t="s">
        <v>148</v>
      </c>
      <c r="O51" s="301" t="s">
        <v>193</v>
      </c>
      <c r="P51" s="301" t="s">
        <v>142</v>
      </c>
      <c r="Q51" s="112" t="s">
        <v>239</v>
      </c>
      <c r="R51" s="112" t="s">
        <v>672</v>
      </c>
      <c r="S51" s="859" t="s">
        <v>541</v>
      </c>
      <c r="T51" s="859" t="s">
        <v>542</v>
      </c>
      <c r="U51" s="59"/>
      <c r="V51" s="2"/>
      <c r="W51" s="2"/>
      <c r="X51" s="2"/>
      <c r="Y51" s="2"/>
      <c r="Z51" s="2"/>
      <c r="AA51" s="2"/>
      <c r="AB51" s="2"/>
      <c r="AC51" s="2"/>
      <c r="AD51" s="2"/>
      <c r="AE51" s="2"/>
      <c r="AF51" s="2"/>
      <c r="AG51" s="1"/>
    </row>
    <row r="52" spans="1:33" ht="15.95" customHeight="1" thickTop="1">
      <c r="A52" s="49"/>
      <c r="B52" s="50" t="s">
        <v>146</v>
      </c>
      <c r="C52" s="12"/>
      <c r="D52" s="47"/>
      <c r="E52" s="47"/>
      <c r="F52" s="47"/>
      <c r="G52" s="47"/>
      <c r="H52" s="47"/>
      <c r="I52" s="47"/>
      <c r="J52" s="47"/>
      <c r="K52" s="47"/>
      <c r="L52" s="47" t="s">
        <v>34</v>
      </c>
      <c r="M52" s="47"/>
      <c r="N52" s="47" t="str">
        <f t="shared" ref="N52:N58" si="4">$F$8</f>
        <v>FY2010-11</v>
      </c>
      <c r="O52" s="47" t="s">
        <v>153</v>
      </c>
      <c r="P52" s="47" t="s">
        <v>138</v>
      </c>
      <c r="Q52" s="47"/>
      <c r="R52" s="47"/>
      <c r="S52" s="47"/>
      <c r="T52" s="47"/>
      <c r="U52" s="58"/>
      <c r="V52" s="1"/>
      <c r="W52" s="1"/>
      <c r="X52" s="1"/>
      <c r="Y52" s="1"/>
      <c r="Z52" s="1"/>
      <c r="AA52" s="1"/>
      <c r="AB52" s="1"/>
      <c r="AC52" s="1"/>
      <c r="AD52" s="1"/>
      <c r="AE52" s="1"/>
      <c r="AF52" s="1"/>
      <c r="AG52" s="1"/>
    </row>
    <row r="53" spans="1:33" ht="15.95" customHeight="1">
      <c r="A53" s="49"/>
      <c r="B53" s="57">
        <f>DSUM('ENR#-DB'!D35:T48,"TOTAL ENROLLMENT",'ENR#-DSUM'!D51:T58)</f>
        <v>44738</v>
      </c>
      <c r="C53" s="12"/>
      <c r="D53" s="47"/>
      <c r="E53" s="47"/>
      <c r="F53" s="47"/>
      <c r="G53" s="47"/>
      <c r="H53" s="47"/>
      <c r="I53" s="47"/>
      <c r="J53" s="47"/>
      <c r="K53" s="47"/>
      <c r="L53" s="47" t="s">
        <v>34</v>
      </c>
      <c r="M53" s="47"/>
      <c r="N53" s="47" t="str">
        <f t="shared" si="4"/>
        <v>FY2010-11</v>
      </c>
      <c r="O53" s="47" t="s">
        <v>153</v>
      </c>
      <c r="P53" s="47" t="s">
        <v>138</v>
      </c>
      <c r="Q53" s="47"/>
      <c r="R53" s="47"/>
      <c r="S53" s="47"/>
      <c r="T53" s="47"/>
      <c r="U53" s="58"/>
      <c r="V53" s="1"/>
      <c r="W53" s="1"/>
      <c r="X53" s="1"/>
      <c r="Y53" s="1"/>
      <c r="Z53" s="1"/>
      <c r="AA53" s="1"/>
      <c r="AB53" s="1"/>
      <c r="AC53" s="1"/>
      <c r="AD53" s="1"/>
      <c r="AE53" s="1"/>
      <c r="AF53" s="1"/>
      <c r="AG53" s="1"/>
    </row>
    <row r="54" spans="1:33" ht="15.95" customHeight="1">
      <c r="A54" s="49"/>
      <c r="B54" s="52"/>
      <c r="C54" s="12"/>
      <c r="D54" s="47"/>
      <c r="E54" s="47"/>
      <c r="F54" s="47"/>
      <c r="G54" s="47"/>
      <c r="H54" s="47"/>
      <c r="I54" s="47"/>
      <c r="J54" s="47"/>
      <c r="K54" s="47"/>
      <c r="L54" s="47" t="s">
        <v>34</v>
      </c>
      <c r="M54" s="47"/>
      <c r="N54" s="47" t="str">
        <f t="shared" si="4"/>
        <v>FY2010-11</v>
      </c>
      <c r="O54" s="47" t="s">
        <v>153</v>
      </c>
      <c r="P54" s="47" t="s">
        <v>138</v>
      </c>
      <c r="Q54" s="47"/>
      <c r="R54" s="47"/>
      <c r="S54" s="47"/>
      <c r="T54" s="47"/>
      <c r="U54" s="58"/>
      <c r="V54" s="1"/>
      <c r="W54" s="1"/>
      <c r="X54" s="1"/>
      <c r="Y54" s="1"/>
      <c r="Z54" s="1"/>
      <c r="AA54" s="1"/>
      <c r="AB54" s="1"/>
      <c r="AC54" s="1"/>
      <c r="AD54" s="1"/>
      <c r="AE54" s="1"/>
      <c r="AF54" s="1"/>
      <c r="AG54" s="1"/>
    </row>
    <row r="55" spans="1:33" ht="15.95" customHeight="1">
      <c r="A55" s="49"/>
      <c r="B55" s="52"/>
      <c r="C55" s="12"/>
      <c r="D55" s="47"/>
      <c r="E55" s="47"/>
      <c r="F55" s="47"/>
      <c r="G55" s="47"/>
      <c r="H55" s="47"/>
      <c r="I55" s="47"/>
      <c r="J55" s="47"/>
      <c r="K55" s="47"/>
      <c r="L55" s="47" t="s">
        <v>34</v>
      </c>
      <c r="M55" s="47"/>
      <c r="N55" s="47" t="str">
        <f t="shared" si="4"/>
        <v>FY2010-11</v>
      </c>
      <c r="O55" s="47" t="s">
        <v>153</v>
      </c>
      <c r="P55" s="47" t="s">
        <v>138</v>
      </c>
      <c r="Q55" s="47"/>
      <c r="R55" s="47"/>
      <c r="S55" s="47"/>
      <c r="T55" s="47"/>
      <c r="U55" s="58"/>
      <c r="V55" s="1"/>
      <c r="W55" s="1"/>
      <c r="X55" s="1"/>
      <c r="Y55" s="1"/>
      <c r="Z55" s="1"/>
      <c r="AA55" s="1"/>
      <c r="AB55" s="1"/>
      <c r="AC55" s="1"/>
      <c r="AD55" s="1"/>
      <c r="AE55" s="1"/>
      <c r="AF55" s="1"/>
      <c r="AG55" s="1"/>
    </row>
    <row r="56" spans="1:33" ht="15.95" customHeight="1">
      <c r="A56" s="49"/>
      <c r="B56" s="52"/>
      <c r="C56" s="12"/>
      <c r="D56" s="47"/>
      <c r="E56" s="47"/>
      <c r="F56" s="47"/>
      <c r="G56" s="47"/>
      <c r="H56" s="47"/>
      <c r="I56" s="47"/>
      <c r="J56" s="47"/>
      <c r="K56" s="47"/>
      <c r="L56" s="47" t="s">
        <v>34</v>
      </c>
      <c r="M56" s="47"/>
      <c r="N56" s="47" t="str">
        <f t="shared" si="4"/>
        <v>FY2010-11</v>
      </c>
      <c r="O56" s="47" t="s">
        <v>153</v>
      </c>
      <c r="P56" s="47" t="s">
        <v>138</v>
      </c>
      <c r="Q56" s="47"/>
      <c r="R56" s="47"/>
      <c r="S56" s="47"/>
      <c r="T56" s="47"/>
      <c r="U56" s="58"/>
      <c r="V56" s="1"/>
      <c r="W56" s="1"/>
      <c r="X56" s="1"/>
      <c r="Y56" s="1"/>
      <c r="Z56" s="1"/>
      <c r="AA56" s="1"/>
      <c r="AB56" s="1"/>
      <c r="AC56" s="1"/>
      <c r="AD56" s="1"/>
      <c r="AE56" s="1"/>
      <c r="AF56" s="1"/>
      <c r="AG56" s="1"/>
    </row>
    <row r="57" spans="1:33" ht="15.95" customHeight="1">
      <c r="A57" s="49"/>
      <c r="B57" s="52"/>
      <c r="C57" s="12"/>
      <c r="D57" s="47"/>
      <c r="E57" s="47"/>
      <c r="F57" s="47"/>
      <c r="G57" s="47"/>
      <c r="H57" s="47"/>
      <c r="I57" s="47"/>
      <c r="J57" s="47"/>
      <c r="K57" s="47"/>
      <c r="L57" s="47" t="s">
        <v>34</v>
      </c>
      <c r="M57" s="47"/>
      <c r="N57" s="47" t="str">
        <f t="shared" si="4"/>
        <v>FY2010-11</v>
      </c>
      <c r="O57" s="47" t="s">
        <v>153</v>
      </c>
      <c r="P57" s="47" t="s">
        <v>138</v>
      </c>
      <c r="Q57" s="47"/>
      <c r="R57" s="47"/>
      <c r="S57" s="47"/>
      <c r="T57" s="47"/>
      <c r="U57" s="58"/>
      <c r="V57" s="1"/>
      <c r="W57" s="1"/>
      <c r="X57" s="1"/>
      <c r="Y57" s="1"/>
      <c r="Z57" s="1"/>
      <c r="AA57" s="1"/>
      <c r="AB57" s="1"/>
      <c r="AC57" s="1"/>
      <c r="AD57" s="1"/>
      <c r="AE57" s="1"/>
      <c r="AF57" s="1"/>
      <c r="AG57" s="1"/>
    </row>
    <row r="58" spans="1:33" ht="15.95" customHeight="1">
      <c r="A58" s="49"/>
      <c r="B58" s="52"/>
      <c r="C58" s="12"/>
      <c r="D58" s="47"/>
      <c r="E58" s="47"/>
      <c r="F58" s="47"/>
      <c r="G58" s="47"/>
      <c r="H58" s="47"/>
      <c r="I58" s="47"/>
      <c r="J58" s="47"/>
      <c r="K58" s="47"/>
      <c r="L58" s="47" t="s">
        <v>34</v>
      </c>
      <c r="M58" s="47"/>
      <c r="N58" s="47" t="str">
        <f t="shared" si="4"/>
        <v>FY2010-11</v>
      </c>
      <c r="O58" s="47" t="s">
        <v>153</v>
      </c>
      <c r="P58" s="47" t="s">
        <v>138</v>
      </c>
      <c r="Q58" s="47"/>
      <c r="R58" s="47"/>
      <c r="S58" s="47"/>
      <c r="T58" s="47"/>
      <c r="U58" s="58"/>
      <c r="V58" s="1"/>
      <c r="W58" s="1"/>
      <c r="X58" s="1"/>
      <c r="Y58" s="1"/>
      <c r="Z58" s="1"/>
      <c r="AA58" s="1"/>
      <c r="AB58" s="1"/>
      <c r="AC58" s="1"/>
      <c r="AD58" s="1"/>
      <c r="AE58" s="1"/>
      <c r="AF58" s="1"/>
      <c r="AG58" s="1"/>
    </row>
    <row r="59" spans="1:33" ht="15.95" customHeight="1">
      <c r="A59" s="29"/>
      <c r="B59" s="30"/>
      <c r="C59" s="30"/>
      <c r="D59" s="32"/>
      <c r="E59" s="32"/>
      <c r="F59" s="32"/>
      <c r="G59" s="32"/>
      <c r="H59" s="32"/>
      <c r="I59" s="32"/>
      <c r="J59" s="32"/>
      <c r="K59" s="32"/>
      <c r="L59" s="32"/>
      <c r="M59" s="32"/>
      <c r="N59" s="32"/>
      <c r="O59" s="32"/>
      <c r="P59" s="32"/>
      <c r="Q59" s="32"/>
      <c r="R59" s="32"/>
      <c r="S59" s="32"/>
      <c r="T59" s="32"/>
      <c r="U59" s="58"/>
      <c r="V59" s="1"/>
      <c r="W59" s="1"/>
      <c r="X59" s="1"/>
      <c r="Y59" s="1"/>
      <c r="Z59" s="1"/>
      <c r="AA59" s="1"/>
      <c r="AB59" s="1"/>
      <c r="AC59" s="1"/>
      <c r="AD59" s="1"/>
      <c r="AE59" s="1"/>
      <c r="AF59" s="1"/>
      <c r="AG59" s="1"/>
    </row>
    <row r="60" spans="1:33" ht="15.95" customHeight="1" thickBot="1">
      <c r="A60" s="49"/>
      <c r="B60" s="50" t="str">
        <f>"FA2 = "&amp;'FIG3'!$W$53&amp;" "&amp;'FIG3'!$X$53</f>
        <v>FA2 = Atlanta Public Schools</v>
      </c>
      <c r="C60" s="49"/>
      <c r="D60" s="54"/>
      <c r="E60" s="54"/>
      <c r="F60" s="54"/>
      <c r="G60" s="54"/>
      <c r="H60" s="54"/>
      <c r="I60" s="54"/>
      <c r="J60" s="54"/>
      <c r="K60" s="54"/>
      <c r="L60" s="54"/>
      <c r="M60" s="55"/>
      <c r="N60" s="54"/>
      <c r="O60" s="54"/>
      <c r="P60" s="54"/>
      <c r="Q60" s="54"/>
      <c r="R60" s="53"/>
      <c r="S60" s="871" t="str">
        <f>'ENR#-DB'!$S$34</f>
        <v>UD1</v>
      </c>
      <c r="T60" s="871" t="str">
        <f>'ENR#-DB'!$T$34</f>
        <v>UD2</v>
      </c>
      <c r="U60" s="60"/>
      <c r="V60" s="56"/>
      <c r="W60" s="56"/>
      <c r="X60" s="56"/>
      <c r="Y60" s="56"/>
      <c r="Z60" s="56"/>
      <c r="AA60" s="56"/>
      <c r="AB60" s="56"/>
      <c r="AC60" s="56"/>
      <c r="AD60" s="56"/>
      <c r="AE60" s="56"/>
      <c r="AF60" s="56"/>
      <c r="AG60" s="1"/>
    </row>
    <row r="61" spans="1:33" ht="15.95" customHeight="1" thickTop="1" thickBot="1">
      <c r="A61" s="49"/>
      <c r="B61" s="51" t="s">
        <v>175</v>
      </c>
      <c r="C61" s="15"/>
      <c r="D61" s="301" t="s">
        <v>186</v>
      </c>
      <c r="E61" s="301" t="s">
        <v>187</v>
      </c>
      <c r="F61" s="301" t="s">
        <v>188</v>
      </c>
      <c r="G61" s="301" t="s">
        <v>189</v>
      </c>
      <c r="H61" s="301" t="s">
        <v>11</v>
      </c>
      <c r="I61" s="301" t="s">
        <v>190</v>
      </c>
      <c r="J61" s="301" t="s">
        <v>191</v>
      </c>
      <c r="K61" s="304" t="s">
        <v>192</v>
      </c>
      <c r="L61" s="301" t="s">
        <v>203</v>
      </c>
      <c r="M61" s="301" t="s">
        <v>42</v>
      </c>
      <c r="N61" s="301" t="s">
        <v>148</v>
      </c>
      <c r="O61" s="301" t="s">
        <v>193</v>
      </c>
      <c r="P61" s="301" t="s">
        <v>142</v>
      </c>
      <c r="Q61" s="112" t="s">
        <v>239</v>
      </c>
      <c r="R61" s="112" t="s">
        <v>672</v>
      </c>
      <c r="S61" s="859" t="s">
        <v>541</v>
      </c>
      <c r="T61" s="859" t="s">
        <v>542</v>
      </c>
      <c r="U61" s="59"/>
      <c r="V61" s="2"/>
      <c r="W61" s="2"/>
      <c r="X61" s="2"/>
      <c r="Y61" s="2"/>
      <c r="Z61" s="2"/>
      <c r="AA61" s="2"/>
      <c r="AB61" s="2"/>
      <c r="AC61" s="2"/>
      <c r="AD61" s="2"/>
      <c r="AE61" s="2"/>
      <c r="AF61" s="2"/>
      <c r="AG61" s="1"/>
    </row>
    <row r="62" spans="1:33" ht="15.95" customHeight="1" thickTop="1">
      <c r="A62" s="49"/>
      <c r="B62" s="50" t="s">
        <v>146</v>
      </c>
      <c r="C62" s="12"/>
      <c r="D62" s="47"/>
      <c r="E62" s="47"/>
      <c r="F62" s="47"/>
      <c r="G62" s="47"/>
      <c r="H62" s="47"/>
      <c r="I62" s="47"/>
      <c r="J62" s="47"/>
      <c r="K62" s="47"/>
      <c r="L62" s="47" t="s">
        <v>34</v>
      </c>
      <c r="M62" s="47"/>
      <c r="N62" s="47" t="str">
        <f t="shared" ref="N62:N68" si="5">$F$8</f>
        <v>FY2010-11</v>
      </c>
      <c r="O62" s="47" t="s">
        <v>153</v>
      </c>
      <c r="P62" s="47" t="s">
        <v>147</v>
      </c>
      <c r="Q62" s="47"/>
      <c r="R62" s="47"/>
      <c r="S62" s="47"/>
      <c r="T62" s="47"/>
      <c r="U62" s="58"/>
      <c r="V62" s="1"/>
      <c r="W62" s="1"/>
      <c r="X62" s="1"/>
      <c r="Y62" s="1"/>
      <c r="Z62" s="1"/>
      <c r="AA62" s="1"/>
      <c r="AB62" s="1"/>
      <c r="AC62" s="1"/>
      <c r="AD62" s="1"/>
      <c r="AE62" s="1"/>
      <c r="AF62" s="1"/>
      <c r="AG62" s="1"/>
    </row>
    <row r="63" spans="1:33" ht="15.95" customHeight="1">
      <c r="A63" s="49"/>
      <c r="B63" s="57">
        <f>DSUM('ENR#-DB'!D35:T48,"TOTAL ENROLLMENT",'ENR#-DSUM'!D61:T68)</f>
        <v>4291</v>
      </c>
      <c r="C63" s="12"/>
      <c r="D63" s="47"/>
      <c r="E63" s="47"/>
      <c r="F63" s="47"/>
      <c r="G63" s="47"/>
      <c r="H63" s="47"/>
      <c r="I63" s="47"/>
      <c r="J63" s="47"/>
      <c r="K63" s="47"/>
      <c r="L63" s="47" t="s">
        <v>34</v>
      </c>
      <c r="M63" s="47"/>
      <c r="N63" s="47" t="str">
        <f t="shared" si="5"/>
        <v>FY2010-11</v>
      </c>
      <c r="O63" s="47" t="s">
        <v>153</v>
      </c>
      <c r="P63" s="47" t="s">
        <v>147</v>
      </c>
      <c r="Q63" s="47"/>
      <c r="R63" s="47"/>
      <c r="S63" s="47"/>
      <c r="T63" s="47"/>
      <c r="U63" s="58"/>
      <c r="V63" s="1"/>
      <c r="W63" s="1"/>
      <c r="X63" s="1"/>
      <c r="Y63" s="1"/>
      <c r="Z63" s="1"/>
      <c r="AA63" s="1"/>
      <c r="AB63" s="1"/>
      <c r="AC63" s="1"/>
      <c r="AD63" s="1"/>
      <c r="AE63" s="1"/>
      <c r="AF63" s="1"/>
      <c r="AG63" s="1"/>
    </row>
    <row r="64" spans="1:33" ht="15.95" customHeight="1">
      <c r="A64" s="49"/>
      <c r="B64" s="52"/>
      <c r="C64" s="12"/>
      <c r="D64" s="47"/>
      <c r="E64" s="47"/>
      <c r="F64" s="47"/>
      <c r="G64" s="47"/>
      <c r="H64" s="47"/>
      <c r="I64" s="47"/>
      <c r="J64" s="47"/>
      <c r="K64" s="47"/>
      <c r="L64" s="47" t="s">
        <v>34</v>
      </c>
      <c r="M64" s="47"/>
      <c r="N64" s="47" t="str">
        <f t="shared" si="5"/>
        <v>FY2010-11</v>
      </c>
      <c r="O64" s="47" t="s">
        <v>153</v>
      </c>
      <c r="P64" s="47" t="s">
        <v>147</v>
      </c>
      <c r="Q64" s="47"/>
      <c r="R64" s="47"/>
      <c r="S64" s="47"/>
      <c r="T64" s="47"/>
      <c r="U64" s="58"/>
      <c r="V64" s="1"/>
      <c r="W64" s="1"/>
      <c r="X64" s="1"/>
      <c r="Y64" s="1"/>
      <c r="Z64" s="1"/>
      <c r="AA64" s="1"/>
      <c r="AB64" s="1"/>
      <c r="AC64" s="1"/>
      <c r="AD64" s="1"/>
      <c r="AE64" s="1"/>
      <c r="AF64" s="1"/>
      <c r="AG64" s="1"/>
    </row>
    <row r="65" spans="1:33" ht="15.95" customHeight="1">
      <c r="A65" s="49"/>
      <c r="B65" s="52"/>
      <c r="C65" s="12"/>
      <c r="D65" s="47"/>
      <c r="E65" s="47"/>
      <c r="F65" s="47"/>
      <c r="G65" s="47"/>
      <c r="H65" s="47"/>
      <c r="I65" s="47"/>
      <c r="J65" s="47"/>
      <c r="K65" s="47"/>
      <c r="L65" s="47" t="s">
        <v>34</v>
      </c>
      <c r="M65" s="47"/>
      <c r="N65" s="47" t="str">
        <f t="shared" si="5"/>
        <v>FY2010-11</v>
      </c>
      <c r="O65" s="47" t="s">
        <v>153</v>
      </c>
      <c r="P65" s="47" t="s">
        <v>147</v>
      </c>
      <c r="Q65" s="47"/>
      <c r="R65" s="47"/>
      <c r="S65" s="47"/>
      <c r="T65" s="47"/>
      <c r="U65" s="58"/>
      <c r="V65" s="1"/>
      <c r="W65" s="1"/>
      <c r="X65" s="1"/>
      <c r="Y65" s="1"/>
      <c r="Z65" s="1"/>
      <c r="AA65" s="1"/>
      <c r="AB65" s="1"/>
      <c r="AC65" s="1"/>
      <c r="AD65" s="1"/>
      <c r="AE65" s="1"/>
      <c r="AF65" s="1"/>
      <c r="AG65" s="1"/>
    </row>
    <row r="66" spans="1:33" ht="15.95" customHeight="1">
      <c r="A66" s="49"/>
      <c r="B66" s="52"/>
      <c r="C66" s="12"/>
      <c r="D66" s="47"/>
      <c r="E66" s="47"/>
      <c r="F66" s="47"/>
      <c r="G66" s="47"/>
      <c r="H66" s="47"/>
      <c r="I66" s="47"/>
      <c r="J66" s="47"/>
      <c r="K66" s="47"/>
      <c r="L66" s="47" t="s">
        <v>34</v>
      </c>
      <c r="M66" s="47"/>
      <c r="N66" s="47" t="str">
        <f t="shared" si="5"/>
        <v>FY2010-11</v>
      </c>
      <c r="O66" s="47" t="s">
        <v>153</v>
      </c>
      <c r="P66" s="47" t="s">
        <v>147</v>
      </c>
      <c r="Q66" s="47"/>
      <c r="R66" s="47"/>
      <c r="S66" s="47"/>
      <c r="T66" s="47"/>
      <c r="U66" s="58"/>
      <c r="V66" s="1"/>
      <c r="W66" s="1"/>
      <c r="X66" s="1"/>
      <c r="Y66" s="1"/>
      <c r="Z66" s="1"/>
      <c r="AA66" s="1"/>
      <c r="AB66" s="1"/>
      <c r="AC66" s="1"/>
      <c r="AD66" s="1"/>
      <c r="AE66" s="1"/>
      <c r="AF66" s="1"/>
      <c r="AG66" s="1"/>
    </row>
    <row r="67" spans="1:33" ht="15.95" customHeight="1">
      <c r="A67" s="49"/>
      <c r="B67" s="52"/>
      <c r="C67" s="12"/>
      <c r="D67" s="47"/>
      <c r="E67" s="47"/>
      <c r="F67" s="47"/>
      <c r="G67" s="47"/>
      <c r="H67" s="47"/>
      <c r="I67" s="47"/>
      <c r="J67" s="47"/>
      <c r="K67" s="47"/>
      <c r="L67" s="47" t="s">
        <v>34</v>
      </c>
      <c r="M67" s="47"/>
      <c r="N67" s="47" t="str">
        <f t="shared" si="5"/>
        <v>FY2010-11</v>
      </c>
      <c r="O67" s="47" t="s">
        <v>153</v>
      </c>
      <c r="P67" s="47" t="s">
        <v>147</v>
      </c>
      <c r="Q67" s="47"/>
      <c r="R67" s="47"/>
      <c r="S67" s="47"/>
      <c r="T67" s="47"/>
      <c r="U67" s="58"/>
      <c r="V67" s="1"/>
      <c r="W67" s="1"/>
      <c r="X67" s="1"/>
      <c r="Y67" s="1"/>
      <c r="Z67" s="1"/>
      <c r="AA67" s="1"/>
      <c r="AB67" s="1"/>
      <c r="AC67" s="1"/>
      <c r="AD67" s="1"/>
      <c r="AE67" s="1"/>
      <c r="AF67" s="1"/>
      <c r="AG67" s="1"/>
    </row>
    <row r="68" spans="1:33" ht="15.95" customHeight="1">
      <c r="A68" s="49"/>
      <c r="B68" s="52"/>
      <c r="C68" s="12"/>
      <c r="D68" s="47"/>
      <c r="E68" s="47"/>
      <c r="F68" s="47"/>
      <c r="G68" s="47"/>
      <c r="H68" s="47"/>
      <c r="I68" s="47"/>
      <c r="J68" s="47"/>
      <c r="K68" s="47"/>
      <c r="L68" s="47" t="s">
        <v>34</v>
      </c>
      <c r="M68" s="47"/>
      <c r="N68" s="47" t="str">
        <f t="shared" si="5"/>
        <v>FY2010-11</v>
      </c>
      <c r="O68" s="47" t="s">
        <v>153</v>
      </c>
      <c r="P68" s="47" t="s">
        <v>147</v>
      </c>
      <c r="Q68" s="47"/>
      <c r="R68" s="47"/>
      <c r="S68" s="47"/>
      <c r="T68" s="47"/>
      <c r="U68" s="58"/>
      <c r="V68" s="1"/>
      <c r="W68" s="1"/>
      <c r="X68" s="1"/>
      <c r="Y68" s="1"/>
      <c r="Z68" s="1"/>
      <c r="AA68" s="1"/>
      <c r="AB68" s="1"/>
      <c r="AC68" s="1"/>
      <c r="AD68" s="1"/>
      <c r="AE68" s="1"/>
      <c r="AF68" s="1"/>
      <c r="AG68" s="1"/>
    </row>
    <row r="69" spans="1:33" ht="15.95" customHeight="1">
      <c r="A69" s="21"/>
      <c r="B69" s="22"/>
      <c r="C69" s="22"/>
      <c r="D69" s="24"/>
      <c r="E69" s="24"/>
      <c r="F69" s="24"/>
      <c r="G69" s="24"/>
      <c r="H69" s="24"/>
      <c r="I69" s="24"/>
      <c r="J69" s="24"/>
      <c r="K69" s="24"/>
      <c r="L69" s="24"/>
      <c r="M69" s="24"/>
      <c r="N69" s="24"/>
      <c r="O69" s="24"/>
      <c r="P69" s="24"/>
      <c r="Q69" s="24"/>
      <c r="R69" s="24"/>
      <c r="S69" s="24"/>
      <c r="T69" s="24"/>
      <c r="U69" s="58"/>
      <c r="V69" s="1"/>
      <c r="W69" s="1"/>
      <c r="X69" s="1"/>
      <c r="Y69" s="1"/>
      <c r="Z69" s="1"/>
      <c r="AA69" s="1"/>
      <c r="AB69" s="1"/>
      <c r="AC69" s="1"/>
      <c r="AD69" s="1"/>
      <c r="AE69" s="1"/>
      <c r="AF69" s="1"/>
      <c r="AG69" s="1"/>
    </row>
    <row r="70" spans="1:33"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1" t="str">
        <f>'ENR#-DB'!$S$34</f>
        <v>UD1</v>
      </c>
      <c r="T70" s="871" t="str">
        <f>'ENR#-DB'!$T$34</f>
        <v>UD2</v>
      </c>
      <c r="U70" s="60"/>
      <c r="V70" s="56"/>
      <c r="W70" s="56"/>
      <c r="X70" s="56"/>
      <c r="Y70" s="56"/>
      <c r="Z70" s="56"/>
      <c r="AA70" s="56"/>
      <c r="AB70" s="56"/>
      <c r="AC70" s="56"/>
      <c r="AD70" s="56"/>
      <c r="AE70" s="56"/>
      <c r="AF70" s="56"/>
      <c r="AG70" s="1"/>
    </row>
    <row r="71" spans="1:33" ht="15.95" customHeight="1" thickTop="1" thickBot="1">
      <c r="A71" s="49"/>
      <c r="B71" s="51" t="s">
        <v>4</v>
      </c>
      <c r="C71" s="15"/>
      <c r="D71" s="301" t="s">
        <v>186</v>
      </c>
      <c r="E71" s="301" t="s">
        <v>187</v>
      </c>
      <c r="F71" s="301" t="s">
        <v>188</v>
      </c>
      <c r="G71" s="301" t="s">
        <v>189</v>
      </c>
      <c r="H71" s="301" t="s">
        <v>11</v>
      </c>
      <c r="I71" s="301" t="s">
        <v>190</v>
      </c>
      <c r="J71" s="301" t="s">
        <v>191</v>
      </c>
      <c r="K71" s="304" t="s">
        <v>192</v>
      </c>
      <c r="L71" s="301" t="s">
        <v>203</v>
      </c>
      <c r="M71" s="301" t="s">
        <v>42</v>
      </c>
      <c r="N71" s="301" t="s">
        <v>148</v>
      </c>
      <c r="O71" s="301" t="s">
        <v>193</v>
      </c>
      <c r="P71" s="301" t="s">
        <v>142</v>
      </c>
      <c r="Q71" s="112" t="s">
        <v>239</v>
      </c>
      <c r="R71" s="112" t="s">
        <v>672</v>
      </c>
      <c r="S71" s="859" t="s">
        <v>541</v>
      </c>
      <c r="T71" s="859" t="s">
        <v>542</v>
      </c>
      <c r="U71" s="59"/>
      <c r="V71" s="2"/>
      <c r="W71" s="2"/>
      <c r="X71" s="2"/>
      <c r="Y71" s="2"/>
      <c r="Z71" s="2"/>
      <c r="AA71" s="2"/>
      <c r="AB71" s="2"/>
      <c r="AC71" s="2"/>
      <c r="AD71" s="2"/>
      <c r="AE71" s="2"/>
      <c r="AF71" s="2"/>
      <c r="AG71" s="1"/>
    </row>
    <row r="72" spans="1:33" ht="15.95" customHeight="1" thickTop="1">
      <c r="A72" s="49"/>
      <c r="B72" s="50" t="s">
        <v>146</v>
      </c>
      <c r="C72" s="12"/>
      <c r="D72" s="39"/>
      <c r="E72" s="39"/>
      <c r="F72" s="39"/>
      <c r="G72" s="39"/>
      <c r="H72" s="39"/>
      <c r="I72" s="39"/>
      <c r="J72" s="39"/>
      <c r="K72" s="39"/>
      <c r="L72" s="39" t="s">
        <v>34</v>
      </c>
      <c r="M72" s="39"/>
      <c r="N72" s="39" t="str">
        <f t="shared" ref="N72:N78" si="6">$F$8</f>
        <v>FY2010-11</v>
      </c>
      <c r="O72" s="39" t="s">
        <v>154</v>
      </c>
      <c r="P72" s="39" t="s">
        <v>138</v>
      </c>
      <c r="Q72" s="39"/>
      <c r="R72" s="39"/>
      <c r="S72" s="39"/>
      <c r="T72" s="39"/>
      <c r="U72" s="58"/>
      <c r="V72" s="1"/>
      <c r="W72" s="1"/>
      <c r="X72" s="1"/>
      <c r="Y72" s="1"/>
      <c r="Z72" s="1"/>
      <c r="AA72" s="1"/>
      <c r="AB72" s="1"/>
      <c r="AC72" s="1"/>
      <c r="AD72" s="1"/>
      <c r="AE72" s="1"/>
      <c r="AF72" s="1"/>
      <c r="AG72" s="1"/>
    </row>
    <row r="73" spans="1:33" ht="15.95" customHeight="1">
      <c r="A73" s="49"/>
      <c r="B73" s="57">
        <f>DSUM('ENR#-DB'!D35:T48,"TOTAL ENROLLMENT",'ENR#-DSUM'!D71:T78)</f>
        <v>0</v>
      </c>
      <c r="C73" s="12"/>
      <c r="D73" s="39"/>
      <c r="E73" s="39"/>
      <c r="F73" s="39"/>
      <c r="G73" s="39"/>
      <c r="H73" s="39"/>
      <c r="I73" s="39"/>
      <c r="J73" s="39"/>
      <c r="K73" s="39"/>
      <c r="L73" s="39" t="s">
        <v>34</v>
      </c>
      <c r="M73" s="39"/>
      <c r="N73" s="39" t="str">
        <f t="shared" si="6"/>
        <v>FY2010-11</v>
      </c>
      <c r="O73" s="39" t="s">
        <v>154</v>
      </c>
      <c r="P73" s="39" t="s">
        <v>138</v>
      </c>
      <c r="Q73" s="39"/>
      <c r="R73" s="39"/>
      <c r="S73" s="39"/>
      <c r="T73" s="39"/>
      <c r="U73" s="58"/>
      <c r="V73" s="1"/>
      <c r="W73" s="1"/>
      <c r="X73" s="1"/>
      <c r="Y73" s="1"/>
      <c r="Z73" s="1"/>
      <c r="AA73" s="1"/>
      <c r="AB73" s="1"/>
      <c r="AC73" s="1"/>
      <c r="AD73" s="1"/>
      <c r="AE73" s="1"/>
      <c r="AF73" s="1"/>
      <c r="AG73" s="1"/>
    </row>
    <row r="74" spans="1:33" ht="15.95" customHeight="1">
      <c r="A74" s="49"/>
      <c r="B74" s="52"/>
      <c r="C74" s="12"/>
      <c r="D74" s="39"/>
      <c r="E74" s="39"/>
      <c r="F74" s="39"/>
      <c r="G74" s="39"/>
      <c r="H74" s="39"/>
      <c r="I74" s="39"/>
      <c r="J74" s="39"/>
      <c r="K74" s="39"/>
      <c r="L74" s="39" t="s">
        <v>34</v>
      </c>
      <c r="M74" s="39"/>
      <c r="N74" s="39" t="str">
        <f t="shared" si="6"/>
        <v>FY2010-11</v>
      </c>
      <c r="O74" s="39" t="s">
        <v>154</v>
      </c>
      <c r="P74" s="39" t="s">
        <v>138</v>
      </c>
      <c r="Q74" s="39"/>
      <c r="R74" s="39"/>
      <c r="S74" s="39"/>
      <c r="T74" s="39"/>
      <c r="U74" s="58"/>
      <c r="V74" s="1"/>
      <c r="W74" s="1"/>
      <c r="X74" s="1"/>
      <c r="Y74" s="1"/>
      <c r="Z74" s="1"/>
      <c r="AA74" s="1"/>
      <c r="AB74" s="1"/>
      <c r="AC74" s="1"/>
      <c r="AD74" s="1"/>
      <c r="AE74" s="1"/>
      <c r="AF74" s="1"/>
      <c r="AG74" s="1"/>
    </row>
    <row r="75" spans="1:33" ht="15.95" customHeight="1">
      <c r="A75" s="49"/>
      <c r="B75" s="52"/>
      <c r="C75" s="12"/>
      <c r="D75" s="39"/>
      <c r="E75" s="39"/>
      <c r="F75" s="39"/>
      <c r="G75" s="39"/>
      <c r="H75" s="39"/>
      <c r="I75" s="39"/>
      <c r="J75" s="39"/>
      <c r="K75" s="39"/>
      <c r="L75" s="39" t="s">
        <v>34</v>
      </c>
      <c r="M75" s="39"/>
      <c r="N75" s="39" t="str">
        <f t="shared" si="6"/>
        <v>FY2010-11</v>
      </c>
      <c r="O75" s="39" t="s">
        <v>154</v>
      </c>
      <c r="P75" s="39" t="s">
        <v>138</v>
      </c>
      <c r="Q75" s="39"/>
      <c r="R75" s="39"/>
      <c r="S75" s="39"/>
      <c r="T75" s="39"/>
      <c r="U75" s="58"/>
      <c r="V75" s="1"/>
      <c r="W75" s="1"/>
      <c r="X75" s="1"/>
      <c r="Y75" s="1"/>
      <c r="Z75" s="1"/>
      <c r="AA75" s="1"/>
      <c r="AB75" s="1"/>
      <c r="AC75" s="1"/>
      <c r="AD75" s="1"/>
      <c r="AE75" s="1"/>
      <c r="AF75" s="1"/>
      <c r="AG75" s="1"/>
    </row>
    <row r="76" spans="1:33" ht="15.95" customHeight="1">
      <c r="A76" s="49"/>
      <c r="B76" s="52"/>
      <c r="C76" s="12"/>
      <c r="D76" s="39"/>
      <c r="E76" s="39"/>
      <c r="F76" s="39"/>
      <c r="G76" s="39"/>
      <c r="H76" s="39"/>
      <c r="I76" s="39"/>
      <c r="J76" s="39"/>
      <c r="K76" s="39"/>
      <c r="L76" s="39" t="s">
        <v>34</v>
      </c>
      <c r="M76" s="39"/>
      <c r="N76" s="39" t="str">
        <f t="shared" si="6"/>
        <v>FY2010-11</v>
      </c>
      <c r="O76" s="39" t="s">
        <v>154</v>
      </c>
      <c r="P76" s="39" t="s">
        <v>138</v>
      </c>
      <c r="Q76" s="39"/>
      <c r="R76" s="39"/>
      <c r="S76" s="39"/>
      <c r="T76" s="39"/>
      <c r="U76" s="58"/>
      <c r="V76" s="1"/>
      <c r="W76" s="1"/>
      <c r="X76" s="1"/>
      <c r="Y76" s="1"/>
      <c r="Z76" s="1"/>
      <c r="AA76" s="1"/>
      <c r="AB76" s="1"/>
      <c r="AC76" s="1"/>
      <c r="AD76" s="1"/>
      <c r="AE76" s="1"/>
      <c r="AF76" s="1"/>
      <c r="AG76" s="1"/>
    </row>
    <row r="77" spans="1:33" ht="15.95" customHeight="1">
      <c r="A77" s="49"/>
      <c r="B77" s="52"/>
      <c r="C77" s="12"/>
      <c r="D77" s="39"/>
      <c r="E77" s="39"/>
      <c r="F77" s="39"/>
      <c r="G77" s="39"/>
      <c r="H77" s="39"/>
      <c r="I77" s="39"/>
      <c r="J77" s="39"/>
      <c r="K77" s="39"/>
      <c r="L77" s="39" t="s">
        <v>34</v>
      </c>
      <c r="M77" s="39"/>
      <c r="N77" s="39" t="str">
        <f t="shared" si="6"/>
        <v>FY2010-11</v>
      </c>
      <c r="O77" s="39" t="s">
        <v>154</v>
      </c>
      <c r="P77" s="39" t="s">
        <v>138</v>
      </c>
      <c r="Q77" s="39"/>
      <c r="R77" s="39"/>
      <c r="S77" s="39"/>
      <c r="T77" s="39"/>
      <c r="U77" s="58"/>
      <c r="V77" s="1"/>
      <c r="W77" s="1"/>
      <c r="X77" s="1"/>
      <c r="Y77" s="1"/>
      <c r="Z77" s="1"/>
      <c r="AA77" s="1"/>
      <c r="AB77" s="1"/>
      <c r="AC77" s="1"/>
      <c r="AD77" s="1"/>
      <c r="AE77" s="1"/>
      <c r="AF77" s="1"/>
      <c r="AG77" s="1"/>
    </row>
    <row r="78" spans="1:33" ht="15.95" customHeight="1">
      <c r="A78" s="49"/>
      <c r="B78" s="52"/>
      <c r="C78" s="12"/>
      <c r="D78" s="39"/>
      <c r="E78" s="39"/>
      <c r="F78" s="39"/>
      <c r="G78" s="39"/>
      <c r="H78" s="39"/>
      <c r="I78" s="39"/>
      <c r="J78" s="39"/>
      <c r="K78" s="39"/>
      <c r="L78" s="39" t="s">
        <v>34</v>
      </c>
      <c r="M78" s="39"/>
      <c r="N78" s="39" t="str">
        <f t="shared" si="6"/>
        <v>FY2010-11</v>
      </c>
      <c r="O78" s="39" t="s">
        <v>154</v>
      </c>
      <c r="P78" s="39" t="s">
        <v>138</v>
      </c>
      <c r="Q78" s="39"/>
      <c r="R78" s="39"/>
      <c r="S78" s="39"/>
      <c r="T78" s="39"/>
      <c r="U78" s="58"/>
      <c r="V78" s="1"/>
      <c r="W78" s="1"/>
      <c r="X78" s="1"/>
      <c r="Y78" s="1"/>
      <c r="Z78" s="1"/>
      <c r="AA78" s="1"/>
      <c r="AB78" s="1"/>
      <c r="AC78" s="1"/>
      <c r="AD78" s="1"/>
      <c r="AE78" s="1"/>
      <c r="AF78" s="1"/>
      <c r="AG78" s="1"/>
    </row>
    <row r="79" spans="1:33" ht="15.95" customHeight="1">
      <c r="A79" s="21"/>
      <c r="B79" s="22"/>
      <c r="C79" s="22"/>
      <c r="D79" s="24"/>
      <c r="E79" s="24"/>
      <c r="F79" s="24"/>
      <c r="G79" s="24"/>
      <c r="H79" s="24"/>
      <c r="I79" s="24"/>
      <c r="J79" s="24"/>
      <c r="K79" s="24"/>
      <c r="L79" s="24"/>
      <c r="M79" s="24"/>
      <c r="N79" s="24"/>
      <c r="O79" s="24"/>
      <c r="P79" s="24"/>
      <c r="Q79" s="24"/>
      <c r="R79" s="24"/>
      <c r="S79" s="24"/>
      <c r="T79" s="24"/>
      <c r="U79" s="58"/>
      <c r="V79" s="1"/>
      <c r="W79" s="1"/>
      <c r="X79" s="1"/>
      <c r="Y79" s="1"/>
      <c r="Z79" s="1"/>
      <c r="AA79" s="1"/>
      <c r="AB79" s="1"/>
      <c r="AC79" s="1"/>
      <c r="AD79" s="1"/>
      <c r="AE79" s="1"/>
      <c r="AF79" s="1"/>
      <c r="AG79" s="1"/>
    </row>
    <row r="80" spans="1:33"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1" t="str">
        <f>'ENR#-DB'!$S$34</f>
        <v>UD1</v>
      </c>
      <c r="T80" s="871" t="str">
        <f>'ENR#-DB'!$T$34</f>
        <v>UD2</v>
      </c>
      <c r="U80" s="60"/>
      <c r="V80" s="56"/>
      <c r="W80" s="56"/>
      <c r="X80" s="56"/>
      <c r="Y80" s="56"/>
      <c r="Z80" s="56"/>
      <c r="AA80" s="56"/>
      <c r="AB80" s="56"/>
      <c r="AC80" s="56"/>
      <c r="AD80" s="56"/>
      <c r="AE80" s="56"/>
      <c r="AF80" s="56"/>
      <c r="AG80" s="1"/>
    </row>
    <row r="81" spans="1:33" ht="15.95" customHeight="1" thickTop="1" thickBot="1">
      <c r="A81" s="49"/>
      <c r="B81" s="51" t="s">
        <v>175</v>
      </c>
      <c r="C81" s="15"/>
      <c r="D81" s="301" t="s">
        <v>186</v>
      </c>
      <c r="E81" s="301" t="s">
        <v>187</v>
      </c>
      <c r="F81" s="301" t="s">
        <v>188</v>
      </c>
      <c r="G81" s="301" t="s">
        <v>189</v>
      </c>
      <c r="H81" s="301" t="s">
        <v>11</v>
      </c>
      <c r="I81" s="301" t="s">
        <v>190</v>
      </c>
      <c r="J81" s="301" t="s">
        <v>191</v>
      </c>
      <c r="K81" s="304" t="s">
        <v>192</v>
      </c>
      <c r="L81" s="301" t="s">
        <v>203</v>
      </c>
      <c r="M81" s="301" t="s">
        <v>42</v>
      </c>
      <c r="N81" s="301" t="s">
        <v>148</v>
      </c>
      <c r="O81" s="301" t="s">
        <v>193</v>
      </c>
      <c r="P81" s="301" t="s">
        <v>142</v>
      </c>
      <c r="Q81" s="112" t="s">
        <v>239</v>
      </c>
      <c r="R81" s="112" t="s">
        <v>672</v>
      </c>
      <c r="S81" s="859" t="s">
        <v>541</v>
      </c>
      <c r="T81" s="859" t="s">
        <v>542</v>
      </c>
      <c r="U81" s="59"/>
      <c r="V81" s="2"/>
      <c r="W81" s="2"/>
      <c r="X81" s="2"/>
      <c r="Y81" s="2"/>
      <c r="Z81" s="2"/>
      <c r="AA81" s="2"/>
      <c r="AB81" s="2"/>
      <c r="AC81" s="2"/>
      <c r="AD81" s="2"/>
      <c r="AE81" s="2"/>
      <c r="AF81" s="2"/>
      <c r="AG81" s="1"/>
    </row>
    <row r="82" spans="1:33" ht="15.95" customHeight="1" thickTop="1">
      <c r="A82" s="49"/>
      <c r="B82" s="50" t="s">
        <v>146</v>
      </c>
      <c r="C82" s="12"/>
      <c r="D82" s="39"/>
      <c r="E82" s="39"/>
      <c r="F82" s="39"/>
      <c r="G82" s="39"/>
      <c r="H82" s="39"/>
      <c r="I82" s="39"/>
      <c r="J82" s="39"/>
      <c r="K82" s="39"/>
      <c r="L82" s="39" t="s">
        <v>34</v>
      </c>
      <c r="M82" s="39"/>
      <c r="N82" s="39" t="str">
        <f t="shared" ref="N82:N88" si="7">$F$8</f>
        <v>FY2010-11</v>
      </c>
      <c r="O82" s="39" t="s">
        <v>154</v>
      </c>
      <c r="P82" s="39" t="s">
        <v>147</v>
      </c>
      <c r="Q82" s="39"/>
      <c r="R82" s="39"/>
      <c r="S82" s="39"/>
      <c r="T82" s="39"/>
      <c r="U82" s="58"/>
      <c r="V82" s="1"/>
      <c r="W82" s="1"/>
      <c r="X82" s="1"/>
      <c r="Y82" s="1"/>
      <c r="Z82" s="1"/>
      <c r="AA82" s="1"/>
      <c r="AB82" s="1"/>
      <c r="AC82" s="1"/>
      <c r="AD82" s="1"/>
      <c r="AE82" s="1"/>
      <c r="AF82" s="1"/>
      <c r="AG82" s="1"/>
    </row>
    <row r="83" spans="1:33" ht="15.95" customHeight="1">
      <c r="A83" s="49"/>
      <c r="B83" s="57">
        <f>DSUM('ENR#-DB'!D35:T48,"TOTAL ENROLLMENT",'ENR#-DSUM'!D81:T88)</f>
        <v>0</v>
      </c>
      <c r="C83" s="12"/>
      <c r="D83" s="39"/>
      <c r="E83" s="39"/>
      <c r="F83" s="39"/>
      <c r="G83" s="39"/>
      <c r="H83" s="39"/>
      <c r="I83" s="39"/>
      <c r="J83" s="39"/>
      <c r="K83" s="39"/>
      <c r="L83" s="39" t="s">
        <v>34</v>
      </c>
      <c r="M83" s="39"/>
      <c r="N83" s="39" t="str">
        <f t="shared" si="7"/>
        <v>FY2010-11</v>
      </c>
      <c r="O83" s="39" t="s">
        <v>154</v>
      </c>
      <c r="P83" s="39" t="s">
        <v>147</v>
      </c>
      <c r="Q83" s="39"/>
      <c r="R83" s="39"/>
      <c r="S83" s="39"/>
      <c r="T83" s="39"/>
      <c r="U83" s="58"/>
      <c r="V83" s="1"/>
      <c r="W83" s="1"/>
      <c r="X83" s="1"/>
      <c r="Y83" s="1"/>
      <c r="Z83" s="1"/>
      <c r="AA83" s="1"/>
      <c r="AB83" s="1"/>
      <c r="AC83" s="1"/>
      <c r="AD83" s="1"/>
      <c r="AE83" s="1"/>
      <c r="AF83" s="1"/>
      <c r="AG83" s="1"/>
    </row>
    <row r="84" spans="1:33" ht="15.95" customHeight="1">
      <c r="A84" s="49"/>
      <c r="B84" s="52"/>
      <c r="C84" s="12"/>
      <c r="D84" s="39"/>
      <c r="E84" s="39"/>
      <c r="F84" s="39"/>
      <c r="G84" s="39"/>
      <c r="H84" s="39"/>
      <c r="I84" s="39"/>
      <c r="J84" s="39"/>
      <c r="K84" s="39"/>
      <c r="L84" s="39" t="s">
        <v>34</v>
      </c>
      <c r="M84" s="39"/>
      <c r="N84" s="39" t="str">
        <f t="shared" si="7"/>
        <v>FY2010-11</v>
      </c>
      <c r="O84" s="39" t="s">
        <v>154</v>
      </c>
      <c r="P84" s="39" t="s">
        <v>147</v>
      </c>
      <c r="Q84" s="39"/>
      <c r="R84" s="39"/>
      <c r="S84" s="39"/>
      <c r="T84" s="39"/>
      <c r="U84" s="58"/>
      <c r="V84" s="1"/>
      <c r="W84" s="1"/>
      <c r="X84" s="1"/>
      <c r="Y84" s="1"/>
      <c r="Z84" s="1"/>
      <c r="AA84" s="1"/>
      <c r="AB84" s="1"/>
      <c r="AC84" s="1"/>
      <c r="AD84" s="1"/>
      <c r="AE84" s="1"/>
      <c r="AF84" s="1"/>
      <c r="AG84" s="1"/>
    </row>
    <row r="85" spans="1:33" ht="15.95" customHeight="1">
      <c r="A85" s="49"/>
      <c r="B85" s="52"/>
      <c r="C85" s="12"/>
      <c r="D85" s="39"/>
      <c r="E85" s="39"/>
      <c r="F85" s="39"/>
      <c r="G85" s="39"/>
      <c r="H85" s="39"/>
      <c r="I85" s="39"/>
      <c r="J85" s="39"/>
      <c r="K85" s="39"/>
      <c r="L85" s="39" t="s">
        <v>34</v>
      </c>
      <c r="M85" s="39"/>
      <c r="N85" s="39" t="str">
        <f t="shared" si="7"/>
        <v>FY2010-11</v>
      </c>
      <c r="O85" s="39" t="s">
        <v>154</v>
      </c>
      <c r="P85" s="39" t="s">
        <v>147</v>
      </c>
      <c r="Q85" s="39"/>
      <c r="R85" s="39"/>
      <c r="S85" s="39"/>
      <c r="T85" s="39"/>
      <c r="U85" s="58"/>
      <c r="V85" s="1"/>
      <c r="W85" s="1"/>
      <c r="X85" s="1"/>
      <c r="Y85" s="1"/>
      <c r="Z85" s="1"/>
      <c r="AA85" s="1"/>
      <c r="AB85" s="1"/>
      <c r="AC85" s="1"/>
      <c r="AD85" s="1"/>
      <c r="AE85" s="1"/>
      <c r="AF85" s="1"/>
      <c r="AG85" s="1"/>
    </row>
    <row r="86" spans="1:33" ht="15.95" customHeight="1">
      <c r="A86" s="49"/>
      <c r="B86" s="52"/>
      <c r="C86" s="12"/>
      <c r="D86" s="39"/>
      <c r="E86" s="39"/>
      <c r="F86" s="39"/>
      <c r="G86" s="39"/>
      <c r="H86" s="39"/>
      <c r="I86" s="39"/>
      <c r="J86" s="39"/>
      <c r="K86" s="39"/>
      <c r="L86" s="39" t="s">
        <v>34</v>
      </c>
      <c r="M86" s="39"/>
      <c r="N86" s="39" t="str">
        <f t="shared" si="7"/>
        <v>FY2010-11</v>
      </c>
      <c r="O86" s="39" t="s">
        <v>154</v>
      </c>
      <c r="P86" s="39" t="s">
        <v>147</v>
      </c>
      <c r="Q86" s="39"/>
      <c r="R86" s="39"/>
      <c r="S86" s="39"/>
      <c r="T86" s="39"/>
      <c r="U86" s="58"/>
      <c r="V86" s="1"/>
      <c r="W86" s="1"/>
      <c r="X86" s="1"/>
      <c r="Y86" s="1"/>
      <c r="Z86" s="1"/>
      <c r="AA86" s="1"/>
      <c r="AB86" s="1"/>
      <c r="AC86" s="1"/>
      <c r="AD86" s="1"/>
      <c r="AE86" s="1"/>
      <c r="AF86" s="1"/>
      <c r="AG86" s="1"/>
    </row>
    <row r="87" spans="1:33" ht="15.95" customHeight="1">
      <c r="A87" s="49"/>
      <c r="B87" s="52"/>
      <c r="C87" s="12"/>
      <c r="D87" s="39"/>
      <c r="E87" s="39"/>
      <c r="F87" s="39"/>
      <c r="G87" s="39"/>
      <c r="H87" s="39"/>
      <c r="I87" s="39"/>
      <c r="J87" s="39"/>
      <c r="K87" s="39"/>
      <c r="L87" s="39" t="s">
        <v>34</v>
      </c>
      <c r="M87" s="39"/>
      <c r="N87" s="39" t="str">
        <f t="shared" si="7"/>
        <v>FY2010-11</v>
      </c>
      <c r="O87" s="39" t="s">
        <v>154</v>
      </c>
      <c r="P87" s="39" t="s">
        <v>147</v>
      </c>
      <c r="Q87" s="39"/>
      <c r="R87" s="39"/>
      <c r="S87" s="39"/>
      <c r="T87" s="39"/>
      <c r="U87" s="58"/>
      <c r="V87" s="1"/>
      <c r="W87" s="1"/>
      <c r="X87" s="1"/>
      <c r="Y87" s="1"/>
      <c r="Z87" s="1"/>
      <c r="AA87" s="1"/>
      <c r="AB87" s="1"/>
      <c r="AC87" s="1"/>
      <c r="AD87" s="1"/>
      <c r="AE87" s="1"/>
      <c r="AF87" s="1"/>
      <c r="AG87" s="1"/>
    </row>
    <row r="88" spans="1:33" ht="15.95" customHeight="1">
      <c r="A88" s="49"/>
      <c r="B88" s="52"/>
      <c r="C88" s="12"/>
      <c r="D88" s="39"/>
      <c r="E88" s="39"/>
      <c r="F88" s="39"/>
      <c r="G88" s="39"/>
      <c r="H88" s="39"/>
      <c r="I88" s="39"/>
      <c r="J88" s="39"/>
      <c r="K88" s="39"/>
      <c r="L88" s="39" t="s">
        <v>34</v>
      </c>
      <c r="M88" s="39"/>
      <c r="N88" s="39" t="str">
        <f t="shared" si="7"/>
        <v>FY2010-11</v>
      </c>
      <c r="O88" s="39" t="s">
        <v>154</v>
      </c>
      <c r="P88" s="39" t="s">
        <v>147</v>
      </c>
      <c r="Q88" s="39"/>
      <c r="R88" s="39"/>
      <c r="S88" s="39"/>
      <c r="T88" s="39"/>
      <c r="U88" s="58"/>
      <c r="V88" s="1"/>
      <c r="W88" s="1"/>
      <c r="X88" s="1"/>
      <c r="Y88" s="1"/>
      <c r="Z88" s="1"/>
      <c r="AA88" s="1"/>
      <c r="AB88" s="1"/>
      <c r="AC88" s="1"/>
      <c r="AD88" s="1"/>
      <c r="AE88" s="1"/>
      <c r="AF88" s="1"/>
      <c r="AG88" s="1"/>
    </row>
    <row r="89" spans="1:33" ht="15.95" customHeight="1">
      <c r="A89" s="36"/>
      <c r="B89" s="33"/>
      <c r="C89" s="33"/>
      <c r="D89" s="35"/>
      <c r="E89" s="35"/>
      <c r="F89" s="35"/>
      <c r="G89" s="35"/>
      <c r="H89" s="35"/>
      <c r="I89" s="35"/>
      <c r="J89" s="35"/>
      <c r="K89" s="35"/>
      <c r="L89" s="35"/>
      <c r="M89" s="35"/>
      <c r="N89" s="35"/>
      <c r="O89" s="35"/>
      <c r="P89" s="35"/>
      <c r="Q89" s="35"/>
      <c r="R89" s="35"/>
      <c r="S89" s="35"/>
      <c r="T89" s="35"/>
      <c r="U89" s="58"/>
      <c r="V89" s="1"/>
      <c r="W89" s="1"/>
      <c r="X89" s="1"/>
      <c r="Y89" s="1"/>
      <c r="Z89" s="1"/>
      <c r="AA89" s="1"/>
      <c r="AB89" s="1"/>
      <c r="AC89" s="1"/>
      <c r="AD89" s="1"/>
      <c r="AE89" s="1"/>
      <c r="AF89" s="1"/>
      <c r="AG89" s="1"/>
    </row>
    <row r="90" spans="1:33"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1" t="str">
        <f>'ENR#-DB'!$S$34</f>
        <v>UD1</v>
      </c>
      <c r="T90" s="871" t="str">
        <f>'ENR#-DB'!$T$34</f>
        <v>UD2</v>
      </c>
      <c r="U90" s="60"/>
      <c r="V90" s="56"/>
      <c r="W90" s="56"/>
      <c r="X90" s="56"/>
      <c r="Y90" s="56"/>
      <c r="Z90" s="56"/>
      <c r="AA90" s="56"/>
      <c r="AB90" s="56"/>
      <c r="AC90" s="56"/>
      <c r="AD90" s="56"/>
      <c r="AE90" s="56"/>
      <c r="AF90" s="56"/>
      <c r="AG90" s="1"/>
    </row>
    <row r="91" spans="1:33" ht="15.95" customHeight="1" thickTop="1" thickBot="1">
      <c r="A91" s="49"/>
      <c r="B91" s="51" t="s">
        <v>4</v>
      </c>
      <c r="C91" s="15"/>
      <c r="D91" s="301" t="s">
        <v>186</v>
      </c>
      <c r="E91" s="301" t="s">
        <v>187</v>
      </c>
      <c r="F91" s="301" t="s">
        <v>188</v>
      </c>
      <c r="G91" s="301" t="s">
        <v>189</v>
      </c>
      <c r="H91" s="301" t="s">
        <v>11</v>
      </c>
      <c r="I91" s="301" t="s">
        <v>190</v>
      </c>
      <c r="J91" s="301" t="s">
        <v>191</v>
      </c>
      <c r="K91" s="304" t="s">
        <v>192</v>
      </c>
      <c r="L91" s="301" t="s">
        <v>203</v>
      </c>
      <c r="M91" s="301" t="s">
        <v>42</v>
      </c>
      <c r="N91" s="301" t="s">
        <v>148</v>
      </c>
      <c r="O91" s="301" t="s">
        <v>193</v>
      </c>
      <c r="P91" s="301" t="s">
        <v>142</v>
      </c>
      <c r="Q91" s="112" t="s">
        <v>239</v>
      </c>
      <c r="R91" s="112" t="s">
        <v>672</v>
      </c>
      <c r="S91" s="859" t="s">
        <v>541</v>
      </c>
      <c r="T91" s="859" t="s">
        <v>542</v>
      </c>
      <c r="U91" s="59"/>
      <c r="V91" s="2"/>
      <c r="W91" s="2"/>
      <c r="X91" s="2"/>
      <c r="Y91" s="2"/>
      <c r="Z91" s="2"/>
      <c r="AA91" s="2"/>
      <c r="AB91" s="2"/>
      <c r="AC91" s="2"/>
      <c r="AD91" s="2"/>
      <c r="AE91" s="2"/>
      <c r="AF91" s="2"/>
      <c r="AG91" s="1"/>
    </row>
    <row r="92" spans="1:33" ht="15.95" customHeight="1" thickTop="1">
      <c r="A92" s="49"/>
      <c r="B92" s="50" t="s">
        <v>146</v>
      </c>
      <c r="C92" s="12"/>
      <c r="D92" s="40"/>
      <c r="E92" s="40"/>
      <c r="F92" s="40"/>
      <c r="G92" s="40"/>
      <c r="H92" s="40"/>
      <c r="I92" s="40"/>
      <c r="J92" s="40"/>
      <c r="K92" s="40"/>
      <c r="L92" s="40" t="s">
        <v>34</v>
      </c>
      <c r="M92" s="40"/>
      <c r="N92" s="40" t="str">
        <f t="shared" ref="N92:N98" si="8">$F$8</f>
        <v>FY2010-11</v>
      </c>
      <c r="O92" s="40" t="s">
        <v>155</v>
      </c>
      <c r="P92" s="40" t="s">
        <v>138</v>
      </c>
      <c r="Q92" s="40"/>
      <c r="R92" s="40"/>
      <c r="S92" s="40"/>
      <c r="T92" s="40"/>
      <c r="U92" s="58"/>
      <c r="V92" s="1"/>
      <c r="W92" s="1"/>
      <c r="X92" s="1"/>
      <c r="Y92" s="1"/>
      <c r="Z92" s="1"/>
      <c r="AA92" s="1"/>
      <c r="AB92" s="1"/>
      <c r="AC92" s="1"/>
      <c r="AD92" s="1"/>
      <c r="AE92" s="1"/>
      <c r="AF92" s="1"/>
      <c r="AG92" s="1"/>
    </row>
    <row r="93" spans="1:33" ht="15.95" customHeight="1">
      <c r="A93" s="49"/>
      <c r="B93" s="57">
        <f>DSUM('ENR#-DB'!D35:T48,"TOTAL ENROLLMENT",'ENR#-DSUM'!D91:T98)</f>
        <v>0</v>
      </c>
      <c r="C93" s="12"/>
      <c r="D93" s="40"/>
      <c r="E93" s="40"/>
      <c r="F93" s="40"/>
      <c r="G93" s="40"/>
      <c r="H93" s="40"/>
      <c r="I93" s="40"/>
      <c r="J93" s="40"/>
      <c r="K93" s="40"/>
      <c r="L93" s="40" t="s">
        <v>34</v>
      </c>
      <c r="M93" s="40"/>
      <c r="N93" s="40" t="str">
        <f t="shared" si="8"/>
        <v>FY2010-11</v>
      </c>
      <c r="O93" s="40" t="s">
        <v>155</v>
      </c>
      <c r="P93" s="40" t="s">
        <v>138</v>
      </c>
      <c r="Q93" s="40"/>
      <c r="R93" s="40"/>
      <c r="S93" s="40"/>
      <c r="T93" s="40"/>
      <c r="U93" s="58"/>
      <c r="V93" s="1"/>
      <c r="W93" s="1"/>
      <c r="X93" s="1"/>
      <c r="Y93" s="1"/>
      <c r="Z93" s="1"/>
      <c r="AA93" s="1"/>
      <c r="AB93" s="1"/>
      <c r="AC93" s="1"/>
      <c r="AD93" s="1"/>
      <c r="AE93" s="1"/>
      <c r="AF93" s="1"/>
      <c r="AG93" s="1"/>
    </row>
    <row r="94" spans="1:33" ht="15.95" customHeight="1">
      <c r="A94" s="49"/>
      <c r="B94" s="52"/>
      <c r="C94" s="12"/>
      <c r="D94" s="40"/>
      <c r="E94" s="40"/>
      <c r="F94" s="40"/>
      <c r="G94" s="40"/>
      <c r="H94" s="40"/>
      <c r="I94" s="40"/>
      <c r="J94" s="40"/>
      <c r="K94" s="40"/>
      <c r="L94" s="40" t="s">
        <v>34</v>
      </c>
      <c r="M94" s="40"/>
      <c r="N94" s="40" t="str">
        <f t="shared" si="8"/>
        <v>FY2010-11</v>
      </c>
      <c r="O94" s="40" t="s">
        <v>155</v>
      </c>
      <c r="P94" s="40" t="s">
        <v>138</v>
      </c>
      <c r="Q94" s="40"/>
      <c r="R94" s="40"/>
      <c r="S94" s="40"/>
      <c r="T94" s="40"/>
      <c r="U94" s="58"/>
      <c r="V94" s="1"/>
      <c r="W94" s="1"/>
      <c r="X94" s="1"/>
      <c r="Y94" s="1"/>
      <c r="Z94" s="1"/>
      <c r="AA94" s="1"/>
      <c r="AB94" s="1"/>
      <c r="AC94" s="1"/>
      <c r="AD94" s="1"/>
      <c r="AE94" s="1"/>
      <c r="AF94" s="1"/>
      <c r="AG94" s="1"/>
    </row>
    <row r="95" spans="1:33" ht="15.95" customHeight="1">
      <c r="A95" s="49"/>
      <c r="B95" s="52"/>
      <c r="C95" s="12"/>
      <c r="D95" s="40"/>
      <c r="E95" s="40"/>
      <c r="F95" s="40"/>
      <c r="G95" s="40"/>
      <c r="H95" s="40"/>
      <c r="I95" s="40"/>
      <c r="J95" s="40"/>
      <c r="K95" s="40"/>
      <c r="L95" s="40" t="s">
        <v>34</v>
      </c>
      <c r="M95" s="40"/>
      <c r="N95" s="40" t="str">
        <f t="shared" si="8"/>
        <v>FY2010-11</v>
      </c>
      <c r="O95" s="40" t="s">
        <v>155</v>
      </c>
      <c r="P95" s="40" t="s">
        <v>138</v>
      </c>
      <c r="Q95" s="40"/>
      <c r="R95" s="40"/>
      <c r="S95" s="40"/>
      <c r="T95" s="40"/>
      <c r="U95" s="58"/>
      <c r="V95" s="1"/>
      <c r="W95" s="1"/>
      <c r="X95" s="1"/>
      <c r="Y95" s="1"/>
      <c r="Z95" s="1"/>
      <c r="AA95" s="1"/>
      <c r="AB95" s="1"/>
      <c r="AC95" s="1"/>
      <c r="AD95" s="1"/>
      <c r="AE95" s="1"/>
      <c r="AF95" s="1"/>
      <c r="AG95" s="1"/>
    </row>
    <row r="96" spans="1:33" ht="15.95" customHeight="1">
      <c r="A96" s="49"/>
      <c r="B96" s="52"/>
      <c r="C96" s="12"/>
      <c r="D96" s="40"/>
      <c r="E96" s="40"/>
      <c r="F96" s="40"/>
      <c r="G96" s="40"/>
      <c r="H96" s="40"/>
      <c r="I96" s="40"/>
      <c r="J96" s="40"/>
      <c r="K96" s="40"/>
      <c r="L96" s="40" t="s">
        <v>34</v>
      </c>
      <c r="M96" s="40"/>
      <c r="N96" s="40" t="str">
        <f t="shared" si="8"/>
        <v>FY2010-11</v>
      </c>
      <c r="O96" s="40" t="s">
        <v>155</v>
      </c>
      <c r="P96" s="40" t="s">
        <v>138</v>
      </c>
      <c r="Q96" s="40"/>
      <c r="R96" s="40"/>
      <c r="S96" s="40"/>
      <c r="T96" s="40"/>
      <c r="U96" s="58"/>
      <c r="V96" s="1"/>
      <c r="W96" s="1"/>
      <c r="X96" s="1"/>
      <c r="Y96" s="1"/>
      <c r="Z96" s="1"/>
      <c r="AA96" s="1"/>
      <c r="AB96" s="1"/>
      <c r="AC96" s="1"/>
      <c r="AD96" s="1"/>
      <c r="AE96" s="1"/>
      <c r="AF96" s="1"/>
      <c r="AG96" s="1"/>
    </row>
    <row r="97" spans="1:33" ht="15.95" customHeight="1">
      <c r="A97" s="49"/>
      <c r="B97" s="52"/>
      <c r="C97" s="12"/>
      <c r="D97" s="40"/>
      <c r="E97" s="40"/>
      <c r="F97" s="40"/>
      <c r="G97" s="40"/>
      <c r="H97" s="40"/>
      <c r="I97" s="40"/>
      <c r="J97" s="40"/>
      <c r="K97" s="40"/>
      <c r="L97" s="40" t="s">
        <v>34</v>
      </c>
      <c r="M97" s="40"/>
      <c r="N97" s="40" t="str">
        <f t="shared" si="8"/>
        <v>FY2010-11</v>
      </c>
      <c r="O97" s="40" t="s">
        <v>155</v>
      </c>
      <c r="P97" s="40" t="s">
        <v>138</v>
      </c>
      <c r="Q97" s="40"/>
      <c r="R97" s="40"/>
      <c r="S97" s="40"/>
      <c r="T97" s="40"/>
      <c r="U97" s="58"/>
      <c r="V97" s="1"/>
      <c r="W97" s="1"/>
      <c r="X97" s="1"/>
      <c r="Y97" s="1"/>
      <c r="Z97" s="1"/>
      <c r="AA97" s="1"/>
      <c r="AB97" s="1"/>
      <c r="AC97" s="1"/>
      <c r="AD97" s="1"/>
      <c r="AE97" s="1"/>
      <c r="AF97" s="1"/>
      <c r="AG97" s="1"/>
    </row>
    <row r="98" spans="1:33" ht="15.95" customHeight="1">
      <c r="A98" s="49"/>
      <c r="B98" s="52"/>
      <c r="C98" s="12"/>
      <c r="D98" s="40"/>
      <c r="E98" s="40"/>
      <c r="F98" s="40"/>
      <c r="G98" s="40"/>
      <c r="H98" s="40"/>
      <c r="I98" s="40"/>
      <c r="J98" s="40"/>
      <c r="K98" s="40"/>
      <c r="L98" s="40" t="s">
        <v>34</v>
      </c>
      <c r="M98" s="40"/>
      <c r="N98" s="40" t="str">
        <f t="shared" si="8"/>
        <v>FY2010-11</v>
      </c>
      <c r="O98" s="40" t="s">
        <v>155</v>
      </c>
      <c r="P98" s="40" t="s">
        <v>138</v>
      </c>
      <c r="Q98" s="40"/>
      <c r="R98" s="40"/>
      <c r="S98" s="40"/>
      <c r="T98" s="40"/>
      <c r="U98" s="58"/>
      <c r="V98" s="1"/>
      <c r="W98" s="1"/>
      <c r="X98" s="1"/>
      <c r="Y98" s="1"/>
      <c r="Z98" s="1"/>
      <c r="AA98" s="1"/>
      <c r="AB98" s="1"/>
      <c r="AC98" s="1"/>
      <c r="AD98" s="1"/>
      <c r="AE98" s="1"/>
      <c r="AF98" s="1"/>
      <c r="AG98" s="1"/>
    </row>
    <row r="99" spans="1:33" ht="15.95" customHeight="1">
      <c r="A99" s="36"/>
      <c r="B99" s="33"/>
      <c r="C99" s="33"/>
      <c r="D99" s="35"/>
      <c r="E99" s="35"/>
      <c r="F99" s="35"/>
      <c r="G99" s="35"/>
      <c r="H99" s="35"/>
      <c r="I99" s="35"/>
      <c r="J99" s="35"/>
      <c r="K99" s="35"/>
      <c r="L99" s="35"/>
      <c r="M99" s="35"/>
      <c r="N99" s="35"/>
      <c r="O99" s="35"/>
      <c r="P99" s="35"/>
      <c r="Q99" s="35"/>
      <c r="R99" s="35"/>
      <c r="S99" s="35"/>
      <c r="T99" s="35"/>
      <c r="U99" s="58"/>
      <c r="V99" s="1"/>
      <c r="W99" s="1"/>
      <c r="X99" s="1"/>
      <c r="Y99" s="1"/>
      <c r="Z99" s="1"/>
      <c r="AA99" s="1"/>
      <c r="AB99" s="1"/>
      <c r="AC99" s="1"/>
      <c r="AD99" s="1"/>
      <c r="AE99" s="1"/>
      <c r="AF99" s="1"/>
      <c r="AG99" s="1"/>
    </row>
    <row r="100" spans="1:33"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1" t="str">
        <f>'ENR#-DB'!$S$34</f>
        <v>UD1</v>
      </c>
      <c r="T100" s="871" t="str">
        <f>'ENR#-DB'!$T$34</f>
        <v>UD2</v>
      </c>
      <c r="U100" s="60"/>
      <c r="V100" s="56"/>
      <c r="W100" s="56"/>
      <c r="X100" s="56"/>
      <c r="Y100" s="56"/>
      <c r="Z100" s="56"/>
      <c r="AA100" s="56"/>
      <c r="AB100" s="56"/>
      <c r="AC100" s="56"/>
      <c r="AD100" s="56"/>
      <c r="AE100" s="56"/>
      <c r="AF100" s="56"/>
      <c r="AG100" s="1"/>
    </row>
    <row r="101" spans="1:33" ht="15.95" customHeight="1" thickTop="1" thickBot="1">
      <c r="A101" s="49"/>
      <c r="B101" s="51" t="s">
        <v>175</v>
      </c>
      <c r="C101" s="15"/>
      <c r="D101" s="301" t="s">
        <v>186</v>
      </c>
      <c r="E101" s="301" t="s">
        <v>187</v>
      </c>
      <c r="F101" s="301" t="s">
        <v>188</v>
      </c>
      <c r="G101" s="301" t="s">
        <v>189</v>
      </c>
      <c r="H101" s="301" t="s">
        <v>11</v>
      </c>
      <c r="I101" s="301" t="s">
        <v>190</v>
      </c>
      <c r="J101" s="301" t="s">
        <v>191</v>
      </c>
      <c r="K101" s="304" t="s">
        <v>192</v>
      </c>
      <c r="L101" s="301" t="s">
        <v>203</v>
      </c>
      <c r="M101" s="301" t="s">
        <v>42</v>
      </c>
      <c r="N101" s="301" t="s">
        <v>148</v>
      </c>
      <c r="O101" s="301" t="s">
        <v>193</v>
      </c>
      <c r="P101" s="301" t="s">
        <v>142</v>
      </c>
      <c r="Q101" s="112" t="s">
        <v>239</v>
      </c>
      <c r="R101" s="112" t="s">
        <v>672</v>
      </c>
      <c r="S101" s="859" t="s">
        <v>541</v>
      </c>
      <c r="T101" s="859" t="s">
        <v>542</v>
      </c>
      <c r="U101" s="59"/>
      <c r="V101" s="2"/>
      <c r="W101" s="2"/>
      <c r="X101" s="2"/>
      <c r="Y101" s="2"/>
      <c r="Z101" s="2"/>
      <c r="AA101" s="2"/>
      <c r="AB101" s="2"/>
      <c r="AC101" s="2"/>
      <c r="AD101" s="2"/>
      <c r="AE101" s="2"/>
      <c r="AF101" s="2"/>
      <c r="AG101" s="1"/>
    </row>
    <row r="102" spans="1:33" ht="15.95" customHeight="1" thickTop="1">
      <c r="A102" s="49"/>
      <c r="B102" s="50" t="s">
        <v>146</v>
      </c>
      <c r="C102" s="12"/>
      <c r="D102" s="40"/>
      <c r="E102" s="40"/>
      <c r="F102" s="40"/>
      <c r="G102" s="40"/>
      <c r="H102" s="40"/>
      <c r="I102" s="40"/>
      <c r="J102" s="40"/>
      <c r="K102" s="40"/>
      <c r="L102" s="40" t="s">
        <v>34</v>
      </c>
      <c r="M102" s="40"/>
      <c r="N102" s="40" t="str">
        <f t="shared" ref="N102:N108" si="9">$F$8</f>
        <v>FY2010-11</v>
      </c>
      <c r="O102" s="40" t="s">
        <v>155</v>
      </c>
      <c r="P102" s="40" t="s">
        <v>147</v>
      </c>
      <c r="Q102" s="40"/>
      <c r="R102" s="40"/>
      <c r="S102" s="40"/>
      <c r="T102" s="40"/>
      <c r="U102" s="58"/>
      <c r="V102" s="1"/>
      <c r="W102" s="1"/>
      <c r="X102" s="1"/>
      <c r="Y102" s="1"/>
      <c r="Z102" s="1"/>
      <c r="AA102" s="1"/>
      <c r="AB102" s="1"/>
      <c r="AC102" s="1"/>
      <c r="AD102" s="1"/>
      <c r="AE102" s="1"/>
      <c r="AF102" s="1"/>
      <c r="AG102" s="1"/>
    </row>
    <row r="103" spans="1:33" ht="15.95" customHeight="1">
      <c r="A103" s="49"/>
      <c r="B103" s="57">
        <f>DSUM('ENR#-DB'!D35:T48,"TOTAL ENROLLMENT",'ENR#-DSUM'!D101:T108)</f>
        <v>0</v>
      </c>
      <c r="C103" s="12"/>
      <c r="D103" s="40"/>
      <c r="E103" s="40"/>
      <c r="F103" s="40"/>
      <c r="G103" s="40"/>
      <c r="H103" s="40"/>
      <c r="I103" s="40"/>
      <c r="J103" s="40"/>
      <c r="K103" s="40"/>
      <c r="L103" s="40" t="s">
        <v>34</v>
      </c>
      <c r="M103" s="40"/>
      <c r="N103" s="40" t="str">
        <f t="shared" si="9"/>
        <v>FY2010-11</v>
      </c>
      <c r="O103" s="40" t="s">
        <v>155</v>
      </c>
      <c r="P103" s="40" t="s">
        <v>147</v>
      </c>
      <c r="Q103" s="40"/>
      <c r="R103" s="40"/>
      <c r="S103" s="40"/>
      <c r="T103" s="40"/>
      <c r="U103" s="58"/>
      <c r="V103" s="1"/>
      <c r="W103" s="1"/>
      <c r="X103" s="1"/>
      <c r="Y103" s="1"/>
      <c r="Z103" s="1"/>
      <c r="AA103" s="1"/>
      <c r="AB103" s="1"/>
      <c r="AC103" s="1"/>
      <c r="AD103" s="1"/>
      <c r="AE103" s="1"/>
      <c r="AF103" s="1"/>
      <c r="AG103" s="1"/>
    </row>
    <row r="104" spans="1:33" ht="15.95" customHeight="1">
      <c r="A104" s="49"/>
      <c r="B104" s="52"/>
      <c r="C104" s="12"/>
      <c r="D104" s="40"/>
      <c r="E104" s="40"/>
      <c r="F104" s="40"/>
      <c r="G104" s="40"/>
      <c r="H104" s="40"/>
      <c r="I104" s="40"/>
      <c r="J104" s="40"/>
      <c r="K104" s="40"/>
      <c r="L104" s="40" t="s">
        <v>34</v>
      </c>
      <c r="M104" s="40"/>
      <c r="N104" s="40" t="str">
        <f t="shared" si="9"/>
        <v>FY2010-11</v>
      </c>
      <c r="O104" s="40" t="s">
        <v>155</v>
      </c>
      <c r="P104" s="40" t="s">
        <v>147</v>
      </c>
      <c r="Q104" s="40"/>
      <c r="R104" s="40"/>
      <c r="S104" s="40"/>
      <c r="T104" s="40"/>
      <c r="U104" s="58"/>
      <c r="V104" s="1"/>
      <c r="W104" s="1"/>
      <c r="X104" s="1"/>
      <c r="Y104" s="1"/>
      <c r="Z104" s="1"/>
      <c r="AA104" s="1"/>
      <c r="AB104" s="1"/>
      <c r="AC104" s="1"/>
      <c r="AD104" s="1"/>
      <c r="AE104" s="1"/>
      <c r="AF104" s="1"/>
      <c r="AG104" s="1"/>
    </row>
    <row r="105" spans="1:33" ht="15.95" customHeight="1">
      <c r="A105" s="49"/>
      <c r="B105" s="52"/>
      <c r="C105" s="12"/>
      <c r="D105" s="40"/>
      <c r="E105" s="40"/>
      <c r="F105" s="40"/>
      <c r="G105" s="40"/>
      <c r="H105" s="40"/>
      <c r="I105" s="40"/>
      <c r="J105" s="40"/>
      <c r="K105" s="40"/>
      <c r="L105" s="40" t="s">
        <v>34</v>
      </c>
      <c r="M105" s="40"/>
      <c r="N105" s="40" t="str">
        <f t="shared" si="9"/>
        <v>FY2010-11</v>
      </c>
      <c r="O105" s="40" t="s">
        <v>155</v>
      </c>
      <c r="P105" s="40" t="s">
        <v>147</v>
      </c>
      <c r="Q105" s="40"/>
      <c r="R105" s="40"/>
      <c r="S105" s="40"/>
      <c r="T105" s="40"/>
      <c r="U105" s="58"/>
      <c r="V105" s="1"/>
      <c r="W105" s="1"/>
      <c r="X105" s="1"/>
      <c r="Y105" s="1"/>
      <c r="Z105" s="1"/>
      <c r="AA105" s="1"/>
      <c r="AB105" s="1"/>
      <c r="AC105" s="1"/>
      <c r="AD105" s="1"/>
      <c r="AE105" s="1"/>
      <c r="AF105" s="1"/>
      <c r="AG105" s="1"/>
    </row>
    <row r="106" spans="1:33" ht="15.95" customHeight="1">
      <c r="A106" s="49"/>
      <c r="B106" s="52"/>
      <c r="C106" s="12"/>
      <c r="D106" s="40"/>
      <c r="E106" s="40"/>
      <c r="F106" s="40"/>
      <c r="G106" s="40"/>
      <c r="H106" s="40"/>
      <c r="I106" s="40"/>
      <c r="J106" s="40"/>
      <c r="K106" s="40"/>
      <c r="L106" s="40" t="s">
        <v>34</v>
      </c>
      <c r="M106" s="40"/>
      <c r="N106" s="40" t="str">
        <f t="shared" si="9"/>
        <v>FY2010-11</v>
      </c>
      <c r="O106" s="40" t="s">
        <v>155</v>
      </c>
      <c r="P106" s="40" t="s">
        <v>147</v>
      </c>
      <c r="Q106" s="40"/>
      <c r="R106" s="40"/>
      <c r="S106" s="40"/>
      <c r="T106" s="40"/>
      <c r="U106" s="58"/>
      <c r="V106" s="1"/>
      <c r="W106" s="1"/>
      <c r="X106" s="1"/>
      <c r="Y106" s="1"/>
      <c r="Z106" s="1"/>
      <c r="AA106" s="1"/>
      <c r="AB106" s="1"/>
      <c r="AC106" s="1"/>
      <c r="AD106" s="1"/>
      <c r="AE106" s="1"/>
      <c r="AF106" s="1"/>
      <c r="AG106" s="1"/>
    </row>
    <row r="107" spans="1:33" ht="15.95" customHeight="1">
      <c r="A107" s="49"/>
      <c r="B107" s="52"/>
      <c r="C107" s="12"/>
      <c r="D107" s="40"/>
      <c r="E107" s="40"/>
      <c r="F107" s="40"/>
      <c r="G107" s="40"/>
      <c r="H107" s="40"/>
      <c r="I107" s="40"/>
      <c r="J107" s="40"/>
      <c r="K107" s="40"/>
      <c r="L107" s="40" t="s">
        <v>34</v>
      </c>
      <c r="M107" s="40"/>
      <c r="N107" s="40" t="str">
        <f t="shared" si="9"/>
        <v>FY2010-11</v>
      </c>
      <c r="O107" s="40" t="s">
        <v>155</v>
      </c>
      <c r="P107" s="40" t="s">
        <v>147</v>
      </c>
      <c r="Q107" s="40"/>
      <c r="R107" s="40"/>
      <c r="S107" s="40"/>
      <c r="T107" s="40"/>
      <c r="U107" s="58"/>
      <c r="V107" s="1"/>
      <c r="W107" s="1"/>
      <c r="X107" s="1"/>
      <c r="Y107" s="1"/>
      <c r="Z107" s="1"/>
      <c r="AA107" s="1"/>
      <c r="AB107" s="1"/>
      <c r="AC107" s="1"/>
      <c r="AD107" s="1"/>
      <c r="AE107" s="1"/>
      <c r="AF107" s="1"/>
      <c r="AG107" s="1"/>
    </row>
    <row r="108" spans="1:33" ht="15.95" customHeight="1">
      <c r="A108" s="49"/>
      <c r="B108" s="52"/>
      <c r="C108" s="12"/>
      <c r="D108" s="40"/>
      <c r="E108" s="40"/>
      <c r="F108" s="40"/>
      <c r="G108" s="40"/>
      <c r="H108" s="40"/>
      <c r="I108" s="40"/>
      <c r="J108" s="40"/>
      <c r="K108" s="40"/>
      <c r="L108" s="40" t="s">
        <v>34</v>
      </c>
      <c r="M108" s="40"/>
      <c r="N108" s="40" t="str">
        <f t="shared" si="9"/>
        <v>FY2010-11</v>
      </c>
      <c r="O108" s="40" t="s">
        <v>155</v>
      </c>
      <c r="P108" s="40" t="s">
        <v>147</v>
      </c>
      <c r="Q108" s="40"/>
      <c r="R108" s="40"/>
      <c r="S108" s="40"/>
      <c r="T108" s="40"/>
      <c r="U108" s="58"/>
      <c r="V108" s="1"/>
      <c r="W108" s="1"/>
      <c r="X108" s="1"/>
      <c r="Y108" s="1"/>
      <c r="Z108" s="1"/>
      <c r="AA108" s="1"/>
      <c r="AB108" s="1"/>
      <c r="AC108" s="1"/>
      <c r="AD108" s="1"/>
      <c r="AE108" s="1"/>
      <c r="AF108" s="1"/>
      <c r="AG108" s="1"/>
    </row>
    <row r="109" spans="1:33"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1"/>
      <c r="X109" s="1"/>
      <c r="Y109" s="1"/>
      <c r="Z109" s="1"/>
      <c r="AA109" s="1"/>
      <c r="AB109" s="1"/>
      <c r="AC109" s="1"/>
      <c r="AD109" s="1"/>
      <c r="AE109" s="1"/>
      <c r="AF109" s="1"/>
      <c r="AG109" s="1"/>
    </row>
    <row r="110" spans="1:33"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1" t="str">
        <f>'ENR#-DB'!$S$34</f>
        <v>UD1</v>
      </c>
      <c r="T110" s="871" t="str">
        <f>'ENR#-DB'!$T$34</f>
        <v>UD2</v>
      </c>
      <c r="U110" s="60"/>
      <c r="V110" s="56"/>
      <c r="W110" s="56"/>
      <c r="X110" s="56"/>
      <c r="Y110" s="56"/>
      <c r="Z110" s="56"/>
      <c r="AA110" s="56"/>
      <c r="AB110" s="56"/>
      <c r="AC110" s="56"/>
      <c r="AD110" s="56"/>
      <c r="AE110" s="56"/>
      <c r="AF110" s="56"/>
      <c r="AG110" s="1"/>
    </row>
    <row r="111" spans="1:33" ht="15.95" customHeight="1" thickTop="1" thickBot="1">
      <c r="A111" s="49"/>
      <c r="B111" s="51" t="s">
        <v>4</v>
      </c>
      <c r="C111" s="15"/>
      <c r="D111" s="301" t="s">
        <v>186</v>
      </c>
      <c r="E111" s="301" t="s">
        <v>187</v>
      </c>
      <c r="F111" s="301" t="s">
        <v>188</v>
      </c>
      <c r="G111" s="301" t="s">
        <v>189</v>
      </c>
      <c r="H111" s="301" t="s">
        <v>11</v>
      </c>
      <c r="I111" s="301" t="s">
        <v>190</v>
      </c>
      <c r="J111" s="301" t="s">
        <v>191</v>
      </c>
      <c r="K111" s="304" t="s">
        <v>192</v>
      </c>
      <c r="L111" s="301" t="s">
        <v>203</v>
      </c>
      <c r="M111" s="301" t="s">
        <v>42</v>
      </c>
      <c r="N111" s="301" t="s">
        <v>148</v>
      </c>
      <c r="O111" s="301" t="s">
        <v>193</v>
      </c>
      <c r="P111" s="301" t="s">
        <v>142</v>
      </c>
      <c r="Q111" s="112" t="s">
        <v>239</v>
      </c>
      <c r="R111" s="112" t="s">
        <v>672</v>
      </c>
      <c r="S111" s="859" t="s">
        <v>541</v>
      </c>
      <c r="T111" s="859" t="s">
        <v>542</v>
      </c>
      <c r="U111" s="59"/>
      <c r="V111" s="2"/>
      <c r="W111" s="2"/>
      <c r="X111" s="2"/>
      <c r="Y111" s="2"/>
      <c r="Z111" s="2"/>
      <c r="AA111" s="2"/>
      <c r="AB111" s="2"/>
      <c r="AC111" s="2"/>
      <c r="AD111" s="2"/>
      <c r="AE111" s="2"/>
      <c r="AF111" s="2"/>
      <c r="AG111" s="1"/>
    </row>
    <row r="112" spans="1:33" ht="15.95" customHeight="1" thickTop="1">
      <c r="A112" s="49"/>
      <c r="B112" s="50" t="s">
        <v>146</v>
      </c>
      <c r="C112" s="12"/>
      <c r="D112" s="45"/>
      <c r="E112" s="45"/>
      <c r="F112" s="45"/>
      <c r="G112" s="45"/>
      <c r="H112" s="45"/>
      <c r="I112" s="45"/>
      <c r="J112" s="45"/>
      <c r="K112" s="45"/>
      <c r="L112" s="45" t="s">
        <v>34</v>
      </c>
      <c r="M112" s="45"/>
      <c r="N112" s="45" t="str">
        <f t="shared" ref="N112:N118" si="10">$F$8</f>
        <v>FY2010-11</v>
      </c>
      <c r="O112" s="45" t="s">
        <v>156</v>
      </c>
      <c r="P112" s="45" t="s">
        <v>138</v>
      </c>
      <c r="Q112" s="45"/>
      <c r="R112" s="45"/>
      <c r="S112" s="45"/>
      <c r="T112" s="45"/>
      <c r="U112" s="58"/>
      <c r="V112" s="1"/>
      <c r="W112" s="1"/>
      <c r="X112" s="1"/>
      <c r="Y112" s="1"/>
      <c r="Z112" s="1"/>
      <c r="AA112" s="1"/>
      <c r="AB112" s="1"/>
      <c r="AC112" s="1"/>
      <c r="AD112" s="1"/>
      <c r="AE112" s="1"/>
      <c r="AF112" s="1"/>
      <c r="AG112" s="1"/>
    </row>
    <row r="113" spans="1:33" ht="15.95" customHeight="1">
      <c r="A113" s="49"/>
      <c r="B113" s="57">
        <f>DSUM('ENR#-DB'!D35:T48,"TOTAL ENROLLMENT",'ENR#-DSUM'!D111:T118)</f>
        <v>0</v>
      </c>
      <c r="C113" s="12"/>
      <c r="D113" s="45"/>
      <c r="E113" s="45"/>
      <c r="F113" s="45"/>
      <c r="G113" s="45"/>
      <c r="H113" s="45"/>
      <c r="I113" s="45"/>
      <c r="J113" s="45"/>
      <c r="K113" s="45"/>
      <c r="L113" s="45" t="s">
        <v>34</v>
      </c>
      <c r="M113" s="45"/>
      <c r="N113" s="45" t="str">
        <f t="shared" si="10"/>
        <v>FY2010-11</v>
      </c>
      <c r="O113" s="45" t="s">
        <v>156</v>
      </c>
      <c r="P113" s="45" t="s">
        <v>138</v>
      </c>
      <c r="Q113" s="45"/>
      <c r="R113" s="45"/>
      <c r="S113" s="45"/>
      <c r="T113" s="45"/>
      <c r="U113" s="58"/>
      <c r="V113" s="1"/>
      <c r="W113" s="1"/>
      <c r="X113" s="1"/>
      <c r="Y113" s="1"/>
      <c r="Z113" s="1"/>
      <c r="AA113" s="1"/>
      <c r="AB113" s="1"/>
      <c r="AC113" s="1"/>
      <c r="AD113" s="1"/>
      <c r="AE113" s="1"/>
      <c r="AF113" s="1"/>
      <c r="AG113" s="1"/>
    </row>
    <row r="114" spans="1:33" ht="15.95" customHeight="1">
      <c r="A114" s="49"/>
      <c r="B114" s="52"/>
      <c r="C114" s="12"/>
      <c r="D114" s="45"/>
      <c r="E114" s="45"/>
      <c r="F114" s="45"/>
      <c r="G114" s="45"/>
      <c r="H114" s="45"/>
      <c r="I114" s="45"/>
      <c r="J114" s="45"/>
      <c r="K114" s="45"/>
      <c r="L114" s="45" t="s">
        <v>34</v>
      </c>
      <c r="M114" s="45"/>
      <c r="N114" s="45" t="str">
        <f t="shared" si="10"/>
        <v>FY2010-11</v>
      </c>
      <c r="O114" s="45" t="s">
        <v>156</v>
      </c>
      <c r="P114" s="45" t="s">
        <v>138</v>
      </c>
      <c r="Q114" s="45"/>
      <c r="R114" s="45"/>
      <c r="S114" s="45"/>
      <c r="T114" s="45"/>
      <c r="U114" s="58"/>
      <c r="V114" s="1"/>
      <c r="W114" s="1"/>
      <c r="X114" s="1"/>
      <c r="Y114" s="1"/>
      <c r="Z114" s="1"/>
      <c r="AA114" s="1"/>
      <c r="AB114" s="1"/>
      <c r="AC114" s="1"/>
      <c r="AD114" s="1"/>
      <c r="AE114" s="1"/>
      <c r="AF114" s="1"/>
      <c r="AG114" s="1"/>
    </row>
    <row r="115" spans="1:33" ht="15.95" customHeight="1">
      <c r="A115" s="49"/>
      <c r="B115" s="52"/>
      <c r="C115" s="12"/>
      <c r="D115" s="45"/>
      <c r="E115" s="45"/>
      <c r="F115" s="45"/>
      <c r="G115" s="45"/>
      <c r="H115" s="45"/>
      <c r="I115" s="45"/>
      <c r="J115" s="45"/>
      <c r="K115" s="45"/>
      <c r="L115" s="45" t="s">
        <v>34</v>
      </c>
      <c r="M115" s="45"/>
      <c r="N115" s="45" t="str">
        <f t="shared" si="10"/>
        <v>FY2010-11</v>
      </c>
      <c r="O115" s="45" t="s">
        <v>156</v>
      </c>
      <c r="P115" s="45" t="s">
        <v>138</v>
      </c>
      <c r="Q115" s="45"/>
      <c r="R115" s="45"/>
      <c r="S115" s="45"/>
      <c r="T115" s="45"/>
      <c r="U115" s="58"/>
      <c r="V115" s="1"/>
      <c r="W115" s="1"/>
      <c r="X115" s="1"/>
      <c r="Y115" s="1"/>
      <c r="Z115" s="1"/>
      <c r="AA115" s="1"/>
      <c r="AB115" s="1"/>
      <c r="AC115" s="1"/>
      <c r="AD115" s="1"/>
      <c r="AE115" s="1"/>
      <c r="AF115" s="1"/>
      <c r="AG115" s="1"/>
    </row>
    <row r="116" spans="1:33" ht="15.95" customHeight="1">
      <c r="A116" s="49"/>
      <c r="B116" s="52"/>
      <c r="C116" s="12"/>
      <c r="D116" s="45"/>
      <c r="E116" s="45"/>
      <c r="F116" s="45"/>
      <c r="G116" s="45"/>
      <c r="H116" s="45"/>
      <c r="I116" s="45"/>
      <c r="J116" s="45"/>
      <c r="K116" s="45"/>
      <c r="L116" s="45" t="s">
        <v>34</v>
      </c>
      <c r="M116" s="45"/>
      <c r="N116" s="45" t="str">
        <f t="shared" si="10"/>
        <v>FY2010-11</v>
      </c>
      <c r="O116" s="45" t="s">
        <v>156</v>
      </c>
      <c r="P116" s="45" t="s">
        <v>138</v>
      </c>
      <c r="Q116" s="45"/>
      <c r="R116" s="45"/>
      <c r="S116" s="45"/>
      <c r="T116" s="45"/>
      <c r="U116" s="58"/>
      <c r="V116" s="1"/>
      <c r="W116" s="1"/>
      <c r="X116" s="1"/>
      <c r="Y116" s="1"/>
      <c r="Z116" s="1"/>
      <c r="AA116" s="1"/>
      <c r="AB116" s="1"/>
      <c r="AC116" s="1"/>
      <c r="AD116" s="1"/>
      <c r="AE116" s="1"/>
      <c r="AF116" s="1"/>
      <c r="AG116" s="1"/>
    </row>
    <row r="117" spans="1:33" ht="15.95" customHeight="1">
      <c r="A117" s="49"/>
      <c r="B117" s="52"/>
      <c r="C117" s="12"/>
      <c r="D117" s="45"/>
      <c r="E117" s="45"/>
      <c r="F117" s="45"/>
      <c r="G117" s="45"/>
      <c r="H117" s="45"/>
      <c r="I117" s="45"/>
      <c r="J117" s="45"/>
      <c r="K117" s="45"/>
      <c r="L117" s="45" t="s">
        <v>34</v>
      </c>
      <c r="M117" s="45"/>
      <c r="N117" s="45" t="str">
        <f t="shared" si="10"/>
        <v>FY2010-11</v>
      </c>
      <c r="O117" s="45" t="s">
        <v>156</v>
      </c>
      <c r="P117" s="45" t="s">
        <v>138</v>
      </c>
      <c r="Q117" s="45"/>
      <c r="R117" s="45"/>
      <c r="S117" s="45"/>
      <c r="T117" s="45"/>
      <c r="U117" s="58"/>
      <c r="V117" s="1"/>
      <c r="W117" s="1"/>
      <c r="X117" s="1"/>
      <c r="Y117" s="1"/>
      <c r="Z117" s="1"/>
      <c r="AA117" s="1"/>
      <c r="AB117" s="1"/>
      <c r="AC117" s="1"/>
      <c r="AD117" s="1"/>
      <c r="AE117" s="1"/>
      <c r="AF117" s="1"/>
      <c r="AG117" s="1"/>
    </row>
    <row r="118" spans="1:33" ht="15.95" customHeight="1">
      <c r="A118" s="49"/>
      <c r="B118" s="52"/>
      <c r="C118" s="12"/>
      <c r="D118" s="45"/>
      <c r="E118" s="45"/>
      <c r="F118" s="45"/>
      <c r="G118" s="45"/>
      <c r="H118" s="45"/>
      <c r="I118" s="45"/>
      <c r="J118" s="45"/>
      <c r="K118" s="45"/>
      <c r="L118" s="45" t="s">
        <v>34</v>
      </c>
      <c r="M118" s="45"/>
      <c r="N118" s="45" t="str">
        <f t="shared" si="10"/>
        <v>FY2010-11</v>
      </c>
      <c r="O118" s="45" t="s">
        <v>156</v>
      </c>
      <c r="P118" s="45" t="s">
        <v>138</v>
      </c>
      <c r="Q118" s="45"/>
      <c r="R118" s="45"/>
      <c r="S118" s="45"/>
      <c r="T118" s="45"/>
      <c r="U118" s="58"/>
      <c r="V118" s="1"/>
      <c r="W118" s="1"/>
      <c r="X118" s="1"/>
      <c r="Y118" s="1"/>
      <c r="Z118" s="1"/>
      <c r="AA118" s="1"/>
      <c r="AB118" s="1"/>
      <c r="AC118" s="1"/>
      <c r="AD118" s="1"/>
      <c r="AE118" s="1"/>
      <c r="AF118" s="1"/>
      <c r="AG118" s="1"/>
    </row>
    <row r="119" spans="1:33"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1"/>
      <c r="X119" s="1"/>
      <c r="Y119" s="1"/>
      <c r="Z119" s="1"/>
      <c r="AA119" s="1"/>
      <c r="AB119" s="1"/>
      <c r="AC119" s="1"/>
      <c r="AD119" s="1"/>
      <c r="AE119" s="1"/>
      <c r="AF119" s="1"/>
      <c r="AG119" s="1"/>
    </row>
    <row r="120" spans="1:33"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1" t="str">
        <f>'ENR#-DB'!$S$34</f>
        <v>UD1</v>
      </c>
      <c r="T120" s="871" t="str">
        <f>'ENR#-DB'!$T$34</f>
        <v>UD2</v>
      </c>
      <c r="U120" s="60"/>
      <c r="V120" s="56"/>
      <c r="W120" s="56"/>
      <c r="X120" s="56"/>
      <c r="Y120" s="56"/>
      <c r="Z120" s="56"/>
      <c r="AA120" s="56"/>
      <c r="AB120" s="56"/>
      <c r="AC120" s="56"/>
      <c r="AD120" s="56"/>
      <c r="AE120" s="56"/>
      <c r="AF120" s="56"/>
      <c r="AG120" s="1"/>
    </row>
    <row r="121" spans="1:33" ht="15.95" customHeight="1" thickTop="1" thickBot="1">
      <c r="A121" s="49"/>
      <c r="B121" s="51" t="s">
        <v>175</v>
      </c>
      <c r="C121" s="15"/>
      <c r="D121" s="301" t="s">
        <v>186</v>
      </c>
      <c r="E121" s="301" t="s">
        <v>187</v>
      </c>
      <c r="F121" s="301" t="s">
        <v>188</v>
      </c>
      <c r="G121" s="301" t="s">
        <v>189</v>
      </c>
      <c r="H121" s="301" t="s">
        <v>11</v>
      </c>
      <c r="I121" s="301" t="s">
        <v>190</v>
      </c>
      <c r="J121" s="301" t="s">
        <v>191</v>
      </c>
      <c r="K121" s="304" t="s">
        <v>192</v>
      </c>
      <c r="L121" s="301" t="s">
        <v>203</v>
      </c>
      <c r="M121" s="301" t="s">
        <v>42</v>
      </c>
      <c r="N121" s="301" t="s">
        <v>148</v>
      </c>
      <c r="O121" s="301" t="s">
        <v>193</v>
      </c>
      <c r="P121" s="301" t="s">
        <v>142</v>
      </c>
      <c r="Q121" s="112" t="s">
        <v>239</v>
      </c>
      <c r="R121" s="112" t="s">
        <v>672</v>
      </c>
      <c r="S121" s="859" t="s">
        <v>541</v>
      </c>
      <c r="T121" s="859" t="s">
        <v>542</v>
      </c>
      <c r="U121" s="59"/>
      <c r="V121" s="2"/>
      <c r="W121" s="2"/>
      <c r="X121" s="2"/>
      <c r="Y121" s="2"/>
      <c r="Z121" s="2"/>
      <c r="AA121" s="2"/>
      <c r="AB121" s="2"/>
      <c r="AC121" s="2"/>
      <c r="AD121" s="2"/>
      <c r="AE121" s="2"/>
      <c r="AF121" s="2"/>
      <c r="AG121" s="1"/>
    </row>
    <row r="122" spans="1:33" ht="15.95" customHeight="1" thickTop="1">
      <c r="A122" s="49"/>
      <c r="B122" s="50" t="s">
        <v>146</v>
      </c>
      <c r="C122" s="12"/>
      <c r="D122" s="45"/>
      <c r="E122" s="45"/>
      <c r="F122" s="45"/>
      <c r="G122" s="45"/>
      <c r="H122" s="45"/>
      <c r="I122" s="45"/>
      <c r="J122" s="45"/>
      <c r="K122" s="45"/>
      <c r="L122" s="45" t="s">
        <v>34</v>
      </c>
      <c r="M122" s="45"/>
      <c r="N122" s="45" t="str">
        <f t="shared" ref="N122:N128" si="11">$F$8</f>
        <v>FY2010-11</v>
      </c>
      <c r="O122" s="45" t="s">
        <v>156</v>
      </c>
      <c r="P122" s="45" t="s">
        <v>147</v>
      </c>
      <c r="Q122" s="45"/>
      <c r="R122" s="45"/>
      <c r="S122" s="45"/>
      <c r="T122" s="45"/>
      <c r="U122" s="58"/>
      <c r="V122" s="1"/>
      <c r="W122" s="1"/>
      <c r="X122" s="1"/>
      <c r="Y122" s="1"/>
      <c r="Z122" s="1"/>
      <c r="AA122" s="1"/>
      <c r="AB122" s="1"/>
      <c r="AC122" s="1"/>
      <c r="AD122" s="1"/>
      <c r="AE122" s="1"/>
      <c r="AF122" s="1"/>
      <c r="AG122" s="1"/>
    </row>
    <row r="123" spans="1:33" ht="15.95" customHeight="1">
      <c r="A123" s="49"/>
      <c r="B123" s="57">
        <f>DSUM('ENR#-DB'!D35:T48,"TOTAL ENROLLMENT",'ENR#-DSUM'!D121:T128)</f>
        <v>0</v>
      </c>
      <c r="C123" s="12"/>
      <c r="D123" s="45"/>
      <c r="E123" s="45"/>
      <c r="F123" s="45"/>
      <c r="G123" s="45"/>
      <c r="H123" s="45"/>
      <c r="I123" s="45"/>
      <c r="J123" s="45"/>
      <c r="K123" s="45"/>
      <c r="L123" s="45" t="s">
        <v>34</v>
      </c>
      <c r="M123" s="45"/>
      <c r="N123" s="45" t="str">
        <f t="shared" si="11"/>
        <v>FY2010-11</v>
      </c>
      <c r="O123" s="45" t="s">
        <v>156</v>
      </c>
      <c r="P123" s="45" t="s">
        <v>147</v>
      </c>
      <c r="Q123" s="45"/>
      <c r="R123" s="45"/>
      <c r="S123" s="45"/>
      <c r="T123" s="45"/>
      <c r="U123" s="58"/>
      <c r="V123" s="1"/>
      <c r="W123" s="1"/>
      <c r="X123" s="1"/>
      <c r="Y123" s="1"/>
      <c r="Z123" s="1"/>
      <c r="AA123" s="1"/>
      <c r="AB123" s="1"/>
      <c r="AC123" s="1"/>
      <c r="AD123" s="1"/>
      <c r="AE123" s="1"/>
      <c r="AF123" s="1"/>
      <c r="AG123" s="1"/>
    </row>
    <row r="124" spans="1:33" ht="15.95" customHeight="1">
      <c r="A124" s="49"/>
      <c r="B124" s="52"/>
      <c r="C124" s="12"/>
      <c r="D124" s="45"/>
      <c r="E124" s="45"/>
      <c r="F124" s="45"/>
      <c r="G124" s="45"/>
      <c r="H124" s="45"/>
      <c r="I124" s="45"/>
      <c r="J124" s="45"/>
      <c r="K124" s="45"/>
      <c r="L124" s="45" t="s">
        <v>34</v>
      </c>
      <c r="M124" s="45"/>
      <c r="N124" s="45" t="str">
        <f t="shared" si="11"/>
        <v>FY2010-11</v>
      </c>
      <c r="O124" s="45" t="s">
        <v>156</v>
      </c>
      <c r="P124" s="45" t="s">
        <v>147</v>
      </c>
      <c r="Q124" s="45"/>
      <c r="R124" s="45"/>
      <c r="S124" s="45"/>
      <c r="T124" s="45"/>
      <c r="U124" s="58"/>
      <c r="V124" s="1"/>
      <c r="W124" s="1"/>
      <c r="X124" s="1"/>
      <c r="Y124" s="1"/>
      <c r="Z124" s="1"/>
      <c r="AA124" s="1"/>
      <c r="AB124" s="1"/>
      <c r="AC124" s="1"/>
      <c r="AD124" s="1"/>
      <c r="AE124" s="1"/>
      <c r="AF124" s="1"/>
      <c r="AG124" s="1"/>
    </row>
    <row r="125" spans="1:33" ht="15.95" customHeight="1">
      <c r="A125" s="49"/>
      <c r="B125" s="52"/>
      <c r="C125" s="12"/>
      <c r="D125" s="45"/>
      <c r="E125" s="45"/>
      <c r="F125" s="45"/>
      <c r="G125" s="45"/>
      <c r="H125" s="45"/>
      <c r="I125" s="45"/>
      <c r="J125" s="45"/>
      <c r="K125" s="45"/>
      <c r="L125" s="45" t="s">
        <v>34</v>
      </c>
      <c r="M125" s="45"/>
      <c r="N125" s="45" t="str">
        <f t="shared" si="11"/>
        <v>FY2010-11</v>
      </c>
      <c r="O125" s="45" t="s">
        <v>156</v>
      </c>
      <c r="P125" s="45" t="s">
        <v>147</v>
      </c>
      <c r="Q125" s="45"/>
      <c r="R125" s="45"/>
      <c r="S125" s="45"/>
      <c r="T125" s="45"/>
      <c r="U125" s="58"/>
      <c r="V125" s="1"/>
      <c r="W125" s="1"/>
      <c r="X125" s="1"/>
      <c r="Y125" s="1"/>
      <c r="Z125" s="1"/>
      <c r="AA125" s="1"/>
      <c r="AB125" s="1"/>
      <c r="AC125" s="1"/>
      <c r="AD125" s="1"/>
      <c r="AE125" s="1"/>
      <c r="AF125" s="1"/>
      <c r="AG125" s="1"/>
    </row>
    <row r="126" spans="1:33" ht="15.95" customHeight="1">
      <c r="A126" s="49"/>
      <c r="B126" s="52"/>
      <c r="C126" s="12"/>
      <c r="D126" s="45"/>
      <c r="E126" s="45"/>
      <c r="F126" s="45"/>
      <c r="G126" s="45"/>
      <c r="H126" s="45"/>
      <c r="I126" s="45"/>
      <c r="J126" s="45"/>
      <c r="K126" s="45"/>
      <c r="L126" s="45" t="s">
        <v>34</v>
      </c>
      <c r="M126" s="45"/>
      <c r="N126" s="45" t="str">
        <f t="shared" si="11"/>
        <v>FY2010-11</v>
      </c>
      <c r="O126" s="45" t="s">
        <v>156</v>
      </c>
      <c r="P126" s="45" t="s">
        <v>147</v>
      </c>
      <c r="Q126" s="45"/>
      <c r="R126" s="45"/>
      <c r="S126" s="45"/>
      <c r="T126" s="45"/>
      <c r="U126" s="58"/>
      <c r="V126" s="1"/>
      <c r="W126" s="1"/>
      <c r="X126" s="1"/>
      <c r="Y126" s="1"/>
      <c r="Z126" s="1"/>
      <c r="AA126" s="1"/>
      <c r="AB126" s="1"/>
      <c r="AC126" s="1"/>
      <c r="AD126" s="1"/>
      <c r="AE126" s="1"/>
      <c r="AF126" s="1"/>
      <c r="AG126" s="1"/>
    </row>
    <row r="127" spans="1:33" ht="15.95" customHeight="1">
      <c r="A127" s="49"/>
      <c r="B127" s="52"/>
      <c r="C127" s="12"/>
      <c r="D127" s="45"/>
      <c r="E127" s="45"/>
      <c r="F127" s="45"/>
      <c r="G127" s="45"/>
      <c r="H127" s="45"/>
      <c r="I127" s="45"/>
      <c r="J127" s="45"/>
      <c r="K127" s="45"/>
      <c r="L127" s="45" t="s">
        <v>34</v>
      </c>
      <c r="M127" s="45"/>
      <c r="N127" s="45" t="str">
        <f t="shared" si="11"/>
        <v>FY2010-11</v>
      </c>
      <c r="O127" s="45" t="s">
        <v>156</v>
      </c>
      <c r="P127" s="45" t="s">
        <v>147</v>
      </c>
      <c r="Q127" s="45"/>
      <c r="R127" s="45"/>
      <c r="S127" s="45"/>
      <c r="T127" s="45"/>
      <c r="U127" s="58"/>
      <c r="V127" s="1"/>
      <c r="W127" s="1"/>
      <c r="X127" s="1"/>
      <c r="Y127" s="1"/>
      <c r="Z127" s="1"/>
      <c r="AA127" s="1"/>
      <c r="AB127" s="1"/>
      <c r="AC127" s="1"/>
      <c r="AD127" s="1"/>
      <c r="AE127" s="1"/>
      <c r="AF127" s="1"/>
      <c r="AG127" s="1"/>
    </row>
    <row r="128" spans="1:33" ht="15.95" customHeight="1">
      <c r="A128" s="49"/>
      <c r="B128" s="52"/>
      <c r="C128" s="12"/>
      <c r="D128" s="45"/>
      <c r="E128" s="45"/>
      <c r="F128" s="45"/>
      <c r="G128" s="45"/>
      <c r="H128" s="45"/>
      <c r="I128" s="45"/>
      <c r="J128" s="45"/>
      <c r="K128" s="45"/>
      <c r="L128" s="45" t="s">
        <v>34</v>
      </c>
      <c r="M128" s="45"/>
      <c r="N128" s="45" t="str">
        <f t="shared" si="11"/>
        <v>FY2010-11</v>
      </c>
      <c r="O128" s="45" t="s">
        <v>156</v>
      </c>
      <c r="P128" s="45" t="s">
        <v>147</v>
      </c>
      <c r="Q128" s="45"/>
      <c r="R128" s="45"/>
      <c r="S128" s="45"/>
      <c r="T128" s="45"/>
      <c r="U128" s="58"/>
      <c r="V128" s="1"/>
      <c r="W128" s="1"/>
      <c r="X128" s="1"/>
      <c r="Y128" s="1"/>
      <c r="Z128" s="1"/>
      <c r="AA128" s="1"/>
      <c r="AB128" s="1"/>
      <c r="AC128" s="1"/>
      <c r="AD128" s="1"/>
      <c r="AE128" s="1"/>
      <c r="AF128" s="1"/>
      <c r="AG128" s="1"/>
    </row>
    <row r="129" spans="1:33">
      <c r="A129" s="241"/>
      <c r="B129" s="241"/>
      <c r="C129" s="241"/>
      <c r="D129" s="242"/>
      <c r="E129" s="242"/>
      <c r="F129" s="242"/>
      <c r="G129" s="242"/>
      <c r="H129" s="242"/>
      <c r="I129" s="242"/>
      <c r="J129" s="242"/>
      <c r="K129" s="242"/>
      <c r="L129" s="242"/>
      <c r="M129" s="242"/>
      <c r="N129" s="242"/>
      <c r="O129" s="242"/>
      <c r="P129" s="242"/>
      <c r="Q129" s="242"/>
      <c r="R129" s="58"/>
      <c r="S129" s="58"/>
      <c r="T129" s="58"/>
      <c r="U129" s="58"/>
      <c r="V129" s="1"/>
      <c r="W129" s="1"/>
      <c r="X129" s="1"/>
      <c r="Y129" s="1"/>
      <c r="Z129" s="1"/>
      <c r="AA129" s="1"/>
      <c r="AB129" s="1"/>
      <c r="AC129" s="1"/>
      <c r="AD129" s="1"/>
      <c r="AE129" s="1"/>
      <c r="AF129" s="1"/>
      <c r="AG129" s="1"/>
    </row>
    <row r="130" spans="1:33">
      <c r="A130" s="241"/>
      <c r="B130" s="241"/>
      <c r="C130" s="241"/>
      <c r="D130" s="242"/>
      <c r="E130" s="242"/>
      <c r="F130" s="242"/>
      <c r="G130" s="242"/>
      <c r="H130" s="242"/>
      <c r="I130" s="242"/>
      <c r="J130" s="242"/>
      <c r="K130" s="242"/>
      <c r="L130" s="242"/>
      <c r="M130" s="242"/>
      <c r="N130" s="242"/>
      <c r="O130" s="242"/>
      <c r="P130" s="242"/>
      <c r="Q130" s="242"/>
      <c r="R130" s="58"/>
      <c r="S130" s="58"/>
      <c r="T130" s="58"/>
      <c r="U130" s="58"/>
      <c r="V130" s="1"/>
      <c r="W130" s="1"/>
      <c r="X130" s="1"/>
      <c r="Y130" s="1"/>
      <c r="Z130" s="1"/>
      <c r="AA130" s="1"/>
      <c r="AB130" s="1"/>
      <c r="AC130" s="1"/>
      <c r="AD130" s="1"/>
      <c r="AE130" s="1"/>
      <c r="AF130" s="1"/>
      <c r="AG130" s="1"/>
    </row>
    <row r="131" spans="1:33">
      <c r="A131" s="241"/>
      <c r="B131" s="241"/>
      <c r="C131" s="241"/>
      <c r="D131" s="242"/>
      <c r="E131" s="242"/>
      <c r="F131" s="242"/>
      <c r="G131" s="242"/>
      <c r="H131" s="242"/>
      <c r="I131" s="242"/>
      <c r="J131" s="242"/>
      <c r="K131" s="242"/>
      <c r="L131" s="242"/>
      <c r="M131" s="242"/>
      <c r="N131" s="242"/>
      <c r="O131" s="242"/>
      <c r="P131" s="242"/>
      <c r="Q131" s="242"/>
      <c r="R131" s="58"/>
      <c r="S131" s="58"/>
      <c r="T131" s="58"/>
      <c r="U131" s="58"/>
      <c r="V131" s="1"/>
      <c r="W131" s="1"/>
      <c r="X131" s="1"/>
      <c r="Y131" s="1"/>
      <c r="Z131" s="1"/>
      <c r="AA131" s="1"/>
      <c r="AB131" s="1"/>
      <c r="AC131" s="1"/>
      <c r="AD131" s="1"/>
      <c r="AE131" s="1"/>
      <c r="AF131" s="1"/>
      <c r="AG131" s="1"/>
    </row>
    <row r="132" spans="1:33">
      <c r="E132" s="5"/>
      <c r="G132" s="5"/>
      <c r="J132" s="5"/>
      <c r="K132" s="5"/>
      <c r="N132" s="5"/>
      <c r="Q132" s="5"/>
      <c r="R132" s="1"/>
      <c r="S132" s="1"/>
      <c r="T132" s="1"/>
      <c r="U132" s="1"/>
      <c r="V132" s="1"/>
      <c r="W132" s="1"/>
      <c r="X132" s="1"/>
      <c r="Y132" s="1"/>
      <c r="Z132" s="1"/>
      <c r="AA132" s="1"/>
      <c r="AB132" s="1"/>
      <c r="AC132" s="1"/>
      <c r="AD132" s="1"/>
      <c r="AE132" s="1"/>
      <c r="AF132" s="1"/>
      <c r="AG132" s="1"/>
    </row>
    <row r="133" spans="1:33">
      <c r="E133" s="5"/>
      <c r="G133" s="5"/>
      <c r="J133" s="5"/>
      <c r="K133" s="5"/>
      <c r="N133" s="5"/>
      <c r="Q133" s="5"/>
      <c r="R133" s="1"/>
      <c r="S133" s="1"/>
      <c r="T133" s="1"/>
      <c r="U133" s="1"/>
      <c r="V133" s="1"/>
      <c r="W133" s="1"/>
      <c r="X133" s="1"/>
      <c r="Y133" s="1"/>
      <c r="Z133" s="1"/>
      <c r="AA133" s="1"/>
      <c r="AB133" s="1"/>
      <c r="AC133" s="1"/>
      <c r="AD133" s="1"/>
      <c r="AE133" s="1"/>
      <c r="AF133" s="1"/>
      <c r="AG133" s="1"/>
    </row>
    <row r="134" spans="1:33">
      <c r="E134" s="5"/>
      <c r="G134" s="5"/>
      <c r="J134" s="5"/>
      <c r="K134" s="5"/>
      <c r="N134" s="5"/>
      <c r="Q134" s="5"/>
      <c r="R134" s="1"/>
      <c r="S134" s="1"/>
      <c r="T134" s="1"/>
      <c r="U134" s="1"/>
      <c r="V134" s="1"/>
      <c r="W134" s="1"/>
      <c r="X134" s="1"/>
      <c r="Y134" s="1"/>
      <c r="Z134" s="1"/>
      <c r="AA134" s="1"/>
      <c r="AB134" s="1"/>
      <c r="AC134" s="1"/>
      <c r="AD134" s="1"/>
      <c r="AE134" s="1"/>
      <c r="AF134" s="1"/>
      <c r="AG134" s="1"/>
    </row>
    <row r="135" spans="1:33">
      <c r="E135" s="5"/>
      <c r="G135" s="5"/>
      <c r="J135" s="5"/>
      <c r="K135" s="5"/>
      <c r="N135" s="5"/>
      <c r="Q135" s="5"/>
      <c r="R135" s="1"/>
      <c r="S135" s="1"/>
      <c r="T135" s="1"/>
      <c r="U135" s="1"/>
      <c r="V135" s="1"/>
      <c r="W135" s="1"/>
      <c r="X135" s="1"/>
      <c r="Y135" s="1"/>
      <c r="Z135" s="1"/>
      <c r="AA135" s="1"/>
      <c r="AB135" s="1"/>
      <c r="AC135" s="1"/>
      <c r="AD135" s="1"/>
      <c r="AE135" s="1"/>
      <c r="AF135" s="1"/>
      <c r="AG135" s="1"/>
    </row>
    <row r="136" spans="1:33">
      <c r="E136" s="5"/>
      <c r="G136" s="5"/>
      <c r="J136" s="5"/>
      <c r="K136" s="5"/>
      <c r="N136" s="5"/>
      <c r="Q136" s="5"/>
      <c r="R136" s="1"/>
      <c r="S136" s="1"/>
      <c r="T136" s="1"/>
      <c r="U136" s="1"/>
      <c r="V136" s="1"/>
      <c r="W136" s="1"/>
      <c r="X136" s="1"/>
      <c r="Y136" s="1"/>
      <c r="Z136" s="1"/>
      <c r="AA136" s="1"/>
      <c r="AB136" s="1"/>
      <c r="AC136" s="1"/>
      <c r="AD136" s="1"/>
      <c r="AE136" s="1"/>
      <c r="AF136" s="1"/>
      <c r="AG136" s="1"/>
    </row>
    <row r="137" spans="1:33">
      <c r="E137" s="5"/>
      <c r="G137" s="5"/>
      <c r="J137" s="5"/>
      <c r="K137" s="5"/>
      <c r="N137" s="5"/>
      <c r="Q137" s="5"/>
      <c r="R137" s="1"/>
      <c r="S137" s="1"/>
      <c r="T137" s="1"/>
      <c r="U137" s="1"/>
      <c r="V137" s="1"/>
      <c r="W137" s="1"/>
      <c r="X137" s="1"/>
      <c r="Y137" s="1"/>
      <c r="Z137" s="1"/>
      <c r="AA137" s="1"/>
      <c r="AB137" s="1"/>
      <c r="AC137" s="1"/>
      <c r="AD137" s="1"/>
      <c r="AE137" s="1"/>
      <c r="AF137" s="1"/>
      <c r="AG137" s="1"/>
    </row>
    <row r="138" spans="1:33">
      <c r="E138" s="5"/>
      <c r="G138" s="5"/>
      <c r="J138" s="5"/>
      <c r="K138" s="5"/>
      <c r="N138" s="5"/>
      <c r="Q138" s="5"/>
      <c r="R138" s="1"/>
      <c r="S138" s="1"/>
      <c r="T138" s="1"/>
      <c r="U138" s="1"/>
      <c r="V138" s="1"/>
      <c r="W138" s="1"/>
      <c r="X138" s="1"/>
      <c r="Y138" s="1"/>
      <c r="Z138" s="1"/>
      <c r="AA138" s="1"/>
      <c r="AB138" s="1"/>
      <c r="AC138" s="1"/>
      <c r="AD138" s="1"/>
      <c r="AE138" s="1"/>
      <c r="AF138" s="1"/>
      <c r="AG138" s="1"/>
    </row>
    <row r="139" spans="1:33">
      <c r="E139" s="5"/>
      <c r="G139" s="5"/>
      <c r="J139" s="5"/>
      <c r="K139" s="5"/>
      <c r="N139" s="5"/>
      <c r="Q139" s="5"/>
      <c r="R139" s="1"/>
      <c r="S139" s="1"/>
      <c r="T139" s="1"/>
      <c r="U139" s="1"/>
      <c r="V139" s="1"/>
      <c r="W139" s="1"/>
      <c r="X139" s="1"/>
      <c r="Y139" s="1"/>
      <c r="Z139" s="1"/>
      <c r="AA139" s="1"/>
      <c r="AB139" s="1"/>
      <c r="AC139" s="1"/>
      <c r="AD139" s="1"/>
      <c r="AE139" s="1"/>
      <c r="AF139" s="1"/>
      <c r="AG139" s="1"/>
    </row>
    <row r="140" spans="1:33">
      <c r="E140" s="5"/>
      <c r="G140" s="5"/>
      <c r="J140" s="5"/>
      <c r="K140" s="5"/>
      <c r="N140" s="5"/>
      <c r="Q140" s="5"/>
      <c r="R140" s="1"/>
      <c r="S140" s="1"/>
      <c r="T140" s="1"/>
      <c r="U140" s="1"/>
      <c r="V140" s="1"/>
      <c r="W140" s="1"/>
      <c r="X140" s="1"/>
      <c r="Y140" s="1"/>
      <c r="Z140" s="1"/>
      <c r="AA140" s="1"/>
      <c r="AB140" s="1"/>
      <c r="AC140" s="1"/>
      <c r="AD140" s="1"/>
      <c r="AE140" s="1"/>
      <c r="AF140" s="1"/>
      <c r="AG140" s="1"/>
    </row>
    <row r="141" spans="1:33">
      <c r="E141" s="5"/>
      <c r="G141" s="5"/>
      <c r="J141" s="5"/>
      <c r="K141" s="5"/>
      <c r="N141" s="5"/>
      <c r="Q141" s="5"/>
      <c r="R141" s="1"/>
      <c r="S141" s="1"/>
      <c r="T141" s="1"/>
      <c r="U141" s="1"/>
      <c r="V141" s="1"/>
      <c r="W141" s="1"/>
      <c r="X141" s="1"/>
      <c r="Y141" s="1"/>
      <c r="Z141" s="1"/>
      <c r="AA141" s="1"/>
      <c r="AB141" s="1"/>
      <c r="AC141" s="1"/>
      <c r="AD141" s="1"/>
      <c r="AE141" s="1"/>
      <c r="AF141" s="1"/>
      <c r="AG141" s="1"/>
    </row>
    <row r="142" spans="1:33">
      <c r="E142" s="5"/>
      <c r="G142" s="5"/>
      <c r="J142" s="5"/>
      <c r="K142" s="5"/>
      <c r="N142" s="5"/>
      <c r="Q142" s="5"/>
      <c r="R142" s="1"/>
      <c r="S142" s="1"/>
      <c r="T142" s="1"/>
      <c r="U142" s="1"/>
      <c r="V142" s="1"/>
      <c r="W142" s="1"/>
      <c r="X142" s="1"/>
      <c r="Y142" s="1"/>
      <c r="Z142" s="1"/>
      <c r="AA142" s="1"/>
      <c r="AB142" s="1"/>
      <c r="AC142" s="1"/>
      <c r="AD142" s="1"/>
      <c r="AE142" s="1"/>
      <c r="AF142" s="1"/>
      <c r="AG142" s="1"/>
    </row>
    <row r="143" spans="1:33">
      <c r="E143" s="5"/>
      <c r="G143" s="5"/>
      <c r="J143" s="5"/>
      <c r="K143" s="5"/>
      <c r="N143" s="5"/>
      <c r="Q143" s="5"/>
      <c r="R143" s="1"/>
      <c r="S143" s="1"/>
      <c r="T143" s="1"/>
      <c r="U143" s="1"/>
      <c r="V143" s="1"/>
      <c r="W143" s="1"/>
      <c r="X143" s="1"/>
      <c r="Y143" s="1"/>
      <c r="Z143" s="1"/>
      <c r="AA143" s="1"/>
      <c r="AB143" s="1"/>
      <c r="AC143" s="1"/>
      <c r="AD143" s="1"/>
      <c r="AE143" s="1"/>
      <c r="AF143" s="1"/>
      <c r="AG143" s="1"/>
    </row>
    <row r="144" spans="1:33">
      <c r="E144" s="5"/>
      <c r="G144" s="5"/>
      <c r="J144" s="5"/>
      <c r="K144" s="5"/>
      <c r="N144" s="5"/>
      <c r="Q144" s="5"/>
      <c r="R144" s="1"/>
      <c r="S144" s="1"/>
      <c r="T144" s="1"/>
      <c r="U144" s="1"/>
      <c r="V144" s="1"/>
      <c r="W144" s="1"/>
      <c r="X144" s="1"/>
      <c r="Y144" s="1"/>
      <c r="Z144" s="1"/>
      <c r="AA144" s="1"/>
      <c r="AB144" s="1"/>
      <c r="AC144" s="1"/>
      <c r="AD144" s="1"/>
      <c r="AE144" s="1"/>
      <c r="AF144" s="1"/>
      <c r="AG144" s="1"/>
    </row>
    <row r="145" spans="5:33">
      <c r="E145" s="5"/>
      <c r="G145" s="5"/>
      <c r="J145" s="5"/>
      <c r="K145" s="5"/>
      <c r="N145" s="5"/>
      <c r="Q145" s="5"/>
      <c r="R145" s="1"/>
      <c r="S145" s="1"/>
      <c r="T145" s="1"/>
      <c r="U145" s="1"/>
      <c r="V145" s="1"/>
      <c r="W145" s="1"/>
      <c r="X145" s="1"/>
      <c r="Y145" s="1"/>
      <c r="Z145" s="1"/>
      <c r="AA145" s="1"/>
      <c r="AB145" s="1"/>
      <c r="AC145" s="1"/>
      <c r="AD145" s="1"/>
      <c r="AE145" s="1"/>
      <c r="AF145" s="1"/>
      <c r="AG145" s="1"/>
    </row>
    <row r="146" spans="5:33">
      <c r="E146" s="5"/>
      <c r="G146" s="5"/>
      <c r="J146" s="5"/>
      <c r="K146" s="5"/>
      <c r="N146" s="5"/>
      <c r="Q146" s="5"/>
      <c r="R146" s="1"/>
      <c r="S146" s="1"/>
      <c r="T146" s="1"/>
      <c r="U146" s="1"/>
      <c r="V146" s="1"/>
      <c r="W146" s="1"/>
      <c r="X146" s="1"/>
      <c r="Y146" s="1"/>
      <c r="Z146" s="1"/>
      <c r="AA146" s="1"/>
      <c r="AB146" s="1"/>
      <c r="AC146" s="1"/>
      <c r="AD146" s="1"/>
      <c r="AE146" s="1"/>
      <c r="AF146" s="1"/>
      <c r="AG146" s="1"/>
    </row>
    <row r="147" spans="5:33">
      <c r="E147" s="5"/>
      <c r="G147" s="5"/>
      <c r="J147" s="5"/>
      <c r="K147" s="5"/>
      <c r="N147" s="5"/>
      <c r="Q147" s="5"/>
      <c r="R147" s="1"/>
      <c r="S147" s="1"/>
      <c r="T147" s="1"/>
      <c r="U147" s="1"/>
      <c r="V147" s="1"/>
      <c r="W147" s="1"/>
      <c r="X147" s="1"/>
      <c r="Y147" s="1"/>
      <c r="Z147" s="1"/>
      <c r="AA147" s="1"/>
      <c r="AB147" s="1"/>
      <c r="AC147" s="1"/>
      <c r="AD147" s="1"/>
      <c r="AE147" s="1"/>
      <c r="AF147" s="1"/>
      <c r="AG147" s="1"/>
    </row>
    <row r="148" spans="5:33">
      <c r="E148" s="5"/>
      <c r="G148" s="5"/>
      <c r="J148" s="5"/>
      <c r="K148" s="5"/>
      <c r="N148" s="5"/>
      <c r="Q148" s="5"/>
      <c r="R148" s="1"/>
      <c r="S148" s="1"/>
      <c r="T148" s="1"/>
      <c r="U148" s="1"/>
      <c r="V148" s="1"/>
      <c r="W148" s="1"/>
      <c r="X148" s="1"/>
      <c r="Y148" s="1"/>
      <c r="Z148" s="1"/>
      <c r="AA148" s="1"/>
      <c r="AB148" s="1"/>
      <c r="AC148" s="1"/>
      <c r="AD148" s="1"/>
      <c r="AE148" s="1"/>
      <c r="AF148" s="1"/>
      <c r="AG148" s="1"/>
    </row>
    <row r="149" spans="5:33">
      <c r="E149" s="5"/>
      <c r="G149" s="5"/>
      <c r="J149" s="5"/>
      <c r="K149" s="5"/>
      <c r="N149" s="5"/>
      <c r="Q149" s="5"/>
      <c r="R149" s="1"/>
      <c r="S149" s="1"/>
      <c r="T149" s="1"/>
      <c r="U149" s="1"/>
      <c r="V149" s="1"/>
      <c r="W149" s="1"/>
      <c r="X149" s="1"/>
      <c r="Y149" s="1"/>
      <c r="Z149" s="1"/>
      <c r="AA149" s="1"/>
      <c r="AB149" s="1"/>
      <c r="AC149" s="1"/>
      <c r="AD149" s="1"/>
      <c r="AE149" s="1"/>
      <c r="AF149" s="1"/>
      <c r="AG149" s="1"/>
    </row>
    <row r="150" spans="5:33">
      <c r="E150" s="5"/>
      <c r="G150" s="5"/>
      <c r="J150" s="5"/>
      <c r="K150" s="5"/>
      <c r="N150" s="5"/>
      <c r="Q150" s="5"/>
      <c r="R150" s="1"/>
      <c r="S150" s="1"/>
      <c r="T150" s="1"/>
      <c r="U150" s="1"/>
      <c r="V150" s="1"/>
      <c r="W150" s="1"/>
      <c r="X150" s="1"/>
      <c r="Y150" s="1"/>
      <c r="Z150" s="1"/>
      <c r="AA150" s="1"/>
      <c r="AB150" s="1"/>
      <c r="AC150" s="1"/>
      <c r="AD150" s="1"/>
      <c r="AE150" s="1"/>
      <c r="AF150" s="1"/>
      <c r="AG150" s="1"/>
    </row>
    <row r="151" spans="5:33">
      <c r="E151" s="5"/>
      <c r="G151" s="5"/>
      <c r="J151" s="5"/>
      <c r="K151" s="5"/>
      <c r="N151" s="5"/>
      <c r="Q151" s="5"/>
      <c r="R151" s="1"/>
      <c r="S151" s="1"/>
      <c r="T151" s="1"/>
      <c r="U151" s="1"/>
      <c r="V151" s="1"/>
      <c r="W151" s="1"/>
      <c r="X151" s="1"/>
      <c r="Y151" s="1"/>
      <c r="Z151" s="1"/>
      <c r="AA151" s="1"/>
      <c r="AB151" s="1"/>
      <c r="AC151" s="1"/>
      <c r="AD151" s="1"/>
      <c r="AE151" s="1"/>
      <c r="AF151" s="1"/>
      <c r="AG151" s="1"/>
    </row>
    <row r="152" spans="5:33">
      <c r="E152" s="5"/>
      <c r="G152" s="5"/>
      <c r="J152" s="5"/>
      <c r="K152" s="5"/>
      <c r="N152" s="5"/>
      <c r="Q152" s="5"/>
      <c r="R152" s="1"/>
      <c r="S152" s="1"/>
      <c r="T152" s="1"/>
      <c r="U152" s="1"/>
      <c r="V152" s="1"/>
      <c r="W152" s="1"/>
      <c r="X152" s="1"/>
      <c r="Y152" s="1"/>
      <c r="Z152" s="1"/>
      <c r="AA152" s="1"/>
      <c r="AB152" s="1"/>
      <c r="AC152" s="1"/>
      <c r="AD152" s="1"/>
      <c r="AE152" s="1"/>
      <c r="AF152" s="1"/>
      <c r="AG152" s="1"/>
    </row>
    <row r="153" spans="5:33">
      <c r="E153" s="5"/>
      <c r="G153" s="5"/>
      <c r="J153" s="5"/>
      <c r="K153" s="5"/>
      <c r="N153" s="5"/>
      <c r="Q153" s="5"/>
      <c r="R153" s="1"/>
      <c r="S153" s="1"/>
      <c r="T153" s="1"/>
      <c r="U153" s="1"/>
      <c r="V153" s="1"/>
      <c r="W153" s="1"/>
      <c r="X153" s="1"/>
      <c r="Y153" s="1"/>
      <c r="Z153" s="1"/>
      <c r="AA153" s="1"/>
      <c r="AB153" s="1"/>
      <c r="AC153" s="1"/>
      <c r="AD153" s="1"/>
      <c r="AE153" s="1"/>
      <c r="AF153" s="1"/>
      <c r="AG153" s="1"/>
    </row>
    <row r="154" spans="5:33">
      <c r="E154" s="5"/>
      <c r="G154" s="5"/>
      <c r="J154" s="5"/>
      <c r="K154" s="5"/>
      <c r="N154" s="5"/>
      <c r="Q154" s="5"/>
      <c r="R154" s="1"/>
      <c r="S154" s="1"/>
      <c r="T154" s="1"/>
      <c r="U154" s="1"/>
      <c r="V154" s="1"/>
      <c r="W154" s="1"/>
      <c r="X154" s="1"/>
      <c r="Y154" s="1"/>
      <c r="Z154" s="1"/>
      <c r="AA154" s="1"/>
      <c r="AB154" s="1"/>
      <c r="AC154" s="1"/>
      <c r="AD154" s="1"/>
      <c r="AE154" s="1"/>
      <c r="AF154" s="1"/>
      <c r="AG154" s="1"/>
    </row>
    <row r="155" spans="5:33">
      <c r="E155" s="5"/>
      <c r="G155" s="5"/>
      <c r="J155" s="5"/>
      <c r="K155" s="5"/>
      <c r="N155" s="5"/>
      <c r="Q155" s="5"/>
      <c r="R155" s="1"/>
      <c r="S155" s="1"/>
      <c r="T155" s="1"/>
      <c r="U155" s="1"/>
      <c r="V155" s="1"/>
      <c r="W155" s="1"/>
      <c r="X155" s="1"/>
      <c r="Y155" s="1"/>
      <c r="Z155" s="1"/>
      <c r="AA155" s="1"/>
      <c r="AB155" s="1"/>
      <c r="AC155" s="1"/>
      <c r="AD155" s="1"/>
      <c r="AE155" s="1"/>
      <c r="AF155" s="1"/>
      <c r="AG155" s="1"/>
    </row>
    <row r="156" spans="5:33">
      <c r="E156" s="5"/>
      <c r="G156" s="5"/>
      <c r="J156" s="5"/>
      <c r="K156" s="5"/>
      <c r="N156" s="5"/>
      <c r="Q156" s="5"/>
      <c r="R156" s="1"/>
      <c r="S156" s="1"/>
      <c r="T156" s="1"/>
      <c r="U156" s="1"/>
      <c r="V156" s="1"/>
      <c r="W156" s="1"/>
      <c r="X156" s="1"/>
      <c r="Y156" s="1"/>
      <c r="Z156" s="1"/>
      <c r="AA156" s="1"/>
      <c r="AB156" s="1"/>
      <c r="AC156" s="1"/>
      <c r="AD156" s="1"/>
      <c r="AE156" s="1"/>
      <c r="AF156" s="1"/>
      <c r="AG156" s="1"/>
    </row>
    <row r="157" spans="5:33">
      <c r="E157" s="5"/>
      <c r="G157" s="5"/>
      <c r="J157" s="5"/>
      <c r="K157" s="5"/>
      <c r="N157" s="5"/>
      <c r="Q157" s="5"/>
      <c r="R157" s="1"/>
      <c r="S157" s="1"/>
      <c r="T157" s="1"/>
      <c r="U157" s="1"/>
      <c r="V157" s="1"/>
      <c r="W157" s="1"/>
      <c r="X157" s="1"/>
      <c r="Y157" s="1"/>
      <c r="Z157" s="1"/>
      <c r="AA157" s="1"/>
      <c r="AB157" s="1"/>
      <c r="AC157" s="1"/>
      <c r="AD157" s="1"/>
      <c r="AE157" s="1"/>
      <c r="AF157" s="1"/>
      <c r="AG157" s="1"/>
    </row>
    <row r="158" spans="5:33">
      <c r="E158" s="5"/>
      <c r="G158" s="5"/>
      <c r="J158" s="5"/>
      <c r="K158" s="5"/>
      <c r="N158" s="5"/>
      <c r="Q158" s="5"/>
      <c r="R158" s="1"/>
      <c r="S158" s="1"/>
      <c r="T158" s="1"/>
      <c r="U158" s="1"/>
      <c r="V158" s="1"/>
      <c r="W158" s="1"/>
      <c r="X158" s="1"/>
      <c r="Y158" s="1"/>
      <c r="Z158" s="1"/>
      <c r="AA158" s="1"/>
      <c r="AB158" s="1"/>
      <c r="AC158" s="1"/>
      <c r="AD158" s="1"/>
      <c r="AE158" s="1"/>
      <c r="AF158" s="1"/>
      <c r="AG158" s="1"/>
    </row>
    <row r="159" spans="5:33">
      <c r="E159" s="5"/>
      <c r="G159" s="5"/>
      <c r="J159" s="5"/>
      <c r="K159" s="5"/>
      <c r="N159" s="5"/>
      <c r="Q159" s="5"/>
      <c r="R159" s="1"/>
      <c r="S159" s="1"/>
      <c r="T159" s="1"/>
      <c r="U159" s="1"/>
      <c r="V159" s="1"/>
      <c r="W159" s="1"/>
      <c r="X159" s="1"/>
      <c r="Y159" s="1"/>
      <c r="Z159" s="1"/>
      <c r="AA159" s="1"/>
      <c r="AB159" s="1"/>
      <c r="AC159" s="1"/>
      <c r="AD159" s="1"/>
      <c r="AE159" s="1"/>
      <c r="AF159" s="1"/>
      <c r="AG159" s="1"/>
    </row>
    <row r="160" spans="5:33">
      <c r="E160" s="5"/>
      <c r="G160" s="5"/>
      <c r="J160" s="5"/>
      <c r="K160" s="5"/>
      <c r="N160" s="5"/>
      <c r="Q160" s="5"/>
      <c r="R160" s="1"/>
      <c r="S160" s="1"/>
      <c r="T160" s="1"/>
      <c r="U160" s="1"/>
      <c r="V160" s="1"/>
      <c r="W160" s="1"/>
      <c r="X160" s="1"/>
      <c r="Y160" s="1"/>
      <c r="Z160" s="1"/>
      <c r="AA160" s="1"/>
      <c r="AB160" s="1"/>
      <c r="AC160" s="1"/>
      <c r="AD160" s="1"/>
      <c r="AE160" s="1"/>
      <c r="AF160" s="1"/>
      <c r="AG160" s="1"/>
    </row>
    <row r="161" spans="5:33">
      <c r="E161" s="5"/>
      <c r="G161" s="5"/>
      <c r="J161" s="5"/>
      <c r="K161" s="5"/>
      <c r="N161" s="5"/>
      <c r="Q161" s="5"/>
      <c r="R161" s="1"/>
      <c r="S161" s="1"/>
      <c r="T161" s="1"/>
      <c r="U161" s="1"/>
      <c r="V161" s="1"/>
      <c r="W161" s="1"/>
      <c r="X161" s="1"/>
      <c r="Y161" s="1"/>
      <c r="Z161" s="1"/>
      <c r="AA161" s="1"/>
      <c r="AB161" s="1"/>
      <c r="AC161" s="1"/>
      <c r="AD161" s="1"/>
      <c r="AE161" s="1"/>
      <c r="AF161" s="1"/>
      <c r="AG161" s="1"/>
    </row>
    <row r="162" spans="5:33">
      <c r="E162" s="5"/>
      <c r="G162" s="5"/>
      <c r="J162" s="5"/>
      <c r="K162" s="5"/>
      <c r="N162" s="5"/>
      <c r="Q162" s="5"/>
      <c r="R162" s="1"/>
      <c r="S162" s="1"/>
      <c r="T162" s="1"/>
      <c r="U162" s="1"/>
      <c r="V162" s="1"/>
      <c r="W162" s="1"/>
      <c r="X162" s="1"/>
      <c r="Y162" s="1"/>
      <c r="Z162" s="1"/>
      <c r="AA162" s="1"/>
      <c r="AB162" s="1"/>
      <c r="AC162" s="1"/>
      <c r="AD162" s="1"/>
      <c r="AE162" s="1"/>
      <c r="AF162" s="1"/>
      <c r="AG162" s="1"/>
    </row>
    <row r="163" spans="5:33">
      <c r="E163" s="5"/>
      <c r="G163" s="5"/>
      <c r="J163" s="5"/>
      <c r="K163" s="5"/>
      <c r="N163" s="5"/>
      <c r="Q163" s="5"/>
      <c r="R163" s="1"/>
      <c r="S163" s="1"/>
      <c r="T163" s="1"/>
      <c r="U163" s="1"/>
      <c r="V163" s="1"/>
      <c r="W163" s="1"/>
      <c r="X163" s="1"/>
      <c r="Y163" s="1"/>
      <c r="Z163" s="1"/>
      <c r="AA163" s="1"/>
      <c r="AB163" s="1"/>
      <c r="AC163" s="1"/>
      <c r="AD163" s="1"/>
      <c r="AE163" s="1"/>
      <c r="AF163" s="1"/>
      <c r="AG163" s="1"/>
    </row>
    <row r="164" spans="5:33">
      <c r="E164" s="5"/>
      <c r="G164" s="5"/>
      <c r="J164" s="5"/>
      <c r="K164" s="5"/>
      <c r="N164" s="5"/>
      <c r="Q164" s="5"/>
      <c r="R164" s="1"/>
      <c r="S164" s="1"/>
      <c r="T164" s="1"/>
      <c r="U164" s="1"/>
      <c r="V164" s="1"/>
      <c r="W164" s="1"/>
      <c r="X164" s="1"/>
      <c r="Y164" s="1"/>
      <c r="Z164" s="1"/>
      <c r="AA164" s="1"/>
      <c r="AB164" s="1"/>
      <c r="AC164" s="1"/>
      <c r="AD164" s="1"/>
      <c r="AE164" s="1"/>
      <c r="AF164" s="1"/>
      <c r="AG164" s="1"/>
    </row>
    <row r="165" spans="5:33">
      <c r="E165" s="5"/>
      <c r="G165" s="5"/>
      <c r="J165" s="5"/>
      <c r="K165" s="5"/>
      <c r="N165" s="5"/>
      <c r="Q165" s="5"/>
      <c r="R165" s="1"/>
      <c r="S165" s="1"/>
      <c r="T165" s="1"/>
      <c r="U165" s="1"/>
      <c r="V165" s="1"/>
      <c r="W165" s="1"/>
      <c r="X165" s="1"/>
      <c r="Y165" s="1"/>
      <c r="Z165" s="1"/>
      <c r="AA165" s="1"/>
      <c r="AB165" s="1"/>
      <c r="AC165" s="1"/>
      <c r="AD165" s="1"/>
      <c r="AE165" s="1"/>
      <c r="AF165" s="1"/>
      <c r="AG165" s="1"/>
    </row>
    <row r="166" spans="5:33">
      <c r="E166" s="5"/>
      <c r="G166" s="5"/>
      <c r="J166" s="5"/>
      <c r="K166" s="5"/>
      <c r="N166" s="5"/>
      <c r="Q166" s="5"/>
      <c r="R166" s="1"/>
      <c r="S166" s="1"/>
      <c r="T166" s="1"/>
      <c r="U166" s="1"/>
      <c r="V166" s="1"/>
      <c r="W166" s="1"/>
      <c r="X166" s="1"/>
      <c r="Y166" s="1"/>
      <c r="Z166" s="1"/>
      <c r="AA166" s="1"/>
      <c r="AB166" s="1"/>
      <c r="AC166" s="1"/>
      <c r="AD166" s="1"/>
      <c r="AE166" s="1"/>
      <c r="AF166" s="1"/>
      <c r="AG166" s="1"/>
    </row>
    <row r="167" spans="5:33">
      <c r="E167" s="5"/>
      <c r="G167" s="5"/>
      <c r="J167" s="5"/>
      <c r="K167" s="5"/>
      <c r="N167" s="5"/>
      <c r="Q167" s="5"/>
      <c r="R167" s="1"/>
      <c r="S167" s="1"/>
      <c r="T167" s="1"/>
      <c r="U167" s="1"/>
      <c r="V167" s="1"/>
      <c r="W167" s="1"/>
      <c r="X167" s="1"/>
      <c r="Y167" s="1"/>
      <c r="Z167" s="1"/>
      <c r="AA167" s="1"/>
      <c r="AB167" s="1"/>
      <c r="AC167" s="1"/>
      <c r="AD167" s="1"/>
      <c r="AE167" s="1"/>
      <c r="AF167" s="1"/>
      <c r="AG167" s="1"/>
    </row>
    <row r="168" spans="5:33">
      <c r="E168" s="5"/>
      <c r="G168" s="5"/>
      <c r="J168" s="5"/>
      <c r="K168" s="5"/>
      <c r="N168" s="5"/>
      <c r="Q168" s="5"/>
      <c r="R168" s="1"/>
      <c r="S168" s="1"/>
      <c r="T168" s="1"/>
      <c r="U168" s="1"/>
      <c r="V168" s="1"/>
      <c r="W168" s="1"/>
      <c r="X168" s="1"/>
      <c r="Y168" s="1"/>
      <c r="Z168" s="1"/>
      <c r="AA168" s="1"/>
      <c r="AB168" s="1"/>
      <c r="AC168" s="1"/>
      <c r="AD168" s="1"/>
      <c r="AE168" s="1"/>
      <c r="AF168" s="1"/>
      <c r="AG168" s="1"/>
    </row>
    <row r="169" spans="5:33">
      <c r="E169" s="5"/>
      <c r="G169" s="5"/>
      <c r="J169" s="5"/>
      <c r="K169" s="5"/>
      <c r="N169" s="5"/>
      <c r="Q169" s="5"/>
      <c r="R169" s="1"/>
      <c r="S169" s="1"/>
      <c r="T169" s="1"/>
      <c r="U169" s="1"/>
      <c r="V169" s="1"/>
      <c r="W169" s="1"/>
      <c r="X169" s="1"/>
      <c r="Y169" s="1"/>
      <c r="Z169" s="1"/>
      <c r="AA169" s="1"/>
      <c r="AB169" s="1"/>
      <c r="AC169" s="1"/>
      <c r="AD169" s="1"/>
      <c r="AE169" s="1"/>
      <c r="AF169" s="1"/>
      <c r="AG169" s="1"/>
    </row>
    <row r="170" spans="5:33">
      <c r="E170" s="5"/>
      <c r="G170" s="5"/>
      <c r="J170" s="5"/>
      <c r="K170" s="5"/>
      <c r="N170" s="5"/>
      <c r="Q170" s="5"/>
      <c r="R170" s="1"/>
      <c r="S170" s="1"/>
      <c r="T170" s="1"/>
      <c r="U170" s="1"/>
      <c r="V170" s="1"/>
      <c r="W170" s="1"/>
      <c r="X170" s="1"/>
      <c r="Y170" s="1"/>
      <c r="Z170" s="1"/>
      <c r="AA170" s="1"/>
      <c r="AB170" s="1"/>
      <c r="AC170" s="1"/>
      <c r="AD170" s="1"/>
      <c r="AE170" s="1"/>
      <c r="AF170" s="1"/>
      <c r="AG170" s="1"/>
    </row>
    <row r="171" spans="5:33">
      <c r="E171" s="5"/>
      <c r="G171" s="5"/>
      <c r="J171" s="5"/>
      <c r="K171" s="5"/>
      <c r="N171" s="5"/>
      <c r="Q171" s="5"/>
      <c r="R171" s="1"/>
      <c r="S171" s="1"/>
      <c r="T171" s="1"/>
      <c r="U171" s="1"/>
      <c r="V171" s="1"/>
      <c r="W171" s="1"/>
      <c r="X171" s="1"/>
      <c r="Y171" s="1"/>
      <c r="Z171" s="1"/>
      <c r="AA171" s="1"/>
      <c r="AB171" s="1"/>
      <c r="AC171" s="1"/>
      <c r="AD171" s="1"/>
      <c r="AE171" s="1"/>
      <c r="AF171" s="1"/>
      <c r="AG171" s="1"/>
    </row>
    <row r="172" spans="5:33">
      <c r="E172" s="5"/>
      <c r="G172" s="5"/>
      <c r="J172" s="5"/>
      <c r="K172" s="5"/>
      <c r="N172" s="5"/>
      <c r="Q172" s="5"/>
      <c r="R172" s="1"/>
      <c r="S172" s="1"/>
      <c r="T172" s="1"/>
      <c r="U172" s="1"/>
      <c r="V172" s="1"/>
      <c r="W172" s="1"/>
      <c r="X172" s="1"/>
      <c r="Y172" s="1"/>
      <c r="Z172" s="1"/>
      <c r="AA172" s="1"/>
      <c r="AB172" s="1"/>
      <c r="AC172" s="1"/>
      <c r="AD172" s="1"/>
      <c r="AE172" s="1"/>
      <c r="AF172" s="1"/>
      <c r="AG172" s="1"/>
    </row>
    <row r="173" spans="5:33">
      <c r="E173" s="5"/>
      <c r="G173" s="5"/>
      <c r="J173" s="5"/>
      <c r="K173" s="5"/>
      <c r="N173" s="5"/>
      <c r="Q173" s="5"/>
      <c r="R173" s="1"/>
      <c r="S173" s="1"/>
      <c r="T173" s="1"/>
      <c r="U173" s="1"/>
      <c r="V173" s="1"/>
      <c r="W173" s="1"/>
      <c r="X173" s="1"/>
      <c r="Y173" s="1"/>
      <c r="Z173" s="1"/>
      <c r="AA173" s="1"/>
      <c r="AB173" s="1"/>
      <c r="AC173" s="1"/>
      <c r="AD173" s="1"/>
      <c r="AE173" s="1"/>
      <c r="AF173" s="1"/>
      <c r="AG173" s="1"/>
    </row>
    <row r="174" spans="5:33">
      <c r="E174" s="5"/>
      <c r="G174" s="5"/>
      <c r="J174" s="5"/>
      <c r="K174" s="5"/>
      <c r="N174" s="5"/>
      <c r="Q174" s="5"/>
      <c r="R174" s="1"/>
      <c r="S174" s="1"/>
      <c r="T174" s="1"/>
      <c r="U174" s="1"/>
      <c r="V174" s="1"/>
      <c r="W174" s="1"/>
      <c r="X174" s="1"/>
      <c r="Y174" s="1"/>
      <c r="Z174" s="1"/>
      <c r="AA174" s="1"/>
      <c r="AB174" s="1"/>
      <c r="AC174" s="1"/>
      <c r="AD174" s="1"/>
      <c r="AE174" s="1"/>
      <c r="AF174" s="1"/>
      <c r="AG174" s="1"/>
    </row>
    <row r="175" spans="5:33">
      <c r="E175" s="5"/>
      <c r="G175" s="5"/>
      <c r="J175" s="5"/>
      <c r="K175" s="5"/>
      <c r="N175" s="5"/>
      <c r="Q175" s="5"/>
      <c r="R175" s="1"/>
      <c r="S175" s="1"/>
      <c r="T175" s="1"/>
      <c r="U175" s="1"/>
      <c r="V175" s="1"/>
      <c r="W175" s="1"/>
      <c r="X175" s="1"/>
      <c r="Y175" s="1"/>
      <c r="Z175" s="1"/>
      <c r="AA175" s="1"/>
      <c r="AB175" s="1"/>
      <c r="AC175" s="1"/>
      <c r="AD175" s="1"/>
      <c r="AE175" s="1"/>
      <c r="AF175" s="1"/>
      <c r="AG175" s="1"/>
    </row>
    <row r="176" spans="5:33">
      <c r="E176" s="5"/>
      <c r="G176" s="5"/>
      <c r="J176" s="5"/>
      <c r="K176" s="5"/>
      <c r="N176" s="5"/>
      <c r="Q176" s="5"/>
      <c r="R176" s="1"/>
      <c r="S176" s="1"/>
      <c r="T176" s="1"/>
      <c r="U176" s="1"/>
      <c r="V176" s="1"/>
      <c r="W176" s="1"/>
      <c r="X176" s="1"/>
      <c r="Y176" s="1"/>
      <c r="Z176" s="1"/>
      <c r="AA176" s="1"/>
      <c r="AB176" s="1"/>
      <c r="AC176" s="1"/>
      <c r="AD176" s="1"/>
      <c r="AE176" s="1"/>
      <c r="AF176" s="1"/>
      <c r="AG176" s="1"/>
    </row>
    <row r="177" spans="5:33">
      <c r="E177" s="5"/>
      <c r="G177" s="5"/>
      <c r="J177" s="5"/>
      <c r="K177" s="5"/>
      <c r="N177" s="5"/>
      <c r="Q177" s="5"/>
      <c r="R177" s="1"/>
      <c r="S177" s="1"/>
      <c r="T177" s="1"/>
      <c r="U177" s="1"/>
      <c r="V177" s="1"/>
      <c r="W177" s="1"/>
      <c r="X177" s="1"/>
      <c r="Y177" s="1"/>
      <c r="Z177" s="1"/>
      <c r="AA177" s="1"/>
      <c r="AB177" s="1"/>
      <c r="AC177" s="1"/>
      <c r="AD177" s="1"/>
      <c r="AE177" s="1"/>
      <c r="AF177" s="1"/>
      <c r="AG177" s="1"/>
    </row>
    <row r="178" spans="5:33">
      <c r="E178" s="5"/>
      <c r="G178" s="5"/>
      <c r="J178" s="5"/>
      <c r="K178" s="5"/>
      <c r="N178" s="5"/>
      <c r="Q178" s="5"/>
      <c r="R178" s="1"/>
      <c r="S178" s="1"/>
      <c r="T178" s="1"/>
      <c r="U178" s="1"/>
      <c r="V178" s="1"/>
      <c r="W178" s="1"/>
      <c r="X178" s="1"/>
      <c r="Y178" s="1"/>
      <c r="Z178" s="1"/>
      <c r="AA178" s="1"/>
      <c r="AB178" s="1"/>
      <c r="AC178" s="1"/>
      <c r="AD178" s="1"/>
      <c r="AE178" s="1"/>
      <c r="AF178" s="1"/>
      <c r="AG178" s="1"/>
    </row>
    <row r="179" spans="5:33">
      <c r="E179" s="5"/>
      <c r="G179" s="5"/>
      <c r="J179" s="5"/>
      <c r="K179" s="5"/>
      <c r="N179" s="5"/>
      <c r="Q179" s="5"/>
      <c r="R179" s="1"/>
      <c r="S179" s="1"/>
      <c r="T179" s="1"/>
      <c r="U179" s="1"/>
      <c r="V179" s="1"/>
      <c r="W179" s="1"/>
      <c r="X179" s="1"/>
      <c r="Y179" s="1"/>
      <c r="Z179" s="1"/>
      <c r="AA179" s="1"/>
      <c r="AB179" s="1"/>
      <c r="AC179" s="1"/>
      <c r="AD179" s="1"/>
      <c r="AE179" s="1"/>
      <c r="AF179" s="1"/>
      <c r="AG179" s="1"/>
    </row>
    <row r="180" spans="5:33">
      <c r="E180" s="5"/>
      <c r="G180" s="5"/>
      <c r="J180" s="5"/>
      <c r="K180" s="5"/>
      <c r="N180" s="5"/>
      <c r="Q180" s="5"/>
      <c r="R180" s="1"/>
      <c r="S180" s="1"/>
      <c r="T180" s="1"/>
      <c r="U180" s="1"/>
      <c r="V180" s="1"/>
      <c r="W180" s="1"/>
      <c r="X180" s="1"/>
      <c r="Y180" s="1"/>
      <c r="Z180" s="1"/>
      <c r="AA180" s="1"/>
      <c r="AB180" s="1"/>
      <c r="AC180" s="1"/>
      <c r="AD180" s="1"/>
      <c r="AE180" s="1"/>
      <c r="AF180" s="1"/>
      <c r="AG180" s="1"/>
    </row>
    <row r="181" spans="5:33">
      <c r="E181" s="5"/>
      <c r="G181" s="5"/>
      <c r="J181" s="5"/>
      <c r="K181" s="5"/>
      <c r="N181" s="5"/>
      <c r="Q181" s="5"/>
      <c r="R181" s="1"/>
      <c r="S181" s="1"/>
      <c r="T181" s="1"/>
      <c r="U181" s="1"/>
      <c r="V181" s="1"/>
      <c r="W181" s="1"/>
      <c r="X181" s="1"/>
      <c r="Y181" s="1"/>
      <c r="Z181" s="1"/>
      <c r="AA181" s="1"/>
      <c r="AB181" s="1"/>
      <c r="AC181" s="1"/>
      <c r="AD181" s="1"/>
      <c r="AE181" s="1"/>
      <c r="AF181" s="1"/>
      <c r="AG181" s="1"/>
    </row>
    <row r="182" spans="5:33">
      <c r="E182" s="5"/>
      <c r="G182" s="5"/>
      <c r="J182" s="5"/>
      <c r="K182" s="5"/>
      <c r="N182" s="5"/>
      <c r="Q182" s="5"/>
      <c r="R182" s="1"/>
      <c r="S182" s="1"/>
      <c r="T182" s="1"/>
      <c r="U182" s="1"/>
      <c r="V182" s="1"/>
      <c r="W182" s="1"/>
      <c r="X182" s="1"/>
      <c r="Y182" s="1"/>
      <c r="Z182" s="1"/>
      <c r="AA182" s="1"/>
      <c r="AB182" s="1"/>
      <c r="AC182" s="1"/>
      <c r="AD182" s="1"/>
      <c r="AE182" s="1"/>
      <c r="AF182" s="1"/>
      <c r="AG182" s="1"/>
    </row>
    <row r="183" spans="5:33">
      <c r="E183" s="5"/>
      <c r="G183" s="5"/>
      <c r="J183" s="5"/>
      <c r="K183" s="5"/>
      <c r="N183" s="5"/>
      <c r="Q183" s="5"/>
      <c r="R183" s="1"/>
      <c r="S183" s="1"/>
      <c r="T183" s="1"/>
      <c r="U183" s="1"/>
      <c r="V183" s="1"/>
      <c r="W183" s="1"/>
      <c r="X183" s="1"/>
      <c r="Y183" s="1"/>
      <c r="Z183" s="1"/>
      <c r="AA183" s="1"/>
      <c r="AB183" s="1"/>
      <c r="AC183" s="1"/>
      <c r="AD183" s="1"/>
      <c r="AE183" s="1"/>
      <c r="AF183" s="1"/>
      <c r="AG183" s="1"/>
    </row>
    <row r="184" spans="5:33">
      <c r="E184" s="5"/>
      <c r="G184" s="5"/>
      <c r="J184" s="5"/>
      <c r="K184" s="5"/>
      <c r="N184" s="5"/>
      <c r="Q184" s="5"/>
      <c r="R184" s="1"/>
      <c r="S184" s="1"/>
      <c r="T184" s="1"/>
      <c r="U184" s="1"/>
      <c r="V184" s="1"/>
      <c r="W184" s="1"/>
      <c r="X184" s="1"/>
      <c r="Y184" s="1"/>
      <c r="Z184" s="1"/>
      <c r="AA184" s="1"/>
      <c r="AB184" s="1"/>
      <c r="AC184" s="1"/>
      <c r="AD184" s="1"/>
      <c r="AE184" s="1"/>
      <c r="AF184" s="1"/>
      <c r="AG184" s="1"/>
    </row>
    <row r="185" spans="5:33">
      <c r="E185" s="5"/>
      <c r="G185" s="5"/>
      <c r="J185" s="5"/>
      <c r="K185" s="5"/>
      <c r="N185" s="5"/>
      <c r="Q185" s="5"/>
      <c r="R185" s="1"/>
      <c r="S185" s="1"/>
      <c r="T185" s="1"/>
      <c r="U185" s="1"/>
      <c r="V185" s="1"/>
      <c r="W185" s="1"/>
      <c r="X185" s="1"/>
      <c r="Y185" s="1"/>
      <c r="Z185" s="1"/>
      <c r="AA185" s="1"/>
      <c r="AB185" s="1"/>
      <c r="AC185" s="1"/>
      <c r="AD185" s="1"/>
      <c r="AE185" s="1"/>
      <c r="AF185" s="1"/>
      <c r="AG185" s="1"/>
    </row>
    <row r="186" spans="5:33">
      <c r="E186" s="5"/>
      <c r="G186" s="5"/>
      <c r="J186" s="5"/>
      <c r="K186" s="5"/>
      <c r="N186" s="5"/>
      <c r="Q186" s="5"/>
      <c r="R186" s="1"/>
      <c r="S186" s="1"/>
      <c r="T186" s="1"/>
      <c r="U186" s="1"/>
      <c r="V186" s="1"/>
      <c r="W186" s="1"/>
      <c r="X186" s="1"/>
      <c r="Y186" s="1"/>
      <c r="Z186" s="1"/>
      <c r="AA186" s="1"/>
      <c r="AB186" s="1"/>
      <c r="AC186" s="1"/>
      <c r="AD186" s="1"/>
      <c r="AE186" s="1"/>
      <c r="AF186" s="1"/>
      <c r="AG186" s="1"/>
    </row>
    <row r="187" spans="5:33">
      <c r="E187" s="5"/>
      <c r="G187" s="5"/>
      <c r="J187" s="5"/>
      <c r="K187" s="5"/>
      <c r="N187" s="5"/>
      <c r="Q187" s="5"/>
      <c r="R187" s="1"/>
      <c r="S187" s="1"/>
      <c r="T187" s="1"/>
      <c r="U187" s="1"/>
      <c r="V187" s="1"/>
      <c r="W187" s="1"/>
      <c r="X187" s="1"/>
      <c r="Y187" s="1"/>
      <c r="Z187" s="1"/>
      <c r="AA187" s="1"/>
      <c r="AB187" s="1"/>
      <c r="AC187" s="1"/>
      <c r="AD187" s="1"/>
      <c r="AE187" s="1"/>
      <c r="AF187" s="1"/>
      <c r="AG187" s="1"/>
    </row>
    <row r="188" spans="5:33">
      <c r="E188" s="5"/>
      <c r="G188" s="5"/>
      <c r="J188" s="5"/>
      <c r="K188" s="5"/>
      <c r="N188" s="5"/>
      <c r="Q188" s="5"/>
      <c r="R188" s="1"/>
      <c r="S188" s="1"/>
      <c r="T188" s="1"/>
      <c r="U188" s="1"/>
      <c r="V188" s="1"/>
      <c r="W188" s="1"/>
      <c r="X188" s="1"/>
      <c r="Y188" s="1"/>
      <c r="Z188" s="1"/>
      <c r="AA188" s="1"/>
      <c r="AB188" s="1"/>
      <c r="AC188" s="1"/>
      <c r="AD188" s="1"/>
      <c r="AE188" s="1"/>
      <c r="AF188" s="1"/>
      <c r="AG188" s="1"/>
    </row>
    <row r="189" spans="5:33">
      <c r="E189" s="5"/>
      <c r="G189" s="5"/>
      <c r="J189" s="5"/>
      <c r="K189" s="5"/>
      <c r="N189" s="5"/>
      <c r="Q189" s="5"/>
      <c r="R189" s="1"/>
      <c r="S189" s="1"/>
      <c r="T189" s="1"/>
      <c r="U189" s="1"/>
      <c r="V189" s="1"/>
      <c r="W189" s="1"/>
      <c r="X189" s="1"/>
      <c r="Y189" s="1"/>
      <c r="Z189" s="1"/>
      <c r="AA189" s="1"/>
      <c r="AB189" s="1"/>
      <c r="AC189" s="1"/>
      <c r="AD189" s="1"/>
      <c r="AE189" s="1"/>
      <c r="AF189" s="1"/>
      <c r="AG189" s="1"/>
    </row>
    <row r="190" spans="5:33">
      <c r="E190" s="5"/>
      <c r="G190" s="5"/>
      <c r="J190" s="5"/>
      <c r="K190" s="5"/>
      <c r="N190" s="5"/>
      <c r="Q190" s="5"/>
      <c r="R190" s="1"/>
      <c r="S190" s="1"/>
      <c r="T190" s="1"/>
      <c r="U190" s="1"/>
      <c r="V190" s="1"/>
      <c r="W190" s="1"/>
      <c r="X190" s="1"/>
      <c r="Y190" s="1"/>
      <c r="Z190" s="1"/>
      <c r="AA190" s="1"/>
      <c r="AB190" s="1"/>
      <c r="AC190" s="1"/>
      <c r="AD190" s="1"/>
      <c r="AE190" s="1"/>
      <c r="AF190" s="1"/>
      <c r="AG190" s="1"/>
    </row>
    <row r="191" spans="5:33">
      <c r="E191" s="5"/>
      <c r="G191" s="5"/>
      <c r="J191" s="5"/>
      <c r="K191" s="5"/>
      <c r="N191" s="5"/>
      <c r="Q191" s="5"/>
      <c r="R191" s="1"/>
      <c r="S191" s="1"/>
      <c r="T191" s="1"/>
      <c r="U191" s="1"/>
      <c r="V191" s="1"/>
      <c r="W191" s="1"/>
      <c r="X191" s="1"/>
      <c r="Y191" s="1"/>
      <c r="Z191" s="1"/>
      <c r="AA191" s="1"/>
      <c r="AB191" s="1"/>
      <c r="AC191" s="1"/>
      <c r="AD191" s="1"/>
      <c r="AE191" s="1"/>
      <c r="AF191" s="1"/>
      <c r="AG191" s="1"/>
    </row>
    <row r="192" spans="5:33">
      <c r="E192" s="5"/>
      <c r="G192" s="5"/>
      <c r="J192" s="5"/>
      <c r="K192" s="5"/>
      <c r="N192" s="5"/>
      <c r="Q192" s="5"/>
      <c r="R192" s="1"/>
      <c r="S192" s="1"/>
      <c r="T192" s="1"/>
      <c r="U192" s="1"/>
      <c r="V192" s="1"/>
      <c r="W192" s="1"/>
      <c r="X192" s="1"/>
      <c r="Y192" s="1"/>
      <c r="Z192" s="1"/>
      <c r="AA192" s="1"/>
      <c r="AB192" s="1"/>
      <c r="AC192" s="1"/>
      <c r="AD192" s="1"/>
      <c r="AE192" s="1"/>
      <c r="AF192" s="1"/>
      <c r="AG192" s="1"/>
    </row>
    <row r="193" spans="5:33">
      <c r="E193" s="5"/>
      <c r="G193" s="5"/>
      <c r="J193" s="5"/>
      <c r="K193" s="5"/>
      <c r="N193" s="5"/>
      <c r="Q193" s="5"/>
      <c r="R193" s="1"/>
      <c r="S193" s="1"/>
      <c r="T193" s="1"/>
      <c r="U193" s="1"/>
      <c r="V193" s="1"/>
      <c r="W193" s="1"/>
      <c r="X193" s="1"/>
      <c r="Y193" s="1"/>
      <c r="Z193" s="1"/>
      <c r="AA193" s="1"/>
      <c r="AB193" s="1"/>
      <c r="AC193" s="1"/>
      <c r="AD193" s="1"/>
      <c r="AE193" s="1"/>
      <c r="AF193" s="1"/>
      <c r="AG193" s="1"/>
    </row>
    <row r="194" spans="5:33">
      <c r="E194" s="5"/>
      <c r="G194" s="5"/>
      <c r="J194" s="5"/>
      <c r="K194" s="5"/>
      <c r="N194" s="5"/>
      <c r="Q194" s="5"/>
      <c r="R194" s="1"/>
      <c r="S194" s="1"/>
      <c r="T194" s="1"/>
      <c r="U194" s="1"/>
      <c r="V194" s="1"/>
      <c r="W194" s="1"/>
      <c r="X194" s="1"/>
      <c r="Y194" s="1"/>
      <c r="Z194" s="1"/>
      <c r="AA194" s="1"/>
      <c r="AB194" s="1"/>
      <c r="AC194" s="1"/>
      <c r="AD194" s="1"/>
      <c r="AE194" s="1"/>
      <c r="AF194" s="1"/>
      <c r="AG194" s="1"/>
    </row>
    <row r="195" spans="5:33">
      <c r="E195" s="5"/>
      <c r="G195" s="5"/>
      <c r="J195" s="5"/>
      <c r="K195" s="5"/>
      <c r="N195" s="5"/>
      <c r="Q195" s="5"/>
      <c r="R195" s="1"/>
      <c r="S195" s="1"/>
      <c r="T195" s="1"/>
      <c r="U195" s="1"/>
      <c r="V195" s="1"/>
      <c r="W195" s="1"/>
      <c r="X195" s="1"/>
      <c r="Y195" s="1"/>
      <c r="Z195" s="1"/>
      <c r="AA195" s="1"/>
      <c r="AB195" s="1"/>
      <c r="AC195" s="1"/>
      <c r="AD195" s="1"/>
      <c r="AE195" s="1"/>
      <c r="AF195" s="1"/>
      <c r="AG195" s="1"/>
    </row>
    <row r="196" spans="5:33">
      <c r="E196" s="5"/>
      <c r="G196" s="5"/>
      <c r="J196" s="5"/>
      <c r="K196" s="5"/>
      <c r="N196" s="5"/>
      <c r="Q196" s="5"/>
      <c r="R196" s="1"/>
      <c r="S196" s="1"/>
      <c r="T196" s="1"/>
      <c r="U196" s="1"/>
      <c r="V196" s="1"/>
      <c r="W196" s="1"/>
      <c r="X196" s="1"/>
      <c r="Y196" s="1"/>
      <c r="Z196" s="1"/>
      <c r="AA196" s="1"/>
      <c r="AB196" s="1"/>
      <c r="AC196" s="1"/>
      <c r="AD196" s="1"/>
      <c r="AE196" s="1"/>
      <c r="AF196" s="1"/>
      <c r="AG196" s="1"/>
    </row>
    <row r="197" spans="5:33">
      <c r="E197" s="5"/>
      <c r="G197" s="5"/>
      <c r="J197" s="5"/>
      <c r="K197" s="5"/>
      <c r="N197" s="5"/>
      <c r="Q197" s="5"/>
      <c r="R197" s="1"/>
      <c r="S197" s="1"/>
      <c r="T197" s="1"/>
      <c r="U197" s="1"/>
      <c r="V197" s="1"/>
      <c r="W197" s="1"/>
      <c r="X197" s="1"/>
      <c r="Y197" s="1"/>
      <c r="Z197" s="1"/>
      <c r="AA197" s="1"/>
      <c r="AB197" s="1"/>
      <c r="AC197" s="1"/>
      <c r="AD197" s="1"/>
      <c r="AE197" s="1"/>
      <c r="AF197" s="1"/>
      <c r="AG197" s="1"/>
    </row>
    <row r="198" spans="5:33">
      <c r="E198" s="5"/>
      <c r="G198" s="5"/>
      <c r="J198" s="5"/>
      <c r="K198" s="5"/>
      <c r="N198" s="5"/>
      <c r="Q198" s="5"/>
      <c r="R198" s="1"/>
      <c r="S198" s="1"/>
      <c r="T198" s="1"/>
      <c r="U198" s="1"/>
      <c r="V198" s="1"/>
      <c r="W198" s="1"/>
      <c r="X198" s="1"/>
      <c r="Y198" s="1"/>
      <c r="Z198" s="1"/>
      <c r="AA198" s="1"/>
      <c r="AB198" s="1"/>
      <c r="AC198" s="1"/>
      <c r="AD198" s="1"/>
      <c r="AE198" s="1"/>
      <c r="AF198" s="1"/>
      <c r="AG198" s="1"/>
    </row>
    <row r="199" spans="5:33">
      <c r="E199" s="5"/>
      <c r="G199" s="5"/>
      <c r="J199" s="5"/>
      <c r="K199" s="5"/>
      <c r="N199" s="5"/>
      <c r="Q199" s="5"/>
      <c r="R199" s="1"/>
      <c r="S199" s="1"/>
      <c r="T199" s="1"/>
      <c r="U199" s="1"/>
      <c r="V199" s="1"/>
      <c r="W199" s="1"/>
      <c r="X199" s="1"/>
      <c r="Y199" s="1"/>
      <c r="Z199" s="1"/>
      <c r="AA199" s="1"/>
      <c r="AB199" s="1"/>
      <c r="AC199" s="1"/>
      <c r="AD199" s="1"/>
      <c r="AE199" s="1"/>
      <c r="AF199" s="1"/>
      <c r="AG199" s="1"/>
    </row>
    <row r="200" spans="5:33">
      <c r="E200" s="5"/>
      <c r="G200" s="5"/>
      <c r="J200" s="5"/>
      <c r="K200" s="5"/>
      <c r="N200" s="5"/>
      <c r="Q200" s="5"/>
      <c r="R200" s="1"/>
      <c r="S200" s="1"/>
      <c r="T200" s="1"/>
      <c r="U200" s="1"/>
      <c r="V200" s="1"/>
      <c r="W200" s="1"/>
      <c r="X200" s="1"/>
      <c r="Y200" s="1"/>
      <c r="Z200" s="1"/>
      <c r="AA200" s="1"/>
      <c r="AB200" s="1"/>
      <c r="AC200" s="1"/>
      <c r="AD200" s="1"/>
      <c r="AE200" s="1"/>
      <c r="AF200" s="1"/>
      <c r="AG200" s="1"/>
    </row>
    <row r="201" spans="5:33">
      <c r="E201" s="5"/>
      <c r="G201" s="5"/>
      <c r="J201" s="5"/>
      <c r="K201" s="5"/>
      <c r="N201" s="5"/>
      <c r="Q201" s="5"/>
      <c r="R201" s="1"/>
      <c r="S201" s="1"/>
      <c r="T201" s="1"/>
      <c r="U201" s="1"/>
      <c r="V201" s="1"/>
      <c r="W201" s="1"/>
      <c r="X201" s="1"/>
      <c r="Y201" s="1"/>
      <c r="Z201" s="1"/>
      <c r="AA201" s="1"/>
      <c r="AB201" s="1"/>
      <c r="AC201" s="1"/>
      <c r="AD201" s="1"/>
      <c r="AE201" s="1"/>
      <c r="AF201" s="1"/>
      <c r="AG201" s="1"/>
    </row>
    <row r="202" spans="5:33">
      <c r="E202" s="5"/>
      <c r="G202" s="5"/>
      <c r="J202" s="5"/>
      <c r="K202" s="5"/>
      <c r="N202" s="5"/>
      <c r="Q202" s="5"/>
      <c r="R202" s="1"/>
      <c r="S202" s="1"/>
      <c r="T202" s="1"/>
      <c r="U202" s="1"/>
      <c r="V202" s="1"/>
      <c r="W202" s="1"/>
      <c r="X202" s="1"/>
      <c r="Y202" s="1"/>
      <c r="Z202" s="1"/>
      <c r="AA202" s="1"/>
      <c r="AB202" s="1"/>
      <c r="AC202" s="1"/>
      <c r="AD202" s="1"/>
      <c r="AE202" s="1"/>
      <c r="AF202" s="1"/>
      <c r="AG202" s="1"/>
    </row>
    <row r="203" spans="5:33">
      <c r="E203" s="5"/>
      <c r="G203" s="5"/>
      <c r="J203" s="5"/>
      <c r="K203" s="5"/>
      <c r="N203" s="5"/>
      <c r="Q203" s="5"/>
      <c r="R203" s="1"/>
      <c r="S203" s="1"/>
      <c r="T203" s="1"/>
      <c r="U203" s="1"/>
      <c r="V203" s="1"/>
      <c r="W203" s="1"/>
      <c r="X203" s="1"/>
      <c r="Y203" s="1"/>
      <c r="Z203" s="1"/>
      <c r="AA203" s="1"/>
      <c r="AB203" s="1"/>
      <c r="AC203" s="1"/>
      <c r="AD203" s="1"/>
      <c r="AE203" s="1"/>
      <c r="AF203" s="1"/>
      <c r="AG203" s="1"/>
    </row>
    <row r="204" spans="5:33">
      <c r="E204" s="5"/>
      <c r="G204" s="5"/>
      <c r="J204" s="5"/>
      <c r="K204" s="5"/>
      <c r="N204" s="5"/>
      <c r="Q204" s="5"/>
      <c r="R204" s="1"/>
      <c r="S204" s="1"/>
      <c r="T204" s="1"/>
      <c r="U204" s="1"/>
      <c r="V204" s="1"/>
      <c r="W204" s="1"/>
      <c r="X204" s="1"/>
      <c r="Y204" s="1"/>
      <c r="Z204" s="1"/>
      <c r="AA204" s="1"/>
      <c r="AB204" s="1"/>
      <c r="AC204" s="1"/>
      <c r="AD204" s="1"/>
      <c r="AE204" s="1"/>
      <c r="AF204" s="1"/>
      <c r="AG204" s="1"/>
    </row>
    <row r="205" spans="5:33">
      <c r="E205" s="5"/>
      <c r="G205" s="5"/>
      <c r="J205" s="5"/>
      <c r="K205" s="5"/>
      <c r="N205" s="5"/>
      <c r="Q205" s="5"/>
      <c r="R205" s="1"/>
      <c r="S205" s="1"/>
      <c r="T205" s="1"/>
      <c r="U205" s="1"/>
      <c r="V205" s="1"/>
      <c r="W205" s="1"/>
      <c r="X205" s="1"/>
      <c r="Y205" s="1"/>
      <c r="Z205" s="1"/>
      <c r="AA205" s="1"/>
      <c r="AB205" s="1"/>
      <c r="AC205" s="1"/>
      <c r="AD205" s="1"/>
      <c r="AE205" s="1"/>
      <c r="AF205" s="1"/>
      <c r="AG205" s="1"/>
    </row>
    <row r="206" spans="5:33">
      <c r="E206" s="5"/>
      <c r="G206" s="5"/>
      <c r="J206" s="5"/>
      <c r="K206" s="5"/>
      <c r="N206" s="5"/>
      <c r="Q206" s="5"/>
      <c r="R206" s="1"/>
      <c r="S206" s="1"/>
      <c r="T206" s="1"/>
      <c r="U206" s="1"/>
      <c r="V206" s="1"/>
      <c r="W206" s="1"/>
      <c r="X206" s="1"/>
      <c r="Y206" s="1"/>
      <c r="Z206" s="1"/>
      <c r="AA206" s="1"/>
      <c r="AB206" s="1"/>
      <c r="AC206" s="1"/>
      <c r="AD206" s="1"/>
      <c r="AE206" s="1"/>
      <c r="AF206" s="1"/>
      <c r="AG206" s="1"/>
    </row>
    <row r="207" spans="5:33">
      <c r="E207" s="5"/>
      <c r="G207" s="5"/>
      <c r="J207" s="5"/>
      <c r="K207" s="5"/>
      <c r="N207" s="5"/>
      <c r="Q207" s="5"/>
      <c r="R207" s="1"/>
      <c r="S207" s="1"/>
      <c r="T207" s="1"/>
      <c r="U207" s="1"/>
      <c r="V207" s="1"/>
      <c r="W207" s="1"/>
      <c r="X207" s="1"/>
      <c r="Y207" s="1"/>
      <c r="Z207" s="1"/>
      <c r="AA207" s="1"/>
      <c r="AB207" s="1"/>
      <c r="AC207" s="1"/>
      <c r="AD207" s="1"/>
      <c r="AE207" s="1"/>
      <c r="AF207" s="1"/>
      <c r="AG207" s="1"/>
    </row>
    <row r="208" spans="5:33">
      <c r="E208" s="5"/>
      <c r="G208" s="5"/>
      <c r="J208" s="5"/>
      <c r="K208" s="5"/>
      <c r="N208" s="5"/>
      <c r="Q208" s="5"/>
      <c r="R208" s="1"/>
      <c r="S208" s="1"/>
      <c r="T208" s="1"/>
      <c r="U208" s="1"/>
      <c r="V208" s="1"/>
      <c r="W208" s="1"/>
      <c r="X208" s="1"/>
      <c r="Y208" s="1"/>
      <c r="Z208" s="1"/>
      <c r="AA208" s="1"/>
      <c r="AB208" s="1"/>
      <c r="AC208" s="1"/>
      <c r="AD208" s="1"/>
      <c r="AE208" s="1"/>
      <c r="AF208" s="1"/>
      <c r="AG208" s="1"/>
    </row>
    <row r="209" spans="5:33">
      <c r="E209" s="5"/>
      <c r="G209" s="5"/>
      <c r="J209" s="5"/>
      <c r="K209" s="5"/>
      <c r="N209" s="5"/>
      <c r="Q209" s="5"/>
      <c r="R209" s="1"/>
      <c r="S209" s="1"/>
      <c r="T209" s="1"/>
      <c r="U209" s="1"/>
      <c r="V209" s="1"/>
      <c r="W209" s="1"/>
      <c r="X209" s="1"/>
      <c r="Y209" s="1"/>
      <c r="Z209" s="1"/>
      <c r="AA209" s="1"/>
      <c r="AB209" s="1"/>
      <c r="AC209" s="1"/>
      <c r="AD209" s="1"/>
      <c r="AE209" s="1"/>
      <c r="AF209" s="1"/>
      <c r="AG209" s="1"/>
    </row>
    <row r="210" spans="5:33">
      <c r="E210" s="5"/>
      <c r="G210" s="5"/>
      <c r="J210" s="5"/>
      <c r="K210" s="5"/>
      <c r="N210" s="5"/>
      <c r="Q210" s="5"/>
      <c r="R210" s="1"/>
      <c r="S210" s="1"/>
      <c r="T210" s="1"/>
      <c r="U210" s="1"/>
      <c r="V210" s="1"/>
      <c r="W210" s="1"/>
      <c r="X210" s="1"/>
      <c r="Y210" s="1"/>
      <c r="Z210" s="1"/>
      <c r="AA210" s="1"/>
      <c r="AB210" s="1"/>
      <c r="AC210" s="1"/>
      <c r="AD210" s="1"/>
      <c r="AE210" s="1"/>
      <c r="AF210" s="1"/>
      <c r="AG210" s="1"/>
    </row>
    <row r="211" spans="5:33">
      <c r="E211" s="5"/>
      <c r="G211" s="5"/>
      <c r="J211" s="5"/>
      <c r="K211" s="5"/>
      <c r="N211" s="5"/>
      <c r="Q211" s="5"/>
      <c r="R211" s="1"/>
      <c r="S211" s="1"/>
      <c r="T211" s="1"/>
      <c r="U211" s="1"/>
      <c r="V211" s="1"/>
      <c r="W211" s="1"/>
      <c r="X211" s="1"/>
      <c r="Y211" s="1"/>
      <c r="Z211" s="1"/>
      <c r="AA211" s="1"/>
      <c r="AB211" s="1"/>
      <c r="AC211" s="1"/>
      <c r="AD211" s="1"/>
      <c r="AE211" s="1"/>
      <c r="AF211" s="1"/>
      <c r="AG211" s="1"/>
    </row>
    <row r="212" spans="5:33">
      <c r="E212" s="5"/>
      <c r="G212" s="5"/>
      <c r="J212" s="5"/>
      <c r="K212" s="5"/>
      <c r="N212" s="5"/>
      <c r="Q212" s="5"/>
      <c r="R212" s="1"/>
      <c r="S212" s="1"/>
      <c r="T212" s="1"/>
      <c r="U212" s="1"/>
      <c r="V212" s="1"/>
      <c r="W212" s="1"/>
      <c r="X212" s="1"/>
      <c r="Y212" s="1"/>
      <c r="Z212" s="1"/>
      <c r="AA212" s="1"/>
      <c r="AB212" s="1"/>
      <c r="AC212" s="1"/>
      <c r="AD212" s="1"/>
      <c r="AE212" s="1"/>
      <c r="AF212" s="1"/>
      <c r="AG212" s="1"/>
    </row>
    <row r="213" spans="5:33">
      <c r="E213" s="5"/>
      <c r="G213" s="5"/>
      <c r="J213" s="5"/>
      <c r="K213" s="5"/>
      <c r="N213" s="5"/>
      <c r="Q213" s="5"/>
      <c r="R213" s="1"/>
      <c r="S213" s="1"/>
      <c r="T213" s="1"/>
      <c r="U213" s="1"/>
      <c r="V213" s="1"/>
      <c r="W213" s="1"/>
      <c r="X213" s="1"/>
      <c r="Y213" s="1"/>
      <c r="Z213" s="1"/>
      <c r="AA213" s="1"/>
      <c r="AB213" s="1"/>
      <c r="AC213" s="1"/>
      <c r="AD213" s="1"/>
      <c r="AE213" s="1"/>
      <c r="AF213" s="1"/>
      <c r="AG213" s="1"/>
    </row>
    <row r="214" spans="5:33">
      <c r="E214" s="5"/>
      <c r="G214" s="5"/>
      <c r="J214" s="5"/>
      <c r="K214" s="5"/>
      <c r="N214" s="5"/>
      <c r="Q214" s="5"/>
      <c r="R214" s="1"/>
      <c r="S214" s="1"/>
      <c r="T214" s="1"/>
      <c r="U214" s="1"/>
      <c r="V214" s="1"/>
      <c r="W214" s="1"/>
      <c r="X214" s="1"/>
      <c r="Y214" s="1"/>
      <c r="Z214" s="1"/>
      <c r="AA214" s="1"/>
      <c r="AB214" s="1"/>
      <c r="AC214" s="1"/>
      <c r="AD214" s="1"/>
      <c r="AE214" s="1"/>
      <c r="AF214" s="1"/>
      <c r="AG214" s="1"/>
    </row>
    <row r="215" spans="5:33">
      <c r="E215" s="5"/>
      <c r="G215" s="5"/>
      <c r="J215" s="5"/>
      <c r="K215" s="5"/>
      <c r="N215" s="5"/>
      <c r="Q215" s="5"/>
      <c r="R215" s="1"/>
      <c r="S215" s="1"/>
      <c r="T215" s="1"/>
      <c r="U215" s="1"/>
      <c r="V215" s="1"/>
      <c r="W215" s="1"/>
      <c r="X215" s="1"/>
      <c r="Y215" s="1"/>
      <c r="Z215" s="1"/>
      <c r="AA215" s="1"/>
      <c r="AB215" s="1"/>
      <c r="AC215" s="1"/>
      <c r="AD215" s="1"/>
      <c r="AE215" s="1"/>
      <c r="AF215" s="1"/>
      <c r="AG215" s="1"/>
    </row>
    <row r="216" spans="5:33">
      <c r="E216" s="5"/>
      <c r="G216" s="5"/>
      <c r="J216" s="5"/>
      <c r="K216" s="5"/>
      <c r="N216" s="5"/>
      <c r="Q216" s="5"/>
      <c r="R216" s="1"/>
      <c r="S216" s="1"/>
      <c r="T216" s="1"/>
      <c r="U216" s="1"/>
      <c r="V216" s="1"/>
      <c r="W216" s="1"/>
      <c r="X216" s="1"/>
      <c r="Y216" s="1"/>
      <c r="Z216" s="1"/>
      <c r="AA216" s="1"/>
      <c r="AB216" s="1"/>
      <c r="AC216" s="1"/>
      <c r="AD216" s="1"/>
      <c r="AE216" s="1"/>
      <c r="AF216" s="1"/>
      <c r="AG216" s="1"/>
    </row>
    <row r="217" spans="5:33">
      <c r="E217" s="5"/>
      <c r="G217" s="5"/>
      <c r="J217" s="5"/>
      <c r="K217" s="5"/>
      <c r="N217" s="5"/>
      <c r="Q217" s="5"/>
      <c r="R217" s="1"/>
      <c r="S217" s="1"/>
      <c r="T217" s="1"/>
      <c r="U217" s="1"/>
      <c r="V217" s="1"/>
      <c r="W217" s="1"/>
      <c r="X217" s="1"/>
      <c r="Y217" s="1"/>
      <c r="Z217" s="1"/>
      <c r="AA217" s="1"/>
      <c r="AB217" s="1"/>
      <c r="AC217" s="1"/>
      <c r="AD217" s="1"/>
      <c r="AE217" s="1"/>
      <c r="AF217" s="1"/>
      <c r="AG217" s="1"/>
    </row>
    <row r="218" spans="5:33">
      <c r="E218" s="5"/>
      <c r="G218" s="5"/>
      <c r="J218" s="5"/>
      <c r="K218" s="5"/>
      <c r="N218" s="5"/>
      <c r="Q218" s="5"/>
      <c r="R218" s="1"/>
      <c r="S218" s="1"/>
      <c r="T218" s="1"/>
      <c r="U218" s="1"/>
      <c r="V218" s="1"/>
      <c r="W218" s="1"/>
      <c r="X218" s="1"/>
      <c r="Y218" s="1"/>
      <c r="Z218" s="1"/>
      <c r="AA218" s="1"/>
      <c r="AB218" s="1"/>
      <c r="AC218" s="1"/>
      <c r="AD218" s="1"/>
      <c r="AE218" s="1"/>
      <c r="AF218" s="1"/>
      <c r="AG218" s="1"/>
    </row>
    <row r="219" spans="5:33">
      <c r="E219" s="5"/>
      <c r="G219" s="5"/>
      <c r="J219" s="5"/>
      <c r="K219" s="5"/>
      <c r="N219" s="5"/>
      <c r="Q219" s="5"/>
      <c r="R219" s="1"/>
      <c r="S219" s="1"/>
      <c r="T219" s="1"/>
      <c r="U219" s="1"/>
      <c r="V219" s="1"/>
      <c r="W219" s="1"/>
      <c r="X219" s="1"/>
      <c r="Y219" s="1"/>
      <c r="Z219" s="1"/>
      <c r="AA219" s="1"/>
      <c r="AB219" s="1"/>
      <c r="AC219" s="1"/>
      <c r="AD219" s="1"/>
      <c r="AE219" s="1"/>
      <c r="AF219" s="1"/>
      <c r="AG219" s="1"/>
    </row>
    <row r="220" spans="5:33">
      <c r="E220" s="5"/>
      <c r="G220" s="5"/>
      <c r="J220" s="5"/>
      <c r="K220" s="5"/>
      <c r="N220" s="5"/>
      <c r="Q220" s="5"/>
      <c r="R220" s="1"/>
      <c r="S220" s="1"/>
      <c r="T220" s="1"/>
      <c r="U220" s="1"/>
      <c r="V220" s="1"/>
      <c r="W220" s="1"/>
      <c r="X220" s="1"/>
      <c r="Y220" s="1"/>
      <c r="Z220" s="1"/>
      <c r="AA220" s="1"/>
      <c r="AB220" s="1"/>
      <c r="AC220" s="1"/>
      <c r="AD220" s="1"/>
      <c r="AE220" s="1"/>
      <c r="AF220" s="1"/>
      <c r="AG220" s="1"/>
    </row>
    <row r="221" spans="5:33">
      <c r="E221" s="5"/>
      <c r="G221" s="5"/>
      <c r="J221" s="5"/>
      <c r="K221" s="5"/>
      <c r="N221" s="5"/>
      <c r="Q221" s="5"/>
      <c r="R221" s="1"/>
      <c r="S221" s="1"/>
      <c r="T221" s="1"/>
      <c r="U221" s="1"/>
      <c r="V221" s="1"/>
      <c r="W221" s="1"/>
      <c r="X221" s="1"/>
      <c r="Y221" s="1"/>
      <c r="Z221" s="1"/>
      <c r="AA221" s="1"/>
      <c r="AB221" s="1"/>
      <c r="AC221" s="1"/>
      <c r="AD221" s="1"/>
      <c r="AE221" s="1"/>
      <c r="AF221" s="1"/>
      <c r="AG221" s="1"/>
    </row>
    <row r="222" spans="5:33">
      <c r="E222" s="5"/>
      <c r="G222" s="5"/>
      <c r="J222" s="5"/>
      <c r="K222" s="5"/>
      <c r="N222" s="5"/>
      <c r="Q222" s="5"/>
      <c r="R222" s="1"/>
      <c r="S222" s="1"/>
      <c r="T222" s="1"/>
      <c r="U222" s="1"/>
      <c r="V222" s="1"/>
      <c r="W222" s="1"/>
      <c r="X222" s="1"/>
      <c r="Y222" s="1"/>
      <c r="Z222" s="1"/>
      <c r="AA222" s="1"/>
      <c r="AB222" s="1"/>
      <c r="AC222" s="1"/>
      <c r="AD222" s="1"/>
      <c r="AE222" s="1"/>
      <c r="AF222" s="1"/>
      <c r="AG222" s="1"/>
    </row>
    <row r="223" spans="5:33">
      <c r="E223" s="5"/>
      <c r="G223" s="5"/>
      <c r="J223" s="5"/>
      <c r="K223" s="5"/>
      <c r="N223" s="5"/>
      <c r="Q223" s="5"/>
      <c r="R223" s="1"/>
      <c r="S223" s="1"/>
      <c r="T223" s="1"/>
      <c r="U223" s="1"/>
      <c r="V223" s="1"/>
      <c r="W223" s="1"/>
      <c r="X223" s="1"/>
      <c r="Y223" s="1"/>
      <c r="Z223" s="1"/>
      <c r="AA223" s="1"/>
      <c r="AB223" s="1"/>
      <c r="AC223" s="1"/>
      <c r="AD223" s="1"/>
      <c r="AE223" s="1"/>
      <c r="AF223" s="1"/>
      <c r="AG223" s="1"/>
    </row>
    <row r="224" spans="5:33">
      <c r="E224" s="5"/>
      <c r="G224" s="5"/>
      <c r="J224" s="5"/>
      <c r="K224" s="5"/>
      <c r="N224" s="5"/>
      <c r="Q224" s="5"/>
      <c r="R224" s="1"/>
      <c r="S224" s="1"/>
      <c r="T224" s="1"/>
      <c r="U224" s="1"/>
      <c r="V224" s="1"/>
      <c r="W224" s="1"/>
      <c r="X224" s="1"/>
      <c r="Y224" s="1"/>
      <c r="Z224" s="1"/>
      <c r="AA224" s="1"/>
      <c r="AB224" s="1"/>
      <c r="AC224" s="1"/>
      <c r="AD224" s="1"/>
      <c r="AE224" s="1"/>
      <c r="AF224" s="1"/>
      <c r="AG224" s="1"/>
    </row>
    <row r="225" spans="5:33">
      <c r="E225" s="5"/>
      <c r="G225" s="5"/>
      <c r="J225" s="5"/>
      <c r="K225" s="5"/>
      <c r="N225" s="5"/>
      <c r="Q225" s="5"/>
      <c r="R225" s="1"/>
      <c r="S225" s="1"/>
      <c r="T225" s="1"/>
      <c r="U225" s="1"/>
      <c r="V225" s="1"/>
      <c r="W225" s="1"/>
      <c r="X225" s="1"/>
      <c r="Y225" s="1"/>
      <c r="Z225" s="1"/>
      <c r="AA225" s="1"/>
      <c r="AB225" s="1"/>
      <c r="AC225" s="1"/>
      <c r="AD225" s="1"/>
      <c r="AE225" s="1"/>
      <c r="AF225" s="1"/>
      <c r="AG225" s="1"/>
    </row>
    <row r="226" spans="5:33">
      <c r="E226" s="5"/>
      <c r="G226" s="5"/>
      <c r="J226" s="5"/>
      <c r="K226" s="5"/>
      <c r="N226" s="5"/>
      <c r="Q226" s="5"/>
      <c r="R226" s="1"/>
      <c r="S226" s="1"/>
      <c r="T226" s="1"/>
      <c r="U226" s="1"/>
      <c r="V226" s="1"/>
      <c r="W226" s="1"/>
      <c r="X226" s="1"/>
      <c r="Y226" s="1"/>
      <c r="Z226" s="1"/>
      <c r="AA226" s="1"/>
      <c r="AB226" s="1"/>
      <c r="AC226" s="1"/>
      <c r="AD226" s="1"/>
      <c r="AE226" s="1"/>
      <c r="AF226" s="1"/>
      <c r="AG226" s="1"/>
    </row>
    <row r="227" spans="5:33">
      <c r="E227" s="5"/>
      <c r="G227" s="5"/>
      <c r="J227" s="5"/>
      <c r="K227" s="5"/>
      <c r="N227" s="5"/>
      <c r="Q227" s="5"/>
      <c r="R227" s="1"/>
      <c r="S227" s="1"/>
      <c r="T227" s="1"/>
      <c r="U227" s="1"/>
      <c r="V227" s="1"/>
      <c r="W227" s="1"/>
      <c r="X227" s="1"/>
      <c r="Y227" s="1"/>
      <c r="Z227" s="1"/>
      <c r="AA227" s="1"/>
      <c r="AB227" s="1"/>
      <c r="AC227" s="1"/>
      <c r="AD227" s="1"/>
      <c r="AE227" s="1"/>
      <c r="AF227" s="1"/>
      <c r="AG227" s="1"/>
    </row>
    <row r="228" spans="5:33">
      <c r="E228" s="5"/>
      <c r="G228" s="5"/>
      <c r="J228" s="5"/>
      <c r="K228" s="5"/>
      <c r="N228" s="5"/>
      <c r="Q228" s="5"/>
      <c r="R228" s="1"/>
      <c r="S228" s="1"/>
      <c r="T228" s="1"/>
      <c r="U228" s="1"/>
      <c r="V228" s="1"/>
      <c r="W228" s="1"/>
      <c r="X228" s="1"/>
      <c r="Y228" s="1"/>
      <c r="Z228" s="1"/>
      <c r="AA228" s="1"/>
      <c r="AB228" s="1"/>
      <c r="AC228" s="1"/>
      <c r="AD228" s="1"/>
      <c r="AE228" s="1"/>
      <c r="AF228" s="1"/>
      <c r="AG228" s="1"/>
    </row>
    <row r="229" spans="5:33">
      <c r="E229" s="5"/>
      <c r="G229" s="5"/>
      <c r="J229" s="5"/>
      <c r="K229" s="5"/>
      <c r="N229" s="5"/>
      <c r="Q229" s="5"/>
      <c r="R229" s="1"/>
      <c r="S229" s="1"/>
      <c r="T229" s="1"/>
      <c r="U229" s="1"/>
      <c r="V229" s="1"/>
      <c r="W229" s="1"/>
      <c r="X229" s="1"/>
      <c r="Y229" s="1"/>
      <c r="Z229" s="1"/>
      <c r="AA229" s="1"/>
      <c r="AB229" s="1"/>
      <c r="AC229" s="1"/>
      <c r="AD229" s="1"/>
      <c r="AE229" s="1"/>
      <c r="AF229" s="1"/>
      <c r="AG229" s="1"/>
    </row>
    <row r="230" spans="5:33">
      <c r="E230" s="5"/>
      <c r="G230" s="5"/>
      <c r="J230" s="5"/>
      <c r="K230" s="5"/>
      <c r="N230" s="5"/>
      <c r="Q230" s="5"/>
      <c r="R230" s="1"/>
      <c r="S230" s="1"/>
      <c r="T230" s="1"/>
      <c r="U230" s="1"/>
      <c r="V230" s="1"/>
      <c r="W230" s="1"/>
      <c r="X230" s="1"/>
      <c r="Y230" s="1"/>
      <c r="Z230" s="1"/>
      <c r="AA230" s="1"/>
      <c r="AB230" s="1"/>
      <c r="AC230" s="1"/>
      <c r="AD230" s="1"/>
      <c r="AE230" s="1"/>
      <c r="AF230" s="1"/>
      <c r="AG230" s="1"/>
    </row>
    <row r="231" spans="5:33">
      <c r="E231" s="5"/>
      <c r="G231" s="5"/>
      <c r="J231" s="5"/>
      <c r="K231" s="5"/>
      <c r="N231" s="5"/>
      <c r="Q231" s="5"/>
      <c r="R231" s="1"/>
      <c r="S231" s="1"/>
      <c r="T231" s="1"/>
      <c r="U231" s="1"/>
      <c r="V231" s="1"/>
      <c r="W231" s="1"/>
      <c r="X231" s="1"/>
      <c r="Y231" s="1"/>
      <c r="Z231" s="1"/>
      <c r="AA231" s="1"/>
      <c r="AB231" s="1"/>
      <c r="AC231" s="1"/>
      <c r="AD231" s="1"/>
      <c r="AE231" s="1"/>
      <c r="AF231" s="1"/>
      <c r="AG231" s="1"/>
    </row>
    <row r="232" spans="5:33">
      <c r="E232" s="5"/>
      <c r="G232" s="5"/>
      <c r="J232" s="5"/>
      <c r="K232" s="5"/>
      <c r="N232" s="5"/>
      <c r="Q232" s="5"/>
      <c r="R232" s="1"/>
      <c r="S232" s="1"/>
      <c r="T232" s="1"/>
      <c r="U232" s="1"/>
      <c r="V232" s="1"/>
      <c r="W232" s="1"/>
      <c r="X232" s="1"/>
      <c r="Y232" s="1"/>
      <c r="Z232" s="1"/>
      <c r="AA232" s="1"/>
      <c r="AB232" s="1"/>
      <c r="AC232" s="1"/>
      <c r="AD232" s="1"/>
      <c r="AE232" s="1"/>
      <c r="AF232" s="1"/>
      <c r="AG232" s="1"/>
    </row>
    <row r="233" spans="5:33">
      <c r="E233" s="5"/>
      <c r="G233" s="5"/>
      <c r="J233" s="5"/>
      <c r="K233" s="5"/>
      <c r="N233" s="5"/>
      <c r="Q233" s="5"/>
      <c r="R233" s="1"/>
      <c r="S233" s="1"/>
      <c r="T233" s="1"/>
      <c r="U233" s="1"/>
      <c r="V233" s="1"/>
      <c r="W233" s="1"/>
      <c r="X233" s="1"/>
      <c r="Y233" s="1"/>
      <c r="Z233" s="1"/>
      <c r="AA233" s="1"/>
      <c r="AB233" s="1"/>
      <c r="AC233" s="1"/>
      <c r="AD233" s="1"/>
      <c r="AE233" s="1"/>
      <c r="AF233" s="1"/>
      <c r="AG233" s="1"/>
    </row>
    <row r="234" spans="5:33">
      <c r="E234" s="5"/>
      <c r="G234" s="5"/>
      <c r="J234" s="5"/>
      <c r="K234" s="5"/>
      <c r="N234" s="5"/>
      <c r="Q234" s="5"/>
      <c r="R234" s="1"/>
      <c r="S234" s="1"/>
      <c r="T234" s="1"/>
      <c r="U234" s="1"/>
      <c r="V234" s="1"/>
      <c r="W234" s="1"/>
      <c r="X234" s="1"/>
      <c r="Y234" s="1"/>
      <c r="Z234" s="1"/>
      <c r="AA234" s="1"/>
      <c r="AB234" s="1"/>
      <c r="AC234" s="1"/>
      <c r="AD234" s="1"/>
      <c r="AE234" s="1"/>
      <c r="AF234" s="1"/>
      <c r="AG234" s="1"/>
    </row>
    <row r="235" spans="5:33">
      <c r="E235" s="5"/>
      <c r="G235" s="5"/>
      <c r="J235" s="5"/>
      <c r="K235" s="5"/>
      <c r="N235" s="5"/>
      <c r="Q235" s="5"/>
      <c r="R235" s="1"/>
      <c r="S235" s="1"/>
      <c r="T235" s="1"/>
      <c r="U235" s="1"/>
      <c r="V235" s="1"/>
      <c r="W235" s="1"/>
      <c r="X235" s="1"/>
      <c r="Y235" s="1"/>
      <c r="Z235" s="1"/>
      <c r="AA235" s="1"/>
      <c r="AB235" s="1"/>
      <c r="AC235" s="1"/>
      <c r="AD235" s="1"/>
      <c r="AE235" s="1"/>
      <c r="AF235" s="1"/>
      <c r="AG235" s="1"/>
    </row>
    <row r="236" spans="5:33">
      <c r="E236" s="5"/>
      <c r="G236" s="5"/>
      <c r="J236" s="5"/>
      <c r="K236" s="5"/>
      <c r="N236" s="5"/>
      <c r="Q236" s="5"/>
      <c r="R236" s="1"/>
      <c r="S236" s="1"/>
      <c r="T236" s="1"/>
      <c r="U236" s="1"/>
      <c r="V236" s="1"/>
      <c r="W236" s="1"/>
      <c r="X236" s="1"/>
      <c r="Y236" s="1"/>
      <c r="Z236" s="1"/>
      <c r="AA236" s="1"/>
      <c r="AB236" s="1"/>
      <c r="AC236" s="1"/>
      <c r="AD236" s="1"/>
      <c r="AE236" s="1"/>
      <c r="AF236" s="1"/>
      <c r="AG236" s="1"/>
    </row>
    <row r="237" spans="5:33">
      <c r="E237" s="5"/>
      <c r="G237" s="5"/>
      <c r="J237" s="5"/>
      <c r="K237" s="5"/>
      <c r="N237" s="5"/>
      <c r="Q237" s="5"/>
      <c r="R237" s="1"/>
      <c r="S237" s="1"/>
      <c r="T237" s="1"/>
      <c r="U237" s="1"/>
      <c r="V237" s="1"/>
      <c r="W237" s="1"/>
      <c r="X237" s="1"/>
      <c r="Y237" s="1"/>
      <c r="Z237" s="1"/>
      <c r="AA237" s="1"/>
      <c r="AB237" s="1"/>
      <c r="AC237" s="1"/>
      <c r="AD237" s="1"/>
      <c r="AE237" s="1"/>
      <c r="AF237" s="1"/>
      <c r="AG237" s="1"/>
    </row>
    <row r="238" spans="5:33">
      <c r="E238" s="5"/>
      <c r="G238" s="5"/>
      <c r="J238" s="5"/>
      <c r="K238" s="5"/>
      <c r="N238" s="5"/>
      <c r="Q238" s="5"/>
      <c r="R238" s="1"/>
      <c r="S238" s="1"/>
      <c r="T238" s="1"/>
      <c r="U238" s="1"/>
      <c r="V238" s="1"/>
      <c r="W238" s="1"/>
      <c r="X238" s="1"/>
      <c r="Y238" s="1"/>
      <c r="Z238" s="1"/>
      <c r="AA238" s="1"/>
      <c r="AB238" s="1"/>
      <c r="AC238" s="1"/>
      <c r="AD238" s="1"/>
      <c r="AE238" s="1"/>
      <c r="AF238" s="1"/>
      <c r="AG238" s="1"/>
    </row>
    <row r="239" spans="5:33">
      <c r="E239" s="5"/>
      <c r="G239" s="5"/>
      <c r="J239" s="5"/>
      <c r="K239" s="5"/>
      <c r="N239" s="5"/>
      <c r="Q239" s="5"/>
      <c r="R239" s="1"/>
      <c r="S239" s="1"/>
      <c r="T239" s="1"/>
      <c r="U239" s="1"/>
      <c r="V239" s="1"/>
      <c r="W239" s="1"/>
      <c r="X239" s="1"/>
      <c r="Y239" s="1"/>
      <c r="Z239" s="1"/>
      <c r="AA239" s="1"/>
      <c r="AB239" s="1"/>
      <c r="AC239" s="1"/>
      <c r="AD239" s="1"/>
      <c r="AE239" s="1"/>
      <c r="AF239" s="1"/>
      <c r="AG239" s="1"/>
    </row>
    <row r="240" spans="5:33">
      <c r="E240" s="5"/>
      <c r="G240" s="5"/>
      <c r="J240" s="5"/>
      <c r="K240" s="5"/>
      <c r="N240" s="5"/>
      <c r="Q240" s="5"/>
      <c r="R240" s="1"/>
      <c r="S240" s="1"/>
      <c r="T240" s="1"/>
      <c r="U240" s="1"/>
      <c r="V240" s="1"/>
      <c r="W240" s="1"/>
      <c r="X240" s="1"/>
      <c r="Y240" s="1"/>
      <c r="Z240" s="1"/>
      <c r="AA240" s="1"/>
      <c r="AB240" s="1"/>
      <c r="AC240" s="1"/>
      <c r="AD240" s="1"/>
      <c r="AE240" s="1"/>
      <c r="AF240" s="1"/>
      <c r="AG240" s="1"/>
    </row>
    <row r="241" spans="5:33">
      <c r="E241" s="5"/>
      <c r="G241" s="5"/>
      <c r="J241" s="5"/>
      <c r="K241" s="5"/>
      <c r="N241" s="5"/>
      <c r="Q241" s="5"/>
      <c r="R241" s="1"/>
      <c r="S241" s="1"/>
      <c r="T241" s="1"/>
      <c r="U241" s="1"/>
      <c r="V241" s="1"/>
      <c r="W241" s="1"/>
      <c r="X241" s="1"/>
      <c r="Y241" s="1"/>
      <c r="Z241" s="1"/>
      <c r="AA241" s="1"/>
      <c r="AB241" s="1"/>
      <c r="AC241" s="1"/>
      <c r="AD241" s="1"/>
      <c r="AE241" s="1"/>
      <c r="AF241" s="1"/>
      <c r="AG241" s="1"/>
    </row>
    <row r="242" spans="5:33">
      <c r="E242" s="5"/>
      <c r="G242" s="5"/>
      <c r="J242" s="5"/>
      <c r="K242" s="5"/>
      <c r="N242" s="5"/>
      <c r="Q242" s="5"/>
      <c r="R242" s="1"/>
      <c r="S242" s="1"/>
      <c r="T242" s="1"/>
      <c r="U242" s="1"/>
      <c r="V242" s="1"/>
      <c r="W242" s="1"/>
      <c r="X242" s="1"/>
      <c r="Y242" s="1"/>
      <c r="Z242" s="1"/>
      <c r="AA242" s="1"/>
      <c r="AB242" s="1"/>
      <c r="AC242" s="1"/>
      <c r="AD242" s="1"/>
      <c r="AE242" s="1"/>
      <c r="AF242" s="1"/>
      <c r="AG242" s="1"/>
    </row>
    <row r="243" spans="5:33">
      <c r="E243" s="5"/>
      <c r="G243" s="5"/>
      <c r="J243" s="5"/>
      <c r="K243" s="5"/>
      <c r="N243" s="5"/>
      <c r="Q243" s="5"/>
      <c r="R243" s="1"/>
      <c r="S243" s="1"/>
      <c r="T243" s="1"/>
      <c r="U243" s="1"/>
      <c r="V243" s="1"/>
      <c r="W243" s="1"/>
      <c r="X243" s="1"/>
      <c r="Y243" s="1"/>
      <c r="Z243" s="1"/>
      <c r="AA243" s="1"/>
      <c r="AB243" s="1"/>
      <c r="AC243" s="1"/>
      <c r="AD243" s="1"/>
      <c r="AE243" s="1"/>
      <c r="AF243" s="1"/>
      <c r="AG243" s="1"/>
    </row>
    <row r="244" spans="5:33">
      <c r="E244" s="5"/>
      <c r="G244" s="5"/>
      <c r="J244" s="5"/>
      <c r="K244" s="5"/>
      <c r="N244" s="5"/>
      <c r="Q244" s="5"/>
      <c r="R244" s="1"/>
      <c r="S244" s="1"/>
      <c r="T244" s="1"/>
      <c r="U244" s="1"/>
      <c r="V244" s="1"/>
      <c r="W244" s="1"/>
      <c r="X244" s="1"/>
      <c r="Y244" s="1"/>
      <c r="Z244" s="1"/>
      <c r="AA244" s="1"/>
      <c r="AB244" s="1"/>
      <c r="AC244" s="1"/>
      <c r="AD244" s="1"/>
      <c r="AE244" s="1"/>
      <c r="AF244" s="1"/>
      <c r="AG244" s="1"/>
    </row>
    <row r="245" spans="5:33">
      <c r="E245" s="5"/>
      <c r="G245" s="5"/>
      <c r="J245" s="5"/>
      <c r="K245" s="5"/>
      <c r="N245" s="5"/>
      <c r="Q245" s="5"/>
      <c r="R245" s="1"/>
      <c r="S245" s="1"/>
      <c r="T245" s="1"/>
      <c r="U245" s="1"/>
      <c r="V245" s="1"/>
      <c r="W245" s="1"/>
      <c r="X245" s="1"/>
      <c r="Y245" s="1"/>
      <c r="Z245" s="1"/>
      <c r="AA245" s="1"/>
      <c r="AB245" s="1"/>
      <c r="AC245" s="1"/>
      <c r="AD245" s="1"/>
      <c r="AE245" s="1"/>
      <c r="AF245" s="1"/>
      <c r="AG245" s="1"/>
    </row>
    <row r="246" spans="5:33">
      <c r="E246" s="5"/>
      <c r="G246" s="5"/>
      <c r="J246" s="5"/>
      <c r="K246" s="5"/>
      <c r="N246" s="5"/>
      <c r="Q246" s="5"/>
      <c r="R246" s="1"/>
      <c r="S246" s="1"/>
      <c r="T246" s="1"/>
      <c r="U246" s="1"/>
      <c r="V246" s="1"/>
      <c r="W246" s="1"/>
      <c r="X246" s="1"/>
      <c r="Y246" s="1"/>
      <c r="Z246" s="1"/>
      <c r="AA246" s="1"/>
      <c r="AB246" s="1"/>
      <c r="AC246" s="1"/>
      <c r="AD246" s="1"/>
      <c r="AE246" s="1"/>
      <c r="AF246" s="1"/>
      <c r="AG246" s="1"/>
    </row>
    <row r="247" spans="5:33">
      <c r="E247" s="5"/>
      <c r="G247" s="5"/>
      <c r="J247" s="5"/>
      <c r="K247" s="5"/>
      <c r="N247" s="5"/>
      <c r="Q247" s="5"/>
      <c r="R247" s="1"/>
      <c r="S247" s="1"/>
      <c r="T247" s="1"/>
      <c r="U247" s="1"/>
      <c r="V247" s="1"/>
      <c r="W247" s="1"/>
      <c r="X247" s="1"/>
      <c r="Y247" s="1"/>
      <c r="Z247" s="1"/>
      <c r="AA247" s="1"/>
      <c r="AB247" s="1"/>
      <c r="AC247" s="1"/>
      <c r="AD247" s="1"/>
      <c r="AE247" s="1"/>
      <c r="AF247" s="1"/>
      <c r="AG247" s="1"/>
    </row>
    <row r="248" spans="5:33">
      <c r="E248" s="5"/>
      <c r="G248" s="5"/>
      <c r="J248" s="5"/>
      <c r="K248" s="5"/>
      <c r="N248" s="5"/>
      <c r="Q248" s="5"/>
      <c r="R248" s="1"/>
      <c r="S248" s="1"/>
      <c r="T248" s="1"/>
      <c r="U248" s="1"/>
      <c r="V248" s="1"/>
      <c r="W248" s="1"/>
      <c r="X248" s="1"/>
      <c r="Y248" s="1"/>
      <c r="Z248" s="1"/>
      <c r="AA248" s="1"/>
      <c r="AB248" s="1"/>
      <c r="AC248" s="1"/>
      <c r="AD248" s="1"/>
      <c r="AE248" s="1"/>
      <c r="AF248" s="1"/>
      <c r="AG248" s="1"/>
    </row>
    <row r="249" spans="5:33">
      <c r="E249" s="5"/>
      <c r="G249" s="5"/>
      <c r="J249" s="5"/>
      <c r="K249" s="5"/>
      <c r="N249" s="5"/>
      <c r="Q249" s="5"/>
      <c r="R249" s="1"/>
      <c r="S249" s="1"/>
      <c r="T249" s="1"/>
      <c r="U249" s="1"/>
      <c r="V249" s="1"/>
      <c r="W249" s="1"/>
      <c r="X249" s="1"/>
      <c r="Y249" s="1"/>
      <c r="Z249" s="1"/>
      <c r="AA249" s="1"/>
      <c r="AB249" s="1"/>
      <c r="AC249" s="1"/>
      <c r="AD249" s="1"/>
      <c r="AE249" s="1"/>
      <c r="AF249" s="1"/>
      <c r="AG249" s="1"/>
    </row>
    <row r="250" spans="5:33">
      <c r="E250" s="5"/>
      <c r="G250" s="5"/>
      <c r="J250" s="5"/>
      <c r="K250" s="5"/>
      <c r="N250" s="5"/>
      <c r="Q250" s="5"/>
      <c r="R250" s="1"/>
      <c r="S250" s="1"/>
      <c r="T250" s="1"/>
      <c r="U250" s="1"/>
      <c r="V250" s="1"/>
      <c r="W250" s="1"/>
      <c r="X250" s="1"/>
      <c r="Y250" s="1"/>
      <c r="Z250" s="1"/>
      <c r="AA250" s="1"/>
      <c r="AB250" s="1"/>
      <c r="AC250" s="1"/>
      <c r="AD250" s="1"/>
      <c r="AE250" s="1"/>
      <c r="AF250" s="1"/>
      <c r="AG250" s="1"/>
    </row>
    <row r="251" spans="5:33">
      <c r="E251" s="5"/>
      <c r="G251" s="5"/>
      <c r="J251" s="5"/>
      <c r="K251" s="5"/>
      <c r="N251" s="5"/>
      <c r="Q251" s="5"/>
      <c r="R251" s="1"/>
      <c r="S251" s="1"/>
      <c r="T251" s="1"/>
      <c r="U251" s="1"/>
      <c r="V251" s="1"/>
      <c r="W251" s="1"/>
      <c r="X251" s="1"/>
      <c r="Y251" s="1"/>
      <c r="Z251" s="1"/>
      <c r="AA251" s="1"/>
      <c r="AB251" s="1"/>
      <c r="AC251" s="1"/>
      <c r="AD251" s="1"/>
      <c r="AE251" s="1"/>
      <c r="AF251" s="1"/>
      <c r="AG251" s="1"/>
    </row>
    <row r="252" spans="5:33">
      <c r="E252" s="5"/>
      <c r="G252" s="5"/>
      <c r="J252" s="5"/>
      <c r="K252" s="5"/>
      <c r="N252" s="5"/>
      <c r="Q252" s="5"/>
      <c r="R252" s="1"/>
      <c r="S252" s="1"/>
      <c r="T252" s="1"/>
      <c r="U252" s="1"/>
      <c r="V252" s="1"/>
      <c r="W252" s="1"/>
      <c r="X252" s="1"/>
      <c r="Y252" s="1"/>
      <c r="Z252" s="1"/>
      <c r="AA252" s="1"/>
      <c r="AB252" s="1"/>
      <c r="AC252" s="1"/>
      <c r="AD252" s="1"/>
      <c r="AE252" s="1"/>
      <c r="AF252" s="1"/>
      <c r="AG252" s="1"/>
    </row>
    <row r="253" spans="5:33">
      <c r="E253" s="5"/>
      <c r="G253" s="5"/>
      <c r="J253" s="5"/>
      <c r="K253" s="5"/>
      <c r="N253" s="5"/>
      <c r="Q253" s="5"/>
      <c r="R253" s="1"/>
      <c r="S253" s="1"/>
      <c r="T253" s="1"/>
      <c r="U253" s="1"/>
      <c r="V253" s="1"/>
      <c r="W253" s="1"/>
      <c r="X253" s="1"/>
      <c r="Y253" s="1"/>
      <c r="Z253" s="1"/>
      <c r="AA253" s="1"/>
      <c r="AB253" s="1"/>
      <c r="AC253" s="1"/>
      <c r="AD253" s="1"/>
      <c r="AE253" s="1"/>
      <c r="AF253" s="1"/>
      <c r="AG253" s="1"/>
    </row>
    <row r="254" spans="5:33">
      <c r="E254" s="5"/>
      <c r="G254" s="5"/>
      <c r="J254" s="5"/>
      <c r="K254" s="5"/>
      <c r="N254" s="5"/>
      <c r="Q254" s="5"/>
      <c r="R254" s="1"/>
      <c r="S254" s="1"/>
      <c r="T254" s="1"/>
      <c r="U254" s="1"/>
      <c r="V254" s="1"/>
      <c r="W254" s="1"/>
      <c r="X254" s="1"/>
      <c r="Y254" s="1"/>
      <c r="Z254" s="1"/>
      <c r="AA254" s="1"/>
      <c r="AB254" s="1"/>
      <c r="AC254" s="1"/>
      <c r="AD254" s="1"/>
      <c r="AE254" s="1"/>
      <c r="AF254" s="1"/>
      <c r="AG254" s="1"/>
    </row>
    <row r="255" spans="5:33">
      <c r="E255" s="5"/>
      <c r="G255" s="5"/>
      <c r="J255" s="5"/>
      <c r="K255" s="5"/>
      <c r="N255" s="5"/>
      <c r="Q255" s="5"/>
      <c r="R255" s="1"/>
      <c r="S255" s="1"/>
      <c r="T255" s="1"/>
      <c r="U255" s="1"/>
      <c r="V255" s="1"/>
      <c r="W255" s="1"/>
      <c r="X255" s="1"/>
      <c r="Y255" s="1"/>
      <c r="Z255" s="1"/>
      <c r="AA255" s="1"/>
      <c r="AB255" s="1"/>
      <c r="AC255" s="1"/>
      <c r="AD255" s="1"/>
      <c r="AE255" s="1"/>
      <c r="AF255" s="1"/>
      <c r="AG255" s="1"/>
    </row>
    <row r="256" spans="5:33">
      <c r="E256" s="5"/>
      <c r="G256" s="5"/>
      <c r="J256" s="5"/>
      <c r="K256" s="5"/>
      <c r="N256" s="5"/>
      <c r="Q256" s="5"/>
      <c r="R256" s="1"/>
      <c r="S256" s="1"/>
      <c r="T256" s="1"/>
      <c r="U256" s="1"/>
      <c r="V256" s="1"/>
      <c r="W256" s="1"/>
      <c r="X256" s="1"/>
      <c r="Y256" s="1"/>
      <c r="Z256" s="1"/>
      <c r="AA256" s="1"/>
      <c r="AB256" s="1"/>
      <c r="AC256" s="1"/>
      <c r="AD256" s="1"/>
      <c r="AE256" s="1"/>
      <c r="AF256" s="1"/>
      <c r="AG256" s="1"/>
    </row>
    <row r="257" spans="5:33">
      <c r="E257" s="5"/>
      <c r="G257" s="5"/>
      <c r="J257" s="5"/>
      <c r="K257" s="5"/>
      <c r="N257" s="5"/>
      <c r="Q257" s="5"/>
      <c r="R257" s="1"/>
      <c r="S257" s="1"/>
      <c r="T257" s="1"/>
      <c r="U257" s="1"/>
      <c r="V257" s="1"/>
      <c r="W257" s="1"/>
      <c r="X257" s="1"/>
      <c r="Y257" s="1"/>
      <c r="Z257" s="1"/>
      <c r="AA257" s="1"/>
      <c r="AB257" s="1"/>
      <c r="AC257" s="1"/>
      <c r="AD257" s="1"/>
      <c r="AE257" s="1"/>
      <c r="AF257" s="1"/>
      <c r="AG257" s="1"/>
    </row>
    <row r="258" spans="5:33">
      <c r="E258" s="5"/>
      <c r="G258" s="5"/>
      <c r="J258" s="5"/>
      <c r="K258" s="5"/>
      <c r="N258" s="5"/>
      <c r="Q258" s="5"/>
      <c r="R258" s="1"/>
      <c r="S258" s="1"/>
      <c r="T258" s="1"/>
      <c r="U258" s="1"/>
      <c r="V258" s="1"/>
      <c r="W258" s="1"/>
      <c r="X258" s="1"/>
      <c r="Y258" s="1"/>
      <c r="Z258" s="1"/>
      <c r="AA258" s="1"/>
      <c r="AB258" s="1"/>
      <c r="AC258" s="1"/>
      <c r="AD258" s="1"/>
      <c r="AE258" s="1"/>
      <c r="AF258" s="1"/>
      <c r="AG258" s="1"/>
    </row>
    <row r="259" spans="5:33">
      <c r="E259" s="5"/>
      <c r="G259" s="5"/>
      <c r="J259" s="5"/>
      <c r="K259" s="5"/>
      <c r="N259" s="5"/>
      <c r="Q259" s="5"/>
      <c r="R259" s="1"/>
      <c r="S259" s="1"/>
      <c r="T259" s="1"/>
      <c r="U259" s="1"/>
      <c r="V259" s="1"/>
      <c r="W259" s="1"/>
      <c r="X259" s="1"/>
      <c r="Y259" s="1"/>
      <c r="Z259" s="1"/>
      <c r="AA259" s="1"/>
      <c r="AB259" s="1"/>
      <c r="AC259" s="1"/>
      <c r="AD259" s="1"/>
      <c r="AE259" s="1"/>
      <c r="AF259" s="1"/>
      <c r="AG259" s="1"/>
    </row>
    <row r="260" spans="5:33">
      <c r="E260" s="5"/>
      <c r="G260" s="5"/>
      <c r="J260" s="5"/>
      <c r="K260" s="5"/>
      <c r="N260" s="5"/>
      <c r="Q260" s="5"/>
      <c r="R260" s="1"/>
      <c r="S260" s="1"/>
      <c r="T260" s="1"/>
      <c r="U260" s="1"/>
      <c r="V260" s="1"/>
      <c r="W260" s="1"/>
      <c r="X260" s="1"/>
      <c r="Y260" s="1"/>
      <c r="Z260" s="1"/>
      <c r="AA260" s="1"/>
      <c r="AB260" s="1"/>
      <c r="AC260" s="1"/>
      <c r="AD260" s="1"/>
      <c r="AE260" s="1"/>
      <c r="AF260" s="1"/>
      <c r="AG260" s="1"/>
    </row>
    <row r="261" spans="5:33">
      <c r="E261" s="5"/>
      <c r="G261" s="5"/>
      <c r="J261" s="5"/>
      <c r="K261" s="5"/>
      <c r="N261" s="5"/>
      <c r="Q261" s="5"/>
      <c r="R261" s="1"/>
      <c r="S261" s="1"/>
      <c r="T261" s="1"/>
      <c r="U261" s="1"/>
      <c r="V261" s="1"/>
      <c r="W261" s="1"/>
      <c r="X261" s="1"/>
      <c r="Y261" s="1"/>
      <c r="Z261" s="1"/>
      <c r="AA261" s="1"/>
      <c r="AB261" s="1"/>
      <c r="AC261" s="1"/>
      <c r="AD261" s="1"/>
      <c r="AE261" s="1"/>
      <c r="AF261" s="1"/>
      <c r="AG261" s="1"/>
    </row>
    <row r="262" spans="5:33">
      <c r="E262" s="5"/>
      <c r="G262" s="5"/>
      <c r="J262" s="5"/>
      <c r="K262" s="5"/>
      <c r="N262" s="5"/>
      <c r="Q262" s="5"/>
      <c r="R262" s="1"/>
      <c r="S262" s="1"/>
      <c r="T262" s="1"/>
      <c r="U262" s="1"/>
      <c r="V262" s="1"/>
      <c r="W262" s="1"/>
      <c r="X262" s="1"/>
      <c r="Y262" s="1"/>
      <c r="Z262" s="1"/>
      <c r="AA262" s="1"/>
      <c r="AB262" s="1"/>
      <c r="AC262" s="1"/>
      <c r="AD262" s="1"/>
      <c r="AE262" s="1"/>
      <c r="AF262" s="1"/>
      <c r="AG262" s="1"/>
    </row>
    <row r="263" spans="5:33">
      <c r="E263" s="5"/>
      <c r="G263" s="5"/>
      <c r="J263" s="5"/>
      <c r="K263" s="5"/>
      <c r="N263" s="5"/>
      <c r="Q263" s="5"/>
      <c r="R263" s="1"/>
      <c r="S263" s="1"/>
      <c r="T263" s="1"/>
      <c r="U263" s="1"/>
      <c r="V263" s="1"/>
      <c r="W263" s="1"/>
      <c r="X263" s="1"/>
      <c r="Y263" s="1"/>
      <c r="Z263" s="1"/>
      <c r="AA263" s="1"/>
      <c r="AB263" s="1"/>
      <c r="AC263" s="1"/>
      <c r="AD263" s="1"/>
      <c r="AE263" s="1"/>
      <c r="AF263" s="1"/>
      <c r="AG263" s="1"/>
    </row>
    <row r="264" spans="5:33">
      <c r="E264" s="5"/>
      <c r="G264" s="5"/>
      <c r="J264" s="5"/>
      <c r="K264" s="5"/>
      <c r="N264" s="5"/>
      <c r="Q264" s="5"/>
      <c r="R264" s="1"/>
      <c r="S264" s="1"/>
      <c r="T264" s="1"/>
      <c r="U264" s="1"/>
      <c r="V264" s="1"/>
      <c r="W264" s="1"/>
      <c r="X264" s="1"/>
      <c r="Y264" s="1"/>
      <c r="Z264" s="1"/>
      <c r="AA264" s="1"/>
      <c r="AB264" s="1"/>
      <c r="AC264" s="1"/>
      <c r="AD264" s="1"/>
      <c r="AE264" s="1"/>
      <c r="AF264" s="1"/>
      <c r="AG264" s="1"/>
    </row>
    <row r="265" spans="5:33">
      <c r="E265" s="5"/>
      <c r="G265" s="5"/>
      <c r="J265" s="5"/>
      <c r="K265" s="5"/>
      <c r="N265" s="5"/>
      <c r="Q265" s="5"/>
      <c r="R265" s="1"/>
      <c r="S265" s="1"/>
      <c r="T265" s="1"/>
      <c r="U265" s="1"/>
      <c r="V265" s="1"/>
      <c r="W265" s="1"/>
      <c r="X265" s="1"/>
      <c r="Y265" s="1"/>
      <c r="Z265" s="1"/>
      <c r="AA265" s="1"/>
      <c r="AB265" s="1"/>
      <c r="AC265" s="1"/>
      <c r="AD265" s="1"/>
      <c r="AE265" s="1"/>
      <c r="AF265" s="1"/>
      <c r="AG265" s="1"/>
    </row>
    <row r="266" spans="5:33">
      <c r="E266" s="5"/>
      <c r="G266" s="5"/>
      <c r="J266" s="5"/>
      <c r="K266" s="5"/>
      <c r="N266" s="5"/>
      <c r="Q266" s="5"/>
      <c r="R266" s="1"/>
      <c r="S266" s="1"/>
      <c r="T266" s="1"/>
      <c r="U266" s="1"/>
      <c r="V266" s="1"/>
      <c r="W266" s="1"/>
      <c r="X266" s="1"/>
      <c r="Y266" s="1"/>
      <c r="Z266" s="1"/>
      <c r="AA266" s="1"/>
      <c r="AB266" s="1"/>
      <c r="AC266" s="1"/>
      <c r="AD266" s="1"/>
      <c r="AE266" s="1"/>
      <c r="AF266" s="1"/>
      <c r="AG266" s="1"/>
    </row>
    <row r="267" spans="5:33">
      <c r="E267" s="5"/>
      <c r="G267" s="5"/>
      <c r="J267" s="5"/>
      <c r="K267" s="5"/>
      <c r="N267" s="5"/>
      <c r="Q267" s="5"/>
      <c r="R267" s="1"/>
      <c r="S267" s="1"/>
      <c r="T267" s="1"/>
      <c r="U267" s="1"/>
      <c r="V267" s="1"/>
      <c r="W267" s="1"/>
      <c r="X267" s="1"/>
      <c r="Y267" s="1"/>
      <c r="Z267" s="1"/>
      <c r="AA267" s="1"/>
      <c r="AB267" s="1"/>
      <c r="AC267" s="1"/>
      <c r="AD267" s="1"/>
      <c r="AE267" s="1"/>
      <c r="AF267" s="1"/>
      <c r="AG267" s="1"/>
    </row>
    <row r="268" spans="5:33">
      <c r="E268" s="5"/>
      <c r="G268" s="5"/>
      <c r="J268" s="5"/>
      <c r="K268" s="5"/>
      <c r="N268" s="5"/>
      <c r="Q268" s="5"/>
      <c r="R268" s="1"/>
      <c r="S268" s="1"/>
      <c r="T268" s="1"/>
      <c r="U268" s="1"/>
      <c r="V268" s="1"/>
      <c r="W268" s="1"/>
      <c r="X268" s="1"/>
      <c r="Y268" s="1"/>
      <c r="Z268" s="1"/>
      <c r="AA268" s="1"/>
      <c r="AB268" s="1"/>
      <c r="AC268" s="1"/>
      <c r="AD268" s="1"/>
      <c r="AE268" s="1"/>
      <c r="AF268" s="1"/>
      <c r="AG268" s="1"/>
    </row>
    <row r="269" spans="5:33">
      <c r="E269" s="5"/>
      <c r="G269" s="5"/>
      <c r="J269" s="5"/>
      <c r="K269" s="5"/>
      <c r="N269" s="5"/>
      <c r="Q269" s="5"/>
      <c r="R269" s="1"/>
      <c r="S269" s="1"/>
      <c r="T269" s="1"/>
      <c r="U269" s="1"/>
      <c r="V269" s="1"/>
      <c r="W269" s="1"/>
      <c r="X269" s="1"/>
      <c r="Y269" s="1"/>
      <c r="Z269" s="1"/>
      <c r="AA269" s="1"/>
      <c r="AB269" s="1"/>
      <c r="AC269" s="1"/>
      <c r="AD269" s="1"/>
      <c r="AE269" s="1"/>
      <c r="AF269" s="1"/>
      <c r="AG269" s="1"/>
    </row>
    <row r="270" spans="5:33">
      <c r="E270" s="5"/>
      <c r="G270" s="5"/>
      <c r="J270" s="5"/>
      <c r="K270" s="5"/>
      <c r="N270" s="5"/>
      <c r="Q270" s="5"/>
      <c r="R270" s="1"/>
      <c r="S270" s="1"/>
      <c r="T270" s="1"/>
      <c r="U270" s="1"/>
      <c r="V270" s="1"/>
      <c r="W270" s="1"/>
      <c r="X270" s="1"/>
      <c r="Y270" s="1"/>
      <c r="Z270" s="1"/>
      <c r="AA270" s="1"/>
      <c r="AB270" s="1"/>
      <c r="AC270" s="1"/>
      <c r="AD270" s="1"/>
      <c r="AE270" s="1"/>
      <c r="AF270" s="1"/>
      <c r="AG270" s="1"/>
    </row>
    <row r="271" spans="5:33">
      <c r="E271" s="5"/>
      <c r="G271" s="5"/>
      <c r="J271" s="5"/>
      <c r="K271" s="5"/>
      <c r="N271" s="5"/>
      <c r="Q271" s="5"/>
    </row>
    <row r="272" spans="5:33">
      <c r="E272" s="5"/>
      <c r="G272" s="5"/>
      <c r="J272" s="5"/>
      <c r="K272" s="5"/>
      <c r="N272" s="5"/>
      <c r="Q272" s="5"/>
    </row>
    <row r="273" spans="5:17">
      <c r="E273" s="5"/>
      <c r="G273" s="5"/>
      <c r="J273" s="5"/>
      <c r="K273" s="5"/>
      <c r="N273" s="5"/>
      <c r="Q273" s="5"/>
    </row>
    <row r="274" spans="5:17">
      <c r="E274" s="5"/>
      <c r="G274" s="5"/>
      <c r="J274" s="5"/>
      <c r="K274" s="5"/>
      <c r="N274" s="5"/>
      <c r="Q274" s="5"/>
    </row>
    <row r="275" spans="5:17">
      <c r="E275" s="5"/>
      <c r="G275" s="5"/>
      <c r="J275" s="5"/>
      <c r="K275" s="5"/>
      <c r="N275" s="5"/>
      <c r="Q275" s="5"/>
    </row>
    <row r="276" spans="5:17">
      <c r="E276" s="5"/>
      <c r="G276" s="5"/>
      <c r="J276" s="5"/>
      <c r="K276" s="5"/>
      <c r="N276" s="5"/>
      <c r="Q276" s="5"/>
    </row>
    <row r="277" spans="5:17">
      <c r="E277" s="5"/>
      <c r="G277" s="5"/>
      <c r="J277" s="5"/>
      <c r="K277" s="5"/>
      <c r="N277" s="5"/>
      <c r="Q277" s="5"/>
    </row>
    <row r="278" spans="5:17">
      <c r="E278" s="5"/>
      <c r="G278" s="5"/>
      <c r="J278" s="5"/>
      <c r="K278" s="5"/>
      <c r="N278" s="5"/>
      <c r="Q278" s="5"/>
    </row>
    <row r="279" spans="5:17">
      <c r="E279" s="5"/>
      <c r="G279" s="5"/>
      <c r="J279" s="5"/>
      <c r="K279" s="5"/>
      <c r="N279" s="5"/>
      <c r="Q279" s="5"/>
    </row>
    <row r="280" spans="5:17">
      <c r="E280" s="5"/>
      <c r="G280" s="5"/>
      <c r="J280" s="5"/>
      <c r="K280" s="5"/>
      <c r="N280" s="5"/>
      <c r="Q280" s="5"/>
    </row>
    <row r="281" spans="5:17">
      <c r="E281" s="5"/>
      <c r="G281" s="5"/>
      <c r="J281" s="5"/>
      <c r="K281" s="5"/>
      <c r="N281" s="5"/>
      <c r="Q281" s="5"/>
    </row>
    <row r="282" spans="5:17">
      <c r="E282" s="5"/>
      <c r="G282" s="5"/>
      <c r="J282" s="5"/>
      <c r="K282" s="5"/>
      <c r="N282" s="5"/>
      <c r="Q282" s="5"/>
    </row>
    <row r="283" spans="5:17">
      <c r="E283" s="5"/>
      <c r="G283" s="5"/>
      <c r="J283" s="5"/>
      <c r="K283" s="5"/>
      <c r="N283" s="5"/>
      <c r="Q283" s="5"/>
    </row>
    <row r="284" spans="5:17">
      <c r="E284" s="5"/>
      <c r="G284" s="5"/>
      <c r="J284" s="5"/>
      <c r="K284" s="5"/>
      <c r="N284" s="5"/>
      <c r="Q284" s="5"/>
    </row>
    <row r="285" spans="5:17">
      <c r="E285" s="5"/>
      <c r="G285" s="5"/>
      <c r="J285" s="5"/>
      <c r="K285" s="5"/>
      <c r="N285" s="5"/>
      <c r="Q285" s="5"/>
    </row>
    <row r="286" spans="5:17">
      <c r="E286" s="5"/>
      <c r="G286" s="5"/>
      <c r="J286" s="5"/>
      <c r="K286" s="5"/>
      <c r="N286" s="5"/>
      <c r="Q286" s="5"/>
    </row>
    <row r="287" spans="5:17">
      <c r="E287" s="5"/>
      <c r="G287" s="5"/>
      <c r="J287" s="5"/>
      <c r="K287" s="5"/>
      <c r="N287" s="5"/>
      <c r="Q287" s="5"/>
    </row>
    <row r="288" spans="5:17">
      <c r="E288" s="5"/>
      <c r="G288" s="5"/>
      <c r="J288" s="5"/>
      <c r="K288" s="5"/>
      <c r="N288" s="5"/>
      <c r="Q288" s="5"/>
    </row>
    <row r="289" spans="5:17">
      <c r="E289" s="5"/>
      <c r="G289" s="5"/>
      <c r="J289" s="5"/>
      <c r="K289" s="5"/>
      <c r="N289" s="5"/>
      <c r="Q289" s="5"/>
    </row>
    <row r="290" spans="5:17">
      <c r="E290" s="5"/>
      <c r="G290" s="5"/>
      <c r="J290" s="5"/>
      <c r="K290" s="5"/>
      <c r="N290" s="5"/>
      <c r="Q290" s="5"/>
    </row>
    <row r="291" spans="5:17">
      <c r="E291" s="5"/>
      <c r="G291" s="5"/>
      <c r="J291" s="5"/>
      <c r="K291" s="5"/>
      <c r="N291" s="5"/>
      <c r="Q291" s="5"/>
    </row>
    <row r="292" spans="5:17">
      <c r="E292" s="5"/>
      <c r="G292" s="5"/>
      <c r="J292" s="5"/>
      <c r="K292" s="5"/>
      <c r="N292" s="5"/>
      <c r="Q292" s="5"/>
    </row>
    <row r="293" spans="5:17">
      <c r="E293" s="5"/>
      <c r="G293" s="5"/>
      <c r="J293" s="5"/>
      <c r="K293" s="5"/>
      <c r="N293" s="5"/>
      <c r="Q293" s="5"/>
    </row>
    <row r="294" spans="5:17">
      <c r="E294" s="5"/>
      <c r="G294" s="5"/>
      <c r="J294" s="5"/>
      <c r="K294" s="5"/>
      <c r="N294" s="5"/>
      <c r="Q294" s="5"/>
    </row>
    <row r="295" spans="5:17">
      <c r="E295" s="5"/>
      <c r="G295" s="5"/>
      <c r="J295" s="5"/>
      <c r="K295" s="5"/>
      <c r="N295" s="5"/>
      <c r="Q295" s="5"/>
    </row>
    <row r="296" spans="5:17">
      <c r="E296" s="5"/>
      <c r="G296" s="5"/>
      <c r="J296" s="5"/>
      <c r="K296" s="5"/>
      <c r="N296" s="5"/>
      <c r="Q296" s="5"/>
    </row>
    <row r="297" spans="5:17">
      <c r="E297" s="5"/>
      <c r="G297" s="5"/>
      <c r="J297" s="5"/>
      <c r="K297" s="5"/>
      <c r="N297" s="5"/>
      <c r="Q297" s="5"/>
    </row>
    <row r="298" spans="5:17">
      <c r="E298" s="5"/>
      <c r="G298" s="5"/>
      <c r="J298" s="5"/>
      <c r="K298" s="5"/>
      <c r="N298" s="5"/>
      <c r="Q298" s="5"/>
    </row>
    <row r="299" spans="5:17">
      <c r="E299" s="5"/>
      <c r="G299" s="5"/>
      <c r="J299" s="5"/>
      <c r="K299" s="5"/>
      <c r="N299" s="5"/>
      <c r="Q299" s="5"/>
    </row>
    <row r="300" spans="5:17">
      <c r="E300" s="5"/>
      <c r="G300" s="5"/>
      <c r="J300" s="5"/>
      <c r="K300" s="5"/>
      <c r="N300" s="5"/>
      <c r="Q300" s="5"/>
    </row>
    <row r="301" spans="5:17">
      <c r="E301" s="5"/>
      <c r="G301" s="5"/>
      <c r="J301" s="5"/>
      <c r="K301" s="5"/>
      <c r="N301" s="5"/>
      <c r="Q301" s="5"/>
    </row>
    <row r="302" spans="5:17">
      <c r="E302" s="5"/>
      <c r="G302" s="5"/>
      <c r="J302" s="5"/>
      <c r="K302" s="5"/>
      <c r="N302" s="5"/>
      <c r="Q302" s="5"/>
    </row>
    <row r="303" spans="5:17">
      <c r="E303" s="5"/>
      <c r="G303" s="5"/>
      <c r="J303" s="5"/>
      <c r="K303" s="5"/>
      <c r="N303" s="5"/>
      <c r="Q303" s="5"/>
    </row>
    <row r="304" spans="5:17">
      <c r="E304" s="5"/>
      <c r="G304" s="5"/>
      <c r="J304" s="5"/>
      <c r="K304" s="5"/>
      <c r="N304" s="5"/>
      <c r="Q304" s="5"/>
    </row>
    <row r="305" spans="5:17">
      <c r="E305" s="5"/>
      <c r="G305" s="5"/>
      <c r="J305" s="5"/>
      <c r="K305" s="5"/>
      <c r="N305" s="5"/>
      <c r="Q305" s="5"/>
    </row>
    <row r="306" spans="5:17">
      <c r="E306" s="5"/>
      <c r="G306" s="5"/>
      <c r="J306" s="5"/>
      <c r="K306" s="5"/>
      <c r="N306" s="5"/>
      <c r="Q306" s="5"/>
    </row>
    <row r="307" spans="5:17">
      <c r="E307" s="5"/>
      <c r="G307" s="5"/>
      <c r="J307" s="5"/>
      <c r="K307" s="5"/>
      <c r="N307" s="5"/>
      <c r="Q307" s="5"/>
    </row>
    <row r="308" spans="5:17">
      <c r="E308" s="5"/>
      <c r="G308" s="5"/>
      <c r="J308" s="5"/>
      <c r="K308" s="5"/>
      <c r="N308" s="5"/>
      <c r="Q308" s="5"/>
    </row>
    <row r="309" spans="5:17">
      <c r="E309" s="5"/>
      <c r="G309" s="5"/>
      <c r="J309" s="5"/>
      <c r="K309" s="5"/>
      <c r="N309" s="5"/>
      <c r="Q309" s="5"/>
    </row>
    <row r="310" spans="5:17">
      <c r="E310" s="5"/>
      <c r="G310" s="5"/>
      <c r="J310" s="5"/>
      <c r="K310" s="5"/>
      <c r="N310" s="5"/>
      <c r="Q310" s="5"/>
    </row>
    <row r="311" spans="5:17">
      <c r="E311" s="5"/>
      <c r="G311" s="5"/>
      <c r="J311" s="5"/>
      <c r="K311" s="5"/>
      <c r="N311" s="5"/>
      <c r="Q311" s="5"/>
    </row>
    <row r="312" spans="5:17">
      <c r="E312" s="5"/>
      <c r="G312" s="5"/>
      <c r="J312" s="5"/>
      <c r="K312" s="5"/>
      <c r="N312" s="5"/>
      <c r="Q312" s="5"/>
    </row>
    <row r="313" spans="5:17">
      <c r="E313" s="5"/>
      <c r="G313" s="5"/>
      <c r="J313" s="5"/>
      <c r="K313" s="5"/>
      <c r="N313" s="5"/>
      <c r="Q313" s="5"/>
    </row>
    <row r="314" spans="5:17">
      <c r="E314" s="5"/>
      <c r="G314" s="5"/>
      <c r="J314" s="5"/>
      <c r="K314" s="5"/>
      <c r="N314" s="5"/>
      <c r="Q314" s="5"/>
    </row>
    <row r="315" spans="5:17">
      <c r="E315" s="5"/>
      <c r="G315" s="5"/>
      <c r="J315" s="5"/>
      <c r="K315" s="5"/>
      <c r="N315" s="5"/>
      <c r="Q315" s="5"/>
    </row>
    <row r="316" spans="5:17">
      <c r="E316" s="5"/>
      <c r="G316" s="5"/>
      <c r="J316" s="5"/>
      <c r="K316" s="5"/>
      <c r="N316" s="5"/>
      <c r="Q316" s="5"/>
    </row>
    <row r="317" spans="5:17">
      <c r="E317" s="5"/>
      <c r="G317" s="5"/>
      <c r="J317" s="5"/>
      <c r="K317" s="5"/>
      <c r="N317" s="5"/>
      <c r="Q317" s="5"/>
    </row>
    <row r="318" spans="5:17">
      <c r="E318" s="5"/>
      <c r="G318" s="5"/>
      <c r="J318" s="5"/>
      <c r="K318" s="5"/>
      <c r="N318" s="5"/>
      <c r="Q318" s="5"/>
    </row>
    <row r="319" spans="5:17">
      <c r="E319" s="5"/>
      <c r="G319" s="5"/>
      <c r="J319" s="5"/>
      <c r="K319" s="5"/>
      <c r="N319" s="5"/>
      <c r="Q319" s="5"/>
    </row>
    <row r="320" spans="5:17">
      <c r="E320" s="5"/>
      <c r="G320" s="5"/>
      <c r="J320" s="5"/>
      <c r="K320" s="5"/>
      <c r="N320" s="5"/>
      <c r="Q320" s="5"/>
    </row>
    <row r="321" spans="5:17">
      <c r="E321" s="5"/>
      <c r="G321" s="5"/>
      <c r="J321" s="5"/>
      <c r="K321" s="5"/>
      <c r="N321" s="5"/>
      <c r="Q321" s="5"/>
    </row>
    <row r="322" spans="5:17">
      <c r="E322" s="5"/>
      <c r="G322" s="5"/>
      <c r="J322" s="5"/>
      <c r="K322" s="5"/>
      <c r="N322" s="5"/>
      <c r="Q322" s="5"/>
    </row>
    <row r="323" spans="5:17">
      <c r="E323" s="5"/>
      <c r="G323" s="5"/>
      <c r="J323" s="5"/>
      <c r="K323" s="5"/>
      <c r="N323" s="5"/>
      <c r="Q323" s="5"/>
    </row>
    <row r="324" spans="5:17">
      <c r="E324" s="5"/>
      <c r="G324" s="5"/>
      <c r="J324" s="5"/>
      <c r="K324" s="5"/>
      <c r="N324" s="5"/>
      <c r="Q324" s="5"/>
    </row>
    <row r="325" spans="5:17">
      <c r="E325" s="5"/>
      <c r="G325" s="5"/>
      <c r="J325" s="5"/>
      <c r="K325" s="5"/>
      <c r="N325" s="5"/>
      <c r="Q325" s="5"/>
    </row>
    <row r="326" spans="5:17">
      <c r="E326" s="5"/>
      <c r="G326" s="5"/>
      <c r="J326" s="5"/>
      <c r="K326" s="5"/>
      <c r="N326" s="5"/>
      <c r="Q326" s="5"/>
    </row>
    <row r="327" spans="5:17">
      <c r="E327" s="5"/>
      <c r="G327" s="5"/>
      <c r="J327" s="5"/>
      <c r="K327" s="5"/>
      <c r="N327" s="5"/>
      <c r="Q327" s="5"/>
    </row>
    <row r="328" spans="5:17">
      <c r="E328" s="5"/>
      <c r="G328" s="5"/>
      <c r="J328" s="5"/>
      <c r="K328" s="5"/>
      <c r="N328" s="5"/>
      <c r="Q328" s="5"/>
    </row>
    <row r="329" spans="5:17">
      <c r="E329" s="5"/>
      <c r="G329" s="5"/>
      <c r="J329" s="5"/>
      <c r="K329" s="5"/>
      <c r="N329" s="5"/>
      <c r="Q329" s="5"/>
    </row>
    <row r="330" spans="5:17">
      <c r="E330" s="5"/>
      <c r="G330" s="5"/>
      <c r="J330" s="5"/>
      <c r="K330" s="5"/>
      <c r="N330" s="5"/>
      <c r="Q330" s="5"/>
    </row>
    <row r="331" spans="5:17">
      <c r="E331" s="5"/>
      <c r="G331" s="5"/>
      <c r="J331" s="5"/>
      <c r="K331" s="5"/>
      <c r="N331" s="5"/>
      <c r="Q331" s="5"/>
    </row>
    <row r="332" spans="5:17">
      <c r="E332" s="5"/>
      <c r="G332" s="5"/>
      <c r="J332" s="5"/>
      <c r="K332" s="5"/>
      <c r="N332" s="5"/>
      <c r="Q332" s="5"/>
    </row>
    <row r="333" spans="5:17">
      <c r="E333" s="5"/>
      <c r="G333" s="5"/>
      <c r="J333" s="5"/>
      <c r="K333" s="5"/>
      <c r="N333" s="5"/>
      <c r="Q333" s="5"/>
    </row>
    <row r="334" spans="5:17">
      <c r="E334" s="5"/>
      <c r="G334" s="5"/>
      <c r="J334" s="5"/>
      <c r="K334" s="5"/>
      <c r="N334" s="5"/>
      <c r="Q334" s="5"/>
    </row>
    <row r="335" spans="5:17">
      <c r="E335" s="5"/>
      <c r="G335" s="5"/>
      <c r="J335" s="5"/>
      <c r="K335" s="5"/>
      <c r="N335" s="5"/>
      <c r="Q335" s="5"/>
    </row>
    <row r="336" spans="5:17">
      <c r="E336" s="5"/>
      <c r="G336" s="5"/>
      <c r="J336" s="5"/>
      <c r="K336" s="5"/>
      <c r="N336" s="5"/>
      <c r="Q336" s="5"/>
    </row>
    <row r="337" spans="5:17">
      <c r="E337" s="5"/>
      <c r="G337" s="5"/>
      <c r="J337" s="5"/>
      <c r="K337" s="5"/>
      <c r="N337" s="5"/>
      <c r="Q337" s="5"/>
    </row>
    <row r="338" spans="5:17">
      <c r="E338" s="5"/>
      <c r="G338" s="5"/>
      <c r="J338" s="5"/>
      <c r="K338" s="5"/>
      <c r="N338" s="5"/>
      <c r="Q338" s="5"/>
    </row>
    <row r="339" spans="5:17">
      <c r="E339" s="5"/>
      <c r="G339" s="5"/>
      <c r="J339" s="5"/>
      <c r="K339" s="5"/>
      <c r="N339" s="5"/>
      <c r="Q339" s="5"/>
    </row>
    <row r="340" spans="5:17">
      <c r="E340" s="5"/>
      <c r="G340" s="5"/>
      <c r="J340" s="5"/>
      <c r="K340" s="5"/>
      <c r="N340" s="5"/>
      <c r="Q340" s="5"/>
    </row>
    <row r="341" spans="5:17">
      <c r="E341" s="5"/>
      <c r="G341" s="5"/>
      <c r="J341" s="5"/>
      <c r="K341" s="5"/>
      <c r="N341" s="5"/>
      <c r="Q341" s="5"/>
    </row>
    <row r="342" spans="5:17">
      <c r="E342" s="5"/>
      <c r="G342" s="5"/>
      <c r="J342" s="5"/>
      <c r="K342" s="5"/>
      <c r="N342" s="5"/>
      <c r="Q342" s="5"/>
    </row>
    <row r="343" spans="5:17">
      <c r="E343" s="5"/>
      <c r="G343" s="5"/>
      <c r="J343" s="5"/>
      <c r="K343" s="5"/>
      <c r="N343" s="5"/>
      <c r="Q343" s="5"/>
    </row>
    <row r="344" spans="5:17">
      <c r="E344" s="5"/>
      <c r="G344" s="5"/>
      <c r="J344" s="5"/>
      <c r="K344" s="5"/>
      <c r="N344" s="5"/>
      <c r="Q344" s="5"/>
    </row>
    <row r="345" spans="5:17">
      <c r="E345" s="5"/>
      <c r="G345" s="5"/>
      <c r="J345" s="5"/>
      <c r="K345" s="5"/>
      <c r="N345" s="5"/>
      <c r="Q345" s="5"/>
    </row>
    <row r="346" spans="5:17">
      <c r="E346" s="5"/>
      <c r="G346" s="5"/>
      <c r="J346" s="5"/>
      <c r="K346" s="5"/>
      <c r="N346" s="5"/>
      <c r="Q346" s="5"/>
    </row>
    <row r="347" spans="5:17">
      <c r="E347" s="5"/>
      <c r="G347" s="5"/>
      <c r="J347" s="5"/>
      <c r="K347" s="5"/>
      <c r="N347" s="5"/>
      <c r="Q347" s="5"/>
    </row>
    <row r="348" spans="5:17">
      <c r="E348" s="5"/>
      <c r="G348" s="5"/>
      <c r="J348" s="5"/>
      <c r="K348" s="5"/>
      <c r="N348" s="5"/>
      <c r="Q348" s="5"/>
    </row>
    <row r="349" spans="5:17">
      <c r="E349" s="5"/>
      <c r="G349" s="5"/>
      <c r="J349" s="5"/>
      <c r="K349" s="5"/>
      <c r="N349" s="5"/>
      <c r="Q349" s="5"/>
    </row>
    <row r="350" spans="5:17">
      <c r="E350" s="5"/>
      <c r="G350" s="5"/>
      <c r="J350" s="5"/>
      <c r="K350" s="5"/>
      <c r="N350" s="5"/>
      <c r="Q350" s="5"/>
    </row>
    <row r="351" spans="5:17">
      <c r="E351" s="5"/>
      <c r="G351" s="5"/>
      <c r="J351" s="5"/>
      <c r="K351" s="5"/>
      <c r="N351" s="5"/>
      <c r="Q351" s="5"/>
    </row>
    <row r="352" spans="5:17">
      <c r="E352" s="5"/>
      <c r="G352" s="5"/>
      <c r="J352" s="5"/>
      <c r="K352" s="5"/>
      <c r="N352" s="5"/>
      <c r="Q352" s="5"/>
    </row>
    <row r="353" spans="5:17">
      <c r="E353" s="5"/>
      <c r="G353" s="5"/>
      <c r="J353" s="5"/>
      <c r="K353" s="5"/>
      <c r="N353" s="5"/>
      <c r="Q353" s="5"/>
    </row>
    <row r="354" spans="5:17">
      <c r="E354" s="5"/>
      <c r="G354" s="5"/>
      <c r="J354" s="5"/>
      <c r="K354" s="5"/>
      <c r="N354" s="5"/>
      <c r="Q354" s="5"/>
    </row>
    <row r="355" spans="5:17">
      <c r="E355" s="5"/>
      <c r="G355" s="5"/>
      <c r="J355" s="5"/>
      <c r="K355" s="5"/>
      <c r="N355" s="5"/>
      <c r="Q355" s="5"/>
    </row>
    <row r="356" spans="5:17">
      <c r="E356" s="5"/>
      <c r="G356" s="5"/>
      <c r="J356" s="5"/>
      <c r="K356" s="5"/>
      <c r="N356" s="5"/>
      <c r="Q356" s="5"/>
    </row>
    <row r="357" spans="5:17">
      <c r="E357" s="5"/>
      <c r="G357" s="5"/>
      <c r="J357" s="5"/>
      <c r="K357" s="5"/>
      <c r="N357" s="5"/>
      <c r="Q357" s="5"/>
    </row>
    <row r="358" spans="5:17">
      <c r="E358" s="5"/>
      <c r="G358" s="5"/>
      <c r="J358" s="5"/>
      <c r="K358" s="5"/>
      <c r="N358" s="5"/>
      <c r="Q358" s="5"/>
    </row>
    <row r="359" spans="5:17">
      <c r="E359" s="5"/>
      <c r="G359" s="5"/>
      <c r="J359" s="5"/>
      <c r="K359" s="5"/>
      <c r="N359" s="5"/>
      <c r="Q359" s="5"/>
    </row>
    <row r="360" spans="5:17">
      <c r="E360" s="5"/>
      <c r="G360" s="5"/>
      <c r="J360" s="5"/>
      <c r="K360" s="5"/>
      <c r="N360" s="5"/>
      <c r="Q360" s="5"/>
    </row>
    <row r="361" spans="5:17">
      <c r="E361" s="5"/>
      <c r="G361" s="5"/>
      <c r="J361" s="5"/>
      <c r="K361" s="5"/>
      <c r="N361" s="5"/>
      <c r="Q361" s="5"/>
    </row>
    <row r="362" spans="5:17">
      <c r="E362" s="5"/>
      <c r="G362" s="5"/>
      <c r="J362" s="5"/>
      <c r="K362" s="5"/>
      <c r="N362" s="5"/>
      <c r="Q362" s="5"/>
    </row>
    <row r="363" spans="5:17">
      <c r="E363" s="5"/>
      <c r="G363" s="5"/>
      <c r="J363" s="5"/>
      <c r="K363" s="5"/>
      <c r="N363" s="5"/>
      <c r="Q363" s="5"/>
    </row>
    <row r="364" spans="5:17">
      <c r="E364" s="5"/>
      <c r="G364" s="5"/>
      <c r="J364" s="5"/>
      <c r="K364" s="5"/>
      <c r="N364" s="5"/>
      <c r="Q364" s="5"/>
    </row>
    <row r="365" spans="5:17">
      <c r="E365" s="5"/>
      <c r="G365" s="5"/>
      <c r="J365" s="5"/>
      <c r="K365" s="5"/>
      <c r="N365" s="5"/>
      <c r="Q365" s="5"/>
    </row>
    <row r="366" spans="5:17">
      <c r="E366" s="5"/>
      <c r="G366" s="5"/>
      <c r="J366" s="5"/>
      <c r="K366" s="5"/>
      <c r="N366" s="5"/>
      <c r="Q366" s="5"/>
    </row>
    <row r="367" spans="5:17">
      <c r="E367" s="5"/>
      <c r="G367" s="5"/>
      <c r="J367" s="5"/>
      <c r="K367" s="5"/>
      <c r="N367" s="5"/>
      <c r="Q367" s="5"/>
    </row>
    <row r="368" spans="5:17">
      <c r="E368" s="5"/>
      <c r="G368" s="5"/>
      <c r="J368" s="5"/>
      <c r="K368" s="5"/>
      <c r="N368" s="5"/>
      <c r="Q368" s="5"/>
    </row>
    <row r="369" spans="5:17">
      <c r="E369" s="5"/>
      <c r="G369" s="5"/>
      <c r="J369" s="5"/>
      <c r="K369" s="5"/>
      <c r="N369" s="5"/>
      <c r="Q369" s="5"/>
    </row>
    <row r="370" spans="5:17">
      <c r="E370" s="5"/>
      <c r="G370" s="5"/>
      <c r="J370" s="5"/>
      <c r="K370" s="5"/>
      <c r="N370" s="5"/>
      <c r="Q370" s="5"/>
    </row>
    <row r="371" spans="5:17">
      <c r="E371" s="5"/>
      <c r="G371" s="5"/>
      <c r="J371" s="5"/>
      <c r="K371" s="5"/>
      <c r="N371" s="5"/>
      <c r="Q371" s="5"/>
    </row>
    <row r="372" spans="5:17">
      <c r="E372" s="5"/>
      <c r="G372" s="5"/>
      <c r="J372" s="5"/>
      <c r="K372" s="5"/>
      <c r="N372" s="5"/>
      <c r="Q372" s="5"/>
    </row>
    <row r="373" spans="5:17">
      <c r="E373" s="5"/>
      <c r="G373" s="5"/>
      <c r="J373" s="5"/>
      <c r="K373" s="5"/>
      <c r="N373" s="5"/>
      <c r="Q373" s="5"/>
    </row>
    <row r="374" spans="5:17">
      <c r="E374" s="5"/>
      <c r="G374" s="5"/>
      <c r="J374" s="5"/>
      <c r="K374" s="5"/>
      <c r="N374" s="5"/>
      <c r="Q374" s="5"/>
    </row>
    <row r="375" spans="5:17">
      <c r="E375" s="5"/>
      <c r="G375" s="5"/>
      <c r="J375" s="5"/>
      <c r="K375" s="5"/>
      <c r="N375" s="5"/>
      <c r="Q375" s="5"/>
    </row>
    <row r="376" spans="5:17">
      <c r="E376" s="5"/>
      <c r="G376" s="5"/>
      <c r="J376" s="5"/>
      <c r="K376" s="5"/>
      <c r="N376" s="5"/>
      <c r="Q376" s="5"/>
    </row>
    <row r="377" spans="5:17">
      <c r="E377" s="5"/>
      <c r="G377" s="5"/>
      <c r="J377" s="5"/>
      <c r="K377" s="5"/>
      <c r="N377" s="5"/>
      <c r="Q377" s="5"/>
    </row>
    <row r="378" spans="5:17">
      <c r="E378" s="5"/>
      <c r="G378" s="5"/>
      <c r="J378" s="5"/>
      <c r="K378" s="5"/>
      <c r="N378" s="5"/>
      <c r="Q378" s="5"/>
    </row>
    <row r="379" spans="5:17">
      <c r="E379" s="5"/>
      <c r="G379" s="5"/>
      <c r="J379" s="5"/>
      <c r="K379" s="5"/>
      <c r="N379" s="5"/>
      <c r="Q379" s="5"/>
    </row>
    <row r="380" spans="5:17">
      <c r="E380" s="5"/>
      <c r="G380" s="5"/>
      <c r="J380" s="5"/>
      <c r="K380" s="5"/>
      <c r="N380" s="5"/>
      <c r="Q380" s="5"/>
    </row>
    <row r="381" spans="5:17">
      <c r="E381" s="5"/>
      <c r="G381" s="5"/>
      <c r="J381" s="5"/>
      <c r="K381" s="5"/>
      <c r="N381" s="5"/>
      <c r="Q381" s="5"/>
    </row>
    <row r="382" spans="5:17">
      <c r="E382" s="5"/>
      <c r="G382" s="5"/>
      <c r="J382" s="5"/>
      <c r="K382" s="5"/>
      <c r="N382" s="5"/>
      <c r="Q382" s="5"/>
    </row>
    <row r="383" spans="5:17">
      <c r="E383" s="5"/>
      <c r="G383" s="5"/>
      <c r="J383" s="5"/>
      <c r="K383" s="5"/>
      <c r="N383" s="5"/>
      <c r="Q383" s="5"/>
    </row>
    <row r="384" spans="5:17">
      <c r="E384" s="5"/>
      <c r="G384" s="5"/>
      <c r="J384" s="5"/>
      <c r="K384" s="5"/>
      <c r="N384" s="5"/>
      <c r="Q384" s="5"/>
    </row>
    <row r="385" spans="5:17">
      <c r="E385" s="5"/>
      <c r="G385" s="5"/>
      <c r="J385" s="5"/>
      <c r="K385" s="5"/>
      <c r="N385" s="5"/>
      <c r="Q385" s="5"/>
    </row>
    <row r="386" spans="5:17">
      <c r="E386" s="5"/>
      <c r="G386" s="5"/>
      <c r="J386" s="5"/>
      <c r="K386" s="5"/>
      <c r="N386" s="5"/>
      <c r="Q386" s="5"/>
    </row>
    <row r="387" spans="5:17">
      <c r="E387" s="5"/>
      <c r="G387" s="5"/>
      <c r="J387" s="5"/>
      <c r="K387" s="5"/>
      <c r="N387" s="5"/>
      <c r="Q387" s="5"/>
    </row>
    <row r="388" spans="5:17">
      <c r="E388" s="5"/>
      <c r="G388" s="5"/>
      <c r="J388" s="5"/>
      <c r="K388" s="5"/>
      <c r="N388" s="5"/>
      <c r="Q388" s="5"/>
    </row>
    <row r="389" spans="5:17">
      <c r="E389" s="5"/>
      <c r="G389" s="5"/>
      <c r="J389" s="5"/>
      <c r="K389" s="5"/>
      <c r="N389" s="5"/>
      <c r="Q389" s="5"/>
    </row>
    <row r="390" spans="5:17">
      <c r="E390" s="5"/>
      <c r="G390" s="5"/>
      <c r="J390" s="5"/>
      <c r="K390" s="5"/>
      <c r="N390" s="5"/>
      <c r="Q390" s="5"/>
    </row>
    <row r="391" spans="5:17">
      <c r="E391" s="5"/>
      <c r="G391" s="5"/>
      <c r="J391" s="5"/>
      <c r="K391" s="5"/>
      <c r="N391" s="5"/>
      <c r="Q391" s="5"/>
    </row>
    <row r="392" spans="5:17">
      <c r="E392" s="5"/>
      <c r="G392" s="5"/>
      <c r="J392" s="5"/>
      <c r="K392" s="5"/>
      <c r="N392" s="5"/>
      <c r="Q392" s="5"/>
    </row>
    <row r="393" spans="5:17">
      <c r="E393" s="5"/>
      <c r="G393" s="5"/>
      <c r="J393" s="5"/>
      <c r="K393" s="5"/>
      <c r="N393" s="5"/>
      <c r="Q393" s="5"/>
    </row>
    <row r="394" spans="5:17">
      <c r="E394" s="5"/>
      <c r="G394" s="5"/>
      <c r="J394" s="5"/>
      <c r="K394" s="5"/>
      <c r="N394" s="5"/>
      <c r="Q394" s="5"/>
    </row>
    <row r="395" spans="5:17">
      <c r="E395" s="5"/>
      <c r="G395" s="5"/>
      <c r="J395" s="5"/>
      <c r="K395" s="5"/>
      <c r="N395" s="5"/>
      <c r="Q395" s="5"/>
    </row>
    <row r="396" spans="5:17">
      <c r="E396" s="5"/>
      <c r="G396" s="5"/>
      <c r="J396" s="5"/>
      <c r="K396" s="5"/>
      <c r="N396" s="5"/>
      <c r="Q396" s="5"/>
    </row>
    <row r="397" spans="5:17">
      <c r="E397" s="5"/>
      <c r="G397" s="5"/>
      <c r="J397" s="5"/>
      <c r="K397" s="5"/>
      <c r="N397" s="5"/>
      <c r="Q397" s="5"/>
    </row>
    <row r="398" spans="5:17">
      <c r="E398" s="5"/>
      <c r="G398" s="5"/>
      <c r="J398" s="5"/>
      <c r="K398" s="5"/>
      <c r="N398" s="5"/>
      <c r="Q398" s="5"/>
    </row>
    <row r="399" spans="5:17">
      <c r="E399" s="5"/>
      <c r="G399" s="5"/>
      <c r="J399" s="5"/>
      <c r="K399" s="5"/>
      <c r="N399" s="5"/>
      <c r="Q399" s="5"/>
    </row>
    <row r="400" spans="5:17">
      <c r="E400" s="5"/>
      <c r="G400" s="5"/>
      <c r="J400" s="5"/>
      <c r="K400" s="5"/>
      <c r="N400" s="5"/>
      <c r="Q400" s="5"/>
    </row>
    <row r="401" spans="5:17">
      <c r="E401" s="5"/>
      <c r="G401" s="5"/>
      <c r="J401" s="5"/>
      <c r="K401" s="5"/>
      <c r="N401" s="5"/>
      <c r="Q401" s="5"/>
    </row>
    <row r="402" spans="5:17">
      <c r="E402" s="5"/>
      <c r="G402" s="5"/>
      <c r="J402" s="5"/>
      <c r="K402" s="5"/>
      <c r="N402" s="5"/>
      <c r="Q402" s="5"/>
    </row>
    <row r="403" spans="5:17">
      <c r="E403" s="5"/>
      <c r="G403" s="5"/>
      <c r="J403" s="5"/>
      <c r="K403" s="5"/>
      <c r="N403" s="5"/>
      <c r="Q403" s="5"/>
    </row>
    <row r="404" spans="5:17">
      <c r="E404" s="5"/>
      <c r="G404" s="5"/>
      <c r="J404" s="5"/>
      <c r="K404" s="5"/>
      <c r="N404" s="5"/>
      <c r="Q404" s="5"/>
    </row>
    <row r="405" spans="5:17">
      <c r="E405" s="5"/>
      <c r="G405" s="5"/>
      <c r="J405" s="5"/>
      <c r="K405" s="5"/>
      <c r="N405" s="5"/>
      <c r="Q405" s="5"/>
    </row>
    <row r="406" spans="5:17">
      <c r="E406" s="5"/>
      <c r="G406" s="5"/>
      <c r="J406" s="5"/>
      <c r="K406" s="5"/>
      <c r="N406" s="5"/>
      <c r="Q406" s="5"/>
    </row>
    <row r="407" spans="5:17">
      <c r="E407" s="5"/>
      <c r="G407" s="5"/>
      <c r="J407" s="5"/>
      <c r="K407" s="5"/>
      <c r="N407" s="5"/>
      <c r="Q407" s="5"/>
    </row>
    <row r="408" spans="5:17">
      <c r="E408" s="5"/>
      <c r="G408" s="5"/>
      <c r="J408" s="5"/>
      <c r="K408" s="5"/>
      <c r="N408" s="5"/>
      <c r="Q408" s="5"/>
    </row>
    <row r="409" spans="5:17">
      <c r="E409" s="5"/>
      <c r="G409" s="5"/>
      <c r="J409" s="5"/>
      <c r="K409" s="5"/>
      <c r="N409" s="5"/>
      <c r="Q409" s="5"/>
    </row>
    <row r="410" spans="5:17">
      <c r="E410" s="5"/>
      <c r="G410" s="5"/>
      <c r="J410" s="5"/>
      <c r="K410" s="5"/>
      <c r="N410" s="5"/>
      <c r="Q410" s="5"/>
    </row>
    <row r="411" spans="5:17">
      <c r="E411" s="5"/>
      <c r="G411" s="5"/>
      <c r="J411" s="5"/>
      <c r="K411" s="5"/>
      <c r="N411" s="5"/>
      <c r="Q411" s="5"/>
    </row>
    <row r="412" spans="5:17">
      <c r="E412" s="5"/>
      <c r="G412" s="5"/>
      <c r="J412" s="5"/>
      <c r="K412" s="5"/>
      <c r="N412" s="5"/>
      <c r="Q412" s="5"/>
    </row>
    <row r="413" spans="5:17">
      <c r="E413" s="5"/>
      <c r="G413" s="5"/>
      <c r="J413" s="5"/>
      <c r="K413" s="5"/>
      <c r="N413" s="5"/>
      <c r="Q413" s="5"/>
    </row>
    <row r="414" spans="5:17">
      <c r="E414" s="5"/>
      <c r="G414" s="5"/>
      <c r="J414" s="5"/>
      <c r="K414" s="5"/>
      <c r="N414" s="5"/>
      <c r="Q414" s="5"/>
    </row>
    <row r="415" spans="5:17">
      <c r="E415" s="5"/>
      <c r="G415" s="5"/>
      <c r="J415" s="5"/>
      <c r="K415" s="5"/>
      <c r="N415" s="5"/>
      <c r="Q415" s="5"/>
    </row>
    <row r="416" spans="5:17">
      <c r="E416" s="5"/>
      <c r="G416" s="5"/>
      <c r="J416" s="5"/>
      <c r="K416" s="5"/>
      <c r="N416" s="5"/>
      <c r="Q416" s="5"/>
    </row>
    <row r="417" spans="5:17">
      <c r="E417" s="5"/>
      <c r="G417" s="5"/>
      <c r="J417" s="5"/>
      <c r="K417" s="5"/>
      <c r="N417" s="5"/>
      <c r="Q417" s="5"/>
    </row>
  </sheetData>
  <mergeCells count="3">
    <mergeCell ref="E7:F7"/>
    <mergeCell ref="E9:F9"/>
    <mergeCell ref="B15:B18"/>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G239"/>
  <sheetViews>
    <sheetView workbookViewId="0"/>
  </sheetViews>
  <sheetFormatPr defaultColWidth="8.83203125" defaultRowHeight="11.25"/>
  <cols>
    <col min="1" max="1" width="3" customWidth="1"/>
    <col min="2" max="2" width="41.5" customWidth="1"/>
    <col min="3" max="3" width="1.6640625" customWidth="1"/>
    <col min="4" max="4" width="12.33203125" customWidth="1"/>
    <col min="5" max="5" width="15.83203125" customWidth="1"/>
    <col min="6" max="6" width="14.5" customWidth="1"/>
    <col min="7" max="7" width="20" customWidth="1"/>
    <col min="8" max="8" width="16.5" customWidth="1"/>
    <col min="9" max="9" width="11.6640625" customWidth="1"/>
    <col min="10" max="10" width="15.33203125" customWidth="1"/>
    <col min="11" max="11" width="12" customWidth="1"/>
    <col min="12" max="12" width="17.1640625" customWidth="1"/>
    <col min="13" max="13" width="15.1640625" customWidth="1"/>
    <col min="14" max="14" width="14.5" customWidth="1"/>
    <col min="15" max="15" width="16" customWidth="1"/>
    <col min="16" max="16" width="10.83203125" customWidth="1"/>
    <col min="17" max="17" width="22.83203125" customWidth="1"/>
    <col min="18" max="18" width="25.83203125" customWidth="1"/>
    <col min="19" max="19" width="16.5" customWidth="1"/>
    <col min="20" max="20" width="15.83203125" customWidth="1"/>
    <col min="21" max="21" width="10.83203125" customWidth="1"/>
    <col min="22" max="22" width="12.6640625" customWidth="1"/>
    <col min="23" max="23" width="10.83203125" style="875" customWidth="1"/>
    <col min="24" max="24" width="8.83203125" style="878"/>
    <col min="27" max="27" width="31.6640625" customWidth="1"/>
  </cols>
  <sheetData>
    <row r="1" spans="1:33" s="3" customFormat="1" ht="15.95" customHeight="1" thickTop="1" thickBot="1">
      <c r="A1" s="950" t="s">
        <v>95</v>
      </c>
      <c r="B1" s="954" t="s">
        <v>5</v>
      </c>
      <c r="C1" s="954"/>
      <c r="D1" s="972"/>
      <c r="E1" s="954"/>
      <c r="F1" s="959" t="s">
        <v>3</v>
      </c>
      <c r="G1" s="950" t="s">
        <v>6</v>
      </c>
      <c r="H1" s="891"/>
      <c r="I1" s="959" t="s">
        <v>3</v>
      </c>
      <c r="J1" s="950" t="s">
        <v>7</v>
      </c>
      <c r="K1" s="954"/>
      <c r="L1" s="959" t="s">
        <v>3</v>
      </c>
      <c r="M1" s="950" t="s">
        <v>8</v>
      </c>
      <c r="N1" s="954"/>
      <c r="O1" s="959" t="s">
        <v>3</v>
      </c>
      <c r="P1" s="950" t="s">
        <v>9</v>
      </c>
      <c r="Q1" s="954"/>
      <c r="R1" s="959" t="s">
        <v>3</v>
      </c>
      <c r="S1" s="950" t="s">
        <v>10</v>
      </c>
      <c r="T1" s="954"/>
      <c r="U1" s="959" t="s">
        <v>3</v>
      </c>
      <c r="W1" s="5"/>
      <c r="X1" s="876"/>
      <c r="Y1" s="120"/>
      <c r="Z1" s="120"/>
      <c r="AA1" s="120"/>
      <c r="AB1" s="120"/>
      <c r="AC1" s="120"/>
    </row>
    <row r="2" spans="1:33" s="3" customFormat="1" ht="15.95" customHeight="1" thickTop="1">
      <c r="A2" s="888"/>
      <c r="B2" s="889" t="s">
        <v>325</v>
      </c>
      <c r="C2" s="889"/>
      <c r="D2" s="973"/>
      <c r="E2" s="951">
        <f>'ENR#-DB'!Z6</f>
        <v>1534300</v>
      </c>
      <c r="F2" s="960"/>
      <c r="G2" s="961"/>
      <c r="H2" s="951">
        <f>'ENR#-DB'!Z9</f>
        <v>85844</v>
      </c>
      <c r="I2" s="960"/>
      <c r="J2" s="961"/>
      <c r="K2" s="951">
        <f>'ENR#-DB'!Z11</f>
        <v>44738</v>
      </c>
      <c r="L2" s="960"/>
      <c r="M2" s="961"/>
      <c r="N2" s="951">
        <f>'ENR#-DB'!Z13</f>
        <v>0</v>
      </c>
      <c r="O2" s="960"/>
      <c r="P2" s="961"/>
      <c r="Q2" s="951">
        <f>'ENR#-DB'!Z15</f>
        <v>0</v>
      </c>
      <c r="R2" s="960"/>
      <c r="S2" s="961"/>
      <c r="T2" s="951">
        <f>'ENR#-DB'!Z17</f>
        <v>0</v>
      </c>
      <c r="U2" s="960"/>
      <c r="W2" s="5"/>
      <c r="X2" s="876"/>
      <c r="Y2" s="120"/>
      <c r="Z2" s="120"/>
      <c r="AA2" s="120"/>
      <c r="AB2" s="120"/>
      <c r="AC2" s="120"/>
    </row>
    <row r="3" spans="1:33" s="3" customFormat="1" ht="15.95" customHeight="1">
      <c r="A3" s="888"/>
      <c r="B3" s="889" t="s">
        <v>68</v>
      </c>
      <c r="C3" s="889"/>
      <c r="D3" s="973" t="str">
        <f>IF(AND(F3&gt;-0.005,F3&lt;0.005),"","ERROR!")</f>
        <v/>
      </c>
      <c r="E3" s="951">
        <f>B13</f>
        <v>1534300</v>
      </c>
      <c r="F3" s="960">
        <f>E2-E3</f>
        <v>0</v>
      </c>
      <c r="G3" s="893" t="str">
        <f>IF(AND(I3&gt;-0.005,I3&lt;0.005),"","ERROR!")</f>
        <v/>
      </c>
      <c r="H3" s="951">
        <f>B33</f>
        <v>85844</v>
      </c>
      <c r="I3" s="960">
        <f>H2-H3</f>
        <v>0</v>
      </c>
      <c r="J3" s="893" t="str">
        <f>IF(AND(L3&gt;-0.005,L3&lt;0.005),"","ERROR!")</f>
        <v/>
      </c>
      <c r="K3" s="951">
        <f>B53</f>
        <v>44738</v>
      </c>
      <c r="L3" s="960">
        <f>K2-K3</f>
        <v>0</v>
      </c>
      <c r="M3" s="893" t="str">
        <f>IF(AND(O3&gt;-0.005,O3&lt;0.005),"","ERROR!")</f>
        <v/>
      </c>
      <c r="N3" s="951">
        <f>B73</f>
        <v>0</v>
      </c>
      <c r="O3" s="960">
        <f>N2-N3</f>
        <v>0</v>
      </c>
      <c r="P3" s="893" t="str">
        <f>IF(AND(R3&gt;-0.005,R3&lt;0.005),"","ERROR!")</f>
        <v/>
      </c>
      <c r="Q3" s="951">
        <f>B93</f>
        <v>0</v>
      </c>
      <c r="R3" s="960">
        <f>Z2-Z3</f>
        <v>0</v>
      </c>
      <c r="S3" s="893" t="str">
        <f>IF(AND(U3&gt;-0.005,U3&lt;0.005),"","ERROR!")</f>
        <v/>
      </c>
      <c r="T3" s="951">
        <f>B113</f>
        <v>0</v>
      </c>
      <c r="U3" s="960">
        <f>T2-T3</f>
        <v>0</v>
      </c>
      <c r="W3" s="5"/>
      <c r="X3" s="876"/>
      <c r="Y3" s="120"/>
      <c r="Z3" s="120"/>
      <c r="AA3" s="120"/>
      <c r="AB3" s="120"/>
      <c r="AC3" s="120"/>
    </row>
    <row r="4" spans="1:33" s="3" customFormat="1" ht="15.95" customHeight="1">
      <c r="A4" s="888"/>
      <c r="B4" s="889"/>
      <c r="C4" s="889"/>
      <c r="D4" s="973"/>
      <c r="E4" s="951"/>
      <c r="F4" s="960"/>
      <c r="G4" s="961"/>
      <c r="H4" s="951"/>
      <c r="I4" s="960"/>
      <c r="J4" s="961"/>
      <c r="K4" s="951"/>
      <c r="L4" s="960"/>
      <c r="M4" s="961"/>
      <c r="N4" s="951"/>
      <c r="O4" s="960"/>
      <c r="P4" s="961"/>
      <c r="Q4" s="951"/>
      <c r="R4" s="960"/>
      <c r="S4" s="961"/>
      <c r="T4" s="951"/>
      <c r="U4" s="960"/>
      <c r="W4" s="5"/>
      <c r="X4" s="876"/>
      <c r="Y4" s="120"/>
      <c r="Z4" s="120"/>
      <c r="AA4" s="120"/>
      <c r="AB4" s="120"/>
      <c r="AC4" s="120"/>
    </row>
    <row r="5" spans="1:33" s="3" customFormat="1" ht="15.95" customHeight="1">
      <c r="A5" s="888"/>
      <c r="B5" s="889" t="s">
        <v>326</v>
      </c>
      <c r="C5" s="889"/>
      <c r="D5" s="973"/>
      <c r="E5" s="951">
        <f>'ENR#-DB'!Z7</f>
        <v>22925</v>
      </c>
      <c r="F5" s="960"/>
      <c r="G5" s="961"/>
      <c r="H5" s="951">
        <f>'ENR#-DB'!Z10</f>
        <v>3358</v>
      </c>
      <c r="I5" s="960"/>
      <c r="J5" s="961"/>
      <c r="K5" s="951">
        <f>'ENR#-DB'!Z12</f>
        <v>4291</v>
      </c>
      <c r="L5" s="960"/>
      <c r="M5" s="961"/>
      <c r="N5" s="951">
        <f>'ENR#-DB'!Z14</f>
        <v>0</v>
      </c>
      <c r="O5" s="960"/>
      <c r="P5" s="961"/>
      <c r="Q5" s="951">
        <f>'ENR#-DB'!Z16</f>
        <v>0</v>
      </c>
      <c r="R5" s="960"/>
      <c r="S5" s="961"/>
      <c r="T5" s="951">
        <f>'ENR#-DB'!Z18</f>
        <v>0</v>
      </c>
      <c r="U5" s="960"/>
      <c r="W5" s="5"/>
      <c r="X5" s="876"/>
      <c r="Y5" s="120"/>
      <c r="Z5" s="120"/>
      <c r="AA5" s="120"/>
      <c r="AB5" s="120"/>
      <c r="AC5" s="120"/>
    </row>
    <row r="6" spans="1:33" s="3" customFormat="1" ht="15.95" customHeight="1" thickBot="1">
      <c r="A6" s="888"/>
      <c r="B6" s="889" t="s">
        <v>69</v>
      </c>
      <c r="C6" s="889"/>
      <c r="D6" s="973" t="str">
        <f>IF(AND(F6&gt;-0.005,F6&lt;0.005),"","ERROR!")</f>
        <v/>
      </c>
      <c r="E6" s="951">
        <f>B23</f>
        <v>22925</v>
      </c>
      <c r="F6" s="960">
        <f>E5-E6</f>
        <v>0</v>
      </c>
      <c r="G6" s="893" t="str">
        <f>IF(AND(I6&gt;-0.005,I6&lt;0.005),"","ERROR!")</f>
        <v/>
      </c>
      <c r="H6" s="951">
        <f>B43</f>
        <v>3358</v>
      </c>
      <c r="I6" s="960">
        <f>H5-H6</f>
        <v>0</v>
      </c>
      <c r="J6" s="893" t="str">
        <f>IF(AND(L6&gt;-0.005,L6&lt;0.005),"","ERROR!")</f>
        <v/>
      </c>
      <c r="K6" s="951">
        <f>B63</f>
        <v>4291</v>
      </c>
      <c r="L6" s="960">
        <f>K5-K6</f>
        <v>0</v>
      </c>
      <c r="M6" s="893" t="str">
        <f>IF(AND(O6&gt;-0.005,O6&lt;0.005),"","ERROR!")</f>
        <v/>
      </c>
      <c r="N6" s="951">
        <f>B83</f>
        <v>0</v>
      </c>
      <c r="O6" s="960">
        <f>N5-N6</f>
        <v>0</v>
      </c>
      <c r="P6" s="893" t="str">
        <f>IF(AND(R6&gt;-0.005,R6&lt;0.005),"","ERROR!")</f>
        <v/>
      </c>
      <c r="Q6" s="951">
        <f>B103</f>
        <v>0</v>
      </c>
      <c r="R6" s="960">
        <f>Z5-Z6</f>
        <v>0</v>
      </c>
      <c r="S6" s="893" t="str">
        <f>IF(AND(U6&gt;-0.005,U6&lt;0.005),"","ERROR!")</f>
        <v/>
      </c>
      <c r="T6" s="951">
        <f>B123</f>
        <v>0</v>
      </c>
      <c r="U6" s="960">
        <f>T5-T6</f>
        <v>0</v>
      </c>
      <c r="W6" s="5"/>
      <c r="X6" s="876"/>
      <c r="Y6" s="120"/>
      <c r="Z6" s="120"/>
      <c r="AA6" s="120"/>
      <c r="AB6" s="120"/>
      <c r="AC6" s="120"/>
    </row>
    <row r="7" spans="1:33" s="3" customFormat="1" ht="15.95" customHeight="1" thickTop="1" thickBot="1">
      <c r="A7" s="888"/>
      <c r="B7" s="889"/>
      <c r="C7" s="889"/>
      <c r="D7" s="973"/>
      <c r="E7" s="1989" t="s">
        <v>353</v>
      </c>
      <c r="F7" s="1990"/>
      <c r="G7" s="961"/>
      <c r="H7" s="951"/>
      <c r="I7" s="960"/>
      <c r="J7" s="961"/>
      <c r="K7" s="951"/>
      <c r="L7" s="960"/>
      <c r="M7" s="961"/>
      <c r="N7" s="951"/>
      <c r="O7" s="960"/>
      <c r="P7" s="961"/>
      <c r="Q7" s="951"/>
      <c r="R7" s="960"/>
      <c r="S7" s="961"/>
      <c r="T7" s="951"/>
      <c r="U7" s="960"/>
      <c r="W7" s="5"/>
      <c r="X7" s="876"/>
      <c r="Y7" s="120"/>
      <c r="Z7" s="120"/>
      <c r="AA7" s="120"/>
      <c r="AB7" s="120"/>
      <c r="AC7" s="120"/>
    </row>
    <row r="8" spans="1:33" s="3" customFormat="1" ht="15.95" customHeight="1" thickTop="1">
      <c r="A8" s="1993" t="s">
        <v>609</v>
      </c>
      <c r="B8" s="1994"/>
      <c r="C8" s="1994"/>
      <c r="D8" s="1995"/>
      <c r="E8" s="962" t="s">
        <v>352</v>
      </c>
      <c r="F8" s="960" t="str">
        <f>'FIG3'!W50</f>
        <v>FY2010-11</v>
      </c>
      <c r="G8" s="1999" t="s">
        <v>610</v>
      </c>
      <c r="H8" s="2000"/>
      <c r="I8" s="2000"/>
      <c r="J8" s="2000"/>
      <c r="K8" s="2000"/>
      <c r="L8" s="2000"/>
      <c r="M8" s="2000"/>
      <c r="N8" s="2000"/>
      <c r="O8" s="2000"/>
      <c r="P8" s="2000"/>
      <c r="Q8" s="2000"/>
      <c r="R8" s="2000"/>
      <c r="S8" s="2000"/>
      <c r="T8" s="2000"/>
      <c r="U8" s="2001"/>
      <c r="W8" s="5"/>
      <c r="X8" s="876"/>
      <c r="Y8" s="120"/>
      <c r="Z8" s="120"/>
      <c r="AA8" s="120"/>
      <c r="AB8" s="120"/>
      <c r="AC8" s="120"/>
    </row>
    <row r="9" spans="1:33" s="3" customFormat="1" ht="15.95" customHeight="1" thickBot="1">
      <c r="A9" s="1996"/>
      <c r="B9" s="1997"/>
      <c r="C9" s="1997"/>
      <c r="D9" s="1998"/>
      <c r="E9" s="1991" t="s">
        <v>354</v>
      </c>
      <c r="F9" s="1992"/>
      <c r="G9" s="2002"/>
      <c r="H9" s="2003"/>
      <c r="I9" s="2003"/>
      <c r="J9" s="2003"/>
      <c r="K9" s="2003"/>
      <c r="L9" s="2003"/>
      <c r="M9" s="2003"/>
      <c r="N9" s="2003"/>
      <c r="O9" s="2003"/>
      <c r="P9" s="2003"/>
      <c r="Q9" s="2003"/>
      <c r="R9" s="2003"/>
      <c r="S9" s="2003"/>
      <c r="T9" s="2003"/>
      <c r="U9" s="2004"/>
      <c r="V9" s="1"/>
      <c r="W9" s="2"/>
      <c r="X9" s="877"/>
      <c r="Y9" s="1"/>
      <c r="Z9" s="1"/>
      <c r="AA9" s="1"/>
      <c r="AB9" s="1"/>
      <c r="AC9" s="1"/>
      <c r="AD9" s="1"/>
      <c r="AE9" s="1"/>
      <c r="AF9" s="1"/>
      <c r="AG9" s="1"/>
    </row>
    <row r="10" spans="1:33" s="3" customFormat="1" ht="15.95" customHeight="1" thickTop="1" thickBot="1">
      <c r="A10" s="49"/>
      <c r="B10" s="50" t="s">
        <v>0</v>
      </c>
      <c r="C10" s="49"/>
      <c r="D10" s="54"/>
      <c r="E10" s="53"/>
      <c r="F10" s="54"/>
      <c r="G10" s="53"/>
      <c r="H10" s="54"/>
      <c r="I10" s="54"/>
      <c r="J10" s="53"/>
      <c r="K10" s="53"/>
      <c r="L10" s="54"/>
      <c r="M10" s="55"/>
      <c r="N10" s="53"/>
      <c r="O10" s="54"/>
      <c r="P10" s="54"/>
      <c r="Q10" s="53"/>
      <c r="R10" s="53"/>
      <c r="S10" s="872" t="str">
        <f>'ENR#-DB'!$S$34</f>
        <v>UD1</v>
      </c>
      <c r="T10" s="872" t="str">
        <f>'ENR#-DB'!$T$34</f>
        <v>UD2</v>
      </c>
      <c r="U10" s="60"/>
      <c r="V10" s="56"/>
      <c r="W10" s="2"/>
      <c r="X10" s="877"/>
      <c r="Y10" s="56"/>
      <c r="Z10" s="56"/>
      <c r="AA10" s="56"/>
      <c r="AB10" s="56"/>
      <c r="AC10" s="56"/>
      <c r="AD10" s="56"/>
      <c r="AE10" s="56"/>
      <c r="AF10" s="56"/>
      <c r="AG10" s="1"/>
    </row>
    <row r="11" spans="1:33" s="3" customFormat="1" ht="15.95" customHeight="1" thickTop="1" thickBot="1">
      <c r="A11" s="49"/>
      <c r="B11" s="51" t="s">
        <v>4</v>
      </c>
      <c r="C11" s="15"/>
      <c r="D11" s="861" t="s">
        <v>186</v>
      </c>
      <c r="E11" s="861" t="s">
        <v>187</v>
      </c>
      <c r="F11" s="861" t="s">
        <v>188</v>
      </c>
      <c r="G11" s="861" t="s">
        <v>189</v>
      </c>
      <c r="H11" s="861" t="s">
        <v>11</v>
      </c>
      <c r="I11" s="861" t="s">
        <v>190</v>
      </c>
      <c r="J11" s="861" t="s">
        <v>191</v>
      </c>
      <c r="K11" s="862" t="s">
        <v>192</v>
      </c>
      <c r="L11" s="861" t="s">
        <v>203</v>
      </c>
      <c r="M11" s="861" t="s">
        <v>42</v>
      </c>
      <c r="N11" s="861" t="s">
        <v>148</v>
      </c>
      <c r="O11" s="861" t="s">
        <v>193</v>
      </c>
      <c r="P11" s="861" t="s">
        <v>142</v>
      </c>
      <c r="Q11" s="112" t="s">
        <v>239</v>
      </c>
      <c r="R11" s="863" t="s">
        <v>672</v>
      </c>
      <c r="S11" s="859" t="s">
        <v>541</v>
      </c>
      <c r="T11" s="859" t="s">
        <v>542</v>
      </c>
      <c r="U11" s="59"/>
      <c r="V11" s="2"/>
      <c r="W11" s="2"/>
      <c r="X11" s="877"/>
      <c r="Y11" s="2"/>
      <c r="Z11" s="2"/>
      <c r="AA11" s="2"/>
      <c r="AB11" s="2"/>
      <c r="AC11" s="2"/>
      <c r="AD11" s="2"/>
      <c r="AE11" s="2"/>
      <c r="AF11" s="2"/>
      <c r="AG11" s="1"/>
    </row>
    <row r="12" spans="1:33" s="3" customFormat="1" ht="15.95" customHeight="1" thickTop="1">
      <c r="A12" s="49"/>
      <c r="B12" s="50" t="s">
        <v>146</v>
      </c>
      <c r="C12" s="12"/>
      <c r="D12" s="37"/>
      <c r="E12" s="37"/>
      <c r="F12" s="37"/>
      <c r="G12" s="37"/>
      <c r="H12" s="37"/>
      <c r="I12" s="37"/>
      <c r="J12" s="37"/>
      <c r="K12" s="37"/>
      <c r="L12" s="364" t="s">
        <v>34</v>
      </c>
      <c r="M12" s="365"/>
      <c r="N12" s="365" t="str">
        <f>$F$8</f>
        <v>FY2010-11</v>
      </c>
      <c r="O12" s="364"/>
      <c r="P12" s="364" t="s">
        <v>138</v>
      </c>
      <c r="Q12" s="364"/>
      <c r="R12" s="37"/>
      <c r="S12" s="37"/>
      <c r="T12" s="37"/>
      <c r="U12" s="58"/>
      <c r="V12" s="1"/>
      <c r="W12" s="2"/>
      <c r="X12" s="877"/>
      <c r="Y12" s="1"/>
      <c r="Z12" s="1"/>
      <c r="AA12" s="1"/>
      <c r="AB12" s="1"/>
      <c r="AC12" s="1"/>
      <c r="AD12" s="1"/>
      <c r="AE12" s="1"/>
      <c r="AF12" s="1"/>
      <c r="AG12" s="1"/>
    </row>
    <row r="13" spans="1:33" s="3" customFormat="1" ht="15.95" customHeight="1">
      <c r="A13" s="49"/>
      <c r="B13" s="57">
        <f>DSUM('ENR#-DB'!D35:T48,"TOTAL ENROLLMENT",D11:T13)</f>
        <v>1534300</v>
      </c>
      <c r="C13" s="12"/>
      <c r="D13" s="37"/>
      <c r="E13" s="37"/>
      <c r="F13" s="37"/>
      <c r="G13" s="37"/>
      <c r="H13" s="37"/>
      <c r="I13" s="37"/>
      <c r="J13" s="37"/>
      <c r="K13" s="37"/>
      <c r="L13" s="37" t="s">
        <v>34</v>
      </c>
      <c r="M13" s="240"/>
      <c r="N13" s="240" t="str">
        <f>$F$8</f>
        <v>FY2010-11</v>
      </c>
      <c r="O13" s="37"/>
      <c r="P13" s="37" t="s">
        <v>147</v>
      </c>
      <c r="Q13" s="37"/>
      <c r="R13" s="37" t="s">
        <v>103</v>
      </c>
      <c r="S13" s="37"/>
      <c r="T13" s="37"/>
      <c r="U13" s="58"/>
      <c r="V13" s="1"/>
      <c r="W13" s="2"/>
      <c r="X13" s="877"/>
      <c r="Y13" s="1"/>
      <c r="Z13" s="1"/>
      <c r="AA13" s="1"/>
      <c r="AB13" s="1"/>
      <c r="AC13" s="1"/>
      <c r="AD13" s="1"/>
      <c r="AE13" s="1"/>
      <c r="AF13" s="1"/>
      <c r="AG13" s="1"/>
    </row>
    <row r="14" spans="1:33" s="3" customFormat="1" ht="15.95" customHeight="1">
      <c r="A14" s="49"/>
      <c r="B14" s="52"/>
      <c r="C14" s="12"/>
      <c r="D14" s="873"/>
      <c r="E14" s="873"/>
      <c r="F14" s="873"/>
      <c r="G14" s="873"/>
      <c r="H14" s="873"/>
      <c r="I14" s="873"/>
      <c r="J14" s="873"/>
      <c r="K14" s="873"/>
      <c r="L14" s="873"/>
      <c r="M14" s="874"/>
      <c r="N14" s="874"/>
      <c r="O14" s="873"/>
      <c r="P14" s="873"/>
      <c r="Q14" s="873"/>
      <c r="R14" s="873"/>
      <c r="S14" s="873"/>
      <c r="T14" s="873"/>
      <c r="U14" s="58"/>
      <c r="V14" s="1"/>
      <c r="W14" s="2"/>
      <c r="X14" s="877"/>
      <c r="Y14" s="1"/>
      <c r="Z14" s="1"/>
      <c r="AA14" s="1"/>
      <c r="AB14" s="1"/>
      <c r="AC14" s="1"/>
      <c r="AD14" s="1"/>
      <c r="AE14" s="1"/>
      <c r="AF14" s="1"/>
      <c r="AG14" s="1"/>
    </row>
    <row r="15" spans="1:33" s="3" customFormat="1" ht="15.95" customHeight="1">
      <c r="A15" s="49"/>
      <c r="B15" s="1988"/>
      <c r="C15" s="12"/>
      <c r="D15" s="873"/>
      <c r="E15" s="873"/>
      <c r="F15" s="873"/>
      <c r="G15" s="873"/>
      <c r="H15" s="873"/>
      <c r="I15" s="873"/>
      <c r="J15" s="873"/>
      <c r="K15" s="873"/>
      <c r="L15" s="873"/>
      <c r="M15" s="874"/>
      <c r="N15" s="874"/>
      <c r="O15" s="873"/>
      <c r="P15" s="873"/>
      <c r="Q15" s="873"/>
      <c r="R15" s="873"/>
      <c r="S15" s="873"/>
      <c r="T15" s="873"/>
      <c r="U15" s="58"/>
      <c r="V15" s="1"/>
      <c r="W15" s="2"/>
      <c r="X15" s="877"/>
      <c r="Y15" s="1"/>
      <c r="Z15" s="1"/>
      <c r="AA15" s="1"/>
      <c r="AB15" s="1"/>
      <c r="AC15" s="1"/>
      <c r="AD15" s="1"/>
      <c r="AE15" s="1"/>
      <c r="AF15" s="1"/>
      <c r="AG15" s="1"/>
    </row>
    <row r="16" spans="1:33" s="3" customFormat="1" ht="15.95" customHeight="1">
      <c r="A16" s="49"/>
      <c r="B16" s="1988"/>
      <c r="C16" s="12"/>
      <c r="D16" s="873"/>
      <c r="E16" s="873"/>
      <c r="F16" s="873"/>
      <c r="G16" s="873"/>
      <c r="H16" s="873"/>
      <c r="I16" s="873"/>
      <c r="J16" s="873"/>
      <c r="K16" s="873"/>
      <c r="L16" s="873"/>
      <c r="M16" s="874"/>
      <c r="N16" s="874"/>
      <c r="O16" s="873"/>
      <c r="P16" s="873"/>
      <c r="Q16" s="873"/>
      <c r="R16" s="873"/>
      <c r="S16" s="873"/>
      <c r="T16" s="873"/>
      <c r="U16" s="58"/>
      <c r="V16" s="1"/>
      <c r="W16" s="2"/>
      <c r="X16" s="877"/>
      <c r="Y16" s="1"/>
      <c r="Z16" s="1"/>
      <c r="AA16" s="1"/>
      <c r="AB16" s="1"/>
      <c r="AC16" s="1"/>
      <c r="AD16" s="1"/>
      <c r="AE16" s="1"/>
      <c r="AF16" s="1"/>
      <c r="AG16" s="1"/>
    </row>
    <row r="17" spans="1:33" s="3" customFormat="1" ht="15.95" customHeight="1">
      <c r="A17" s="49"/>
      <c r="B17" s="1988"/>
      <c r="C17" s="12"/>
      <c r="D17" s="873"/>
      <c r="E17" s="873"/>
      <c r="F17" s="873"/>
      <c r="G17" s="873"/>
      <c r="H17" s="873"/>
      <c r="I17" s="873"/>
      <c r="J17" s="873"/>
      <c r="K17" s="873"/>
      <c r="L17" s="873"/>
      <c r="M17" s="874"/>
      <c r="N17" s="874"/>
      <c r="O17" s="873"/>
      <c r="P17" s="873"/>
      <c r="Q17" s="873"/>
      <c r="R17" s="873"/>
      <c r="S17" s="873"/>
      <c r="T17" s="873"/>
      <c r="U17" s="58"/>
      <c r="V17" s="1"/>
      <c r="W17" s="2"/>
      <c r="X17" s="877"/>
      <c r="Y17" s="1"/>
      <c r="Z17" s="1"/>
      <c r="AA17" s="1"/>
      <c r="AB17" s="1"/>
      <c r="AC17" s="1"/>
      <c r="AD17" s="1"/>
      <c r="AE17" s="1"/>
      <c r="AF17" s="1"/>
      <c r="AG17" s="1"/>
    </row>
    <row r="18" spans="1:33" s="3" customFormat="1" ht="15.95" customHeight="1">
      <c r="A18" s="49"/>
      <c r="B18" s="1988"/>
      <c r="C18" s="12"/>
      <c r="D18" s="873"/>
      <c r="E18" s="873"/>
      <c r="F18" s="873"/>
      <c r="G18" s="873"/>
      <c r="H18" s="873"/>
      <c r="I18" s="873"/>
      <c r="J18" s="873"/>
      <c r="K18" s="873"/>
      <c r="L18" s="873"/>
      <c r="M18" s="874"/>
      <c r="N18" s="874"/>
      <c r="O18" s="873"/>
      <c r="P18" s="873"/>
      <c r="Q18" s="873"/>
      <c r="R18" s="873"/>
      <c r="S18" s="873"/>
      <c r="T18" s="873"/>
      <c r="U18" s="58"/>
      <c r="V18" s="1"/>
      <c r="W18" s="879"/>
      <c r="X18" s="877"/>
      <c r="Y18" s="1"/>
      <c r="Z18" s="1"/>
      <c r="AA18" s="1"/>
      <c r="AB18" s="1"/>
      <c r="AC18" s="1"/>
      <c r="AD18" s="1"/>
      <c r="AE18" s="1"/>
      <c r="AF18" s="1"/>
      <c r="AG18" s="1"/>
    </row>
    <row r="19" spans="1:33" s="3" customFormat="1" ht="15.95" customHeight="1">
      <c r="A19" s="11"/>
      <c r="B19" s="12"/>
      <c r="C19" s="12"/>
      <c r="D19" s="14"/>
      <c r="E19" s="13"/>
      <c r="F19" s="14"/>
      <c r="G19" s="13"/>
      <c r="H19" s="14"/>
      <c r="I19" s="14"/>
      <c r="J19" s="13"/>
      <c r="K19" s="13"/>
      <c r="L19" s="14"/>
      <c r="M19" s="14"/>
      <c r="N19" s="13"/>
      <c r="O19" s="14"/>
      <c r="P19" s="14"/>
      <c r="Q19" s="13"/>
      <c r="R19" s="14"/>
      <c r="S19" s="14"/>
      <c r="T19" s="14"/>
      <c r="U19" s="58"/>
      <c r="V19" s="1"/>
      <c r="W19" s="2"/>
      <c r="X19" s="877"/>
      <c r="Y19" s="1"/>
      <c r="Z19" s="1"/>
      <c r="AA19" s="1"/>
      <c r="AB19" s="1"/>
      <c r="AC19" s="1"/>
      <c r="AD19" s="1"/>
      <c r="AE19" s="1"/>
      <c r="AF19" s="1"/>
      <c r="AG19" s="1"/>
    </row>
    <row r="20" spans="1:33" s="3" customFormat="1" ht="15.95" customHeight="1" thickBot="1">
      <c r="A20" s="49"/>
      <c r="B20" s="50" t="s">
        <v>0</v>
      </c>
      <c r="C20" s="49"/>
      <c r="D20" s="54"/>
      <c r="E20" s="53"/>
      <c r="F20" s="54"/>
      <c r="G20" s="53"/>
      <c r="H20" s="54"/>
      <c r="I20" s="54"/>
      <c r="J20" s="53"/>
      <c r="K20" s="53"/>
      <c r="L20" s="54"/>
      <c r="M20" s="55"/>
      <c r="N20" s="53"/>
      <c r="O20" s="54"/>
      <c r="P20" s="54"/>
      <c r="Q20" s="53"/>
      <c r="R20" s="53"/>
      <c r="S20" s="871" t="str">
        <f>'ENR#-DB'!$S$34</f>
        <v>UD1</v>
      </c>
      <c r="T20" s="871" t="str">
        <f>'ENR#-DB'!$T$34</f>
        <v>UD2</v>
      </c>
      <c r="U20" s="60"/>
      <c r="V20" s="56"/>
      <c r="W20" s="120"/>
      <c r="X20" s="2"/>
      <c r="Y20" s="877"/>
      <c r="Z20" s="56"/>
      <c r="AA20" s="56"/>
      <c r="AB20" s="120"/>
      <c r="AC20" s="2"/>
      <c r="AD20" s="877"/>
      <c r="AE20" s="56"/>
      <c r="AF20" s="56"/>
      <c r="AG20" s="1"/>
    </row>
    <row r="21" spans="1:33" s="3" customFormat="1" ht="15.95" customHeight="1" thickTop="1" thickBot="1">
      <c r="A21" s="49"/>
      <c r="B21" s="51" t="s">
        <v>175</v>
      </c>
      <c r="C21" s="15"/>
      <c r="D21" s="861" t="s">
        <v>186</v>
      </c>
      <c r="E21" s="861" t="s">
        <v>187</v>
      </c>
      <c r="F21" s="861" t="s">
        <v>188</v>
      </c>
      <c r="G21" s="861" t="s">
        <v>189</v>
      </c>
      <c r="H21" s="861" t="s">
        <v>11</v>
      </c>
      <c r="I21" s="861" t="s">
        <v>190</v>
      </c>
      <c r="J21" s="861" t="s">
        <v>191</v>
      </c>
      <c r="K21" s="862" t="s">
        <v>192</v>
      </c>
      <c r="L21" s="861" t="s">
        <v>203</v>
      </c>
      <c r="M21" s="861" t="s">
        <v>42</v>
      </c>
      <c r="N21" s="861" t="s">
        <v>148</v>
      </c>
      <c r="O21" s="861" t="s">
        <v>193</v>
      </c>
      <c r="P21" s="861" t="s">
        <v>142</v>
      </c>
      <c r="Q21" s="112" t="s">
        <v>239</v>
      </c>
      <c r="R21" s="967" t="s">
        <v>672</v>
      </c>
      <c r="S21" s="859" t="s">
        <v>541</v>
      </c>
      <c r="T21" s="859" t="s">
        <v>542</v>
      </c>
      <c r="U21" s="59"/>
      <c r="V21" s="2"/>
      <c r="W21" s="120"/>
      <c r="X21" s="2"/>
      <c r="Y21" s="877"/>
      <c r="Z21" s="2"/>
      <c r="AA21" s="2"/>
      <c r="AB21" s="2"/>
      <c r="AC21" s="2"/>
      <c r="AD21" s="2"/>
      <c r="AE21" s="2"/>
      <c r="AF21" s="2"/>
      <c r="AG21" s="1"/>
    </row>
    <row r="22" spans="1:33" s="3" customFormat="1" ht="15.95" customHeight="1" thickTop="1">
      <c r="A22" s="49"/>
      <c r="B22" s="50" t="s">
        <v>146</v>
      </c>
      <c r="C22" s="12"/>
      <c r="D22" s="37"/>
      <c r="E22" s="37"/>
      <c r="F22" s="37"/>
      <c r="G22" s="37"/>
      <c r="H22" s="37"/>
      <c r="I22" s="37"/>
      <c r="J22" s="37"/>
      <c r="K22" s="37"/>
      <c r="L22" s="37" t="s">
        <v>34</v>
      </c>
      <c r="M22" s="240"/>
      <c r="N22" s="37" t="str">
        <f>$F$8</f>
        <v>FY2010-11</v>
      </c>
      <c r="O22" s="37"/>
      <c r="P22" s="37" t="s">
        <v>147</v>
      </c>
      <c r="Q22" s="37"/>
      <c r="R22" s="37" t="s">
        <v>611</v>
      </c>
      <c r="S22" s="37"/>
      <c r="T22" s="37"/>
      <c r="U22" s="58"/>
      <c r="V22" s="1"/>
      <c r="W22" s="120"/>
      <c r="X22" s="2"/>
      <c r="Y22" s="877"/>
      <c r="Z22" s="1"/>
      <c r="AA22" s="1"/>
      <c r="AB22" s="1"/>
      <c r="AC22" s="1"/>
      <c r="AD22" s="1"/>
      <c r="AE22" s="1"/>
      <c r="AF22" s="1"/>
      <c r="AG22" s="1"/>
    </row>
    <row r="23" spans="1:33" s="3" customFormat="1" ht="15.95" customHeight="1">
      <c r="A23" s="49"/>
      <c r="B23" s="57">
        <f>DSUM('ENR#-DB'!D35:T48,"TOTAL ENROLLMENT",D21:T22)</f>
        <v>22925</v>
      </c>
      <c r="C23" s="12"/>
      <c r="D23" s="873"/>
      <c r="E23" s="873"/>
      <c r="F23" s="873"/>
      <c r="G23" s="873"/>
      <c r="H23" s="873"/>
      <c r="I23" s="873"/>
      <c r="J23" s="873"/>
      <c r="K23" s="873"/>
      <c r="L23" s="873"/>
      <c r="M23" s="874"/>
      <c r="N23" s="873"/>
      <c r="O23" s="873"/>
      <c r="P23" s="873"/>
      <c r="Q23" s="873"/>
      <c r="R23" s="873"/>
      <c r="S23" s="873"/>
      <c r="T23" s="873"/>
      <c r="U23" s="58"/>
      <c r="V23" s="1"/>
      <c r="W23" s="120"/>
      <c r="X23" s="2"/>
      <c r="Y23" s="877"/>
      <c r="Z23" s="1"/>
      <c r="AA23" s="1"/>
      <c r="AB23" s="1"/>
      <c r="AC23" s="1"/>
      <c r="AD23" s="1"/>
      <c r="AE23" s="1"/>
      <c r="AF23" s="1"/>
      <c r="AG23" s="1"/>
    </row>
    <row r="24" spans="1:33" s="3" customFormat="1" ht="15.95" customHeight="1">
      <c r="A24" s="49"/>
      <c r="B24" s="52"/>
      <c r="C24" s="12"/>
      <c r="D24" s="873"/>
      <c r="E24" s="873"/>
      <c r="F24" s="873"/>
      <c r="G24" s="873"/>
      <c r="H24" s="873"/>
      <c r="I24" s="873"/>
      <c r="J24" s="873"/>
      <c r="K24" s="873"/>
      <c r="L24" s="873"/>
      <c r="M24" s="874"/>
      <c r="N24" s="873"/>
      <c r="O24" s="873"/>
      <c r="P24" s="873"/>
      <c r="Q24" s="873"/>
      <c r="R24" s="873"/>
      <c r="S24" s="873"/>
      <c r="T24" s="873"/>
      <c r="U24" s="58"/>
      <c r="V24" s="1"/>
      <c r="W24" s="2"/>
      <c r="X24" s="877"/>
      <c r="Y24" s="1"/>
      <c r="Z24" s="1"/>
      <c r="AA24" s="1"/>
      <c r="AB24" s="1"/>
      <c r="AC24" s="1"/>
      <c r="AD24" s="1"/>
      <c r="AE24" s="1"/>
      <c r="AF24" s="1"/>
      <c r="AG24" s="1"/>
    </row>
    <row r="25" spans="1:33" s="3" customFormat="1" ht="15.95" customHeight="1">
      <c r="A25" s="49"/>
      <c r="B25" s="52"/>
      <c r="C25" s="12"/>
      <c r="D25" s="873"/>
      <c r="E25" s="873"/>
      <c r="F25" s="873"/>
      <c r="G25" s="873"/>
      <c r="H25" s="873"/>
      <c r="I25" s="873"/>
      <c r="J25" s="873"/>
      <c r="K25" s="873"/>
      <c r="L25" s="873"/>
      <c r="M25" s="874"/>
      <c r="N25" s="873"/>
      <c r="O25" s="873"/>
      <c r="P25" s="873"/>
      <c r="Q25" s="873"/>
      <c r="R25" s="873"/>
      <c r="S25" s="873"/>
      <c r="T25" s="873"/>
      <c r="U25" s="58"/>
      <c r="V25" s="1"/>
      <c r="W25" s="2"/>
      <c r="X25" s="877"/>
      <c r="Y25" s="1"/>
      <c r="Z25" s="1"/>
      <c r="AA25" s="1"/>
      <c r="AB25" s="1"/>
      <c r="AC25" s="1"/>
      <c r="AD25" s="1"/>
      <c r="AE25" s="1"/>
      <c r="AF25" s="1"/>
      <c r="AG25" s="1"/>
    </row>
    <row r="26" spans="1:33" s="3" customFormat="1" ht="15.95" customHeight="1">
      <c r="A26" s="49"/>
      <c r="B26" s="52"/>
      <c r="C26" s="12"/>
      <c r="D26" s="873"/>
      <c r="E26" s="873"/>
      <c r="F26" s="873"/>
      <c r="G26" s="873"/>
      <c r="H26" s="873"/>
      <c r="I26" s="873"/>
      <c r="J26" s="873"/>
      <c r="K26" s="873"/>
      <c r="L26" s="873"/>
      <c r="M26" s="874"/>
      <c r="N26" s="873"/>
      <c r="O26" s="873"/>
      <c r="P26" s="873"/>
      <c r="Q26" s="873"/>
      <c r="R26" s="873"/>
      <c r="S26" s="873"/>
      <c r="T26" s="873"/>
      <c r="U26" s="58"/>
      <c r="V26" s="1"/>
      <c r="W26" s="2"/>
      <c r="X26" s="877"/>
      <c r="Y26" s="1"/>
      <c r="Z26" s="1"/>
      <c r="AA26" s="1"/>
      <c r="AB26" s="1"/>
      <c r="AC26" s="1"/>
      <c r="AD26" s="1"/>
      <c r="AE26" s="1"/>
      <c r="AF26" s="1"/>
      <c r="AG26" s="1"/>
    </row>
    <row r="27" spans="1:33" s="3" customFormat="1" ht="15.95" customHeight="1">
      <c r="A27" s="49"/>
      <c r="B27" s="52"/>
      <c r="C27" s="12"/>
      <c r="D27" s="873"/>
      <c r="E27" s="873"/>
      <c r="F27" s="873"/>
      <c r="G27" s="873"/>
      <c r="H27" s="873"/>
      <c r="I27" s="873"/>
      <c r="J27" s="873"/>
      <c r="K27" s="873"/>
      <c r="L27" s="873"/>
      <c r="M27" s="874"/>
      <c r="N27" s="873"/>
      <c r="O27" s="873"/>
      <c r="P27" s="873"/>
      <c r="Q27" s="873"/>
      <c r="R27" s="873"/>
      <c r="S27" s="873"/>
      <c r="T27" s="873"/>
      <c r="U27" s="58"/>
      <c r="V27" s="1"/>
      <c r="W27" s="2"/>
      <c r="X27" s="877"/>
      <c r="Y27" s="1"/>
      <c r="Z27" s="1"/>
      <c r="AA27" s="1"/>
      <c r="AB27" s="1"/>
      <c r="AC27" s="1"/>
      <c r="AD27" s="1"/>
      <c r="AE27" s="1"/>
      <c r="AF27" s="1"/>
      <c r="AG27" s="1"/>
    </row>
    <row r="28" spans="1:33" s="3" customFormat="1" ht="15.95" customHeight="1">
      <c r="A28" s="49"/>
      <c r="B28" s="52"/>
      <c r="C28" s="12"/>
      <c r="D28" s="873"/>
      <c r="E28" s="873"/>
      <c r="F28" s="873"/>
      <c r="G28" s="873"/>
      <c r="H28" s="873"/>
      <c r="I28" s="873"/>
      <c r="J28" s="873"/>
      <c r="K28" s="873"/>
      <c r="L28" s="873"/>
      <c r="M28" s="874"/>
      <c r="N28" s="873"/>
      <c r="O28" s="873"/>
      <c r="P28" s="873"/>
      <c r="Q28" s="873"/>
      <c r="R28" s="873"/>
      <c r="S28" s="873"/>
      <c r="T28" s="873"/>
      <c r="U28" s="58"/>
      <c r="V28" s="1"/>
      <c r="W28" s="2"/>
      <c r="X28" s="877"/>
      <c r="Y28" s="1"/>
      <c r="Z28" s="1"/>
      <c r="AA28" s="1"/>
      <c r="AB28" s="1"/>
      <c r="AC28" s="1"/>
      <c r="AD28" s="1"/>
      <c r="AE28" s="1"/>
      <c r="AF28" s="1"/>
      <c r="AG28" s="1"/>
    </row>
    <row r="29" spans="1:33" s="3" customFormat="1" ht="15.95" customHeight="1">
      <c r="A29" s="25"/>
      <c r="B29" s="26"/>
      <c r="C29" s="26"/>
      <c r="D29" s="28"/>
      <c r="E29" s="28"/>
      <c r="F29" s="28"/>
      <c r="G29" s="28"/>
      <c r="H29" s="28"/>
      <c r="I29" s="28"/>
      <c r="J29" s="28"/>
      <c r="K29" s="28"/>
      <c r="L29" s="28"/>
      <c r="M29" s="28"/>
      <c r="N29" s="28"/>
      <c r="O29" s="28"/>
      <c r="P29" s="28"/>
      <c r="Q29" s="28"/>
      <c r="R29" s="28"/>
      <c r="S29" s="28"/>
      <c r="T29" s="28"/>
      <c r="U29" s="58"/>
      <c r="V29" s="1"/>
      <c r="W29" s="2"/>
      <c r="X29" s="877"/>
      <c r="Y29" s="1"/>
      <c r="Z29" s="1"/>
      <c r="AA29" s="1"/>
      <c r="AB29" s="1"/>
      <c r="AC29" s="1"/>
      <c r="AD29" s="1"/>
      <c r="AE29" s="1"/>
      <c r="AF29" s="1"/>
      <c r="AG29" s="1"/>
    </row>
    <row r="30" spans="1:33" s="3" customFormat="1" ht="15.95" customHeight="1" thickBot="1">
      <c r="A30" s="49"/>
      <c r="B30" s="50" t="str">
        <f>"FA1 = "&amp;'FIG3'!$W$52&amp;" "&amp;'FIG3'!$X$52</f>
        <v>FA1 = Fulton County District</v>
      </c>
      <c r="C30" s="49"/>
      <c r="D30" s="54"/>
      <c r="E30" s="54"/>
      <c r="F30" s="54"/>
      <c r="G30" s="54"/>
      <c r="H30" s="54"/>
      <c r="I30" s="54"/>
      <c r="J30" s="54"/>
      <c r="K30" s="54"/>
      <c r="L30" s="54"/>
      <c r="M30" s="55"/>
      <c r="N30" s="54"/>
      <c r="O30" s="54"/>
      <c r="P30" s="54"/>
      <c r="Q30" s="54"/>
      <c r="R30" s="53"/>
      <c r="S30" s="871" t="str">
        <f>'ENR#-DB'!$S$34</f>
        <v>UD1</v>
      </c>
      <c r="T30" s="871" t="str">
        <f>'ENR#-DB'!$T$34</f>
        <v>UD2</v>
      </c>
      <c r="U30" s="60"/>
      <c r="V30" s="56"/>
      <c r="W30" s="2"/>
      <c r="X30" s="877"/>
      <c r="Y30" s="56"/>
      <c r="Z30" s="56"/>
      <c r="AA30" s="56"/>
      <c r="AB30" s="56"/>
      <c r="AC30" s="56"/>
      <c r="AD30" s="56"/>
      <c r="AE30" s="56"/>
      <c r="AF30" s="56"/>
      <c r="AG30" s="1"/>
    </row>
    <row r="31" spans="1:33" s="3" customFormat="1" ht="15.95" customHeight="1" thickTop="1" thickBot="1">
      <c r="A31" s="49"/>
      <c r="B31" s="51" t="s">
        <v>4</v>
      </c>
      <c r="C31" s="15"/>
      <c r="D31" s="861" t="s">
        <v>186</v>
      </c>
      <c r="E31" s="861" t="s">
        <v>187</v>
      </c>
      <c r="F31" s="861" t="s">
        <v>188</v>
      </c>
      <c r="G31" s="861" t="s">
        <v>189</v>
      </c>
      <c r="H31" s="861" t="s">
        <v>11</v>
      </c>
      <c r="I31" s="861" t="s">
        <v>190</v>
      </c>
      <c r="J31" s="861" t="s">
        <v>191</v>
      </c>
      <c r="K31" s="862" t="s">
        <v>192</v>
      </c>
      <c r="L31" s="861" t="s">
        <v>203</v>
      </c>
      <c r="M31" s="861" t="s">
        <v>42</v>
      </c>
      <c r="N31" s="861" t="s">
        <v>148</v>
      </c>
      <c r="O31" s="861" t="s">
        <v>193</v>
      </c>
      <c r="P31" s="861" t="s">
        <v>142</v>
      </c>
      <c r="Q31" s="112" t="s">
        <v>239</v>
      </c>
      <c r="R31" s="967" t="s">
        <v>672</v>
      </c>
      <c r="S31" s="859" t="s">
        <v>541</v>
      </c>
      <c r="T31" s="859" t="s">
        <v>542</v>
      </c>
      <c r="U31" s="59"/>
      <c r="V31" s="2"/>
      <c r="W31" s="2"/>
      <c r="X31" s="877"/>
      <c r="Y31" s="2"/>
      <c r="Z31" s="2"/>
      <c r="AA31" s="2"/>
      <c r="AB31" s="2"/>
      <c r="AC31" s="2"/>
      <c r="AD31" s="2"/>
      <c r="AE31" s="2"/>
      <c r="AF31" s="2"/>
      <c r="AG31" s="1"/>
    </row>
    <row r="32" spans="1:33" s="3" customFormat="1" ht="15.95" customHeight="1" thickTop="1">
      <c r="A32" s="49"/>
      <c r="B32" s="50" t="s">
        <v>146</v>
      </c>
      <c r="C32" s="12"/>
      <c r="D32" s="38"/>
      <c r="E32" s="38"/>
      <c r="F32" s="38"/>
      <c r="G32" s="38"/>
      <c r="H32" s="38"/>
      <c r="I32" s="38"/>
      <c r="J32" s="38"/>
      <c r="K32" s="38"/>
      <c r="L32" s="38" t="s">
        <v>34</v>
      </c>
      <c r="M32" s="38"/>
      <c r="N32" s="38" t="str">
        <f>$F$8</f>
        <v>FY2010-11</v>
      </c>
      <c r="O32" s="38" t="s">
        <v>152</v>
      </c>
      <c r="P32" s="38" t="s">
        <v>138</v>
      </c>
      <c r="Q32" s="38"/>
      <c r="R32" s="38"/>
      <c r="S32" s="38"/>
      <c r="T32" s="38"/>
      <c r="U32" s="58"/>
      <c r="V32" s="1"/>
      <c r="W32" s="2"/>
      <c r="X32" s="877"/>
      <c r="Y32" s="1"/>
      <c r="Z32" s="1"/>
      <c r="AA32" s="1"/>
      <c r="AB32" s="1"/>
      <c r="AC32" s="1"/>
      <c r="AD32" s="1"/>
      <c r="AE32" s="1"/>
      <c r="AF32" s="1"/>
      <c r="AG32" s="1"/>
    </row>
    <row r="33" spans="1:33" s="3" customFormat="1" ht="15.95" customHeight="1">
      <c r="A33" s="49"/>
      <c r="B33" s="57">
        <f>DSUM('ENR#-DB'!D35:T48,"TOTAL ENROLLMENT",D31:T33)</f>
        <v>85844</v>
      </c>
      <c r="C33" s="12"/>
      <c r="D33" s="38"/>
      <c r="E33" s="38"/>
      <c r="F33" s="38"/>
      <c r="G33" s="38"/>
      <c r="H33" s="38"/>
      <c r="I33" s="38"/>
      <c r="J33" s="38"/>
      <c r="K33" s="38"/>
      <c r="L33" s="38" t="s">
        <v>34</v>
      </c>
      <c r="M33" s="38"/>
      <c r="N33" s="38" t="str">
        <f>$F$8</f>
        <v>FY2010-11</v>
      </c>
      <c r="O33" s="38" t="s">
        <v>152</v>
      </c>
      <c r="P33" s="38" t="s">
        <v>147</v>
      </c>
      <c r="Q33" s="38"/>
      <c r="R33" s="38" t="s">
        <v>103</v>
      </c>
      <c r="S33" s="38"/>
      <c r="T33" s="38"/>
      <c r="U33" s="58"/>
      <c r="V33" s="1"/>
      <c r="W33" s="2"/>
      <c r="X33" s="877"/>
      <c r="Y33" s="1"/>
      <c r="Z33" s="1"/>
      <c r="AA33" s="1"/>
      <c r="AB33" s="1"/>
      <c r="AC33" s="1"/>
      <c r="AD33" s="1"/>
      <c r="AE33" s="1"/>
      <c r="AF33" s="1"/>
      <c r="AG33" s="1"/>
    </row>
    <row r="34" spans="1:33" s="3" customFormat="1" ht="15.95" customHeight="1">
      <c r="A34" s="49"/>
      <c r="B34" s="52"/>
      <c r="C34" s="12"/>
      <c r="D34" s="873"/>
      <c r="E34" s="873"/>
      <c r="F34" s="873"/>
      <c r="G34" s="873"/>
      <c r="H34" s="873"/>
      <c r="I34" s="873"/>
      <c r="J34" s="873"/>
      <c r="K34" s="873"/>
      <c r="L34" s="873"/>
      <c r="M34" s="873"/>
      <c r="N34" s="873"/>
      <c r="O34" s="873"/>
      <c r="P34" s="873"/>
      <c r="Q34" s="873"/>
      <c r="R34" s="873"/>
      <c r="S34" s="873"/>
      <c r="T34" s="873"/>
      <c r="U34" s="58"/>
      <c r="V34" s="1"/>
      <c r="W34" s="2"/>
      <c r="X34" s="877"/>
      <c r="Y34" s="1"/>
      <c r="Z34" s="1"/>
      <c r="AA34" s="1"/>
      <c r="AB34" s="1"/>
      <c r="AC34" s="1"/>
      <c r="AD34" s="1"/>
      <c r="AE34" s="1"/>
      <c r="AF34" s="1"/>
      <c r="AG34" s="1"/>
    </row>
    <row r="35" spans="1:33" s="3" customFormat="1" ht="15.95" customHeight="1">
      <c r="A35" s="49"/>
      <c r="B35" s="52"/>
      <c r="C35" s="12"/>
      <c r="D35" s="873"/>
      <c r="E35" s="873"/>
      <c r="F35" s="873"/>
      <c r="G35" s="873"/>
      <c r="H35" s="873"/>
      <c r="I35" s="873"/>
      <c r="J35" s="873"/>
      <c r="K35" s="873"/>
      <c r="L35" s="873"/>
      <c r="M35" s="873"/>
      <c r="N35" s="873"/>
      <c r="O35" s="873"/>
      <c r="P35" s="873"/>
      <c r="Q35" s="873"/>
      <c r="R35" s="873"/>
      <c r="S35" s="873"/>
      <c r="T35" s="873"/>
      <c r="U35" s="58"/>
      <c r="V35" s="1"/>
      <c r="W35" s="2"/>
      <c r="X35" s="877"/>
      <c r="Y35" s="1"/>
      <c r="Z35" s="1"/>
      <c r="AA35" s="1"/>
      <c r="AB35" s="1"/>
      <c r="AC35" s="1"/>
      <c r="AD35" s="1"/>
      <c r="AE35" s="1"/>
      <c r="AF35" s="1"/>
      <c r="AG35" s="1"/>
    </row>
    <row r="36" spans="1:33" s="3" customFormat="1" ht="15.95" customHeight="1">
      <c r="A36" s="49"/>
      <c r="B36" s="52"/>
      <c r="C36" s="12"/>
      <c r="D36" s="873"/>
      <c r="E36" s="873"/>
      <c r="F36" s="873"/>
      <c r="G36" s="873"/>
      <c r="H36" s="873"/>
      <c r="I36" s="873"/>
      <c r="J36" s="873"/>
      <c r="K36" s="873"/>
      <c r="L36" s="873"/>
      <c r="M36" s="873"/>
      <c r="N36" s="873"/>
      <c r="O36" s="873"/>
      <c r="P36" s="873"/>
      <c r="Q36" s="873"/>
      <c r="R36" s="873"/>
      <c r="S36" s="873"/>
      <c r="T36" s="873"/>
      <c r="U36" s="58"/>
      <c r="V36" s="1"/>
      <c r="W36" s="2"/>
      <c r="X36" s="877"/>
      <c r="Y36" s="1"/>
      <c r="Z36" s="1"/>
      <c r="AA36" s="1"/>
      <c r="AB36" s="1"/>
      <c r="AC36" s="1"/>
      <c r="AD36" s="1"/>
      <c r="AE36" s="1"/>
      <c r="AF36" s="1"/>
      <c r="AG36" s="1"/>
    </row>
    <row r="37" spans="1:33" s="3" customFormat="1" ht="15.95" customHeight="1">
      <c r="A37" s="49"/>
      <c r="B37" s="52"/>
      <c r="C37" s="12"/>
      <c r="D37" s="873"/>
      <c r="E37" s="873"/>
      <c r="F37" s="873"/>
      <c r="G37" s="873"/>
      <c r="H37" s="873"/>
      <c r="I37" s="873"/>
      <c r="J37" s="873"/>
      <c r="K37" s="873"/>
      <c r="L37" s="873"/>
      <c r="M37" s="873"/>
      <c r="N37" s="873"/>
      <c r="O37" s="873"/>
      <c r="P37" s="873"/>
      <c r="Q37" s="873"/>
      <c r="R37" s="873"/>
      <c r="S37" s="873"/>
      <c r="T37" s="873"/>
      <c r="U37" s="58"/>
      <c r="V37" s="1"/>
      <c r="W37" s="2"/>
      <c r="X37" s="877"/>
      <c r="Y37" s="1"/>
      <c r="Z37" s="1"/>
      <c r="AA37" s="1"/>
      <c r="AB37" s="1"/>
      <c r="AC37" s="1"/>
      <c r="AD37" s="1"/>
      <c r="AE37" s="1"/>
      <c r="AF37" s="1"/>
      <c r="AG37" s="1"/>
    </row>
    <row r="38" spans="1:33" s="3" customFormat="1" ht="15.95" customHeight="1">
      <c r="A38" s="49"/>
      <c r="B38" s="52"/>
      <c r="C38" s="12"/>
      <c r="D38" s="873"/>
      <c r="E38" s="873"/>
      <c r="F38" s="873"/>
      <c r="G38" s="873"/>
      <c r="H38" s="873"/>
      <c r="I38" s="873"/>
      <c r="J38" s="873"/>
      <c r="K38" s="873"/>
      <c r="L38" s="873"/>
      <c r="M38" s="873"/>
      <c r="N38" s="873"/>
      <c r="O38" s="873"/>
      <c r="P38" s="873"/>
      <c r="Q38" s="873"/>
      <c r="R38" s="873"/>
      <c r="S38" s="873"/>
      <c r="T38" s="873"/>
      <c r="U38" s="58"/>
      <c r="V38" s="1"/>
      <c r="W38" s="2"/>
      <c r="X38" s="877"/>
      <c r="Y38" s="1"/>
      <c r="Z38" s="1"/>
      <c r="AA38" s="1"/>
      <c r="AB38" s="1"/>
      <c r="AC38" s="1"/>
      <c r="AD38" s="1"/>
      <c r="AE38" s="1"/>
      <c r="AF38" s="1"/>
      <c r="AG38" s="1"/>
    </row>
    <row r="39" spans="1:33" s="3" customFormat="1" ht="15.95" customHeight="1">
      <c r="A39" s="25"/>
      <c r="B39" s="26"/>
      <c r="C39" s="26"/>
      <c r="D39" s="28"/>
      <c r="E39" s="28"/>
      <c r="F39" s="28"/>
      <c r="G39" s="28"/>
      <c r="H39" s="28"/>
      <c r="I39" s="28"/>
      <c r="J39" s="28"/>
      <c r="K39" s="28"/>
      <c r="L39" s="28"/>
      <c r="M39" s="28"/>
      <c r="N39" s="28"/>
      <c r="O39" s="28"/>
      <c r="P39" s="28"/>
      <c r="Q39" s="28"/>
      <c r="R39" s="28"/>
      <c r="S39" s="28"/>
      <c r="T39" s="28"/>
      <c r="U39" s="58"/>
      <c r="V39" s="1"/>
      <c r="W39" s="2"/>
      <c r="X39" s="877"/>
      <c r="Y39" s="1"/>
      <c r="Z39" s="1"/>
      <c r="AA39" s="1"/>
      <c r="AB39" s="1"/>
      <c r="AC39" s="1"/>
      <c r="AD39" s="1"/>
      <c r="AE39" s="1"/>
      <c r="AF39" s="1"/>
      <c r="AG39" s="1"/>
    </row>
    <row r="40" spans="1:33" s="3" customFormat="1" ht="15.95" customHeight="1" thickBot="1">
      <c r="A40" s="49"/>
      <c r="B40" s="50" t="str">
        <f>"FA1 = "&amp;'FIG3'!$W$52&amp;" "&amp;'FIG3'!$X$52</f>
        <v>FA1 = Fulton County District</v>
      </c>
      <c r="C40" s="49"/>
      <c r="D40" s="54"/>
      <c r="E40" s="54"/>
      <c r="F40" s="54"/>
      <c r="G40" s="54"/>
      <c r="H40" s="54"/>
      <c r="I40" s="54"/>
      <c r="J40" s="54"/>
      <c r="K40" s="54"/>
      <c r="L40" s="54"/>
      <c r="M40" s="55"/>
      <c r="N40" s="54"/>
      <c r="O40" s="54"/>
      <c r="P40" s="54"/>
      <c r="Q40" s="54"/>
      <c r="R40" s="53"/>
      <c r="S40" s="871" t="str">
        <f>'ENR#-DB'!$S$34</f>
        <v>UD1</v>
      </c>
      <c r="T40" s="871" t="str">
        <f>'ENR#-DB'!$T$34</f>
        <v>UD2</v>
      </c>
      <c r="U40" s="60"/>
      <c r="V40" s="56"/>
      <c r="W40" s="2"/>
      <c r="X40" s="877"/>
      <c r="Y40" s="56"/>
      <c r="Z40" s="56"/>
      <c r="AA40" s="56"/>
      <c r="AB40" s="56"/>
      <c r="AC40" s="56"/>
      <c r="AD40" s="56"/>
      <c r="AE40" s="56"/>
      <c r="AF40" s="56"/>
      <c r="AG40" s="1"/>
    </row>
    <row r="41" spans="1:33" s="3" customFormat="1" ht="15.95" customHeight="1" thickTop="1" thickBot="1">
      <c r="A41" s="49"/>
      <c r="B41" s="51" t="s">
        <v>175</v>
      </c>
      <c r="C41" s="15"/>
      <c r="D41" s="861" t="s">
        <v>186</v>
      </c>
      <c r="E41" s="861" t="s">
        <v>187</v>
      </c>
      <c r="F41" s="861" t="s">
        <v>188</v>
      </c>
      <c r="G41" s="861" t="s">
        <v>189</v>
      </c>
      <c r="H41" s="861" t="s">
        <v>11</v>
      </c>
      <c r="I41" s="861" t="s">
        <v>190</v>
      </c>
      <c r="J41" s="861" t="s">
        <v>191</v>
      </c>
      <c r="K41" s="862" t="s">
        <v>192</v>
      </c>
      <c r="L41" s="861" t="s">
        <v>203</v>
      </c>
      <c r="M41" s="861" t="s">
        <v>42</v>
      </c>
      <c r="N41" s="861" t="s">
        <v>148</v>
      </c>
      <c r="O41" s="861" t="s">
        <v>193</v>
      </c>
      <c r="P41" s="861" t="s">
        <v>142</v>
      </c>
      <c r="Q41" s="112" t="s">
        <v>239</v>
      </c>
      <c r="R41" s="967" t="s">
        <v>672</v>
      </c>
      <c r="S41" s="859" t="s">
        <v>541</v>
      </c>
      <c r="T41" s="859" t="s">
        <v>542</v>
      </c>
      <c r="U41" s="59"/>
      <c r="V41" s="2"/>
      <c r="W41" s="2"/>
      <c r="X41" s="877"/>
      <c r="Y41" s="2"/>
      <c r="Z41" s="2"/>
      <c r="AA41" s="2"/>
      <c r="AB41" s="2"/>
      <c r="AC41" s="2"/>
      <c r="AD41" s="2"/>
      <c r="AE41" s="2"/>
      <c r="AF41" s="2"/>
      <c r="AG41" s="1"/>
    </row>
    <row r="42" spans="1:33" s="3" customFormat="1" ht="15.95" customHeight="1" thickTop="1">
      <c r="A42" s="49"/>
      <c r="B42" s="50" t="s">
        <v>146</v>
      </c>
      <c r="C42" s="12"/>
      <c r="D42" s="38"/>
      <c r="E42" s="38"/>
      <c r="F42" s="38"/>
      <c r="G42" s="38"/>
      <c r="H42" s="38"/>
      <c r="I42" s="38"/>
      <c r="J42" s="38"/>
      <c r="K42" s="38"/>
      <c r="L42" s="38" t="s">
        <v>34</v>
      </c>
      <c r="M42" s="38"/>
      <c r="N42" s="38" t="str">
        <f>$F$8</f>
        <v>FY2010-11</v>
      </c>
      <c r="O42" s="38" t="s">
        <v>152</v>
      </c>
      <c r="P42" s="38" t="s">
        <v>147</v>
      </c>
      <c r="Q42" s="38"/>
      <c r="R42" s="38" t="s">
        <v>611</v>
      </c>
      <c r="S42" s="38"/>
      <c r="T42" s="38"/>
      <c r="U42" s="58"/>
      <c r="V42" s="1"/>
      <c r="W42" s="2"/>
      <c r="X42" s="877"/>
      <c r="Y42" s="1"/>
      <c r="Z42" s="1"/>
      <c r="AA42" s="1"/>
      <c r="AB42" s="1"/>
      <c r="AC42" s="1"/>
      <c r="AD42" s="1"/>
      <c r="AE42" s="1"/>
      <c r="AF42" s="1"/>
      <c r="AG42" s="1"/>
    </row>
    <row r="43" spans="1:33" s="3" customFormat="1" ht="15.95" customHeight="1">
      <c r="A43" s="49"/>
      <c r="B43" s="57">
        <f>DSUM('ENR#-DB'!D35:T48,"TOTAL ENROLLMENT",D41:T42)</f>
        <v>3358</v>
      </c>
      <c r="C43" s="12"/>
      <c r="D43" s="873"/>
      <c r="E43" s="873"/>
      <c r="F43" s="873"/>
      <c r="G43" s="873"/>
      <c r="H43" s="873"/>
      <c r="I43" s="873"/>
      <c r="J43" s="873"/>
      <c r="K43" s="873"/>
      <c r="L43" s="873"/>
      <c r="M43" s="873"/>
      <c r="N43" s="873"/>
      <c r="O43" s="873"/>
      <c r="P43" s="873"/>
      <c r="Q43" s="873"/>
      <c r="R43" s="873"/>
      <c r="S43" s="873"/>
      <c r="T43" s="873"/>
      <c r="U43" s="58"/>
      <c r="V43" s="1"/>
      <c r="W43" s="2"/>
      <c r="X43" s="877"/>
      <c r="Y43" s="1"/>
      <c r="Z43" s="1"/>
      <c r="AA43" s="1"/>
      <c r="AB43" s="1"/>
      <c r="AC43" s="1"/>
      <c r="AD43" s="1"/>
      <c r="AE43" s="1"/>
      <c r="AF43" s="1"/>
      <c r="AG43" s="1"/>
    </row>
    <row r="44" spans="1:33" s="3" customFormat="1" ht="15.95" customHeight="1">
      <c r="A44" s="49"/>
      <c r="B44" s="52"/>
      <c r="C44" s="12"/>
      <c r="D44" s="873"/>
      <c r="E44" s="873"/>
      <c r="F44" s="873"/>
      <c r="G44" s="873"/>
      <c r="H44" s="873"/>
      <c r="I44" s="873"/>
      <c r="J44" s="873"/>
      <c r="K44" s="873"/>
      <c r="L44" s="873"/>
      <c r="M44" s="873"/>
      <c r="N44" s="873"/>
      <c r="O44" s="873"/>
      <c r="P44" s="873"/>
      <c r="Q44" s="873"/>
      <c r="R44" s="873"/>
      <c r="S44" s="873"/>
      <c r="T44" s="873"/>
      <c r="U44" s="58"/>
      <c r="V44" s="1"/>
      <c r="W44" s="2"/>
      <c r="X44" s="877"/>
      <c r="Y44" s="1"/>
      <c r="Z44" s="1"/>
      <c r="AA44" s="1"/>
      <c r="AB44" s="1"/>
      <c r="AC44" s="1"/>
      <c r="AD44" s="1"/>
      <c r="AE44" s="1"/>
      <c r="AF44" s="1"/>
      <c r="AG44" s="1"/>
    </row>
    <row r="45" spans="1:33" s="3" customFormat="1" ht="15.95" customHeight="1">
      <c r="A45" s="49"/>
      <c r="B45" s="52"/>
      <c r="C45" s="12"/>
      <c r="D45" s="873"/>
      <c r="E45" s="873"/>
      <c r="F45" s="873"/>
      <c r="G45" s="873"/>
      <c r="H45" s="873"/>
      <c r="I45" s="873"/>
      <c r="J45" s="873"/>
      <c r="K45" s="873"/>
      <c r="L45" s="873"/>
      <c r="M45" s="873"/>
      <c r="N45" s="873"/>
      <c r="O45" s="873"/>
      <c r="P45" s="873"/>
      <c r="Q45" s="873"/>
      <c r="R45" s="873"/>
      <c r="S45" s="873"/>
      <c r="T45" s="873"/>
      <c r="U45" s="58"/>
      <c r="V45" s="1"/>
      <c r="W45" s="2"/>
      <c r="X45" s="877"/>
      <c r="Y45" s="1"/>
      <c r="Z45" s="1"/>
      <c r="AA45" s="1"/>
      <c r="AB45" s="1"/>
      <c r="AC45" s="1"/>
      <c r="AD45" s="1"/>
      <c r="AE45" s="1"/>
      <c r="AF45" s="1"/>
      <c r="AG45" s="1"/>
    </row>
    <row r="46" spans="1:33" s="3" customFormat="1" ht="15.95" customHeight="1">
      <c r="A46" s="49"/>
      <c r="B46" s="52"/>
      <c r="C46" s="12"/>
      <c r="D46" s="873"/>
      <c r="E46" s="873"/>
      <c r="F46" s="873"/>
      <c r="G46" s="873"/>
      <c r="H46" s="873"/>
      <c r="I46" s="873"/>
      <c r="J46" s="873"/>
      <c r="K46" s="873"/>
      <c r="L46" s="873"/>
      <c r="M46" s="873"/>
      <c r="N46" s="873"/>
      <c r="O46" s="873"/>
      <c r="P46" s="873"/>
      <c r="Q46" s="873"/>
      <c r="R46" s="873"/>
      <c r="S46" s="873"/>
      <c r="T46" s="873"/>
      <c r="U46" s="58"/>
      <c r="V46" s="1"/>
      <c r="W46" s="2"/>
      <c r="X46" s="877"/>
      <c r="Y46" s="1"/>
      <c r="Z46" s="1"/>
      <c r="AA46" s="1"/>
      <c r="AB46" s="1"/>
      <c r="AC46" s="1"/>
      <c r="AD46" s="1"/>
      <c r="AE46" s="1"/>
      <c r="AF46" s="1"/>
      <c r="AG46" s="1"/>
    </row>
    <row r="47" spans="1:33" s="3" customFormat="1" ht="15.95" customHeight="1">
      <c r="A47" s="49"/>
      <c r="B47" s="52"/>
      <c r="C47" s="12"/>
      <c r="D47" s="873"/>
      <c r="E47" s="873"/>
      <c r="F47" s="873"/>
      <c r="G47" s="873"/>
      <c r="H47" s="873"/>
      <c r="I47" s="873"/>
      <c r="J47" s="873"/>
      <c r="K47" s="873"/>
      <c r="L47" s="873"/>
      <c r="M47" s="873"/>
      <c r="N47" s="873"/>
      <c r="O47" s="873"/>
      <c r="P47" s="873"/>
      <c r="Q47" s="873"/>
      <c r="R47" s="873"/>
      <c r="S47" s="873"/>
      <c r="T47" s="873"/>
      <c r="U47" s="58"/>
      <c r="V47" s="1"/>
      <c r="W47" s="2"/>
      <c r="X47" s="877"/>
      <c r="Y47" s="1"/>
      <c r="Z47" s="1"/>
      <c r="AA47" s="1"/>
      <c r="AB47" s="1"/>
      <c r="AC47" s="1"/>
      <c r="AD47" s="1"/>
      <c r="AE47" s="1"/>
      <c r="AF47" s="1"/>
      <c r="AG47" s="1"/>
    </row>
    <row r="48" spans="1:33" s="3" customFormat="1" ht="15.95" customHeight="1">
      <c r="A48" s="49"/>
      <c r="B48" s="52"/>
      <c r="C48" s="12"/>
      <c r="D48" s="873"/>
      <c r="E48" s="873"/>
      <c r="F48" s="873"/>
      <c r="G48" s="873"/>
      <c r="H48" s="873"/>
      <c r="I48" s="873"/>
      <c r="J48" s="873"/>
      <c r="K48" s="873"/>
      <c r="L48" s="873"/>
      <c r="M48" s="873"/>
      <c r="N48" s="873"/>
      <c r="O48" s="873"/>
      <c r="P48" s="873"/>
      <c r="Q48" s="873"/>
      <c r="R48" s="873"/>
      <c r="S48" s="873"/>
      <c r="T48" s="873"/>
      <c r="U48" s="58"/>
      <c r="V48" s="1"/>
      <c r="W48" s="2"/>
      <c r="X48" s="877"/>
      <c r="Y48" s="1"/>
      <c r="Z48" s="1"/>
      <c r="AA48" s="1"/>
      <c r="AB48" s="1"/>
      <c r="AC48" s="1"/>
      <c r="AD48" s="1"/>
      <c r="AE48" s="1"/>
      <c r="AF48" s="1"/>
      <c r="AG48" s="1"/>
    </row>
    <row r="49" spans="1:33" s="3" customFormat="1" ht="15.95" customHeight="1">
      <c r="A49" s="29"/>
      <c r="B49" s="30"/>
      <c r="C49" s="30"/>
      <c r="D49" s="32"/>
      <c r="E49" s="32"/>
      <c r="F49" s="32"/>
      <c r="G49" s="32"/>
      <c r="H49" s="32"/>
      <c r="I49" s="32"/>
      <c r="J49" s="32"/>
      <c r="K49" s="32"/>
      <c r="L49" s="32"/>
      <c r="M49" s="32"/>
      <c r="N49" s="32"/>
      <c r="O49" s="32"/>
      <c r="P49" s="32"/>
      <c r="Q49" s="32"/>
      <c r="R49" s="32"/>
      <c r="S49" s="32"/>
      <c r="T49" s="32"/>
      <c r="U49" s="58"/>
      <c r="V49" s="1"/>
      <c r="W49" s="2"/>
      <c r="X49" s="877"/>
      <c r="Y49" s="1"/>
      <c r="Z49" s="1"/>
      <c r="AA49" s="1"/>
      <c r="AB49" s="1"/>
      <c r="AC49" s="1"/>
      <c r="AD49" s="1"/>
      <c r="AE49" s="1"/>
      <c r="AF49" s="1"/>
      <c r="AG49" s="1"/>
    </row>
    <row r="50" spans="1:33" s="3" customFormat="1" ht="15.95" customHeight="1" thickBot="1">
      <c r="A50" s="49"/>
      <c r="B50" s="50" t="str">
        <f>"FA2 = "&amp;'FIG3'!$W$53&amp;" "&amp;'FIG3'!$X$53</f>
        <v>FA2 = Atlanta Public Schools</v>
      </c>
      <c r="C50" s="49"/>
      <c r="D50" s="54"/>
      <c r="E50" s="54"/>
      <c r="F50" s="54"/>
      <c r="G50" s="54"/>
      <c r="H50" s="54"/>
      <c r="I50" s="54"/>
      <c r="J50" s="54"/>
      <c r="K50" s="54"/>
      <c r="L50" s="54"/>
      <c r="M50" s="55"/>
      <c r="N50" s="54"/>
      <c r="O50" s="54"/>
      <c r="P50" s="54"/>
      <c r="Q50" s="54"/>
      <c r="R50" s="53"/>
      <c r="S50" s="871" t="str">
        <f>'ENR#-DB'!$S$34</f>
        <v>UD1</v>
      </c>
      <c r="T50" s="871" t="str">
        <f>'ENR#-DB'!$T$34</f>
        <v>UD2</v>
      </c>
      <c r="U50" s="60"/>
      <c r="V50" s="56"/>
      <c r="W50" s="2"/>
      <c r="X50" s="877"/>
      <c r="Y50" s="56"/>
      <c r="Z50" s="56"/>
      <c r="AA50" s="56"/>
      <c r="AB50" s="56"/>
      <c r="AC50" s="56"/>
      <c r="AD50" s="56"/>
      <c r="AE50" s="56"/>
      <c r="AF50" s="56"/>
      <c r="AG50" s="1"/>
    </row>
    <row r="51" spans="1:33" s="3" customFormat="1" ht="15.95" customHeight="1" thickTop="1" thickBot="1">
      <c r="A51" s="49"/>
      <c r="B51" s="51" t="s">
        <v>4</v>
      </c>
      <c r="C51" s="15"/>
      <c r="D51" s="861" t="s">
        <v>186</v>
      </c>
      <c r="E51" s="861" t="s">
        <v>187</v>
      </c>
      <c r="F51" s="861" t="s">
        <v>188</v>
      </c>
      <c r="G51" s="861" t="s">
        <v>189</v>
      </c>
      <c r="H51" s="861" t="s">
        <v>11</v>
      </c>
      <c r="I51" s="861" t="s">
        <v>190</v>
      </c>
      <c r="J51" s="861" t="s">
        <v>191</v>
      </c>
      <c r="K51" s="862" t="s">
        <v>192</v>
      </c>
      <c r="L51" s="861" t="s">
        <v>203</v>
      </c>
      <c r="M51" s="861" t="s">
        <v>42</v>
      </c>
      <c r="N51" s="861" t="s">
        <v>148</v>
      </c>
      <c r="O51" s="861" t="s">
        <v>193</v>
      </c>
      <c r="P51" s="861" t="s">
        <v>142</v>
      </c>
      <c r="Q51" s="112" t="s">
        <v>239</v>
      </c>
      <c r="R51" s="967" t="s">
        <v>672</v>
      </c>
      <c r="S51" s="859" t="s">
        <v>541</v>
      </c>
      <c r="T51" s="859" t="s">
        <v>542</v>
      </c>
      <c r="U51" s="59"/>
      <c r="V51" s="2"/>
      <c r="W51" s="2"/>
      <c r="X51" s="877"/>
      <c r="Y51" s="2"/>
      <c r="Z51" s="2"/>
      <c r="AA51" s="2"/>
      <c r="AB51" s="2"/>
      <c r="AC51" s="2"/>
      <c r="AD51" s="2"/>
      <c r="AE51" s="2"/>
      <c r="AF51" s="2"/>
      <c r="AG51" s="1"/>
    </row>
    <row r="52" spans="1:33" s="3" customFormat="1" ht="15.95" customHeight="1" thickTop="1">
      <c r="A52" s="49"/>
      <c r="B52" s="50" t="s">
        <v>146</v>
      </c>
      <c r="C52" s="12"/>
      <c r="D52" s="47"/>
      <c r="E52" s="47"/>
      <c r="F52" s="47"/>
      <c r="G52" s="47"/>
      <c r="H52" s="47"/>
      <c r="I52" s="47"/>
      <c r="J52" s="47"/>
      <c r="K52" s="47"/>
      <c r="L52" s="47" t="s">
        <v>34</v>
      </c>
      <c r="M52" s="47"/>
      <c r="N52" s="47" t="str">
        <f>$F$8</f>
        <v>FY2010-11</v>
      </c>
      <c r="O52" s="47" t="s">
        <v>153</v>
      </c>
      <c r="P52" s="47" t="s">
        <v>138</v>
      </c>
      <c r="Q52" s="47"/>
      <c r="R52" s="47"/>
      <c r="S52" s="47"/>
      <c r="T52" s="47"/>
      <c r="U52" s="58"/>
      <c r="V52" s="1"/>
      <c r="W52" s="2"/>
      <c r="X52" s="877"/>
      <c r="Y52" s="1"/>
      <c r="Z52" s="1"/>
      <c r="AA52" s="1"/>
      <c r="AB52" s="1"/>
      <c r="AC52" s="1"/>
      <c r="AD52" s="1"/>
      <c r="AE52" s="1"/>
      <c r="AF52" s="1"/>
      <c r="AG52" s="1"/>
    </row>
    <row r="53" spans="1:33" s="3" customFormat="1" ht="15.95" customHeight="1">
      <c r="A53" s="49"/>
      <c r="B53" s="57">
        <f>DSUM('ENR#-DB'!D35:T48,"TOTAL ENROLLMENT",D51:T53)</f>
        <v>44738</v>
      </c>
      <c r="C53" s="12"/>
      <c r="D53" s="47"/>
      <c r="E53" s="47"/>
      <c r="F53" s="47"/>
      <c r="G53" s="47"/>
      <c r="H53" s="47"/>
      <c r="I53" s="47"/>
      <c r="J53" s="47"/>
      <c r="K53" s="47"/>
      <c r="L53" s="47" t="s">
        <v>34</v>
      </c>
      <c r="M53" s="47"/>
      <c r="N53" s="47" t="str">
        <f>$F$8</f>
        <v>FY2010-11</v>
      </c>
      <c r="O53" s="47" t="s">
        <v>153</v>
      </c>
      <c r="P53" s="47" t="s">
        <v>147</v>
      </c>
      <c r="Q53" s="47"/>
      <c r="R53" s="47" t="s">
        <v>103</v>
      </c>
      <c r="S53" s="47"/>
      <c r="T53" s="47"/>
      <c r="U53" s="58"/>
      <c r="V53" s="1"/>
      <c r="W53" s="2"/>
      <c r="X53" s="877"/>
      <c r="Y53" s="1"/>
      <c r="Z53" s="1"/>
      <c r="AA53" s="1"/>
      <c r="AB53" s="1"/>
      <c r="AC53" s="1"/>
      <c r="AD53" s="1"/>
      <c r="AE53" s="1"/>
      <c r="AF53" s="1"/>
      <c r="AG53" s="1"/>
    </row>
    <row r="54" spans="1:33" s="3" customFormat="1" ht="15.95" customHeight="1">
      <c r="A54" s="49"/>
      <c r="B54" s="52"/>
      <c r="C54" s="12"/>
      <c r="D54" s="873"/>
      <c r="E54" s="873"/>
      <c r="F54" s="873"/>
      <c r="G54" s="873"/>
      <c r="H54" s="873"/>
      <c r="I54" s="873"/>
      <c r="J54" s="873"/>
      <c r="K54" s="873"/>
      <c r="L54" s="873"/>
      <c r="M54" s="873"/>
      <c r="N54" s="873"/>
      <c r="O54" s="873"/>
      <c r="P54" s="873"/>
      <c r="Q54" s="873"/>
      <c r="R54" s="873"/>
      <c r="S54" s="873"/>
      <c r="T54" s="873"/>
      <c r="U54" s="58"/>
      <c r="V54" s="1"/>
      <c r="W54" s="2"/>
      <c r="X54" s="877"/>
      <c r="Y54" s="1"/>
      <c r="Z54" s="1"/>
      <c r="AA54" s="1"/>
      <c r="AB54" s="1"/>
      <c r="AC54" s="1"/>
      <c r="AD54" s="1"/>
      <c r="AE54" s="1"/>
      <c r="AF54" s="1"/>
      <c r="AG54" s="1"/>
    </row>
    <row r="55" spans="1:33" s="3" customFormat="1" ht="15.95" customHeight="1">
      <c r="A55" s="49"/>
      <c r="B55" s="52"/>
      <c r="C55" s="12"/>
      <c r="D55" s="873"/>
      <c r="E55" s="873"/>
      <c r="F55" s="873"/>
      <c r="G55" s="873"/>
      <c r="H55" s="873"/>
      <c r="I55" s="873"/>
      <c r="J55" s="873"/>
      <c r="K55" s="873"/>
      <c r="L55" s="873"/>
      <c r="M55" s="873"/>
      <c r="N55" s="873"/>
      <c r="O55" s="873"/>
      <c r="P55" s="873"/>
      <c r="Q55" s="873"/>
      <c r="R55" s="873"/>
      <c r="S55" s="873"/>
      <c r="T55" s="873"/>
      <c r="U55" s="58"/>
      <c r="V55" s="1"/>
      <c r="W55" s="2"/>
      <c r="X55" s="877"/>
      <c r="Y55" s="1"/>
      <c r="Z55" s="1"/>
      <c r="AA55" s="1"/>
      <c r="AB55" s="1"/>
      <c r="AC55" s="1"/>
      <c r="AD55" s="1"/>
      <c r="AE55" s="1"/>
      <c r="AF55" s="1"/>
      <c r="AG55" s="1"/>
    </row>
    <row r="56" spans="1:33" s="3" customFormat="1" ht="15.95" customHeight="1">
      <c r="A56" s="49"/>
      <c r="B56" s="52"/>
      <c r="C56" s="12"/>
      <c r="D56" s="873"/>
      <c r="E56" s="873"/>
      <c r="F56" s="873"/>
      <c r="G56" s="873"/>
      <c r="H56" s="873"/>
      <c r="I56" s="873"/>
      <c r="J56" s="873"/>
      <c r="K56" s="873"/>
      <c r="L56" s="873"/>
      <c r="M56" s="873"/>
      <c r="N56" s="873"/>
      <c r="O56" s="873"/>
      <c r="P56" s="873"/>
      <c r="Q56" s="873"/>
      <c r="R56" s="873"/>
      <c r="S56" s="873"/>
      <c r="T56" s="873"/>
      <c r="U56" s="58"/>
      <c r="V56" s="1"/>
      <c r="W56" s="2"/>
      <c r="X56" s="877"/>
      <c r="Y56" s="1"/>
      <c r="Z56" s="1"/>
      <c r="AA56" s="1"/>
      <c r="AB56" s="1"/>
      <c r="AC56" s="1"/>
      <c r="AD56" s="1"/>
      <c r="AE56" s="1"/>
      <c r="AF56" s="1"/>
      <c r="AG56" s="1"/>
    </row>
    <row r="57" spans="1:33" s="3" customFormat="1" ht="15.95" customHeight="1">
      <c r="A57" s="49"/>
      <c r="B57" s="52"/>
      <c r="C57" s="12"/>
      <c r="D57" s="873"/>
      <c r="E57" s="873"/>
      <c r="F57" s="873"/>
      <c r="G57" s="873"/>
      <c r="H57" s="873"/>
      <c r="I57" s="873"/>
      <c r="J57" s="873"/>
      <c r="K57" s="873"/>
      <c r="L57" s="873"/>
      <c r="M57" s="873"/>
      <c r="N57" s="873"/>
      <c r="O57" s="873"/>
      <c r="P57" s="873"/>
      <c r="Q57" s="873"/>
      <c r="R57" s="873"/>
      <c r="S57" s="873"/>
      <c r="T57" s="873"/>
      <c r="U57" s="58"/>
      <c r="V57" s="1"/>
      <c r="W57" s="2"/>
      <c r="X57" s="877"/>
      <c r="Y57" s="1"/>
      <c r="Z57" s="1"/>
      <c r="AA57" s="1"/>
      <c r="AB57" s="1"/>
      <c r="AC57" s="1"/>
      <c r="AD57" s="1"/>
      <c r="AE57" s="1"/>
      <c r="AF57" s="1"/>
      <c r="AG57" s="1"/>
    </row>
    <row r="58" spans="1:33" s="3" customFormat="1" ht="15.95" customHeight="1">
      <c r="A58" s="49"/>
      <c r="B58" s="52"/>
      <c r="C58" s="12"/>
      <c r="D58" s="873"/>
      <c r="E58" s="873"/>
      <c r="F58" s="873"/>
      <c r="G58" s="873"/>
      <c r="H58" s="873"/>
      <c r="I58" s="873"/>
      <c r="J58" s="873"/>
      <c r="K58" s="873"/>
      <c r="L58" s="873"/>
      <c r="M58" s="873"/>
      <c r="N58" s="873"/>
      <c r="O58" s="873"/>
      <c r="P58" s="873"/>
      <c r="Q58" s="873"/>
      <c r="R58" s="873"/>
      <c r="S58" s="873"/>
      <c r="T58" s="873"/>
      <c r="U58" s="58"/>
      <c r="V58" s="1"/>
      <c r="W58" s="2"/>
      <c r="X58" s="877"/>
      <c r="Y58" s="1"/>
      <c r="Z58" s="1"/>
      <c r="AA58" s="1"/>
      <c r="AB58" s="1"/>
      <c r="AC58" s="1"/>
      <c r="AD58" s="1"/>
      <c r="AE58" s="1"/>
      <c r="AF58" s="1"/>
      <c r="AG58" s="1"/>
    </row>
    <row r="59" spans="1:33" s="3" customFormat="1" ht="15.95" customHeight="1">
      <c r="A59" s="29"/>
      <c r="B59" s="30"/>
      <c r="C59" s="30"/>
      <c r="D59" s="32"/>
      <c r="E59" s="32"/>
      <c r="F59" s="32"/>
      <c r="G59" s="32"/>
      <c r="H59" s="32"/>
      <c r="I59" s="32"/>
      <c r="J59" s="32"/>
      <c r="K59" s="32"/>
      <c r="L59" s="32"/>
      <c r="M59" s="32"/>
      <c r="N59" s="32"/>
      <c r="O59" s="32"/>
      <c r="P59" s="32"/>
      <c r="Q59" s="32"/>
      <c r="R59" s="32"/>
      <c r="S59" s="32"/>
      <c r="T59" s="32"/>
      <c r="U59" s="58"/>
      <c r="V59" s="1"/>
      <c r="W59" s="2"/>
      <c r="X59" s="877"/>
      <c r="Y59" s="1"/>
      <c r="Z59" s="1"/>
      <c r="AA59" s="1"/>
      <c r="AB59" s="1"/>
      <c r="AC59" s="1"/>
      <c r="AD59" s="1"/>
      <c r="AE59" s="1"/>
      <c r="AF59" s="1"/>
      <c r="AG59" s="1"/>
    </row>
    <row r="60" spans="1:33" s="3" customFormat="1" ht="15.95" customHeight="1" thickBot="1">
      <c r="A60" s="49"/>
      <c r="B60" s="50" t="str">
        <f>"FA2 = "&amp;'FIG3'!$W$53&amp;" "&amp;'FIG3'!$X$53</f>
        <v>FA2 = Atlanta Public Schools</v>
      </c>
      <c r="C60" s="49"/>
      <c r="D60" s="54"/>
      <c r="E60" s="54"/>
      <c r="F60" s="54"/>
      <c r="G60" s="54"/>
      <c r="H60" s="54"/>
      <c r="I60" s="54"/>
      <c r="J60" s="54"/>
      <c r="K60" s="54"/>
      <c r="L60" s="54"/>
      <c r="M60" s="55"/>
      <c r="N60" s="54"/>
      <c r="O60" s="54"/>
      <c r="P60" s="54"/>
      <c r="Q60" s="54"/>
      <c r="R60" s="53"/>
      <c r="S60" s="871" t="str">
        <f>'ENR#-DB'!$S$34</f>
        <v>UD1</v>
      </c>
      <c r="T60" s="871" t="str">
        <f>'ENR#-DB'!$T$34</f>
        <v>UD2</v>
      </c>
      <c r="U60" s="60"/>
      <c r="V60" s="56"/>
      <c r="W60" s="2"/>
      <c r="X60" s="877"/>
      <c r="Y60" s="56"/>
      <c r="Z60" s="56"/>
      <c r="AA60" s="56"/>
      <c r="AB60" s="56"/>
      <c r="AC60" s="56"/>
      <c r="AD60" s="56"/>
      <c r="AE60" s="56"/>
      <c r="AF60" s="56"/>
      <c r="AG60" s="1"/>
    </row>
    <row r="61" spans="1:33" s="3" customFormat="1" ht="15.95" customHeight="1" thickTop="1" thickBot="1">
      <c r="A61" s="49"/>
      <c r="B61" s="51" t="s">
        <v>175</v>
      </c>
      <c r="C61" s="15"/>
      <c r="D61" s="861" t="s">
        <v>186</v>
      </c>
      <c r="E61" s="861" t="s">
        <v>187</v>
      </c>
      <c r="F61" s="861" t="s">
        <v>188</v>
      </c>
      <c r="G61" s="861" t="s">
        <v>189</v>
      </c>
      <c r="H61" s="861" t="s">
        <v>11</v>
      </c>
      <c r="I61" s="861" t="s">
        <v>190</v>
      </c>
      <c r="J61" s="861" t="s">
        <v>191</v>
      </c>
      <c r="K61" s="862" t="s">
        <v>192</v>
      </c>
      <c r="L61" s="861" t="s">
        <v>203</v>
      </c>
      <c r="M61" s="861" t="s">
        <v>42</v>
      </c>
      <c r="N61" s="861" t="s">
        <v>148</v>
      </c>
      <c r="O61" s="861" t="s">
        <v>193</v>
      </c>
      <c r="P61" s="861" t="s">
        <v>142</v>
      </c>
      <c r="Q61" s="112" t="s">
        <v>239</v>
      </c>
      <c r="R61" s="967" t="s">
        <v>672</v>
      </c>
      <c r="S61" s="859" t="s">
        <v>541</v>
      </c>
      <c r="T61" s="859" t="s">
        <v>542</v>
      </c>
      <c r="U61" s="59"/>
      <c r="V61" s="2"/>
      <c r="W61" s="2"/>
      <c r="X61" s="877"/>
      <c r="Y61" s="2"/>
      <c r="Z61" s="2"/>
      <c r="AA61" s="2"/>
      <c r="AB61" s="2"/>
      <c r="AC61" s="2"/>
      <c r="AD61" s="2"/>
      <c r="AE61" s="2"/>
      <c r="AF61" s="2"/>
      <c r="AG61" s="1"/>
    </row>
    <row r="62" spans="1:33" s="3" customFormat="1" ht="15.95" customHeight="1" thickTop="1">
      <c r="A62" s="49"/>
      <c r="B62" s="50" t="s">
        <v>146</v>
      </c>
      <c r="C62" s="12"/>
      <c r="D62" s="47"/>
      <c r="E62" s="47"/>
      <c r="F62" s="47"/>
      <c r="G62" s="47"/>
      <c r="H62" s="47"/>
      <c r="I62" s="47"/>
      <c r="J62" s="47"/>
      <c r="K62" s="47"/>
      <c r="L62" s="47" t="s">
        <v>34</v>
      </c>
      <c r="M62" s="47"/>
      <c r="N62" s="47" t="str">
        <f>$F$8</f>
        <v>FY2010-11</v>
      </c>
      <c r="O62" s="47" t="s">
        <v>153</v>
      </c>
      <c r="P62" s="47" t="s">
        <v>147</v>
      </c>
      <c r="Q62" s="47"/>
      <c r="R62" s="47" t="s">
        <v>611</v>
      </c>
      <c r="S62" s="47"/>
      <c r="T62" s="47"/>
      <c r="U62" s="58"/>
      <c r="V62" s="1"/>
      <c r="W62" s="2"/>
      <c r="X62" s="877"/>
      <c r="Y62" s="1"/>
      <c r="Z62" s="1"/>
      <c r="AA62" s="1"/>
      <c r="AB62" s="1"/>
      <c r="AC62" s="1"/>
      <c r="AD62" s="1"/>
      <c r="AE62" s="1"/>
      <c r="AF62" s="1"/>
      <c r="AG62" s="1"/>
    </row>
    <row r="63" spans="1:33" s="3" customFormat="1" ht="15.95" customHeight="1">
      <c r="A63" s="49"/>
      <c r="B63" s="57">
        <f>DSUM('ENR#-DB'!D35:T48,"TOTAL ENROLLMENT",D61:T62)</f>
        <v>4291</v>
      </c>
      <c r="C63" s="12"/>
      <c r="D63" s="873"/>
      <c r="E63" s="873"/>
      <c r="F63" s="873"/>
      <c r="G63" s="873"/>
      <c r="H63" s="873"/>
      <c r="I63" s="873"/>
      <c r="J63" s="873"/>
      <c r="K63" s="873"/>
      <c r="L63" s="873"/>
      <c r="M63" s="873"/>
      <c r="N63" s="873"/>
      <c r="O63" s="873"/>
      <c r="P63" s="873"/>
      <c r="Q63" s="873"/>
      <c r="R63" s="873"/>
      <c r="S63" s="873"/>
      <c r="T63" s="873"/>
      <c r="U63" s="58"/>
      <c r="V63" s="1"/>
      <c r="W63" s="2"/>
      <c r="X63" s="877"/>
      <c r="Y63" s="1"/>
      <c r="Z63" s="1"/>
      <c r="AA63" s="1"/>
      <c r="AB63" s="1"/>
      <c r="AC63" s="1"/>
      <c r="AD63" s="1"/>
      <c r="AE63" s="1"/>
      <c r="AF63" s="1"/>
      <c r="AG63" s="1"/>
    </row>
    <row r="64" spans="1:33" s="3" customFormat="1" ht="15.95" customHeight="1">
      <c r="A64" s="49"/>
      <c r="B64" s="52"/>
      <c r="C64" s="12"/>
      <c r="D64" s="873"/>
      <c r="E64" s="873"/>
      <c r="F64" s="873"/>
      <c r="G64" s="873"/>
      <c r="H64" s="873"/>
      <c r="I64" s="873"/>
      <c r="J64" s="873"/>
      <c r="K64" s="873"/>
      <c r="L64" s="873"/>
      <c r="M64" s="873"/>
      <c r="N64" s="873"/>
      <c r="O64" s="873"/>
      <c r="P64" s="873"/>
      <c r="Q64" s="873"/>
      <c r="R64" s="873"/>
      <c r="S64" s="873"/>
      <c r="T64" s="873"/>
      <c r="U64" s="58"/>
      <c r="V64" s="1"/>
      <c r="W64" s="2"/>
      <c r="X64" s="877"/>
      <c r="Y64" s="1"/>
      <c r="Z64" s="1"/>
      <c r="AA64" s="1"/>
      <c r="AB64" s="1"/>
      <c r="AC64" s="1"/>
      <c r="AD64" s="1"/>
      <c r="AE64" s="1"/>
      <c r="AF64" s="1"/>
      <c r="AG64" s="1"/>
    </row>
    <row r="65" spans="1:33" s="3" customFormat="1" ht="15.95" customHeight="1">
      <c r="A65" s="49"/>
      <c r="B65" s="52"/>
      <c r="C65" s="12"/>
      <c r="D65" s="873"/>
      <c r="E65" s="873"/>
      <c r="F65" s="873"/>
      <c r="G65" s="873"/>
      <c r="H65" s="873"/>
      <c r="I65" s="873"/>
      <c r="J65" s="873"/>
      <c r="K65" s="873"/>
      <c r="L65" s="873"/>
      <c r="M65" s="873"/>
      <c r="N65" s="873"/>
      <c r="O65" s="873"/>
      <c r="P65" s="873"/>
      <c r="Q65" s="873"/>
      <c r="R65" s="873"/>
      <c r="S65" s="873"/>
      <c r="T65" s="873"/>
      <c r="U65" s="58"/>
      <c r="V65" s="1"/>
      <c r="W65" s="2"/>
      <c r="X65" s="877"/>
      <c r="Y65" s="1"/>
      <c r="Z65" s="1"/>
      <c r="AA65" s="1"/>
      <c r="AB65" s="1"/>
      <c r="AC65" s="1"/>
      <c r="AD65" s="1"/>
      <c r="AE65" s="1"/>
      <c r="AF65" s="1"/>
      <c r="AG65" s="1"/>
    </row>
    <row r="66" spans="1:33" s="3" customFormat="1" ht="15.95" customHeight="1">
      <c r="A66" s="49"/>
      <c r="B66" s="52"/>
      <c r="C66" s="12"/>
      <c r="D66" s="873"/>
      <c r="E66" s="873"/>
      <c r="F66" s="873"/>
      <c r="G66" s="873"/>
      <c r="H66" s="873"/>
      <c r="I66" s="873"/>
      <c r="J66" s="873"/>
      <c r="K66" s="873"/>
      <c r="L66" s="873"/>
      <c r="M66" s="873"/>
      <c r="N66" s="873"/>
      <c r="O66" s="873"/>
      <c r="P66" s="873"/>
      <c r="Q66" s="873"/>
      <c r="R66" s="873"/>
      <c r="S66" s="873"/>
      <c r="T66" s="873"/>
      <c r="U66" s="58"/>
      <c r="V66" s="1"/>
      <c r="W66" s="2"/>
      <c r="X66" s="877"/>
      <c r="Y66" s="1"/>
      <c r="Z66" s="1"/>
      <c r="AA66" s="1"/>
      <c r="AB66" s="1"/>
      <c r="AC66" s="1"/>
      <c r="AD66" s="1"/>
      <c r="AE66" s="1"/>
      <c r="AF66" s="1"/>
      <c r="AG66" s="1"/>
    </row>
    <row r="67" spans="1:33" s="3" customFormat="1" ht="15.95" customHeight="1">
      <c r="A67" s="49"/>
      <c r="B67" s="52"/>
      <c r="C67" s="12"/>
      <c r="D67" s="873"/>
      <c r="E67" s="873"/>
      <c r="F67" s="873"/>
      <c r="G67" s="873"/>
      <c r="H67" s="873"/>
      <c r="I67" s="873"/>
      <c r="J67" s="873"/>
      <c r="K67" s="873"/>
      <c r="L67" s="873"/>
      <c r="M67" s="873"/>
      <c r="N67" s="873"/>
      <c r="O67" s="873"/>
      <c r="P67" s="873"/>
      <c r="Q67" s="873"/>
      <c r="R67" s="873"/>
      <c r="S67" s="873"/>
      <c r="T67" s="873"/>
      <c r="U67" s="58"/>
      <c r="V67" s="1"/>
      <c r="W67" s="2"/>
      <c r="X67" s="877"/>
      <c r="Y67" s="1"/>
      <c r="Z67" s="1"/>
      <c r="AA67" s="1"/>
      <c r="AB67" s="1"/>
      <c r="AC67" s="1"/>
      <c r="AD67" s="1"/>
      <c r="AE67" s="1"/>
      <c r="AF67" s="1"/>
      <c r="AG67" s="1"/>
    </row>
    <row r="68" spans="1:33" s="3" customFormat="1" ht="15.95" customHeight="1">
      <c r="A68" s="49"/>
      <c r="B68" s="52"/>
      <c r="C68" s="12"/>
      <c r="D68" s="873"/>
      <c r="E68" s="873"/>
      <c r="F68" s="873"/>
      <c r="G68" s="873"/>
      <c r="H68" s="873"/>
      <c r="I68" s="873"/>
      <c r="J68" s="873"/>
      <c r="K68" s="873"/>
      <c r="L68" s="873"/>
      <c r="M68" s="873"/>
      <c r="N68" s="873"/>
      <c r="O68" s="873"/>
      <c r="P68" s="873"/>
      <c r="Q68" s="873"/>
      <c r="R68" s="873"/>
      <c r="S68" s="873"/>
      <c r="T68" s="873"/>
      <c r="U68" s="58"/>
      <c r="V68" s="1"/>
      <c r="W68" s="2"/>
      <c r="X68" s="877"/>
      <c r="Y68" s="1"/>
      <c r="Z68" s="1"/>
      <c r="AA68" s="1"/>
      <c r="AB68" s="1"/>
      <c r="AC68" s="1"/>
      <c r="AD68" s="1"/>
      <c r="AE68" s="1"/>
      <c r="AF68" s="1"/>
      <c r="AG68" s="1"/>
    </row>
    <row r="69" spans="1:33" s="3" customFormat="1" ht="15.95" customHeight="1">
      <c r="A69" s="21"/>
      <c r="B69" s="22"/>
      <c r="C69" s="22"/>
      <c r="D69" s="24"/>
      <c r="E69" s="24"/>
      <c r="F69" s="24"/>
      <c r="G69" s="24"/>
      <c r="H69" s="24"/>
      <c r="I69" s="24"/>
      <c r="J69" s="24"/>
      <c r="K69" s="24"/>
      <c r="L69" s="24"/>
      <c r="M69" s="24"/>
      <c r="N69" s="24"/>
      <c r="O69" s="24"/>
      <c r="P69" s="24"/>
      <c r="Q69" s="24"/>
      <c r="R69" s="24"/>
      <c r="S69" s="24"/>
      <c r="T69" s="24"/>
      <c r="U69" s="58"/>
      <c r="V69" s="1"/>
      <c r="W69" s="2"/>
      <c r="X69" s="877"/>
      <c r="Y69" s="1"/>
      <c r="Z69" s="1"/>
      <c r="AA69" s="1"/>
      <c r="AB69" s="1"/>
      <c r="AC69" s="1"/>
      <c r="AD69" s="1"/>
      <c r="AE69" s="1"/>
      <c r="AF69" s="1"/>
      <c r="AG69" s="1"/>
    </row>
    <row r="70" spans="1:33" s="3" customFormat="1"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1" t="str">
        <f>'ENR#-DB'!$S$34</f>
        <v>UD1</v>
      </c>
      <c r="T70" s="871" t="str">
        <f>'ENR#-DB'!$T$34</f>
        <v>UD2</v>
      </c>
      <c r="U70" s="60"/>
      <c r="V70" s="56"/>
      <c r="W70" s="2"/>
      <c r="X70" s="877"/>
      <c r="Y70" s="56"/>
      <c r="Z70" s="56"/>
      <c r="AA70" s="56"/>
      <c r="AB70" s="56"/>
      <c r="AC70" s="56"/>
      <c r="AD70" s="56"/>
      <c r="AE70" s="56"/>
      <c r="AF70" s="56"/>
      <c r="AG70" s="1"/>
    </row>
    <row r="71" spans="1:33" s="3" customFormat="1" ht="15.95" customHeight="1" thickTop="1" thickBot="1">
      <c r="A71" s="49"/>
      <c r="B71" s="51" t="s">
        <v>4</v>
      </c>
      <c r="C71" s="15"/>
      <c r="D71" s="861" t="s">
        <v>186</v>
      </c>
      <c r="E71" s="861" t="s">
        <v>187</v>
      </c>
      <c r="F71" s="861" t="s">
        <v>188</v>
      </c>
      <c r="G71" s="861" t="s">
        <v>189</v>
      </c>
      <c r="H71" s="861" t="s">
        <v>11</v>
      </c>
      <c r="I71" s="861" t="s">
        <v>190</v>
      </c>
      <c r="J71" s="861" t="s">
        <v>191</v>
      </c>
      <c r="K71" s="862" t="s">
        <v>192</v>
      </c>
      <c r="L71" s="861" t="s">
        <v>203</v>
      </c>
      <c r="M71" s="861" t="s">
        <v>42</v>
      </c>
      <c r="N71" s="861" t="s">
        <v>148</v>
      </c>
      <c r="O71" s="861" t="s">
        <v>193</v>
      </c>
      <c r="P71" s="861" t="s">
        <v>142</v>
      </c>
      <c r="Q71" s="112" t="s">
        <v>239</v>
      </c>
      <c r="R71" s="967" t="s">
        <v>672</v>
      </c>
      <c r="S71" s="859" t="s">
        <v>541</v>
      </c>
      <c r="T71" s="859" t="s">
        <v>542</v>
      </c>
      <c r="U71" s="59"/>
      <c r="V71" s="2"/>
      <c r="W71" s="2"/>
      <c r="X71" s="877"/>
      <c r="Y71" s="2"/>
      <c r="Z71" s="2"/>
      <c r="AA71" s="2"/>
      <c r="AB71" s="2"/>
      <c r="AC71" s="2"/>
      <c r="AD71" s="2"/>
      <c r="AE71" s="2"/>
      <c r="AF71" s="2"/>
      <c r="AG71" s="1"/>
    </row>
    <row r="72" spans="1:33" s="3" customFormat="1" ht="15.95" customHeight="1" thickTop="1">
      <c r="A72" s="49"/>
      <c r="B72" s="50" t="s">
        <v>146</v>
      </c>
      <c r="C72" s="12"/>
      <c r="D72" s="39"/>
      <c r="E72" s="39"/>
      <c r="F72" s="39"/>
      <c r="G72" s="39"/>
      <c r="H72" s="39"/>
      <c r="I72" s="39"/>
      <c r="J72" s="39"/>
      <c r="K72" s="39"/>
      <c r="L72" s="39" t="s">
        <v>34</v>
      </c>
      <c r="M72" s="39"/>
      <c r="N72" s="39" t="str">
        <f>$F$8</f>
        <v>FY2010-11</v>
      </c>
      <c r="O72" s="39" t="s">
        <v>154</v>
      </c>
      <c r="P72" s="39" t="s">
        <v>138</v>
      </c>
      <c r="Q72" s="39"/>
      <c r="R72" s="39"/>
      <c r="S72" s="39"/>
      <c r="T72" s="39"/>
      <c r="U72" s="58"/>
      <c r="V72" s="1"/>
      <c r="W72" s="2"/>
      <c r="X72" s="877"/>
      <c r="Y72" s="1"/>
      <c r="Z72" s="1"/>
      <c r="AA72" s="1"/>
      <c r="AB72" s="1"/>
      <c r="AC72" s="1"/>
      <c r="AD72" s="1"/>
      <c r="AE72" s="1"/>
      <c r="AF72" s="1"/>
      <c r="AG72" s="1"/>
    </row>
    <row r="73" spans="1:33" s="3" customFormat="1" ht="15.95" customHeight="1">
      <c r="A73" s="49"/>
      <c r="B73" s="57">
        <f>DSUM('ENR#-DB'!D35:T48,"TOTAL ENROLLMENT",D71:T73)</f>
        <v>0</v>
      </c>
      <c r="C73" s="12"/>
      <c r="D73" s="39"/>
      <c r="E73" s="39"/>
      <c r="F73" s="39"/>
      <c r="G73" s="39"/>
      <c r="H73" s="39"/>
      <c r="I73" s="39"/>
      <c r="J73" s="39"/>
      <c r="K73" s="39"/>
      <c r="L73" s="39" t="s">
        <v>34</v>
      </c>
      <c r="M73" s="39"/>
      <c r="N73" s="39" t="str">
        <f>$F$8</f>
        <v>FY2010-11</v>
      </c>
      <c r="O73" s="39" t="s">
        <v>154</v>
      </c>
      <c r="P73" s="39" t="s">
        <v>147</v>
      </c>
      <c r="Q73" s="39"/>
      <c r="R73" s="39" t="s">
        <v>103</v>
      </c>
      <c r="S73" s="39"/>
      <c r="T73" s="39"/>
      <c r="U73" s="58"/>
      <c r="V73" s="1"/>
      <c r="W73" s="2"/>
      <c r="X73" s="877"/>
      <c r="Y73" s="1"/>
      <c r="Z73" s="1"/>
      <c r="AA73" s="1"/>
      <c r="AB73" s="1"/>
      <c r="AC73" s="1"/>
      <c r="AD73" s="1"/>
      <c r="AE73" s="1"/>
      <c r="AF73" s="1"/>
      <c r="AG73" s="1"/>
    </row>
    <row r="74" spans="1:33" s="3" customFormat="1" ht="15.95" customHeight="1">
      <c r="A74" s="49"/>
      <c r="B74" s="52"/>
      <c r="C74" s="12"/>
      <c r="D74" s="873"/>
      <c r="E74" s="873"/>
      <c r="F74" s="873"/>
      <c r="G74" s="873"/>
      <c r="H74" s="873"/>
      <c r="I74" s="873"/>
      <c r="J74" s="873"/>
      <c r="K74" s="873"/>
      <c r="L74" s="873"/>
      <c r="M74" s="873"/>
      <c r="N74" s="873"/>
      <c r="O74" s="873"/>
      <c r="P74" s="873"/>
      <c r="Q74" s="873"/>
      <c r="R74" s="873"/>
      <c r="S74" s="873"/>
      <c r="T74" s="873"/>
      <c r="U74" s="58"/>
      <c r="V74" s="1"/>
      <c r="W74" s="2"/>
      <c r="X74" s="877"/>
      <c r="Y74" s="1"/>
      <c r="Z74" s="1"/>
      <c r="AA74" s="1"/>
      <c r="AB74" s="1"/>
      <c r="AC74" s="1"/>
      <c r="AD74" s="1"/>
      <c r="AE74" s="1"/>
      <c r="AF74" s="1"/>
      <c r="AG74" s="1"/>
    </row>
    <row r="75" spans="1:33" s="3" customFormat="1" ht="15.95" customHeight="1">
      <c r="A75" s="49"/>
      <c r="B75" s="52"/>
      <c r="C75" s="12"/>
      <c r="D75" s="873"/>
      <c r="E75" s="873"/>
      <c r="F75" s="873"/>
      <c r="G75" s="873"/>
      <c r="H75" s="873"/>
      <c r="I75" s="873"/>
      <c r="J75" s="873"/>
      <c r="K75" s="873"/>
      <c r="L75" s="873"/>
      <c r="M75" s="873"/>
      <c r="N75" s="873"/>
      <c r="O75" s="873"/>
      <c r="P75" s="873"/>
      <c r="Q75" s="873"/>
      <c r="R75" s="873"/>
      <c r="S75" s="873"/>
      <c r="T75" s="873"/>
      <c r="U75" s="58"/>
      <c r="V75" s="1"/>
      <c r="W75" s="2"/>
      <c r="X75" s="877"/>
      <c r="Y75" s="1"/>
      <c r="Z75" s="1"/>
      <c r="AA75" s="1"/>
      <c r="AB75" s="1"/>
      <c r="AC75" s="1"/>
      <c r="AD75" s="1"/>
      <c r="AE75" s="1"/>
      <c r="AF75" s="1"/>
      <c r="AG75" s="1"/>
    </row>
    <row r="76" spans="1:33" s="3" customFormat="1" ht="15.95" customHeight="1">
      <c r="A76" s="49"/>
      <c r="B76" s="52"/>
      <c r="C76" s="12"/>
      <c r="D76" s="873"/>
      <c r="E76" s="873"/>
      <c r="F76" s="873"/>
      <c r="G76" s="873"/>
      <c r="H76" s="873"/>
      <c r="I76" s="873"/>
      <c r="J76" s="873"/>
      <c r="K76" s="873"/>
      <c r="L76" s="873"/>
      <c r="M76" s="873"/>
      <c r="N76" s="873"/>
      <c r="O76" s="873"/>
      <c r="P76" s="873"/>
      <c r="Q76" s="873"/>
      <c r="R76" s="873"/>
      <c r="S76" s="873"/>
      <c r="T76" s="873"/>
      <c r="U76" s="58"/>
      <c r="V76" s="1"/>
      <c r="W76" s="2"/>
      <c r="X76" s="877"/>
      <c r="Y76" s="1"/>
      <c r="Z76" s="1"/>
      <c r="AA76" s="1"/>
      <c r="AB76" s="1"/>
      <c r="AC76" s="1"/>
      <c r="AD76" s="1"/>
      <c r="AE76" s="1"/>
      <c r="AF76" s="1"/>
      <c r="AG76" s="1"/>
    </row>
    <row r="77" spans="1:33" s="3" customFormat="1" ht="15.95" customHeight="1">
      <c r="A77" s="49"/>
      <c r="B77" s="52"/>
      <c r="C77" s="12"/>
      <c r="D77" s="873"/>
      <c r="E77" s="873"/>
      <c r="F77" s="873"/>
      <c r="G77" s="873"/>
      <c r="H77" s="873"/>
      <c r="I77" s="873"/>
      <c r="J77" s="873"/>
      <c r="K77" s="873"/>
      <c r="L77" s="873"/>
      <c r="M77" s="873"/>
      <c r="N77" s="873"/>
      <c r="O77" s="873"/>
      <c r="P77" s="873"/>
      <c r="Q77" s="873"/>
      <c r="R77" s="873"/>
      <c r="S77" s="873"/>
      <c r="T77" s="873"/>
      <c r="U77" s="58"/>
      <c r="V77" s="1"/>
      <c r="W77" s="2"/>
      <c r="X77" s="877"/>
      <c r="Y77" s="1"/>
      <c r="Z77" s="1"/>
      <c r="AA77" s="1"/>
      <c r="AB77" s="1"/>
      <c r="AC77" s="1"/>
      <c r="AD77" s="1"/>
      <c r="AE77" s="1"/>
      <c r="AF77" s="1"/>
      <c r="AG77" s="1"/>
    </row>
    <row r="78" spans="1:33" s="3" customFormat="1" ht="15.95" customHeight="1">
      <c r="A78" s="49"/>
      <c r="B78" s="52"/>
      <c r="C78" s="12"/>
      <c r="D78" s="873"/>
      <c r="E78" s="873"/>
      <c r="F78" s="873"/>
      <c r="G78" s="873"/>
      <c r="H78" s="873"/>
      <c r="I78" s="873"/>
      <c r="J78" s="873"/>
      <c r="K78" s="873"/>
      <c r="L78" s="873"/>
      <c r="M78" s="873"/>
      <c r="N78" s="873"/>
      <c r="O78" s="873"/>
      <c r="P78" s="873"/>
      <c r="Q78" s="873"/>
      <c r="R78" s="873"/>
      <c r="S78" s="873"/>
      <c r="T78" s="873"/>
      <c r="U78" s="58"/>
      <c r="V78" s="1"/>
      <c r="W78" s="2"/>
      <c r="X78" s="877"/>
      <c r="Y78" s="1"/>
      <c r="Z78" s="1"/>
      <c r="AA78" s="1"/>
      <c r="AB78" s="1"/>
      <c r="AC78" s="1"/>
      <c r="AD78" s="1"/>
      <c r="AE78" s="1"/>
      <c r="AF78" s="1"/>
      <c r="AG78" s="1"/>
    </row>
    <row r="79" spans="1:33" s="3" customFormat="1" ht="15.95" customHeight="1">
      <c r="A79" s="21"/>
      <c r="B79" s="22"/>
      <c r="C79" s="22"/>
      <c r="D79" s="24"/>
      <c r="E79" s="24"/>
      <c r="F79" s="24"/>
      <c r="G79" s="24"/>
      <c r="H79" s="24"/>
      <c r="I79" s="24"/>
      <c r="J79" s="24"/>
      <c r="K79" s="24"/>
      <c r="L79" s="24"/>
      <c r="M79" s="24"/>
      <c r="N79" s="24"/>
      <c r="O79" s="24"/>
      <c r="P79" s="24"/>
      <c r="Q79" s="24"/>
      <c r="R79" s="24"/>
      <c r="S79" s="24"/>
      <c r="T79" s="24"/>
      <c r="U79" s="58"/>
      <c r="V79" s="1"/>
      <c r="W79" s="2"/>
      <c r="X79" s="877"/>
      <c r="Y79" s="1"/>
      <c r="Z79" s="1"/>
      <c r="AA79" s="1"/>
      <c r="AB79" s="1"/>
      <c r="AC79" s="1"/>
      <c r="AD79" s="1"/>
      <c r="AE79" s="1"/>
      <c r="AF79" s="1"/>
      <c r="AG79" s="1"/>
    </row>
    <row r="80" spans="1:33" s="3" customFormat="1"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1" t="str">
        <f>'ENR#-DB'!$S$34</f>
        <v>UD1</v>
      </c>
      <c r="T80" s="871" t="str">
        <f>'ENR#-DB'!$T$34</f>
        <v>UD2</v>
      </c>
      <c r="U80" s="60"/>
      <c r="V80" s="56"/>
      <c r="W80" s="2"/>
      <c r="X80" s="877"/>
      <c r="Y80" s="56"/>
      <c r="Z80" s="56"/>
      <c r="AA80" s="56"/>
      <c r="AB80" s="56"/>
      <c r="AC80" s="56"/>
      <c r="AD80" s="56"/>
      <c r="AE80" s="56"/>
      <c r="AF80" s="56"/>
      <c r="AG80" s="1"/>
    </row>
    <row r="81" spans="1:33" s="3" customFormat="1" ht="15.95" customHeight="1" thickTop="1" thickBot="1">
      <c r="A81" s="49"/>
      <c r="B81" s="51" t="s">
        <v>175</v>
      </c>
      <c r="C81" s="15"/>
      <c r="D81" s="861" t="s">
        <v>186</v>
      </c>
      <c r="E81" s="861" t="s">
        <v>187</v>
      </c>
      <c r="F81" s="861" t="s">
        <v>188</v>
      </c>
      <c r="G81" s="861" t="s">
        <v>189</v>
      </c>
      <c r="H81" s="861" t="s">
        <v>11</v>
      </c>
      <c r="I81" s="861" t="s">
        <v>190</v>
      </c>
      <c r="J81" s="861" t="s">
        <v>191</v>
      </c>
      <c r="K81" s="862" t="s">
        <v>192</v>
      </c>
      <c r="L81" s="861" t="s">
        <v>203</v>
      </c>
      <c r="M81" s="861" t="s">
        <v>42</v>
      </c>
      <c r="N81" s="861" t="s">
        <v>148</v>
      </c>
      <c r="O81" s="861" t="s">
        <v>193</v>
      </c>
      <c r="P81" s="861" t="s">
        <v>142</v>
      </c>
      <c r="Q81" s="112" t="s">
        <v>239</v>
      </c>
      <c r="R81" s="967" t="s">
        <v>672</v>
      </c>
      <c r="S81" s="859" t="s">
        <v>541</v>
      </c>
      <c r="T81" s="859" t="s">
        <v>542</v>
      </c>
      <c r="U81" s="59"/>
      <c r="V81" s="2"/>
      <c r="W81" s="2"/>
      <c r="X81" s="877"/>
      <c r="Y81" s="2"/>
      <c r="Z81" s="2"/>
      <c r="AA81" s="2"/>
      <c r="AB81" s="2"/>
      <c r="AC81" s="2"/>
      <c r="AD81" s="2"/>
      <c r="AE81" s="2"/>
      <c r="AF81" s="2"/>
      <c r="AG81" s="1"/>
    </row>
    <row r="82" spans="1:33" s="3" customFormat="1" ht="15.95" customHeight="1" thickTop="1">
      <c r="A82" s="49"/>
      <c r="B82" s="50" t="s">
        <v>146</v>
      </c>
      <c r="C82" s="12"/>
      <c r="D82" s="39"/>
      <c r="E82" s="39"/>
      <c r="F82" s="39"/>
      <c r="G82" s="39"/>
      <c r="H82" s="39"/>
      <c r="I82" s="39"/>
      <c r="J82" s="39"/>
      <c r="K82" s="39"/>
      <c r="L82" s="39" t="s">
        <v>34</v>
      </c>
      <c r="M82" s="39"/>
      <c r="N82" s="39" t="str">
        <f>$F$8</f>
        <v>FY2010-11</v>
      </c>
      <c r="O82" s="39" t="s">
        <v>154</v>
      </c>
      <c r="P82" s="39" t="s">
        <v>147</v>
      </c>
      <c r="Q82" s="39"/>
      <c r="R82" s="39" t="s">
        <v>611</v>
      </c>
      <c r="S82" s="39"/>
      <c r="T82" s="39"/>
      <c r="U82" s="58"/>
      <c r="V82" s="1"/>
      <c r="W82" s="2"/>
      <c r="X82" s="877"/>
      <c r="Y82" s="1"/>
      <c r="Z82" s="1"/>
      <c r="AA82" s="1"/>
      <c r="AB82" s="1"/>
      <c r="AC82" s="1"/>
      <c r="AD82" s="1"/>
      <c r="AE82" s="1"/>
      <c r="AF82" s="1"/>
      <c r="AG82" s="1"/>
    </row>
    <row r="83" spans="1:33" s="3" customFormat="1" ht="15.95" customHeight="1">
      <c r="A83" s="49"/>
      <c r="B83" s="57">
        <f>DSUM('ENR#-DB'!D35:T48,"TOTAL ENROLLMENT",D81:T82)</f>
        <v>0</v>
      </c>
      <c r="C83" s="12"/>
      <c r="D83" s="873"/>
      <c r="E83" s="873"/>
      <c r="F83" s="873"/>
      <c r="G83" s="873"/>
      <c r="H83" s="873"/>
      <c r="I83" s="873"/>
      <c r="J83" s="873"/>
      <c r="K83" s="873"/>
      <c r="L83" s="873"/>
      <c r="M83" s="873"/>
      <c r="N83" s="873"/>
      <c r="O83" s="873"/>
      <c r="P83" s="873"/>
      <c r="Q83" s="873"/>
      <c r="R83" s="873"/>
      <c r="S83" s="873"/>
      <c r="T83" s="873"/>
      <c r="U83" s="58"/>
      <c r="V83" s="1"/>
      <c r="W83" s="2"/>
      <c r="X83" s="877"/>
      <c r="Y83" s="1"/>
      <c r="Z83" s="1"/>
      <c r="AA83" s="1"/>
      <c r="AB83" s="1"/>
      <c r="AC83" s="1"/>
      <c r="AD83" s="1"/>
      <c r="AE83" s="1"/>
      <c r="AF83" s="1"/>
      <c r="AG83" s="1"/>
    </row>
    <row r="84" spans="1:33" s="3" customFormat="1" ht="15.95" customHeight="1">
      <c r="A84" s="49"/>
      <c r="B84" s="52"/>
      <c r="C84" s="12"/>
      <c r="D84" s="873"/>
      <c r="E84" s="873"/>
      <c r="F84" s="873"/>
      <c r="G84" s="873"/>
      <c r="H84" s="873"/>
      <c r="I84" s="873"/>
      <c r="J84" s="873"/>
      <c r="K84" s="873"/>
      <c r="L84" s="873"/>
      <c r="M84" s="873"/>
      <c r="N84" s="873"/>
      <c r="O84" s="873"/>
      <c r="P84" s="873"/>
      <c r="Q84" s="873"/>
      <c r="R84" s="873"/>
      <c r="S84" s="873"/>
      <c r="T84" s="873"/>
      <c r="U84" s="58"/>
      <c r="V84" s="1"/>
      <c r="W84" s="2"/>
      <c r="X84" s="877"/>
      <c r="Y84" s="1"/>
      <c r="Z84" s="1"/>
      <c r="AA84" s="1"/>
      <c r="AB84" s="1"/>
      <c r="AC84" s="1"/>
      <c r="AD84" s="1"/>
      <c r="AE84" s="1"/>
      <c r="AF84" s="1"/>
      <c r="AG84" s="1"/>
    </row>
    <row r="85" spans="1:33" s="3" customFormat="1" ht="15.95" customHeight="1">
      <c r="A85" s="49"/>
      <c r="B85" s="52"/>
      <c r="C85" s="12"/>
      <c r="D85" s="873"/>
      <c r="E85" s="873"/>
      <c r="F85" s="873"/>
      <c r="G85" s="873"/>
      <c r="H85" s="873"/>
      <c r="I85" s="873"/>
      <c r="J85" s="873"/>
      <c r="K85" s="873"/>
      <c r="L85" s="873"/>
      <c r="M85" s="873"/>
      <c r="N85" s="873"/>
      <c r="O85" s="873"/>
      <c r="P85" s="873"/>
      <c r="Q85" s="873"/>
      <c r="R85" s="873"/>
      <c r="S85" s="873"/>
      <c r="T85" s="873"/>
      <c r="U85" s="58"/>
      <c r="V85" s="1"/>
      <c r="W85" s="2"/>
      <c r="X85" s="877"/>
      <c r="Y85" s="1"/>
      <c r="Z85" s="1"/>
      <c r="AA85" s="1"/>
      <c r="AB85" s="1"/>
      <c r="AC85" s="1"/>
      <c r="AD85" s="1"/>
      <c r="AE85" s="1"/>
      <c r="AF85" s="1"/>
      <c r="AG85" s="1"/>
    </row>
    <row r="86" spans="1:33" s="3" customFormat="1" ht="15.95" customHeight="1">
      <c r="A86" s="49"/>
      <c r="B86" s="52"/>
      <c r="C86" s="12"/>
      <c r="D86" s="873"/>
      <c r="E86" s="873"/>
      <c r="F86" s="873"/>
      <c r="G86" s="873"/>
      <c r="H86" s="873"/>
      <c r="I86" s="873"/>
      <c r="J86" s="873"/>
      <c r="K86" s="873"/>
      <c r="L86" s="873"/>
      <c r="M86" s="873"/>
      <c r="N86" s="873"/>
      <c r="O86" s="873"/>
      <c r="P86" s="873"/>
      <c r="Q86" s="873"/>
      <c r="R86" s="873"/>
      <c r="S86" s="873"/>
      <c r="T86" s="873"/>
      <c r="U86" s="58"/>
      <c r="V86" s="1"/>
      <c r="W86" s="2"/>
      <c r="X86" s="877"/>
      <c r="Y86" s="1"/>
      <c r="Z86" s="1"/>
      <c r="AA86" s="1"/>
      <c r="AB86" s="1"/>
      <c r="AC86" s="1"/>
      <c r="AD86" s="1"/>
      <c r="AE86" s="1"/>
      <c r="AF86" s="1"/>
      <c r="AG86" s="1"/>
    </row>
    <row r="87" spans="1:33" s="3" customFormat="1" ht="15.95" customHeight="1">
      <c r="A87" s="49"/>
      <c r="B87" s="52"/>
      <c r="C87" s="12"/>
      <c r="D87" s="873"/>
      <c r="E87" s="873"/>
      <c r="F87" s="873"/>
      <c r="G87" s="873"/>
      <c r="H87" s="873"/>
      <c r="I87" s="873"/>
      <c r="J87" s="873"/>
      <c r="K87" s="873"/>
      <c r="L87" s="873"/>
      <c r="M87" s="873"/>
      <c r="N87" s="873"/>
      <c r="O87" s="873"/>
      <c r="P87" s="873"/>
      <c r="Q87" s="873"/>
      <c r="R87" s="873"/>
      <c r="S87" s="873"/>
      <c r="T87" s="873"/>
      <c r="U87" s="58"/>
      <c r="V87" s="1"/>
      <c r="W87" s="2"/>
      <c r="X87" s="877"/>
      <c r="Y87" s="1"/>
      <c r="Z87" s="1"/>
      <c r="AA87" s="1"/>
      <c r="AB87" s="1"/>
      <c r="AC87" s="1"/>
      <c r="AD87" s="1"/>
      <c r="AE87" s="1"/>
      <c r="AF87" s="1"/>
      <c r="AG87" s="1"/>
    </row>
    <row r="88" spans="1:33" s="3" customFormat="1" ht="15.95" customHeight="1">
      <c r="A88" s="49"/>
      <c r="B88" s="52"/>
      <c r="C88" s="12"/>
      <c r="D88" s="873"/>
      <c r="E88" s="873"/>
      <c r="F88" s="873"/>
      <c r="G88" s="873"/>
      <c r="H88" s="873"/>
      <c r="I88" s="873"/>
      <c r="J88" s="873"/>
      <c r="K88" s="873"/>
      <c r="L88" s="873"/>
      <c r="M88" s="873"/>
      <c r="N88" s="873"/>
      <c r="O88" s="873"/>
      <c r="P88" s="873"/>
      <c r="Q88" s="873"/>
      <c r="R88" s="873"/>
      <c r="S88" s="873"/>
      <c r="T88" s="873"/>
      <c r="U88" s="58"/>
      <c r="V88" s="1"/>
      <c r="W88" s="2"/>
      <c r="X88" s="877"/>
      <c r="Y88" s="1"/>
      <c r="Z88" s="1"/>
      <c r="AA88" s="1"/>
      <c r="AB88" s="1"/>
      <c r="AC88" s="1"/>
      <c r="AD88" s="1"/>
      <c r="AE88" s="1"/>
      <c r="AF88" s="1"/>
      <c r="AG88" s="1"/>
    </row>
    <row r="89" spans="1:33" s="3" customFormat="1" ht="15.95" customHeight="1">
      <c r="A89" s="36"/>
      <c r="B89" s="33"/>
      <c r="C89" s="33"/>
      <c r="D89" s="35"/>
      <c r="E89" s="35"/>
      <c r="F89" s="35"/>
      <c r="G89" s="35"/>
      <c r="H89" s="35"/>
      <c r="I89" s="35"/>
      <c r="J89" s="35"/>
      <c r="K89" s="35"/>
      <c r="L89" s="35"/>
      <c r="M89" s="35"/>
      <c r="N89" s="35"/>
      <c r="O89" s="35"/>
      <c r="P89" s="35"/>
      <c r="Q89" s="35"/>
      <c r="R89" s="35"/>
      <c r="S89" s="35"/>
      <c r="T89" s="35"/>
      <c r="U89" s="58"/>
      <c r="V89" s="1"/>
      <c r="W89" s="2"/>
      <c r="X89" s="877"/>
      <c r="Y89" s="1"/>
      <c r="Z89" s="1"/>
      <c r="AA89" s="1"/>
      <c r="AB89" s="1"/>
      <c r="AC89" s="1"/>
      <c r="AD89" s="1"/>
      <c r="AE89" s="1"/>
      <c r="AF89" s="1"/>
      <c r="AG89" s="1"/>
    </row>
    <row r="90" spans="1:33" s="3" customFormat="1"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1" t="str">
        <f>'ENR#-DB'!$S$34</f>
        <v>UD1</v>
      </c>
      <c r="T90" s="871" t="str">
        <f>'ENR#-DB'!$T$34</f>
        <v>UD2</v>
      </c>
      <c r="U90" s="60"/>
      <c r="V90" s="56"/>
      <c r="W90" s="2"/>
      <c r="X90" s="877"/>
      <c r="Y90" s="56"/>
      <c r="Z90" s="56"/>
      <c r="AA90" s="56"/>
      <c r="AB90" s="56"/>
      <c r="AC90" s="56"/>
      <c r="AD90" s="56"/>
      <c r="AE90" s="56"/>
      <c r="AF90" s="56"/>
      <c r="AG90" s="1"/>
    </row>
    <row r="91" spans="1:33" s="3" customFormat="1" ht="15.95" customHeight="1" thickTop="1" thickBot="1">
      <c r="A91" s="49"/>
      <c r="B91" s="51" t="s">
        <v>4</v>
      </c>
      <c r="C91" s="15"/>
      <c r="D91" s="861" t="s">
        <v>186</v>
      </c>
      <c r="E91" s="861" t="s">
        <v>187</v>
      </c>
      <c r="F91" s="861" t="s">
        <v>188</v>
      </c>
      <c r="G91" s="861" t="s">
        <v>189</v>
      </c>
      <c r="H91" s="861" t="s">
        <v>11</v>
      </c>
      <c r="I91" s="861" t="s">
        <v>190</v>
      </c>
      <c r="J91" s="861" t="s">
        <v>191</v>
      </c>
      <c r="K91" s="862" t="s">
        <v>192</v>
      </c>
      <c r="L91" s="861" t="s">
        <v>203</v>
      </c>
      <c r="M91" s="861" t="s">
        <v>42</v>
      </c>
      <c r="N91" s="861" t="s">
        <v>148</v>
      </c>
      <c r="O91" s="861" t="s">
        <v>193</v>
      </c>
      <c r="P91" s="861" t="s">
        <v>142</v>
      </c>
      <c r="Q91" s="112" t="s">
        <v>239</v>
      </c>
      <c r="R91" s="967" t="s">
        <v>672</v>
      </c>
      <c r="S91" s="859" t="s">
        <v>541</v>
      </c>
      <c r="T91" s="859" t="s">
        <v>542</v>
      </c>
      <c r="U91" s="59"/>
      <c r="V91" s="2"/>
      <c r="W91" s="2"/>
      <c r="X91" s="877"/>
      <c r="Y91" s="2"/>
      <c r="Z91" s="2"/>
      <c r="AA91" s="2"/>
      <c r="AB91" s="2"/>
      <c r="AC91" s="2"/>
      <c r="AD91" s="2"/>
      <c r="AE91" s="2"/>
      <c r="AF91" s="2"/>
      <c r="AG91" s="1"/>
    </row>
    <row r="92" spans="1:33" s="3" customFormat="1" ht="15.95" customHeight="1" thickTop="1">
      <c r="A92" s="49"/>
      <c r="B92" s="50" t="s">
        <v>146</v>
      </c>
      <c r="C92" s="12"/>
      <c r="D92" s="40"/>
      <c r="E92" s="40"/>
      <c r="F92" s="40"/>
      <c r="G92" s="40"/>
      <c r="H92" s="40"/>
      <c r="I92" s="40"/>
      <c r="J92" s="40"/>
      <c r="K92" s="40"/>
      <c r="L92" s="40" t="s">
        <v>34</v>
      </c>
      <c r="M92" s="40"/>
      <c r="N92" s="40" t="str">
        <f>$F$8</f>
        <v>FY2010-11</v>
      </c>
      <c r="O92" s="40" t="s">
        <v>155</v>
      </c>
      <c r="P92" s="40" t="s">
        <v>138</v>
      </c>
      <c r="Q92" s="40"/>
      <c r="R92" s="40"/>
      <c r="S92" s="40"/>
      <c r="T92" s="40"/>
      <c r="U92" s="58"/>
      <c r="V92" s="1"/>
      <c r="W92" s="2"/>
      <c r="X92" s="877"/>
      <c r="Y92" s="1"/>
      <c r="Z92" s="1"/>
      <c r="AA92" s="1"/>
      <c r="AB92" s="1"/>
      <c r="AC92" s="1"/>
      <c r="AD92" s="1"/>
      <c r="AE92" s="1"/>
      <c r="AF92" s="1"/>
      <c r="AG92" s="1"/>
    </row>
    <row r="93" spans="1:33" s="3" customFormat="1" ht="15.95" customHeight="1">
      <c r="A93" s="49"/>
      <c r="B93" s="57">
        <f>DSUM('ENR#-DB'!D35:T48,"TOTAL ENROLLMENT",D91:T93)</f>
        <v>0</v>
      </c>
      <c r="C93" s="12"/>
      <c r="D93" s="40"/>
      <c r="E93" s="40"/>
      <c r="F93" s="40"/>
      <c r="G93" s="40"/>
      <c r="H93" s="40"/>
      <c r="I93" s="40"/>
      <c r="J93" s="40"/>
      <c r="K93" s="40"/>
      <c r="L93" s="40" t="s">
        <v>34</v>
      </c>
      <c r="M93" s="40"/>
      <c r="N93" s="40" t="str">
        <f>$F$8</f>
        <v>FY2010-11</v>
      </c>
      <c r="O93" s="40" t="s">
        <v>155</v>
      </c>
      <c r="P93" s="40" t="s">
        <v>147</v>
      </c>
      <c r="Q93" s="40"/>
      <c r="R93" s="40" t="s">
        <v>103</v>
      </c>
      <c r="S93" s="40"/>
      <c r="T93" s="40"/>
      <c r="U93" s="58"/>
      <c r="V93" s="1"/>
      <c r="W93" s="2"/>
      <c r="X93" s="877"/>
      <c r="Y93" s="1"/>
      <c r="Z93" s="1"/>
      <c r="AA93" s="1"/>
      <c r="AB93" s="1"/>
      <c r="AC93" s="1"/>
      <c r="AD93" s="1"/>
      <c r="AE93" s="1"/>
      <c r="AF93" s="1"/>
      <c r="AG93" s="1"/>
    </row>
    <row r="94" spans="1:33" s="3" customFormat="1" ht="15.95" customHeight="1">
      <c r="A94" s="49"/>
      <c r="B94" s="52"/>
      <c r="C94" s="12"/>
      <c r="D94" s="873"/>
      <c r="E94" s="873"/>
      <c r="F94" s="873"/>
      <c r="G94" s="873"/>
      <c r="H94" s="873"/>
      <c r="I94" s="873"/>
      <c r="J94" s="873"/>
      <c r="K94" s="873"/>
      <c r="L94" s="873"/>
      <c r="M94" s="873"/>
      <c r="N94" s="873"/>
      <c r="O94" s="873"/>
      <c r="P94" s="873"/>
      <c r="Q94" s="873"/>
      <c r="R94" s="873"/>
      <c r="S94" s="873"/>
      <c r="T94" s="873"/>
      <c r="U94" s="58"/>
      <c r="V94" s="1"/>
      <c r="W94" s="2"/>
      <c r="X94" s="877"/>
      <c r="Y94" s="1"/>
      <c r="Z94" s="1"/>
      <c r="AA94" s="1"/>
      <c r="AB94" s="1"/>
      <c r="AC94" s="1"/>
      <c r="AD94" s="1"/>
      <c r="AE94" s="1"/>
      <c r="AF94" s="1"/>
      <c r="AG94" s="1"/>
    </row>
    <row r="95" spans="1:33" s="3" customFormat="1" ht="15.95" customHeight="1">
      <c r="A95" s="49"/>
      <c r="B95" s="52"/>
      <c r="C95" s="12"/>
      <c r="D95" s="873"/>
      <c r="E95" s="873"/>
      <c r="F95" s="873"/>
      <c r="G95" s="873"/>
      <c r="H95" s="873"/>
      <c r="I95" s="873"/>
      <c r="J95" s="873"/>
      <c r="K95" s="873"/>
      <c r="L95" s="873"/>
      <c r="M95" s="873"/>
      <c r="N95" s="873"/>
      <c r="O95" s="873"/>
      <c r="P95" s="873"/>
      <c r="Q95" s="873"/>
      <c r="R95" s="873"/>
      <c r="S95" s="873"/>
      <c r="T95" s="873"/>
      <c r="U95" s="58"/>
      <c r="V95" s="1"/>
      <c r="W95" s="2"/>
      <c r="X95" s="877"/>
      <c r="Y95" s="1"/>
      <c r="Z95" s="1"/>
      <c r="AA95" s="1"/>
      <c r="AB95" s="1"/>
      <c r="AC95" s="1"/>
      <c r="AD95" s="1"/>
      <c r="AE95" s="1"/>
      <c r="AF95" s="1"/>
      <c r="AG95" s="1"/>
    </row>
    <row r="96" spans="1:33" s="3" customFormat="1" ht="15.95" customHeight="1">
      <c r="A96" s="49"/>
      <c r="B96" s="52"/>
      <c r="C96" s="12"/>
      <c r="D96" s="873"/>
      <c r="E96" s="873"/>
      <c r="F96" s="873"/>
      <c r="G96" s="873"/>
      <c r="H96" s="873"/>
      <c r="I96" s="873"/>
      <c r="J96" s="873"/>
      <c r="K96" s="873"/>
      <c r="L96" s="873"/>
      <c r="M96" s="873"/>
      <c r="N96" s="873"/>
      <c r="O96" s="873"/>
      <c r="P96" s="873"/>
      <c r="Q96" s="873"/>
      <c r="R96" s="873"/>
      <c r="S96" s="873"/>
      <c r="T96" s="873"/>
      <c r="U96" s="58"/>
      <c r="V96" s="1"/>
      <c r="W96" s="2"/>
      <c r="X96" s="877"/>
      <c r="Y96" s="1"/>
      <c r="Z96" s="1"/>
      <c r="AA96" s="1"/>
      <c r="AB96" s="1"/>
      <c r="AC96" s="1"/>
      <c r="AD96" s="1"/>
      <c r="AE96" s="1"/>
      <c r="AF96" s="1"/>
      <c r="AG96" s="1"/>
    </row>
    <row r="97" spans="1:33" s="3" customFormat="1" ht="15.95" customHeight="1">
      <c r="A97" s="49"/>
      <c r="B97" s="52"/>
      <c r="C97" s="12"/>
      <c r="D97" s="873"/>
      <c r="E97" s="873"/>
      <c r="F97" s="873"/>
      <c r="G97" s="873"/>
      <c r="H97" s="873"/>
      <c r="I97" s="873"/>
      <c r="J97" s="873"/>
      <c r="K97" s="873"/>
      <c r="L97" s="873"/>
      <c r="M97" s="873"/>
      <c r="N97" s="873"/>
      <c r="O97" s="873"/>
      <c r="P97" s="873"/>
      <c r="Q97" s="873"/>
      <c r="R97" s="873"/>
      <c r="S97" s="873"/>
      <c r="T97" s="873"/>
      <c r="U97" s="58"/>
      <c r="V97" s="1"/>
      <c r="W97" s="2"/>
      <c r="X97" s="877"/>
      <c r="Y97" s="1"/>
      <c r="Z97" s="1"/>
      <c r="AA97" s="1"/>
      <c r="AB97" s="1"/>
      <c r="AC97" s="1"/>
      <c r="AD97" s="1"/>
      <c r="AE97" s="1"/>
      <c r="AF97" s="1"/>
      <c r="AG97" s="1"/>
    </row>
    <row r="98" spans="1:33" s="3" customFormat="1" ht="15.95" customHeight="1">
      <c r="A98" s="49"/>
      <c r="B98" s="52"/>
      <c r="C98" s="12"/>
      <c r="D98" s="873"/>
      <c r="E98" s="873"/>
      <c r="F98" s="873"/>
      <c r="G98" s="873"/>
      <c r="H98" s="873"/>
      <c r="I98" s="873"/>
      <c r="J98" s="873"/>
      <c r="K98" s="873"/>
      <c r="L98" s="873"/>
      <c r="M98" s="873"/>
      <c r="N98" s="873"/>
      <c r="O98" s="873"/>
      <c r="P98" s="873"/>
      <c r="Q98" s="873"/>
      <c r="R98" s="873"/>
      <c r="S98" s="873"/>
      <c r="T98" s="873"/>
      <c r="U98" s="58"/>
      <c r="V98" s="1"/>
      <c r="W98" s="2"/>
      <c r="X98" s="877"/>
      <c r="Y98" s="1"/>
      <c r="Z98" s="1"/>
      <c r="AA98" s="1"/>
      <c r="AB98" s="1"/>
      <c r="AC98" s="1"/>
      <c r="AD98" s="1"/>
      <c r="AE98" s="1"/>
      <c r="AF98" s="1"/>
      <c r="AG98" s="1"/>
    </row>
    <row r="99" spans="1:33" s="3" customFormat="1" ht="15.95" customHeight="1">
      <c r="A99" s="36"/>
      <c r="B99" s="33"/>
      <c r="C99" s="33"/>
      <c r="D99" s="35"/>
      <c r="E99" s="35"/>
      <c r="F99" s="35"/>
      <c r="G99" s="35"/>
      <c r="H99" s="35"/>
      <c r="I99" s="35"/>
      <c r="J99" s="35"/>
      <c r="K99" s="35"/>
      <c r="L99" s="35"/>
      <c r="M99" s="35"/>
      <c r="N99" s="35"/>
      <c r="O99" s="35"/>
      <c r="P99" s="35"/>
      <c r="Q99" s="35"/>
      <c r="R99" s="35"/>
      <c r="S99" s="35"/>
      <c r="T99" s="35"/>
      <c r="U99" s="58"/>
      <c r="V99" s="1"/>
      <c r="W99" s="2"/>
      <c r="X99" s="877"/>
      <c r="Y99" s="1"/>
      <c r="Z99" s="1"/>
      <c r="AA99" s="1"/>
      <c r="AB99" s="1"/>
      <c r="AC99" s="1"/>
      <c r="AD99" s="1"/>
      <c r="AE99" s="1"/>
      <c r="AF99" s="1"/>
      <c r="AG99" s="1"/>
    </row>
    <row r="100" spans="1:33" s="3" customFormat="1"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1" t="str">
        <f>'ENR#-DB'!$S$34</f>
        <v>UD1</v>
      </c>
      <c r="T100" s="871" t="str">
        <f>'ENR#-DB'!$T$34</f>
        <v>UD2</v>
      </c>
      <c r="U100" s="60"/>
      <c r="V100" s="56"/>
      <c r="W100" s="2"/>
      <c r="X100" s="877"/>
      <c r="Y100" s="56"/>
      <c r="Z100" s="56"/>
      <c r="AA100" s="56"/>
      <c r="AB100" s="56"/>
      <c r="AC100" s="56"/>
      <c r="AD100" s="56"/>
      <c r="AE100" s="56"/>
      <c r="AF100" s="56"/>
      <c r="AG100" s="1"/>
    </row>
    <row r="101" spans="1:33" s="3" customFormat="1" ht="15.95" customHeight="1" thickTop="1" thickBot="1">
      <c r="A101" s="49"/>
      <c r="B101" s="51" t="s">
        <v>175</v>
      </c>
      <c r="C101" s="15"/>
      <c r="D101" s="861" t="s">
        <v>186</v>
      </c>
      <c r="E101" s="861" t="s">
        <v>187</v>
      </c>
      <c r="F101" s="861" t="s">
        <v>188</v>
      </c>
      <c r="G101" s="861" t="s">
        <v>189</v>
      </c>
      <c r="H101" s="861" t="s">
        <v>11</v>
      </c>
      <c r="I101" s="861" t="s">
        <v>190</v>
      </c>
      <c r="J101" s="861" t="s">
        <v>191</v>
      </c>
      <c r="K101" s="862" t="s">
        <v>192</v>
      </c>
      <c r="L101" s="861" t="s">
        <v>203</v>
      </c>
      <c r="M101" s="861" t="s">
        <v>42</v>
      </c>
      <c r="N101" s="861" t="s">
        <v>148</v>
      </c>
      <c r="O101" s="861" t="s">
        <v>193</v>
      </c>
      <c r="P101" s="861" t="s">
        <v>142</v>
      </c>
      <c r="Q101" s="112" t="s">
        <v>239</v>
      </c>
      <c r="R101" s="967" t="s">
        <v>672</v>
      </c>
      <c r="S101" s="859" t="s">
        <v>541</v>
      </c>
      <c r="T101" s="859" t="s">
        <v>542</v>
      </c>
      <c r="U101" s="59"/>
      <c r="V101" s="2"/>
      <c r="W101" s="2"/>
      <c r="X101" s="877"/>
      <c r="Y101" s="2"/>
      <c r="Z101" s="2"/>
      <c r="AA101" s="2"/>
      <c r="AB101" s="2"/>
      <c r="AC101" s="2"/>
      <c r="AD101" s="2"/>
      <c r="AE101" s="2"/>
      <c r="AF101" s="2"/>
      <c r="AG101" s="1"/>
    </row>
    <row r="102" spans="1:33" s="3" customFormat="1" ht="15.95" customHeight="1" thickTop="1">
      <c r="A102" s="49"/>
      <c r="B102" s="50" t="s">
        <v>146</v>
      </c>
      <c r="C102" s="12"/>
      <c r="D102" s="40"/>
      <c r="E102" s="40"/>
      <c r="F102" s="40"/>
      <c r="G102" s="40"/>
      <c r="H102" s="40"/>
      <c r="I102" s="40"/>
      <c r="J102" s="40"/>
      <c r="K102" s="40"/>
      <c r="L102" s="40" t="s">
        <v>34</v>
      </c>
      <c r="M102" s="40"/>
      <c r="N102" s="40" t="str">
        <f>$F$8</f>
        <v>FY2010-11</v>
      </c>
      <c r="O102" s="40" t="s">
        <v>155</v>
      </c>
      <c r="P102" s="40" t="s">
        <v>147</v>
      </c>
      <c r="Q102" s="40"/>
      <c r="R102" s="40" t="s">
        <v>611</v>
      </c>
      <c r="S102" s="40"/>
      <c r="T102" s="40"/>
      <c r="U102" s="58"/>
      <c r="V102" s="1"/>
      <c r="W102" s="2"/>
      <c r="X102" s="877"/>
      <c r="Y102" s="1"/>
      <c r="Z102" s="1"/>
      <c r="AA102" s="1"/>
      <c r="AB102" s="1"/>
      <c r="AC102" s="1"/>
      <c r="AD102" s="1"/>
      <c r="AE102" s="1"/>
      <c r="AF102" s="1"/>
      <c r="AG102" s="1"/>
    </row>
    <row r="103" spans="1:33" s="3" customFormat="1" ht="15.95" customHeight="1">
      <c r="A103" s="49"/>
      <c r="B103" s="57">
        <f>DSUM('ENR#-DB'!D35:T48,"TOTAL ENROLLMENT",D101:T102)</f>
        <v>0</v>
      </c>
      <c r="C103" s="12"/>
      <c r="D103" s="873"/>
      <c r="E103" s="873"/>
      <c r="F103" s="873"/>
      <c r="G103" s="873"/>
      <c r="H103" s="873"/>
      <c r="I103" s="873"/>
      <c r="J103" s="873"/>
      <c r="K103" s="873"/>
      <c r="L103" s="873"/>
      <c r="M103" s="873"/>
      <c r="N103" s="873"/>
      <c r="O103" s="873"/>
      <c r="P103" s="873"/>
      <c r="Q103" s="873"/>
      <c r="R103" s="873"/>
      <c r="S103" s="873"/>
      <c r="T103" s="873"/>
      <c r="U103" s="58"/>
      <c r="V103" s="1"/>
      <c r="W103" s="2"/>
      <c r="X103" s="877"/>
      <c r="Y103" s="1"/>
      <c r="Z103" s="1"/>
      <c r="AA103" s="1"/>
      <c r="AB103" s="1"/>
      <c r="AC103" s="1"/>
      <c r="AD103" s="1"/>
      <c r="AE103" s="1"/>
      <c r="AF103" s="1"/>
      <c r="AG103" s="1"/>
    </row>
    <row r="104" spans="1:33" s="3" customFormat="1" ht="15.95" customHeight="1">
      <c r="A104" s="49"/>
      <c r="B104" s="52"/>
      <c r="C104" s="12"/>
      <c r="D104" s="873"/>
      <c r="E104" s="873"/>
      <c r="F104" s="873"/>
      <c r="G104" s="873"/>
      <c r="H104" s="873"/>
      <c r="I104" s="873"/>
      <c r="J104" s="873"/>
      <c r="K104" s="873"/>
      <c r="L104" s="873"/>
      <c r="M104" s="873"/>
      <c r="N104" s="873"/>
      <c r="O104" s="873"/>
      <c r="P104" s="873"/>
      <c r="Q104" s="873"/>
      <c r="R104" s="873"/>
      <c r="S104" s="873"/>
      <c r="T104" s="873"/>
      <c r="U104" s="58"/>
      <c r="V104" s="1"/>
      <c r="W104" s="2"/>
      <c r="X104" s="877"/>
      <c r="Y104" s="1"/>
      <c r="Z104" s="1"/>
      <c r="AA104" s="1"/>
      <c r="AB104" s="1"/>
      <c r="AC104" s="1"/>
      <c r="AD104" s="1"/>
      <c r="AE104" s="1"/>
      <c r="AF104" s="1"/>
      <c r="AG104" s="1"/>
    </row>
    <row r="105" spans="1:33" s="3" customFormat="1" ht="15.95" customHeight="1">
      <c r="A105" s="49"/>
      <c r="B105" s="52"/>
      <c r="C105" s="12"/>
      <c r="D105" s="873"/>
      <c r="E105" s="873"/>
      <c r="F105" s="873"/>
      <c r="G105" s="873"/>
      <c r="H105" s="873"/>
      <c r="I105" s="873"/>
      <c r="J105" s="873"/>
      <c r="K105" s="873"/>
      <c r="L105" s="873"/>
      <c r="M105" s="873"/>
      <c r="N105" s="873"/>
      <c r="O105" s="873"/>
      <c r="P105" s="873"/>
      <c r="Q105" s="873"/>
      <c r="R105" s="873"/>
      <c r="S105" s="873"/>
      <c r="T105" s="873"/>
      <c r="U105" s="58"/>
      <c r="V105" s="1"/>
      <c r="W105" s="2"/>
      <c r="X105" s="877"/>
      <c r="Y105" s="1"/>
      <c r="Z105" s="1"/>
      <c r="AA105" s="1"/>
      <c r="AB105" s="1"/>
      <c r="AC105" s="1"/>
      <c r="AD105" s="1"/>
      <c r="AE105" s="1"/>
      <c r="AF105" s="1"/>
      <c r="AG105" s="1"/>
    </row>
    <row r="106" spans="1:33" s="3" customFormat="1" ht="15.95" customHeight="1">
      <c r="A106" s="49"/>
      <c r="B106" s="52"/>
      <c r="C106" s="12"/>
      <c r="D106" s="873"/>
      <c r="E106" s="873"/>
      <c r="F106" s="873"/>
      <c r="G106" s="873"/>
      <c r="H106" s="873"/>
      <c r="I106" s="873"/>
      <c r="J106" s="873"/>
      <c r="K106" s="873"/>
      <c r="L106" s="873"/>
      <c r="M106" s="873"/>
      <c r="N106" s="873"/>
      <c r="O106" s="873"/>
      <c r="P106" s="873"/>
      <c r="Q106" s="873"/>
      <c r="R106" s="873"/>
      <c r="S106" s="873"/>
      <c r="T106" s="873"/>
      <c r="U106" s="58"/>
      <c r="V106" s="1"/>
      <c r="W106" s="2"/>
      <c r="X106" s="877"/>
      <c r="Y106" s="1"/>
      <c r="Z106" s="1"/>
      <c r="AA106" s="1"/>
      <c r="AB106" s="1"/>
      <c r="AC106" s="1"/>
      <c r="AD106" s="1"/>
      <c r="AE106" s="1"/>
      <c r="AF106" s="1"/>
      <c r="AG106" s="1"/>
    </row>
    <row r="107" spans="1:33" s="3" customFormat="1" ht="15.95" customHeight="1">
      <c r="A107" s="49"/>
      <c r="B107" s="52"/>
      <c r="C107" s="12"/>
      <c r="D107" s="873"/>
      <c r="E107" s="873"/>
      <c r="F107" s="873"/>
      <c r="G107" s="873"/>
      <c r="H107" s="873"/>
      <c r="I107" s="873"/>
      <c r="J107" s="873"/>
      <c r="K107" s="873"/>
      <c r="L107" s="873"/>
      <c r="M107" s="873"/>
      <c r="N107" s="873"/>
      <c r="O107" s="873"/>
      <c r="P107" s="873"/>
      <c r="Q107" s="873"/>
      <c r="R107" s="873"/>
      <c r="S107" s="873"/>
      <c r="T107" s="873"/>
      <c r="U107" s="58"/>
      <c r="V107" s="1"/>
      <c r="W107" s="2"/>
      <c r="X107" s="877"/>
      <c r="Y107" s="1"/>
      <c r="Z107" s="1"/>
      <c r="AA107" s="1"/>
      <c r="AB107" s="1"/>
      <c r="AC107" s="1"/>
      <c r="AD107" s="1"/>
      <c r="AE107" s="1"/>
      <c r="AF107" s="1"/>
      <c r="AG107" s="1"/>
    </row>
    <row r="108" spans="1:33" s="3" customFormat="1" ht="15.95" customHeight="1">
      <c r="A108" s="49"/>
      <c r="B108" s="52"/>
      <c r="C108" s="12"/>
      <c r="D108" s="873"/>
      <c r="E108" s="873"/>
      <c r="F108" s="873"/>
      <c r="G108" s="873"/>
      <c r="H108" s="873"/>
      <c r="I108" s="873"/>
      <c r="J108" s="873"/>
      <c r="K108" s="873"/>
      <c r="L108" s="873"/>
      <c r="M108" s="873"/>
      <c r="N108" s="873"/>
      <c r="O108" s="873"/>
      <c r="P108" s="873"/>
      <c r="Q108" s="873"/>
      <c r="R108" s="873"/>
      <c r="S108" s="873"/>
      <c r="T108" s="873"/>
      <c r="U108" s="58"/>
      <c r="V108" s="1"/>
      <c r="W108" s="2"/>
      <c r="X108" s="877"/>
      <c r="Y108" s="1"/>
      <c r="Z108" s="1"/>
      <c r="AA108" s="1"/>
      <c r="AB108" s="1"/>
      <c r="AC108" s="1"/>
      <c r="AD108" s="1"/>
      <c r="AE108" s="1"/>
      <c r="AF108" s="1"/>
      <c r="AG108" s="1"/>
    </row>
    <row r="109" spans="1:33" s="3" customFormat="1"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2"/>
      <c r="X109" s="877"/>
      <c r="Y109" s="1"/>
      <c r="Z109" s="1"/>
      <c r="AA109" s="1"/>
      <c r="AB109" s="1"/>
      <c r="AC109" s="1"/>
      <c r="AD109" s="1"/>
      <c r="AE109" s="1"/>
      <c r="AF109" s="1"/>
      <c r="AG109" s="1"/>
    </row>
    <row r="110" spans="1:33" s="3" customFormat="1"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1" t="str">
        <f>'ENR#-DB'!$S$34</f>
        <v>UD1</v>
      </c>
      <c r="T110" s="871" t="str">
        <f>'ENR#-DB'!$T$34</f>
        <v>UD2</v>
      </c>
      <c r="U110" s="60"/>
      <c r="V110" s="56"/>
      <c r="W110" s="2"/>
      <c r="X110" s="877"/>
      <c r="Y110" s="56"/>
      <c r="Z110" s="56"/>
      <c r="AA110" s="56"/>
      <c r="AB110" s="56"/>
      <c r="AC110" s="56"/>
      <c r="AD110" s="56"/>
      <c r="AE110" s="56"/>
      <c r="AF110" s="56"/>
      <c r="AG110" s="1"/>
    </row>
    <row r="111" spans="1:33" s="3" customFormat="1" ht="15.95" customHeight="1" thickTop="1" thickBot="1">
      <c r="A111" s="49"/>
      <c r="B111" s="51" t="s">
        <v>4</v>
      </c>
      <c r="C111" s="15"/>
      <c r="D111" s="861" t="s">
        <v>186</v>
      </c>
      <c r="E111" s="861" t="s">
        <v>187</v>
      </c>
      <c r="F111" s="861" t="s">
        <v>188</v>
      </c>
      <c r="G111" s="861" t="s">
        <v>189</v>
      </c>
      <c r="H111" s="861" t="s">
        <v>11</v>
      </c>
      <c r="I111" s="861" t="s">
        <v>190</v>
      </c>
      <c r="J111" s="861" t="s">
        <v>191</v>
      </c>
      <c r="K111" s="862" t="s">
        <v>192</v>
      </c>
      <c r="L111" s="861" t="s">
        <v>203</v>
      </c>
      <c r="M111" s="861" t="s">
        <v>42</v>
      </c>
      <c r="N111" s="861" t="s">
        <v>148</v>
      </c>
      <c r="O111" s="861" t="s">
        <v>193</v>
      </c>
      <c r="P111" s="861" t="s">
        <v>142</v>
      </c>
      <c r="Q111" s="112" t="s">
        <v>239</v>
      </c>
      <c r="R111" s="967" t="s">
        <v>672</v>
      </c>
      <c r="S111" s="859" t="s">
        <v>541</v>
      </c>
      <c r="T111" s="859" t="s">
        <v>542</v>
      </c>
      <c r="U111" s="59"/>
      <c r="V111" s="2"/>
      <c r="W111" s="2"/>
      <c r="X111" s="877"/>
      <c r="Y111" s="2"/>
      <c r="Z111" s="2"/>
      <c r="AA111" s="2"/>
      <c r="AB111" s="2"/>
      <c r="AC111" s="2"/>
      <c r="AD111" s="2"/>
      <c r="AE111" s="2"/>
      <c r="AF111" s="2"/>
      <c r="AG111" s="1"/>
    </row>
    <row r="112" spans="1:33" s="3" customFormat="1" ht="15.95" customHeight="1" thickTop="1">
      <c r="A112" s="49"/>
      <c r="B112" s="50" t="s">
        <v>146</v>
      </c>
      <c r="C112" s="12"/>
      <c r="D112" s="45"/>
      <c r="E112" s="45"/>
      <c r="F112" s="45"/>
      <c r="G112" s="45"/>
      <c r="H112" s="45"/>
      <c r="I112" s="45"/>
      <c r="J112" s="45"/>
      <c r="K112" s="45"/>
      <c r="L112" s="45" t="s">
        <v>34</v>
      </c>
      <c r="M112" s="45"/>
      <c r="N112" s="45" t="str">
        <f>$F$8</f>
        <v>FY2010-11</v>
      </c>
      <c r="O112" s="45" t="s">
        <v>156</v>
      </c>
      <c r="P112" s="45" t="s">
        <v>138</v>
      </c>
      <c r="Q112" s="45"/>
      <c r="R112" s="45"/>
      <c r="S112" s="45"/>
      <c r="T112" s="45"/>
      <c r="U112" s="58"/>
      <c r="V112" s="1"/>
      <c r="W112" s="2"/>
      <c r="X112" s="877"/>
      <c r="Y112" s="1"/>
      <c r="Z112" s="1"/>
      <c r="AA112" s="1"/>
      <c r="AB112" s="1"/>
      <c r="AC112" s="1"/>
      <c r="AD112" s="1"/>
      <c r="AE112" s="1"/>
      <c r="AF112" s="1"/>
      <c r="AG112" s="1"/>
    </row>
    <row r="113" spans="1:33" s="3" customFormat="1" ht="15.95" customHeight="1">
      <c r="A113" s="49"/>
      <c r="B113" s="57">
        <f>DSUM('ENR#-DB'!D35:T48,"TOTAL ENROLLMENT",D111:T113)</f>
        <v>0</v>
      </c>
      <c r="C113" s="12"/>
      <c r="D113" s="45"/>
      <c r="E113" s="45"/>
      <c r="F113" s="45"/>
      <c r="G113" s="45"/>
      <c r="H113" s="45"/>
      <c r="I113" s="45"/>
      <c r="J113" s="45"/>
      <c r="K113" s="45"/>
      <c r="L113" s="45" t="s">
        <v>34</v>
      </c>
      <c r="M113" s="45"/>
      <c r="N113" s="45" t="str">
        <f>$F$8</f>
        <v>FY2010-11</v>
      </c>
      <c r="O113" s="45" t="s">
        <v>156</v>
      </c>
      <c r="P113" s="45" t="s">
        <v>147</v>
      </c>
      <c r="Q113" s="45"/>
      <c r="R113" s="45" t="s">
        <v>103</v>
      </c>
      <c r="S113" s="45"/>
      <c r="T113" s="45"/>
      <c r="U113" s="58"/>
      <c r="V113" s="1"/>
      <c r="W113" s="2"/>
      <c r="X113" s="877"/>
      <c r="Y113" s="1"/>
      <c r="Z113" s="1"/>
      <c r="AA113" s="1"/>
      <c r="AB113" s="1"/>
      <c r="AC113" s="1"/>
      <c r="AD113" s="1"/>
      <c r="AE113" s="1"/>
      <c r="AF113" s="1"/>
      <c r="AG113" s="1"/>
    </row>
    <row r="114" spans="1:33" s="3" customFormat="1" ht="15.95" customHeight="1">
      <c r="A114" s="49"/>
      <c r="B114" s="52"/>
      <c r="C114" s="12"/>
      <c r="D114" s="873"/>
      <c r="E114" s="873"/>
      <c r="F114" s="873"/>
      <c r="G114" s="873"/>
      <c r="H114" s="873"/>
      <c r="I114" s="873"/>
      <c r="J114" s="873"/>
      <c r="K114" s="873"/>
      <c r="L114" s="873"/>
      <c r="M114" s="873"/>
      <c r="N114" s="873"/>
      <c r="O114" s="873"/>
      <c r="P114" s="873"/>
      <c r="Q114" s="873"/>
      <c r="R114" s="873"/>
      <c r="S114" s="873"/>
      <c r="T114" s="873"/>
      <c r="U114" s="58"/>
      <c r="V114" s="1"/>
      <c r="W114" s="2"/>
      <c r="X114" s="877"/>
      <c r="Y114" s="1"/>
      <c r="Z114" s="1"/>
      <c r="AA114" s="1"/>
      <c r="AB114" s="1"/>
      <c r="AC114" s="1"/>
      <c r="AD114" s="1"/>
      <c r="AE114" s="1"/>
      <c r="AF114" s="1"/>
      <c r="AG114" s="1"/>
    </row>
    <row r="115" spans="1:33" s="3" customFormat="1" ht="15.95" customHeight="1">
      <c r="A115" s="49"/>
      <c r="B115" s="52"/>
      <c r="C115" s="12"/>
      <c r="D115" s="873"/>
      <c r="E115" s="873"/>
      <c r="F115" s="873"/>
      <c r="G115" s="873"/>
      <c r="H115" s="873"/>
      <c r="I115" s="873"/>
      <c r="J115" s="873"/>
      <c r="K115" s="873"/>
      <c r="L115" s="873"/>
      <c r="M115" s="873"/>
      <c r="N115" s="873"/>
      <c r="O115" s="873"/>
      <c r="P115" s="873"/>
      <c r="Q115" s="873"/>
      <c r="R115" s="873"/>
      <c r="S115" s="873"/>
      <c r="T115" s="873"/>
      <c r="U115" s="58"/>
      <c r="V115" s="1"/>
      <c r="W115" s="2"/>
      <c r="X115" s="877"/>
      <c r="Y115" s="1"/>
      <c r="Z115" s="1"/>
      <c r="AA115" s="1"/>
      <c r="AB115" s="1"/>
      <c r="AC115" s="1"/>
      <c r="AD115" s="1"/>
      <c r="AE115" s="1"/>
      <c r="AF115" s="1"/>
      <c r="AG115" s="1"/>
    </row>
    <row r="116" spans="1:33" s="3" customFormat="1" ht="15.95" customHeight="1">
      <c r="A116" s="49"/>
      <c r="B116" s="52"/>
      <c r="C116" s="12"/>
      <c r="D116" s="873"/>
      <c r="E116" s="873"/>
      <c r="F116" s="873"/>
      <c r="G116" s="873"/>
      <c r="H116" s="873"/>
      <c r="I116" s="873"/>
      <c r="J116" s="873"/>
      <c r="K116" s="873"/>
      <c r="L116" s="873"/>
      <c r="M116" s="873"/>
      <c r="N116" s="873"/>
      <c r="O116" s="873"/>
      <c r="P116" s="873"/>
      <c r="Q116" s="873"/>
      <c r="R116" s="873"/>
      <c r="S116" s="873"/>
      <c r="T116" s="873"/>
      <c r="U116" s="58"/>
      <c r="V116" s="1"/>
      <c r="W116" s="2"/>
      <c r="X116" s="877"/>
      <c r="Y116" s="1"/>
      <c r="Z116" s="1"/>
      <c r="AA116" s="1"/>
      <c r="AB116" s="1"/>
      <c r="AC116" s="1"/>
      <c r="AD116" s="1"/>
      <c r="AE116" s="1"/>
      <c r="AF116" s="1"/>
      <c r="AG116" s="1"/>
    </row>
    <row r="117" spans="1:33" s="3" customFormat="1" ht="15.95" customHeight="1">
      <c r="A117" s="49"/>
      <c r="B117" s="52"/>
      <c r="C117" s="12"/>
      <c r="D117" s="873"/>
      <c r="E117" s="873"/>
      <c r="F117" s="873"/>
      <c r="G117" s="873"/>
      <c r="H117" s="873"/>
      <c r="I117" s="873"/>
      <c r="J117" s="873"/>
      <c r="K117" s="873"/>
      <c r="L117" s="873"/>
      <c r="M117" s="873"/>
      <c r="N117" s="873"/>
      <c r="O117" s="873"/>
      <c r="P117" s="873"/>
      <c r="Q117" s="873"/>
      <c r="R117" s="873"/>
      <c r="S117" s="873"/>
      <c r="T117" s="873"/>
      <c r="U117" s="58"/>
      <c r="V117" s="1"/>
      <c r="W117" s="2"/>
      <c r="X117" s="877"/>
      <c r="Y117" s="1"/>
      <c r="Z117" s="1"/>
      <c r="AA117" s="1"/>
      <c r="AB117" s="1"/>
      <c r="AC117" s="1"/>
      <c r="AD117" s="1"/>
      <c r="AE117" s="1"/>
      <c r="AF117" s="1"/>
      <c r="AG117" s="1"/>
    </row>
    <row r="118" spans="1:33" s="3" customFormat="1" ht="15.95" customHeight="1">
      <c r="A118" s="49"/>
      <c r="B118" s="52"/>
      <c r="C118" s="12"/>
      <c r="D118" s="873"/>
      <c r="E118" s="873"/>
      <c r="F118" s="873"/>
      <c r="G118" s="873"/>
      <c r="H118" s="873"/>
      <c r="I118" s="873"/>
      <c r="J118" s="873"/>
      <c r="K118" s="873"/>
      <c r="L118" s="873"/>
      <c r="M118" s="873"/>
      <c r="N118" s="873"/>
      <c r="O118" s="873"/>
      <c r="P118" s="873"/>
      <c r="Q118" s="873"/>
      <c r="R118" s="873"/>
      <c r="S118" s="873"/>
      <c r="T118" s="873"/>
      <c r="U118" s="58"/>
      <c r="V118" s="1"/>
      <c r="W118" s="2"/>
      <c r="X118" s="877"/>
      <c r="Y118" s="1"/>
      <c r="Z118" s="1"/>
      <c r="AA118" s="1"/>
      <c r="AB118" s="1"/>
      <c r="AC118" s="1"/>
      <c r="AD118" s="1"/>
      <c r="AE118" s="1"/>
      <c r="AF118" s="1"/>
      <c r="AG118" s="1"/>
    </row>
    <row r="119" spans="1:33" s="3" customFormat="1"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2"/>
      <c r="X119" s="877"/>
      <c r="Y119" s="1"/>
      <c r="Z119" s="1"/>
      <c r="AA119" s="1"/>
      <c r="AB119" s="1"/>
      <c r="AC119" s="1"/>
      <c r="AD119" s="1"/>
      <c r="AE119" s="1"/>
      <c r="AF119" s="1"/>
      <c r="AG119" s="1"/>
    </row>
    <row r="120" spans="1:33" s="3" customFormat="1"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1" t="str">
        <f>'ENR#-DB'!$S$34</f>
        <v>UD1</v>
      </c>
      <c r="T120" s="871" t="str">
        <f>'ENR#-DB'!$T$34</f>
        <v>UD2</v>
      </c>
      <c r="U120" s="60"/>
      <c r="V120" s="56"/>
      <c r="W120" s="2"/>
      <c r="X120" s="877"/>
      <c r="Y120" s="56"/>
      <c r="Z120" s="56"/>
      <c r="AA120" s="56"/>
      <c r="AB120" s="56"/>
      <c r="AC120" s="56"/>
      <c r="AD120" s="56"/>
      <c r="AE120" s="56"/>
      <c r="AF120" s="56"/>
      <c r="AG120" s="1"/>
    </row>
    <row r="121" spans="1:33" s="3" customFormat="1" ht="15.95" customHeight="1" thickTop="1" thickBot="1">
      <c r="A121" s="49"/>
      <c r="B121" s="51" t="s">
        <v>175</v>
      </c>
      <c r="C121" s="15"/>
      <c r="D121" s="861" t="s">
        <v>186</v>
      </c>
      <c r="E121" s="861" t="s">
        <v>187</v>
      </c>
      <c r="F121" s="861" t="s">
        <v>188</v>
      </c>
      <c r="G121" s="861" t="s">
        <v>189</v>
      </c>
      <c r="H121" s="861" t="s">
        <v>11</v>
      </c>
      <c r="I121" s="861" t="s">
        <v>190</v>
      </c>
      <c r="J121" s="861" t="s">
        <v>191</v>
      </c>
      <c r="K121" s="862" t="s">
        <v>192</v>
      </c>
      <c r="L121" s="861" t="s">
        <v>203</v>
      </c>
      <c r="M121" s="861" t="s">
        <v>42</v>
      </c>
      <c r="N121" s="861" t="s">
        <v>148</v>
      </c>
      <c r="O121" s="861" t="s">
        <v>193</v>
      </c>
      <c r="P121" s="861" t="s">
        <v>142</v>
      </c>
      <c r="Q121" s="112" t="s">
        <v>239</v>
      </c>
      <c r="R121" s="967" t="s">
        <v>672</v>
      </c>
      <c r="S121" s="859" t="s">
        <v>541</v>
      </c>
      <c r="T121" s="859" t="s">
        <v>542</v>
      </c>
      <c r="U121" s="59"/>
      <c r="V121" s="2"/>
      <c r="W121" s="2"/>
      <c r="X121" s="877"/>
      <c r="Y121" s="2"/>
      <c r="Z121" s="2"/>
      <c r="AA121" s="2"/>
      <c r="AB121" s="2"/>
      <c r="AC121" s="2"/>
      <c r="AD121" s="2"/>
      <c r="AE121" s="2"/>
      <c r="AF121" s="2"/>
      <c r="AG121" s="1"/>
    </row>
    <row r="122" spans="1:33" s="3" customFormat="1" ht="15.95" customHeight="1" thickTop="1">
      <c r="A122" s="49"/>
      <c r="B122" s="50" t="s">
        <v>146</v>
      </c>
      <c r="C122" s="12"/>
      <c r="D122" s="45"/>
      <c r="E122" s="45"/>
      <c r="F122" s="45"/>
      <c r="G122" s="45"/>
      <c r="H122" s="45"/>
      <c r="I122" s="45"/>
      <c r="J122" s="45"/>
      <c r="K122" s="45"/>
      <c r="L122" s="45" t="s">
        <v>34</v>
      </c>
      <c r="M122" s="45"/>
      <c r="N122" s="45" t="str">
        <f>$F$8</f>
        <v>FY2010-11</v>
      </c>
      <c r="O122" s="45" t="s">
        <v>156</v>
      </c>
      <c r="P122" s="45" t="s">
        <v>147</v>
      </c>
      <c r="Q122" s="45"/>
      <c r="R122" s="45" t="s">
        <v>611</v>
      </c>
      <c r="S122" s="45"/>
      <c r="T122" s="45"/>
      <c r="U122" s="58"/>
      <c r="V122" s="1"/>
      <c r="W122" s="2"/>
      <c r="X122" s="877"/>
      <c r="Y122" s="1"/>
      <c r="Z122" s="1"/>
      <c r="AA122" s="1"/>
      <c r="AB122" s="1"/>
      <c r="AC122" s="1"/>
      <c r="AD122" s="1"/>
      <c r="AE122" s="1"/>
      <c r="AF122" s="1"/>
      <c r="AG122" s="1"/>
    </row>
    <row r="123" spans="1:33" s="3" customFormat="1" ht="15.95" customHeight="1">
      <c r="A123" s="49"/>
      <c r="B123" s="57">
        <f>DSUM('ENR#-DB'!D35:T48,"TOTAL ENROLLMENT",D121:T122)</f>
        <v>0</v>
      </c>
      <c r="C123" s="12"/>
      <c r="D123" s="873"/>
      <c r="E123" s="873"/>
      <c r="F123" s="873"/>
      <c r="G123" s="873"/>
      <c r="H123" s="873"/>
      <c r="I123" s="873"/>
      <c r="J123" s="873"/>
      <c r="K123" s="873"/>
      <c r="L123" s="873"/>
      <c r="M123" s="873"/>
      <c r="N123" s="873"/>
      <c r="O123" s="873"/>
      <c r="P123" s="873"/>
      <c r="Q123" s="873"/>
      <c r="R123" s="873"/>
      <c r="S123" s="873"/>
      <c r="T123" s="873"/>
      <c r="U123" s="58"/>
      <c r="V123" s="1"/>
      <c r="W123" s="2"/>
      <c r="X123" s="877"/>
      <c r="Y123" s="1"/>
      <c r="Z123" s="1"/>
      <c r="AA123" s="1"/>
      <c r="AB123" s="1"/>
      <c r="AC123" s="1"/>
      <c r="AD123" s="1"/>
      <c r="AE123" s="1"/>
      <c r="AF123" s="1"/>
      <c r="AG123" s="1"/>
    </row>
    <row r="124" spans="1:33" s="3" customFormat="1" ht="15.95" customHeight="1">
      <c r="A124" s="49"/>
      <c r="B124" s="52"/>
      <c r="C124" s="12"/>
      <c r="D124" s="873"/>
      <c r="E124" s="873"/>
      <c r="F124" s="873"/>
      <c r="G124" s="873"/>
      <c r="H124" s="873"/>
      <c r="I124" s="873"/>
      <c r="J124" s="873"/>
      <c r="K124" s="873"/>
      <c r="L124" s="873"/>
      <c r="M124" s="873"/>
      <c r="N124" s="873"/>
      <c r="O124" s="873"/>
      <c r="P124" s="873"/>
      <c r="Q124" s="873"/>
      <c r="R124" s="873"/>
      <c r="S124" s="873"/>
      <c r="T124" s="873"/>
      <c r="U124" s="58"/>
      <c r="V124" s="1"/>
      <c r="W124" s="2"/>
      <c r="X124" s="877"/>
      <c r="Y124" s="1"/>
      <c r="Z124" s="1"/>
      <c r="AA124" s="1"/>
      <c r="AB124" s="1"/>
      <c r="AC124" s="1"/>
      <c r="AD124" s="1"/>
      <c r="AE124" s="1"/>
      <c r="AF124" s="1"/>
      <c r="AG124" s="1"/>
    </row>
    <row r="125" spans="1:33" s="3" customFormat="1" ht="15.95" customHeight="1">
      <c r="A125" s="49"/>
      <c r="B125" s="52"/>
      <c r="C125" s="12"/>
      <c r="D125" s="873"/>
      <c r="E125" s="873"/>
      <c r="F125" s="873"/>
      <c r="G125" s="873"/>
      <c r="H125" s="873"/>
      <c r="I125" s="873"/>
      <c r="J125" s="873"/>
      <c r="K125" s="873"/>
      <c r="L125" s="873"/>
      <c r="M125" s="873"/>
      <c r="N125" s="873"/>
      <c r="O125" s="873"/>
      <c r="P125" s="873"/>
      <c r="Q125" s="873"/>
      <c r="R125" s="873"/>
      <c r="S125" s="873"/>
      <c r="T125" s="873"/>
      <c r="U125" s="58"/>
      <c r="V125" s="1"/>
      <c r="W125" s="2"/>
      <c r="X125" s="877"/>
      <c r="Y125" s="1"/>
      <c r="Z125" s="1"/>
      <c r="AA125" s="1"/>
      <c r="AB125" s="1"/>
      <c r="AC125" s="1"/>
      <c r="AD125" s="1"/>
      <c r="AE125" s="1"/>
      <c r="AF125" s="1"/>
      <c r="AG125" s="1"/>
    </row>
    <row r="126" spans="1:33" s="3" customFormat="1" ht="15.95" customHeight="1">
      <c r="A126" s="49"/>
      <c r="B126" s="52"/>
      <c r="C126" s="12"/>
      <c r="D126" s="873"/>
      <c r="E126" s="873"/>
      <c r="F126" s="873"/>
      <c r="G126" s="873"/>
      <c r="H126" s="873"/>
      <c r="I126" s="873"/>
      <c r="J126" s="873"/>
      <c r="K126" s="873"/>
      <c r="L126" s="873"/>
      <c r="M126" s="873"/>
      <c r="N126" s="873"/>
      <c r="O126" s="873"/>
      <c r="P126" s="873"/>
      <c r="Q126" s="873"/>
      <c r="R126" s="873"/>
      <c r="S126" s="873"/>
      <c r="T126" s="873"/>
      <c r="U126" s="58"/>
      <c r="V126" s="1"/>
      <c r="W126" s="2"/>
      <c r="X126" s="877"/>
      <c r="Y126" s="1"/>
      <c r="Z126" s="1"/>
      <c r="AA126" s="1"/>
      <c r="AB126" s="1"/>
      <c r="AC126" s="1"/>
      <c r="AD126" s="1"/>
      <c r="AE126" s="1"/>
      <c r="AF126" s="1"/>
      <c r="AG126" s="1"/>
    </row>
    <row r="127" spans="1:33" s="3" customFormat="1" ht="15.95" customHeight="1">
      <c r="A127" s="49"/>
      <c r="B127" s="52"/>
      <c r="C127" s="12"/>
      <c r="D127" s="873"/>
      <c r="E127" s="873"/>
      <c r="F127" s="873"/>
      <c r="G127" s="873"/>
      <c r="H127" s="873"/>
      <c r="I127" s="873"/>
      <c r="J127" s="873"/>
      <c r="K127" s="873"/>
      <c r="L127" s="873"/>
      <c r="M127" s="873"/>
      <c r="N127" s="873"/>
      <c r="O127" s="873"/>
      <c r="P127" s="873"/>
      <c r="Q127" s="873"/>
      <c r="R127" s="873"/>
      <c r="S127" s="873"/>
      <c r="T127" s="873"/>
      <c r="U127" s="58"/>
      <c r="V127" s="1"/>
      <c r="W127" s="2"/>
      <c r="X127" s="877"/>
      <c r="Y127" s="1"/>
      <c r="Z127" s="1"/>
      <c r="AA127" s="1"/>
      <c r="AB127" s="1"/>
      <c r="AC127" s="1"/>
      <c r="AD127" s="1"/>
      <c r="AE127" s="1"/>
      <c r="AF127" s="1"/>
      <c r="AG127" s="1"/>
    </row>
    <row r="128" spans="1:33" s="3" customFormat="1" ht="15.95" customHeight="1">
      <c r="A128" s="49"/>
      <c r="B128" s="52"/>
      <c r="C128" s="12"/>
      <c r="D128" s="873"/>
      <c r="E128" s="873"/>
      <c r="F128" s="873"/>
      <c r="G128" s="873"/>
      <c r="H128" s="873"/>
      <c r="I128" s="873"/>
      <c r="J128" s="873"/>
      <c r="K128" s="873"/>
      <c r="L128" s="873"/>
      <c r="M128" s="873"/>
      <c r="N128" s="873"/>
      <c r="O128" s="873"/>
      <c r="P128" s="873"/>
      <c r="Q128" s="873"/>
      <c r="R128" s="873"/>
      <c r="S128" s="873"/>
      <c r="T128" s="873"/>
      <c r="U128" s="58"/>
      <c r="V128" s="1"/>
      <c r="W128" s="2"/>
      <c r="X128" s="877"/>
      <c r="Y128" s="1"/>
      <c r="Z128" s="1"/>
      <c r="AA128" s="1"/>
      <c r="AB128" s="1"/>
      <c r="AC128" s="1"/>
      <c r="AD128" s="1"/>
      <c r="AE128" s="1"/>
      <c r="AF128" s="1"/>
      <c r="AG128" s="1"/>
    </row>
    <row r="129" spans="1:33" s="3" customFormat="1" ht="15.95" customHeight="1">
      <c r="A129" s="963"/>
      <c r="B129" s="964"/>
      <c r="C129" s="964"/>
      <c r="D129" s="965"/>
      <c r="E129" s="965"/>
      <c r="F129" s="965"/>
      <c r="G129" s="965"/>
      <c r="H129" s="965"/>
      <c r="I129" s="965"/>
      <c r="J129" s="965"/>
      <c r="K129" s="965"/>
      <c r="L129" s="965"/>
      <c r="M129" s="965"/>
      <c r="N129" s="965"/>
      <c r="O129" s="965"/>
      <c r="P129" s="965"/>
      <c r="Q129" s="965"/>
      <c r="R129" s="965"/>
      <c r="S129" s="965"/>
      <c r="T129" s="965"/>
      <c r="U129" s="58"/>
      <c r="V129" s="1"/>
      <c r="W129" s="2"/>
      <c r="X129" s="877"/>
      <c r="Y129" s="1"/>
      <c r="Z129" s="1"/>
      <c r="AA129" s="1"/>
      <c r="AB129" s="1"/>
      <c r="AC129" s="1"/>
      <c r="AD129" s="1"/>
      <c r="AE129" s="1"/>
      <c r="AF129" s="1"/>
      <c r="AG129" s="1"/>
    </row>
    <row r="130" spans="1:33" s="3" customFormat="1" ht="15.95" customHeight="1" thickBot="1">
      <c r="A130" s="49"/>
      <c r="B130" s="50" t="s">
        <v>668</v>
      </c>
      <c r="C130" s="49"/>
      <c r="D130" s="54"/>
      <c r="E130" s="54"/>
      <c r="F130" s="54"/>
      <c r="G130" s="54"/>
      <c r="H130" s="54"/>
      <c r="I130" s="54"/>
      <c r="J130" s="54"/>
      <c r="K130" s="54"/>
      <c r="L130" s="54"/>
      <c r="M130" s="55"/>
      <c r="N130" s="54"/>
      <c r="O130" s="54"/>
      <c r="P130" s="54"/>
      <c r="Q130" s="54"/>
      <c r="R130" s="53"/>
      <c r="S130" s="871" t="str">
        <f>'ENR#-DB'!$S$34</f>
        <v>UD1</v>
      </c>
      <c r="T130" s="871" t="str">
        <f>'ENR#-DB'!$T$34</f>
        <v>UD2</v>
      </c>
      <c r="U130" s="60"/>
      <c r="V130" s="56"/>
      <c r="W130" s="2"/>
      <c r="X130" s="877"/>
      <c r="Y130" s="56"/>
      <c r="Z130" s="56"/>
      <c r="AA130" s="56"/>
      <c r="AB130" s="56"/>
      <c r="AC130" s="56"/>
      <c r="AD130" s="56"/>
      <c r="AE130" s="56"/>
      <c r="AF130" s="56"/>
      <c r="AG130" s="1"/>
    </row>
    <row r="131" spans="1:33" s="3" customFormat="1" ht="15.95" customHeight="1" thickTop="1" thickBot="1">
      <c r="A131" s="49"/>
      <c r="B131" s="51" t="s">
        <v>4</v>
      </c>
      <c r="C131" s="15"/>
      <c r="D131" s="923" t="s">
        <v>186</v>
      </c>
      <c r="E131" s="923" t="s">
        <v>187</v>
      </c>
      <c r="F131" s="923" t="s">
        <v>188</v>
      </c>
      <c r="G131" s="923" t="s">
        <v>189</v>
      </c>
      <c r="H131" s="923" t="s">
        <v>11</v>
      </c>
      <c r="I131" s="923" t="s">
        <v>190</v>
      </c>
      <c r="J131" s="923" t="s">
        <v>191</v>
      </c>
      <c r="K131" s="924" t="s">
        <v>192</v>
      </c>
      <c r="L131" s="923" t="s">
        <v>203</v>
      </c>
      <c r="M131" s="923" t="s">
        <v>42</v>
      </c>
      <c r="N131" s="923" t="s">
        <v>148</v>
      </c>
      <c r="O131" s="923" t="s">
        <v>193</v>
      </c>
      <c r="P131" s="923" t="s">
        <v>142</v>
      </c>
      <c r="Q131" s="112" t="s">
        <v>239</v>
      </c>
      <c r="R131" s="967" t="s">
        <v>672</v>
      </c>
      <c r="S131" s="928" t="s">
        <v>541</v>
      </c>
      <c r="T131" s="928" t="s">
        <v>542</v>
      </c>
      <c r="U131" s="59"/>
      <c r="V131" s="2"/>
      <c r="W131" s="2"/>
      <c r="X131" s="877"/>
      <c r="Y131" s="2"/>
      <c r="Z131" s="2"/>
      <c r="AA131" s="2"/>
      <c r="AB131" s="2"/>
      <c r="AC131" s="2"/>
      <c r="AD131" s="2"/>
      <c r="AE131" s="2"/>
      <c r="AF131" s="2"/>
      <c r="AG131" s="1"/>
    </row>
    <row r="132" spans="1:33" s="3" customFormat="1" ht="15.95" customHeight="1" thickTop="1">
      <c r="A132" s="49"/>
      <c r="B132" s="50" t="s">
        <v>146</v>
      </c>
      <c r="C132" s="12"/>
      <c r="D132" s="45"/>
      <c r="E132" s="45"/>
      <c r="F132" s="45"/>
      <c r="G132" s="45"/>
      <c r="H132" s="45"/>
      <c r="I132" s="45"/>
      <c r="J132" s="45"/>
      <c r="K132" s="45"/>
      <c r="L132" s="45" t="s">
        <v>34</v>
      </c>
      <c r="M132" s="45"/>
      <c r="N132" s="45" t="str">
        <f>$F$8</f>
        <v>FY2010-11</v>
      </c>
      <c r="O132" s="45" t="s">
        <v>669</v>
      </c>
      <c r="P132" s="45" t="s">
        <v>138</v>
      </c>
      <c r="Q132" s="45"/>
      <c r="R132" s="45"/>
      <c r="S132" s="45"/>
      <c r="T132" s="45"/>
      <c r="U132" s="58"/>
      <c r="V132" s="1"/>
      <c r="W132" s="2"/>
      <c r="X132" s="877"/>
      <c r="Y132" s="1"/>
      <c r="Z132" s="1"/>
      <c r="AA132" s="1"/>
      <c r="AB132" s="1"/>
      <c r="AC132" s="1"/>
      <c r="AD132" s="1"/>
      <c r="AE132" s="1"/>
      <c r="AF132" s="1"/>
      <c r="AG132" s="1"/>
    </row>
    <row r="133" spans="1:33" s="3" customFormat="1" ht="15.95" customHeight="1">
      <c r="A133" s="49"/>
      <c r="B133" s="57">
        <f>DSUM('ENR#-DB'!D35:T48,"TOTAL ENROLLMENT",D131:T133)</f>
        <v>130582</v>
      </c>
      <c r="C133" s="12"/>
      <c r="D133" s="45"/>
      <c r="E133" s="45"/>
      <c r="F133" s="45"/>
      <c r="G133" s="45"/>
      <c r="H133" s="45"/>
      <c r="I133" s="45"/>
      <c r="J133" s="45"/>
      <c r="K133" s="45"/>
      <c r="L133" s="45" t="s">
        <v>34</v>
      </c>
      <c r="M133" s="45"/>
      <c r="N133" s="45" t="str">
        <f>$F$8</f>
        <v>FY2010-11</v>
      </c>
      <c r="O133" s="45" t="s">
        <v>669</v>
      </c>
      <c r="P133" s="45" t="s">
        <v>147</v>
      </c>
      <c r="Q133" s="45"/>
      <c r="R133" s="45" t="s">
        <v>103</v>
      </c>
      <c r="S133" s="45"/>
      <c r="T133" s="45"/>
      <c r="U133" s="58"/>
      <c r="V133" s="1"/>
      <c r="W133" s="2"/>
      <c r="X133" s="877"/>
      <c r="Y133" s="1"/>
      <c r="Z133" s="1"/>
      <c r="AA133" s="1"/>
      <c r="AB133" s="1"/>
      <c r="AC133" s="1"/>
      <c r="AD133" s="1"/>
      <c r="AE133" s="1"/>
      <c r="AF133" s="1"/>
      <c r="AG133" s="1"/>
    </row>
    <row r="134" spans="1:33" s="3" customFormat="1" ht="15.95" customHeight="1">
      <c r="A134" s="49"/>
      <c r="B134" s="52"/>
      <c r="C134" s="12"/>
      <c r="D134" s="873"/>
      <c r="E134" s="873"/>
      <c r="F134" s="873"/>
      <c r="G134" s="873"/>
      <c r="H134" s="873"/>
      <c r="I134" s="873"/>
      <c r="J134" s="873"/>
      <c r="K134" s="873"/>
      <c r="L134" s="873"/>
      <c r="M134" s="873"/>
      <c r="N134" s="873"/>
      <c r="O134" s="873"/>
      <c r="P134" s="873"/>
      <c r="Q134" s="873"/>
      <c r="R134" s="873"/>
      <c r="S134" s="873"/>
      <c r="T134" s="873"/>
      <c r="U134" s="58"/>
      <c r="V134" s="1"/>
      <c r="W134" s="2"/>
      <c r="X134" s="877"/>
      <c r="Y134" s="1"/>
      <c r="Z134" s="1"/>
      <c r="AA134" s="1"/>
      <c r="AB134" s="1"/>
      <c r="AC134" s="1"/>
      <c r="AD134" s="1"/>
      <c r="AE134" s="1"/>
      <c r="AF134" s="1"/>
      <c r="AG134" s="1"/>
    </row>
    <row r="135" spans="1:33" s="3" customFormat="1" ht="15.95" customHeight="1">
      <c r="A135" s="49"/>
      <c r="B135" s="52"/>
      <c r="C135" s="12"/>
      <c r="D135" s="873"/>
      <c r="E135" s="873"/>
      <c r="F135" s="873"/>
      <c r="G135" s="873"/>
      <c r="H135" s="873"/>
      <c r="I135" s="873"/>
      <c r="J135" s="873"/>
      <c r="K135" s="873"/>
      <c r="L135" s="873"/>
      <c r="M135" s="873"/>
      <c r="N135" s="873"/>
      <c r="O135" s="873"/>
      <c r="P135" s="873"/>
      <c r="Q135" s="873"/>
      <c r="R135" s="873"/>
      <c r="S135" s="873"/>
      <c r="T135" s="873"/>
      <c r="U135" s="58"/>
      <c r="V135" s="1"/>
      <c r="W135" s="2"/>
      <c r="X135" s="877"/>
      <c r="Y135" s="1"/>
      <c r="Z135" s="1"/>
      <c r="AA135" s="1"/>
      <c r="AB135" s="1"/>
      <c r="AC135" s="1"/>
      <c r="AD135" s="1"/>
      <c r="AE135" s="1"/>
      <c r="AF135" s="1"/>
      <c r="AG135" s="1"/>
    </row>
    <row r="136" spans="1:33" s="3" customFormat="1" ht="15.95" customHeight="1">
      <c r="A136" s="49"/>
      <c r="B136" s="52"/>
      <c r="C136" s="12"/>
      <c r="D136" s="873"/>
      <c r="E136" s="873"/>
      <c r="F136" s="873"/>
      <c r="G136" s="873"/>
      <c r="H136" s="873"/>
      <c r="I136" s="873"/>
      <c r="J136" s="873"/>
      <c r="K136" s="873"/>
      <c r="L136" s="873"/>
      <c r="M136" s="873"/>
      <c r="N136" s="873"/>
      <c r="O136" s="873"/>
      <c r="P136" s="873"/>
      <c r="Q136" s="873"/>
      <c r="R136" s="873"/>
      <c r="S136" s="873"/>
      <c r="T136" s="873"/>
      <c r="U136" s="58"/>
      <c r="V136" s="1"/>
      <c r="W136" s="2"/>
      <c r="X136" s="877"/>
      <c r="Y136" s="1"/>
      <c r="Z136" s="1"/>
      <c r="AA136" s="1"/>
      <c r="AB136" s="1"/>
      <c r="AC136" s="1"/>
      <c r="AD136" s="1"/>
      <c r="AE136" s="1"/>
      <c r="AF136" s="1"/>
      <c r="AG136" s="1"/>
    </row>
    <row r="137" spans="1:33" s="3" customFormat="1" ht="15.95" customHeight="1">
      <c r="A137" s="49"/>
      <c r="B137" s="52"/>
      <c r="C137" s="12"/>
      <c r="D137" s="873"/>
      <c r="E137" s="873"/>
      <c r="F137" s="873"/>
      <c r="G137" s="873"/>
      <c r="H137" s="873"/>
      <c r="I137" s="873"/>
      <c r="J137" s="873"/>
      <c r="K137" s="873"/>
      <c r="L137" s="873"/>
      <c r="M137" s="873"/>
      <c r="N137" s="873"/>
      <c r="O137" s="873"/>
      <c r="P137" s="873"/>
      <c r="Q137" s="873"/>
      <c r="R137" s="873"/>
      <c r="S137" s="873"/>
      <c r="T137" s="873"/>
      <c r="U137" s="58"/>
      <c r="V137" s="1"/>
      <c r="W137" s="2"/>
      <c r="X137" s="877"/>
      <c r="Y137" s="1"/>
      <c r="Z137" s="1"/>
      <c r="AA137" s="1"/>
      <c r="AB137" s="1"/>
      <c r="AC137" s="1"/>
      <c r="AD137" s="1"/>
      <c r="AE137" s="1"/>
      <c r="AF137" s="1"/>
      <c r="AG137" s="1"/>
    </row>
    <row r="138" spans="1:33" s="3" customFormat="1" ht="15.95" customHeight="1">
      <c r="A138" s="49"/>
      <c r="B138" s="52"/>
      <c r="C138" s="12"/>
      <c r="D138" s="873"/>
      <c r="E138" s="873"/>
      <c r="F138" s="873"/>
      <c r="G138" s="873"/>
      <c r="H138" s="873"/>
      <c r="I138" s="873"/>
      <c r="J138" s="873"/>
      <c r="K138" s="873"/>
      <c r="L138" s="873"/>
      <c r="M138" s="873"/>
      <c r="N138" s="873"/>
      <c r="O138" s="873"/>
      <c r="P138" s="873"/>
      <c r="Q138" s="873"/>
      <c r="R138" s="873"/>
      <c r="S138" s="873"/>
      <c r="T138" s="873"/>
      <c r="U138" s="58"/>
      <c r="V138" s="1"/>
      <c r="W138" s="2"/>
      <c r="X138" s="877"/>
      <c r="Y138" s="1"/>
      <c r="Z138" s="1"/>
      <c r="AA138" s="1"/>
      <c r="AB138" s="1"/>
      <c r="AC138" s="1"/>
      <c r="AD138" s="1"/>
      <c r="AE138" s="1"/>
      <c r="AF138" s="1"/>
      <c r="AG138" s="1"/>
    </row>
    <row r="139" spans="1:33" s="3" customFormat="1" ht="15.95" customHeight="1">
      <c r="A139" s="963"/>
      <c r="B139" s="964"/>
      <c r="C139" s="964"/>
      <c r="D139" s="965"/>
      <c r="E139" s="965"/>
      <c r="F139" s="965"/>
      <c r="G139" s="965"/>
      <c r="H139" s="965"/>
      <c r="I139" s="965"/>
      <c r="J139" s="965"/>
      <c r="K139" s="965"/>
      <c r="L139" s="965"/>
      <c r="M139" s="965"/>
      <c r="N139" s="965"/>
      <c r="O139" s="965"/>
      <c r="P139" s="965"/>
      <c r="Q139" s="965"/>
      <c r="R139" s="965"/>
      <c r="S139" s="965"/>
      <c r="T139" s="965"/>
      <c r="U139" s="58"/>
      <c r="V139" s="1"/>
      <c r="W139" s="2"/>
      <c r="X139" s="877"/>
      <c r="Y139" s="1"/>
      <c r="Z139" s="1"/>
      <c r="AA139" s="1"/>
      <c r="AB139" s="1"/>
      <c r="AC139" s="1"/>
      <c r="AD139" s="1"/>
      <c r="AE139" s="1"/>
      <c r="AF139" s="1"/>
      <c r="AG139" s="1"/>
    </row>
    <row r="140" spans="1:33" s="3" customFormat="1" ht="15.95" customHeight="1" thickBot="1">
      <c r="A140" s="49"/>
      <c r="B140" s="50" t="s">
        <v>668</v>
      </c>
      <c r="C140" s="49"/>
      <c r="D140" s="54"/>
      <c r="E140" s="54"/>
      <c r="F140" s="54"/>
      <c r="G140" s="54"/>
      <c r="H140" s="54"/>
      <c r="I140" s="54"/>
      <c r="J140" s="54"/>
      <c r="K140" s="54"/>
      <c r="L140" s="54"/>
      <c r="M140" s="55"/>
      <c r="N140" s="54"/>
      <c r="O140" s="54"/>
      <c r="P140" s="54"/>
      <c r="Q140" s="54"/>
      <c r="R140" s="53"/>
      <c r="S140" s="871" t="str">
        <f>'ENR#-DB'!$S$34</f>
        <v>UD1</v>
      </c>
      <c r="T140" s="871" t="str">
        <f>'ENR#-DB'!$T$34</f>
        <v>UD2</v>
      </c>
      <c r="U140" s="60"/>
      <c r="V140" s="56"/>
      <c r="W140" s="2"/>
      <c r="X140" s="877"/>
      <c r="Y140" s="56"/>
      <c r="Z140" s="56"/>
      <c r="AA140" s="56"/>
      <c r="AB140" s="56"/>
      <c r="AC140" s="56"/>
      <c r="AD140" s="56"/>
      <c r="AE140" s="56"/>
      <c r="AF140" s="56"/>
      <c r="AG140" s="1"/>
    </row>
    <row r="141" spans="1:33" s="3" customFormat="1" ht="15.95" customHeight="1" thickTop="1" thickBot="1">
      <c r="A141" s="49"/>
      <c r="B141" s="51" t="s">
        <v>175</v>
      </c>
      <c r="C141" s="15"/>
      <c r="D141" s="923" t="s">
        <v>186</v>
      </c>
      <c r="E141" s="923" t="s">
        <v>187</v>
      </c>
      <c r="F141" s="923" t="s">
        <v>188</v>
      </c>
      <c r="G141" s="923" t="s">
        <v>189</v>
      </c>
      <c r="H141" s="923" t="s">
        <v>11</v>
      </c>
      <c r="I141" s="923" t="s">
        <v>190</v>
      </c>
      <c r="J141" s="923" t="s">
        <v>191</v>
      </c>
      <c r="K141" s="924" t="s">
        <v>192</v>
      </c>
      <c r="L141" s="923" t="s">
        <v>203</v>
      </c>
      <c r="M141" s="923" t="s">
        <v>42</v>
      </c>
      <c r="N141" s="923" t="s">
        <v>148</v>
      </c>
      <c r="O141" s="923" t="s">
        <v>193</v>
      </c>
      <c r="P141" s="923" t="s">
        <v>142</v>
      </c>
      <c r="Q141" s="112" t="s">
        <v>239</v>
      </c>
      <c r="R141" s="967" t="s">
        <v>672</v>
      </c>
      <c r="S141" s="928" t="s">
        <v>541</v>
      </c>
      <c r="T141" s="928" t="s">
        <v>542</v>
      </c>
      <c r="U141" s="59"/>
      <c r="V141" s="2"/>
      <c r="W141" s="2"/>
      <c r="X141" s="877"/>
      <c r="Y141" s="2"/>
      <c r="Z141" s="2"/>
      <c r="AA141" s="2"/>
      <c r="AB141" s="2"/>
      <c r="AC141" s="2"/>
      <c r="AD141" s="2"/>
      <c r="AE141" s="2"/>
      <c r="AF141" s="2"/>
      <c r="AG141" s="1"/>
    </row>
    <row r="142" spans="1:33" s="3" customFormat="1" ht="15.95" customHeight="1" thickTop="1">
      <c r="A142" s="49"/>
      <c r="B142" s="50" t="s">
        <v>146</v>
      </c>
      <c r="C142" s="12"/>
      <c r="D142" s="45"/>
      <c r="E142" s="45"/>
      <c r="F142" s="45"/>
      <c r="G142" s="45"/>
      <c r="H142" s="45"/>
      <c r="I142" s="45"/>
      <c r="J142" s="45"/>
      <c r="K142" s="45"/>
      <c r="L142" s="45" t="s">
        <v>34</v>
      </c>
      <c r="M142" s="45"/>
      <c r="N142" s="45" t="str">
        <f>$F$8</f>
        <v>FY2010-11</v>
      </c>
      <c r="O142" s="45" t="s">
        <v>669</v>
      </c>
      <c r="P142" s="45" t="s">
        <v>147</v>
      </c>
      <c r="Q142" s="45"/>
      <c r="R142" s="45" t="s">
        <v>611</v>
      </c>
      <c r="S142" s="45"/>
      <c r="T142" s="45"/>
      <c r="U142" s="58"/>
      <c r="V142" s="1"/>
      <c r="W142" s="2"/>
      <c r="X142" s="877"/>
      <c r="Y142" s="1"/>
      <c r="Z142" s="1"/>
      <c r="AA142" s="1"/>
      <c r="AB142" s="1"/>
      <c r="AC142" s="1"/>
      <c r="AD142" s="1"/>
      <c r="AE142" s="1"/>
      <c r="AF142" s="1"/>
      <c r="AG142" s="1"/>
    </row>
    <row r="143" spans="1:33" s="3" customFormat="1" ht="15.95" customHeight="1">
      <c r="A143" s="49"/>
      <c r="B143" s="57">
        <f>DSUM('ENR#-DB'!D35:T48,"TOTAL ENROLLMENT",D141:T142)</f>
        <v>7649</v>
      </c>
      <c r="C143" s="12"/>
      <c r="D143" s="873"/>
      <c r="E143" s="873"/>
      <c r="F143" s="873"/>
      <c r="G143" s="873"/>
      <c r="H143" s="873"/>
      <c r="I143" s="873"/>
      <c r="J143" s="873"/>
      <c r="K143" s="873"/>
      <c r="L143" s="873"/>
      <c r="M143" s="873"/>
      <c r="N143" s="873"/>
      <c r="O143" s="873"/>
      <c r="P143" s="873"/>
      <c r="Q143" s="873"/>
      <c r="R143" s="873"/>
      <c r="S143" s="873"/>
      <c r="T143" s="873"/>
      <c r="U143" s="58"/>
      <c r="V143" s="1"/>
      <c r="W143" s="2"/>
      <c r="X143" s="877"/>
      <c r="Y143" s="1"/>
      <c r="Z143" s="1"/>
      <c r="AA143" s="1"/>
      <c r="AB143" s="1"/>
      <c r="AC143" s="1"/>
      <c r="AD143" s="1"/>
      <c r="AE143" s="1"/>
      <c r="AF143" s="1"/>
      <c r="AG143" s="1"/>
    </row>
    <row r="144" spans="1:33" s="3" customFormat="1" ht="15.95" customHeight="1">
      <c r="A144" s="49"/>
      <c r="B144" s="52"/>
      <c r="C144" s="12"/>
      <c r="D144" s="873"/>
      <c r="E144" s="873"/>
      <c r="F144" s="873"/>
      <c r="G144" s="873"/>
      <c r="H144" s="873"/>
      <c r="I144" s="873"/>
      <c r="J144" s="873"/>
      <c r="K144" s="873"/>
      <c r="L144" s="873"/>
      <c r="M144" s="873"/>
      <c r="N144" s="873"/>
      <c r="O144" s="873"/>
      <c r="P144" s="873"/>
      <c r="Q144" s="873"/>
      <c r="R144" s="873"/>
      <c r="S144" s="873"/>
      <c r="T144" s="873"/>
      <c r="U144" s="58"/>
      <c r="V144" s="1"/>
      <c r="W144" s="2"/>
      <c r="X144" s="877"/>
      <c r="Y144" s="1"/>
      <c r="Z144" s="1"/>
      <c r="AA144" s="1"/>
      <c r="AB144" s="1"/>
      <c r="AC144" s="1"/>
      <c r="AD144" s="1"/>
      <c r="AE144" s="1"/>
      <c r="AF144" s="1"/>
      <c r="AG144" s="1"/>
    </row>
    <row r="145" spans="1:33" s="3" customFormat="1" ht="15.95" customHeight="1">
      <c r="A145" s="49"/>
      <c r="B145" s="52"/>
      <c r="C145" s="12"/>
      <c r="D145" s="873"/>
      <c r="E145" s="873"/>
      <c r="F145" s="873"/>
      <c r="G145" s="873"/>
      <c r="H145" s="873"/>
      <c r="I145" s="873"/>
      <c r="J145" s="873"/>
      <c r="K145" s="873"/>
      <c r="L145" s="873"/>
      <c r="M145" s="873"/>
      <c r="N145" s="873"/>
      <c r="O145" s="873"/>
      <c r="P145" s="873"/>
      <c r="Q145" s="873"/>
      <c r="R145" s="873"/>
      <c r="S145" s="873"/>
      <c r="T145" s="873"/>
      <c r="U145" s="58"/>
      <c r="V145" s="1"/>
      <c r="W145" s="2"/>
      <c r="X145" s="877"/>
      <c r="Y145" s="1"/>
      <c r="Z145" s="1"/>
      <c r="AA145" s="1"/>
      <c r="AB145" s="1"/>
      <c r="AC145" s="1"/>
      <c r="AD145" s="1"/>
      <c r="AE145" s="1"/>
      <c r="AF145" s="1"/>
      <c r="AG145" s="1"/>
    </row>
    <row r="146" spans="1:33" s="3" customFormat="1" ht="15.95" customHeight="1">
      <c r="A146" s="49"/>
      <c r="B146" s="52"/>
      <c r="C146" s="12"/>
      <c r="D146" s="873"/>
      <c r="E146" s="873"/>
      <c r="F146" s="873"/>
      <c r="G146" s="873"/>
      <c r="H146" s="873"/>
      <c r="I146" s="873"/>
      <c r="J146" s="873"/>
      <c r="K146" s="873"/>
      <c r="L146" s="873"/>
      <c r="M146" s="873"/>
      <c r="N146" s="873"/>
      <c r="O146" s="873"/>
      <c r="P146" s="873"/>
      <c r="Q146" s="873"/>
      <c r="R146" s="873"/>
      <c r="S146" s="873"/>
      <c r="T146" s="873"/>
      <c r="U146" s="58"/>
      <c r="V146" s="1"/>
      <c r="W146" s="2"/>
      <c r="X146" s="877"/>
      <c r="Y146" s="1"/>
      <c r="Z146" s="1"/>
      <c r="AA146" s="1"/>
      <c r="AB146" s="1"/>
      <c r="AC146" s="1"/>
      <c r="AD146" s="1"/>
      <c r="AE146" s="1"/>
      <c r="AF146" s="1"/>
      <c r="AG146" s="1"/>
    </row>
    <row r="147" spans="1:33" s="3" customFormat="1" ht="15.95" customHeight="1">
      <c r="A147" s="49"/>
      <c r="B147" s="52"/>
      <c r="C147" s="12"/>
      <c r="D147" s="873"/>
      <c r="E147" s="873"/>
      <c r="F147" s="873"/>
      <c r="G147" s="873"/>
      <c r="H147" s="873"/>
      <c r="I147" s="873"/>
      <c r="J147" s="873"/>
      <c r="K147" s="873"/>
      <c r="L147" s="873"/>
      <c r="M147" s="873"/>
      <c r="N147" s="873"/>
      <c r="O147" s="873"/>
      <c r="P147" s="873"/>
      <c r="Q147" s="873"/>
      <c r="R147" s="873"/>
      <c r="S147" s="873"/>
      <c r="T147" s="873"/>
      <c r="U147" s="58"/>
      <c r="V147" s="1"/>
      <c r="W147" s="2"/>
      <c r="X147" s="877"/>
      <c r="Y147" s="1"/>
      <c r="Z147" s="1"/>
      <c r="AA147" s="1"/>
      <c r="AB147" s="1"/>
      <c r="AC147" s="1"/>
      <c r="AD147" s="1"/>
      <c r="AE147" s="1"/>
      <c r="AF147" s="1"/>
      <c r="AG147" s="1"/>
    </row>
    <row r="148" spans="1:33" s="3" customFormat="1" ht="15.95" customHeight="1">
      <c r="A148" s="49"/>
      <c r="B148" s="52"/>
      <c r="C148" s="12"/>
      <c r="D148" s="873"/>
      <c r="E148" s="873"/>
      <c r="F148" s="873"/>
      <c r="G148" s="873"/>
      <c r="H148" s="873"/>
      <c r="I148" s="873"/>
      <c r="J148" s="873"/>
      <c r="K148" s="873"/>
      <c r="L148" s="873"/>
      <c r="M148" s="873"/>
      <c r="N148" s="873"/>
      <c r="O148" s="873"/>
      <c r="P148" s="873"/>
      <c r="Q148" s="873"/>
      <c r="R148" s="873"/>
      <c r="S148" s="873"/>
      <c r="T148" s="873"/>
      <c r="U148" s="58"/>
      <c r="V148" s="1"/>
      <c r="W148" s="2"/>
      <c r="X148" s="877"/>
      <c r="Y148" s="1"/>
      <c r="Z148" s="1"/>
      <c r="AA148" s="1"/>
      <c r="AB148" s="1"/>
      <c r="AC148" s="1"/>
      <c r="AD148" s="1"/>
      <c r="AE148" s="1"/>
      <c r="AF148" s="1"/>
      <c r="AG148" s="1"/>
    </row>
    <row r="149" spans="1:33" s="3" customFormat="1" ht="15.95" customHeight="1">
      <c r="A149" s="963"/>
      <c r="B149" s="964"/>
      <c r="C149" s="964"/>
      <c r="D149" s="965"/>
      <c r="E149" s="965"/>
      <c r="F149" s="965"/>
      <c r="G149" s="965"/>
      <c r="H149" s="965"/>
      <c r="I149" s="965"/>
      <c r="J149" s="965"/>
      <c r="K149" s="965"/>
      <c r="L149" s="965"/>
      <c r="M149" s="965"/>
      <c r="N149" s="965"/>
      <c r="O149" s="965"/>
      <c r="P149" s="965"/>
      <c r="Q149" s="965"/>
      <c r="R149" s="965"/>
      <c r="S149" s="965"/>
      <c r="T149" s="965"/>
      <c r="U149" s="58"/>
      <c r="V149" s="1"/>
      <c r="W149" s="2"/>
      <c r="X149" s="877"/>
      <c r="Y149" s="1"/>
      <c r="Z149" s="1"/>
      <c r="AA149" s="1"/>
      <c r="AB149" s="1"/>
      <c r="AC149" s="1"/>
      <c r="AD149" s="1"/>
      <c r="AE149" s="1"/>
      <c r="AF149" s="1"/>
      <c r="AG149" s="1"/>
    </row>
    <row r="150" spans="1:33" s="3" customFormat="1" ht="15.95" customHeight="1" thickBot="1">
      <c r="A150" s="49"/>
      <c r="B150" s="50" t="s">
        <v>41</v>
      </c>
      <c r="C150" s="49"/>
      <c r="D150" s="54"/>
      <c r="E150" s="54"/>
      <c r="F150" s="54"/>
      <c r="G150" s="54"/>
      <c r="H150" s="54"/>
      <c r="I150" s="54"/>
      <c r="J150" s="54"/>
      <c r="K150" s="54"/>
      <c r="L150" s="54"/>
      <c r="M150" s="55"/>
      <c r="N150" s="54"/>
      <c r="O150" s="54"/>
      <c r="P150" s="54"/>
      <c r="Q150" s="54"/>
      <c r="R150" s="53"/>
      <c r="S150" s="871" t="str">
        <f>'ENR#-DB'!$S$34</f>
        <v>UD1</v>
      </c>
      <c r="T150" s="871" t="str">
        <f>'ENR#-DB'!$T$34</f>
        <v>UD2</v>
      </c>
      <c r="U150" s="60"/>
      <c r="V150" s="56"/>
      <c r="W150" s="2"/>
      <c r="X150" s="877"/>
      <c r="Y150" s="56"/>
      <c r="Z150" s="56"/>
      <c r="AA150" s="56"/>
      <c r="AB150" s="56"/>
      <c r="AC150" s="56"/>
      <c r="AD150" s="56"/>
      <c r="AE150" s="56"/>
      <c r="AF150" s="56"/>
      <c r="AG150" s="1"/>
    </row>
    <row r="151" spans="1:33" s="3" customFormat="1" ht="15.95" customHeight="1" thickTop="1" thickBot="1">
      <c r="A151" s="49"/>
      <c r="B151" s="51" t="s">
        <v>4</v>
      </c>
      <c r="C151" s="15"/>
      <c r="D151" s="923" t="s">
        <v>186</v>
      </c>
      <c r="E151" s="923" t="s">
        <v>187</v>
      </c>
      <c r="F151" s="923" t="s">
        <v>188</v>
      </c>
      <c r="G151" s="923" t="s">
        <v>189</v>
      </c>
      <c r="H151" s="923" t="s">
        <v>11</v>
      </c>
      <c r="I151" s="923" t="s">
        <v>190</v>
      </c>
      <c r="J151" s="923" t="s">
        <v>191</v>
      </c>
      <c r="K151" s="924" t="s">
        <v>192</v>
      </c>
      <c r="L151" s="923" t="s">
        <v>203</v>
      </c>
      <c r="M151" s="923" t="s">
        <v>42</v>
      </c>
      <c r="N151" s="923" t="s">
        <v>148</v>
      </c>
      <c r="O151" s="923" t="s">
        <v>193</v>
      </c>
      <c r="P151" s="923" t="s">
        <v>142</v>
      </c>
      <c r="Q151" s="112" t="s">
        <v>239</v>
      </c>
      <c r="R151" s="967" t="s">
        <v>672</v>
      </c>
      <c r="S151" s="928" t="s">
        <v>541</v>
      </c>
      <c r="T151" s="928" t="s">
        <v>542</v>
      </c>
      <c r="U151" s="59"/>
      <c r="V151" s="2"/>
      <c r="W151" s="2"/>
      <c r="X151" s="877"/>
      <c r="Y151" s="2"/>
      <c r="Z151" s="2"/>
      <c r="AA151" s="2"/>
      <c r="AB151" s="2"/>
      <c r="AC151" s="2"/>
      <c r="AD151" s="2"/>
      <c r="AE151" s="2"/>
      <c r="AF151" s="2"/>
      <c r="AG151" s="1"/>
    </row>
    <row r="152" spans="1:33" s="3" customFormat="1" ht="15.95" customHeight="1" thickTop="1">
      <c r="A152" s="49"/>
      <c r="B152" s="50" t="s">
        <v>146</v>
      </c>
      <c r="C152" s="12"/>
      <c r="D152" s="45"/>
      <c r="E152" s="45"/>
      <c r="F152" s="45"/>
      <c r="G152" s="45"/>
      <c r="H152" s="45"/>
      <c r="I152" s="45"/>
      <c r="J152" s="45"/>
      <c r="K152" s="45"/>
      <c r="L152" s="45" t="s">
        <v>34</v>
      </c>
      <c r="M152" s="45"/>
      <c r="N152" s="45" t="str">
        <f>$F$8</f>
        <v>FY2010-11</v>
      </c>
      <c r="O152" s="45" t="s">
        <v>41</v>
      </c>
      <c r="P152" s="45" t="s">
        <v>138</v>
      </c>
      <c r="Q152" s="45"/>
      <c r="R152" s="45"/>
      <c r="S152" s="45"/>
      <c r="T152" s="45"/>
      <c r="U152" s="58"/>
      <c r="V152" s="1"/>
      <c r="W152" s="2"/>
      <c r="X152" s="877"/>
      <c r="Y152" s="1"/>
      <c r="Z152" s="1"/>
      <c r="AA152" s="1"/>
      <c r="AB152" s="1"/>
      <c r="AC152" s="1"/>
      <c r="AD152" s="1"/>
      <c r="AE152" s="1"/>
      <c r="AF152" s="1"/>
      <c r="AG152" s="1"/>
    </row>
    <row r="153" spans="1:33" s="3" customFormat="1" ht="15.95" customHeight="1">
      <c r="A153" s="49"/>
      <c r="B153" s="57">
        <f>DSUM('ENR#-DB'!D35:T48,"TOTAL ENROLLMENT",D151:T153)</f>
        <v>1403718</v>
      </c>
      <c r="C153" s="12"/>
      <c r="D153" s="45"/>
      <c r="E153" s="45"/>
      <c r="F153" s="45"/>
      <c r="G153" s="45"/>
      <c r="H153" s="45"/>
      <c r="I153" s="45"/>
      <c r="J153" s="45"/>
      <c r="K153" s="45"/>
      <c r="L153" s="45" t="s">
        <v>34</v>
      </c>
      <c r="M153" s="45"/>
      <c r="N153" s="45" t="str">
        <f>$F$8</f>
        <v>FY2010-11</v>
      </c>
      <c r="O153" s="45" t="s">
        <v>41</v>
      </c>
      <c r="P153" s="45" t="s">
        <v>147</v>
      </c>
      <c r="Q153" s="45"/>
      <c r="R153" s="45" t="s">
        <v>103</v>
      </c>
      <c r="S153" s="45"/>
      <c r="T153" s="45"/>
      <c r="U153" s="58"/>
      <c r="V153" s="1"/>
      <c r="W153" s="2"/>
      <c r="X153" s="877"/>
      <c r="Y153" s="1"/>
      <c r="Z153" s="1"/>
      <c r="AA153" s="1"/>
      <c r="AB153" s="1"/>
      <c r="AC153" s="1"/>
      <c r="AD153" s="1"/>
      <c r="AE153" s="1"/>
      <c r="AF153" s="1"/>
      <c r="AG153" s="1"/>
    </row>
    <row r="154" spans="1:33" s="3" customFormat="1" ht="15.95" customHeight="1">
      <c r="A154" s="49"/>
      <c r="B154" s="52"/>
      <c r="C154" s="12"/>
      <c r="D154" s="873"/>
      <c r="E154" s="873"/>
      <c r="F154" s="873"/>
      <c r="G154" s="873"/>
      <c r="H154" s="873"/>
      <c r="I154" s="873"/>
      <c r="J154" s="873"/>
      <c r="K154" s="873"/>
      <c r="L154" s="873"/>
      <c r="M154" s="873"/>
      <c r="N154" s="873"/>
      <c r="O154" s="873"/>
      <c r="P154" s="873"/>
      <c r="Q154" s="873"/>
      <c r="R154" s="873"/>
      <c r="S154" s="873"/>
      <c r="T154" s="873"/>
      <c r="U154" s="58"/>
      <c r="V154" s="1"/>
      <c r="W154" s="2"/>
      <c r="X154" s="877"/>
      <c r="Y154" s="1"/>
      <c r="Z154" s="1"/>
      <c r="AA154" s="1"/>
      <c r="AB154" s="1"/>
      <c r="AC154" s="1"/>
      <c r="AD154" s="1"/>
      <c r="AE154" s="1"/>
      <c r="AF154" s="1"/>
      <c r="AG154" s="1"/>
    </row>
    <row r="155" spans="1:33" s="3" customFormat="1" ht="15.95" customHeight="1">
      <c r="A155" s="49"/>
      <c r="B155" s="52"/>
      <c r="C155" s="12"/>
      <c r="D155" s="873"/>
      <c r="E155" s="873"/>
      <c r="F155" s="873"/>
      <c r="G155" s="873"/>
      <c r="H155" s="873"/>
      <c r="I155" s="873"/>
      <c r="J155" s="873"/>
      <c r="K155" s="873"/>
      <c r="L155" s="873"/>
      <c r="M155" s="873"/>
      <c r="N155" s="873"/>
      <c r="O155" s="873"/>
      <c r="P155" s="873"/>
      <c r="Q155" s="873"/>
      <c r="R155" s="873"/>
      <c r="S155" s="873"/>
      <c r="T155" s="873"/>
      <c r="U155" s="58"/>
      <c r="V155" s="1"/>
      <c r="W155" s="2"/>
      <c r="X155" s="877"/>
      <c r="Y155" s="1"/>
      <c r="Z155" s="1"/>
      <c r="AA155" s="1"/>
      <c r="AB155" s="1"/>
      <c r="AC155" s="1"/>
      <c r="AD155" s="1"/>
      <c r="AE155" s="1"/>
      <c r="AF155" s="1"/>
      <c r="AG155" s="1"/>
    </row>
    <row r="156" spans="1:33" s="3" customFormat="1" ht="15.95" customHeight="1">
      <c r="A156" s="49"/>
      <c r="B156" s="52"/>
      <c r="C156" s="12"/>
      <c r="D156" s="873"/>
      <c r="E156" s="873"/>
      <c r="F156" s="873"/>
      <c r="G156" s="873"/>
      <c r="H156" s="873"/>
      <c r="I156" s="873"/>
      <c r="J156" s="873"/>
      <c r="K156" s="873"/>
      <c r="L156" s="873"/>
      <c r="M156" s="873"/>
      <c r="N156" s="873"/>
      <c r="O156" s="873"/>
      <c r="P156" s="873"/>
      <c r="Q156" s="873"/>
      <c r="R156" s="873"/>
      <c r="S156" s="873"/>
      <c r="T156" s="873"/>
      <c r="U156" s="58"/>
      <c r="V156" s="1"/>
      <c r="W156" s="2"/>
      <c r="X156" s="877"/>
      <c r="Y156" s="1"/>
      <c r="Z156" s="1"/>
      <c r="AA156" s="1"/>
      <c r="AB156" s="1"/>
      <c r="AC156" s="1"/>
      <c r="AD156" s="1"/>
      <c r="AE156" s="1"/>
      <c r="AF156" s="1"/>
      <c r="AG156" s="1"/>
    </row>
    <row r="157" spans="1:33" s="3" customFormat="1" ht="15.95" customHeight="1">
      <c r="A157" s="49"/>
      <c r="B157" s="52"/>
      <c r="C157" s="12"/>
      <c r="D157" s="873"/>
      <c r="E157" s="873"/>
      <c r="F157" s="873"/>
      <c r="G157" s="873"/>
      <c r="H157" s="873"/>
      <c r="I157" s="873"/>
      <c r="J157" s="873"/>
      <c r="K157" s="873"/>
      <c r="L157" s="873"/>
      <c r="M157" s="873"/>
      <c r="N157" s="873"/>
      <c r="O157" s="873"/>
      <c r="P157" s="873"/>
      <c r="Q157" s="873"/>
      <c r="R157" s="873"/>
      <c r="S157" s="873"/>
      <c r="T157" s="873"/>
      <c r="U157" s="58"/>
      <c r="V157" s="1"/>
      <c r="W157" s="2"/>
      <c r="X157" s="877"/>
      <c r="Y157" s="1"/>
      <c r="Z157" s="1"/>
      <c r="AA157" s="1"/>
      <c r="AB157" s="1"/>
      <c r="AC157" s="1"/>
      <c r="AD157" s="1"/>
      <c r="AE157" s="1"/>
      <c r="AF157" s="1"/>
      <c r="AG157" s="1"/>
    </row>
    <row r="158" spans="1:33" s="3" customFormat="1" ht="15.95" customHeight="1">
      <c r="A158" s="49"/>
      <c r="B158" s="52"/>
      <c r="C158" s="12"/>
      <c r="D158" s="873"/>
      <c r="E158" s="873"/>
      <c r="F158" s="873"/>
      <c r="G158" s="873"/>
      <c r="H158" s="873"/>
      <c r="I158" s="873"/>
      <c r="J158" s="873"/>
      <c r="K158" s="873"/>
      <c r="L158" s="873"/>
      <c r="M158" s="873"/>
      <c r="N158" s="873"/>
      <c r="O158" s="873"/>
      <c r="P158" s="873"/>
      <c r="Q158" s="873"/>
      <c r="R158" s="873"/>
      <c r="S158" s="873"/>
      <c r="T158" s="873"/>
      <c r="U158" s="58"/>
      <c r="V158" s="1"/>
      <c r="W158" s="2"/>
      <c r="X158" s="877"/>
      <c r="Y158" s="1"/>
      <c r="Z158" s="1"/>
      <c r="AA158" s="1"/>
      <c r="AB158" s="1"/>
      <c r="AC158" s="1"/>
      <c r="AD158" s="1"/>
      <c r="AE158" s="1"/>
      <c r="AF158" s="1"/>
      <c r="AG158" s="1"/>
    </row>
    <row r="159" spans="1:33" s="3" customFormat="1" ht="15.95" customHeight="1">
      <c r="A159" s="963"/>
      <c r="B159" s="964"/>
      <c r="C159" s="964"/>
      <c r="D159" s="965"/>
      <c r="E159" s="965"/>
      <c r="F159" s="965"/>
      <c r="G159" s="965"/>
      <c r="H159" s="965"/>
      <c r="I159" s="965"/>
      <c r="J159" s="965"/>
      <c r="K159" s="965"/>
      <c r="L159" s="965"/>
      <c r="M159" s="965"/>
      <c r="N159" s="965"/>
      <c r="O159" s="965"/>
      <c r="P159" s="965"/>
      <c r="Q159" s="965"/>
      <c r="R159" s="965"/>
      <c r="S159" s="965"/>
      <c r="T159" s="965"/>
      <c r="U159" s="58"/>
      <c r="V159" s="1"/>
      <c r="W159" s="2"/>
      <c r="X159" s="877"/>
      <c r="Y159" s="1"/>
      <c r="Z159" s="1"/>
      <c r="AA159" s="1"/>
      <c r="AB159" s="1"/>
      <c r="AC159" s="1"/>
      <c r="AD159" s="1"/>
      <c r="AE159" s="1"/>
      <c r="AF159" s="1"/>
      <c r="AG159" s="1"/>
    </row>
    <row r="160" spans="1:33" s="3" customFormat="1" ht="15.95" customHeight="1" thickBot="1">
      <c r="A160" s="49"/>
      <c r="B160" s="50" t="s">
        <v>41</v>
      </c>
      <c r="C160" s="49"/>
      <c r="D160" s="54"/>
      <c r="E160" s="54"/>
      <c r="F160" s="54"/>
      <c r="G160" s="54"/>
      <c r="H160" s="54"/>
      <c r="I160" s="54"/>
      <c r="J160" s="54"/>
      <c r="K160" s="54"/>
      <c r="L160" s="54"/>
      <c r="M160" s="55"/>
      <c r="N160" s="54"/>
      <c r="O160" s="54"/>
      <c r="P160" s="54"/>
      <c r="Q160" s="54"/>
      <c r="R160" s="53"/>
      <c r="S160" s="871" t="str">
        <f>'ENR#-DB'!$S$34</f>
        <v>UD1</v>
      </c>
      <c r="T160" s="871" t="str">
        <f>'ENR#-DB'!$T$34</f>
        <v>UD2</v>
      </c>
      <c r="U160" s="60"/>
      <c r="V160" s="56"/>
      <c r="W160" s="2"/>
      <c r="X160" s="877"/>
      <c r="Y160" s="56"/>
      <c r="Z160" s="56"/>
      <c r="AA160" s="56"/>
      <c r="AB160" s="56"/>
      <c r="AC160" s="56"/>
      <c r="AD160" s="56"/>
      <c r="AE160" s="56"/>
      <c r="AF160" s="56"/>
      <c r="AG160" s="1"/>
    </row>
    <row r="161" spans="1:33" s="3" customFormat="1" ht="15.95" customHeight="1" thickTop="1" thickBot="1">
      <c r="A161" s="49"/>
      <c r="B161" s="51" t="s">
        <v>175</v>
      </c>
      <c r="C161" s="15"/>
      <c r="D161" s="923" t="s">
        <v>186</v>
      </c>
      <c r="E161" s="923" t="s">
        <v>187</v>
      </c>
      <c r="F161" s="923" t="s">
        <v>188</v>
      </c>
      <c r="G161" s="923" t="s">
        <v>189</v>
      </c>
      <c r="H161" s="923" t="s">
        <v>11</v>
      </c>
      <c r="I161" s="923" t="s">
        <v>190</v>
      </c>
      <c r="J161" s="923" t="s">
        <v>191</v>
      </c>
      <c r="K161" s="924" t="s">
        <v>192</v>
      </c>
      <c r="L161" s="923" t="s">
        <v>203</v>
      </c>
      <c r="M161" s="923" t="s">
        <v>42</v>
      </c>
      <c r="N161" s="923" t="s">
        <v>148</v>
      </c>
      <c r="O161" s="923" t="s">
        <v>193</v>
      </c>
      <c r="P161" s="923" t="s">
        <v>142</v>
      </c>
      <c r="Q161" s="112" t="s">
        <v>239</v>
      </c>
      <c r="R161" s="967" t="s">
        <v>672</v>
      </c>
      <c r="S161" s="928" t="s">
        <v>541</v>
      </c>
      <c r="T161" s="928" t="s">
        <v>542</v>
      </c>
      <c r="U161" s="59"/>
      <c r="V161" s="2"/>
      <c r="W161" s="2"/>
      <c r="X161" s="877"/>
      <c r="Y161" s="2"/>
      <c r="Z161" s="2"/>
      <c r="AA161" s="2"/>
      <c r="AB161" s="2"/>
      <c r="AC161" s="2"/>
      <c r="AD161" s="2"/>
      <c r="AE161" s="2"/>
      <c r="AF161" s="2"/>
      <c r="AG161" s="1"/>
    </row>
    <row r="162" spans="1:33" s="3" customFormat="1" ht="15.95" customHeight="1" thickTop="1">
      <c r="A162" s="49"/>
      <c r="B162" s="50" t="s">
        <v>146</v>
      </c>
      <c r="C162" s="12"/>
      <c r="D162" s="45"/>
      <c r="E162" s="45"/>
      <c r="F162" s="45"/>
      <c r="G162" s="45"/>
      <c r="H162" s="45"/>
      <c r="I162" s="45"/>
      <c r="J162" s="45"/>
      <c r="K162" s="45"/>
      <c r="L162" s="45" t="s">
        <v>34</v>
      </c>
      <c r="M162" s="45"/>
      <c r="N162" s="45" t="str">
        <f>$F$8</f>
        <v>FY2010-11</v>
      </c>
      <c r="O162" s="45" t="s">
        <v>41</v>
      </c>
      <c r="P162" s="45" t="s">
        <v>147</v>
      </c>
      <c r="Q162" s="45"/>
      <c r="R162" s="45" t="s">
        <v>611</v>
      </c>
      <c r="S162" s="45"/>
      <c r="T162" s="45"/>
      <c r="U162" s="58"/>
      <c r="V162" s="1"/>
      <c r="W162" s="2"/>
      <c r="X162" s="877"/>
      <c r="Y162" s="1"/>
      <c r="Z162" s="1"/>
      <c r="AA162" s="1"/>
      <c r="AB162" s="1"/>
      <c r="AC162" s="1"/>
      <c r="AD162" s="1"/>
      <c r="AE162" s="1"/>
      <c r="AF162" s="1"/>
      <c r="AG162" s="1"/>
    </row>
    <row r="163" spans="1:33" s="3" customFormat="1" ht="15.95" customHeight="1">
      <c r="A163" s="49"/>
      <c r="B163" s="57">
        <f>DSUM('ENR#-DB'!D35:T48,"TOTAL ENROLLMENT",D161:T162)</f>
        <v>15276</v>
      </c>
      <c r="C163" s="12"/>
      <c r="D163" s="873"/>
      <c r="E163" s="873"/>
      <c r="F163" s="873"/>
      <c r="G163" s="873"/>
      <c r="H163" s="873"/>
      <c r="I163" s="873"/>
      <c r="J163" s="873"/>
      <c r="K163" s="873"/>
      <c r="L163" s="873"/>
      <c r="M163" s="873"/>
      <c r="N163" s="873"/>
      <c r="O163" s="873"/>
      <c r="P163" s="873"/>
      <c r="Q163" s="873"/>
      <c r="R163" s="873"/>
      <c r="S163" s="873"/>
      <c r="T163" s="873"/>
      <c r="U163" s="58"/>
      <c r="V163" s="1"/>
      <c r="W163" s="2"/>
      <c r="X163" s="877"/>
      <c r="Y163" s="1"/>
      <c r="Z163" s="1"/>
      <c r="AA163" s="1"/>
      <c r="AB163" s="1"/>
      <c r="AC163" s="1"/>
      <c r="AD163" s="1"/>
      <c r="AE163" s="1"/>
      <c r="AF163" s="1"/>
      <c r="AG163" s="1"/>
    </row>
    <row r="164" spans="1:33" s="3" customFormat="1" ht="15.95" customHeight="1">
      <c r="A164" s="49"/>
      <c r="B164" s="52"/>
      <c r="C164" s="12"/>
      <c r="D164" s="873"/>
      <c r="E164" s="873"/>
      <c r="F164" s="873"/>
      <c r="G164" s="873"/>
      <c r="H164" s="873"/>
      <c r="I164" s="873"/>
      <c r="J164" s="873"/>
      <c r="K164" s="873"/>
      <c r="L164" s="873"/>
      <c r="M164" s="873"/>
      <c r="N164" s="873"/>
      <c r="O164" s="873"/>
      <c r="P164" s="873"/>
      <c r="Q164" s="873"/>
      <c r="R164" s="873"/>
      <c r="S164" s="873"/>
      <c r="T164" s="873"/>
      <c r="U164" s="58"/>
      <c r="V164" s="1"/>
      <c r="W164" s="2"/>
      <c r="X164" s="877"/>
      <c r="Y164" s="1"/>
      <c r="Z164" s="1"/>
      <c r="AA164" s="1"/>
      <c r="AB164" s="1"/>
      <c r="AC164" s="1"/>
      <c r="AD164" s="1"/>
      <c r="AE164" s="1"/>
      <c r="AF164" s="1"/>
      <c r="AG164" s="1"/>
    </row>
    <row r="165" spans="1:33" s="3" customFormat="1" ht="15.95" customHeight="1">
      <c r="A165" s="49"/>
      <c r="B165" s="52"/>
      <c r="C165" s="12"/>
      <c r="D165" s="873"/>
      <c r="E165" s="873"/>
      <c r="F165" s="873"/>
      <c r="G165" s="873"/>
      <c r="H165" s="873"/>
      <c r="I165" s="873"/>
      <c r="J165" s="873"/>
      <c r="K165" s="873"/>
      <c r="L165" s="873"/>
      <c r="M165" s="873"/>
      <c r="N165" s="873"/>
      <c r="O165" s="873"/>
      <c r="P165" s="873"/>
      <c r="Q165" s="873"/>
      <c r="R165" s="873"/>
      <c r="S165" s="873"/>
      <c r="T165" s="873"/>
      <c r="U165" s="58"/>
      <c r="V165" s="1"/>
      <c r="W165" s="2"/>
      <c r="X165" s="877"/>
      <c r="Y165" s="1"/>
      <c r="Z165" s="1"/>
      <c r="AA165" s="1"/>
      <c r="AB165" s="1"/>
      <c r="AC165" s="1"/>
      <c r="AD165" s="1"/>
      <c r="AE165" s="1"/>
      <c r="AF165" s="1"/>
      <c r="AG165" s="1"/>
    </row>
    <row r="166" spans="1:33" s="3" customFormat="1" ht="15.95" customHeight="1">
      <c r="A166" s="49"/>
      <c r="B166" s="52"/>
      <c r="C166" s="12"/>
      <c r="D166" s="873"/>
      <c r="E166" s="873"/>
      <c r="F166" s="873"/>
      <c r="G166" s="873"/>
      <c r="H166" s="873"/>
      <c r="I166" s="873"/>
      <c r="J166" s="873"/>
      <c r="K166" s="873"/>
      <c r="L166" s="873"/>
      <c r="M166" s="873"/>
      <c r="N166" s="873"/>
      <c r="O166" s="873"/>
      <c r="P166" s="873"/>
      <c r="Q166" s="873"/>
      <c r="R166" s="873"/>
      <c r="S166" s="873"/>
      <c r="T166" s="873"/>
      <c r="U166" s="58"/>
      <c r="V166" s="1"/>
      <c r="W166" s="2"/>
      <c r="X166" s="877"/>
      <c r="Y166" s="1"/>
      <c r="Z166" s="1"/>
      <c r="AA166" s="1"/>
      <c r="AB166" s="1"/>
      <c r="AC166" s="1"/>
      <c r="AD166" s="1"/>
      <c r="AE166" s="1"/>
      <c r="AF166" s="1"/>
      <c r="AG166" s="1"/>
    </row>
    <row r="167" spans="1:33" s="3" customFormat="1" ht="15.95" customHeight="1">
      <c r="A167" s="49"/>
      <c r="B167" s="52"/>
      <c r="C167" s="12"/>
      <c r="D167" s="873"/>
      <c r="E167" s="873"/>
      <c r="F167" s="873"/>
      <c r="G167" s="873"/>
      <c r="H167" s="873"/>
      <c r="I167" s="873"/>
      <c r="J167" s="873"/>
      <c r="K167" s="873"/>
      <c r="L167" s="873"/>
      <c r="M167" s="873"/>
      <c r="N167" s="873"/>
      <c r="O167" s="873"/>
      <c r="P167" s="873"/>
      <c r="Q167" s="873"/>
      <c r="R167" s="873"/>
      <c r="S167" s="873"/>
      <c r="T167" s="873"/>
      <c r="U167" s="58"/>
      <c r="V167" s="1"/>
      <c r="W167" s="2"/>
      <c r="X167" s="877"/>
      <c r="Y167" s="1"/>
      <c r="Z167" s="1"/>
      <c r="AA167" s="1"/>
      <c r="AB167" s="1"/>
      <c r="AC167" s="1"/>
      <c r="AD167" s="1"/>
      <c r="AE167" s="1"/>
      <c r="AF167" s="1"/>
      <c r="AG167" s="1"/>
    </row>
    <row r="168" spans="1:33" s="3" customFormat="1" ht="15.95" customHeight="1">
      <c r="A168" s="49"/>
      <c r="B168" s="52"/>
      <c r="C168" s="12"/>
      <c r="D168" s="873"/>
      <c r="E168" s="873"/>
      <c r="F168" s="873"/>
      <c r="G168" s="873"/>
      <c r="H168" s="873"/>
      <c r="I168" s="873"/>
      <c r="J168" s="873"/>
      <c r="K168" s="873"/>
      <c r="L168" s="873"/>
      <c r="M168" s="873"/>
      <c r="N168" s="873"/>
      <c r="O168" s="873"/>
      <c r="P168" s="873"/>
      <c r="Q168" s="873"/>
      <c r="R168" s="873"/>
      <c r="S168" s="873"/>
      <c r="T168" s="873"/>
      <c r="U168" s="58"/>
      <c r="V168" s="1"/>
      <c r="W168" s="2"/>
      <c r="X168" s="877"/>
      <c r="Y168" s="1"/>
      <c r="Z168" s="1"/>
      <c r="AA168" s="1"/>
      <c r="AB168" s="1"/>
      <c r="AC168" s="1"/>
      <c r="AD168" s="1"/>
      <c r="AE168" s="1"/>
      <c r="AF168" s="1"/>
      <c r="AG168" s="1"/>
    </row>
    <row r="169" spans="1:33" s="3" customFormat="1" ht="15.95" customHeight="1">
      <c r="A169" s="963"/>
      <c r="B169" s="964"/>
      <c r="C169" s="964"/>
      <c r="D169" s="965"/>
      <c r="E169" s="965"/>
      <c r="F169" s="965"/>
      <c r="G169" s="965"/>
      <c r="H169" s="965"/>
      <c r="I169" s="965"/>
      <c r="J169" s="965"/>
      <c r="K169" s="965"/>
      <c r="L169" s="965"/>
      <c r="M169" s="965"/>
      <c r="N169" s="965"/>
      <c r="O169" s="965"/>
      <c r="P169" s="965"/>
      <c r="Q169" s="965"/>
      <c r="R169" s="965"/>
      <c r="S169" s="965"/>
      <c r="T169" s="965"/>
      <c r="U169" s="58"/>
      <c r="V169" s="1"/>
      <c r="W169" s="2"/>
      <c r="X169" s="877"/>
      <c r="Y169" s="1"/>
      <c r="Z169" s="1"/>
      <c r="AA169" s="1"/>
      <c r="AB169" s="1"/>
      <c r="AC169" s="1"/>
      <c r="AD169" s="1"/>
      <c r="AE169" s="1"/>
      <c r="AF169" s="1"/>
      <c r="AG169" s="1"/>
    </row>
    <row r="170" spans="1:33" s="1036" customFormat="1" ht="15.95" customHeight="1" thickBot="1">
      <c r="A170" s="49"/>
      <c r="B170" s="50" t="s">
        <v>607</v>
      </c>
      <c r="C170" s="49"/>
      <c r="D170" s="54"/>
      <c r="E170" s="54"/>
      <c r="F170" s="54"/>
      <c r="G170" s="54"/>
      <c r="H170" s="54"/>
      <c r="I170" s="54"/>
      <c r="J170" s="54"/>
      <c r="K170" s="54"/>
      <c r="L170" s="54"/>
      <c r="M170" s="55"/>
      <c r="N170" s="54"/>
      <c r="O170" s="54"/>
      <c r="P170" s="54"/>
      <c r="Q170" s="54"/>
      <c r="R170" s="53"/>
      <c r="S170" s="871" t="str">
        <f>'[1]ENR#-DB'!$S$34</f>
        <v>UD1</v>
      </c>
      <c r="T170" s="871" t="str">
        <f>'[1]ENR#-DB'!$T$34</f>
        <v>UD2</v>
      </c>
      <c r="U170" s="60"/>
      <c r="W170" s="875"/>
      <c r="X170" s="878"/>
    </row>
    <row r="171" spans="1:33" s="1036" customFormat="1" ht="15.95" customHeight="1" thickTop="1" thickBot="1">
      <c r="A171" s="49"/>
      <c r="B171" s="51" t="s">
        <v>604</v>
      </c>
      <c r="C171" s="15"/>
      <c r="D171" s="974" t="s">
        <v>186</v>
      </c>
      <c r="E171" s="974" t="s">
        <v>187</v>
      </c>
      <c r="F171" s="974" t="s">
        <v>188</v>
      </c>
      <c r="G171" s="974" t="s">
        <v>189</v>
      </c>
      <c r="H171" s="974" t="s">
        <v>11</v>
      </c>
      <c r="I171" s="974" t="s">
        <v>190</v>
      </c>
      <c r="J171" s="974" t="s">
        <v>191</v>
      </c>
      <c r="K171" s="1035" t="s">
        <v>192</v>
      </c>
      <c r="L171" s="974" t="s">
        <v>203</v>
      </c>
      <c r="M171" s="974" t="s">
        <v>42</v>
      </c>
      <c r="N171" s="974" t="s">
        <v>148</v>
      </c>
      <c r="O171" s="974" t="s">
        <v>193</v>
      </c>
      <c r="P171" s="974" t="s">
        <v>142</v>
      </c>
      <c r="Q171" s="112" t="s">
        <v>239</v>
      </c>
      <c r="R171" s="1037" t="s">
        <v>672</v>
      </c>
      <c r="S171" s="928" t="s">
        <v>541</v>
      </c>
      <c r="T171" s="928" t="s">
        <v>542</v>
      </c>
      <c r="U171" s="59"/>
      <c r="W171" s="875"/>
      <c r="X171" s="878"/>
    </row>
    <row r="172" spans="1:33" s="1036" customFormat="1" ht="15.95" customHeight="1" thickTop="1">
      <c r="A172" s="49"/>
      <c r="B172" s="50" t="s">
        <v>146</v>
      </c>
      <c r="C172" s="12"/>
      <c r="D172" s="45"/>
      <c r="E172" s="45"/>
      <c r="F172" s="45"/>
      <c r="G172" s="45"/>
      <c r="H172" s="45"/>
      <c r="I172" s="45"/>
      <c r="J172" s="45"/>
      <c r="K172" s="45"/>
      <c r="L172" s="45" t="s">
        <v>34</v>
      </c>
      <c r="M172" s="45"/>
      <c r="N172" s="45" t="str">
        <f>$F$8</f>
        <v>FY2010-11</v>
      </c>
      <c r="O172" s="45"/>
      <c r="P172" s="45" t="s">
        <v>147</v>
      </c>
      <c r="Q172" s="45"/>
      <c r="R172" s="45" t="s">
        <v>103</v>
      </c>
      <c r="S172" s="45"/>
      <c r="T172" s="45"/>
      <c r="U172" s="58"/>
      <c r="W172" s="875"/>
      <c r="X172" s="878"/>
    </row>
    <row r="173" spans="1:33" s="1036" customFormat="1" ht="15.95" customHeight="1">
      <c r="A173" s="49"/>
      <c r="B173" s="57">
        <f>DSUM('ENR#-DB'!D35:T48,"TOTAL ENROLLMENT",D171:T172)</f>
        <v>0</v>
      </c>
      <c r="C173" s="12"/>
      <c r="D173" s="873"/>
      <c r="E173" s="873"/>
      <c r="F173" s="873"/>
      <c r="G173" s="873"/>
      <c r="H173" s="873"/>
      <c r="I173" s="873"/>
      <c r="J173" s="873"/>
      <c r="K173" s="873"/>
      <c r="L173" s="873"/>
      <c r="M173" s="873"/>
      <c r="N173" s="873"/>
      <c r="O173" s="873"/>
      <c r="P173" s="873"/>
      <c r="Q173" s="873"/>
      <c r="R173" s="873"/>
      <c r="S173" s="873"/>
      <c r="T173" s="873"/>
      <c r="U173" s="58"/>
      <c r="W173" s="875"/>
      <c r="X173" s="878"/>
    </row>
    <row r="174" spans="1:33" s="1036" customFormat="1" ht="15.95" customHeight="1">
      <c r="A174" s="49"/>
      <c r="B174" s="52"/>
      <c r="C174" s="12"/>
      <c r="D174" s="873"/>
      <c r="E174" s="873"/>
      <c r="F174" s="873"/>
      <c r="G174" s="873"/>
      <c r="H174" s="873"/>
      <c r="I174" s="873"/>
      <c r="J174" s="873"/>
      <c r="K174" s="873"/>
      <c r="L174" s="873"/>
      <c r="M174" s="873"/>
      <c r="N174" s="873"/>
      <c r="O174" s="873"/>
      <c r="P174" s="873"/>
      <c r="Q174" s="873"/>
      <c r="R174" s="873"/>
      <c r="S174" s="873"/>
      <c r="T174" s="873"/>
      <c r="U174" s="58"/>
      <c r="W174" s="875"/>
      <c r="X174" s="878"/>
    </row>
    <row r="175" spans="1:33" s="1036" customFormat="1" ht="15.95" customHeight="1">
      <c r="A175" s="49"/>
      <c r="B175" s="52"/>
      <c r="C175" s="12"/>
      <c r="D175" s="873"/>
      <c r="E175" s="873"/>
      <c r="F175" s="873"/>
      <c r="G175" s="873"/>
      <c r="H175" s="873"/>
      <c r="I175" s="873"/>
      <c r="J175" s="873"/>
      <c r="K175" s="873"/>
      <c r="L175" s="873"/>
      <c r="M175" s="873"/>
      <c r="N175" s="873"/>
      <c r="O175" s="873"/>
      <c r="P175" s="873"/>
      <c r="Q175" s="873"/>
      <c r="R175" s="873"/>
      <c r="S175" s="873"/>
      <c r="T175" s="873"/>
      <c r="U175" s="58"/>
      <c r="W175" s="875"/>
      <c r="X175" s="878"/>
    </row>
    <row r="176" spans="1:33" s="1036" customFormat="1" ht="15.95" customHeight="1">
      <c r="A176" s="49"/>
      <c r="B176" s="52"/>
      <c r="C176" s="12"/>
      <c r="D176" s="873"/>
      <c r="E176" s="873"/>
      <c r="F176" s="873"/>
      <c r="G176" s="873"/>
      <c r="H176" s="873"/>
      <c r="I176" s="873"/>
      <c r="J176" s="873"/>
      <c r="K176" s="873"/>
      <c r="L176" s="873"/>
      <c r="M176" s="873"/>
      <c r="N176" s="873"/>
      <c r="O176" s="873"/>
      <c r="P176" s="873"/>
      <c r="Q176" s="873"/>
      <c r="R176" s="873"/>
      <c r="S176" s="873"/>
      <c r="T176" s="873"/>
      <c r="U176" s="58"/>
      <c r="W176" s="875"/>
      <c r="X176" s="878"/>
    </row>
    <row r="177" spans="1:24" s="1036" customFormat="1" ht="15.95" customHeight="1">
      <c r="A177" s="49"/>
      <c r="B177" s="52"/>
      <c r="C177" s="12"/>
      <c r="D177" s="873"/>
      <c r="E177" s="873"/>
      <c r="F177" s="873"/>
      <c r="G177" s="873"/>
      <c r="H177" s="873"/>
      <c r="I177" s="873"/>
      <c r="J177" s="873"/>
      <c r="K177" s="873"/>
      <c r="L177" s="873"/>
      <c r="M177" s="873"/>
      <c r="N177" s="873"/>
      <c r="O177" s="873"/>
      <c r="P177" s="873"/>
      <c r="Q177" s="873"/>
      <c r="R177" s="873"/>
      <c r="S177" s="873"/>
      <c r="T177" s="873"/>
      <c r="U177" s="58"/>
      <c r="W177" s="875"/>
      <c r="X177" s="878"/>
    </row>
    <row r="178" spans="1:24" s="1036" customFormat="1" ht="15.95" customHeight="1">
      <c r="A178" s="49"/>
      <c r="B178" s="52"/>
      <c r="C178" s="12"/>
      <c r="D178" s="873"/>
      <c r="E178" s="873"/>
      <c r="F178" s="873"/>
      <c r="G178" s="873"/>
      <c r="H178" s="873"/>
      <c r="I178" s="873"/>
      <c r="J178" s="873"/>
      <c r="K178" s="873"/>
      <c r="L178" s="873"/>
      <c r="M178" s="873"/>
      <c r="N178" s="873"/>
      <c r="O178" s="873"/>
      <c r="P178" s="873"/>
      <c r="Q178" s="873"/>
      <c r="R178" s="873"/>
      <c r="S178" s="873"/>
      <c r="T178" s="873"/>
      <c r="U178" s="58"/>
      <c r="W178" s="875"/>
      <c r="X178" s="878"/>
    </row>
    <row r="179" spans="1:24" s="1036" customFormat="1" ht="15.95" customHeight="1">
      <c r="A179" s="963"/>
      <c r="B179" s="964"/>
      <c r="C179" s="964"/>
      <c r="D179" s="965"/>
      <c r="E179" s="965"/>
      <c r="F179" s="965"/>
      <c r="G179" s="965"/>
      <c r="H179" s="965"/>
      <c r="I179" s="965"/>
      <c r="J179" s="965"/>
      <c r="K179" s="965"/>
      <c r="L179" s="965"/>
      <c r="M179" s="965"/>
      <c r="N179" s="965"/>
      <c r="O179" s="965"/>
      <c r="P179" s="965"/>
      <c r="Q179" s="965"/>
      <c r="R179" s="965"/>
      <c r="S179" s="965"/>
      <c r="T179" s="965"/>
      <c r="U179" s="58"/>
      <c r="W179" s="875"/>
      <c r="X179" s="878"/>
    </row>
    <row r="180" spans="1:24" s="1036" customFormat="1" ht="15.95" customHeight="1" thickBot="1">
      <c r="A180" s="49"/>
      <c r="B180" s="50" t="s">
        <v>152</v>
      </c>
      <c r="C180" s="49"/>
      <c r="D180" s="54"/>
      <c r="E180" s="54"/>
      <c r="F180" s="54"/>
      <c r="G180" s="54"/>
      <c r="H180" s="54"/>
      <c r="I180" s="54"/>
      <c r="J180" s="54"/>
      <c r="K180" s="54"/>
      <c r="L180" s="54"/>
      <c r="M180" s="55"/>
      <c r="N180" s="54"/>
      <c r="O180" s="54"/>
      <c r="P180" s="54"/>
      <c r="Q180" s="54"/>
      <c r="R180" s="53"/>
      <c r="S180" s="871" t="str">
        <f>'[1]ENR#-DB'!$S$34</f>
        <v>UD1</v>
      </c>
      <c r="T180" s="871" t="str">
        <f>'[1]ENR#-DB'!$T$34</f>
        <v>UD2</v>
      </c>
      <c r="U180" s="60"/>
      <c r="W180" s="875"/>
      <c r="X180" s="878"/>
    </row>
    <row r="181" spans="1:24" s="1036" customFormat="1" ht="15.95" customHeight="1" thickTop="1" thickBot="1">
      <c r="A181" s="49"/>
      <c r="B181" s="51" t="s">
        <v>604</v>
      </c>
      <c r="C181" s="15"/>
      <c r="D181" s="974" t="s">
        <v>186</v>
      </c>
      <c r="E181" s="974" t="s">
        <v>187</v>
      </c>
      <c r="F181" s="974" t="s">
        <v>188</v>
      </c>
      <c r="G181" s="974" t="s">
        <v>189</v>
      </c>
      <c r="H181" s="974" t="s">
        <v>11</v>
      </c>
      <c r="I181" s="974" t="s">
        <v>190</v>
      </c>
      <c r="J181" s="974" t="s">
        <v>191</v>
      </c>
      <c r="K181" s="1035" t="s">
        <v>192</v>
      </c>
      <c r="L181" s="974" t="s">
        <v>203</v>
      </c>
      <c r="M181" s="974" t="s">
        <v>42</v>
      </c>
      <c r="N181" s="974" t="s">
        <v>148</v>
      </c>
      <c r="O181" s="974" t="s">
        <v>193</v>
      </c>
      <c r="P181" s="974" t="s">
        <v>142</v>
      </c>
      <c r="Q181" s="112" t="s">
        <v>239</v>
      </c>
      <c r="R181" s="1037" t="s">
        <v>672</v>
      </c>
      <c r="S181" s="928" t="s">
        <v>541</v>
      </c>
      <c r="T181" s="928" t="s">
        <v>542</v>
      </c>
      <c r="U181" s="59"/>
      <c r="W181" s="875"/>
      <c r="X181" s="878"/>
    </row>
    <row r="182" spans="1:24" s="1036" customFormat="1" ht="15.95" customHeight="1" thickTop="1">
      <c r="A182" s="49"/>
      <c r="B182" s="50" t="s">
        <v>146</v>
      </c>
      <c r="C182" s="12"/>
      <c r="D182" s="45"/>
      <c r="E182" s="45"/>
      <c r="F182" s="45"/>
      <c r="G182" s="45"/>
      <c r="H182" s="45"/>
      <c r="I182" s="45"/>
      <c r="J182" s="45"/>
      <c r="K182" s="45"/>
      <c r="L182" s="45" t="s">
        <v>34</v>
      </c>
      <c r="M182" s="45"/>
      <c r="N182" s="45" t="str">
        <f>$F$8</f>
        <v>FY2010-11</v>
      </c>
      <c r="O182" s="45" t="s">
        <v>152</v>
      </c>
      <c r="P182" s="45" t="s">
        <v>147</v>
      </c>
      <c r="Q182" s="45"/>
      <c r="R182" s="45" t="s">
        <v>103</v>
      </c>
      <c r="S182" s="45"/>
      <c r="T182" s="45"/>
      <c r="U182" s="58"/>
      <c r="W182" s="875"/>
      <c r="X182" s="878"/>
    </row>
    <row r="183" spans="1:24" s="1036" customFormat="1" ht="15.95" customHeight="1">
      <c r="A183" s="49"/>
      <c r="B183" s="57">
        <f>DSUM('ENR#-DB'!D35:T48,"TOTAL ENROLLMENT",D181:T182)</f>
        <v>0</v>
      </c>
      <c r="C183" s="12"/>
      <c r="D183" s="873"/>
      <c r="E183" s="873"/>
      <c r="F183" s="873"/>
      <c r="G183" s="873"/>
      <c r="H183" s="873"/>
      <c r="I183" s="873"/>
      <c r="J183" s="873"/>
      <c r="K183" s="873"/>
      <c r="L183" s="873"/>
      <c r="M183" s="873"/>
      <c r="N183" s="873"/>
      <c r="O183" s="873"/>
      <c r="P183" s="873"/>
      <c r="Q183" s="873"/>
      <c r="R183" s="873"/>
      <c r="S183" s="873"/>
      <c r="T183" s="873"/>
      <c r="U183" s="58"/>
      <c r="W183" s="875"/>
      <c r="X183" s="878"/>
    </row>
    <row r="184" spans="1:24" s="1036" customFormat="1" ht="15.95" customHeight="1">
      <c r="A184" s="49"/>
      <c r="B184" s="52"/>
      <c r="C184" s="12"/>
      <c r="D184" s="873"/>
      <c r="E184" s="873"/>
      <c r="F184" s="873"/>
      <c r="G184" s="873"/>
      <c r="H184" s="873"/>
      <c r="I184" s="873"/>
      <c r="J184" s="873"/>
      <c r="K184" s="873"/>
      <c r="L184" s="873"/>
      <c r="M184" s="873"/>
      <c r="N184" s="873"/>
      <c r="O184" s="873"/>
      <c r="P184" s="873"/>
      <c r="Q184" s="873"/>
      <c r="R184" s="873"/>
      <c r="S184" s="873"/>
      <c r="T184" s="873"/>
      <c r="U184" s="58"/>
      <c r="W184" s="875"/>
      <c r="X184" s="878"/>
    </row>
    <row r="185" spans="1:24" s="1036" customFormat="1" ht="15.95" customHeight="1">
      <c r="A185" s="49"/>
      <c r="B185" s="52"/>
      <c r="C185" s="12"/>
      <c r="D185" s="873"/>
      <c r="E185" s="873"/>
      <c r="F185" s="873"/>
      <c r="G185" s="873"/>
      <c r="H185" s="873"/>
      <c r="I185" s="873"/>
      <c r="J185" s="873"/>
      <c r="K185" s="873"/>
      <c r="L185" s="873"/>
      <c r="M185" s="873"/>
      <c r="N185" s="873"/>
      <c r="O185" s="873"/>
      <c r="P185" s="873"/>
      <c r="Q185" s="873"/>
      <c r="R185" s="873"/>
      <c r="S185" s="873"/>
      <c r="T185" s="873"/>
      <c r="U185" s="58"/>
      <c r="W185" s="875"/>
      <c r="X185" s="878"/>
    </row>
    <row r="186" spans="1:24" s="1036" customFormat="1" ht="15.95" customHeight="1">
      <c r="A186" s="49"/>
      <c r="B186" s="52"/>
      <c r="C186" s="12"/>
      <c r="D186" s="873"/>
      <c r="E186" s="873"/>
      <c r="F186" s="873"/>
      <c r="G186" s="873"/>
      <c r="H186" s="873"/>
      <c r="I186" s="873"/>
      <c r="J186" s="873"/>
      <c r="K186" s="873"/>
      <c r="L186" s="873"/>
      <c r="M186" s="873"/>
      <c r="N186" s="873"/>
      <c r="O186" s="873"/>
      <c r="P186" s="873"/>
      <c r="Q186" s="873"/>
      <c r="R186" s="873"/>
      <c r="S186" s="873"/>
      <c r="T186" s="873"/>
      <c r="U186" s="58"/>
      <c r="W186" s="875"/>
      <c r="X186" s="878"/>
    </row>
    <row r="187" spans="1:24" s="1036" customFormat="1" ht="15.95" customHeight="1">
      <c r="A187" s="49"/>
      <c r="B187" s="52"/>
      <c r="C187" s="12"/>
      <c r="D187" s="873"/>
      <c r="E187" s="873"/>
      <c r="F187" s="873"/>
      <c r="G187" s="873"/>
      <c r="H187" s="873"/>
      <c r="I187" s="873"/>
      <c r="J187" s="873"/>
      <c r="K187" s="873"/>
      <c r="L187" s="873"/>
      <c r="M187" s="873"/>
      <c r="N187" s="873"/>
      <c r="O187" s="873"/>
      <c r="P187" s="873"/>
      <c r="Q187" s="873"/>
      <c r="R187" s="873"/>
      <c r="S187" s="873"/>
      <c r="T187" s="873"/>
      <c r="U187" s="58"/>
      <c r="W187" s="875"/>
      <c r="X187" s="878"/>
    </row>
    <row r="188" spans="1:24" s="1036" customFormat="1" ht="15.95" customHeight="1">
      <c r="A188" s="49"/>
      <c r="B188" s="52"/>
      <c r="C188" s="12"/>
      <c r="D188" s="873"/>
      <c r="E188" s="873"/>
      <c r="F188" s="873"/>
      <c r="G188" s="873"/>
      <c r="H188" s="873"/>
      <c r="I188" s="873"/>
      <c r="J188" s="873"/>
      <c r="K188" s="873"/>
      <c r="L188" s="873"/>
      <c r="M188" s="873"/>
      <c r="N188" s="873"/>
      <c r="O188" s="873"/>
      <c r="P188" s="873"/>
      <c r="Q188" s="873"/>
      <c r="R188" s="873"/>
      <c r="S188" s="873"/>
      <c r="T188" s="873"/>
      <c r="U188" s="58"/>
      <c r="W188" s="875"/>
      <c r="X188" s="878"/>
    </row>
    <row r="189" spans="1:24" s="1036" customFormat="1" ht="15.95" customHeight="1">
      <c r="A189" s="963"/>
      <c r="B189" s="964"/>
      <c r="C189" s="964"/>
      <c r="D189" s="965"/>
      <c r="E189" s="965"/>
      <c r="F189" s="965"/>
      <c r="G189" s="965"/>
      <c r="H189" s="965"/>
      <c r="I189" s="965"/>
      <c r="J189" s="965"/>
      <c r="K189" s="965"/>
      <c r="L189" s="965"/>
      <c r="M189" s="965"/>
      <c r="N189" s="965"/>
      <c r="O189" s="965"/>
      <c r="P189" s="965"/>
      <c r="Q189" s="965"/>
      <c r="R189" s="965"/>
      <c r="S189" s="965"/>
      <c r="T189" s="965"/>
      <c r="U189" s="58"/>
      <c r="W189" s="875"/>
      <c r="X189" s="878"/>
    </row>
    <row r="190" spans="1:24" s="1036" customFormat="1" ht="15.95" customHeight="1" thickBot="1">
      <c r="A190" s="49"/>
      <c r="B190" s="50" t="s">
        <v>153</v>
      </c>
      <c r="C190" s="49"/>
      <c r="D190" s="54"/>
      <c r="E190" s="54"/>
      <c r="F190" s="54"/>
      <c r="G190" s="54"/>
      <c r="H190" s="54"/>
      <c r="I190" s="54"/>
      <c r="J190" s="54"/>
      <c r="K190" s="54"/>
      <c r="L190" s="54"/>
      <c r="M190" s="55"/>
      <c r="N190" s="54"/>
      <c r="O190" s="54"/>
      <c r="P190" s="54"/>
      <c r="Q190" s="54"/>
      <c r="R190" s="53"/>
      <c r="S190" s="871" t="str">
        <f>'[1]ENR#-DB'!$S$34</f>
        <v>UD1</v>
      </c>
      <c r="T190" s="871" t="str">
        <f>'[1]ENR#-DB'!$T$34</f>
        <v>UD2</v>
      </c>
      <c r="U190" s="60"/>
      <c r="W190" s="875"/>
      <c r="X190" s="878"/>
    </row>
    <row r="191" spans="1:24" s="1036" customFormat="1" ht="15.95" customHeight="1" thickTop="1" thickBot="1">
      <c r="A191" s="49"/>
      <c r="B191" s="51" t="s">
        <v>604</v>
      </c>
      <c r="C191" s="15"/>
      <c r="D191" s="974" t="s">
        <v>186</v>
      </c>
      <c r="E191" s="974" t="s">
        <v>187</v>
      </c>
      <c r="F191" s="974" t="s">
        <v>188</v>
      </c>
      <c r="G191" s="974" t="s">
        <v>189</v>
      </c>
      <c r="H191" s="974" t="s">
        <v>11</v>
      </c>
      <c r="I191" s="974" t="s">
        <v>190</v>
      </c>
      <c r="J191" s="974" t="s">
        <v>191</v>
      </c>
      <c r="K191" s="1035" t="s">
        <v>192</v>
      </c>
      <c r="L191" s="974" t="s">
        <v>203</v>
      </c>
      <c r="M191" s="974" t="s">
        <v>42</v>
      </c>
      <c r="N191" s="974" t="s">
        <v>148</v>
      </c>
      <c r="O191" s="974" t="s">
        <v>193</v>
      </c>
      <c r="P191" s="974" t="s">
        <v>142</v>
      </c>
      <c r="Q191" s="112" t="s">
        <v>239</v>
      </c>
      <c r="R191" s="1037" t="s">
        <v>672</v>
      </c>
      <c r="S191" s="928" t="s">
        <v>541</v>
      </c>
      <c r="T191" s="928" t="s">
        <v>542</v>
      </c>
      <c r="U191" s="59"/>
      <c r="W191" s="875"/>
      <c r="X191" s="878"/>
    </row>
    <row r="192" spans="1:24" s="1036" customFormat="1" ht="15.95" customHeight="1" thickTop="1">
      <c r="A192" s="49"/>
      <c r="B192" s="50" t="s">
        <v>146</v>
      </c>
      <c r="C192" s="12"/>
      <c r="D192" s="45"/>
      <c r="E192" s="45"/>
      <c r="F192" s="45"/>
      <c r="G192" s="45"/>
      <c r="H192" s="45"/>
      <c r="I192" s="45"/>
      <c r="J192" s="45"/>
      <c r="K192" s="45"/>
      <c r="L192" s="45" t="s">
        <v>34</v>
      </c>
      <c r="M192" s="45"/>
      <c r="N192" s="45" t="str">
        <f>$F$8</f>
        <v>FY2010-11</v>
      </c>
      <c r="O192" s="45" t="s">
        <v>153</v>
      </c>
      <c r="P192" s="45" t="s">
        <v>147</v>
      </c>
      <c r="Q192" s="45"/>
      <c r="R192" s="45" t="s">
        <v>103</v>
      </c>
      <c r="S192" s="45"/>
      <c r="T192" s="45"/>
      <c r="U192" s="58"/>
      <c r="W192" s="875"/>
      <c r="X192" s="878"/>
    </row>
    <row r="193" spans="1:24" s="1036" customFormat="1" ht="15.95" customHeight="1">
      <c r="A193" s="49"/>
      <c r="B193" s="57">
        <f>DSUM('ENR#-DB'!D35:T48,"TOTAL ENROLLMENT",D191:T192)</f>
        <v>0</v>
      </c>
      <c r="C193" s="12"/>
      <c r="D193" s="873"/>
      <c r="E193" s="873"/>
      <c r="F193" s="873"/>
      <c r="G193" s="873"/>
      <c r="H193" s="873"/>
      <c r="I193" s="873"/>
      <c r="J193" s="873"/>
      <c r="K193" s="873"/>
      <c r="L193" s="873"/>
      <c r="M193" s="873"/>
      <c r="N193" s="873"/>
      <c r="O193" s="873"/>
      <c r="P193" s="873"/>
      <c r="Q193" s="873"/>
      <c r="R193" s="873"/>
      <c r="S193" s="873"/>
      <c r="T193" s="873"/>
      <c r="U193" s="58"/>
      <c r="W193" s="875"/>
      <c r="X193" s="878"/>
    </row>
    <row r="194" spans="1:24" s="1036" customFormat="1" ht="15.95" customHeight="1">
      <c r="A194" s="49"/>
      <c r="B194" s="52"/>
      <c r="C194" s="12"/>
      <c r="D194" s="873"/>
      <c r="E194" s="873"/>
      <c r="F194" s="873"/>
      <c r="G194" s="873"/>
      <c r="H194" s="873"/>
      <c r="I194" s="873"/>
      <c r="J194" s="873"/>
      <c r="K194" s="873"/>
      <c r="L194" s="873"/>
      <c r="M194" s="873"/>
      <c r="N194" s="873"/>
      <c r="O194" s="873"/>
      <c r="P194" s="873"/>
      <c r="Q194" s="873"/>
      <c r="R194" s="873"/>
      <c r="S194" s="873"/>
      <c r="T194" s="873"/>
      <c r="U194" s="58"/>
      <c r="W194" s="875"/>
      <c r="X194" s="878"/>
    </row>
    <row r="195" spans="1:24" s="1036" customFormat="1" ht="15.95" customHeight="1">
      <c r="A195" s="49"/>
      <c r="B195" s="52"/>
      <c r="C195" s="12"/>
      <c r="D195" s="873"/>
      <c r="E195" s="873"/>
      <c r="F195" s="873"/>
      <c r="G195" s="873"/>
      <c r="H195" s="873"/>
      <c r="I195" s="873"/>
      <c r="J195" s="873"/>
      <c r="K195" s="873"/>
      <c r="L195" s="873"/>
      <c r="M195" s="873"/>
      <c r="N195" s="873"/>
      <c r="O195" s="873"/>
      <c r="P195" s="873"/>
      <c r="Q195" s="873"/>
      <c r="R195" s="873"/>
      <c r="S195" s="873"/>
      <c r="T195" s="873"/>
      <c r="U195" s="58"/>
      <c r="W195" s="875"/>
      <c r="X195" s="878"/>
    </row>
    <row r="196" spans="1:24" s="1036" customFormat="1" ht="15.95" customHeight="1">
      <c r="A196" s="49"/>
      <c r="B196" s="52"/>
      <c r="C196" s="12"/>
      <c r="D196" s="873"/>
      <c r="E196" s="873"/>
      <c r="F196" s="873"/>
      <c r="G196" s="873"/>
      <c r="H196" s="873"/>
      <c r="I196" s="873"/>
      <c r="J196" s="873"/>
      <c r="K196" s="873"/>
      <c r="L196" s="873"/>
      <c r="M196" s="873"/>
      <c r="N196" s="873"/>
      <c r="O196" s="873"/>
      <c r="P196" s="873"/>
      <c r="Q196" s="873"/>
      <c r="R196" s="873"/>
      <c r="S196" s="873"/>
      <c r="T196" s="873"/>
      <c r="U196" s="58"/>
      <c r="W196" s="875"/>
      <c r="X196" s="878"/>
    </row>
    <row r="197" spans="1:24" s="1036" customFormat="1" ht="15.95" customHeight="1">
      <c r="A197" s="49"/>
      <c r="B197" s="52"/>
      <c r="C197" s="12"/>
      <c r="D197" s="873"/>
      <c r="E197" s="873"/>
      <c r="F197" s="873"/>
      <c r="G197" s="873"/>
      <c r="H197" s="873"/>
      <c r="I197" s="873"/>
      <c r="J197" s="873"/>
      <c r="K197" s="873"/>
      <c r="L197" s="873"/>
      <c r="M197" s="873"/>
      <c r="N197" s="873"/>
      <c r="O197" s="873"/>
      <c r="P197" s="873"/>
      <c r="Q197" s="873"/>
      <c r="R197" s="873"/>
      <c r="S197" s="873"/>
      <c r="T197" s="873"/>
      <c r="U197" s="58"/>
      <c r="W197" s="875"/>
      <c r="X197" s="878"/>
    </row>
    <row r="198" spans="1:24" s="1036" customFormat="1" ht="15.95" customHeight="1">
      <c r="A198" s="49"/>
      <c r="B198" s="52"/>
      <c r="C198" s="12"/>
      <c r="D198" s="873"/>
      <c r="E198" s="873"/>
      <c r="F198" s="873"/>
      <c r="G198" s="873"/>
      <c r="H198" s="873"/>
      <c r="I198" s="873"/>
      <c r="J198" s="873"/>
      <c r="K198" s="873"/>
      <c r="L198" s="873"/>
      <c r="M198" s="873"/>
      <c r="N198" s="873"/>
      <c r="O198" s="873"/>
      <c r="P198" s="873"/>
      <c r="Q198" s="873"/>
      <c r="R198" s="873"/>
      <c r="S198" s="873"/>
      <c r="T198" s="873"/>
      <c r="U198" s="58"/>
      <c r="W198" s="875"/>
      <c r="X198" s="878"/>
    </row>
    <row r="199" spans="1:24" s="1036" customFormat="1" ht="15.95" customHeight="1">
      <c r="A199" s="963"/>
      <c r="B199" s="964"/>
      <c r="C199" s="964"/>
      <c r="D199" s="965"/>
      <c r="E199" s="965"/>
      <c r="F199" s="965"/>
      <c r="G199" s="965"/>
      <c r="H199" s="965"/>
      <c r="I199" s="965"/>
      <c r="J199" s="965"/>
      <c r="K199" s="965"/>
      <c r="L199" s="965"/>
      <c r="M199" s="965"/>
      <c r="N199" s="965"/>
      <c r="O199" s="965"/>
      <c r="P199" s="965"/>
      <c r="Q199" s="965"/>
      <c r="R199" s="965"/>
      <c r="S199" s="965"/>
      <c r="T199" s="965"/>
      <c r="U199" s="58"/>
      <c r="W199" s="875"/>
      <c r="X199" s="878"/>
    </row>
    <row r="200" spans="1:24" s="1036" customFormat="1" ht="15.95" customHeight="1" thickBot="1">
      <c r="A200" s="49"/>
      <c r="B200" s="50" t="s">
        <v>154</v>
      </c>
      <c r="C200" s="49"/>
      <c r="D200" s="54"/>
      <c r="E200" s="54"/>
      <c r="F200" s="54"/>
      <c r="G200" s="54"/>
      <c r="H200" s="54"/>
      <c r="I200" s="54"/>
      <c r="J200" s="54"/>
      <c r="K200" s="54"/>
      <c r="L200" s="54"/>
      <c r="M200" s="55"/>
      <c r="N200" s="54"/>
      <c r="O200" s="54"/>
      <c r="P200" s="54"/>
      <c r="Q200" s="54"/>
      <c r="R200" s="53"/>
      <c r="S200" s="871" t="str">
        <f>'[1]ENR#-DB'!$S$34</f>
        <v>UD1</v>
      </c>
      <c r="T200" s="871" t="str">
        <f>'[1]ENR#-DB'!$T$34</f>
        <v>UD2</v>
      </c>
      <c r="U200" s="60"/>
      <c r="W200" s="875"/>
      <c r="X200" s="878"/>
    </row>
    <row r="201" spans="1:24" s="1036" customFormat="1" ht="15.95" customHeight="1" thickTop="1" thickBot="1">
      <c r="A201" s="49"/>
      <c r="B201" s="51" t="s">
        <v>604</v>
      </c>
      <c r="C201" s="15"/>
      <c r="D201" s="974" t="s">
        <v>186</v>
      </c>
      <c r="E201" s="974" t="s">
        <v>187</v>
      </c>
      <c r="F201" s="974" t="s">
        <v>188</v>
      </c>
      <c r="G201" s="974" t="s">
        <v>189</v>
      </c>
      <c r="H201" s="974" t="s">
        <v>11</v>
      </c>
      <c r="I201" s="974" t="s">
        <v>190</v>
      </c>
      <c r="J201" s="974" t="s">
        <v>191</v>
      </c>
      <c r="K201" s="1035" t="s">
        <v>192</v>
      </c>
      <c r="L201" s="974" t="s">
        <v>203</v>
      </c>
      <c r="M201" s="974" t="s">
        <v>42</v>
      </c>
      <c r="N201" s="974" t="s">
        <v>148</v>
      </c>
      <c r="O201" s="974" t="s">
        <v>193</v>
      </c>
      <c r="P201" s="974" t="s">
        <v>142</v>
      </c>
      <c r="Q201" s="112" t="s">
        <v>239</v>
      </c>
      <c r="R201" s="1037" t="s">
        <v>672</v>
      </c>
      <c r="S201" s="928" t="s">
        <v>541</v>
      </c>
      <c r="T201" s="928" t="s">
        <v>542</v>
      </c>
      <c r="U201" s="59"/>
      <c r="W201" s="875"/>
      <c r="X201" s="878"/>
    </row>
    <row r="202" spans="1:24" s="1036" customFormat="1" ht="15.95" customHeight="1" thickTop="1">
      <c r="A202" s="49"/>
      <c r="B202" s="50" t="s">
        <v>146</v>
      </c>
      <c r="C202" s="12"/>
      <c r="D202" s="45"/>
      <c r="E202" s="45"/>
      <c r="F202" s="45"/>
      <c r="G202" s="45"/>
      <c r="H202" s="45"/>
      <c r="I202" s="45"/>
      <c r="J202" s="45"/>
      <c r="K202" s="45"/>
      <c r="L202" s="45" t="s">
        <v>34</v>
      </c>
      <c r="M202" s="45"/>
      <c r="N202" s="45" t="str">
        <f>$F$8</f>
        <v>FY2010-11</v>
      </c>
      <c r="O202" s="45" t="s">
        <v>154</v>
      </c>
      <c r="P202" s="45" t="s">
        <v>147</v>
      </c>
      <c r="Q202" s="45"/>
      <c r="R202" s="45" t="s">
        <v>103</v>
      </c>
      <c r="S202" s="45"/>
      <c r="T202" s="45"/>
      <c r="U202" s="58"/>
      <c r="W202" s="875"/>
      <c r="X202" s="878"/>
    </row>
    <row r="203" spans="1:24" s="1036" customFormat="1" ht="15.95" customHeight="1">
      <c r="A203" s="49"/>
      <c r="B203" s="57">
        <f>DSUM('ENR#-DB'!D35:T48,"TOTAL ENROLLMENT",D201:T202)</f>
        <v>0</v>
      </c>
      <c r="C203" s="12"/>
      <c r="D203" s="873"/>
      <c r="E203" s="873"/>
      <c r="F203" s="873"/>
      <c r="G203" s="873"/>
      <c r="H203" s="873"/>
      <c r="I203" s="873"/>
      <c r="J203" s="873"/>
      <c r="K203" s="873"/>
      <c r="L203" s="873"/>
      <c r="M203" s="873"/>
      <c r="N203" s="873"/>
      <c r="O203" s="873"/>
      <c r="P203" s="873"/>
      <c r="Q203" s="873"/>
      <c r="R203" s="873"/>
      <c r="S203" s="873"/>
      <c r="T203" s="873"/>
      <c r="U203" s="58"/>
      <c r="W203" s="875"/>
      <c r="X203" s="878"/>
    </row>
    <row r="204" spans="1:24" s="1036" customFormat="1" ht="15.95" customHeight="1">
      <c r="A204" s="49"/>
      <c r="B204" s="52"/>
      <c r="C204" s="12"/>
      <c r="D204" s="873"/>
      <c r="E204" s="873"/>
      <c r="F204" s="873"/>
      <c r="G204" s="873"/>
      <c r="H204" s="873"/>
      <c r="I204" s="873"/>
      <c r="J204" s="873"/>
      <c r="K204" s="873"/>
      <c r="L204" s="873"/>
      <c r="M204" s="873"/>
      <c r="N204" s="873"/>
      <c r="O204" s="873"/>
      <c r="P204" s="873"/>
      <c r="Q204" s="873"/>
      <c r="R204" s="873"/>
      <c r="S204" s="873"/>
      <c r="T204" s="873"/>
      <c r="U204" s="58"/>
      <c r="W204" s="875"/>
      <c r="X204" s="878"/>
    </row>
    <row r="205" spans="1:24" s="1036" customFormat="1" ht="15.95" customHeight="1">
      <c r="A205" s="49"/>
      <c r="B205" s="52"/>
      <c r="C205" s="12"/>
      <c r="D205" s="873"/>
      <c r="E205" s="873"/>
      <c r="F205" s="873"/>
      <c r="G205" s="873"/>
      <c r="H205" s="873"/>
      <c r="I205" s="873"/>
      <c r="J205" s="873"/>
      <c r="K205" s="873"/>
      <c r="L205" s="873"/>
      <c r="M205" s="873"/>
      <c r="N205" s="873"/>
      <c r="O205" s="873"/>
      <c r="P205" s="873"/>
      <c r="Q205" s="873"/>
      <c r="R205" s="873"/>
      <c r="S205" s="873"/>
      <c r="T205" s="873"/>
      <c r="U205" s="58"/>
      <c r="W205" s="875"/>
      <c r="X205" s="878"/>
    </row>
    <row r="206" spans="1:24" s="1036" customFormat="1" ht="15.95" customHeight="1">
      <c r="A206" s="49"/>
      <c r="B206" s="52"/>
      <c r="C206" s="12"/>
      <c r="D206" s="873"/>
      <c r="E206" s="873"/>
      <c r="F206" s="873"/>
      <c r="G206" s="873"/>
      <c r="H206" s="873"/>
      <c r="I206" s="873"/>
      <c r="J206" s="873"/>
      <c r="K206" s="873"/>
      <c r="L206" s="873"/>
      <c r="M206" s="873"/>
      <c r="N206" s="873"/>
      <c r="O206" s="873"/>
      <c r="P206" s="873"/>
      <c r="Q206" s="873"/>
      <c r="R206" s="873"/>
      <c r="S206" s="873"/>
      <c r="T206" s="873"/>
      <c r="U206" s="58"/>
      <c r="W206" s="875"/>
      <c r="X206" s="878"/>
    </row>
    <row r="207" spans="1:24" s="1036" customFormat="1" ht="15.95" customHeight="1">
      <c r="A207" s="49"/>
      <c r="B207" s="52"/>
      <c r="C207" s="12"/>
      <c r="D207" s="873"/>
      <c r="E207" s="873"/>
      <c r="F207" s="873"/>
      <c r="G207" s="873"/>
      <c r="H207" s="873"/>
      <c r="I207" s="873"/>
      <c r="J207" s="873"/>
      <c r="K207" s="873"/>
      <c r="L207" s="873"/>
      <c r="M207" s="873"/>
      <c r="N207" s="873"/>
      <c r="O207" s="873"/>
      <c r="P207" s="873"/>
      <c r="Q207" s="873"/>
      <c r="R207" s="873"/>
      <c r="S207" s="873"/>
      <c r="T207" s="873"/>
      <c r="U207" s="58"/>
      <c r="W207" s="875"/>
      <c r="X207" s="878"/>
    </row>
    <row r="208" spans="1:24" s="1036" customFormat="1" ht="15.95" customHeight="1">
      <c r="A208" s="49"/>
      <c r="B208" s="52"/>
      <c r="C208" s="12"/>
      <c r="D208" s="873"/>
      <c r="E208" s="873"/>
      <c r="F208" s="873"/>
      <c r="G208" s="873"/>
      <c r="H208" s="873"/>
      <c r="I208" s="873"/>
      <c r="J208" s="873"/>
      <c r="K208" s="873"/>
      <c r="L208" s="873"/>
      <c r="M208" s="873"/>
      <c r="N208" s="873"/>
      <c r="O208" s="873"/>
      <c r="P208" s="873"/>
      <c r="Q208" s="873"/>
      <c r="R208" s="873"/>
      <c r="S208" s="873"/>
      <c r="T208" s="873"/>
      <c r="U208" s="58"/>
      <c r="W208" s="875"/>
      <c r="X208" s="878"/>
    </row>
    <row r="209" spans="1:24" s="1036" customFormat="1" ht="15.95" customHeight="1">
      <c r="A209" s="963"/>
      <c r="B209" s="964"/>
      <c r="C209" s="964"/>
      <c r="D209" s="965"/>
      <c r="E209" s="965"/>
      <c r="F209" s="965"/>
      <c r="G209" s="965"/>
      <c r="H209" s="965"/>
      <c r="I209" s="965"/>
      <c r="J209" s="965"/>
      <c r="K209" s="965"/>
      <c r="L209" s="965"/>
      <c r="M209" s="965"/>
      <c r="N209" s="965"/>
      <c r="O209" s="965"/>
      <c r="P209" s="965"/>
      <c r="Q209" s="965"/>
      <c r="R209" s="965"/>
      <c r="S209" s="965"/>
      <c r="T209" s="965"/>
      <c r="U209" s="58"/>
      <c r="W209" s="875"/>
      <c r="X209" s="878"/>
    </row>
    <row r="210" spans="1:24" s="1036" customFormat="1" ht="15.95" customHeight="1" thickBot="1">
      <c r="A210" s="49"/>
      <c r="B210" s="50" t="s">
        <v>155</v>
      </c>
      <c r="C210" s="49"/>
      <c r="D210" s="54"/>
      <c r="E210" s="54"/>
      <c r="F210" s="54"/>
      <c r="G210" s="54"/>
      <c r="H210" s="54"/>
      <c r="I210" s="54"/>
      <c r="J210" s="54"/>
      <c r="K210" s="54"/>
      <c r="L210" s="54"/>
      <c r="M210" s="55"/>
      <c r="N210" s="54"/>
      <c r="O210" s="54"/>
      <c r="P210" s="54"/>
      <c r="Q210" s="54"/>
      <c r="R210" s="53"/>
      <c r="S210" s="871" t="str">
        <f>'[1]ENR#-DB'!$S$34</f>
        <v>UD1</v>
      </c>
      <c r="T210" s="871" t="str">
        <f>'[1]ENR#-DB'!$T$34</f>
        <v>UD2</v>
      </c>
      <c r="U210" s="60"/>
      <c r="W210" s="875"/>
      <c r="X210" s="878"/>
    </row>
    <row r="211" spans="1:24" s="1036" customFormat="1" ht="15.95" customHeight="1" thickTop="1" thickBot="1">
      <c r="A211" s="49"/>
      <c r="B211" s="51" t="s">
        <v>604</v>
      </c>
      <c r="C211" s="15"/>
      <c r="D211" s="974" t="s">
        <v>186</v>
      </c>
      <c r="E211" s="974" t="s">
        <v>187</v>
      </c>
      <c r="F211" s="974" t="s">
        <v>188</v>
      </c>
      <c r="G211" s="974" t="s">
        <v>189</v>
      </c>
      <c r="H211" s="974" t="s">
        <v>11</v>
      </c>
      <c r="I211" s="974" t="s">
        <v>190</v>
      </c>
      <c r="J211" s="974" t="s">
        <v>191</v>
      </c>
      <c r="K211" s="1035" t="s">
        <v>192</v>
      </c>
      <c r="L211" s="974" t="s">
        <v>203</v>
      </c>
      <c r="M211" s="974" t="s">
        <v>42</v>
      </c>
      <c r="N211" s="974" t="s">
        <v>148</v>
      </c>
      <c r="O211" s="974" t="s">
        <v>193</v>
      </c>
      <c r="P211" s="974" t="s">
        <v>142</v>
      </c>
      <c r="Q211" s="112" t="s">
        <v>239</v>
      </c>
      <c r="R211" s="1037" t="s">
        <v>672</v>
      </c>
      <c r="S211" s="928" t="s">
        <v>541</v>
      </c>
      <c r="T211" s="928" t="s">
        <v>542</v>
      </c>
      <c r="U211" s="59"/>
      <c r="W211" s="875"/>
      <c r="X211" s="878"/>
    </row>
    <row r="212" spans="1:24" s="1036" customFormat="1" ht="15.95" customHeight="1" thickTop="1">
      <c r="A212" s="49"/>
      <c r="B212" s="50" t="s">
        <v>146</v>
      </c>
      <c r="C212" s="12"/>
      <c r="D212" s="45"/>
      <c r="E212" s="45"/>
      <c r="F212" s="45"/>
      <c r="G212" s="45"/>
      <c r="H212" s="45"/>
      <c r="I212" s="45"/>
      <c r="J212" s="45"/>
      <c r="K212" s="45"/>
      <c r="L212" s="45" t="s">
        <v>34</v>
      </c>
      <c r="M212" s="45"/>
      <c r="N212" s="45" t="str">
        <f>$F$8</f>
        <v>FY2010-11</v>
      </c>
      <c r="O212" s="45" t="s">
        <v>155</v>
      </c>
      <c r="P212" s="45" t="s">
        <v>147</v>
      </c>
      <c r="Q212" s="45"/>
      <c r="R212" s="45" t="s">
        <v>103</v>
      </c>
      <c r="S212" s="45"/>
      <c r="T212" s="45"/>
      <c r="U212" s="58"/>
      <c r="W212" s="875"/>
      <c r="X212" s="878"/>
    </row>
    <row r="213" spans="1:24" s="1036" customFormat="1" ht="15.95" customHeight="1">
      <c r="A213" s="49"/>
      <c r="B213" s="57">
        <f>DSUM('ENR#-DB'!D35:T48,"TOTAL ENROLLMENT",D211:T212)</f>
        <v>0</v>
      </c>
      <c r="C213" s="12"/>
      <c r="D213" s="873"/>
      <c r="E213" s="873"/>
      <c r="F213" s="873"/>
      <c r="G213" s="873"/>
      <c r="H213" s="873"/>
      <c r="I213" s="873"/>
      <c r="J213" s="873"/>
      <c r="K213" s="873"/>
      <c r="L213" s="873"/>
      <c r="M213" s="873"/>
      <c r="N213" s="873"/>
      <c r="O213" s="873"/>
      <c r="P213" s="873"/>
      <c r="Q213" s="873"/>
      <c r="R213" s="873"/>
      <c r="S213" s="873"/>
      <c r="T213" s="873"/>
      <c r="U213" s="58"/>
      <c r="W213" s="875"/>
      <c r="X213" s="878"/>
    </row>
    <row r="214" spans="1:24" s="1036" customFormat="1" ht="15.95" customHeight="1">
      <c r="A214" s="49"/>
      <c r="B214" s="52"/>
      <c r="C214" s="12"/>
      <c r="D214" s="873"/>
      <c r="E214" s="873"/>
      <c r="F214" s="873"/>
      <c r="G214" s="873"/>
      <c r="H214" s="873"/>
      <c r="I214" s="873"/>
      <c r="J214" s="873"/>
      <c r="K214" s="873"/>
      <c r="L214" s="873"/>
      <c r="M214" s="873"/>
      <c r="N214" s="873"/>
      <c r="O214" s="873"/>
      <c r="P214" s="873"/>
      <c r="Q214" s="873"/>
      <c r="R214" s="873"/>
      <c r="S214" s="873"/>
      <c r="T214" s="873"/>
      <c r="U214" s="58"/>
      <c r="W214" s="875"/>
      <c r="X214" s="878"/>
    </row>
    <row r="215" spans="1:24" s="1036" customFormat="1" ht="15.95" customHeight="1">
      <c r="A215" s="49"/>
      <c r="B215" s="52"/>
      <c r="C215" s="12"/>
      <c r="D215" s="873"/>
      <c r="E215" s="873"/>
      <c r="F215" s="873"/>
      <c r="G215" s="873"/>
      <c r="H215" s="873"/>
      <c r="I215" s="873"/>
      <c r="J215" s="873"/>
      <c r="K215" s="873"/>
      <c r="L215" s="873"/>
      <c r="M215" s="873"/>
      <c r="N215" s="873"/>
      <c r="O215" s="873"/>
      <c r="P215" s="873"/>
      <c r="Q215" s="873"/>
      <c r="R215" s="873"/>
      <c r="S215" s="873"/>
      <c r="T215" s="873"/>
      <c r="U215" s="58"/>
      <c r="W215" s="875"/>
      <c r="X215" s="878"/>
    </row>
    <row r="216" spans="1:24" s="1036" customFormat="1" ht="15.95" customHeight="1">
      <c r="A216" s="49"/>
      <c r="B216" s="52"/>
      <c r="C216" s="12"/>
      <c r="D216" s="873"/>
      <c r="E216" s="873"/>
      <c r="F216" s="873"/>
      <c r="G216" s="873"/>
      <c r="H216" s="873"/>
      <c r="I216" s="873"/>
      <c r="J216" s="873"/>
      <c r="K216" s="873"/>
      <c r="L216" s="873"/>
      <c r="M216" s="873"/>
      <c r="N216" s="873"/>
      <c r="O216" s="873"/>
      <c r="P216" s="873"/>
      <c r="Q216" s="873"/>
      <c r="R216" s="873"/>
      <c r="S216" s="873"/>
      <c r="T216" s="873"/>
      <c r="U216" s="58"/>
      <c r="W216" s="875"/>
      <c r="X216" s="878"/>
    </row>
    <row r="217" spans="1:24" s="1036" customFormat="1" ht="15.95" customHeight="1">
      <c r="A217" s="49"/>
      <c r="B217" s="52"/>
      <c r="C217" s="12"/>
      <c r="D217" s="873"/>
      <c r="E217" s="873"/>
      <c r="F217" s="873"/>
      <c r="G217" s="873"/>
      <c r="H217" s="873"/>
      <c r="I217" s="873"/>
      <c r="J217" s="873"/>
      <c r="K217" s="873"/>
      <c r="L217" s="873"/>
      <c r="M217" s="873"/>
      <c r="N217" s="873"/>
      <c r="O217" s="873"/>
      <c r="P217" s="873"/>
      <c r="Q217" s="873"/>
      <c r="R217" s="873"/>
      <c r="S217" s="873"/>
      <c r="T217" s="873"/>
      <c r="U217" s="58"/>
      <c r="W217" s="875"/>
      <c r="X217" s="878"/>
    </row>
    <row r="218" spans="1:24" s="1036" customFormat="1" ht="15.95" customHeight="1">
      <c r="A218" s="49"/>
      <c r="B218" s="52"/>
      <c r="C218" s="12"/>
      <c r="D218" s="873"/>
      <c r="E218" s="873"/>
      <c r="F218" s="873"/>
      <c r="G218" s="873"/>
      <c r="H218" s="873"/>
      <c r="I218" s="873"/>
      <c r="J218" s="873"/>
      <c r="K218" s="873"/>
      <c r="L218" s="873"/>
      <c r="M218" s="873"/>
      <c r="N218" s="873"/>
      <c r="O218" s="873"/>
      <c r="P218" s="873"/>
      <c r="Q218" s="873"/>
      <c r="R218" s="873"/>
      <c r="S218" s="873"/>
      <c r="T218" s="873"/>
      <c r="U218" s="58"/>
      <c r="W218" s="875"/>
      <c r="X218" s="878"/>
    </row>
    <row r="219" spans="1:24" s="1036" customFormat="1" ht="15.95" customHeight="1">
      <c r="A219" s="963"/>
      <c r="B219" s="964"/>
      <c r="C219" s="964"/>
      <c r="D219" s="965"/>
      <c r="E219" s="965"/>
      <c r="F219" s="965"/>
      <c r="G219" s="965"/>
      <c r="H219" s="965"/>
      <c r="I219" s="965"/>
      <c r="J219" s="965"/>
      <c r="K219" s="965"/>
      <c r="L219" s="965"/>
      <c r="M219" s="965"/>
      <c r="N219" s="965"/>
      <c r="O219" s="965"/>
      <c r="P219" s="965"/>
      <c r="Q219" s="965"/>
      <c r="R219" s="965"/>
      <c r="S219" s="965"/>
      <c r="T219" s="965"/>
      <c r="U219" s="58"/>
      <c r="W219" s="875"/>
      <c r="X219" s="878"/>
    </row>
    <row r="220" spans="1:24" s="1036" customFormat="1" ht="15.95" customHeight="1" thickBot="1">
      <c r="A220" s="49"/>
      <c r="B220" s="50" t="s">
        <v>156</v>
      </c>
      <c r="C220" s="49"/>
      <c r="D220" s="54"/>
      <c r="E220" s="54"/>
      <c r="F220" s="54"/>
      <c r="G220" s="54"/>
      <c r="H220" s="54"/>
      <c r="I220" s="54"/>
      <c r="J220" s="54"/>
      <c r="K220" s="54"/>
      <c r="L220" s="54"/>
      <c r="M220" s="55"/>
      <c r="N220" s="54"/>
      <c r="O220" s="54"/>
      <c r="P220" s="54"/>
      <c r="Q220" s="54"/>
      <c r="R220" s="53"/>
      <c r="S220" s="871" t="str">
        <f>'[1]ENR#-DB'!$S$34</f>
        <v>UD1</v>
      </c>
      <c r="T220" s="871" t="str">
        <f>'[1]ENR#-DB'!$T$34</f>
        <v>UD2</v>
      </c>
      <c r="U220" s="60"/>
      <c r="W220" s="875"/>
      <c r="X220" s="878"/>
    </row>
    <row r="221" spans="1:24" s="1036" customFormat="1" ht="15.95" customHeight="1" thickTop="1" thickBot="1">
      <c r="A221" s="49"/>
      <c r="B221" s="51" t="s">
        <v>604</v>
      </c>
      <c r="C221" s="15"/>
      <c r="D221" s="974" t="s">
        <v>186</v>
      </c>
      <c r="E221" s="974" t="s">
        <v>187</v>
      </c>
      <c r="F221" s="974" t="s">
        <v>188</v>
      </c>
      <c r="G221" s="974" t="s">
        <v>189</v>
      </c>
      <c r="H221" s="974" t="s">
        <v>11</v>
      </c>
      <c r="I221" s="974" t="s">
        <v>190</v>
      </c>
      <c r="J221" s="974" t="s">
        <v>191</v>
      </c>
      <c r="K221" s="1035" t="s">
        <v>192</v>
      </c>
      <c r="L221" s="974" t="s">
        <v>203</v>
      </c>
      <c r="M221" s="974" t="s">
        <v>42</v>
      </c>
      <c r="N221" s="974" t="s">
        <v>148</v>
      </c>
      <c r="O221" s="974" t="s">
        <v>193</v>
      </c>
      <c r="P221" s="974" t="s">
        <v>142</v>
      </c>
      <c r="Q221" s="112" t="s">
        <v>239</v>
      </c>
      <c r="R221" s="1037" t="s">
        <v>672</v>
      </c>
      <c r="S221" s="928" t="s">
        <v>541</v>
      </c>
      <c r="T221" s="928" t="s">
        <v>542</v>
      </c>
      <c r="U221" s="59"/>
      <c r="W221" s="875"/>
      <c r="X221" s="878"/>
    </row>
    <row r="222" spans="1:24" s="1036" customFormat="1" ht="15.95" customHeight="1" thickTop="1">
      <c r="A222" s="49"/>
      <c r="B222" s="50" t="s">
        <v>146</v>
      </c>
      <c r="C222" s="12"/>
      <c r="D222" s="45"/>
      <c r="E222" s="45"/>
      <c r="F222" s="45"/>
      <c r="G222" s="45"/>
      <c r="H222" s="45"/>
      <c r="I222" s="45"/>
      <c r="J222" s="45"/>
      <c r="K222" s="45"/>
      <c r="L222" s="45" t="s">
        <v>34</v>
      </c>
      <c r="M222" s="45"/>
      <c r="N222" s="45" t="str">
        <f>$F$8</f>
        <v>FY2010-11</v>
      </c>
      <c r="O222" s="45" t="s">
        <v>156</v>
      </c>
      <c r="P222" s="45" t="s">
        <v>147</v>
      </c>
      <c r="Q222" s="45"/>
      <c r="R222" s="45" t="s">
        <v>103</v>
      </c>
      <c r="S222" s="45"/>
      <c r="T222" s="45"/>
      <c r="U222" s="58"/>
      <c r="W222" s="875"/>
      <c r="X222" s="878"/>
    </row>
    <row r="223" spans="1:24" s="1036" customFormat="1" ht="15.95" customHeight="1">
      <c r="A223" s="49"/>
      <c r="B223" s="57">
        <f>DSUM('ENR#-DB'!D35:T48,"TOTAL ENROLLMENT",D221:T222)</f>
        <v>0</v>
      </c>
      <c r="C223" s="12"/>
      <c r="D223" s="873"/>
      <c r="E223" s="873"/>
      <c r="F223" s="873"/>
      <c r="G223" s="873"/>
      <c r="H223" s="873"/>
      <c r="I223" s="873"/>
      <c r="J223" s="873"/>
      <c r="K223" s="873"/>
      <c r="L223" s="873"/>
      <c r="M223" s="873"/>
      <c r="N223" s="873"/>
      <c r="O223" s="873"/>
      <c r="P223" s="873"/>
      <c r="Q223" s="873"/>
      <c r="R223" s="873"/>
      <c r="S223" s="873"/>
      <c r="T223" s="873"/>
      <c r="U223" s="58"/>
      <c r="W223" s="875"/>
      <c r="X223" s="878"/>
    </row>
    <row r="224" spans="1:24" s="1036" customFormat="1" ht="15.95" customHeight="1">
      <c r="A224" s="49"/>
      <c r="B224" s="52"/>
      <c r="C224" s="12"/>
      <c r="D224" s="873"/>
      <c r="E224" s="873"/>
      <c r="F224" s="873"/>
      <c r="G224" s="873"/>
      <c r="H224" s="873"/>
      <c r="I224" s="873"/>
      <c r="J224" s="873"/>
      <c r="K224" s="873"/>
      <c r="L224" s="873"/>
      <c r="M224" s="873"/>
      <c r="N224" s="873"/>
      <c r="O224" s="873"/>
      <c r="P224" s="873"/>
      <c r="Q224" s="873"/>
      <c r="R224" s="873"/>
      <c r="S224" s="873"/>
      <c r="T224" s="873"/>
      <c r="U224" s="58"/>
      <c r="W224" s="875"/>
      <c r="X224" s="878"/>
    </row>
    <row r="225" spans="1:24" s="1036" customFormat="1" ht="15.95" customHeight="1">
      <c r="A225" s="49"/>
      <c r="B225" s="52"/>
      <c r="C225" s="12"/>
      <c r="D225" s="873"/>
      <c r="E225" s="873"/>
      <c r="F225" s="873"/>
      <c r="G225" s="873"/>
      <c r="H225" s="873"/>
      <c r="I225" s="873"/>
      <c r="J225" s="873"/>
      <c r="K225" s="873"/>
      <c r="L225" s="873"/>
      <c r="M225" s="873"/>
      <c r="N225" s="873"/>
      <c r="O225" s="873"/>
      <c r="P225" s="873"/>
      <c r="Q225" s="873"/>
      <c r="R225" s="873"/>
      <c r="S225" s="873"/>
      <c r="T225" s="873"/>
      <c r="U225" s="58"/>
      <c r="W225" s="875"/>
      <c r="X225" s="878"/>
    </row>
    <row r="226" spans="1:24" s="1036" customFormat="1" ht="15.95" customHeight="1">
      <c r="A226" s="49"/>
      <c r="B226" s="52"/>
      <c r="C226" s="12"/>
      <c r="D226" s="873"/>
      <c r="E226" s="873"/>
      <c r="F226" s="873"/>
      <c r="G226" s="873"/>
      <c r="H226" s="873"/>
      <c r="I226" s="873"/>
      <c r="J226" s="873"/>
      <c r="K226" s="873"/>
      <c r="L226" s="873"/>
      <c r="M226" s="873"/>
      <c r="N226" s="873"/>
      <c r="O226" s="873"/>
      <c r="P226" s="873"/>
      <c r="Q226" s="873"/>
      <c r="R226" s="873"/>
      <c r="S226" s="873"/>
      <c r="T226" s="873"/>
      <c r="U226" s="58"/>
      <c r="W226" s="875"/>
      <c r="X226" s="878"/>
    </row>
    <row r="227" spans="1:24" s="1036" customFormat="1" ht="15.95" customHeight="1">
      <c r="A227" s="49"/>
      <c r="B227" s="52"/>
      <c r="C227" s="12"/>
      <c r="D227" s="873"/>
      <c r="E227" s="873"/>
      <c r="F227" s="873"/>
      <c r="G227" s="873"/>
      <c r="H227" s="873"/>
      <c r="I227" s="873"/>
      <c r="J227" s="873"/>
      <c r="K227" s="873"/>
      <c r="L227" s="873"/>
      <c r="M227" s="873"/>
      <c r="N227" s="873"/>
      <c r="O227" s="873"/>
      <c r="P227" s="873"/>
      <c r="Q227" s="873"/>
      <c r="R227" s="873"/>
      <c r="S227" s="873"/>
      <c r="T227" s="873"/>
      <c r="U227" s="58"/>
      <c r="W227" s="875"/>
      <c r="X227" s="878"/>
    </row>
    <row r="228" spans="1:24" s="1036" customFormat="1" ht="15.95" customHeight="1">
      <c r="A228" s="49"/>
      <c r="B228" s="52"/>
      <c r="C228" s="12"/>
      <c r="D228" s="873"/>
      <c r="E228" s="873"/>
      <c r="F228" s="873"/>
      <c r="G228" s="873"/>
      <c r="H228" s="873"/>
      <c r="I228" s="873"/>
      <c r="J228" s="873"/>
      <c r="K228" s="873"/>
      <c r="L228" s="873"/>
      <c r="M228" s="873"/>
      <c r="N228" s="873"/>
      <c r="O228" s="873"/>
      <c r="P228" s="873"/>
      <c r="Q228" s="873"/>
      <c r="R228" s="873"/>
      <c r="S228" s="873"/>
      <c r="T228" s="873"/>
      <c r="U228" s="58"/>
      <c r="W228" s="875"/>
      <c r="X228" s="878"/>
    </row>
    <row r="229" spans="1:24" s="1036" customFormat="1" ht="15.95" customHeight="1">
      <c r="A229" s="963"/>
      <c r="B229" s="964"/>
      <c r="C229" s="964"/>
      <c r="D229" s="965"/>
      <c r="E229" s="965"/>
      <c r="F229" s="965"/>
      <c r="G229" s="965"/>
      <c r="H229" s="965"/>
      <c r="I229" s="965"/>
      <c r="J229" s="965"/>
      <c r="K229" s="965"/>
      <c r="L229" s="965"/>
      <c r="M229" s="965"/>
      <c r="N229" s="965"/>
      <c r="O229" s="965"/>
      <c r="P229" s="965"/>
      <c r="Q229" s="965"/>
      <c r="R229" s="965"/>
      <c r="S229" s="965"/>
      <c r="T229" s="965"/>
      <c r="U229" s="58"/>
      <c r="W229" s="875"/>
      <c r="X229" s="878"/>
    </row>
    <row r="230" spans="1:24" s="1036" customFormat="1" ht="15.95" customHeight="1" thickBot="1">
      <c r="A230" s="49"/>
      <c r="B230" s="50" t="s">
        <v>41</v>
      </c>
      <c r="C230" s="49"/>
      <c r="D230" s="54"/>
      <c r="E230" s="54"/>
      <c r="F230" s="54"/>
      <c r="G230" s="54"/>
      <c r="H230" s="54"/>
      <c r="I230" s="54"/>
      <c r="J230" s="54"/>
      <c r="K230" s="54"/>
      <c r="L230" s="54"/>
      <c r="M230" s="55"/>
      <c r="N230" s="54"/>
      <c r="O230" s="54"/>
      <c r="P230" s="54"/>
      <c r="Q230" s="54"/>
      <c r="R230" s="53"/>
      <c r="S230" s="871" t="str">
        <f>'[1]ENR#-DB'!$S$34</f>
        <v>UD1</v>
      </c>
      <c r="T230" s="871" t="str">
        <f>'[1]ENR#-DB'!$T$34</f>
        <v>UD2</v>
      </c>
      <c r="U230" s="60"/>
      <c r="W230" s="875"/>
      <c r="X230" s="878"/>
    </row>
    <row r="231" spans="1:24" s="1036" customFormat="1" ht="15.95" customHeight="1" thickTop="1" thickBot="1">
      <c r="A231" s="49"/>
      <c r="B231" s="51" t="s">
        <v>604</v>
      </c>
      <c r="C231" s="15"/>
      <c r="D231" s="974" t="s">
        <v>186</v>
      </c>
      <c r="E231" s="974" t="s">
        <v>187</v>
      </c>
      <c r="F231" s="974" t="s">
        <v>188</v>
      </c>
      <c r="G231" s="974" t="s">
        <v>189</v>
      </c>
      <c r="H231" s="974" t="s">
        <v>11</v>
      </c>
      <c r="I231" s="974" t="s">
        <v>190</v>
      </c>
      <c r="J231" s="974" t="s">
        <v>191</v>
      </c>
      <c r="K231" s="1035" t="s">
        <v>192</v>
      </c>
      <c r="L231" s="974" t="s">
        <v>203</v>
      </c>
      <c r="M231" s="974" t="s">
        <v>42</v>
      </c>
      <c r="N231" s="974" t="s">
        <v>148</v>
      </c>
      <c r="O231" s="974" t="s">
        <v>193</v>
      </c>
      <c r="P231" s="974" t="s">
        <v>142</v>
      </c>
      <c r="Q231" s="112" t="s">
        <v>239</v>
      </c>
      <c r="R231" s="1037" t="s">
        <v>672</v>
      </c>
      <c r="S231" s="928" t="s">
        <v>541</v>
      </c>
      <c r="T231" s="928" t="s">
        <v>542</v>
      </c>
      <c r="U231" s="59"/>
      <c r="W231" s="875"/>
      <c r="X231" s="878"/>
    </row>
    <row r="232" spans="1:24" s="1036" customFormat="1" ht="15.95" customHeight="1" thickTop="1">
      <c r="A232" s="49"/>
      <c r="B232" s="50" t="s">
        <v>146</v>
      </c>
      <c r="C232" s="12"/>
      <c r="D232" s="45"/>
      <c r="E232" s="45"/>
      <c r="F232" s="45"/>
      <c r="G232" s="45"/>
      <c r="H232" s="45"/>
      <c r="I232" s="45"/>
      <c r="J232" s="45"/>
      <c r="K232" s="45"/>
      <c r="L232" s="45" t="s">
        <v>34</v>
      </c>
      <c r="M232" s="45"/>
      <c r="N232" s="45" t="str">
        <f>$F$8</f>
        <v>FY2010-11</v>
      </c>
      <c r="O232" s="45" t="s">
        <v>41</v>
      </c>
      <c r="P232" s="45" t="s">
        <v>147</v>
      </c>
      <c r="Q232" s="45"/>
      <c r="R232" s="45" t="s">
        <v>103</v>
      </c>
      <c r="S232" s="45"/>
      <c r="T232" s="45"/>
      <c r="U232" s="58"/>
      <c r="W232" s="875"/>
      <c r="X232" s="878"/>
    </row>
    <row r="233" spans="1:24" s="1036" customFormat="1" ht="15.95" customHeight="1">
      <c r="A233" s="49"/>
      <c r="B233" s="57">
        <f>DSUM('ENR#-DB'!D35:T48,"TOTAL ENROLLMENT",D231:T232)</f>
        <v>0</v>
      </c>
      <c r="C233" s="12"/>
      <c r="D233" s="873"/>
      <c r="E233" s="873"/>
      <c r="F233" s="873"/>
      <c r="G233" s="873"/>
      <c r="H233" s="873"/>
      <c r="I233" s="873"/>
      <c r="J233" s="873"/>
      <c r="K233" s="873"/>
      <c r="L233" s="873"/>
      <c r="M233" s="873"/>
      <c r="N233" s="873"/>
      <c r="O233" s="873"/>
      <c r="P233" s="873"/>
      <c r="Q233" s="873"/>
      <c r="R233" s="873"/>
      <c r="S233" s="873"/>
      <c r="T233" s="873"/>
      <c r="U233" s="58"/>
      <c r="W233" s="875"/>
      <c r="X233" s="878"/>
    </row>
    <row r="234" spans="1:24" s="1036" customFormat="1" ht="15.95" customHeight="1">
      <c r="A234" s="49"/>
      <c r="B234" s="52"/>
      <c r="C234" s="12"/>
      <c r="D234" s="873"/>
      <c r="E234" s="873"/>
      <c r="F234" s="873"/>
      <c r="G234" s="873"/>
      <c r="H234" s="873"/>
      <c r="I234" s="873"/>
      <c r="J234" s="873"/>
      <c r="K234" s="873"/>
      <c r="L234" s="873"/>
      <c r="M234" s="873"/>
      <c r="N234" s="873"/>
      <c r="O234" s="873"/>
      <c r="P234" s="873"/>
      <c r="Q234" s="873"/>
      <c r="R234" s="873"/>
      <c r="S234" s="873"/>
      <c r="T234" s="873"/>
      <c r="U234" s="58"/>
      <c r="W234" s="875"/>
      <c r="X234" s="878"/>
    </row>
    <row r="235" spans="1:24" s="1036" customFormat="1" ht="15.95" customHeight="1">
      <c r="A235" s="49"/>
      <c r="B235" s="52"/>
      <c r="C235" s="12"/>
      <c r="D235" s="873"/>
      <c r="E235" s="873"/>
      <c r="F235" s="873"/>
      <c r="G235" s="873"/>
      <c r="H235" s="873"/>
      <c r="I235" s="873"/>
      <c r="J235" s="873"/>
      <c r="K235" s="873"/>
      <c r="L235" s="873"/>
      <c r="M235" s="873"/>
      <c r="N235" s="873"/>
      <c r="O235" s="873"/>
      <c r="P235" s="873"/>
      <c r="Q235" s="873"/>
      <c r="R235" s="873"/>
      <c r="S235" s="873"/>
      <c r="T235" s="873"/>
      <c r="U235" s="58"/>
      <c r="W235" s="875"/>
      <c r="X235" s="878"/>
    </row>
    <row r="236" spans="1:24" s="1036" customFormat="1" ht="15.95" customHeight="1">
      <c r="A236" s="49"/>
      <c r="B236" s="52"/>
      <c r="C236" s="12"/>
      <c r="D236" s="873"/>
      <c r="E236" s="873"/>
      <c r="F236" s="873"/>
      <c r="G236" s="873"/>
      <c r="H236" s="873"/>
      <c r="I236" s="873"/>
      <c r="J236" s="873"/>
      <c r="K236" s="873"/>
      <c r="L236" s="873"/>
      <c r="M236" s="873"/>
      <c r="N236" s="873"/>
      <c r="O236" s="873"/>
      <c r="P236" s="873"/>
      <c r="Q236" s="873"/>
      <c r="R236" s="873"/>
      <c r="S236" s="873"/>
      <c r="T236" s="873"/>
      <c r="U236" s="58"/>
      <c r="W236" s="875"/>
      <c r="X236" s="878"/>
    </row>
    <row r="237" spans="1:24" s="1036" customFormat="1" ht="15.95" customHeight="1">
      <c r="A237" s="49"/>
      <c r="B237" s="52"/>
      <c r="C237" s="12"/>
      <c r="D237" s="873"/>
      <c r="E237" s="873"/>
      <c r="F237" s="873"/>
      <c r="G237" s="873"/>
      <c r="H237" s="873"/>
      <c r="I237" s="873"/>
      <c r="J237" s="873"/>
      <c r="K237" s="873"/>
      <c r="L237" s="873"/>
      <c r="M237" s="873"/>
      <c r="N237" s="873"/>
      <c r="O237" s="873"/>
      <c r="P237" s="873"/>
      <c r="Q237" s="873"/>
      <c r="R237" s="873"/>
      <c r="S237" s="873"/>
      <c r="T237" s="873"/>
      <c r="U237" s="58"/>
      <c r="W237" s="875"/>
      <c r="X237" s="878"/>
    </row>
    <row r="238" spans="1:24" s="1036" customFormat="1" ht="15.95" customHeight="1">
      <c r="A238" s="49"/>
      <c r="B238" s="52"/>
      <c r="C238" s="12"/>
      <c r="D238" s="873"/>
      <c r="E238" s="873"/>
      <c r="F238" s="873"/>
      <c r="G238" s="873"/>
      <c r="H238" s="873"/>
      <c r="I238" s="873"/>
      <c r="J238" s="873"/>
      <c r="K238" s="873"/>
      <c r="L238" s="873"/>
      <c r="M238" s="873"/>
      <c r="N238" s="873"/>
      <c r="O238" s="873"/>
      <c r="P238" s="873"/>
      <c r="Q238" s="873"/>
      <c r="R238" s="873"/>
      <c r="S238" s="873"/>
      <c r="T238" s="873"/>
      <c r="U238" s="58"/>
      <c r="W238" s="875"/>
      <c r="X238" s="878"/>
    </row>
    <row r="239" spans="1:24" s="1036" customFormat="1" ht="15.95" customHeight="1">
      <c r="A239" s="963"/>
      <c r="B239" s="964"/>
      <c r="C239" s="964"/>
      <c r="D239" s="965"/>
      <c r="E239" s="965"/>
      <c r="F239" s="965"/>
      <c r="G239" s="965"/>
      <c r="H239" s="965"/>
      <c r="I239" s="965"/>
      <c r="J239" s="965"/>
      <c r="K239" s="965"/>
      <c r="L239" s="965"/>
      <c r="M239" s="965"/>
      <c r="N239" s="965"/>
      <c r="O239" s="965"/>
      <c r="P239" s="965"/>
      <c r="Q239" s="965"/>
      <c r="R239" s="965"/>
      <c r="S239" s="965"/>
      <c r="T239" s="965"/>
      <c r="U239" s="58"/>
      <c r="W239" s="875"/>
      <c r="X239" s="878"/>
    </row>
  </sheetData>
  <mergeCells count="5">
    <mergeCell ref="E7:F7"/>
    <mergeCell ref="E9:F9"/>
    <mergeCell ref="B15:B18"/>
    <mergeCell ref="A8:D9"/>
    <mergeCell ref="G8:U9"/>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BX29"/>
  <sheetViews>
    <sheetView workbookViewId="0"/>
  </sheetViews>
  <sheetFormatPr defaultColWidth="8.83203125" defaultRowHeight="15.95" customHeight="1"/>
  <cols>
    <col min="1" max="1" width="14" style="142" customWidth="1"/>
    <col min="2" max="2" width="34" style="142" customWidth="1"/>
    <col min="3" max="3" width="14.83203125" style="142" customWidth="1"/>
    <col min="4" max="4" width="17.83203125" style="142" customWidth="1"/>
    <col min="5" max="5" width="17.6640625" style="142" customWidth="1"/>
    <col min="6" max="6" width="20.83203125" style="142" customWidth="1"/>
    <col min="7" max="7" width="8.83203125" style="142"/>
    <col min="8" max="8" width="31.33203125" style="142" customWidth="1"/>
    <col min="9" max="9" width="4.33203125" style="142" customWidth="1"/>
    <col min="10" max="10" width="3.6640625" style="142" customWidth="1"/>
    <col min="11" max="16384" width="8.83203125" style="142"/>
  </cols>
  <sheetData>
    <row r="1" spans="1:76" ht="15.95" customHeight="1">
      <c r="A1" s="171"/>
      <c r="B1" s="171"/>
      <c r="C1" s="171"/>
      <c r="D1" s="171"/>
      <c r="E1" s="171"/>
      <c r="F1" s="171"/>
      <c r="G1" s="171"/>
      <c r="H1" s="171"/>
      <c r="I1" s="171"/>
      <c r="J1" s="171"/>
    </row>
    <row r="2" spans="1:76" ht="15.95" customHeight="1">
      <c r="A2" s="171"/>
      <c r="B2" s="1910" t="s">
        <v>603</v>
      </c>
      <c r="C2" s="1910"/>
      <c r="D2" s="1910"/>
      <c r="E2" s="1910"/>
      <c r="F2" s="1910"/>
      <c r="G2" s="171"/>
      <c r="H2" s="171"/>
      <c r="I2" s="171"/>
      <c r="J2" s="171"/>
    </row>
    <row r="3" spans="1:76" ht="15.95" customHeight="1">
      <c r="A3" s="171"/>
      <c r="B3" s="1911" t="s">
        <v>136</v>
      </c>
      <c r="C3" s="1911"/>
      <c r="D3" s="1911"/>
      <c r="E3" s="1911"/>
      <c r="F3" s="1911"/>
      <c r="G3" s="162"/>
      <c r="H3" s="162"/>
      <c r="I3" s="162"/>
      <c r="J3" s="162"/>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912" t="s">
        <v>355</v>
      </c>
      <c r="C4" s="1912"/>
      <c r="D4" s="1912"/>
      <c r="E4" s="1912"/>
      <c r="F4" s="1912"/>
      <c r="G4" s="162"/>
      <c r="H4" s="162"/>
      <c r="I4" s="162"/>
      <c r="J4" s="162"/>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912"/>
      <c r="C5" s="1912"/>
      <c r="D5" s="1912"/>
      <c r="E5" s="1912"/>
      <c r="F5" s="1912"/>
      <c r="G5" s="162"/>
      <c r="H5" s="162"/>
      <c r="I5" s="162"/>
      <c r="J5" s="162"/>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909" t="str">
        <f>'FIG3'!W49</f>
        <v>GA</v>
      </c>
      <c r="C6" s="1909"/>
      <c r="D6" s="153"/>
      <c r="E6" s="153"/>
      <c r="F6" s="153"/>
      <c r="G6" s="162"/>
      <c r="H6" s="1908"/>
      <c r="I6" s="162"/>
      <c r="J6" s="16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909" t="str">
        <f>'FIG3'!W50</f>
        <v>FY2010-11</v>
      </c>
      <c r="C7" s="1909"/>
      <c r="D7" s="153"/>
      <c r="E7" s="153"/>
      <c r="F7" s="153"/>
      <c r="G7" s="162"/>
      <c r="H7" s="2005"/>
      <c r="I7" s="162"/>
      <c r="J7" s="16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135</v>
      </c>
      <c r="C8" s="153"/>
      <c r="D8" s="153"/>
      <c r="E8" s="153"/>
      <c r="F8" s="153"/>
      <c r="G8" s="162"/>
      <c r="H8" s="2005"/>
      <c r="I8" s="162"/>
      <c r="J8" s="162"/>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124</v>
      </c>
      <c r="C9" s="144" t="s">
        <v>123</v>
      </c>
      <c r="D9" s="145" t="s">
        <v>121</v>
      </c>
      <c r="E9" s="145" t="s">
        <v>122</v>
      </c>
      <c r="F9" s="145" t="s">
        <v>171</v>
      </c>
      <c r="G9" s="162"/>
      <c r="H9" s="2005"/>
      <c r="I9" s="162"/>
      <c r="J9" s="162"/>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c r="A10" s="171"/>
      <c r="B10" s="154" t="s">
        <v>151</v>
      </c>
      <c r="C10" s="148" t="s">
        <v>4</v>
      </c>
      <c r="D10" s="247">
        <f>'ENR#-DSUM'!B13</f>
        <v>1534300</v>
      </c>
      <c r="E10" s="841">
        <f>'ENR#-DB'!Q23</f>
        <v>1534300</v>
      </c>
      <c r="F10" s="230">
        <f>D10-E10</f>
        <v>0</v>
      </c>
      <c r="G10" s="162"/>
      <c r="H10" s="2005"/>
      <c r="I10" s="162"/>
      <c r="J10" s="162"/>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c r="A11" s="171"/>
      <c r="B11" s="156"/>
      <c r="C11" s="147" t="s">
        <v>175</v>
      </c>
      <c r="D11" s="233">
        <f>'ENR#-DSUM'!B23</f>
        <v>22925</v>
      </c>
      <c r="E11" s="842">
        <f>'ENR#-DB'!Q24</f>
        <v>22925</v>
      </c>
      <c r="F11" s="234">
        <f t="shared" ref="F11:F21" si="0">D11-E11</f>
        <v>0</v>
      </c>
      <c r="G11" s="162"/>
      <c r="H11" s="2005"/>
      <c r="I11" s="162"/>
      <c r="J11" s="162"/>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t="str">
        <f>'ENR#-DSUM'!B30</f>
        <v>FA1 = Fulton County District</v>
      </c>
      <c r="C12" s="148" t="s">
        <v>4</v>
      </c>
      <c r="D12" s="231">
        <f>'ENR#-DSUM'!B33</f>
        <v>85844</v>
      </c>
      <c r="E12" s="843">
        <f>'ENR#-DB'!Q9</f>
        <v>85844</v>
      </c>
      <c r="F12" s="232">
        <f t="shared" si="0"/>
        <v>0</v>
      </c>
      <c r="G12" s="162"/>
      <c r="H12" s="2005"/>
      <c r="I12" s="162"/>
      <c r="J12" s="162"/>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6"/>
      <c r="C13" s="147" t="s">
        <v>175</v>
      </c>
      <c r="D13" s="233">
        <f>'ENR#-DSUM'!B43</f>
        <v>3358</v>
      </c>
      <c r="E13" s="842">
        <f>'ENR#-DB'!Q10</f>
        <v>3358</v>
      </c>
      <c r="F13" s="234">
        <f t="shared" si="0"/>
        <v>0</v>
      </c>
      <c r="G13" s="162"/>
      <c r="H13" s="2005"/>
      <c r="I13" s="162"/>
      <c r="J13" s="16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t="str">
        <f>'ENR#-DSUM'!B50</f>
        <v>FA2 = Atlanta Public Schools</v>
      </c>
      <c r="C14" s="148" t="s">
        <v>4</v>
      </c>
      <c r="D14" s="231">
        <f>'ENR#-DSUM'!B53</f>
        <v>44738</v>
      </c>
      <c r="E14" s="843">
        <f>'ENR#-DB'!Q11</f>
        <v>44738</v>
      </c>
      <c r="F14" s="232">
        <f t="shared" si="0"/>
        <v>0</v>
      </c>
      <c r="G14" s="162"/>
      <c r="H14" s="162"/>
      <c r="I14" s="162"/>
      <c r="J14" s="162"/>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6"/>
      <c r="C15" s="147" t="s">
        <v>175</v>
      </c>
      <c r="D15" s="233">
        <f>'ENR#-DSUM'!B63</f>
        <v>4291</v>
      </c>
      <c r="E15" s="842">
        <f>'ENR#-DB'!Q12</f>
        <v>4291</v>
      </c>
      <c r="F15" s="234">
        <f t="shared" si="0"/>
        <v>0</v>
      </c>
      <c r="G15" s="162"/>
      <c r="H15" s="162"/>
      <c r="I15" s="162"/>
      <c r="J15" s="162"/>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5" t="str">
        <f>'ENR#-DSUM'!B70</f>
        <v>FA3 = FA3L1 FA3L2</v>
      </c>
      <c r="C16" s="248" t="s">
        <v>4</v>
      </c>
      <c r="D16" s="231">
        <f>'ENR#-DSUM'!B73</f>
        <v>0</v>
      </c>
      <c r="E16" s="843">
        <f>'ENR#-DB'!Q13</f>
        <v>0</v>
      </c>
      <c r="F16" s="232">
        <f>D16-E16</f>
        <v>0</v>
      </c>
      <c r="G16" s="162"/>
      <c r="H16" s="162"/>
      <c r="I16" s="162"/>
      <c r="J16" s="162"/>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c r="A17" s="171"/>
      <c r="B17" s="156"/>
      <c r="C17" s="147" t="s">
        <v>175</v>
      </c>
      <c r="D17" s="233">
        <f>'ENR#-DSUM'!B83</f>
        <v>0</v>
      </c>
      <c r="E17" s="842">
        <f>'ENR#-DB'!Q14</f>
        <v>0</v>
      </c>
      <c r="F17" s="234">
        <f t="shared" si="0"/>
        <v>0</v>
      </c>
      <c r="G17" s="162"/>
      <c r="H17" s="162"/>
      <c r="I17" s="162"/>
      <c r="J17" s="162"/>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c r="A18" s="171"/>
      <c r="B18" s="155" t="str">
        <f>'ENR#-DSUM'!B90</f>
        <v>FA4 = FA4L1 FA4L2</v>
      </c>
      <c r="C18" s="248" t="s">
        <v>4</v>
      </c>
      <c r="D18" s="231">
        <f>'ENR#-DSUM'!B93</f>
        <v>0</v>
      </c>
      <c r="E18" s="843">
        <f>'ENR#-DB'!Q15</f>
        <v>0</v>
      </c>
      <c r="F18" s="232">
        <f t="shared" si="0"/>
        <v>0</v>
      </c>
      <c r="G18" s="162"/>
      <c r="H18" s="162"/>
      <c r="I18" s="162"/>
      <c r="J18" s="162"/>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6"/>
      <c r="C19" s="147" t="s">
        <v>175</v>
      </c>
      <c r="D19" s="233">
        <f>'ENR#-DSUM'!B103</f>
        <v>0</v>
      </c>
      <c r="E19" s="842">
        <f>'ENR#-DB'!Q16</f>
        <v>0</v>
      </c>
      <c r="F19" s="234">
        <f t="shared" si="0"/>
        <v>0</v>
      </c>
      <c r="G19" s="162"/>
      <c r="H19" s="162"/>
      <c r="I19" s="162"/>
      <c r="J19" s="162"/>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t="str">
        <f>'ENR#-DSUM'!B110</f>
        <v>FA5 = FA5L1 FA5L2</v>
      </c>
      <c r="C20" s="248" t="s">
        <v>4</v>
      </c>
      <c r="D20" s="231">
        <f>'ENR#-DSUM'!B113</f>
        <v>0</v>
      </c>
      <c r="E20" s="843">
        <f>'ENR#-DB'!Q17</f>
        <v>0</v>
      </c>
      <c r="F20" s="232">
        <f t="shared" si="0"/>
        <v>0</v>
      </c>
      <c r="G20" s="162"/>
      <c r="H20" s="162"/>
      <c r="I20" s="162"/>
      <c r="J20" s="162"/>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6"/>
      <c r="C21" s="147" t="s">
        <v>175</v>
      </c>
      <c r="D21" s="233">
        <f>'ENR#-DSUM'!B123</f>
        <v>0</v>
      </c>
      <c r="E21" s="842">
        <f>'ENR#-DB'!Q18</f>
        <v>0</v>
      </c>
      <c r="F21" s="234">
        <f t="shared" si="0"/>
        <v>0</v>
      </c>
      <c r="G21" s="162"/>
      <c r="H21" s="162"/>
      <c r="I21" s="162"/>
      <c r="J21" s="162"/>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71"/>
      <c r="C22" s="171"/>
      <c r="D22" s="171"/>
      <c r="E22" s="171"/>
      <c r="F22" s="171"/>
      <c r="G22" s="171"/>
      <c r="H22" s="171"/>
      <c r="I22" s="171"/>
      <c r="J22" s="171"/>
    </row>
    <row r="23" spans="1:76" ht="15.95" customHeight="1">
      <c r="A23" s="171"/>
      <c r="B23" s="171"/>
      <c r="C23" s="171"/>
      <c r="D23" s="171"/>
      <c r="E23" s="171"/>
      <c r="F23" s="171"/>
      <c r="G23" s="171"/>
      <c r="H23" s="171"/>
      <c r="I23" s="171"/>
      <c r="J23" s="171"/>
    </row>
    <row r="24" spans="1:76" ht="15.95" customHeight="1">
      <c r="A24" s="171"/>
      <c r="B24" s="171"/>
      <c r="C24" s="171"/>
      <c r="D24" s="171"/>
      <c r="E24" s="171"/>
      <c r="F24" s="171"/>
      <c r="G24" s="171"/>
      <c r="H24" s="171"/>
      <c r="I24" s="171"/>
      <c r="J24" s="171"/>
    </row>
    <row r="26" spans="1:76" ht="15.95" customHeight="1">
      <c r="E26" s="160"/>
      <c r="F26" s="160"/>
      <c r="G26" s="160"/>
    </row>
    <row r="27" spans="1:76" ht="15.95" customHeight="1">
      <c r="E27" s="160"/>
      <c r="F27" s="161"/>
      <c r="G27" s="160"/>
    </row>
    <row r="28" spans="1:76" ht="15.95" customHeight="1">
      <c r="E28" s="160"/>
      <c r="F28" s="160"/>
      <c r="G28" s="160"/>
    </row>
    <row r="29" spans="1:76" ht="15.95" customHeight="1">
      <c r="E29" s="160"/>
      <c r="F29" s="160"/>
      <c r="G29" s="160"/>
    </row>
  </sheetData>
  <mergeCells count="7">
    <mergeCell ref="B7:C7"/>
    <mergeCell ref="H6:H13"/>
    <mergeCell ref="B2:F2"/>
    <mergeCell ref="B3:F3"/>
    <mergeCell ref="B4:F4"/>
    <mergeCell ref="B5:F5"/>
    <mergeCell ref="B6:C6"/>
  </mergeCells>
  <conditionalFormatting sqref="F10:F21">
    <cfRule type="cellIs" dxfId="4" priority="4" operator="between">
      <formula>-0.005</formula>
      <formula>0.005</formula>
    </cfRule>
  </conditionalFormatting>
  <conditionalFormatting sqref="F27">
    <cfRule type="cellIs" dxfId="3" priority="3" operator="notEqual">
      <formula>0</formula>
    </cfRule>
  </conditionalFormatting>
  <conditionalFormatting sqref="F27">
    <cfRule type="cellIs" dxfId="2" priority="1" operator="not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Q14"/>
  <sheetViews>
    <sheetView workbookViewId="0"/>
  </sheetViews>
  <sheetFormatPr defaultColWidth="8.83203125" defaultRowHeight="11.25"/>
  <cols>
    <col min="1" max="1" width="6.5" customWidth="1"/>
    <col min="2" max="2" width="5.83203125" customWidth="1"/>
    <col min="3" max="3" width="5.1640625" customWidth="1"/>
    <col min="4" max="4" width="19.5" customWidth="1"/>
    <col min="5" max="5" width="16.33203125" customWidth="1"/>
    <col min="6" max="6" width="14.6640625" customWidth="1"/>
    <col min="7" max="7" width="19.5" customWidth="1"/>
    <col min="8" max="8" width="11.6640625" customWidth="1"/>
    <col min="9" max="9" width="11.33203125" customWidth="1"/>
    <col min="10" max="10" width="15.6640625" customWidth="1"/>
    <col min="11" max="11" width="12.33203125" customWidth="1"/>
    <col min="12" max="12" width="18.1640625" customWidth="1"/>
    <col min="14" max="14" width="15.6640625" customWidth="1"/>
    <col min="15" max="15" width="17.33203125" customWidth="1"/>
    <col min="16" max="16" width="10.5" customWidth="1"/>
    <col min="17" max="17" width="22.6640625" customWidth="1"/>
    <col min="18" max="18" width="25.6640625" customWidth="1"/>
  </cols>
  <sheetData>
    <row r="1" spans="1:43" ht="16.5" thickBo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61"/>
      <c r="AA1" s="61"/>
      <c r="AB1" s="61"/>
      <c r="AC1" s="61"/>
    </row>
    <row r="2" spans="1:43" ht="17.25" thickTop="1" thickBot="1">
      <c r="A2" s="140"/>
      <c r="B2" s="140"/>
      <c r="C2" s="140"/>
      <c r="D2" s="252" t="s">
        <v>343</v>
      </c>
      <c r="E2" s="253" t="s">
        <v>332</v>
      </c>
      <c r="F2" s="254" t="s">
        <v>19</v>
      </c>
      <c r="G2" s="253" t="s">
        <v>333</v>
      </c>
      <c r="H2" s="254" t="s">
        <v>20</v>
      </c>
      <c r="I2" s="253" t="s">
        <v>334</v>
      </c>
      <c r="J2" s="254" t="s">
        <v>165</v>
      </c>
      <c r="K2" s="253" t="s">
        <v>335</v>
      </c>
      <c r="L2" s="254" t="s">
        <v>167</v>
      </c>
      <c r="M2" s="253" t="s">
        <v>336</v>
      </c>
      <c r="N2" s="255" t="s">
        <v>337</v>
      </c>
      <c r="O2" s="254"/>
      <c r="P2" s="253" t="s">
        <v>338</v>
      </c>
      <c r="Q2" s="254" t="s">
        <v>144</v>
      </c>
      <c r="R2" s="253" t="s">
        <v>339</v>
      </c>
      <c r="S2" s="256" t="s">
        <v>149</v>
      </c>
      <c r="T2" s="253" t="s">
        <v>340</v>
      </c>
      <c r="U2" s="257" t="s">
        <v>341</v>
      </c>
      <c r="V2" s="258"/>
      <c r="W2" s="259"/>
      <c r="X2" s="140"/>
      <c r="Y2" s="140"/>
      <c r="Z2" s="61"/>
      <c r="AA2" s="61"/>
      <c r="AB2" s="61"/>
      <c r="AC2" s="61"/>
    </row>
    <row r="3" spans="1:43" ht="17.25" thickTop="1" thickBot="1">
      <c r="A3" s="140"/>
      <c r="B3" s="140"/>
      <c r="C3" s="140"/>
      <c r="D3" s="252" t="s">
        <v>128</v>
      </c>
      <c r="E3" s="260" t="s">
        <v>342</v>
      </c>
      <c r="F3" s="255"/>
      <c r="G3" s="255"/>
      <c r="H3" s="255"/>
      <c r="I3" s="255"/>
      <c r="J3" s="254"/>
      <c r="K3" s="261" t="s">
        <v>360</v>
      </c>
      <c r="L3" s="262"/>
      <c r="M3" s="263" t="str">
        <f>'FIG3'!W50</f>
        <v>FY2010-11</v>
      </c>
      <c r="N3" s="254"/>
      <c r="O3" s="253"/>
      <c r="P3" s="254"/>
      <c r="Q3" s="253"/>
      <c r="R3" s="254"/>
      <c r="S3" s="253"/>
      <c r="T3" s="254"/>
      <c r="U3" s="253"/>
      <c r="V3" s="254"/>
      <c r="W3" s="264"/>
      <c r="X3" s="140"/>
      <c r="Y3" s="140"/>
      <c r="Z3" s="61"/>
      <c r="AA3" s="61"/>
      <c r="AB3" s="61"/>
      <c r="AC3" s="61"/>
    </row>
    <row r="4" spans="1:43" ht="15.95" customHeight="1" thickTop="1">
      <c r="A4" s="141"/>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43" ht="15.95" customHeight="1" thickBot="1">
      <c r="A5" s="141"/>
      <c r="B5" s="141"/>
      <c r="C5" s="141"/>
      <c r="D5" s="141"/>
      <c r="E5" s="141"/>
      <c r="F5" s="141"/>
      <c r="G5" s="141"/>
      <c r="H5" s="141"/>
      <c r="I5" s="141"/>
      <c r="J5" s="141"/>
      <c r="K5" s="141"/>
      <c r="L5" s="141"/>
      <c r="M5" s="141"/>
      <c r="N5" s="141"/>
      <c r="O5" s="141"/>
      <c r="P5" s="141"/>
      <c r="Q5" s="141"/>
      <c r="R5" s="141"/>
      <c r="S5" s="141"/>
      <c r="T5" s="141"/>
      <c r="U5" s="141"/>
      <c r="V5" s="141"/>
      <c r="W5" s="141"/>
      <c r="X5" s="141"/>
      <c r="Y5" s="141"/>
    </row>
    <row r="6" spans="1:43" s="3" customFormat="1" ht="15.95" customHeight="1" thickTop="1" thickBot="1">
      <c r="A6" s="96" t="s">
        <v>137</v>
      </c>
      <c r="B6" s="96" t="s">
        <v>30</v>
      </c>
      <c r="C6" s="96" t="s">
        <v>147</v>
      </c>
      <c r="D6" s="974" t="s">
        <v>138</v>
      </c>
      <c r="E6" s="974" t="s">
        <v>31</v>
      </c>
      <c r="F6" s="974" t="s">
        <v>180</v>
      </c>
      <c r="G6" s="974" t="s">
        <v>32</v>
      </c>
      <c r="H6" s="974" t="s">
        <v>33</v>
      </c>
      <c r="I6" s="974" t="s">
        <v>34</v>
      </c>
      <c r="J6" s="974" t="s">
        <v>35</v>
      </c>
      <c r="K6" s="975" t="s">
        <v>36</v>
      </c>
      <c r="L6" s="858" t="s">
        <v>179</v>
      </c>
      <c r="M6" s="858" t="s">
        <v>37</v>
      </c>
      <c r="N6" s="858" t="s">
        <v>140</v>
      </c>
      <c r="O6" s="858" t="s">
        <v>2</v>
      </c>
      <c r="P6" s="858" t="s">
        <v>70</v>
      </c>
      <c r="Q6" s="858" t="s">
        <v>71</v>
      </c>
      <c r="R6" s="858" t="s">
        <v>97</v>
      </c>
      <c r="S6" s="974" t="s">
        <v>139</v>
      </c>
      <c r="T6" s="974" t="s">
        <v>98</v>
      </c>
      <c r="U6" s="120"/>
      <c r="V6" s="120"/>
      <c r="W6" s="120"/>
      <c r="X6" s="120"/>
      <c r="Y6" s="120"/>
      <c r="Z6" s="120"/>
      <c r="AA6" s="120"/>
      <c r="AB6" s="120"/>
      <c r="AC6" s="120"/>
      <c r="AD6" s="120"/>
      <c r="AE6" s="120"/>
      <c r="AF6" s="120"/>
      <c r="AG6" s="120"/>
      <c r="AH6" s="120"/>
      <c r="AI6" s="120"/>
      <c r="AJ6" s="120"/>
      <c r="AK6" s="120"/>
      <c r="AL6" s="120"/>
      <c r="AM6" s="120"/>
      <c r="AN6" s="120"/>
      <c r="AO6" s="120"/>
      <c r="AP6" s="120"/>
      <c r="AQ6" s="120"/>
    </row>
    <row r="7" spans="1:43" s="3" customFormat="1" ht="15.95" customHeight="1" thickTop="1" thickBot="1">
      <c r="A7" s="114" t="s">
        <v>96</v>
      </c>
      <c r="B7" s="115"/>
      <c r="C7" s="116"/>
      <c r="D7" s="113">
        <v>0</v>
      </c>
      <c r="E7" s="113">
        <v>0</v>
      </c>
      <c r="F7" s="113">
        <v>0</v>
      </c>
      <c r="G7" s="113">
        <v>0</v>
      </c>
      <c r="H7" s="113">
        <v>0</v>
      </c>
      <c r="I7" s="113">
        <v>0</v>
      </c>
      <c r="J7" s="113">
        <v>0</v>
      </c>
      <c r="K7" s="356">
        <v>0</v>
      </c>
      <c r="L7" s="360">
        <f t="shared" ref="L7:T7" si="0">COUNTBLANK(L10:L11)-2</f>
        <v>0</v>
      </c>
      <c r="M7" s="360">
        <f t="shared" si="0"/>
        <v>0</v>
      </c>
      <c r="N7" s="360">
        <f t="shared" si="0"/>
        <v>0</v>
      </c>
      <c r="O7" s="360">
        <f t="shared" si="0"/>
        <v>0</v>
      </c>
      <c r="P7" s="360">
        <f t="shared" si="0"/>
        <v>0</v>
      </c>
      <c r="Q7" s="360">
        <f t="shared" si="0"/>
        <v>0</v>
      </c>
      <c r="R7" s="360">
        <f t="shared" si="0"/>
        <v>0</v>
      </c>
      <c r="S7" s="113">
        <f t="shared" si="0"/>
        <v>0</v>
      </c>
      <c r="T7" s="113">
        <f t="shared" si="0"/>
        <v>0</v>
      </c>
      <c r="U7" s="120"/>
      <c r="V7" s="120"/>
      <c r="W7" s="120"/>
      <c r="X7" s="120"/>
      <c r="Y7" s="120"/>
      <c r="Z7" s="120"/>
      <c r="AA7" s="120"/>
      <c r="AB7" s="120"/>
      <c r="AC7" s="120"/>
      <c r="AD7" s="120"/>
      <c r="AE7" s="120"/>
      <c r="AF7" s="120"/>
      <c r="AG7" s="120"/>
      <c r="AH7" s="120"/>
      <c r="AI7" s="120"/>
      <c r="AJ7" s="120"/>
      <c r="AK7" s="120"/>
      <c r="AL7" s="120"/>
      <c r="AM7" s="120"/>
      <c r="AN7" s="120"/>
      <c r="AO7" s="120"/>
      <c r="AP7" s="120"/>
      <c r="AQ7" s="120"/>
    </row>
    <row r="8" spans="1:43" s="3" customFormat="1" ht="15.95" customHeight="1" thickTop="1" thickBot="1">
      <c r="A8" s="62"/>
      <c r="B8" s="62" t="s">
        <v>204</v>
      </c>
      <c r="C8" s="62"/>
      <c r="D8" s="1953" t="s">
        <v>185</v>
      </c>
      <c r="E8" s="1954"/>
      <c r="F8" s="1954"/>
      <c r="G8" s="1955"/>
      <c r="H8" s="1953" t="s">
        <v>181</v>
      </c>
      <c r="I8" s="1954"/>
      <c r="J8" s="1954"/>
      <c r="K8" s="1954"/>
      <c r="L8" s="1960" t="s">
        <v>202</v>
      </c>
      <c r="M8" s="1961"/>
      <c r="N8" s="1961"/>
      <c r="O8" s="1961"/>
      <c r="P8" s="1961"/>
      <c r="Q8" s="1961"/>
      <c r="R8" s="870"/>
      <c r="S8" s="110" t="s">
        <v>541</v>
      </c>
      <c r="T8" s="110" t="s">
        <v>542</v>
      </c>
      <c r="U8" s="120"/>
      <c r="V8" s="120"/>
      <c r="W8" s="120"/>
      <c r="X8" s="120"/>
      <c r="Y8" s="120"/>
      <c r="Z8" s="120"/>
      <c r="AA8" s="120"/>
      <c r="AB8" s="120"/>
      <c r="AC8" s="120"/>
      <c r="AD8" s="120"/>
      <c r="AE8" s="120"/>
      <c r="AF8" s="120"/>
      <c r="AG8" s="120"/>
      <c r="AH8" s="120"/>
      <c r="AI8" s="120"/>
      <c r="AJ8" s="120"/>
      <c r="AK8" s="120"/>
      <c r="AL8" s="120"/>
      <c r="AM8" s="120"/>
      <c r="AN8" s="120"/>
      <c r="AO8" s="120"/>
      <c r="AP8" s="120"/>
      <c r="AQ8" s="120"/>
    </row>
    <row r="9" spans="1:43" s="3" customFormat="1" ht="15.95" customHeight="1" thickTop="1" thickBot="1">
      <c r="A9" s="292" t="s">
        <v>137</v>
      </c>
      <c r="B9" s="292" t="s">
        <v>30</v>
      </c>
      <c r="C9" s="292" t="s">
        <v>147</v>
      </c>
      <c r="D9" s="111" t="s">
        <v>186</v>
      </c>
      <c r="E9" s="111" t="s">
        <v>187</v>
      </c>
      <c r="F9" s="111" t="s">
        <v>188</v>
      </c>
      <c r="G9" s="111" t="s">
        <v>189</v>
      </c>
      <c r="H9" s="111" t="s">
        <v>11</v>
      </c>
      <c r="I9" s="111" t="s">
        <v>190</v>
      </c>
      <c r="J9" s="111" t="s">
        <v>191</v>
      </c>
      <c r="K9" s="976" t="s">
        <v>192</v>
      </c>
      <c r="L9" s="361" t="s">
        <v>203</v>
      </c>
      <c r="M9" s="361" t="s">
        <v>42</v>
      </c>
      <c r="N9" s="361" t="s">
        <v>148</v>
      </c>
      <c r="O9" s="361" t="s">
        <v>193</v>
      </c>
      <c r="P9" s="361" t="s">
        <v>142</v>
      </c>
      <c r="Q9" s="362" t="s">
        <v>239</v>
      </c>
      <c r="R9" s="362" t="s">
        <v>672</v>
      </c>
      <c r="S9" s="974" t="s">
        <v>541</v>
      </c>
      <c r="T9" s="974" t="s">
        <v>542</v>
      </c>
      <c r="U9" s="120"/>
      <c r="V9" s="120"/>
      <c r="W9" s="120"/>
      <c r="X9" s="120"/>
      <c r="Y9" s="120"/>
      <c r="Z9" s="120"/>
      <c r="AA9" s="120"/>
      <c r="AB9" s="120"/>
      <c r="AC9" s="120"/>
      <c r="AD9" s="120"/>
      <c r="AE9" s="120"/>
      <c r="AF9" s="120"/>
      <c r="AG9" s="120"/>
      <c r="AH9" s="120"/>
      <c r="AI9" s="120"/>
      <c r="AJ9" s="120"/>
      <c r="AK9" s="120"/>
      <c r="AL9" s="120"/>
      <c r="AM9" s="120"/>
      <c r="AN9" s="120"/>
      <c r="AO9" s="120"/>
      <c r="AP9" s="120"/>
      <c r="AQ9" s="120"/>
    </row>
    <row r="10" spans="1:43" ht="15.95" customHeight="1" thickTop="1">
      <c r="A10" s="139"/>
      <c r="B10" s="139"/>
      <c r="C10" s="139"/>
      <c r="D10" s="275"/>
      <c r="E10" s="139"/>
      <c r="F10" s="139"/>
      <c r="G10" s="139"/>
      <c r="H10" s="139"/>
      <c r="I10" s="139"/>
      <c r="J10" s="139"/>
      <c r="K10" s="139"/>
      <c r="L10" s="139"/>
      <c r="M10" s="139"/>
      <c r="N10" s="139"/>
      <c r="O10" s="139"/>
      <c r="P10" s="139"/>
      <c r="Q10" s="139"/>
      <c r="R10" s="139"/>
      <c r="S10" s="139"/>
      <c r="T10" s="139"/>
      <c r="U10" s="139"/>
      <c r="V10" s="139"/>
      <c r="W10" s="139"/>
      <c r="X10" s="139"/>
      <c r="Y10" s="139"/>
    </row>
    <row r="11" spans="1:43" ht="22.5" customHeight="1">
      <c r="A11" s="139"/>
      <c r="B11" s="139"/>
      <c r="C11" s="139"/>
      <c r="D11" s="139"/>
      <c r="E11" s="140"/>
      <c r="F11" s="274"/>
      <c r="G11" s="274"/>
      <c r="H11" s="274"/>
      <c r="I11" s="274"/>
      <c r="J11" s="274"/>
      <c r="K11" s="274"/>
      <c r="L11" s="274"/>
      <c r="M11" s="274"/>
      <c r="N11" s="274"/>
      <c r="O11" s="274"/>
      <c r="P11" s="274"/>
      <c r="Q11" s="274"/>
      <c r="R11" s="274"/>
      <c r="S11" s="274"/>
      <c r="T11" s="274"/>
      <c r="U11" s="139"/>
      <c r="V11" s="139"/>
      <c r="W11" s="139"/>
      <c r="X11" s="139"/>
      <c r="Y11" s="139"/>
    </row>
    <row r="12" spans="1:43" ht="15.95" customHeight="1">
      <c r="A12" s="139"/>
      <c r="B12" s="139"/>
      <c r="C12" s="139"/>
      <c r="D12" s="140" t="s">
        <v>244</v>
      </c>
      <c r="E12" s="139"/>
      <c r="F12" s="139"/>
      <c r="G12" s="139"/>
      <c r="H12" s="139"/>
      <c r="I12" s="139"/>
      <c r="J12" s="139"/>
      <c r="K12" s="139"/>
      <c r="L12" s="139"/>
      <c r="M12" s="139"/>
      <c r="N12" s="139"/>
      <c r="O12" s="139"/>
      <c r="P12" s="139"/>
      <c r="Q12" s="139"/>
      <c r="R12" s="139"/>
      <c r="S12" s="139"/>
      <c r="T12" s="139"/>
      <c r="U12" s="139"/>
      <c r="V12" s="139"/>
      <c r="W12" s="139"/>
      <c r="X12" s="139"/>
      <c r="Y12" s="139"/>
    </row>
    <row r="13" spans="1:43" ht="15.95" customHeight="1">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row>
    <row r="14" spans="1:43" ht="15.95" customHeight="1">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row>
  </sheetData>
  <mergeCells count="3">
    <mergeCell ref="D8:G8"/>
    <mergeCell ref="H8:K8"/>
    <mergeCell ref="L8:Q8"/>
  </mergeCells>
  <conditionalFormatting sqref="R7">
    <cfRule type="cellIs" dxfId="1" priority="1" operator="notEqual">
      <formula>0</formula>
    </cfRule>
  </conditionalFormatting>
  <conditionalFormatting sqref="D7:Q7 S7:T7">
    <cfRule type="cellIs" dxfId="0" priority="2" operator="not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Q199"/>
  <sheetViews>
    <sheetView workbookViewId="0"/>
  </sheetViews>
  <sheetFormatPr defaultColWidth="10.83203125" defaultRowHeight="11.25"/>
  <cols>
    <col min="1" max="16384" width="10.83203125" style="1297"/>
  </cols>
  <sheetData>
    <row r="1" spans="1:17">
      <c r="A1" s="1297" t="s">
        <v>1646</v>
      </c>
    </row>
    <row r="2" spans="1:17">
      <c r="A2" s="1297" t="s">
        <v>1647</v>
      </c>
    </row>
    <row r="3" spans="1:17">
      <c r="A3" s="1297" t="s">
        <v>1793</v>
      </c>
    </row>
    <row r="4" spans="1:17">
      <c r="A4" s="1297" t="s">
        <v>1794</v>
      </c>
      <c r="B4" s="1297" t="s">
        <v>1795</v>
      </c>
      <c r="C4" s="1297" t="s">
        <v>146</v>
      </c>
      <c r="D4" s="1297" t="s">
        <v>1796</v>
      </c>
      <c r="E4" s="1297" t="s">
        <v>1797</v>
      </c>
      <c r="F4" s="1297" t="s">
        <v>1798</v>
      </c>
      <c r="G4" s="1297" t="s">
        <v>1799</v>
      </c>
      <c r="H4" s="1297" t="s">
        <v>1800</v>
      </c>
      <c r="I4" s="1297" t="s">
        <v>1801</v>
      </c>
      <c r="J4" s="1297" t="s">
        <v>1802</v>
      </c>
      <c r="K4" s="1297" t="s">
        <v>1803</v>
      </c>
      <c r="L4" s="1297" t="s">
        <v>1804</v>
      </c>
      <c r="M4" s="1297" t="s">
        <v>1805</v>
      </c>
      <c r="N4" s="1297" t="s">
        <v>1806</v>
      </c>
      <c r="O4" s="1297" t="s">
        <v>1807</v>
      </c>
      <c r="P4" s="1297" t="s">
        <v>1808</v>
      </c>
      <c r="Q4" s="1297" t="s">
        <v>1809</v>
      </c>
    </row>
    <row r="5" spans="1:17">
      <c r="A5" s="1297">
        <v>601</v>
      </c>
      <c r="B5" s="1297" t="s">
        <v>1810</v>
      </c>
      <c r="C5" s="1422">
        <v>3539</v>
      </c>
      <c r="D5" s="1297">
        <v>240</v>
      </c>
      <c r="E5" s="1297">
        <v>308</v>
      </c>
      <c r="F5" s="1297">
        <v>270</v>
      </c>
      <c r="G5" s="1297">
        <v>263</v>
      </c>
      <c r="H5" s="1297">
        <v>236</v>
      </c>
      <c r="I5" s="1297">
        <v>273</v>
      </c>
      <c r="J5" s="1297">
        <v>253</v>
      </c>
      <c r="K5" s="1297">
        <v>236</v>
      </c>
      <c r="L5" s="1297">
        <v>269</v>
      </c>
      <c r="M5" s="1297">
        <v>274</v>
      </c>
      <c r="N5" s="1297">
        <v>305</v>
      </c>
      <c r="O5" s="1297">
        <v>212</v>
      </c>
      <c r="P5" s="1297">
        <v>203</v>
      </c>
      <c r="Q5" s="1297">
        <v>197</v>
      </c>
    </row>
    <row r="6" spans="1:17">
      <c r="A6" s="1297">
        <v>602</v>
      </c>
      <c r="B6" s="1297" t="s">
        <v>1811</v>
      </c>
      <c r="C6" s="1422">
        <v>1720</v>
      </c>
      <c r="D6" s="1297">
        <v>103</v>
      </c>
      <c r="E6" s="1297">
        <v>138</v>
      </c>
      <c r="F6" s="1297">
        <v>135</v>
      </c>
      <c r="G6" s="1297">
        <v>131</v>
      </c>
      <c r="H6" s="1297">
        <v>146</v>
      </c>
      <c r="I6" s="1297">
        <v>136</v>
      </c>
      <c r="J6" s="1297">
        <v>127</v>
      </c>
      <c r="K6" s="1297">
        <v>129</v>
      </c>
      <c r="L6" s="1297">
        <v>122</v>
      </c>
      <c r="M6" s="1297">
        <v>125</v>
      </c>
      <c r="N6" s="1297">
        <v>138</v>
      </c>
      <c r="O6" s="1297">
        <v>110</v>
      </c>
      <c r="P6" s="1297">
        <v>82</v>
      </c>
      <c r="Q6" s="1297">
        <v>98</v>
      </c>
    </row>
    <row r="7" spans="1:17">
      <c r="A7" s="1297">
        <v>761</v>
      </c>
      <c r="B7" s="1297" t="s">
        <v>698</v>
      </c>
      <c r="C7" s="1422">
        <v>49874</v>
      </c>
      <c r="D7" s="1422">
        <v>1209</v>
      </c>
      <c r="E7" s="1422">
        <v>4657</v>
      </c>
      <c r="F7" s="1422">
        <v>4582</v>
      </c>
      <c r="G7" s="1422">
        <v>4260</v>
      </c>
      <c r="H7" s="1422">
        <v>4440</v>
      </c>
      <c r="I7" s="1422">
        <v>4217</v>
      </c>
      <c r="J7" s="1422">
        <v>4186</v>
      </c>
      <c r="K7" s="1422">
        <v>3594</v>
      </c>
      <c r="L7" s="1422">
        <v>3492</v>
      </c>
      <c r="M7" s="1422">
        <v>3190</v>
      </c>
      <c r="N7" s="1422">
        <v>4334</v>
      </c>
      <c r="O7" s="1422">
        <v>2907</v>
      </c>
      <c r="P7" s="1422">
        <v>2239</v>
      </c>
      <c r="Q7" s="1422">
        <v>2567</v>
      </c>
    </row>
    <row r="8" spans="1:17">
      <c r="A8" s="1297">
        <v>603</v>
      </c>
      <c r="B8" s="1297" t="s">
        <v>1812</v>
      </c>
      <c r="C8" s="1422">
        <v>1960</v>
      </c>
      <c r="D8" s="1297">
        <v>100</v>
      </c>
      <c r="E8" s="1297">
        <v>167</v>
      </c>
      <c r="F8" s="1297">
        <v>158</v>
      </c>
      <c r="G8" s="1297">
        <v>146</v>
      </c>
      <c r="H8" s="1297">
        <v>137</v>
      </c>
      <c r="I8" s="1297">
        <v>155</v>
      </c>
      <c r="J8" s="1297">
        <v>163</v>
      </c>
      <c r="K8" s="1297">
        <v>145</v>
      </c>
      <c r="L8" s="1297">
        <v>146</v>
      </c>
      <c r="M8" s="1297">
        <v>159</v>
      </c>
      <c r="N8" s="1297">
        <v>123</v>
      </c>
      <c r="O8" s="1297">
        <v>142</v>
      </c>
      <c r="P8" s="1297">
        <v>111</v>
      </c>
      <c r="Q8" s="1297">
        <v>108</v>
      </c>
    </row>
    <row r="9" spans="1:17">
      <c r="A9" s="1297">
        <v>604</v>
      </c>
      <c r="B9" s="1297" t="s">
        <v>1813</v>
      </c>
      <c r="C9" s="1297">
        <v>349</v>
      </c>
      <c r="D9" s="1297">
        <v>22</v>
      </c>
      <c r="E9" s="1297">
        <v>26</v>
      </c>
      <c r="F9" s="1297">
        <v>25</v>
      </c>
      <c r="G9" s="1297">
        <v>33</v>
      </c>
      <c r="H9" s="1297">
        <v>24</v>
      </c>
      <c r="I9" s="1297">
        <v>36</v>
      </c>
      <c r="J9" s="1297">
        <v>24</v>
      </c>
      <c r="K9" s="1297">
        <v>23</v>
      </c>
      <c r="L9" s="1297">
        <v>31</v>
      </c>
      <c r="M9" s="1297">
        <v>23</v>
      </c>
      <c r="N9" s="1297">
        <v>25</v>
      </c>
      <c r="O9" s="1297">
        <v>18</v>
      </c>
      <c r="P9" s="1297">
        <v>20</v>
      </c>
      <c r="Q9" s="1297">
        <v>19</v>
      </c>
    </row>
    <row r="10" spans="1:17">
      <c r="A10" s="1297">
        <v>605</v>
      </c>
      <c r="B10" s="1297" t="s">
        <v>1814</v>
      </c>
      <c r="C10" s="1422">
        <v>5759</v>
      </c>
      <c r="D10" s="1297">
        <v>331</v>
      </c>
      <c r="E10" s="1297">
        <v>573</v>
      </c>
      <c r="F10" s="1297">
        <v>511</v>
      </c>
      <c r="G10" s="1297">
        <v>460</v>
      </c>
      <c r="H10" s="1297">
        <v>445</v>
      </c>
      <c r="I10" s="1297">
        <v>526</v>
      </c>
      <c r="J10" s="1297">
        <v>427</v>
      </c>
      <c r="K10" s="1297">
        <v>387</v>
      </c>
      <c r="L10" s="1297">
        <v>392</v>
      </c>
      <c r="M10" s="1297">
        <v>364</v>
      </c>
      <c r="N10" s="1297">
        <v>423</v>
      </c>
      <c r="O10" s="1297">
        <v>333</v>
      </c>
      <c r="P10" s="1297">
        <v>309</v>
      </c>
      <c r="Q10" s="1297">
        <v>278</v>
      </c>
    </row>
    <row r="11" spans="1:17">
      <c r="A11" s="1297">
        <v>606</v>
      </c>
      <c r="B11" s="1297" t="s">
        <v>1815</v>
      </c>
      <c r="C11" s="1422">
        <v>2886</v>
      </c>
      <c r="D11" s="1297">
        <v>24</v>
      </c>
      <c r="E11" s="1297">
        <v>234</v>
      </c>
      <c r="F11" s="1297">
        <v>199</v>
      </c>
      <c r="G11" s="1297">
        <v>211</v>
      </c>
      <c r="H11" s="1297">
        <v>237</v>
      </c>
      <c r="I11" s="1297">
        <v>228</v>
      </c>
      <c r="J11" s="1297">
        <v>239</v>
      </c>
      <c r="K11" s="1297">
        <v>273</v>
      </c>
      <c r="L11" s="1297">
        <v>194</v>
      </c>
      <c r="M11" s="1297">
        <v>244</v>
      </c>
      <c r="N11" s="1297">
        <v>229</v>
      </c>
      <c r="O11" s="1297">
        <v>202</v>
      </c>
      <c r="P11" s="1297">
        <v>175</v>
      </c>
      <c r="Q11" s="1297">
        <v>197</v>
      </c>
    </row>
    <row r="12" spans="1:17">
      <c r="A12" s="1297">
        <v>607</v>
      </c>
      <c r="B12" s="1297" t="s">
        <v>1816</v>
      </c>
      <c r="C12" s="1422">
        <v>12706</v>
      </c>
      <c r="D12" s="1297">
        <v>397</v>
      </c>
      <c r="E12" s="1422">
        <v>1142</v>
      </c>
      <c r="F12" s="1422">
        <v>1053</v>
      </c>
      <c r="G12" s="1297">
        <v>995</v>
      </c>
      <c r="H12" s="1297">
        <v>991</v>
      </c>
      <c r="I12" s="1422">
        <v>1023</v>
      </c>
      <c r="J12" s="1297">
        <v>958</v>
      </c>
      <c r="K12" s="1297">
        <v>946</v>
      </c>
      <c r="L12" s="1297">
        <v>954</v>
      </c>
      <c r="M12" s="1297">
        <v>911</v>
      </c>
      <c r="N12" s="1422">
        <v>1015</v>
      </c>
      <c r="O12" s="1297">
        <v>968</v>
      </c>
      <c r="P12" s="1297">
        <v>667</v>
      </c>
      <c r="Q12" s="1297">
        <v>686</v>
      </c>
    </row>
    <row r="13" spans="1:17">
      <c r="A13" s="1297">
        <v>608</v>
      </c>
      <c r="B13" s="1297" t="s">
        <v>1817</v>
      </c>
      <c r="C13" s="1422">
        <v>14269</v>
      </c>
      <c r="D13" s="1297">
        <v>443</v>
      </c>
      <c r="E13" s="1422">
        <v>1043</v>
      </c>
      <c r="F13" s="1422">
        <v>1079</v>
      </c>
      <c r="G13" s="1422">
        <v>1108</v>
      </c>
      <c r="H13" s="1422">
        <v>1077</v>
      </c>
      <c r="I13" s="1422">
        <v>1079</v>
      </c>
      <c r="J13" s="1422">
        <v>1132</v>
      </c>
      <c r="K13" s="1422">
        <v>1152</v>
      </c>
      <c r="L13" s="1422">
        <v>1109</v>
      </c>
      <c r="M13" s="1422">
        <v>1102</v>
      </c>
      <c r="N13" s="1422">
        <v>1258</v>
      </c>
      <c r="O13" s="1297">
        <v>917</v>
      </c>
      <c r="P13" s="1297">
        <v>892</v>
      </c>
      <c r="Q13" s="1297">
        <v>878</v>
      </c>
    </row>
    <row r="14" spans="1:17">
      <c r="A14" s="1297">
        <v>609</v>
      </c>
      <c r="B14" s="1297" t="s">
        <v>1818</v>
      </c>
      <c r="C14" s="1422">
        <v>3281</v>
      </c>
      <c r="D14" s="1297">
        <v>171</v>
      </c>
      <c r="E14" s="1297">
        <v>332</v>
      </c>
      <c r="F14" s="1297">
        <v>255</v>
      </c>
      <c r="G14" s="1297">
        <v>260</v>
      </c>
      <c r="H14" s="1297">
        <v>237</v>
      </c>
      <c r="I14" s="1297">
        <v>252</v>
      </c>
      <c r="J14" s="1297">
        <v>260</v>
      </c>
      <c r="K14" s="1297">
        <v>258</v>
      </c>
      <c r="L14" s="1297">
        <v>244</v>
      </c>
      <c r="M14" s="1297">
        <v>247</v>
      </c>
      <c r="N14" s="1297">
        <v>245</v>
      </c>
      <c r="O14" s="1297">
        <v>194</v>
      </c>
      <c r="P14" s="1297">
        <v>163</v>
      </c>
      <c r="Q14" s="1297">
        <v>163</v>
      </c>
    </row>
    <row r="15" spans="1:17">
      <c r="A15" s="1297">
        <v>610</v>
      </c>
      <c r="B15" s="1297" t="s">
        <v>720</v>
      </c>
      <c r="C15" s="1422">
        <v>3216</v>
      </c>
      <c r="D15" s="1297">
        <v>123</v>
      </c>
      <c r="E15" s="1297">
        <v>277</v>
      </c>
      <c r="F15" s="1297">
        <v>250</v>
      </c>
      <c r="G15" s="1297">
        <v>242</v>
      </c>
      <c r="H15" s="1297">
        <v>227</v>
      </c>
      <c r="I15" s="1297">
        <v>260</v>
      </c>
      <c r="J15" s="1297">
        <v>256</v>
      </c>
      <c r="K15" s="1297">
        <v>246</v>
      </c>
      <c r="L15" s="1297">
        <v>240</v>
      </c>
      <c r="M15" s="1297">
        <v>247</v>
      </c>
      <c r="N15" s="1297">
        <v>264</v>
      </c>
      <c r="O15" s="1297">
        <v>214</v>
      </c>
      <c r="P15" s="1297">
        <v>210</v>
      </c>
      <c r="Q15" s="1297">
        <v>160</v>
      </c>
    </row>
    <row r="16" spans="1:17">
      <c r="A16" s="1297">
        <v>611</v>
      </c>
      <c r="B16" s="1297" t="s">
        <v>1819</v>
      </c>
      <c r="C16" s="1422">
        <v>24435</v>
      </c>
      <c r="D16" s="1297">
        <v>779</v>
      </c>
      <c r="E16" s="1422">
        <v>2106</v>
      </c>
      <c r="F16" s="1422">
        <v>1969</v>
      </c>
      <c r="G16" s="1422">
        <v>1997</v>
      </c>
      <c r="H16" s="1422">
        <v>1985</v>
      </c>
      <c r="I16" s="1422">
        <v>2044</v>
      </c>
      <c r="J16" s="1422">
        <v>1932</v>
      </c>
      <c r="K16" s="1422">
        <v>1816</v>
      </c>
      <c r="L16" s="1422">
        <v>1804</v>
      </c>
      <c r="M16" s="1422">
        <v>1691</v>
      </c>
      <c r="N16" s="1422">
        <v>2335</v>
      </c>
      <c r="O16" s="1422">
        <v>1404</v>
      </c>
      <c r="P16" s="1422">
        <v>1354</v>
      </c>
      <c r="Q16" s="1422">
        <v>1219</v>
      </c>
    </row>
    <row r="17" spans="1:17">
      <c r="A17" s="1297">
        <v>612</v>
      </c>
      <c r="B17" s="1297" t="s">
        <v>1820</v>
      </c>
      <c r="C17" s="1422">
        <v>2485</v>
      </c>
      <c r="D17" s="1297">
        <v>153</v>
      </c>
      <c r="E17" s="1297">
        <v>198</v>
      </c>
      <c r="F17" s="1297">
        <v>168</v>
      </c>
      <c r="G17" s="1297">
        <v>168</v>
      </c>
      <c r="H17" s="1297">
        <v>192</v>
      </c>
      <c r="I17" s="1297">
        <v>171</v>
      </c>
      <c r="J17" s="1297">
        <v>178</v>
      </c>
      <c r="K17" s="1297">
        <v>179</v>
      </c>
      <c r="L17" s="1297">
        <v>193</v>
      </c>
      <c r="M17" s="1297">
        <v>172</v>
      </c>
      <c r="N17" s="1297">
        <v>200</v>
      </c>
      <c r="O17" s="1297">
        <v>189</v>
      </c>
      <c r="P17" s="1297">
        <v>159</v>
      </c>
      <c r="Q17" s="1297">
        <v>165</v>
      </c>
    </row>
    <row r="18" spans="1:17">
      <c r="A18" s="1297">
        <v>613</v>
      </c>
      <c r="B18" s="1297" t="s">
        <v>1821</v>
      </c>
      <c r="C18" s="1422">
        <v>3496</v>
      </c>
      <c r="D18" s="1297">
        <v>188</v>
      </c>
      <c r="E18" s="1297">
        <v>264</v>
      </c>
      <c r="F18" s="1297">
        <v>270</v>
      </c>
      <c r="G18" s="1297">
        <v>257</v>
      </c>
      <c r="H18" s="1297">
        <v>277</v>
      </c>
      <c r="I18" s="1297">
        <v>247</v>
      </c>
      <c r="J18" s="1297">
        <v>282</v>
      </c>
      <c r="K18" s="1297">
        <v>276</v>
      </c>
      <c r="L18" s="1297">
        <v>273</v>
      </c>
      <c r="M18" s="1297">
        <v>284</v>
      </c>
      <c r="N18" s="1297">
        <v>255</v>
      </c>
      <c r="O18" s="1297">
        <v>227</v>
      </c>
      <c r="P18" s="1297">
        <v>192</v>
      </c>
      <c r="Q18" s="1297">
        <v>204</v>
      </c>
    </row>
    <row r="19" spans="1:17">
      <c r="A19" s="1297">
        <v>763</v>
      </c>
      <c r="B19" s="1297" t="s">
        <v>1822</v>
      </c>
      <c r="C19" s="1422">
        <v>2057</v>
      </c>
      <c r="D19" s="1297">
        <v>100</v>
      </c>
      <c r="E19" s="1297">
        <v>170</v>
      </c>
      <c r="F19" s="1297">
        <v>156</v>
      </c>
      <c r="G19" s="1297">
        <v>146</v>
      </c>
      <c r="H19" s="1297">
        <v>162</v>
      </c>
      <c r="I19" s="1297">
        <v>172</v>
      </c>
      <c r="J19" s="1297">
        <v>151</v>
      </c>
      <c r="K19" s="1297">
        <v>151</v>
      </c>
      <c r="L19" s="1297">
        <v>149</v>
      </c>
      <c r="M19" s="1297">
        <v>153</v>
      </c>
      <c r="N19" s="1297">
        <v>153</v>
      </c>
      <c r="O19" s="1297">
        <v>142</v>
      </c>
      <c r="P19" s="1297">
        <v>122</v>
      </c>
      <c r="Q19" s="1297">
        <v>130</v>
      </c>
    </row>
    <row r="20" spans="1:17">
      <c r="A20" s="1297">
        <v>614</v>
      </c>
      <c r="B20" s="1297" t="s">
        <v>1823</v>
      </c>
      <c r="C20" s="1422">
        <v>2313</v>
      </c>
      <c r="D20" s="1297">
        <v>109</v>
      </c>
      <c r="E20" s="1297">
        <v>190</v>
      </c>
      <c r="F20" s="1297">
        <v>181</v>
      </c>
      <c r="G20" s="1297">
        <v>172</v>
      </c>
      <c r="H20" s="1297">
        <v>173</v>
      </c>
      <c r="I20" s="1297">
        <v>172</v>
      </c>
      <c r="J20" s="1297">
        <v>181</v>
      </c>
      <c r="K20" s="1297">
        <v>174</v>
      </c>
      <c r="L20" s="1297">
        <v>171</v>
      </c>
      <c r="M20" s="1297">
        <v>170</v>
      </c>
      <c r="N20" s="1297">
        <v>209</v>
      </c>
      <c r="O20" s="1297">
        <v>143</v>
      </c>
      <c r="P20" s="1297">
        <v>132</v>
      </c>
      <c r="Q20" s="1297">
        <v>136</v>
      </c>
    </row>
    <row r="21" spans="1:17">
      <c r="A21" s="1297">
        <v>615</v>
      </c>
      <c r="B21" s="1297" t="s">
        <v>1824</v>
      </c>
      <c r="C21" s="1422">
        <v>7621</v>
      </c>
      <c r="D21" s="1297">
        <v>267</v>
      </c>
      <c r="E21" s="1297">
        <v>580</v>
      </c>
      <c r="F21" s="1297">
        <v>544</v>
      </c>
      <c r="G21" s="1297">
        <v>590</v>
      </c>
      <c r="H21" s="1297">
        <v>584</v>
      </c>
      <c r="I21" s="1297">
        <v>586</v>
      </c>
      <c r="J21" s="1297">
        <v>607</v>
      </c>
      <c r="K21" s="1297">
        <v>607</v>
      </c>
      <c r="L21" s="1297">
        <v>585</v>
      </c>
      <c r="M21" s="1297">
        <v>566</v>
      </c>
      <c r="N21" s="1297">
        <v>559</v>
      </c>
      <c r="O21" s="1297">
        <v>534</v>
      </c>
      <c r="P21" s="1297">
        <v>493</v>
      </c>
      <c r="Q21" s="1297">
        <v>519</v>
      </c>
    </row>
    <row r="22" spans="1:17">
      <c r="A22" s="1297">
        <v>764</v>
      </c>
      <c r="B22" s="1297" t="s">
        <v>1825</v>
      </c>
      <c r="C22" s="1422">
        <v>3183</v>
      </c>
      <c r="D22" s="1297">
        <v>12</v>
      </c>
      <c r="E22" s="1297">
        <v>279</v>
      </c>
      <c r="F22" s="1297">
        <v>241</v>
      </c>
      <c r="G22" s="1297">
        <v>271</v>
      </c>
      <c r="H22" s="1297">
        <v>257</v>
      </c>
      <c r="I22" s="1297">
        <v>286</v>
      </c>
      <c r="J22" s="1297">
        <v>228</v>
      </c>
      <c r="K22" s="1297">
        <v>255</v>
      </c>
      <c r="L22" s="1297">
        <v>248</v>
      </c>
      <c r="M22" s="1297">
        <v>236</v>
      </c>
      <c r="N22" s="1297">
        <v>290</v>
      </c>
      <c r="O22" s="1297">
        <v>221</v>
      </c>
      <c r="P22" s="1297">
        <v>194</v>
      </c>
      <c r="Q22" s="1297">
        <v>165</v>
      </c>
    </row>
    <row r="23" spans="1:17">
      <c r="A23" s="1297">
        <v>616</v>
      </c>
      <c r="B23" s="1297" t="s">
        <v>866</v>
      </c>
      <c r="C23" s="1422">
        <v>9476</v>
      </c>
      <c r="D23" s="1297">
        <v>445</v>
      </c>
      <c r="E23" s="1297">
        <v>843</v>
      </c>
      <c r="F23" s="1297">
        <v>816</v>
      </c>
      <c r="G23" s="1297">
        <v>751</v>
      </c>
      <c r="H23" s="1297">
        <v>724</v>
      </c>
      <c r="I23" s="1297">
        <v>748</v>
      </c>
      <c r="J23" s="1297">
        <v>692</v>
      </c>
      <c r="K23" s="1297">
        <v>715</v>
      </c>
      <c r="L23" s="1297">
        <v>700</v>
      </c>
      <c r="M23" s="1297">
        <v>651</v>
      </c>
      <c r="N23" s="1297">
        <v>770</v>
      </c>
      <c r="O23" s="1297">
        <v>551</v>
      </c>
      <c r="P23" s="1297">
        <v>551</v>
      </c>
      <c r="Q23" s="1297">
        <v>519</v>
      </c>
    </row>
    <row r="24" spans="1:17">
      <c r="A24" s="1297">
        <v>617</v>
      </c>
      <c r="B24" s="1297" t="s">
        <v>1826</v>
      </c>
      <c r="C24" s="1422">
        <v>4627</v>
      </c>
      <c r="D24" s="1297">
        <v>310</v>
      </c>
      <c r="E24" s="1297">
        <v>370</v>
      </c>
      <c r="F24" s="1297">
        <v>341</v>
      </c>
      <c r="G24" s="1297">
        <v>363</v>
      </c>
      <c r="H24" s="1297">
        <v>326</v>
      </c>
      <c r="I24" s="1297">
        <v>372</v>
      </c>
      <c r="J24" s="1297">
        <v>320</v>
      </c>
      <c r="K24" s="1297">
        <v>325</v>
      </c>
      <c r="L24" s="1297">
        <v>306</v>
      </c>
      <c r="M24" s="1297">
        <v>343</v>
      </c>
      <c r="N24" s="1297">
        <v>361</v>
      </c>
      <c r="O24" s="1297">
        <v>349</v>
      </c>
      <c r="P24" s="1297">
        <v>223</v>
      </c>
      <c r="Q24" s="1297">
        <v>318</v>
      </c>
    </row>
    <row r="25" spans="1:17">
      <c r="A25" s="1297">
        <v>618</v>
      </c>
      <c r="B25" s="1297" t="s">
        <v>1827</v>
      </c>
      <c r="C25" s="1422">
        <v>3559</v>
      </c>
      <c r="D25" s="1297">
        <v>51</v>
      </c>
      <c r="E25" s="1297">
        <v>284</v>
      </c>
      <c r="F25" s="1297">
        <v>307</v>
      </c>
      <c r="G25" s="1297">
        <v>291</v>
      </c>
      <c r="H25" s="1297">
        <v>270</v>
      </c>
      <c r="I25" s="1297">
        <v>267</v>
      </c>
      <c r="J25" s="1297">
        <v>253</v>
      </c>
      <c r="K25" s="1297">
        <v>305</v>
      </c>
      <c r="L25" s="1297">
        <v>277</v>
      </c>
      <c r="M25" s="1297">
        <v>281</v>
      </c>
      <c r="N25" s="1297">
        <v>272</v>
      </c>
      <c r="O25" s="1297">
        <v>246</v>
      </c>
      <c r="P25" s="1297">
        <v>203</v>
      </c>
      <c r="Q25" s="1297">
        <v>252</v>
      </c>
    </row>
    <row r="26" spans="1:17">
      <c r="A26" s="1297">
        <v>765</v>
      </c>
      <c r="B26" s="1297" t="s">
        <v>1828</v>
      </c>
      <c r="C26" s="1422">
        <v>3536</v>
      </c>
      <c r="D26" s="1297">
        <v>196</v>
      </c>
      <c r="E26" s="1297">
        <v>338</v>
      </c>
      <c r="F26" s="1297">
        <v>316</v>
      </c>
      <c r="G26" s="1297">
        <v>279</v>
      </c>
      <c r="H26" s="1297">
        <v>265</v>
      </c>
      <c r="I26" s="1297">
        <v>239</v>
      </c>
      <c r="J26" s="1297">
        <v>269</v>
      </c>
      <c r="K26" s="1297">
        <v>271</v>
      </c>
      <c r="L26" s="1297">
        <v>263</v>
      </c>
      <c r="M26" s="1297">
        <v>255</v>
      </c>
      <c r="N26" s="1297">
        <v>214</v>
      </c>
      <c r="O26" s="1297">
        <v>217</v>
      </c>
      <c r="P26" s="1297">
        <v>211</v>
      </c>
      <c r="Q26" s="1297">
        <v>203</v>
      </c>
    </row>
    <row r="27" spans="1:17">
      <c r="A27" s="1297">
        <v>619</v>
      </c>
      <c r="B27" s="1297" t="s">
        <v>1661</v>
      </c>
      <c r="C27" s="1297">
        <v>628</v>
      </c>
      <c r="D27" s="1297">
        <v>20</v>
      </c>
      <c r="E27" s="1297">
        <v>61</v>
      </c>
      <c r="F27" s="1297">
        <v>49</v>
      </c>
      <c r="G27" s="1297">
        <v>50</v>
      </c>
      <c r="H27" s="1297">
        <v>53</v>
      </c>
      <c r="I27" s="1297">
        <v>46</v>
      </c>
      <c r="J27" s="1297">
        <v>44</v>
      </c>
      <c r="K27" s="1297">
        <v>52</v>
      </c>
      <c r="L27" s="1297">
        <v>53</v>
      </c>
      <c r="M27" s="1297">
        <v>48</v>
      </c>
      <c r="N27" s="1297">
        <v>42</v>
      </c>
      <c r="O27" s="1297">
        <v>45</v>
      </c>
      <c r="P27" s="1297">
        <v>34</v>
      </c>
      <c r="Q27" s="1297">
        <v>31</v>
      </c>
    </row>
    <row r="28" spans="1:17">
      <c r="A28" s="1297">
        <v>620</v>
      </c>
      <c r="B28" s="1297" t="s">
        <v>1662</v>
      </c>
      <c r="C28" s="1422">
        <v>9368</v>
      </c>
      <c r="D28" s="1297">
        <v>269</v>
      </c>
      <c r="E28" s="1297">
        <v>734</v>
      </c>
      <c r="F28" s="1297">
        <v>745</v>
      </c>
      <c r="G28" s="1297">
        <v>705</v>
      </c>
      <c r="H28" s="1297">
        <v>685</v>
      </c>
      <c r="I28" s="1297">
        <v>719</v>
      </c>
      <c r="J28" s="1297">
        <v>701</v>
      </c>
      <c r="K28" s="1297">
        <v>616</v>
      </c>
      <c r="L28" s="1297">
        <v>711</v>
      </c>
      <c r="M28" s="1297">
        <v>679</v>
      </c>
      <c r="N28" s="1297">
        <v>747</v>
      </c>
      <c r="O28" s="1297">
        <v>720</v>
      </c>
      <c r="P28" s="1297">
        <v>692</v>
      </c>
      <c r="Q28" s="1297">
        <v>645</v>
      </c>
    </row>
    <row r="29" spans="1:17">
      <c r="A29" s="1297">
        <v>621</v>
      </c>
      <c r="B29" s="1297" t="s">
        <v>1663</v>
      </c>
      <c r="C29" s="1422">
        <v>2061</v>
      </c>
      <c r="D29" s="1297">
        <v>145</v>
      </c>
      <c r="E29" s="1297">
        <v>190</v>
      </c>
      <c r="F29" s="1297">
        <v>167</v>
      </c>
      <c r="G29" s="1297">
        <v>174</v>
      </c>
      <c r="H29" s="1297">
        <v>154</v>
      </c>
      <c r="I29" s="1297">
        <v>150</v>
      </c>
      <c r="J29" s="1297">
        <v>140</v>
      </c>
      <c r="K29" s="1297">
        <v>145</v>
      </c>
      <c r="L29" s="1297">
        <v>156</v>
      </c>
      <c r="M29" s="1297">
        <v>138</v>
      </c>
      <c r="N29" s="1297">
        <v>144</v>
      </c>
      <c r="O29" s="1297">
        <v>135</v>
      </c>
      <c r="P29" s="1297">
        <v>109</v>
      </c>
      <c r="Q29" s="1297">
        <v>114</v>
      </c>
    </row>
    <row r="30" spans="1:17">
      <c r="A30" s="1297">
        <v>622</v>
      </c>
      <c r="B30" s="1297" t="s">
        <v>917</v>
      </c>
      <c r="C30" s="1422">
        <v>14490</v>
      </c>
      <c r="D30" s="1297">
        <v>568</v>
      </c>
      <c r="E30" s="1422">
        <v>1070</v>
      </c>
      <c r="F30" s="1422">
        <v>1045</v>
      </c>
      <c r="G30" s="1422">
        <v>1107</v>
      </c>
      <c r="H30" s="1422">
        <v>1094</v>
      </c>
      <c r="I30" s="1422">
        <v>1170</v>
      </c>
      <c r="J30" s="1422">
        <v>1089</v>
      </c>
      <c r="K30" s="1422">
        <v>1096</v>
      </c>
      <c r="L30" s="1422">
        <v>1081</v>
      </c>
      <c r="M30" s="1422">
        <v>1106</v>
      </c>
      <c r="N30" s="1422">
        <v>1226</v>
      </c>
      <c r="O30" s="1422">
        <v>1063</v>
      </c>
      <c r="P30" s="1297">
        <v>912</v>
      </c>
      <c r="Q30" s="1297">
        <v>863</v>
      </c>
    </row>
    <row r="31" spans="1:17">
      <c r="A31" s="1297">
        <v>766</v>
      </c>
      <c r="B31" s="1297" t="s">
        <v>1664</v>
      </c>
      <c r="C31" s="1422">
        <v>4601</v>
      </c>
      <c r="D31" s="1297">
        <v>200</v>
      </c>
      <c r="E31" s="1297">
        <v>390</v>
      </c>
      <c r="F31" s="1297">
        <v>360</v>
      </c>
      <c r="G31" s="1297">
        <v>387</v>
      </c>
      <c r="H31" s="1297">
        <v>358</v>
      </c>
      <c r="I31" s="1297">
        <v>343</v>
      </c>
      <c r="J31" s="1297">
        <v>349</v>
      </c>
      <c r="K31" s="1297">
        <v>318</v>
      </c>
      <c r="L31" s="1297">
        <v>342</v>
      </c>
      <c r="M31" s="1297">
        <v>320</v>
      </c>
      <c r="N31" s="1297">
        <v>320</v>
      </c>
      <c r="O31" s="1297">
        <v>332</v>
      </c>
      <c r="P31" s="1297">
        <v>299</v>
      </c>
      <c r="Q31" s="1297">
        <v>283</v>
      </c>
    </row>
    <row r="32" spans="1:17">
      <c r="A32" s="1297">
        <v>767</v>
      </c>
      <c r="B32" s="1297" t="s">
        <v>1665</v>
      </c>
      <c r="C32" s="1422">
        <v>4078</v>
      </c>
      <c r="D32" s="1297">
        <v>142</v>
      </c>
      <c r="E32" s="1297">
        <v>300</v>
      </c>
      <c r="F32" s="1297">
        <v>350</v>
      </c>
      <c r="G32" s="1297">
        <v>349</v>
      </c>
      <c r="H32" s="1297">
        <v>347</v>
      </c>
      <c r="I32" s="1297">
        <v>293</v>
      </c>
      <c r="J32" s="1297">
        <v>329</v>
      </c>
      <c r="K32" s="1297">
        <v>309</v>
      </c>
      <c r="L32" s="1297">
        <v>293</v>
      </c>
      <c r="M32" s="1297">
        <v>280</v>
      </c>
      <c r="N32" s="1297">
        <v>329</v>
      </c>
      <c r="O32" s="1297">
        <v>275</v>
      </c>
      <c r="P32" s="1297">
        <v>254</v>
      </c>
      <c r="Q32" s="1297">
        <v>228</v>
      </c>
    </row>
    <row r="33" spans="1:17">
      <c r="A33" s="1297">
        <v>623</v>
      </c>
      <c r="B33" s="1297" t="s">
        <v>1666</v>
      </c>
      <c r="C33" s="1422">
        <v>10939</v>
      </c>
      <c r="D33" s="1297">
        <v>267</v>
      </c>
      <c r="E33" s="1297">
        <v>833</v>
      </c>
      <c r="F33" s="1297">
        <v>840</v>
      </c>
      <c r="G33" s="1297">
        <v>788</v>
      </c>
      <c r="H33" s="1297">
        <v>824</v>
      </c>
      <c r="I33" s="1297">
        <v>813</v>
      </c>
      <c r="J33" s="1297">
        <v>868</v>
      </c>
      <c r="K33" s="1297">
        <v>831</v>
      </c>
      <c r="L33" s="1297">
        <v>837</v>
      </c>
      <c r="M33" s="1297">
        <v>847</v>
      </c>
      <c r="N33" s="1297">
        <v>880</v>
      </c>
      <c r="O33" s="1297">
        <v>841</v>
      </c>
      <c r="P33" s="1297">
        <v>834</v>
      </c>
      <c r="Q33" s="1297">
        <v>636</v>
      </c>
    </row>
    <row r="34" spans="1:17">
      <c r="A34" s="1297">
        <v>624</v>
      </c>
      <c r="B34" s="1297" t="s">
        <v>1667</v>
      </c>
      <c r="C34" s="1422">
        <v>1722</v>
      </c>
      <c r="D34" s="1297">
        <v>87</v>
      </c>
      <c r="E34" s="1297">
        <v>130</v>
      </c>
      <c r="F34" s="1297">
        <v>141</v>
      </c>
      <c r="G34" s="1297">
        <v>116</v>
      </c>
      <c r="H34" s="1297">
        <v>113</v>
      </c>
      <c r="I34" s="1297">
        <v>132</v>
      </c>
      <c r="J34" s="1297">
        <v>161</v>
      </c>
      <c r="K34" s="1297">
        <v>125</v>
      </c>
      <c r="L34" s="1297">
        <v>146</v>
      </c>
      <c r="M34" s="1297">
        <v>116</v>
      </c>
      <c r="N34" s="1297">
        <v>116</v>
      </c>
      <c r="O34" s="1297">
        <v>112</v>
      </c>
      <c r="P34" s="1297">
        <v>97</v>
      </c>
      <c r="Q34" s="1297">
        <v>130</v>
      </c>
    </row>
    <row r="35" spans="1:17">
      <c r="A35" s="1297">
        <v>625</v>
      </c>
      <c r="B35" s="1297" t="s">
        <v>869</v>
      </c>
      <c r="C35" s="1422">
        <v>35027</v>
      </c>
      <c r="D35" s="1422">
        <v>1484</v>
      </c>
      <c r="E35" s="1422">
        <v>3245</v>
      </c>
      <c r="F35" s="1422">
        <v>3037</v>
      </c>
      <c r="G35" s="1422">
        <v>2935</v>
      </c>
      <c r="H35" s="1422">
        <v>2863</v>
      </c>
      <c r="I35" s="1422">
        <v>2891</v>
      </c>
      <c r="J35" s="1422">
        <v>2819</v>
      </c>
      <c r="K35" s="1422">
        <v>2586</v>
      </c>
      <c r="L35" s="1422">
        <v>2494</v>
      </c>
      <c r="M35" s="1422">
        <v>2357</v>
      </c>
      <c r="N35" s="1422">
        <v>2871</v>
      </c>
      <c r="O35" s="1422">
        <v>1951</v>
      </c>
      <c r="P35" s="1422">
        <v>1767</v>
      </c>
      <c r="Q35" s="1422">
        <v>1727</v>
      </c>
    </row>
    <row r="36" spans="1:17">
      <c r="A36" s="1297">
        <v>626</v>
      </c>
      <c r="B36" s="1297" t="s">
        <v>1668</v>
      </c>
      <c r="C36" s="1297">
        <v>925</v>
      </c>
      <c r="D36" s="1297">
        <v>41</v>
      </c>
      <c r="E36" s="1297">
        <v>43</v>
      </c>
      <c r="F36" s="1297">
        <v>46</v>
      </c>
      <c r="G36" s="1297">
        <v>45</v>
      </c>
      <c r="H36" s="1297">
        <v>50</v>
      </c>
      <c r="I36" s="1297">
        <v>46</v>
      </c>
      <c r="J36" s="1297">
        <v>50</v>
      </c>
      <c r="K36" s="1297">
        <v>44</v>
      </c>
      <c r="L36" s="1297">
        <v>51</v>
      </c>
      <c r="M36" s="1297">
        <v>56</v>
      </c>
      <c r="N36" s="1297">
        <v>166</v>
      </c>
      <c r="O36" s="1297">
        <v>107</v>
      </c>
      <c r="P36" s="1297">
        <v>90</v>
      </c>
      <c r="Q36" s="1297">
        <v>90</v>
      </c>
    </row>
    <row r="37" spans="1:17">
      <c r="A37" s="1297">
        <v>627</v>
      </c>
      <c r="B37" s="1297" t="s">
        <v>1669</v>
      </c>
      <c r="C37" s="1422">
        <v>2705</v>
      </c>
      <c r="D37" s="1297">
        <v>99</v>
      </c>
      <c r="E37" s="1297">
        <v>190</v>
      </c>
      <c r="F37" s="1297">
        <v>198</v>
      </c>
      <c r="G37" s="1297">
        <v>194</v>
      </c>
      <c r="H37" s="1297">
        <v>214</v>
      </c>
      <c r="I37" s="1297">
        <v>203</v>
      </c>
      <c r="J37" s="1297">
        <v>222</v>
      </c>
      <c r="K37" s="1297">
        <v>221</v>
      </c>
      <c r="L37" s="1297">
        <v>213</v>
      </c>
      <c r="M37" s="1297">
        <v>214</v>
      </c>
      <c r="N37" s="1297">
        <v>251</v>
      </c>
      <c r="O37" s="1297">
        <v>161</v>
      </c>
      <c r="P37" s="1297">
        <v>195</v>
      </c>
      <c r="Q37" s="1297">
        <v>130</v>
      </c>
    </row>
    <row r="38" spans="1:17">
      <c r="A38" s="1297">
        <v>628</v>
      </c>
      <c r="B38" s="1297" t="s">
        <v>1670</v>
      </c>
      <c r="C38" s="1422">
        <v>38567</v>
      </c>
      <c r="D38" s="1297">
        <v>553</v>
      </c>
      <c r="E38" s="1422">
        <v>3151</v>
      </c>
      <c r="F38" s="1422">
        <v>3204</v>
      </c>
      <c r="G38" s="1422">
        <v>3091</v>
      </c>
      <c r="H38" s="1422">
        <v>3114</v>
      </c>
      <c r="I38" s="1422">
        <v>3119</v>
      </c>
      <c r="J38" s="1422">
        <v>3192</v>
      </c>
      <c r="K38" s="1422">
        <v>3030</v>
      </c>
      <c r="L38" s="1422">
        <v>2893</v>
      </c>
      <c r="M38" s="1422">
        <v>2841</v>
      </c>
      <c r="N38" s="1422">
        <v>3291</v>
      </c>
      <c r="O38" s="1422">
        <v>2765</v>
      </c>
      <c r="P38" s="1422">
        <v>2142</v>
      </c>
      <c r="Q38" s="1422">
        <v>2181</v>
      </c>
    </row>
    <row r="39" spans="1:17">
      <c r="A39" s="1297">
        <v>769</v>
      </c>
      <c r="B39" s="1297" t="s">
        <v>1671</v>
      </c>
      <c r="C39" s="1422">
        <v>1378</v>
      </c>
      <c r="D39" s="1297">
        <v>4</v>
      </c>
      <c r="E39" s="1297">
        <v>99</v>
      </c>
      <c r="F39" s="1297">
        <v>80</v>
      </c>
      <c r="G39" s="1297">
        <v>102</v>
      </c>
      <c r="H39" s="1297">
        <v>87</v>
      </c>
      <c r="I39" s="1297">
        <v>92</v>
      </c>
      <c r="J39" s="1297">
        <v>101</v>
      </c>
      <c r="K39" s="1297">
        <v>126</v>
      </c>
      <c r="L39" s="1297">
        <v>120</v>
      </c>
      <c r="M39" s="1297">
        <v>115</v>
      </c>
      <c r="N39" s="1297">
        <v>112</v>
      </c>
      <c r="O39" s="1297">
        <v>114</v>
      </c>
      <c r="P39" s="1297">
        <v>112</v>
      </c>
      <c r="Q39" s="1297">
        <v>114</v>
      </c>
    </row>
    <row r="40" spans="1:17">
      <c r="A40" s="1297">
        <v>629</v>
      </c>
      <c r="B40" s="1297" t="s">
        <v>815</v>
      </c>
      <c r="C40" s="1422">
        <v>12322</v>
      </c>
      <c r="D40" s="1297">
        <v>748</v>
      </c>
      <c r="E40" s="1422">
        <v>1092</v>
      </c>
      <c r="F40" s="1422">
        <v>1063</v>
      </c>
      <c r="G40" s="1422">
        <v>1019</v>
      </c>
      <c r="H40" s="1297">
        <v>969</v>
      </c>
      <c r="I40" s="1297">
        <v>974</v>
      </c>
      <c r="J40" s="1297">
        <v>933</v>
      </c>
      <c r="K40" s="1297">
        <v>852</v>
      </c>
      <c r="L40" s="1297">
        <v>757</v>
      </c>
      <c r="M40" s="1297">
        <v>798</v>
      </c>
      <c r="N40" s="1297">
        <v>932</v>
      </c>
      <c r="O40" s="1297">
        <v>796</v>
      </c>
      <c r="P40" s="1297">
        <v>694</v>
      </c>
      <c r="Q40" s="1297">
        <v>695</v>
      </c>
    </row>
    <row r="41" spans="1:17">
      <c r="A41" s="1297">
        <v>630</v>
      </c>
      <c r="B41" s="1297" t="s">
        <v>1672</v>
      </c>
      <c r="C41" s="1297">
        <v>310</v>
      </c>
      <c r="D41" s="1297">
        <v>40</v>
      </c>
      <c r="E41" s="1297">
        <v>28</v>
      </c>
      <c r="F41" s="1297">
        <v>36</v>
      </c>
      <c r="G41" s="1297">
        <v>27</v>
      </c>
      <c r="H41" s="1297">
        <v>33</v>
      </c>
      <c r="I41" s="1297">
        <v>33</v>
      </c>
      <c r="J41" s="1297">
        <v>33</v>
      </c>
      <c r="K41" s="1297">
        <v>34</v>
      </c>
      <c r="L41" s="1297">
        <v>25</v>
      </c>
      <c r="M41" s="1297">
        <v>21</v>
      </c>
      <c r="N41" s="1297">
        <v>0</v>
      </c>
      <c r="O41" s="1297">
        <v>0</v>
      </c>
      <c r="P41" s="1297">
        <v>0</v>
      </c>
      <c r="Q41" s="1297">
        <v>0</v>
      </c>
    </row>
    <row r="42" spans="1:17">
      <c r="A42" s="1297">
        <v>631</v>
      </c>
      <c r="B42" s="1297" t="s">
        <v>775</v>
      </c>
      <c r="C42" s="1422">
        <v>50390</v>
      </c>
      <c r="D42" s="1297">
        <v>885</v>
      </c>
      <c r="E42" s="1422">
        <v>4108</v>
      </c>
      <c r="F42" s="1422">
        <v>3970</v>
      </c>
      <c r="G42" s="1422">
        <v>4126</v>
      </c>
      <c r="H42" s="1422">
        <v>3963</v>
      </c>
      <c r="I42" s="1422">
        <v>4182</v>
      </c>
      <c r="J42" s="1422">
        <v>4053</v>
      </c>
      <c r="K42" s="1422">
        <v>3999</v>
      </c>
      <c r="L42" s="1422">
        <v>3939</v>
      </c>
      <c r="M42" s="1422">
        <v>3879</v>
      </c>
      <c r="N42" s="1422">
        <v>4381</v>
      </c>
      <c r="O42" s="1422">
        <v>3386</v>
      </c>
      <c r="P42" s="1422">
        <v>2812</v>
      </c>
      <c r="Q42" s="1422">
        <v>2707</v>
      </c>
    </row>
    <row r="43" spans="1:17">
      <c r="A43" s="1297">
        <v>632</v>
      </c>
      <c r="B43" s="1297" t="s">
        <v>1673</v>
      </c>
      <c r="C43" s="1422">
        <v>1392</v>
      </c>
      <c r="D43" s="1297">
        <v>91</v>
      </c>
      <c r="E43" s="1297">
        <v>119</v>
      </c>
      <c r="F43" s="1297">
        <v>101</v>
      </c>
      <c r="G43" s="1297">
        <v>113</v>
      </c>
      <c r="H43" s="1297">
        <v>112</v>
      </c>
      <c r="I43" s="1297">
        <v>112</v>
      </c>
      <c r="J43" s="1297">
        <v>114</v>
      </c>
      <c r="K43" s="1297">
        <v>94</v>
      </c>
      <c r="L43" s="1297">
        <v>97</v>
      </c>
      <c r="M43" s="1297">
        <v>100</v>
      </c>
      <c r="N43" s="1297">
        <v>92</v>
      </c>
      <c r="O43" s="1297">
        <v>103</v>
      </c>
      <c r="P43" s="1297">
        <v>74</v>
      </c>
      <c r="Q43" s="1297">
        <v>70</v>
      </c>
    </row>
    <row r="44" spans="1:17">
      <c r="A44" s="1297">
        <v>633</v>
      </c>
      <c r="B44" s="1297" t="s">
        <v>748</v>
      </c>
      <c r="C44" s="1422">
        <v>106719</v>
      </c>
      <c r="D44" s="1297">
        <v>939</v>
      </c>
      <c r="E44" s="1422">
        <v>8220</v>
      </c>
      <c r="F44" s="1422">
        <v>8298</v>
      </c>
      <c r="G44" s="1422">
        <v>8047</v>
      </c>
      <c r="H44" s="1422">
        <v>8368</v>
      </c>
      <c r="I44" s="1422">
        <v>8182</v>
      </c>
      <c r="J44" s="1422">
        <v>8362</v>
      </c>
      <c r="K44" s="1422">
        <v>8066</v>
      </c>
      <c r="L44" s="1422">
        <v>8176</v>
      </c>
      <c r="M44" s="1422">
        <v>7855</v>
      </c>
      <c r="N44" s="1422">
        <v>9949</v>
      </c>
      <c r="O44" s="1422">
        <v>8197</v>
      </c>
      <c r="P44" s="1422">
        <v>6645</v>
      </c>
      <c r="Q44" s="1422">
        <v>7415</v>
      </c>
    </row>
    <row r="45" spans="1:17">
      <c r="A45" s="1297">
        <v>634</v>
      </c>
      <c r="B45" s="1297" t="s">
        <v>1674</v>
      </c>
      <c r="C45" s="1422">
        <v>7748</v>
      </c>
      <c r="D45" s="1297">
        <v>416</v>
      </c>
      <c r="E45" s="1297">
        <v>621</v>
      </c>
      <c r="F45" s="1297">
        <v>617</v>
      </c>
      <c r="G45" s="1297">
        <v>576</v>
      </c>
      <c r="H45" s="1297">
        <v>608</v>
      </c>
      <c r="I45" s="1297">
        <v>586</v>
      </c>
      <c r="J45" s="1297">
        <v>640</v>
      </c>
      <c r="K45" s="1297">
        <v>553</v>
      </c>
      <c r="L45" s="1297">
        <v>589</v>
      </c>
      <c r="M45" s="1297">
        <v>559</v>
      </c>
      <c r="N45" s="1297">
        <v>588</v>
      </c>
      <c r="O45" s="1297">
        <v>598</v>
      </c>
      <c r="P45" s="1297">
        <v>401</v>
      </c>
      <c r="Q45" s="1297">
        <v>396</v>
      </c>
    </row>
    <row r="46" spans="1:17">
      <c r="A46" s="1297">
        <v>635</v>
      </c>
      <c r="B46" s="1297" t="s">
        <v>1675</v>
      </c>
      <c r="C46" s="1422">
        <v>9219</v>
      </c>
      <c r="D46" s="1297">
        <v>624</v>
      </c>
      <c r="E46" s="1297">
        <v>800</v>
      </c>
      <c r="F46" s="1297">
        <v>721</v>
      </c>
      <c r="G46" s="1297">
        <v>710</v>
      </c>
      <c r="H46" s="1297">
        <v>662</v>
      </c>
      <c r="I46" s="1297">
        <v>732</v>
      </c>
      <c r="J46" s="1297">
        <v>695</v>
      </c>
      <c r="K46" s="1297">
        <v>672</v>
      </c>
      <c r="L46" s="1297">
        <v>658</v>
      </c>
      <c r="M46" s="1297">
        <v>655</v>
      </c>
      <c r="N46" s="1297">
        <v>606</v>
      </c>
      <c r="O46" s="1297">
        <v>576</v>
      </c>
      <c r="P46" s="1297">
        <v>544</v>
      </c>
      <c r="Q46" s="1297">
        <v>564</v>
      </c>
    </row>
    <row r="47" spans="1:17">
      <c r="A47" s="1297">
        <v>636</v>
      </c>
      <c r="B47" s="1297" t="s">
        <v>1676</v>
      </c>
      <c r="C47" s="1422">
        <v>23631</v>
      </c>
      <c r="D47" s="1297">
        <v>537</v>
      </c>
      <c r="E47" s="1422">
        <v>1675</v>
      </c>
      <c r="F47" s="1422">
        <v>1707</v>
      </c>
      <c r="G47" s="1422">
        <v>1754</v>
      </c>
      <c r="H47" s="1422">
        <v>1789</v>
      </c>
      <c r="I47" s="1422">
        <v>1877</v>
      </c>
      <c r="J47" s="1422">
        <v>1759</v>
      </c>
      <c r="K47" s="1422">
        <v>1874</v>
      </c>
      <c r="L47" s="1422">
        <v>1870</v>
      </c>
      <c r="M47" s="1422">
        <v>1847</v>
      </c>
      <c r="N47" s="1422">
        <v>2139</v>
      </c>
      <c r="O47" s="1422">
        <v>1774</v>
      </c>
      <c r="P47" s="1422">
        <v>1458</v>
      </c>
      <c r="Q47" s="1422">
        <v>1571</v>
      </c>
    </row>
    <row r="48" spans="1:17">
      <c r="A48" s="1297">
        <v>771</v>
      </c>
      <c r="B48" s="1297" t="s">
        <v>1677</v>
      </c>
      <c r="C48" s="1422">
        <v>1455</v>
      </c>
      <c r="D48" s="1297">
        <v>48</v>
      </c>
      <c r="E48" s="1297">
        <v>130</v>
      </c>
      <c r="F48" s="1297">
        <v>116</v>
      </c>
      <c r="G48" s="1297">
        <v>124</v>
      </c>
      <c r="H48" s="1297">
        <v>90</v>
      </c>
      <c r="I48" s="1297">
        <v>126</v>
      </c>
      <c r="J48" s="1297">
        <v>104</v>
      </c>
      <c r="K48" s="1297">
        <v>119</v>
      </c>
      <c r="L48" s="1297">
        <v>107</v>
      </c>
      <c r="M48" s="1297">
        <v>93</v>
      </c>
      <c r="N48" s="1297">
        <v>101</v>
      </c>
      <c r="O48" s="1297">
        <v>105</v>
      </c>
      <c r="P48" s="1297">
        <v>97</v>
      </c>
      <c r="Q48" s="1297">
        <v>95</v>
      </c>
    </row>
    <row r="49" spans="1:17">
      <c r="A49" s="1297">
        <v>7830410</v>
      </c>
      <c r="B49" s="1297" t="s">
        <v>1678</v>
      </c>
      <c r="C49" s="1297">
        <v>364</v>
      </c>
      <c r="D49" s="1297">
        <v>0</v>
      </c>
      <c r="E49" s="1297">
        <v>78</v>
      </c>
      <c r="F49" s="1297">
        <v>59</v>
      </c>
      <c r="G49" s="1297">
        <v>64</v>
      </c>
      <c r="H49" s="1297">
        <v>62</v>
      </c>
      <c r="I49" s="1297">
        <v>52</v>
      </c>
      <c r="J49" s="1297">
        <v>49</v>
      </c>
      <c r="K49" s="1297">
        <v>0</v>
      </c>
      <c r="L49" s="1297">
        <v>0</v>
      </c>
      <c r="M49" s="1297">
        <v>0</v>
      </c>
      <c r="N49" s="1297">
        <v>0</v>
      </c>
      <c r="O49" s="1297">
        <v>0</v>
      </c>
      <c r="P49" s="1297">
        <v>0</v>
      </c>
      <c r="Q49" s="1297">
        <v>0</v>
      </c>
    </row>
    <row r="50" spans="1:17">
      <c r="A50" s="1297">
        <v>7830103</v>
      </c>
      <c r="B50" s="1297" t="s">
        <v>1679</v>
      </c>
      <c r="C50" s="1297">
        <v>132</v>
      </c>
      <c r="D50" s="1297">
        <v>0</v>
      </c>
      <c r="E50" s="1297">
        <v>0</v>
      </c>
      <c r="F50" s="1297">
        <v>0</v>
      </c>
      <c r="G50" s="1297">
        <v>0</v>
      </c>
      <c r="H50" s="1297">
        <v>0</v>
      </c>
      <c r="I50" s="1297">
        <v>0</v>
      </c>
      <c r="J50" s="1297">
        <v>0</v>
      </c>
      <c r="K50" s="1297">
        <v>19</v>
      </c>
      <c r="L50" s="1297">
        <v>17</v>
      </c>
      <c r="M50" s="1297">
        <v>18</v>
      </c>
      <c r="N50" s="1297">
        <v>19</v>
      </c>
      <c r="O50" s="1297">
        <v>18</v>
      </c>
      <c r="P50" s="1297">
        <v>17</v>
      </c>
      <c r="Q50" s="1297">
        <v>24</v>
      </c>
    </row>
    <row r="51" spans="1:17">
      <c r="A51" s="1297">
        <v>7830610</v>
      </c>
      <c r="B51" s="1297" t="s">
        <v>1680</v>
      </c>
      <c r="C51" s="1297">
        <v>171</v>
      </c>
      <c r="D51" s="1297">
        <v>0</v>
      </c>
      <c r="E51" s="1297">
        <v>57</v>
      </c>
      <c r="F51" s="1297">
        <v>66</v>
      </c>
      <c r="G51" s="1297">
        <v>37</v>
      </c>
      <c r="H51" s="1297">
        <v>11</v>
      </c>
      <c r="I51" s="1297">
        <v>0</v>
      </c>
      <c r="J51" s="1297">
        <v>0</v>
      </c>
      <c r="K51" s="1297">
        <v>0</v>
      </c>
      <c r="L51" s="1297">
        <v>0</v>
      </c>
      <c r="M51" s="1297">
        <v>0</v>
      </c>
      <c r="N51" s="1297">
        <v>0</v>
      </c>
      <c r="O51" s="1297">
        <v>0</v>
      </c>
      <c r="P51" s="1297">
        <v>0</v>
      </c>
      <c r="Q51" s="1297">
        <v>0</v>
      </c>
    </row>
    <row r="52" spans="1:17">
      <c r="A52" s="1297">
        <v>7830310</v>
      </c>
      <c r="B52" s="1297" t="s">
        <v>1681</v>
      </c>
      <c r="C52" s="1297">
        <v>98</v>
      </c>
      <c r="D52" s="1297">
        <v>0</v>
      </c>
      <c r="E52" s="1297">
        <v>0</v>
      </c>
      <c r="F52" s="1297">
        <v>0</v>
      </c>
      <c r="G52" s="1297">
        <v>0</v>
      </c>
      <c r="H52" s="1297">
        <v>0</v>
      </c>
      <c r="I52" s="1297">
        <v>0</v>
      </c>
      <c r="J52" s="1297">
        <v>0</v>
      </c>
      <c r="K52" s="1297">
        <v>98</v>
      </c>
      <c r="L52" s="1297">
        <v>0</v>
      </c>
      <c r="M52" s="1297">
        <v>0</v>
      </c>
      <c r="N52" s="1297">
        <v>0</v>
      </c>
      <c r="O52" s="1297">
        <v>0</v>
      </c>
      <c r="P52" s="1297">
        <v>0</v>
      </c>
      <c r="Q52" s="1297">
        <v>0</v>
      </c>
    </row>
    <row r="53" spans="1:17">
      <c r="A53" s="1297">
        <v>7830110</v>
      </c>
      <c r="B53" s="1297" t="s">
        <v>1682</v>
      </c>
      <c r="C53" s="1297">
        <v>432</v>
      </c>
      <c r="D53" s="1297">
        <v>0</v>
      </c>
      <c r="E53" s="1297">
        <v>0</v>
      </c>
      <c r="F53" s="1297">
        <v>0</v>
      </c>
      <c r="G53" s="1297">
        <v>0</v>
      </c>
      <c r="H53" s="1297">
        <v>0</v>
      </c>
      <c r="I53" s="1297">
        <v>0</v>
      </c>
      <c r="J53" s="1297">
        <v>0</v>
      </c>
      <c r="K53" s="1297">
        <v>147</v>
      </c>
      <c r="L53" s="1297">
        <v>153</v>
      </c>
      <c r="M53" s="1297">
        <v>132</v>
      </c>
      <c r="N53" s="1297">
        <v>0</v>
      </c>
      <c r="O53" s="1297">
        <v>0</v>
      </c>
      <c r="P53" s="1297">
        <v>0</v>
      </c>
      <c r="Q53" s="1297">
        <v>0</v>
      </c>
    </row>
    <row r="54" spans="1:17">
      <c r="A54" s="1297">
        <v>7830510</v>
      </c>
      <c r="B54" s="1297" t="s">
        <v>1683</v>
      </c>
      <c r="C54" s="1297">
        <v>133</v>
      </c>
      <c r="D54" s="1297">
        <v>0</v>
      </c>
      <c r="E54" s="1297">
        <v>55</v>
      </c>
      <c r="F54" s="1297">
        <v>40</v>
      </c>
      <c r="G54" s="1297">
        <v>18</v>
      </c>
      <c r="H54" s="1297">
        <v>20</v>
      </c>
      <c r="I54" s="1297">
        <v>0</v>
      </c>
      <c r="J54" s="1297">
        <v>0</v>
      </c>
      <c r="K54" s="1297">
        <v>0</v>
      </c>
      <c r="L54" s="1297">
        <v>0</v>
      </c>
      <c r="M54" s="1297">
        <v>0</v>
      </c>
      <c r="N54" s="1297">
        <v>0</v>
      </c>
      <c r="O54" s="1297">
        <v>0</v>
      </c>
      <c r="P54" s="1297">
        <v>0</v>
      </c>
      <c r="Q54" s="1297">
        <v>0</v>
      </c>
    </row>
    <row r="55" spans="1:17">
      <c r="A55" s="1297">
        <v>7830210</v>
      </c>
      <c r="B55" s="1297" t="s">
        <v>1684</v>
      </c>
      <c r="C55" s="1297">
        <v>230</v>
      </c>
      <c r="D55" s="1297">
        <v>0</v>
      </c>
      <c r="E55" s="1297">
        <v>40</v>
      </c>
      <c r="F55" s="1297">
        <v>32</v>
      </c>
      <c r="G55" s="1297">
        <v>30</v>
      </c>
      <c r="H55" s="1297">
        <v>44</v>
      </c>
      <c r="I55" s="1297">
        <v>38</v>
      </c>
      <c r="J55" s="1297">
        <v>26</v>
      </c>
      <c r="K55" s="1297">
        <v>20</v>
      </c>
      <c r="L55" s="1297">
        <v>0</v>
      </c>
      <c r="M55" s="1297">
        <v>0</v>
      </c>
      <c r="N55" s="1297">
        <v>0</v>
      </c>
      <c r="O55" s="1297">
        <v>0</v>
      </c>
      <c r="P55" s="1297">
        <v>0</v>
      </c>
      <c r="Q55" s="1297">
        <v>0</v>
      </c>
    </row>
    <row r="56" spans="1:17">
      <c r="A56" s="1297">
        <v>7830112</v>
      </c>
      <c r="B56" s="1297" t="s">
        <v>1685</v>
      </c>
      <c r="C56" s="1297">
        <v>530</v>
      </c>
      <c r="D56" s="1297">
        <v>0</v>
      </c>
      <c r="E56" s="1297">
        <v>133</v>
      </c>
      <c r="F56" s="1297">
        <v>99</v>
      </c>
      <c r="G56" s="1297">
        <v>84</v>
      </c>
      <c r="H56" s="1297">
        <v>79</v>
      </c>
      <c r="I56" s="1297">
        <v>78</v>
      </c>
      <c r="J56" s="1297">
        <v>57</v>
      </c>
      <c r="K56" s="1297">
        <v>0</v>
      </c>
      <c r="L56" s="1297">
        <v>0</v>
      </c>
      <c r="M56" s="1297">
        <v>0</v>
      </c>
      <c r="N56" s="1297">
        <v>0</v>
      </c>
      <c r="O56" s="1297">
        <v>0</v>
      </c>
      <c r="P56" s="1297">
        <v>0</v>
      </c>
      <c r="Q56" s="1297">
        <v>0</v>
      </c>
    </row>
    <row r="57" spans="1:17">
      <c r="A57" s="1297">
        <v>637</v>
      </c>
      <c r="B57" s="1297" t="s">
        <v>1686</v>
      </c>
      <c r="C57" s="1422">
        <v>3312</v>
      </c>
      <c r="D57" s="1297">
        <v>235</v>
      </c>
      <c r="E57" s="1297">
        <v>250</v>
      </c>
      <c r="F57" s="1297">
        <v>251</v>
      </c>
      <c r="G57" s="1297">
        <v>229</v>
      </c>
      <c r="H57" s="1297">
        <v>256</v>
      </c>
      <c r="I57" s="1297">
        <v>236</v>
      </c>
      <c r="J57" s="1297">
        <v>276</v>
      </c>
      <c r="K57" s="1297">
        <v>243</v>
      </c>
      <c r="L57" s="1297">
        <v>245</v>
      </c>
      <c r="M57" s="1297">
        <v>253</v>
      </c>
      <c r="N57" s="1297">
        <v>246</v>
      </c>
      <c r="O57" s="1297">
        <v>226</v>
      </c>
      <c r="P57" s="1297">
        <v>188</v>
      </c>
      <c r="Q57" s="1297">
        <v>178</v>
      </c>
    </row>
    <row r="58" spans="1:17">
      <c r="A58" s="1297">
        <v>638</v>
      </c>
      <c r="B58" s="1297" t="s">
        <v>767</v>
      </c>
      <c r="C58" s="1422">
        <v>22438</v>
      </c>
      <c r="D58" s="1297">
        <v>655</v>
      </c>
      <c r="E58" s="1422">
        <v>1639</v>
      </c>
      <c r="F58" s="1422">
        <v>1675</v>
      </c>
      <c r="G58" s="1422">
        <v>1651</v>
      </c>
      <c r="H58" s="1422">
        <v>1622</v>
      </c>
      <c r="I58" s="1422">
        <v>1686</v>
      </c>
      <c r="J58" s="1422">
        <v>1708</v>
      </c>
      <c r="K58" s="1422">
        <v>1672</v>
      </c>
      <c r="L58" s="1422">
        <v>1770</v>
      </c>
      <c r="M58" s="1422">
        <v>1666</v>
      </c>
      <c r="N58" s="1422">
        <v>2054</v>
      </c>
      <c r="O58" s="1422">
        <v>1844</v>
      </c>
      <c r="P58" s="1422">
        <v>1349</v>
      </c>
      <c r="Q58" s="1422">
        <v>1447</v>
      </c>
    </row>
    <row r="59" spans="1:17">
      <c r="A59" s="1297">
        <v>639</v>
      </c>
      <c r="B59" s="1297" t="s">
        <v>1687</v>
      </c>
      <c r="C59" s="1422">
        <v>1890</v>
      </c>
      <c r="D59" s="1297">
        <v>85</v>
      </c>
      <c r="E59" s="1297">
        <v>155</v>
      </c>
      <c r="F59" s="1297">
        <v>135</v>
      </c>
      <c r="G59" s="1297">
        <v>140</v>
      </c>
      <c r="H59" s="1297">
        <v>154</v>
      </c>
      <c r="I59" s="1297">
        <v>135</v>
      </c>
      <c r="J59" s="1297">
        <v>129</v>
      </c>
      <c r="K59" s="1297">
        <v>142</v>
      </c>
      <c r="L59" s="1297">
        <v>143</v>
      </c>
      <c r="M59" s="1297">
        <v>125</v>
      </c>
      <c r="N59" s="1297">
        <v>168</v>
      </c>
      <c r="O59" s="1297">
        <v>151</v>
      </c>
      <c r="P59" s="1297">
        <v>111</v>
      </c>
      <c r="Q59" s="1297">
        <v>117</v>
      </c>
    </row>
    <row r="60" spans="1:17">
      <c r="A60" s="1297">
        <v>640</v>
      </c>
      <c r="B60" s="1297" t="s">
        <v>1688</v>
      </c>
      <c r="C60" s="1422">
        <v>4242</v>
      </c>
      <c r="D60" s="1297">
        <v>321</v>
      </c>
      <c r="E60" s="1297">
        <v>376</v>
      </c>
      <c r="F60" s="1297">
        <v>314</v>
      </c>
      <c r="G60" s="1297">
        <v>320</v>
      </c>
      <c r="H60" s="1297">
        <v>324</v>
      </c>
      <c r="I60" s="1297">
        <v>318</v>
      </c>
      <c r="J60" s="1297">
        <v>317</v>
      </c>
      <c r="K60" s="1297">
        <v>330</v>
      </c>
      <c r="L60" s="1297">
        <v>280</v>
      </c>
      <c r="M60" s="1297">
        <v>278</v>
      </c>
      <c r="N60" s="1297">
        <v>372</v>
      </c>
      <c r="O60" s="1297">
        <v>280</v>
      </c>
      <c r="P60" s="1297">
        <v>219</v>
      </c>
      <c r="Q60" s="1297">
        <v>193</v>
      </c>
    </row>
    <row r="61" spans="1:17">
      <c r="A61" s="1297">
        <v>641</v>
      </c>
      <c r="B61" s="1297" t="s">
        <v>1689</v>
      </c>
      <c r="C61" s="1422">
        <v>2411</v>
      </c>
      <c r="D61" s="1297">
        <v>147</v>
      </c>
      <c r="E61" s="1297">
        <v>175</v>
      </c>
      <c r="F61" s="1297">
        <v>167</v>
      </c>
      <c r="G61" s="1297">
        <v>141</v>
      </c>
      <c r="H61" s="1297">
        <v>195</v>
      </c>
      <c r="I61" s="1297">
        <v>176</v>
      </c>
      <c r="J61" s="1297">
        <v>173</v>
      </c>
      <c r="K61" s="1297">
        <v>176</v>
      </c>
      <c r="L61" s="1297">
        <v>192</v>
      </c>
      <c r="M61" s="1297">
        <v>186</v>
      </c>
      <c r="N61" s="1297">
        <v>184</v>
      </c>
      <c r="O61" s="1297">
        <v>178</v>
      </c>
      <c r="P61" s="1297">
        <v>161</v>
      </c>
      <c r="Q61" s="1297">
        <v>160</v>
      </c>
    </row>
    <row r="62" spans="1:17">
      <c r="A62" s="1297">
        <v>772</v>
      </c>
      <c r="B62" s="1297" t="s">
        <v>1690</v>
      </c>
      <c r="C62" s="1422">
        <v>7010</v>
      </c>
      <c r="D62" s="1297">
        <v>320</v>
      </c>
      <c r="E62" s="1297">
        <v>601</v>
      </c>
      <c r="F62" s="1297">
        <v>638</v>
      </c>
      <c r="G62" s="1297">
        <v>580</v>
      </c>
      <c r="H62" s="1297">
        <v>601</v>
      </c>
      <c r="I62" s="1297">
        <v>591</v>
      </c>
      <c r="J62" s="1297">
        <v>542</v>
      </c>
      <c r="K62" s="1297">
        <v>573</v>
      </c>
      <c r="L62" s="1297">
        <v>494</v>
      </c>
      <c r="M62" s="1297">
        <v>451</v>
      </c>
      <c r="N62" s="1297">
        <v>630</v>
      </c>
      <c r="O62" s="1297">
        <v>430</v>
      </c>
      <c r="P62" s="1297">
        <v>298</v>
      </c>
      <c r="Q62" s="1297">
        <v>261</v>
      </c>
    </row>
    <row r="63" spans="1:17">
      <c r="A63" s="1297">
        <v>642</v>
      </c>
      <c r="B63" s="1297" t="s">
        <v>1691</v>
      </c>
      <c r="C63" s="1422">
        <v>3502</v>
      </c>
      <c r="D63" s="1297">
        <v>71</v>
      </c>
      <c r="E63" s="1297">
        <v>262</v>
      </c>
      <c r="F63" s="1297">
        <v>281</v>
      </c>
      <c r="G63" s="1297">
        <v>247</v>
      </c>
      <c r="H63" s="1297">
        <v>242</v>
      </c>
      <c r="I63" s="1297">
        <v>281</v>
      </c>
      <c r="J63" s="1297">
        <v>260</v>
      </c>
      <c r="K63" s="1297">
        <v>276</v>
      </c>
      <c r="L63" s="1297">
        <v>289</v>
      </c>
      <c r="M63" s="1297">
        <v>281</v>
      </c>
      <c r="N63" s="1297">
        <v>293</v>
      </c>
      <c r="O63" s="1297">
        <v>240</v>
      </c>
      <c r="P63" s="1297">
        <v>231</v>
      </c>
      <c r="Q63" s="1297">
        <v>248</v>
      </c>
    </row>
    <row r="64" spans="1:17">
      <c r="A64" s="1297">
        <v>644</v>
      </c>
      <c r="B64" s="1297" t="s">
        <v>874</v>
      </c>
      <c r="C64" s="1422">
        <v>97771</v>
      </c>
      <c r="D64" s="1422">
        <v>2825</v>
      </c>
      <c r="E64" s="1422">
        <v>7735</v>
      </c>
      <c r="F64" s="1422">
        <v>7782</v>
      </c>
      <c r="G64" s="1422">
        <v>7593</v>
      </c>
      <c r="H64" s="1422">
        <v>7710</v>
      </c>
      <c r="I64" s="1422">
        <v>7868</v>
      </c>
      <c r="J64" s="1422">
        <v>7573</v>
      </c>
      <c r="K64" s="1422">
        <v>7196</v>
      </c>
      <c r="L64" s="1422">
        <v>7099</v>
      </c>
      <c r="M64" s="1422">
        <v>7118</v>
      </c>
      <c r="N64" s="1422">
        <v>8018</v>
      </c>
      <c r="O64" s="1422">
        <v>6821</v>
      </c>
      <c r="P64" s="1422">
        <v>6289</v>
      </c>
      <c r="Q64" s="1422">
        <v>6144</v>
      </c>
    </row>
    <row r="65" spans="1:17">
      <c r="A65" s="1297">
        <v>773</v>
      </c>
      <c r="B65" s="1297" t="s">
        <v>1692</v>
      </c>
      <c r="C65" s="1422">
        <v>2916</v>
      </c>
      <c r="D65" s="1297">
        <v>0</v>
      </c>
      <c r="E65" s="1297">
        <v>299</v>
      </c>
      <c r="F65" s="1297">
        <v>280</v>
      </c>
      <c r="G65" s="1297">
        <v>277</v>
      </c>
      <c r="H65" s="1297">
        <v>234</v>
      </c>
      <c r="I65" s="1297">
        <v>221</v>
      </c>
      <c r="J65" s="1297">
        <v>194</v>
      </c>
      <c r="K65" s="1297">
        <v>224</v>
      </c>
      <c r="L65" s="1297">
        <v>220</v>
      </c>
      <c r="M65" s="1297">
        <v>211</v>
      </c>
      <c r="N65" s="1297">
        <v>228</v>
      </c>
      <c r="O65" s="1297">
        <v>196</v>
      </c>
      <c r="P65" s="1297">
        <v>162</v>
      </c>
      <c r="Q65" s="1297">
        <v>170</v>
      </c>
    </row>
    <row r="66" spans="1:17">
      <c r="A66" s="1297">
        <v>643</v>
      </c>
      <c r="B66" s="1297" t="s">
        <v>1693</v>
      </c>
      <c r="C66" s="1422">
        <v>5555</v>
      </c>
      <c r="D66" s="1297">
        <v>307</v>
      </c>
      <c r="E66" s="1297">
        <v>446</v>
      </c>
      <c r="F66" s="1297">
        <v>396</v>
      </c>
      <c r="G66" s="1297">
        <v>408</v>
      </c>
      <c r="H66" s="1297">
        <v>413</v>
      </c>
      <c r="I66" s="1297">
        <v>437</v>
      </c>
      <c r="J66" s="1297">
        <v>398</v>
      </c>
      <c r="K66" s="1297">
        <v>425</v>
      </c>
      <c r="L66" s="1297">
        <v>395</v>
      </c>
      <c r="M66" s="1297">
        <v>406</v>
      </c>
      <c r="N66" s="1297">
        <v>418</v>
      </c>
      <c r="O66" s="1297">
        <v>381</v>
      </c>
      <c r="P66" s="1297">
        <v>330</v>
      </c>
      <c r="Q66" s="1297">
        <v>395</v>
      </c>
    </row>
    <row r="67" spans="1:17">
      <c r="A67" s="1297">
        <v>645</v>
      </c>
      <c r="B67" s="1297" t="s">
        <v>1694</v>
      </c>
      <c r="C67" s="1422">
        <v>3350</v>
      </c>
      <c r="D67" s="1297">
        <v>172</v>
      </c>
      <c r="E67" s="1297">
        <v>275</v>
      </c>
      <c r="F67" s="1297">
        <v>251</v>
      </c>
      <c r="G67" s="1297">
        <v>243</v>
      </c>
      <c r="H67" s="1297">
        <v>232</v>
      </c>
      <c r="I67" s="1297">
        <v>243</v>
      </c>
      <c r="J67" s="1297">
        <v>254</v>
      </c>
      <c r="K67" s="1297">
        <v>247</v>
      </c>
      <c r="L67" s="1297">
        <v>238</v>
      </c>
      <c r="M67" s="1297">
        <v>246</v>
      </c>
      <c r="N67" s="1297">
        <v>303</v>
      </c>
      <c r="O67" s="1297">
        <v>231</v>
      </c>
      <c r="P67" s="1297">
        <v>189</v>
      </c>
      <c r="Q67" s="1297">
        <v>226</v>
      </c>
    </row>
    <row r="68" spans="1:17">
      <c r="A68" s="1297">
        <v>646</v>
      </c>
      <c r="B68" s="1297" t="s">
        <v>1695</v>
      </c>
      <c r="C68" s="1422">
        <v>1454</v>
      </c>
      <c r="D68" s="1297">
        <v>123</v>
      </c>
      <c r="E68" s="1297">
        <v>123</v>
      </c>
      <c r="F68" s="1297">
        <v>125</v>
      </c>
      <c r="G68" s="1297">
        <v>118</v>
      </c>
      <c r="H68" s="1297">
        <v>104</v>
      </c>
      <c r="I68" s="1297">
        <v>107</v>
      </c>
      <c r="J68" s="1297">
        <v>116</v>
      </c>
      <c r="K68" s="1297">
        <v>107</v>
      </c>
      <c r="L68" s="1297">
        <v>104</v>
      </c>
      <c r="M68" s="1297">
        <v>89</v>
      </c>
      <c r="N68" s="1297">
        <v>118</v>
      </c>
      <c r="O68" s="1297">
        <v>86</v>
      </c>
      <c r="P68" s="1297">
        <v>65</v>
      </c>
      <c r="Q68" s="1297">
        <v>69</v>
      </c>
    </row>
    <row r="69" spans="1:17">
      <c r="A69" s="1297">
        <v>647</v>
      </c>
      <c r="B69" s="1297" t="s">
        <v>926</v>
      </c>
      <c r="C69" s="1422">
        <v>15823</v>
      </c>
      <c r="D69" s="1297">
        <v>349</v>
      </c>
      <c r="E69" s="1422">
        <v>1397</v>
      </c>
      <c r="F69" s="1422">
        <v>1285</v>
      </c>
      <c r="G69" s="1422">
        <v>1242</v>
      </c>
      <c r="H69" s="1422">
        <v>1323</v>
      </c>
      <c r="I69" s="1422">
        <v>1348</v>
      </c>
      <c r="J69" s="1422">
        <v>1240</v>
      </c>
      <c r="K69" s="1422">
        <v>1210</v>
      </c>
      <c r="L69" s="1422">
        <v>1184</v>
      </c>
      <c r="M69" s="1422">
        <v>1199</v>
      </c>
      <c r="N69" s="1422">
        <v>1394</v>
      </c>
      <c r="O69" s="1297">
        <v>937</v>
      </c>
      <c r="P69" s="1297">
        <v>900</v>
      </c>
      <c r="Q69" s="1297">
        <v>815</v>
      </c>
    </row>
    <row r="70" spans="1:17">
      <c r="A70" s="1297">
        <v>648</v>
      </c>
      <c r="B70" s="1297" t="s">
        <v>723</v>
      </c>
      <c r="C70" s="1422">
        <v>24569</v>
      </c>
      <c r="D70" s="1297">
        <v>208</v>
      </c>
      <c r="E70" s="1422">
        <v>1716</v>
      </c>
      <c r="F70" s="1422">
        <v>1758</v>
      </c>
      <c r="G70" s="1422">
        <v>1859</v>
      </c>
      <c r="H70" s="1422">
        <v>1890</v>
      </c>
      <c r="I70" s="1422">
        <v>1943</v>
      </c>
      <c r="J70" s="1422">
        <v>2001</v>
      </c>
      <c r="K70" s="1422">
        <v>1893</v>
      </c>
      <c r="L70" s="1422">
        <v>1948</v>
      </c>
      <c r="M70" s="1422">
        <v>1886</v>
      </c>
      <c r="N70" s="1422">
        <v>2068</v>
      </c>
      <c r="O70" s="1422">
        <v>1937</v>
      </c>
      <c r="P70" s="1422">
        <v>1821</v>
      </c>
      <c r="Q70" s="1422">
        <v>1641</v>
      </c>
    </row>
    <row r="71" spans="1:17">
      <c r="A71" s="1297">
        <v>774</v>
      </c>
      <c r="B71" s="1297" t="s">
        <v>1696</v>
      </c>
      <c r="C71" s="1422">
        <v>2755</v>
      </c>
      <c r="D71" s="1297">
        <v>172</v>
      </c>
      <c r="E71" s="1297">
        <v>240</v>
      </c>
      <c r="F71" s="1297">
        <v>207</v>
      </c>
      <c r="G71" s="1297">
        <v>190</v>
      </c>
      <c r="H71" s="1297">
        <v>247</v>
      </c>
      <c r="I71" s="1297">
        <v>243</v>
      </c>
      <c r="J71" s="1297">
        <v>197</v>
      </c>
      <c r="K71" s="1297">
        <v>169</v>
      </c>
      <c r="L71" s="1297">
        <v>177</v>
      </c>
      <c r="M71" s="1297">
        <v>159</v>
      </c>
      <c r="N71" s="1297">
        <v>192</v>
      </c>
      <c r="O71" s="1297">
        <v>206</v>
      </c>
      <c r="P71" s="1297">
        <v>165</v>
      </c>
      <c r="Q71" s="1297">
        <v>191</v>
      </c>
    </row>
    <row r="72" spans="1:17">
      <c r="A72" s="1297">
        <v>649</v>
      </c>
      <c r="B72" s="1297" t="s">
        <v>1697</v>
      </c>
      <c r="C72" s="1422">
        <v>2328</v>
      </c>
      <c r="D72" s="1297">
        <v>177</v>
      </c>
      <c r="E72" s="1297">
        <v>149</v>
      </c>
      <c r="F72" s="1297">
        <v>184</v>
      </c>
      <c r="G72" s="1297">
        <v>166</v>
      </c>
      <c r="H72" s="1297">
        <v>195</v>
      </c>
      <c r="I72" s="1297">
        <v>152</v>
      </c>
      <c r="J72" s="1297">
        <v>185</v>
      </c>
      <c r="K72" s="1297">
        <v>178</v>
      </c>
      <c r="L72" s="1297">
        <v>154</v>
      </c>
      <c r="M72" s="1297">
        <v>145</v>
      </c>
      <c r="N72" s="1297">
        <v>200</v>
      </c>
      <c r="O72" s="1297">
        <v>160</v>
      </c>
      <c r="P72" s="1297">
        <v>131</v>
      </c>
      <c r="Q72" s="1297">
        <v>152</v>
      </c>
    </row>
    <row r="73" spans="1:17">
      <c r="A73" s="1297">
        <v>650</v>
      </c>
      <c r="B73" s="1297" t="s">
        <v>1698</v>
      </c>
      <c r="C73" s="1297">
        <v>788</v>
      </c>
      <c r="D73" s="1297">
        <v>41</v>
      </c>
      <c r="E73" s="1297">
        <v>75</v>
      </c>
      <c r="F73" s="1297">
        <v>64</v>
      </c>
      <c r="G73" s="1297">
        <v>61</v>
      </c>
      <c r="H73" s="1297">
        <v>63</v>
      </c>
      <c r="I73" s="1297">
        <v>70</v>
      </c>
      <c r="J73" s="1297">
        <v>45</v>
      </c>
      <c r="K73" s="1297">
        <v>45</v>
      </c>
      <c r="L73" s="1297">
        <v>64</v>
      </c>
      <c r="M73" s="1297">
        <v>63</v>
      </c>
      <c r="N73" s="1297">
        <v>51</v>
      </c>
      <c r="O73" s="1297">
        <v>51</v>
      </c>
      <c r="P73" s="1297">
        <v>50</v>
      </c>
      <c r="Q73" s="1297">
        <v>45</v>
      </c>
    </row>
    <row r="74" spans="1:17">
      <c r="A74" s="1297">
        <v>651</v>
      </c>
      <c r="B74" s="1297" t="s">
        <v>1699</v>
      </c>
      <c r="C74" s="1422">
        <v>11515</v>
      </c>
      <c r="D74" s="1297">
        <v>559</v>
      </c>
      <c r="E74" s="1297">
        <v>885</v>
      </c>
      <c r="F74" s="1297">
        <v>800</v>
      </c>
      <c r="G74" s="1297">
        <v>795</v>
      </c>
      <c r="H74" s="1297">
        <v>815</v>
      </c>
      <c r="I74" s="1297">
        <v>872</v>
      </c>
      <c r="J74" s="1297">
        <v>844</v>
      </c>
      <c r="K74" s="1297">
        <v>902</v>
      </c>
      <c r="L74" s="1297">
        <v>925</v>
      </c>
      <c r="M74" s="1297">
        <v>857</v>
      </c>
      <c r="N74" s="1297">
        <v>883</v>
      </c>
      <c r="O74" s="1297">
        <v>821</v>
      </c>
      <c r="P74" s="1297">
        <v>786</v>
      </c>
      <c r="Q74" s="1297">
        <v>771</v>
      </c>
    </row>
    <row r="75" spans="1:17">
      <c r="A75" s="1297">
        <v>652</v>
      </c>
      <c r="B75" s="1297" t="s">
        <v>1700</v>
      </c>
      <c r="C75" s="1422">
        <v>3331</v>
      </c>
      <c r="D75" s="1297">
        <v>178</v>
      </c>
      <c r="E75" s="1297">
        <v>264</v>
      </c>
      <c r="F75" s="1297">
        <v>239</v>
      </c>
      <c r="G75" s="1297">
        <v>238</v>
      </c>
      <c r="H75" s="1297">
        <v>234</v>
      </c>
      <c r="I75" s="1297">
        <v>248</v>
      </c>
      <c r="J75" s="1297">
        <v>265</v>
      </c>
      <c r="K75" s="1297">
        <v>245</v>
      </c>
      <c r="L75" s="1297">
        <v>223</v>
      </c>
      <c r="M75" s="1297">
        <v>248</v>
      </c>
      <c r="N75" s="1297">
        <v>304</v>
      </c>
      <c r="O75" s="1297">
        <v>230</v>
      </c>
      <c r="P75" s="1297">
        <v>193</v>
      </c>
      <c r="Q75" s="1297">
        <v>222</v>
      </c>
    </row>
    <row r="76" spans="1:17">
      <c r="A76" s="1297">
        <v>653</v>
      </c>
      <c r="B76" s="1297" t="s">
        <v>1701</v>
      </c>
      <c r="C76" s="1422">
        <v>4180</v>
      </c>
      <c r="D76" s="1297">
        <v>80</v>
      </c>
      <c r="E76" s="1297">
        <v>394</v>
      </c>
      <c r="F76" s="1297">
        <v>340</v>
      </c>
      <c r="G76" s="1297">
        <v>352</v>
      </c>
      <c r="H76" s="1297">
        <v>305</v>
      </c>
      <c r="I76" s="1297">
        <v>324</v>
      </c>
      <c r="J76" s="1297">
        <v>322</v>
      </c>
      <c r="K76" s="1297">
        <v>320</v>
      </c>
      <c r="L76" s="1297">
        <v>290</v>
      </c>
      <c r="M76" s="1297">
        <v>339</v>
      </c>
      <c r="N76" s="1297">
        <v>355</v>
      </c>
      <c r="O76" s="1297">
        <v>268</v>
      </c>
      <c r="P76" s="1297">
        <v>255</v>
      </c>
      <c r="Q76" s="1297">
        <v>236</v>
      </c>
    </row>
    <row r="77" spans="1:17">
      <c r="A77" s="1297">
        <v>654</v>
      </c>
      <c r="B77" s="1297" t="s">
        <v>1702</v>
      </c>
      <c r="C77" s="1422">
        <v>1809</v>
      </c>
      <c r="D77" s="1297">
        <v>148</v>
      </c>
      <c r="E77" s="1297">
        <v>178</v>
      </c>
      <c r="F77" s="1297">
        <v>162</v>
      </c>
      <c r="G77" s="1297">
        <v>157</v>
      </c>
      <c r="H77" s="1297">
        <v>159</v>
      </c>
      <c r="I77" s="1297">
        <v>132</v>
      </c>
      <c r="J77" s="1297">
        <v>135</v>
      </c>
      <c r="K77" s="1297">
        <v>97</v>
      </c>
      <c r="L77" s="1297">
        <v>129</v>
      </c>
      <c r="M77" s="1297">
        <v>114</v>
      </c>
      <c r="N77" s="1297">
        <v>110</v>
      </c>
      <c r="O77" s="1297">
        <v>99</v>
      </c>
      <c r="P77" s="1297">
        <v>103</v>
      </c>
      <c r="Q77" s="1297">
        <v>86</v>
      </c>
    </row>
    <row r="78" spans="1:17">
      <c r="A78" s="1297">
        <v>655</v>
      </c>
      <c r="B78" s="1297" t="s">
        <v>1703</v>
      </c>
      <c r="C78" s="1422">
        <v>3041</v>
      </c>
      <c r="D78" s="1297">
        <v>23</v>
      </c>
      <c r="E78" s="1297">
        <v>236</v>
      </c>
      <c r="F78" s="1297">
        <v>245</v>
      </c>
      <c r="G78" s="1297">
        <v>209</v>
      </c>
      <c r="H78" s="1297">
        <v>251</v>
      </c>
      <c r="I78" s="1297">
        <v>231</v>
      </c>
      <c r="J78" s="1297">
        <v>269</v>
      </c>
      <c r="K78" s="1297">
        <v>223</v>
      </c>
      <c r="L78" s="1297">
        <v>239</v>
      </c>
      <c r="M78" s="1297">
        <v>236</v>
      </c>
      <c r="N78" s="1297">
        <v>226</v>
      </c>
      <c r="O78" s="1297">
        <v>252</v>
      </c>
      <c r="P78" s="1297">
        <v>213</v>
      </c>
      <c r="Q78" s="1297">
        <v>188</v>
      </c>
    </row>
    <row r="79" spans="1:17">
      <c r="A79" s="1297">
        <v>656</v>
      </c>
      <c r="B79" s="1297" t="s">
        <v>1704</v>
      </c>
      <c r="C79" s="1422">
        <v>21117</v>
      </c>
      <c r="D79" s="1297">
        <v>214</v>
      </c>
      <c r="E79" s="1422">
        <v>1172</v>
      </c>
      <c r="F79" s="1422">
        <v>1300</v>
      </c>
      <c r="G79" s="1422">
        <v>1381</v>
      </c>
      <c r="H79" s="1422">
        <v>1435</v>
      </c>
      <c r="I79" s="1422">
        <v>1512</v>
      </c>
      <c r="J79" s="1422">
        <v>1591</v>
      </c>
      <c r="K79" s="1422">
        <v>1637</v>
      </c>
      <c r="L79" s="1422">
        <v>1725</v>
      </c>
      <c r="M79" s="1422">
        <v>1744</v>
      </c>
      <c r="N79" s="1422">
        <v>1968</v>
      </c>
      <c r="O79" s="1422">
        <v>1862</v>
      </c>
      <c r="P79" s="1422">
        <v>1729</v>
      </c>
      <c r="Q79" s="1422">
        <v>1847</v>
      </c>
    </row>
    <row r="80" spans="1:17">
      <c r="A80" s="1297">
        <v>657</v>
      </c>
      <c r="B80" s="1297" t="s">
        <v>965</v>
      </c>
      <c r="C80" s="1422">
        <v>10460</v>
      </c>
      <c r="D80" s="1297">
        <v>479</v>
      </c>
      <c r="E80" s="1297">
        <v>799</v>
      </c>
      <c r="F80" s="1297">
        <v>756</v>
      </c>
      <c r="G80" s="1297">
        <v>803</v>
      </c>
      <c r="H80" s="1297">
        <v>795</v>
      </c>
      <c r="I80" s="1297">
        <v>778</v>
      </c>
      <c r="J80" s="1297">
        <v>812</v>
      </c>
      <c r="K80" s="1297">
        <v>841</v>
      </c>
      <c r="L80" s="1297">
        <v>808</v>
      </c>
      <c r="M80" s="1297">
        <v>765</v>
      </c>
      <c r="N80" s="1297">
        <v>831</v>
      </c>
      <c r="O80" s="1297">
        <v>727</v>
      </c>
      <c r="P80" s="1297">
        <v>657</v>
      </c>
      <c r="Q80" s="1297">
        <v>609</v>
      </c>
    </row>
    <row r="81" spans="1:17">
      <c r="A81" s="1297">
        <v>658</v>
      </c>
      <c r="B81" s="1297" t="s">
        <v>845</v>
      </c>
      <c r="C81" s="1422">
        <v>35945</v>
      </c>
      <c r="D81" s="1297">
        <v>360</v>
      </c>
      <c r="E81" s="1422">
        <v>2954</v>
      </c>
      <c r="F81" s="1422">
        <v>3062</v>
      </c>
      <c r="G81" s="1422">
        <v>3022</v>
      </c>
      <c r="H81" s="1422">
        <v>3035</v>
      </c>
      <c r="I81" s="1422">
        <v>3077</v>
      </c>
      <c r="J81" s="1422">
        <v>2921</v>
      </c>
      <c r="K81" s="1422">
        <v>2950</v>
      </c>
      <c r="L81" s="1422">
        <v>2762</v>
      </c>
      <c r="M81" s="1422">
        <v>2741</v>
      </c>
      <c r="N81" s="1422">
        <v>2639</v>
      </c>
      <c r="O81" s="1422">
        <v>2306</v>
      </c>
      <c r="P81" s="1422">
        <v>2144</v>
      </c>
      <c r="Q81" s="1422">
        <v>1972</v>
      </c>
    </row>
    <row r="82" spans="1:17">
      <c r="A82" s="1297">
        <v>659</v>
      </c>
      <c r="B82" s="1297" t="s">
        <v>1705</v>
      </c>
      <c r="C82" s="1422">
        <v>3667</v>
      </c>
      <c r="D82" s="1297">
        <v>44</v>
      </c>
      <c r="E82" s="1297">
        <v>289</v>
      </c>
      <c r="F82" s="1297">
        <v>282</v>
      </c>
      <c r="G82" s="1297">
        <v>277</v>
      </c>
      <c r="H82" s="1297">
        <v>293</v>
      </c>
      <c r="I82" s="1297">
        <v>262</v>
      </c>
      <c r="J82" s="1297">
        <v>319</v>
      </c>
      <c r="K82" s="1297">
        <v>280</v>
      </c>
      <c r="L82" s="1297">
        <v>311</v>
      </c>
      <c r="M82" s="1297">
        <v>245</v>
      </c>
      <c r="N82" s="1297">
        <v>331</v>
      </c>
      <c r="O82" s="1297">
        <v>311</v>
      </c>
      <c r="P82" s="1297">
        <v>172</v>
      </c>
      <c r="Q82" s="1297">
        <v>251</v>
      </c>
    </row>
    <row r="83" spans="1:17">
      <c r="A83" s="1297">
        <v>660</v>
      </c>
      <c r="B83" s="1297" t="s">
        <v>811</v>
      </c>
      <c r="C83" s="1422">
        <v>91018</v>
      </c>
      <c r="D83" s="1422">
        <v>1914</v>
      </c>
      <c r="E83" s="1422">
        <v>6864</v>
      </c>
      <c r="F83" s="1422">
        <v>6864</v>
      </c>
      <c r="G83" s="1422">
        <v>6885</v>
      </c>
      <c r="H83" s="1422">
        <v>6876</v>
      </c>
      <c r="I83" s="1422">
        <v>7126</v>
      </c>
      <c r="J83" s="1422">
        <v>7118</v>
      </c>
      <c r="K83" s="1422">
        <v>6967</v>
      </c>
      <c r="L83" s="1422">
        <v>6807</v>
      </c>
      <c r="M83" s="1422">
        <v>6724</v>
      </c>
      <c r="N83" s="1422">
        <v>7774</v>
      </c>
      <c r="O83" s="1422">
        <v>6990</v>
      </c>
      <c r="P83" s="1422">
        <v>6048</v>
      </c>
      <c r="Q83" s="1422">
        <v>6061</v>
      </c>
    </row>
    <row r="84" spans="1:17">
      <c r="A84" s="1297">
        <v>776</v>
      </c>
      <c r="B84" s="1297" t="s">
        <v>1706</v>
      </c>
      <c r="C84" s="1422">
        <v>6893</v>
      </c>
      <c r="D84" s="1297">
        <v>240</v>
      </c>
      <c r="E84" s="1297">
        <v>712</v>
      </c>
      <c r="F84" s="1297">
        <v>653</v>
      </c>
      <c r="G84" s="1297">
        <v>609</v>
      </c>
      <c r="H84" s="1297">
        <v>593</v>
      </c>
      <c r="I84" s="1297">
        <v>589</v>
      </c>
      <c r="J84" s="1297">
        <v>568</v>
      </c>
      <c r="K84" s="1297">
        <v>488</v>
      </c>
      <c r="L84" s="1297">
        <v>439</v>
      </c>
      <c r="M84" s="1297">
        <v>469</v>
      </c>
      <c r="N84" s="1297">
        <v>587</v>
      </c>
      <c r="O84" s="1297">
        <v>406</v>
      </c>
      <c r="P84" s="1297">
        <v>251</v>
      </c>
      <c r="Q84" s="1297">
        <v>289</v>
      </c>
    </row>
    <row r="85" spans="1:17">
      <c r="A85" s="1297">
        <v>661</v>
      </c>
      <c r="B85" s="1297" t="s">
        <v>1707</v>
      </c>
      <c r="C85" s="1422">
        <v>4246</v>
      </c>
      <c r="D85" s="1297">
        <v>29</v>
      </c>
      <c r="E85" s="1297">
        <v>352</v>
      </c>
      <c r="F85" s="1297">
        <v>334</v>
      </c>
      <c r="G85" s="1297">
        <v>286</v>
      </c>
      <c r="H85" s="1297">
        <v>321</v>
      </c>
      <c r="I85" s="1297">
        <v>345</v>
      </c>
      <c r="J85" s="1297">
        <v>340</v>
      </c>
      <c r="K85" s="1297">
        <v>363</v>
      </c>
      <c r="L85" s="1297">
        <v>352</v>
      </c>
      <c r="M85" s="1297">
        <v>329</v>
      </c>
      <c r="N85" s="1297">
        <v>387</v>
      </c>
      <c r="O85" s="1297">
        <v>321</v>
      </c>
      <c r="P85" s="1297">
        <v>226</v>
      </c>
      <c r="Q85" s="1297">
        <v>261</v>
      </c>
    </row>
    <row r="86" spans="1:17">
      <c r="A86" s="1297">
        <v>662</v>
      </c>
      <c r="B86" s="1297" t="s">
        <v>1708</v>
      </c>
      <c r="C86" s="1297">
        <v>671</v>
      </c>
      <c r="D86" s="1297">
        <v>40</v>
      </c>
      <c r="E86" s="1297">
        <v>44</v>
      </c>
      <c r="F86" s="1297">
        <v>47</v>
      </c>
      <c r="G86" s="1297">
        <v>38</v>
      </c>
      <c r="H86" s="1297">
        <v>52</v>
      </c>
      <c r="I86" s="1297">
        <v>47</v>
      </c>
      <c r="J86" s="1297">
        <v>48</v>
      </c>
      <c r="K86" s="1297">
        <v>61</v>
      </c>
      <c r="L86" s="1297">
        <v>63</v>
      </c>
      <c r="M86" s="1297">
        <v>54</v>
      </c>
      <c r="N86" s="1297">
        <v>50</v>
      </c>
      <c r="O86" s="1297">
        <v>35</v>
      </c>
      <c r="P86" s="1297">
        <v>48</v>
      </c>
      <c r="Q86" s="1297">
        <v>44</v>
      </c>
    </row>
    <row r="87" spans="1:17">
      <c r="A87" s="1297">
        <v>663</v>
      </c>
      <c r="B87" s="1297" t="s">
        <v>967</v>
      </c>
      <c r="C87" s="1422">
        <v>12834</v>
      </c>
      <c r="D87" s="1297">
        <v>510</v>
      </c>
      <c r="E87" s="1422">
        <v>1011</v>
      </c>
      <c r="F87" s="1422">
        <v>1043</v>
      </c>
      <c r="G87" s="1422">
        <v>1018</v>
      </c>
      <c r="H87" s="1297">
        <v>943</v>
      </c>
      <c r="I87" s="1297">
        <v>966</v>
      </c>
      <c r="J87" s="1297">
        <v>968</v>
      </c>
      <c r="K87" s="1297">
        <v>931</v>
      </c>
      <c r="L87" s="1297">
        <v>888</v>
      </c>
      <c r="M87" s="1297">
        <v>957</v>
      </c>
      <c r="N87" s="1422">
        <v>1166</v>
      </c>
      <c r="O87" s="1297">
        <v>944</v>
      </c>
      <c r="P87" s="1297">
        <v>712</v>
      </c>
      <c r="Q87" s="1297">
        <v>777</v>
      </c>
    </row>
    <row r="88" spans="1:17">
      <c r="A88" s="1297">
        <v>664</v>
      </c>
      <c r="B88" s="1297" t="s">
        <v>1709</v>
      </c>
      <c r="C88" s="1422">
        <v>6892</v>
      </c>
      <c r="D88" s="1297">
        <v>405</v>
      </c>
      <c r="E88" s="1297">
        <v>540</v>
      </c>
      <c r="F88" s="1297">
        <v>501</v>
      </c>
      <c r="G88" s="1297">
        <v>493</v>
      </c>
      <c r="H88" s="1297">
        <v>509</v>
      </c>
      <c r="I88" s="1297">
        <v>541</v>
      </c>
      <c r="J88" s="1297">
        <v>557</v>
      </c>
      <c r="K88" s="1297">
        <v>480</v>
      </c>
      <c r="L88" s="1297">
        <v>523</v>
      </c>
      <c r="M88" s="1297">
        <v>477</v>
      </c>
      <c r="N88" s="1297">
        <v>478</v>
      </c>
      <c r="O88" s="1297">
        <v>531</v>
      </c>
      <c r="P88" s="1297">
        <v>430</v>
      </c>
      <c r="Q88" s="1297">
        <v>427</v>
      </c>
    </row>
    <row r="89" spans="1:17">
      <c r="A89" s="1297">
        <v>665</v>
      </c>
      <c r="B89" s="1297" t="s">
        <v>1710</v>
      </c>
      <c r="C89" s="1422">
        <v>4517</v>
      </c>
      <c r="D89" s="1297">
        <v>235</v>
      </c>
      <c r="E89" s="1297">
        <v>403</v>
      </c>
      <c r="F89" s="1297">
        <v>404</v>
      </c>
      <c r="G89" s="1297">
        <v>347</v>
      </c>
      <c r="H89" s="1297">
        <v>361</v>
      </c>
      <c r="I89" s="1297">
        <v>354</v>
      </c>
      <c r="J89" s="1297">
        <v>360</v>
      </c>
      <c r="K89" s="1297">
        <v>319</v>
      </c>
      <c r="L89" s="1297">
        <v>343</v>
      </c>
      <c r="M89" s="1297">
        <v>300</v>
      </c>
      <c r="N89" s="1297">
        <v>370</v>
      </c>
      <c r="O89" s="1297">
        <v>287</v>
      </c>
      <c r="P89" s="1297">
        <v>235</v>
      </c>
      <c r="Q89" s="1297">
        <v>199</v>
      </c>
    </row>
    <row r="90" spans="1:17">
      <c r="A90" s="1297">
        <v>666</v>
      </c>
      <c r="B90" s="1297" t="s">
        <v>755</v>
      </c>
      <c r="C90" s="1422">
        <v>2128</v>
      </c>
      <c r="D90" s="1297">
        <v>138</v>
      </c>
      <c r="E90" s="1297">
        <v>179</v>
      </c>
      <c r="F90" s="1297">
        <v>181</v>
      </c>
      <c r="G90" s="1297">
        <v>192</v>
      </c>
      <c r="H90" s="1297">
        <v>179</v>
      </c>
      <c r="I90" s="1297">
        <v>167</v>
      </c>
      <c r="J90" s="1297">
        <v>146</v>
      </c>
      <c r="K90" s="1297">
        <v>147</v>
      </c>
      <c r="L90" s="1297">
        <v>147</v>
      </c>
      <c r="M90" s="1297">
        <v>143</v>
      </c>
      <c r="N90" s="1297">
        <v>185</v>
      </c>
      <c r="O90" s="1297">
        <v>122</v>
      </c>
      <c r="P90" s="1297">
        <v>99</v>
      </c>
      <c r="Q90" s="1297">
        <v>103</v>
      </c>
    </row>
    <row r="91" spans="1:17">
      <c r="A91" s="1297">
        <v>667</v>
      </c>
      <c r="B91" s="1297" t="s">
        <v>879</v>
      </c>
      <c r="C91" s="1422">
        <v>159482</v>
      </c>
      <c r="D91" s="1422">
        <v>1170</v>
      </c>
      <c r="E91" s="1422">
        <v>12269</v>
      </c>
      <c r="F91" s="1422">
        <v>12425</v>
      </c>
      <c r="G91" s="1422">
        <v>12318</v>
      </c>
      <c r="H91" s="1422">
        <v>12612</v>
      </c>
      <c r="I91" s="1422">
        <v>12731</v>
      </c>
      <c r="J91" s="1422">
        <v>12764</v>
      </c>
      <c r="K91" s="1422">
        <v>12585</v>
      </c>
      <c r="L91" s="1422">
        <v>12295</v>
      </c>
      <c r="M91" s="1422">
        <v>12112</v>
      </c>
      <c r="N91" s="1422">
        <v>14395</v>
      </c>
      <c r="O91" s="1422">
        <v>12600</v>
      </c>
      <c r="P91" s="1422">
        <v>9649</v>
      </c>
      <c r="Q91" s="1422">
        <v>9557</v>
      </c>
    </row>
    <row r="92" spans="1:17">
      <c r="A92" s="1297">
        <v>668</v>
      </c>
      <c r="B92" s="1297" t="s">
        <v>1711</v>
      </c>
      <c r="C92" s="1422">
        <v>6809</v>
      </c>
      <c r="D92" s="1297">
        <v>162</v>
      </c>
      <c r="E92" s="1297">
        <v>586</v>
      </c>
      <c r="F92" s="1297">
        <v>569</v>
      </c>
      <c r="G92" s="1297">
        <v>541</v>
      </c>
      <c r="H92" s="1297">
        <v>572</v>
      </c>
      <c r="I92" s="1297">
        <v>530</v>
      </c>
      <c r="J92" s="1297">
        <v>577</v>
      </c>
      <c r="K92" s="1297">
        <v>553</v>
      </c>
      <c r="L92" s="1297">
        <v>520</v>
      </c>
      <c r="M92" s="1297">
        <v>517</v>
      </c>
      <c r="N92" s="1297">
        <v>492</v>
      </c>
      <c r="O92" s="1297">
        <v>482</v>
      </c>
      <c r="P92" s="1297">
        <v>391</v>
      </c>
      <c r="Q92" s="1297">
        <v>317</v>
      </c>
    </row>
    <row r="93" spans="1:17">
      <c r="A93" s="1297">
        <v>669</v>
      </c>
      <c r="B93" s="1297" t="s">
        <v>922</v>
      </c>
      <c r="C93" s="1422">
        <v>25777</v>
      </c>
      <c r="D93" s="1297">
        <v>165</v>
      </c>
      <c r="E93" s="1422">
        <v>2124</v>
      </c>
      <c r="F93" s="1422">
        <v>2091</v>
      </c>
      <c r="G93" s="1422">
        <v>2025</v>
      </c>
      <c r="H93" s="1422">
        <v>2138</v>
      </c>
      <c r="I93" s="1422">
        <v>2031</v>
      </c>
      <c r="J93" s="1422">
        <v>2128</v>
      </c>
      <c r="K93" s="1422">
        <v>2021</v>
      </c>
      <c r="L93" s="1422">
        <v>1992</v>
      </c>
      <c r="M93" s="1422">
        <v>1968</v>
      </c>
      <c r="N93" s="1422">
        <v>2198</v>
      </c>
      <c r="O93" s="1422">
        <v>2210</v>
      </c>
      <c r="P93" s="1422">
        <v>1280</v>
      </c>
      <c r="Q93" s="1422">
        <v>1406</v>
      </c>
    </row>
    <row r="94" spans="1:17">
      <c r="A94" s="1297">
        <v>670</v>
      </c>
      <c r="B94" s="1297" t="s">
        <v>1712</v>
      </c>
      <c r="C94" s="1422">
        <v>1191</v>
      </c>
      <c r="D94" s="1297">
        <v>84</v>
      </c>
      <c r="E94" s="1297">
        <v>82</v>
      </c>
      <c r="F94" s="1297">
        <v>75</v>
      </c>
      <c r="G94" s="1297">
        <v>66</v>
      </c>
      <c r="H94" s="1297">
        <v>94</v>
      </c>
      <c r="I94" s="1297">
        <v>91</v>
      </c>
      <c r="J94" s="1297">
        <v>69</v>
      </c>
      <c r="K94" s="1297">
        <v>88</v>
      </c>
      <c r="L94" s="1297">
        <v>83</v>
      </c>
      <c r="M94" s="1297">
        <v>84</v>
      </c>
      <c r="N94" s="1297">
        <v>85</v>
      </c>
      <c r="O94" s="1297">
        <v>125</v>
      </c>
      <c r="P94" s="1297">
        <v>78</v>
      </c>
      <c r="Q94" s="1297">
        <v>87</v>
      </c>
    </row>
    <row r="95" spans="1:17">
      <c r="A95" s="1297">
        <v>671</v>
      </c>
      <c r="B95" s="1297" t="s">
        <v>1849</v>
      </c>
      <c r="C95" s="1422">
        <v>3647</v>
      </c>
      <c r="D95" s="1297">
        <v>200</v>
      </c>
      <c r="E95" s="1297">
        <v>263</v>
      </c>
      <c r="F95" s="1297">
        <v>263</v>
      </c>
      <c r="G95" s="1297">
        <v>248</v>
      </c>
      <c r="H95" s="1297">
        <v>270</v>
      </c>
      <c r="I95" s="1297">
        <v>279</v>
      </c>
      <c r="J95" s="1297">
        <v>275</v>
      </c>
      <c r="K95" s="1297">
        <v>280</v>
      </c>
      <c r="L95" s="1297">
        <v>320</v>
      </c>
      <c r="M95" s="1297">
        <v>262</v>
      </c>
      <c r="N95" s="1297">
        <v>355</v>
      </c>
      <c r="O95" s="1297">
        <v>249</v>
      </c>
      <c r="P95" s="1297">
        <v>167</v>
      </c>
      <c r="Q95" s="1297">
        <v>216</v>
      </c>
    </row>
    <row r="96" spans="1:17">
      <c r="A96" s="1297">
        <v>672</v>
      </c>
      <c r="B96" s="1297" t="s">
        <v>1850</v>
      </c>
      <c r="C96" s="1422">
        <v>5050</v>
      </c>
      <c r="D96" s="1297">
        <v>235</v>
      </c>
      <c r="E96" s="1297">
        <v>339</v>
      </c>
      <c r="F96" s="1297">
        <v>340</v>
      </c>
      <c r="G96" s="1297">
        <v>348</v>
      </c>
      <c r="H96" s="1297">
        <v>355</v>
      </c>
      <c r="I96" s="1297">
        <v>378</v>
      </c>
      <c r="J96" s="1297">
        <v>387</v>
      </c>
      <c r="K96" s="1297">
        <v>405</v>
      </c>
      <c r="L96" s="1297">
        <v>382</v>
      </c>
      <c r="M96" s="1297">
        <v>362</v>
      </c>
      <c r="N96" s="1297">
        <v>406</v>
      </c>
      <c r="O96" s="1297">
        <v>379</v>
      </c>
      <c r="P96" s="1297">
        <v>358</v>
      </c>
      <c r="Q96" s="1297">
        <v>376</v>
      </c>
    </row>
    <row r="97" spans="1:17">
      <c r="A97" s="1297">
        <v>673</v>
      </c>
      <c r="B97" s="1297" t="s">
        <v>1851</v>
      </c>
      <c r="C97" s="1422">
        <v>3433</v>
      </c>
      <c r="D97" s="1297">
        <v>90</v>
      </c>
      <c r="E97" s="1297">
        <v>306</v>
      </c>
      <c r="F97" s="1297">
        <v>255</v>
      </c>
      <c r="G97" s="1297">
        <v>263</v>
      </c>
      <c r="H97" s="1297">
        <v>265</v>
      </c>
      <c r="I97" s="1297">
        <v>257</v>
      </c>
      <c r="J97" s="1297">
        <v>282</v>
      </c>
      <c r="K97" s="1297">
        <v>254</v>
      </c>
      <c r="L97" s="1297">
        <v>237</v>
      </c>
      <c r="M97" s="1297">
        <v>260</v>
      </c>
      <c r="N97" s="1297">
        <v>309</v>
      </c>
      <c r="O97" s="1297">
        <v>246</v>
      </c>
      <c r="P97" s="1297">
        <v>181</v>
      </c>
      <c r="Q97" s="1297">
        <v>228</v>
      </c>
    </row>
    <row r="98" spans="1:17">
      <c r="A98" s="1297">
        <v>674</v>
      </c>
      <c r="B98" s="1297" t="s">
        <v>1852</v>
      </c>
      <c r="C98" s="1422">
        <v>2085</v>
      </c>
      <c r="D98" s="1297">
        <v>122</v>
      </c>
      <c r="E98" s="1297">
        <v>143</v>
      </c>
      <c r="F98" s="1297">
        <v>146</v>
      </c>
      <c r="G98" s="1297">
        <v>140</v>
      </c>
      <c r="H98" s="1297">
        <v>152</v>
      </c>
      <c r="I98" s="1297">
        <v>155</v>
      </c>
      <c r="J98" s="1297">
        <v>159</v>
      </c>
      <c r="K98" s="1297">
        <v>160</v>
      </c>
      <c r="L98" s="1297">
        <v>169</v>
      </c>
      <c r="M98" s="1297">
        <v>161</v>
      </c>
      <c r="N98" s="1297">
        <v>156</v>
      </c>
      <c r="O98" s="1297">
        <v>135</v>
      </c>
      <c r="P98" s="1297">
        <v>140</v>
      </c>
      <c r="Q98" s="1297">
        <v>147</v>
      </c>
    </row>
    <row r="99" spans="1:17">
      <c r="A99" s="1297">
        <v>675</v>
      </c>
      <c r="B99" s="1297" t="s">
        <v>1853</v>
      </c>
      <c r="C99" s="1422">
        <v>40671</v>
      </c>
      <c r="D99" s="1297">
        <v>306</v>
      </c>
      <c r="E99" s="1422">
        <v>2834</v>
      </c>
      <c r="F99" s="1422">
        <v>2854</v>
      </c>
      <c r="G99" s="1422">
        <v>2834</v>
      </c>
      <c r="H99" s="1422">
        <v>3012</v>
      </c>
      <c r="I99" s="1422">
        <v>3067</v>
      </c>
      <c r="J99" s="1422">
        <v>3223</v>
      </c>
      <c r="K99" s="1422">
        <v>3231</v>
      </c>
      <c r="L99" s="1422">
        <v>3359</v>
      </c>
      <c r="M99" s="1422">
        <v>3281</v>
      </c>
      <c r="N99" s="1422">
        <v>3576</v>
      </c>
      <c r="O99" s="1422">
        <v>3307</v>
      </c>
      <c r="P99" s="1422">
        <v>2857</v>
      </c>
      <c r="Q99" s="1422">
        <v>2930</v>
      </c>
    </row>
    <row r="100" spans="1:17">
      <c r="A100" s="1297">
        <v>676</v>
      </c>
      <c r="B100" s="1297" t="s">
        <v>969</v>
      </c>
      <c r="C100" s="1422">
        <v>27014</v>
      </c>
      <c r="D100" s="1422">
        <v>1033</v>
      </c>
      <c r="E100" s="1422">
        <v>2009</v>
      </c>
      <c r="F100" s="1422">
        <v>2055</v>
      </c>
      <c r="G100" s="1422">
        <v>1945</v>
      </c>
      <c r="H100" s="1422">
        <v>2020</v>
      </c>
      <c r="I100" s="1422">
        <v>2057</v>
      </c>
      <c r="J100" s="1422">
        <v>2086</v>
      </c>
      <c r="K100" s="1422">
        <v>1988</v>
      </c>
      <c r="L100" s="1422">
        <v>2047</v>
      </c>
      <c r="M100" s="1422">
        <v>2003</v>
      </c>
      <c r="N100" s="1422">
        <v>2169</v>
      </c>
      <c r="O100" s="1422">
        <v>1969</v>
      </c>
      <c r="P100" s="1422">
        <v>2002</v>
      </c>
      <c r="Q100" s="1422">
        <v>1631</v>
      </c>
    </row>
    <row r="101" spans="1:17">
      <c r="A101" s="1297">
        <v>677</v>
      </c>
      <c r="B101" s="1297" t="s">
        <v>1854</v>
      </c>
      <c r="C101" s="1422">
        <v>1669</v>
      </c>
      <c r="D101" s="1297">
        <v>114</v>
      </c>
      <c r="E101" s="1297">
        <v>136</v>
      </c>
      <c r="F101" s="1297">
        <v>127</v>
      </c>
      <c r="G101" s="1297">
        <v>125</v>
      </c>
      <c r="H101" s="1297">
        <v>140</v>
      </c>
      <c r="I101" s="1297">
        <v>122</v>
      </c>
      <c r="J101" s="1297">
        <v>117</v>
      </c>
      <c r="K101" s="1297">
        <v>124</v>
      </c>
      <c r="L101" s="1297">
        <v>135</v>
      </c>
      <c r="M101" s="1297">
        <v>126</v>
      </c>
      <c r="N101" s="1297">
        <v>110</v>
      </c>
      <c r="O101" s="1297">
        <v>112</v>
      </c>
      <c r="P101" s="1297">
        <v>88</v>
      </c>
      <c r="Q101" s="1297">
        <v>93</v>
      </c>
    </row>
    <row r="102" spans="1:17">
      <c r="A102" s="1297">
        <v>678</v>
      </c>
      <c r="B102" s="1297" t="s">
        <v>1855</v>
      </c>
      <c r="C102" s="1422">
        <v>7264</v>
      </c>
      <c r="D102" s="1297">
        <v>220</v>
      </c>
      <c r="E102" s="1297">
        <v>620</v>
      </c>
      <c r="F102" s="1297">
        <v>580</v>
      </c>
      <c r="G102" s="1297">
        <v>595</v>
      </c>
      <c r="H102" s="1297">
        <v>610</v>
      </c>
      <c r="I102" s="1297">
        <v>535</v>
      </c>
      <c r="J102" s="1297">
        <v>571</v>
      </c>
      <c r="K102" s="1297">
        <v>555</v>
      </c>
      <c r="L102" s="1297">
        <v>566</v>
      </c>
      <c r="M102" s="1297">
        <v>518</v>
      </c>
      <c r="N102" s="1297">
        <v>503</v>
      </c>
      <c r="O102" s="1297">
        <v>523</v>
      </c>
      <c r="P102" s="1297">
        <v>458</v>
      </c>
      <c r="Q102" s="1297">
        <v>410</v>
      </c>
    </row>
    <row r="103" spans="1:17">
      <c r="A103" s="1297">
        <v>679</v>
      </c>
      <c r="B103" s="1297" t="s">
        <v>1856</v>
      </c>
      <c r="C103" s="1422">
        <v>2183</v>
      </c>
      <c r="D103" s="1297">
        <v>139</v>
      </c>
      <c r="E103" s="1297">
        <v>211</v>
      </c>
      <c r="F103" s="1297">
        <v>152</v>
      </c>
      <c r="G103" s="1297">
        <v>179</v>
      </c>
      <c r="H103" s="1297">
        <v>167</v>
      </c>
      <c r="I103" s="1297">
        <v>171</v>
      </c>
      <c r="J103" s="1297">
        <v>167</v>
      </c>
      <c r="K103" s="1297">
        <v>136</v>
      </c>
      <c r="L103" s="1297">
        <v>159</v>
      </c>
      <c r="M103" s="1297">
        <v>157</v>
      </c>
      <c r="N103" s="1297">
        <v>192</v>
      </c>
      <c r="O103" s="1297">
        <v>112</v>
      </c>
      <c r="P103" s="1297">
        <v>122</v>
      </c>
      <c r="Q103" s="1297">
        <v>119</v>
      </c>
    </row>
    <row r="104" spans="1:17">
      <c r="A104" s="1297">
        <v>680</v>
      </c>
      <c r="B104" s="1297" t="s">
        <v>1857</v>
      </c>
      <c r="C104" s="1422">
        <v>2988</v>
      </c>
      <c r="D104" s="1297">
        <v>190</v>
      </c>
      <c r="E104" s="1297">
        <v>243</v>
      </c>
      <c r="F104" s="1297">
        <v>249</v>
      </c>
      <c r="G104" s="1297">
        <v>215</v>
      </c>
      <c r="H104" s="1297">
        <v>230</v>
      </c>
      <c r="I104" s="1297">
        <v>229</v>
      </c>
      <c r="J104" s="1297">
        <v>229</v>
      </c>
      <c r="K104" s="1297">
        <v>258</v>
      </c>
      <c r="L104" s="1297">
        <v>215</v>
      </c>
      <c r="M104" s="1297">
        <v>212</v>
      </c>
      <c r="N104" s="1297">
        <v>202</v>
      </c>
      <c r="O104" s="1297">
        <v>181</v>
      </c>
      <c r="P104" s="1297">
        <v>173</v>
      </c>
      <c r="Q104" s="1297">
        <v>162</v>
      </c>
    </row>
    <row r="105" spans="1:17">
      <c r="A105" s="1297">
        <v>779</v>
      </c>
      <c r="B105" s="1297" t="s">
        <v>1858</v>
      </c>
      <c r="C105" s="1422">
        <v>2786</v>
      </c>
      <c r="D105" s="1297">
        <v>96</v>
      </c>
      <c r="E105" s="1297">
        <v>203</v>
      </c>
      <c r="F105" s="1297">
        <v>241</v>
      </c>
      <c r="G105" s="1297">
        <v>197</v>
      </c>
      <c r="H105" s="1297">
        <v>231</v>
      </c>
      <c r="I105" s="1297">
        <v>205</v>
      </c>
      <c r="J105" s="1297">
        <v>212</v>
      </c>
      <c r="K105" s="1297">
        <v>209</v>
      </c>
      <c r="L105" s="1297">
        <v>215</v>
      </c>
      <c r="M105" s="1297">
        <v>217</v>
      </c>
      <c r="N105" s="1297">
        <v>207</v>
      </c>
      <c r="O105" s="1297">
        <v>190</v>
      </c>
      <c r="P105" s="1297">
        <v>188</v>
      </c>
      <c r="Q105" s="1297">
        <v>175</v>
      </c>
    </row>
    <row r="106" spans="1:17">
      <c r="A106" s="1297">
        <v>681</v>
      </c>
      <c r="B106" s="1297" t="s">
        <v>1859</v>
      </c>
      <c r="C106" s="1422">
        <v>2962</v>
      </c>
      <c r="D106" s="1297">
        <v>166</v>
      </c>
      <c r="E106" s="1297">
        <v>199</v>
      </c>
      <c r="F106" s="1297">
        <v>231</v>
      </c>
      <c r="G106" s="1297">
        <v>261</v>
      </c>
      <c r="H106" s="1297">
        <v>210</v>
      </c>
      <c r="I106" s="1297">
        <v>221</v>
      </c>
      <c r="J106" s="1297">
        <v>249</v>
      </c>
      <c r="K106" s="1297">
        <v>178</v>
      </c>
      <c r="L106" s="1297">
        <v>207</v>
      </c>
      <c r="M106" s="1297">
        <v>206</v>
      </c>
      <c r="N106" s="1297">
        <v>220</v>
      </c>
      <c r="O106" s="1297">
        <v>235</v>
      </c>
      <c r="P106" s="1297">
        <v>200</v>
      </c>
      <c r="Q106" s="1297">
        <v>179</v>
      </c>
    </row>
    <row r="107" spans="1:17">
      <c r="A107" s="1297">
        <v>682</v>
      </c>
      <c r="B107" s="1297" t="s">
        <v>1860</v>
      </c>
      <c r="C107" s="1422">
        <v>1510</v>
      </c>
      <c r="D107" s="1297">
        <v>113</v>
      </c>
      <c r="E107" s="1297">
        <v>128</v>
      </c>
      <c r="F107" s="1297">
        <v>84</v>
      </c>
      <c r="G107" s="1297">
        <v>112</v>
      </c>
      <c r="H107" s="1297">
        <v>104</v>
      </c>
      <c r="I107" s="1297">
        <v>113</v>
      </c>
      <c r="J107" s="1297">
        <v>113</v>
      </c>
      <c r="K107" s="1297">
        <v>119</v>
      </c>
      <c r="L107" s="1297">
        <v>108</v>
      </c>
      <c r="M107" s="1297">
        <v>114</v>
      </c>
      <c r="N107" s="1297">
        <v>113</v>
      </c>
      <c r="O107" s="1297">
        <v>102</v>
      </c>
      <c r="P107" s="1297">
        <v>89</v>
      </c>
      <c r="Q107" s="1297">
        <v>98</v>
      </c>
    </row>
    <row r="108" spans="1:17">
      <c r="A108" s="1297">
        <v>683</v>
      </c>
      <c r="B108" s="1297" t="s">
        <v>1861</v>
      </c>
      <c r="C108" s="1422">
        <v>1209</v>
      </c>
      <c r="D108" s="1297">
        <v>86</v>
      </c>
      <c r="E108" s="1297">
        <v>93</v>
      </c>
      <c r="F108" s="1297">
        <v>76</v>
      </c>
      <c r="G108" s="1297">
        <v>99</v>
      </c>
      <c r="H108" s="1297">
        <v>95</v>
      </c>
      <c r="I108" s="1297">
        <v>92</v>
      </c>
      <c r="J108" s="1297">
        <v>93</v>
      </c>
      <c r="K108" s="1297">
        <v>77</v>
      </c>
      <c r="L108" s="1297">
        <v>95</v>
      </c>
      <c r="M108" s="1297">
        <v>91</v>
      </c>
      <c r="N108" s="1297">
        <v>99</v>
      </c>
      <c r="O108" s="1297">
        <v>78</v>
      </c>
      <c r="P108" s="1297">
        <v>63</v>
      </c>
      <c r="Q108" s="1297">
        <v>72</v>
      </c>
    </row>
    <row r="109" spans="1:17">
      <c r="A109" s="1297">
        <v>684</v>
      </c>
      <c r="B109" s="1297" t="s">
        <v>1862</v>
      </c>
      <c r="C109" s="1422">
        <v>5612</v>
      </c>
      <c r="D109" s="1297">
        <v>226</v>
      </c>
      <c r="E109" s="1297">
        <v>432</v>
      </c>
      <c r="F109" s="1297">
        <v>414</v>
      </c>
      <c r="G109" s="1297">
        <v>398</v>
      </c>
      <c r="H109" s="1297">
        <v>425</v>
      </c>
      <c r="I109" s="1297">
        <v>439</v>
      </c>
      <c r="J109" s="1297">
        <v>426</v>
      </c>
      <c r="K109" s="1297">
        <v>445</v>
      </c>
      <c r="L109" s="1297">
        <v>447</v>
      </c>
      <c r="M109" s="1297">
        <v>411</v>
      </c>
      <c r="N109" s="1297">
        <v>460</v>
      </c>
      <c r="O109" s="1297">
        <v>376</v>
      </c>
      <c r="P109" s="1297">
        <v>351</v>
      </c>
      <c r="Q109" s="1297">
        <v>362</v>
      </c>
    </row>
    <row r="110" spans="1:17">
      <c r="A110" s="1297">
        <v>685</v>
      </c>
      <c r="B110" s="1297" t="s">
        <v>1863</v>
      </c>
      <c r="C110" s="1422">
        <v>2527</v>
      </c>
      <c r="D110" s="1297">
        <v>110</v>
      </c>
      <c r="E110" s="1297">
        <v>192</v>
      </c>
      <c r="F110" s="1297">
        <v>205</v>
      </c>
      <c r="G110" s="1297">
        <v>184</v>
      </c>
      <c r="H110" s="1297">
        <v>174</v>
      </c>
      <c r="I110" s="1297">
        <v>215</v>
      </c>
      <c r="J110" s="1297">
        <v>190</v>
      </c>
      <c r="K110" s="1297">
        <v>183</v>
      </c>
      <c r="L110" s="1297">
        <v>195</v>
      </c>
      <c r="M110" s="1297">
        <v>173</v>
      </c>
      <c r="N110" s="1297">
        <v>174</v>
      </c>
      <c r="O110" s="1297">
        <v>211</v>
      </c>
      <c r="P110" s="1297">
        <v>167</v>
      </c>
      <c r="Q110" s="1297">
        <v>154</v>
      </c>
    </row>
    <row r="111" spans="1:17">
      <c r="A111" s="1297">
        <v>686</v>
      </c>
      <c r="B111" s="1297" t="s">
        <v>1864</v>
      </c>
      <c r="C111" s="1422">
        <v>1729</v>
      </c>
      <c r="D111" s="1297">
        <v>138</v>
      </c>
      <c r="E111" s="1297">
        <v>150</v>
      </c>
      <c r="F111" s="1297">
        <v>157</v>
      </c>
      <c r="G111" s="1297">
        <v>147</v>
      </c>
      <c r="H111" s="1297">
        <v>127</v>
      </c>
      <c r="I111" s="1297">
        <v>129</v>
      </c>
      <c r="J111" s="1297">
        <v>134</v>
      </c>
      <c r="K111" s="1297">
        <v>117</v>
      </c>
      <c r="L111" s="1297">
        <v>131</v>
      </c>
      <c r="M111" s="1297">
        <v>114</v>
      </c>
      <c r="N111" s="1297">
        <v>100</v>
      </c>
      <c r="O111" s="1297">
        <v>93</v>
      </c>
      <c r="P111" s="1297">
        <v>110</v>
      </c>
      <c r="Q111" s="1297">
        <v>82</v>
      </c>
    </row>
    <row r="112" spans="1:17">
      <c r="A112" s="1297">
        <v>687</v>
      </c>
      <c r="B112" s="1297" t="s">
        <v>1865</v>
      </c>
      <c r="C112" s="1422">
        <v>6529</v>
      </c>
      <c r="D112" s="1297">
        <v>312</v>
      </c>
      <c r="E112" s="1297">
        <v>541</v>
      </c>
      <c r="F112" s="1297">
        <v>514</v>
      </c>
      <c r="G112" s="1297">
        <v>493</v>
      </c>
      <c r="H112" s="1297">
        <v>470</v>
      </c>
      <c r="I112" s="1297">
        <v>491</v>
      </c>
      <c r="J112" s="1297">
        <v>509</v>
      </c>
      <c r="K112" s="1297">
        <v>487</v>
      </c>
      <c r="L112" s="1297">
        <v>498</v>
      </c>
      <c r="M112" s="1297">
        <v>470</v>
      </c>
      <c r="N112" s="1297">
        <v>510</v>
      </c>
      <c r="O112" s="1297">
        <v>440</v>
      </c>
      <c r="P112" s="1297">
        <v>414</v>
      </c>
      <c r="Q112" s="1297">
        <v>380</v>
      </c>
    </row>
    <row r="113" spans="1:17">
      <c r="A113" s="1297">
        <v>688</v>
      </c>
      <c r="B113" s="1297" t="s">
        <v>1866</v>
      </c>
      <c r="C113" s="1422">
        <v>6321</v>
      </c>
      <c r="D113" s="1297">
        <v>243</v>
      </c>
      <c r="E113" s="1297">
        <v>475</v>
      </c>
      <c r="F113" s="1297">
        <v>477</v>
      </c>
      <c r="G113" s="1297">
        <v>447</v>
      </c>
      <c r="H113" s="1297">
        <v>473</v>
      </c>
      <c r="I113" s="1297">
        <v>483</v>
      </c>
      <c r="J113" s="1297">
        <v>510</v>
      </c>
      <c r="K113" s="1297">
        <v>500</v>
      </c>
      <c r="L113" s="1297">
        <v>517</v>
      </c>
      <c r="M113" s="1297">
        <v>527</v>
      </c>
      <c r="N113" s="1297">
        <v>463</v>
      </c>
      <c r="O113" s="1297">
        <v>426</v>
      </c>
      <c r="P113" s="1297">
        <v>393</v>
      </c>
      <c r="Q113" s="1297">
        <v>387</v>
      </c>
    </row>
    <row r="114" spans="1:17">
      <c r="A114" s="1297">
        <v>689</v>
      </c>
      <c r="B114" s="1297" t="s">
        <v>1867</v>
      </c>
      <c r="C114" s="1422">
        <v>10507</v>
      </c>
      <c r="D114" s="1297">
        <v>434</v>
      </c>
      <c r="E114" s="1297">
        <v>858</v>
      </c>
      <c r="F114" s="1297">
        <v>867</v>
      </c>
      <c r="G114" s="1297">
        <v>781</v>
      </c>
      <c r="H114" s="1297">
        <v>744</v>
      </c>
      <c r="I114" s="1297">
        <v>744</v>
      </c>
      <c r="J114" s="1297">
        <v>758</v>
      </c>
      <c r="K114" s="1297">
        <v>759</v>
      </c>
      <c r="L114" s="1297">
        <v>855</v>
      </c>
      <c r="M114" s="1297">
        <v>784</v>
      </c>
      <c r="N114" s="1297">
        <v>804</v>
      </c>
      <c r="O114" s="1297">
        <v>783</v>
      </c>
      <c r="P114" s="1297">
        <v>661</v>
      </c>
      <c r="Q114" s="1297">
        <v>675</v>
      </c>
    </row>
    <row r="115" spans="1:17">
      <c r="A115" s="1297">
        <v>690</v>
      </c>
      <c r="B115" s="1297" t="s">
        <v>1868</v>
      </c>
      <c r="C115" s="1422">
        <v>1211</v>
      </c>
      <c r="D115" s="1297">
        <v>65</v>
      </c>
      <c r="E115" s="1297">
        <v>90</v>
      </c>
      <c r="F115" s="1297">
        <v>84</v>
      </c>
      <c r="G115" s="1297">
        <v>71</v>
      </c>
      <c r="H115" s="1297">
        <v>85</v>
      </c>
      <c r="I115" s="1297">
        <v>89</v>
      </c>
      <c r="J115" s="1297">
        <v>94</v>
      </c>
      <c r="K115" s="1297">
        <v>86</v>
      </c>
      <c r="L115" s="1297">
        <v>77</v>
      </c>
      <c r="M115" s="1297">
        <v>75</v>
      </c>
      <c r="N115" s="1297">
        <v>108</v>
      </c>
      <c r="O115" s="1297">
        <v>99</v>
      </c>
      <c r="P115" s="1297">
        <v>84</v>
      </c>
      <c r="Q115" s="1297">
        <v>104</v>
      </c>
    </row>
    <row r="116" spans="1:17">
      <c r="A116" s="1297">
        <v>691</v>
      </c>
      <c r="B116" s="1297" t="s">
        <v>1869</v>
      </c>
      <c r="C116" s="1422">
        <v>2500</v>
      </c>
      <c r="D116" s="1297">
        <v>0</v>
      </c>
      <c r="E116" s="1297">
        <v>239</v>
      </c>
      <c r="F116" s="1297">
        <v>196</v>
      </c>
      <c r="G116" s="1297">
        <v>206</v>
      </c>
      <c r="H116" s="1297">
        <v>234</v>
      </c>
      <c r="I116" s="1297">
        <v>209</v>
      </c>
      <c r="J116" s="1297">
        <v>215</v>
      </c>
      <c r="K116" s="1297">
        <v>191</v>
      </c>
      <c r="L116" s="1297">
        <v>213</v>
      </c>
      <c r="M116" s="1297">
        <v>193</v>
      </c>
      <c r="N116" s="1297">
        <v>194</v>
      </c>
      <c r="O116" s="1297">
        <v>162</v>
      </c>
      <c r="P116" s="1297">
        <v>125</v>
      </c>
      <c r="Q116" s="1297">
        <v>123</v>
      </c>
    </row>
    <row r="117" spans="1:17">
      <c r="A117" s="1297">
        <v>692</v>
      </c>
      <c r="B117" s="1297" t="s">
        <v>1870</v>
      </c>
      <c r="C117" s="1422">
        <v>10323</v>
      </c>
      <c r="D117" s="1297">
        <v>408</v>
      </c>
      <c r="E117" s="1297">
        <v>773</v>
      </c>
      <c r="F117" s="1297">
        <v>829</v>
      </c>
      <c r="G117" s="1297">
        <v>726</v>
      </c>
      <c r="H117" s="1297">
        <v>737</v>
      </c>
      <c r="I117" s="1297">
        <v>761</v>
      </c>
      <c r="J117" s="1297">
        <v>801</v>
      </c>
      <c r="K117" s="1297">
        <v>791</v>
      </c>
      <c r="L117" s="1297">
        <v>819</v>
      </c>
      <c r="M117" s="1297">
        <v>770</v>
      </c>
      <c r="N117" s="1297">
        <v>873</v>
      </c>
      <c r="O117" s="1297">
        <v>781</v>
      </c>
      <c r="P117" s="1297">
        <v>671</v>
      </c>
      <c r="Q117" s="1297">
        <v>583</v>
      </c>
    </row>
    <row r="118" spans="1:17">
      <c r="A118" s="1297">
        <v>693</v>
      </c>
      <c r="B118" s="1297" t="s">
        <v>1871</v>
      </c>
      <c r="C118" s="1422">
        <v>3779</v>
      </c>
      <c r="D118" s="1297">
        <v>0</v>
      </c>
      <c r="E118" s="1297">
        <v>311</v>
      </c>
      <c r="F118" s="1297">
        <v>314</v>
      </c>
      <c r="G118" s="1297">
        <v>294</v>
      </c>
      <c r="H118" s="1297">
        <v>292</v>
      </c>
      <c r="I118" s="1297">
        <v>300</v>
      </c>
      <c r="J118" s="1297">
        <v>325</v>
      </c>
      <c r="K118" s="1297">
        <v>274</v>
      </c>
      <c r="L118" s="1297">
        <v>289</v>
      </c>
      <c r="M118" s="1297">
        <v>290</v>
      </c>
      <c r="N118" s="1297">
        <v>345</v>
      </c>
      <c r="O118" s="1297">
        <v>327</v>
      </c>
      <c r="P118" s="1297">
        <v>221</v>
      </c>
      <c r="Q118" s="1297">
        <v>197</v>
      </c>
    </row>
    <row r="119" spans="1:17">
      <c r="A119" s="1297">
        <v>694</v>
      </c>
      <c r="B119" s="1297" t="s">
        <v>1872</v>
      </c>
      <c r="C119" s="1422">
        <v>1821</v>
      </c>
      <c r="D119" s="1297">
        <v>94</v>
      </c>
      <c r="E119" s="1297">
        <v>117</v>
      </c>
      <c r="F119" s="1297">
        <v>130</v>
      </c>
      <c r="G119" s="1297">
        <v>121</v>
      </c>
      <c r="H119" s="1297">
        <v>129</v>
      </c>
      <c r="I119" s="1297">
        <v>147</v>
      </c>
      <c r="J119" s="1297">
        <v>159</v>
      </c>
      <c r="K119" s="1297">
        <v>152</v>
      </c>
      <c r="L119" s="1297">
        <v>129</v>
      </c>
      <c r="M119" s="1297">
        <v>141</v>
      </c>
      <c r="N119" s="1297">
        <v>151</v>
      </c>
      <c r="O119" s="1297">
        <v>148</v>
      </c>
      <c r="P119" s="1297">
        <v>94</v>
      </c>
      <c r="Q119" s="1297">
        <v>109</v>
      </c>
    </row>
    <row r="120" spans="1:17">
      <c r="A120" s="1297">
        <v>695</v>
      </c>
      <c r="B120" s="1297" t="s">
        <v>1873</v>
      </c>
      <c r="C120" s="1422">
        <v>4790</v>
      </c>
      <c r="D120" s="1297">
        <v>133</v>
      </c>
      <c r="E120" s="1297">
        <v>367</v>
      </c>
      <c r="F120" s="1297">
        <v>339</v>
      </c>
      <c r="G120" s="1297">
        <v>351</v>
      </c>
      <c r="H120" s="1297">
        <v>379</v>
      </c>
      <c r="I120" s="1297">
        <v>395</v>
      </c>
      <c r="J120" s="1297">
        <v>372</v>
      </c>
      <c r="K120" s="1297">
        <v>362</v>
      </c>
      <c r="L120" s="1297">
        <v>331</v>
      </c>
      <c r="M120" s="1297">
        <v>370</v>
      </c>
      <c r="N120" s="1297">
        <v>379</v>
      </c>
      <c r="O120" s="1297">
        <v>349</v>
      </c>
      <c r="P120" s="1297">
        <v>346</v>
      </c>
      <c r="Q120" s="1297">
        <v>317</v>
      </c>
    </row>
    <row r="121" spans="1:17">
      <c r="A121" s="1297">
        <v>781</v>
      </c>
      <c r="B121" s="1297" t="s">
        <v>758</v>
      </c>
      <c r="C121" s="1422">
        <v>7966</v>
      </c>
      <c r="D121" s="1297">
        <v>72</v>
      </c>
      <c r="E121" s="1297">
        <v>749</v>
      </c>
      <c r="F121" s="1297">
        <v>771</v>
      </c>
      <c r="G121" s="1297">
        <v>735</v>
      </c>
      <c r="H121" s="1297">
        <v>693</v>
      </c>
      <c r="I121" s="1297">
        <v>707</v>
      </c>
      <c r="J121" s="1297">
        <v>606</v>
      </c>
      <c r="K121" s="1297">
        <v>598</v>
      </c>
      <c r="L121" s="1297">
        <v>597</v>
      </c>
      <c r="M121" s="1297">
        <v>521</v>
      </c>
      <c r="N121" s="1297">
        <v>694</v>
      </c>
      <c r="O121" s="1297">
        <v>485</v>
      </c>
      <c r="P121" s="1297">
        <v>364</v>
      </c>
      <c r="Q121" s="1297">
        <v>374</v>
      </c>
    </row>
    <row r="122" spans="1:17">
      <c r="A122" s="1297">
        <v>696</v>
      </c>
      <c r="B122" s="1297" t="s">
        <v>1874</v>
      </c>
      <c r="C122" s="1422">
        <v>1334</v>
      </c>
      <c r="D122" s="1297">
        <v>61</v>
      </c>
      <c r="E122" s="1297">
        <v>108</v>
      </c>
      <c r="F122" s="1297">
        <v>80</v>
      </c>
      <c r="G122" s="1297">
        <v>68</v>
      </c>
      <c r="H122" s="1297">
        <v>114</v>
      </c>
      <c r="I122" s="1297">
        <v>102</v>
      </c>
      <c r="J122" s="1297">
        <v>106</v>
      </c>
      <c r="K122" s="1297">
        <v>113</v>
      </c>
      <c r="L122" s="1297">
        <v>84</v>
      </c>
      <c r="M122" s="1297">
        <v>100</v>
      </c>
      <c r="N122" s="1297">
        <v>119</v>
      </c>
      <c r="O122" s="1297">
        <v>89</v>
      </c>
      <c r="P122" s="1297">
        <v>80</v>
      </c>
      <c r="Q122" s="1297">
        <v>110</v>
      </c>
    </row>
    <row r="123" spans="1:17">
      <c r="A123" s="1297">
        <v>697</v>
      </c>
      <c r="B123" s="1297" t="s">
        <v>1875</v>
      </c>
      <c r="C123" s="1422">
        <v>4184</v>
      </c>
      <c r="D123" s="1297">
        <v>157</v>
      </c>
      <c r="E123" s="1297">
        <v>380</v>
      </c>
      <c r="F123" s="1297">
        <v>324</v>
      </c>
      <c r="G123" s="1297">
        <v>292</v>
      </c>
      <c r="H123" s="1297">
        <v>306</v>
      </c>
      <c r="I123" s="1297">
        <v>344</v>
      </c>
      <c r="J123" s="1297">
        <v>371</v>
      </c>
      <c r="K123" s="1297">
        <v>316</v>
      </c>
      <c r="L123" s="1297">
        <v>337</v>
      </c>
      <c r="M123" s="1297">
        <v>275</v>
      </c>
      <c r="N123" s="1297">
        <v>314</v>
      </c>
      <c r="O123" s="1297">
        <v>267</v>
      </c>
      <c r="P123" s="1297">
        <v>243</v>
      </c>
      <c r="Q123" s="1297">
        <v>258</v>
      </c>
    </row>
    <row r="124" spans="1:17">
      <c r="A124" s="1297">
        <v>698</v>
      </c>
      <c r="B124" s="1297" t="s">
        <v>1876</v>
      </c>
      <c r="C124" s="1422">
        <v>1756</v>
      </c>
      <c r="D124" s="1297">
        <v>84</v>
      </c>
      <c r="E124" s="1297">
        <v>122</v>
      </c>
      <c r="F124" s="1297">
        <v>115</v>
      </c>
      <c r="G124" s="1297">
        <v>121</v>
      </c>
      <c r="H124" s="1297">
        <v>139</v>
      </c>
      <c r="I124" s="1297">
        <v>136</v>
      </c>
      <c r="J124" s="1297">
        <v>134</v>
      </c>
      <c r="K124" s="1297">
        <v>131</v>
      </c>
      <c r="L124" s="1297">
        <v>111</v>
      </c>
      <c r="M124" s="1297">
        <v>126</v>
      </c>
      <c r="N124" s="1297">
        <v>143</v>
      </c>
      <c r="O124" s="1297">
        <v>134</v>
      </c>
      <c r="P124" s="1297">
        <v>128</v>
      </c>
      <c r="Q124" s="1297">
        <v>132</v>
      </c>
    </row>
    <row r="125" spans="1:17">
      <c r="A125" s="1297">
        <v>699</v>
      </c>
      <c r="B125" s="1297" t="s">
        <v>1877</v>
      </c>
      <c r="C125" s="1422">
        <v>3263</v>
      </c>
      <c r="D125" s="1297">
        <v>242</v>
      </c>
      <c r="E125" s="1297">
        <v>254</v>
      </c>
      <c r="F125" s="1297">
        <v>234</v>
      </c>
      <c r="G125" s="1297">
        <v>225</v>
      </c>
      <c r="H125" s="1297">
        <v>266</v>
      </c>
      <c r="I125" s="1297">
        <v>229</v>
      </c>
      <c r="J125" s="1297">
        <v>259</v>
      </c>
      <c r="K125" s="1297">
        <v>224</v>
      </c>
      <c r="L125" s="1297">
        <v>243</v>
      </c>
      <c r="M125" s="1297">
        <v>232</v>
      </c>
      <c r="N125" s="1297">
        <v>268</v>
      </c>
      <c r="O125" s="1297">
        <v>231</v>
      </c>
      <c r="P125" s="1297">
        <v>166</v>
      </c>
      <c r="Q125" s="1297">
        <v>190</v>
      </c>
    </row>
    <row r="126" spans="1:17">
      <c r="A126" s="1297">
        <v>700</v>
      </c>
      <c r="B126" s="1297" t="s">
        <v>1878</v>
      </c>
      <c r="C126" s="1422">
        <v>1071</v>
      </c>
      <c r="D126" s="1297">
        <v>60</v>
      </c>
      <c r="E126" s="1297">
        <v>77</v>
      </c>
      <c r="F126" s="1297">
        <v>74</v>
      </c>
      <c r="G126" s="1297">
        <v>91</v>
      </c>
      <c r="H126" s="1297">
        <v>87</v>
      </c>
      <c r="I126" s="1297">
        <v>102</v>
      </c>
      <c r="J126" s="1297">
        <v>62</v>
      </c>
      <c r="K126" s="1297">
        <v>89</v>
      </c>
      <c r="L126" s="1297">
        <v>68</v>
      </c>
      <c r="M126" s="1297">
        <v>76</v>
      </c>
      <c r="N126" s="1297">
        <v>92</v>
      </c>
      <c r="O126" s="1297">
        <v>61</v>
      </c>
      <c r="P126" s="1297">
        <v>62</v>
      </c>
      <c r="Q126" s="1297">
        <v>70</v>
      </c>
    </row>
    <row r="127" spans="1:17">
      <c r="A127" s="1297">
        <v>701</v>
      </c>
      <c r="B127" s="1297" t="s">
        <v>862</v>
      </c>
      <c r="C127" s="1422">
        <v>2519</v>
      </c>
      <c r="D127" s="1297">
        <v>146</v>
      </c>
      <c r="E127" s="1297">
        <v>213</v>
      </c>
      <c r="F127" s="1297">
        <v>215</v>
      </c>
      <c r="G127" s="1297">
        <v>205</v>
      </c>
      <c r="H127" s="1297">
        <v>192</v>
      </c>
      <c r="I127" s="1297">
        <v>220</v>
      </c>
      <c r="J127" s="1297">
        <v>200</v>
      </c>
      <c r="K127" s="1297">
        <v>186</v>
      </c>
      <c r="L127" s="1297">
        <v>209</v>
      </c>
      <c r="M127" s="1297">
        <v>172</v>
      </c>
      <c r="N127" s="1297">
        <v>202</v>
      </c>
      <c r="O127" s="1297">
        <v>153</v>
      </c>
      <c r="P127" s="1297">
        <v>83</v>
      </c>
      <c r="Q127" s="1297">
        <v>123</v>
      </c>
    </row>
    <row r="128" spans="1:17">
      <c r="A128" s="1297">
        <v>702</v>
      </c>
      <c r="B128" s="1297" t="s">
        <v>1879</v>
      </c>
      <c r="C128" s="1422">
        <v>3934</v>
      </c>
      <c r="D128" s="1297">
        <v>195</v>
      </c>
      <c r="E128" s="1297">
        <v>288</v>
      </c>
      <c r="F128" s="1297">
        <v>261</v>
      </c>
      <c r="G128" s="1297">
        <v>303</v>
      </c>
      <c r="H128" s="1297">
        <v>272</v>
      </c>
      <c r="I128" s="1297">
        <v>290</v>
      </c>
      <c r="J128" s="1297">
        <v>307</v>
      </c>
      <c r="K128" s="1297">
        <v>311</v>
      </c>
      <c r="L128" s="1297">
        <v>279</v>
      </c>
      <c r="M128" s="1297">
        <v>299</v>
      </c>
      <c r="N128" s="1297">
        <v>315</v>
      </c>
      <c r="O128" s="1297">
        <v>323</v>
      </c>
      <c r="P128" s="1297">
        <v>260</v>
      </c>
      <c r="Q128" s="1297">
        <v>231</v>
      </c>
    </row>
    <row r="129" spans="1:17">
      <c r="A129" s="1297">
        <v>703</v>
      </c>
      <c r="B129" s="1297" t="s">
        <v>1735</v>
      </c>
      <c r="C129" s="1422">
        <v>1071</v>
      </c>
      <c r="D129" s="1297">
        <v>63</v>
      </c>
      <c r="E129" s="1297">
        <v>81</v>
      </c>
      <c r="F129" s="1297">
        <v>68</v>
      </c>
      <c r="G129" s="1297">
        <v>86</v>
      </c>
      <c r="H129" s="1297">
        <v>79</v>
      </c>
      <c r="I129" s="1297">
        <v>84</v>
      </c>
      <c r="J129" s="1297">
        <v>73</v>
      </c>
      <c r="K129" s="1297">
        <v>84</v>
      </c>
      <c r="L129" s="1297">
        <v>80</v>
      </c>
      <c r="M129" s="1297">
        <v>94</v>
      </c>
      <c r="N129" s="1297">
        <v>87</v>
      </c>
      <c r="O129" s="1297">
        <v>59</v>
      </c>
      <c r="P129" s="1297">
        <v>69</v>
      </c>
      <c r="Q129" s="1297">
        <v>64</v>
      </c>
    </row>
    <row r="130" spans="1:17">
      <c r="A130" s="1297">
        <v>704</v>
      </c>
      <c r="B130" s="1297" t="s">
        <v>822</v>
      </c>
      <c r="C130" s="1422">
        <v>3364</v>
      </c>
      <c r="D130" s="1297">
        <v>96</v>
      </c>
      <c r="E130" s="1297">
        <v>264</v>
      </c>
      <c r="F130" s="1297">
        <v>243</v>
      </c>
      <c r="G130" s="1297">
        <v>248</v>
      </c>
      <c r="H130" s="1297">
        <v>231</v>
      </c>
      <c r="I130" s="1297">
        <v>229</v>
      </c>
      <c r="J130" s="1297">
        <v>280</v>
      </c>
      <c r="K130" s="1297">
        <v>268</v>
      </c>
      <c r="L130" s="1297">
        <v>269</v>
      </c>
      <c r="M130" s="1297">
        <v>249</v>
      </c>
      <c r="N130" s="1297">
        <v>264</v>
      </c>
      <c r="O130" s="1297">
        <v>260</v>
      </c>
      <c r="P130" s="1297">
        <v>223</v>
      </c>
      <c r="Q130" s="1297">
        <v>240</v>
      </c>
    </row>
    <row r="131" spans="1:17">
      <c r="A131" s="1297">
        <v>705</v>
      </c>
      <c r="B131" s="1297" t="s">
        <v>1736</v>
      </c>
      <c r="C131" s="1422">
        <v>7654</v>
      </c>
      <c r="D131" s="1297">
        <v>360</v>
      </c>
      <c r="E131" s="1297">
        <v>637</v>
      </c>
      <c r="F131" s="1297">
        <v>561</v>
      </c>
      <c r="G131" s="1297">
        <v>599</v>
      </c>
      <c r="H131" s="1297">
        <v>594</v>
      </c>
      <c r="I131" s="1297">
        <v>570</v>
      </c>
      <c r="J131" s="1297">
        <v>580</v>
      </c>
      <c r="K131" s="1297">
        <v>581</v>
      </c>
      <c r="L131" s="1297">
        <v>593</v>
      </c>
      <c r="M131" s="1297">
        <v>529</v>
      </c>
      <c r="N131" s="1297">
        <v>621</v>
      </c>
      <c r="O131" s="1297">
        <v>536</v>
      </c>
      <c r="P131" s="1297">
        <v>444</v>
      </c>
      <c r="Q131" s="1297">
        <v>449</v>
      </c>
    </row>
    <row r="132" spans="1:17">
      <c r="A132" s="1297">
        <v>706</v>
      </c>
      <c r="B132" s="1297" t="s">
        <v>924</v>
      </c>
      <c r="C132" s="1422">
        <v>31910</v>
      </c>
      <c r="D132" s="1422">
        <v>1152</v>
      </c>
      <c r="E132" s="1422">
        <v>2506</v>
      </c>
      <c r="F132" s="1422">
        <v>2428</v>
      </c>
      <c r="G132" s="1422">
        <v>2348</v>
      </c>
      <c r="H132" s="1422">
        <v>2397</v>
      </c>
      <c r="I132" s="1422">
        <v>2433</v>
      </c>
      <c r="J132" s="1422">
        <v>2455</v>
      </c>
      <c r="K132" s="1422">
        <v>2322</v>
      </c>
      <c r="L132" s="1422">
        <v>2288</v>
      </c>
      <c r="M132" s="1422">
        <v>2339</v>
      </c>
      <c r="N132" s="1422">
        <v>2679</v>
      </c>
      <c r="O132" s="1422">
        <v>2443</v>
      </c>
      <c r="P132" s="1422">
        <v>2024</v>
      </c>
      <c r="Q132" s="1422">
        <v>2096</v>
      </c>
    </row>
    <row r="133" spans="1:17">
      <c r="A133" s="1297">
        <v>707</v>
      </c>
      <c r="B133" s="1297" t="s">
        <v>859</v>
      </c>
      <c r="C133" s="1422">
        <v>19232</v>
      </c>
      <c r="D133" s="1297">
        <v>710</v>
      </c>
      <c r="E133" s="1422">
        <v>1460</v>
      </c>
      <c r="F133" s="1422">
        <v>1464</v>
      </c>
      <c r="G133" s="1422">
        <v>1455</v>
      </c>
      <c r="H133" s="1422">
        <v>1459</v>
      </c>
      <c r="I133" s="1422">
        <v>1501</v>
      </c>
      <c r="J133" s="1422">
        <v>1537</v>
      </c>
      <c r="K133" s="1422">
        <v>1460</v>
      </c>
      <c r="L133" s="1422">
        <v>1494</v>
      </c>
      <c r="M133" s="1422">
        <v>1431</v>
      </c>
      <c r="N133" s="1422">
        <v>1664</v>
      </c>
      <c r="O133" s="1422">
        <v>1394</v>
      </c>
      <c r="P133" s="1422">
        <v>1115</v>
      </c>
      <c r="Q133" s="1422">
        <v>1088</v>
      </c>
    </row>
    <row r="134" spans="1:17">
      <c r="A134" s="1297">
        <v>708</v>
      </c>
      <c r="B134" s="1297" t="s">
        <v>1737</v>
      </c>
      <c r="C134" s="1422">
        <v>6440</v>
      </c>
      <c r="D134" s="1297">
        <v>72</v>
      </c>
      <c r="E134" s="1297">
        <v>454</v>
      </c>
      <c r="F134" s="1297">
        <v>428</v>
      </c>
      <c r="G134" s="1297">
        <v>481</v>
      </c>
      <c r="H134" s="1297">
        <v>483</v>
      </c>
      <c r="I134" s="1297">
        <v>506</v>
      </c>
      <c r="J134" s="1297">
        <v>489</v>
      </c>
      <c r="K134" s="1297">
        <v>536</v>
      </c>
      <c r="L134" s="1297">
        <v>482</v>
      </c>
      <c r="M134" s="1297">
        <v>546</v>
      </c>
      <c r="N134" s="1297">
        <v>490</v>
      </c>
      <c r="O134" s="1297">
        <v>553</v>
      </c>
      <c r="P134" s="1297">
        <v>462</v>
      </c>
      <c r="Q134" s="1297">
        <v>458</v>
      </c>
    </row>
    <row r="135" spans="1:17">
      <c r="A135" s="1297">
        <v>709</v>
      </c>
      <c r="B135" s="1297" t="s">
        <v>1738</v>
      </c>
      <c r="C135" s="1422">
        <v>2366</v>
      </c>
      <c r="D135" s="1297">
        <v>46</v>
      </c>
      <c r="E135" s="1297">
        <v>182</v>
      </c>
      <c r="F135" s="1297">
        <v>181</v>
      </c>
      <c r="G135" s="1297">
        <v>157</v>
      </c>
      <c r="H135" s="1297">
        <v>187</v>
      </c>
      <c r="I135" s="1297">
        <v>174</v>
      </c>
      <c r="J135" s="1297">
        <v>184</v>
      </c>
      <c r="K135" s="1297">
        <v>175</v>
      </c>
      <c r="L135" s="1297">
        <v>195</v>
      </c>
      <c r="M135" s="1297">
        <v>193</v>
      </c>
      <c r="N135" s="1297">
        <v>201</v>
      </c>
      <c r="O135" s="1297">
        <v>178</v>
      </c>
      <c r="P135" s="1297">
        <v>159</v>
      </c>
      <c r="Q135" s="1297">
        <v>154</v>
      </c>
    </row>
    <row r="136" spans="1:17">
      <c r="A136" s="1297">
        <v>710</v>
      </c>
      <c r="B136" s="1297" t="s">
        <v>1739</v>
      </c>
      <c r="C136" s="1422">
        <v>28166</v>
      </c>
      <c r="D136" s="1297">
        <v>169</v>
      </c>
      <c r="E136" s="1422">
        <v>2148</v>
      </c>
      <c r="F136" s="1422">
        <v>2111</v>
      </c>
      <c r="G136" s="1422">
        <v>2280</v>
      </c>
      <c r="H136" s="1422">
        <v>2113</v>
      </c>
      <c r="I136" s="1422">
        <v>2249</v>
      </c>
      <c r="J136" s="1422">
        <v>2288</v>
      </c>
      <c r="K136" s="1422">
        <v>2265</v>
      </c>
      <c r="L136" s="1422">
        <v>2216</v>
      </c>
      <c r="M136" s="1422">
        <v>2218</v>
      </c>
      <c r="N136" s="1422">
        <v>2442</v>
      </c>
      <c r="O136" s="1422">
        <v>2224</v>
      </c>
      <c r="P136" s="1422">
        <v>1602</v>
      </c>
      <c r="Q136" s="1422">
        <v>1841</v>
      </c>
    </row>
    <row r="137" spans="1:17">
      <c r="A137" s="1297">
        <v>711</v>
      </c>
      <c r="B137" s="1297" t="s">
        <v>1740</v>
      </c>
      <c r="C137" s="1422">
        <v>3926</v>
      </c>
      <c r="D137" s="1297">
        <v>15</v>
      </c>
      <c r="E137" s="1297">
        <v>335</v>
      </c>
      <c r="F137" s="1297">
        <v>305</v>
      </c>
      <c r="G137" s="1297">
        <v>279</v>
      </c>
      <c r="H137" s="1297">
        <v>331</v>
      </c>
      <c r="I137" s="1297">
        <v>336</v>
      </c>
      <c r="J137" s="1297">
        <v>325</v>
      </c>
      <c r="K137" s="1297">
        <v>330</v>
      </c>
      <c r="L137" s="1297">
        <v>291</v>
      </c>
      <c r="M137" s="1297">
        <v>286</v>
      </c>
      <c r="N137" s="1297">
        <v>327</v>
      </c>
      <c r="O137" s="1297">
        <v>270</v>
      </c>
      <c r="P137" s="1297">
        <v>287</v>
      </c>
      <c r="Q137" s="1297">
        <v>209</v>
      </c>
    </row>
    <row r="138" spans="1:17">
      <c r="A138" s="1297">
        <v>784</v>
      </c>
      <c r="B138" s="1297" t="s">
        <v>1741</v>
      </c>
      <c r="C138" s="1422">
        <v>1479</v>
      </c>
      <c r="D138" s="1297">
        <v>81</v>
      </c>
      <c r="E138" s="1297">
        <v>113</v>
      </c>
      <c r="F138" s="1297">
        <v>100</v>
      </c>
      <c r="G138" s="1297">
        <v>90</v>
      </c>
      <c r="H138" s="1297">
        <v>113</v>
      </c>
      <c r="I138" s="1297">
        <v>100</v>
      </c>
      <c r="J138" s="1297">
        <v>121</v>
      </c>
      <c r="K138" s="1297">
        <v>115</v>
      </c>
      <c r="L138" s="1297">
        <v>122</v>
      </c>
      <c r="M138" s="1297">
        <v>113</v>
      </c>
      <c r="N138" s="1297">
        <v>146</v>
      </c>
      <c r="O138" s="1297">
        <v>100</v>
      </c>
      <c r="P138" s="1297">
        <v>75</v>
      </c>
      <c r="Q138" s="1297">
        <v>90</v>
      </c>
    </row>
    <row r="139" spans="1:17">
      <c r="A139" s="1297">
        <v>712</v>
      </c>
      <c r="B139" s="1297" t="s">
        <v>1742</v>
      </c>
      <c r="C139" s="1422">
        <v>4411</v>
      </c>
      <c r="D139" s="1297">
        <v>36</v>
      </c>
      <c r="E139" s="1297">
        <v>332</v>
      </c>
      <c r="F139" s="1297">
        <v>334</v>
      </c>
      <c r="G139" s="1297">
        <v>352</v>
      </c>
      <c r="H139" s="1297">
        <v>372</v>
      </c>
      <c r="I139" s="1297">
        <v>403</v>
      </c>
      <c r="J139" s="1297">
        <v>325</v>
      </c>
      <c r="K139" s="1297">
        <v>371</v>
      </c>
      <c r="L139" s="1297">
        <v>363</v>
      </c>
      <c r="M139" s="1297">
        <v>337</v>
      </c>
      <c r="N139" s="1297">
        <v>368</v>
      </c>
      <c r="O139" s="1297">
        <v>315</v>
      </c>
      <c r="P139" s="1297">
        <v>262</v>
      </c>
      <c r="Q139" s="1297">
        <v>241</v>
      </c>
    </row>
    <row r="140" spans="1:17">
      <c r="A140" s="1297">
        <v>713</v>
      </c>
      <c r="B140" s="1297" t="s">
        <v>1743</v>
      </c>
      <c r="C140" s="1422">
        <v>3575</v>
      </c>
      <c r="D140" s="1297">
        <v>152</v>
      </c>
      <c r="E140" s="1297">
        <v>284</v>
      </c>
      <c r="F140" s="1297">
        <v>273</v>
      </c>
      <c r="G140" s="1297">
        <v>260</v>
      </c>
      <c r="H140" s="1297">
        <v>268</v>
      </c>
      <c r="I140" s="1297">
        <v>287</v>
      </c>
      <c r="J140" s="1297">
        <v>281</v>
      </c>
      <c r="K140" s="1297">
        <v>314</v>
      </c>
      <c r="L140" s="1297">
        <v>280</v>
      </c>
      <c r="M140" s="1297">
        <v>266</v>
      </c>
      <c r="N140" s="1297">
        <v>252</v>
      </c>
      <c r="O140" s="1297">
        <v>234</v>
      </c>
      <c r="P140" s="1297">
        <v>215</v>
      </c>
      <c r="Q140" s="1297">
        <v>209</v>
      </c>
    </row>
    <row r="141" spans="1:17">
      <c r="A141" s="1297">
        <v>714</v>
      </c>
      <c r="B141" s="1297" t="s">
        <v>1744</v>
      </c>
      <c r="C141" s="1422">
        <v>3515</v>
      </c>
      <c r="D141" s="1297">
        <v>121</v>
      </c>
      <c r="E141" s="1297">
        <v>245</v>
      </c>
      <c r="F141" s="1297">
        <v>235</v>
      </c>
      <c r="G141" s="1297">
        <v>263</v>
      </c>
      <c r="H141" s="1297">
        <v>236</v>
      </c>
      <c r="I141" s="1297">
        <v>272</v>
      </c>
      <c r="J141" s="1297">
        <v>288</v>
      </c>
      <c r="K141" s="1297">
        <v>263</v>
      </c>
      <c r="L141" s="1297">
        <v>295</v>
      </c>
      <c r="M141" s="1297">
        <v>294</v>
      </c>
      <c r="N141" s="1297">
        <v>312</v>
      </c>
      <c r="O141" s="1297">
        <v>236</v>
      </c>
      <c r="P141" s="1297">
        <v>245</v>
      </c>
      <c r="Q141" s="1297">
        <v>210</v>
      </c>
    </row>
    <row r="142" spans="1:17">
      <c r="A142" s="1297">
        <v>715</v>
      </c>
      <c r="B142" s="1297" t="s">
        <v>1745</v>
      </c>
      <c r="C142" s="1422">
        <v>7525</v>
      </c>
      <c r="D142" s="1297">
        <v>285</v>
      </c>
      <c r="E142" s="1297">
        <v>648</v>
      </c>
      <c r="F142" s="1297">
        <v>625</v>
      </c>
      <c r="G142" s="1297">
        <v>589</v>
      </c>
      <c r="H142" s="1297">
        <v>646</v>
      </c>
      <c r="I142" s="1297">
        <v>557</v>
      </c>
      <c r="J142" s="1297">
        <v>565</v>
      </c>
      <c r="K142" s="1297">
        <v>581</v>
      </c>
      <c r="L142" s="1297">
        <v>560</v>
      </c>
      <c r="M142" s="1297">
        <v>561</v>
      </c>
      <c r="N142" s="1297">
        <v>696</v>
      </c>
      <c r="O142" s="1297">
        <v>485</v>
      </c>
      <c r="P142" s="1297">
        <v>375</v>
      </c>
      <c r="Q142" s="1297">
        <v>352</v>
      </c>
    </row>
    <row r="143" spans="1:17">
      <c r="A143" s="1297">
        <v>716</v>
      </c>
      <c r="B143" s="1297" t="s">
        <v>1746</v>
      </c>
      <c r="C143" s="1422">
        <v>1433</v>
      </c>
      <c r="D143" s="1297">
        <v>87</v>
      </c>
      <c r="E143" s="1297">
        <v>104</v>
      </c>
      <c r="F143" s="1297">
        <v>104</v>
      </c>
      <c r="G143" s="1297">
        <v>103</v>
      </c>
      <c r="H143" s="1297">
        <v>110</v>
      </c>
      <c r="I143" s="1297">
        <v>125</v>
      </c>
      <c r="J143" s="1297">
        <v>105</v>
      </c>
      <c r="K143" s="1297">
        <v>93</v>
      </c>
      <c r="L143" s="1297">
        <v>105</v>
      </c>
      <c r="M143" s="1297">
        <v>118</v>
      </c>
      <c r="N143" s="1297">
        <v>112</v>
      </c>
      <c r="O143" s="1297">
        <v>80</v>
      </c>
      <c r="P143" s="1297">
        <v>102</v>
      </c>
      <c r="Q143" s="1297">
        <v>85</v>
      </c>
    </row>
    <row r="144" spans="1:17">
      <c r="A144" s="1297">
        <v>717</v>
      </c>
      <c r="B144" s="1297" t="s">
        <v>1747</v>
      </c>
      <c r="C144" s="1422">
        <v>2761</v>
      </c>
      <c r="D144" s="1297">
        <v>132</v>
      </c>
      <c r="E144" s="1297">
        <v>233</v>
      </c>
      <c r="F144" s="1297">
        <v>194</v>
      </c>
      <c r="G144" s="1297">
        <v>199</v>
      </c>
      <c r="H144" s="1297">
        <v>229</v>
      </c>
      <c r="I144" s="1297">
        <v>218</v>
      </c>
      <c r="J144" s="1297">
        <v>218</v>
      </c>
      <c r="K144" s="1297">
        <v>237</v>
      </c>
      <c r="L144" s="1297">
        <v>206</v>
      </c>
      <c r="M144" s="1297">
        <v>181</v>
      </c>
      <c r="N144" s="1297">
        <v>236</v>
      </c>
      <c r="O144" s="1297">
        <v>180</v>
      </c>
      <c r="P144" s="1297">
        <v>146</v>
      </c>
      <c r="Q144" s="1297">
        <v>152</v>
      </c>
    </row>
    <row r="145" spans="1:17">
      <c r="A145" s="1297">
        <v>718</v>
      </c>
      <c r="B145" s="1297" t="s">
        <v>1748</v>
      </c>
      <c r="C145" s="1297">
        <v>372</v>
      </c>
      <c r="D145" s="1297">
        <v>29</v>
      </c>
      <c r="E145" s="1297">
        <v>26</v>
      </c>
      <c r="F145" s="1297">
        <v>25</v>
      </c>
      <c r="G145" s="1297">
        <v>29</v>
      </c>
      <c r="H145" s="1297">
        <v>24</v>
      </c>
      <c r="I145" s="1297">
        <v>37</v>
      </c>
      <c r="J145" s="1297">
        <v>42</v>
      </c>
      <c r="K145" s="1297">
        <v>27</v>
      </c>
      <c r="L145" s="1297">
        <v>28</v>
      </c>
      <c r="M145" s="1297">
        <v>29</v>
      </c>
      <c r="N145" s="1297">
        <v>27</v>
      </c>
      <c r="O145" s="1297">
        <v>25</v>
      </c>
      <c r="P145" s="1297">
        <v>11</v>
      </c>
      <c r="Q145" s="1297">
        <v>13</v>
      </c>
    </row>
    <row r="146" spans="1:17">
      <c r="A146" s="1297">
        <v>719</v>
      </c>
      <c r="B146" s="1297" t="s">
        <v>1749</v>
      </c>
      <c r="C146" s="1422">
        <v>2282</v>
      </c>
      <c r="D146" s="1297">
        <v>42</v>
      </c>
      <c r="E146" s="1297">
        <v>166</v>
      </c>
      <c r="F146" s="1297">
        <v>191</v>
      </c>
      <c r="G146" s="1297">
        <v>151</v>
      </c>
      <c r="H146" s="1297">
        <v>175</v>
      </c>
      <c r="I146" s="1297">
        <v>179</v>
      </c>
      <c r="J146" s="1297">
        <v>160</v>
      </c>
      <c r="K146" s="1297">
        <v>187</v>
      </c>
      <c r="L146" s="1297">
        <v>179</v>
      </c>
      <c r="M146" s="1297">
        <v>192</v>
      </c>
      <c r="N146" s="1297">
        <v>154</v>
      </c>
      <c r="O146" s="1297">
        <v>186</v>
      </c>
      <c r="P146" s="1297">
        <v>154</v>
      </c>
      <c r="Q146" s="1297">
        <v>166</v>
      </c>
    </row>
    <row r="147" spans="1:17">
      <c r="A147" s="1297">
        <v>720</v>
      </c>
      <c r="B147" s="1297" t="s">
        <v>1750</v>
      </c>
      <c r="C147" s="1422">
        <v>1205</v>
      </c>
      <c r="D147" s="1297">
        <v>146</v>
      </c>
      <c r="E147" s="1297">
        <v>95</v>
      </c>
      <c r="F147" s="1297">
        <v>69</v>
      </c>
      <c r="G147" s="1297">
        <v>62</v>
      </c>
      <c r="H147" s="1297">
        <v>71</v>
      </c>
      <c r="I147" s="1297">
        <v>75</v>
      </c>
      <c r="J147" s="1297">
        <v>86</v>
      </c>
      <c r="K147" s="1297">
        <v>82</v>
      </c>
      <c r="L147" s="1297">
        <v>84</v>
      </c>
      <c r="M147" s="1297">
        <v>87</v>
      </c>
      <c r="N147" s="1297">
        <v>111</v>
      </c>
      <c r="O147" s="1297">
        <v>69</v>
      </c>
      <c r="P147" s="1297">
        <v>70</v>
      </c>
      <c r="Q147" s="1297">
        <v>98</v>
      </c>
    </row>
    <row r="148" spans="1:17">
      <c r="A148" s="1297">
        <v>721</v>
      </c>
      <c r="B148" s="1297" t="s">
        <v>813</v>
      </c>
      <c r="C148" s="1422">
        <v>32038</v>
      </c>
      <c r="D148" s="1422">
        <v>1259</v>
      </c>
      <c r="E148" s="1422">
        <v>2546</v>
      </c>
      <c r="F148" s="1422">
        <v>2532</v>
      </c>
      <c r="G148" s="1422">
        <v>2589</v>
      </c>
      <c r="H148" s="1422">
        <v>2631</v>
      </c>
      <c r="I148" s="1422">
        <v>2551</v>
      </c>
      <c r="J148" s="1422">
        <v>2483</v>
      </c>
      <c r="K148" s="1422">
        <v>2379</v>
      </c>
      <c r="L148" s="1422">
        <v>2236</v>
      </c>
      <c r="M148" s="1422">
        <v>2176</v>
      </c>
      <c r="N148" s="1422">
        <v>2563</v>
      </c>
      <c r="O148" s="1422">
        <v>2234</v>
      </c>
      <c r="P148" s="1422">
        <v>2042</v>
      </c>
      <c r="Q148" s="1422">
        <v>1817</v>
      </c>
    </row>
    <row r="149" spans="1:17">
      <c r="A149" s="1297">
        <v>722</v>
      </c>
      <c r="B149" s="1297" t="s">
        <v>976</v>
      </c>
      <c r="C149" s="1422">
        <v>15711</v>
      </c>
      <c r="D149" s="1297">
        <v>298</v>
      </c>
      <c r="E149" s="1422">
        <v>1103</v>
      </c>
      <c r="F149" s="1422">
        <v>1113</v>
      </c>
      <c r="G149" s="1422">
        <v>1145</v>
      </c>
      <c r="H149" s="1422">
        <v>1139</v>
      </c>
      <c r="I149" s="1422">
        <v>1231</v>
      </c>
      <c r="J149" s="1422">
        <v>1221</v>
      </c>
      <c r="K149" s="1422">
        <v>1181</v>
      </c>
      <c r="L149" s="1422">
        <v>1232</v>
      </c>
      <c r="M149" s="1422">
        <v>1220</v>
      </c>
      <c r="N149" s="1422">
        <v>1383</v>
      </c>
      <c r="O149" s="1422">
        <v>1764</v>
      </c>
      <c r="P149" s="1297">
        <v>639</v>
      </c>
      <c r="Q149" s="1422">
        <v>1042</v>
      </c>
    </row>
    <row r="150" spans="1:17">
      <c r="A150" s="1297">
        <v>785</v>
      </c>
      <c r="B150" s="1297" t="s">
        <v>1751</v>
      </c>
      <c r="C150" s="1422">
        <v>5601</v>
      </c>
      <c r="D150" s="1297">
        <v>212</v>
      </c>
      <c r="E150" s="1297">
        <v>464</v>
      </c>
      <c r="F150" s="1297">
        <v>472</v>
      </c>
      <c r="G150" s="1297">
        <v>476</v>
      </c>
      <c r="H150" s="1297">
        <v>468</v>
      </c>
      <c r="I150" s="1297">
        <v>485</v>
      </c>
      <c r="J150" s="1297">
        <v>417</v>
      </c>
      <c r="K150" s="1297">
        <v>370</v>
      </c>
      <c r="L150" s="1297">
        <v>387</v>
      </c>
      <c r="M150" s="1297">
        <v>395</v>
      </c>
      <c r="N150" s="1297">
        <v>400</v>
      </c>
      <c r="O150" s="1297">
        <v>382</v>
      </c>
      <c r="P150" s="1297">
        <v>344</v>
      </c>
      <c r="Q150" s="1297">
        <v>329</v>
      </c>
    </row>
    <row r="151" spans="1:17">
      <c r="A151" s="1297">
        <v>723</v>
      </c>
      <c r="B151" s="1297" t="s">
        <v>1752</v>
      </c>
      <c r="C151" s="1422">
        <v>1396</v>
      </c>
      <c r="D151" s="1297">
        <v>82</v>
      </c>
      <c r="E151" s="1297">
        <v>112</v>
      </c>
      <c r="F151" s="1297">
        <v>102</v>
      </c>
      <c r="G151" s="1297">
        <v>99</v>
      </c>
      <c r="H151" s="1297">
        <v>93</v>
      </c>
      <c r="I151" s="1297">
        <v>108</v>
      </c>
      <c r="J151" s="1297">
        <v>119</v>
      </c>
      <c r="K151" s="1297">
        <v>117</v>
      </c>
      <c r="L151" s="1297">
        <v>108</v>
      </c>
      <c r="M151" s="1297">
        <v>102</v>
      </c>
      <c r="N151" s="1297">
        <v>99</v>
      </c>
      <c r="O151" s="1297">
        <v>89</v>
      </c>
      <c r="P151" s="1297">
        <v>82</v>
      </c>
      <c r="Q151" s="1297">
        <v>84</v>
      </c>
    </row>
    <row r="152" spans="1:17">
      <c r="A152" s="1297">
        <v>724</v>
      </c>
      <c r="B152" s="1297" t="s">
        <v>1753</v>
      </c>
      <c r="C152" s="1422">
        <v>2487</v>
      </c>
      <c r="D152" s="1297">
        <v>90</v>
      </c>
      <c r="E152" s="1297">
        <v>185</v>
      </c>
      <c r="F152" s="1297">
        <v>155</v>
      </c>
      <c r="G152" s="1297">
        <v>190</v>
      </c>
      <c r="H152" s="1297">
        <v>183</v>
      </c>
      <c r="I152" s="1297">
        <v>168</v>
      </c>
      <c r="J152" s="1297">
        <v>193</v>
      </c>
      <c r="K152" s="1297">
        <v>170</v>
      </c>
      <c r="L152" s="1297">
        <v>198</v>
      </c>
      <c r="M152" s="1297">
        <v>206</v>
      </c>
      <c r="N152" s="1297">
        <v>172</v>
      </c>
      <c r="O152" s="1297">
        <v>197</v>
      </c>
      <c r="P152" s="1297">
        <v>176</v>
      </c>
      <c r="Q152" s="1297">
        <v>204</v>
      </c>
    </row>
    <row r="153" spans="1:17">
      <c r="A153" s="1297">
        <v>725</v>
      </c>
      <c r="B153" s="1297" t="s">
        <v>1754</v>
      </c>
      <c r="C153" s="1422">
        <v>1606</v>
      </c>
      <c r="D153" s="1297">
        <v>62</v>
      </c>
      <c r="E153" s="1297">
        <v>131</v>
      </c>
      <c r="F153" s="1297">
        <v>119</v>
      </c>
      <c r="G153" s="1297">
        <v>110</v>
      </c>
      <c r="H153" s="1297">
        <v>118</v>
      </c>
      <c r="I153" s="1297">
        <v>133</v>
      </c>
      <c r="J153" s="1297">
        <v>134</v>
      </c>
      <c r="K153" s="1297">
        <v>142</v>
      </c>
      <c r="L153" s="1297">
        <v>128</v>
      </c>
      <c r="M153" s="1297">
        <v>142</v>
      </c>
      <c r="N153" s="1297">
        <v>134</v>
      </c>
      <c r="O153" s="1297">
        <v>87</v>
      </c>
      <c r="P153" s="1297">
        <v>80</v>
      </c>
      <c r="Q153" s="1297">
        <v>86</v>
      </c>
    </row>
    <row r="154" spans="1:17">
      <c r="A154" s="1297">
        <v>786</v>
      </c>
      <c r="B154" s="1297" t="s">
        <v>1755</v>
      </c>
      <c r="C154" s="1422">
        <v>1729</v>
      </c>
      <c r="D154" s="1297">
        <v>80</v>
      </c>
      <c r="E154" s="1297">
        <v>123</v>
      </c>
      <c r="F154" s="1297">
        <v>129</v>
      </c>
      <c r="G154" s="1297">
        <v>106</v>
      </c>
      <c r="H154" s="1297">
        <v>111</v>
      </c>
      <c r="I154" s="1297">
        <v>130</v>
      </c>
      <c r="J154" s="1297">
        <v>151</v>
      </c>
      <c r="K154" s="1297">
        <v>124</v>
      </c>
      <c r="L154" s="1297">
        <v>130</v>
      </c>
      <c r="M154" s="1297">
        <v>140</v>
      </c>
      <c r="N154" s="1297">
        <v>130</v>
      </c>
      <c r="O154" s="1297">
        <v>148</v>
      </c>
      <c r="P154" s="1297">
        <v>119</v>
      </c>
      <c r="Q154" s="1297">
        <v>108</v>
      </c>
    </row>
    <row r="155" spans="1:17">
      <c r="A155" s="1297">
        <v>726</v>
      </c>
      <c r="B155" s="1297" t="s">
        <v>929</v>
      </c>
      <c r="C155" s="1422">
        <v>10563</v>
      </c>
      <c r="D155" s="1297">
        <v>461</v>
      </c>
      <c r="E155" s="1297">
        <v>922</v>
      </c>
      <c r="F155" s="1297">
        <v>881</v>
      </c>
      <c r="G155" s="1297">
        <v>821</v>
      </c>
      <c r="H155" s="1297">
        <v>824</v>
      </c>
      <c r="I155" s="1297">
        <v>835</v>
      </c>
      <c r="J155" s="1297">
        <v>849</v>
      </c>
      <c r="K155" s="1297">
        <v>782</v>
      </c>
      <c r="L155" s="1297">
        <v>779</v>
      </c>
      <c r="M155" s="1297">
        <v>768</v>
      </c>
      <c r="N155" s="1297">
        <v>784</v>
      </c>
      <c r="O155" s="1297">
        <v>688</v>
      </c>
      <c r="P155" s="1297">
        <v>608</v>
      </c>
      <c r="Q155" s="1297">
        <v>561</v>
      </c>
    </row>
    <row r="156" spans="1:17">
      <c r="A156" s="1297">
        <v>7820108</v>
      </c>
      <c r="B156" s="1297" t="s">
        <v>1756</v>
      </c>
      <c r="C156" s="1422">
        <v>1309</v>
      </c>
      <c r="D156" s="1297">
        <v>0</v>
      </c>
      <c r="E156" s="1297">
        <v>0</v>
      </c>
      <c r="F156" s="1297">
        <v>0</v>
      </c>
      <c r="G156" s="1297">
        <v>0</v>
      </c>
      <c r="H156" s="1297">
        <v>0</v>
      </c>
      <c r="I156" s="1297">
        <v>0</v>
      </c>
      <c r="J156" s="1297">
        <v>0</v>
      </c>
      <c r="K156" s="1297">
        <v>0</v>
      </c>
      <c r="L156" s="1297">
        <v>0</v>
      </c>
      <c r="M156" s="1297">
        <v>0</v>
      </c>
      <c r="N156" s="1297">
        <v>253</v>
      </c>
      <c r="O156" s="1297">
        <v>220</v>
      </c>
      <c r="P156" s="1297">
        <v>244</v>
      </c>
      <c r="Q156" s="1297">
        <v>592</v>
      </c>
    </row>
    <row r="157" spans="1:17">
      <c r="A157" s="1297">
        <v>7820110</v>
      </c>
      <c r="B157" s="1297" t="s">
        <v>1757</v>
      </c>
      <c r="C157" s="1422">
        <v>6169</v>
      </c>
      <c r="D157" s="1297">
        <v>0</v>
      </c>
      <c r="E157" s="1297">
        <v>533</v>
      </c>
      <c r="F157" s="1297">
        <v>566</v>
      </c>
      <c r="G157" s="1297">
        <v>621</v>
      </c>
      <c r="H157" s="1297">
        <v>629</v>
      </c>
      <c r="I157" s="1297">
        <v>689</v>
      </c>
      <c r="J157" s="1297">
        <v>655</v>
      </c>
      <c r="K157" s="1297">
        <v>690</v>
      </c>
      <c r="L157" s="1297">
        <v>730</v>
      </c>
      <c r="M157" s="1297">
        <v>675</v>
      </c>
      <c r="N157" s="1297">
        <v>381</v>
      </c>
      <c r="O157" s="1297">
        <v>0</v>
      </c>
      <c r="P157" s="1297">
        <v>0</v>
      </c>
      <c r="Q157" s="1297">
        <v>0</v>
      </c>
    </row>
    <row r="158" spans="1:17">
      <c r="A158" s="1297">
        <v>7820112</v>
      </c>
      <c r="B158" s="1297" t="s">
        <v>1758</v>
      </c>
      <c r="C158" s="1297">
        <v>157</v>
      </c>
      <c r="D158" s="1297">
        <v>0</v>
      </c>
      <c r="E158" s="1297">
        <v>35</v>
      </c>
      <c r="F158" s="1297">
        <v>36</v>
      </c>
      <c r="G158" s="1297">
        <v>20</v>
      </c>
      <c r="H158" s="1297">
        <v>22</v>
      </c>
      <c r="I158" s="1297">
        <v>22</v>
      </c>
      <c r="J158" s="1297">
        <v>22</v>
      </c>
      <c r="K158" s="1297">
        <v>0</v>
      </c>
      <c r="L158" s="1297">
        <v>0</v>
      </c>
      <c r="M158" s="1297">
        <v>0</v>
      </c>
      <c r="N158" s="1297">
        <v>0</v>
      </c>
      <c r="O158" s="1297">
        <v>0</v>
      </c>
      <c r="P158" s="1297">
        <v>0</v>
      </c>
      <c r="Q158" s="1297">
        <v>0</v>
      </c>
    </row>
    <row r="159" spans="1:17">
      <c r="A159" s="1297">
        <v>7991893</v>
      </c>
      <c r="B159" s="1297" t="s">
        <v>1759</v>
      </c>
      <c r="C159" s="1297">
        <v>204</v>
      </c>
      <c r="D159" s="1297">
        <v>12</v>
      </c>
      <c r="E159" s="1297">
        <v>5</v>
      </c>
      <c r="F159" s="1297">
        <v>10</v>
      </c>
      <c r="G159" s="1297">
        <v>10</v>
      </c>
      <c r="H159" s="1297">
        <v>9</v>
      </c>
      <c r="I159" s="1297">
        <v>10</v>
      </c>
      <c r="J159" s="1297">
        <v>13</v>
      </c>
      <c r="K159" s="1297">
        <v>19</v>
      </c>
      <c r="L159" s="1297">
        <v>22</v>
      </c>
      <c r="M159" s="1297">
        <v>12</v>
      </c>
      <c r="N159" s="1297">
        <v>11</v>
      </c>
      <c r="O159" s="1297">
        <v>15</v>
      </c>
      <c r="P159" s="1297">
        <v>13</v>
      </c>
      <c r="Q159" s="1297">
        <v>43</v>
      </c>
    </row>
    <row r="160" spans="1:17">
      <c r="A160" s="1297">
        <v>7991894</v>
      </c>
      <c r="B160" s="1297" t="s">
        <v>1760</v>
      </c>
      <c r="C160" s="1297">
        <v>112</v>
      </c>
      <c r="D160" s="1297">
        <v>3</v>
      </c>
      <c r="E160" s="1297">
        <v>2</v>
      </c>
      <c r="F160" s="1297">
        <v>4</v>
      </c>
      <c r="G160" s="1297">
        <v>1</v>
      </c>
      <c r="H160" s="1297">
        <v>4</v>
      </c>
      <c r="I160" s="1297">
        <v>2</v>
      </c>
      <c r="J160" s="1297">
        <v>10</v>
      </c>
      <c r="K160" s="1297">
        <v>8</v>
      </c>
      <c r="L160" s="1297">
        <v>7</v>
      </c>
      <c r="M160" s="1297">
        <v>13</v>
      </c>
      <c r="N160" s="1297">
        <v>18</v>
      </c>
      <c r="O160" s="1297">
        <v>11</v>
      </c>
      <c r="P160" s="1297">
        <v>11</v>
      </c>
      <c r="Q160" s="1297">
        <v>18</v>
      </c>
    </row>
    <row r="161" spans="1:17">
      <c r="A161" s="1297">
        <v>7991895</v>
      </c>
      <c r="B161" s="1297" t="s">
        <v>1761</v>
      </c>
      <c r="C161" s="1297">
        <v>104</v>
      </c>
      <c r="D161" s="1297">
        <v>0</v>
      </c>
      <c r="E161" s="1297">
        <v>3</v>
      </c>
      <c r="F161" s="1297">
        <v>0</v>
      </c>
      <c r="G161" s="1297">
        <v>4</v>
      </c>
      <c r="H161" s="1297">
        <v>2</v>
      </c>
      <c r="I161" s="1297">
        <v>2</v>
      </c>
      <c r="J161" s="1297">
        <v>7</v>
      </c>
      <c r="K161" s="1297">
        <v>5</v>
      </c>
      <c r="L161" s="1297">
        <v>3</v>
      </c>
      <c r="M161" s="1297">
        <v>7</v>
      </c>
      <c r="N161" s="1297">
        <v>12</v>
      </c>
      <c r="O161" s="1297">
        <v>17</v>
      </c>
      <c r="P161" s="1297">
        <v>15</v>
      </c>
      <c r="Q161" s="1297">
        <v>27</v>
      </c>
    </row>
    <row r="162" spans="1:17">
      <c r="A162" s="1297">
        <v>727</v>
      </c>
      <c r="B162" s="1297" t="s">
        <v>1762</v>
      </c>
      <c r="C162" s="1422">
        <v>4043</v>
      </c>
      <c r="D162" s="1297">
        <v>133</v>
      </c>
      <c r="E162" s="1297">
        <v>322</v>
      </c>
      <c r="F162" s="1297">
        <v>278</v>
      </c>
      <c r="G162" s="1297">
        <v>306</v>
      </c>
      <c r="H162" s="1297">
        <v>306</v>
      </c>
      <c r="I162" s="1297">
        <v>316</v>
      </c>
      <c r="J162" s="1297">
        <v>339</v>
      </c>
      <c r="K162" s="1297">
        <v>311</v>
      </c>
      <c r="L162" s="1297">
        <v>316</v>
      </c>
      <c r="M162" s="1297">
        <v>306</v>
      </c>
      <c r="N162" s="1297">
        <v>327</v>
      </c>
      <c r="O162" s="1297">
        <v>313</v>
      </c>
      <c r="P162" s="1297">
        <v>207</v>
      </c>
      <c r="Q162" s="1297">
        <v>263</v>
      </c>
    </row>
    <row r="163" spans="1:17">
      <c r="A163" s="1297">
        <v>728</v>
      </c>
      <c r="B163" s="1297" t="s">
        <v>1763</v>
      </c>
      <c r="C163" s="1297">
        <v>503</v>
      </c>
      <c r="D163" s="1297">
        <v>0</v>
      </c>
      <c r="E163" s="1297">
        <v>35</v>
      </c>
      <c r="F163" s="1297">
        <v>40</v>
      </c>
      <c r="G163" s="1297">
        <v>44</v>
      </c>
      <c r="H163" s="1297">
        <v>43</v>
      </c>
      <c r="I163" s="1297">
        <v>33</v>
      </c>
      <c r="J163" s="1297">
        <v>37</v>
      </c>
      <c r="K163" s="1297">
        <v>38</v>
      </c>
      <c r="L163" s="1297">
        <v>39</v>
      </c>
      <c r="M163" s="1297">
        <v>54</v>
      </c>
      <c r="N163" s="1297">
        <v>46</v>
      </c>
      <c r="O163" s="1297">
        <v>30</v>
      </c>
      <c r="P163" s="1297">
        <v>32</v>
      </c>
      <c r="Q163" s="1297">
        <v>32</v>
      </c>
    </row>
    <row r="164" spans="1:17">
      <c r="A164" s="1297">
        <v>729</v>
      </c>
      <c r="B164" s="1297" t="s">
        <v>1764</v>
      </c>
      <c r="C164" s="1422">
        <v>4962</v>
      </c>
      <c r="D164" s="1297">
        <v>295</v>
      </c>
      <c r="E164" s="1297">
        <v>448</v>
      </c>
      <c r="F164" s="1297">
        <v>395</v>
      </c>
      <c r="G164" s="1297">
        <v>351</v>
      </c>
      <c r="H164" s="1297">
        <v>376</v>
      </c>
      <c r="I164" s="1297">
        <v>337</v>
      </c>
      <c r="J164" s="1297">
        <v>412</v>
      </c>
      <c r="K164" s="1297">
        <v>389</v>
      </c>
      <c r="L164" s="1297">
        <v>378</v>
      </c>
      <c r="M164" s="1297">
        <v>366</v>
      </c>
      <c r="N164" s="1297">
        <v>361</v>
      </c>
      <c r="O164" s="1297">
        <v>296</v>
      </c>
      <c r="P164" s="1297">
        <v>280</v>
      </c>
      <c r="Q164" s="1297">
        <v>278</v>
      </c>
    </row>
    <row r="165" spans="1:17">
      <c r="A165" s="1297">
        <v>730</v>
      </c>
      <c r="B165" s="1297" t="s">
        <v>1765</v>
      </c>
      <c r="C165" s="1297">
        <v>597</v>
      </c>
      <c r="D165" s="1297">
        <v>33</v>
      </c>
      <c r="E165" s="1297">
        <v>35</v>
      </c>
      <c r="F165" s="1297">
        <v>38</v>
      </c>
      <c r="G165" s="1297">
        <v>35</v>
      </c>
      <c r="H165" s="1297">
        <v>44</v>
      </c>
      <c r="I165" s="1297">
        <v>40</v>
      </c>
      <c r="J165" s="1297">
        <v>49</v>
      </c>
      <c r="K165" s="1297">
        <v>52</v>
      </c>
      <c r="L165" s="1297">
        <v>52</v>
      </c>
      <c r="M165" s="1297">
        <v>43</v>
      </c>
      <c r="N165" s="1297">
        <v>43</v>
      </c>
      <c r="O165" s="1297">
        <v>50</v>
      </c>
      <c r="P165" s="1297">
        <v>31</v>
      </c>
      <c r="Q165" s="1297">
        <v>52</v>
      </c>
    </row>
    <row r="166" spans="1:17">
      <c r="A166" s="1297">
        <v>731</v>
      </c>
      <c r="B166" s="1297" t="s">
        <v>1766</v>
      </c>
      <c r="C166" s="1297">
        <v>210</v>
      </c>
      <c r="D166" s="1297">
        <v>18</v>
      </c>
      <c r="E166" s="1297">
        <v>20</v>
      </c>
      <c r="F166" s="1297">
        <v>15</v>
      </c>
      <c r="G166" s="1297">
        <v>13</v>
      </c>
      <c r="H166" s="1297">
        <v>12</v>
      </c>
      <c r="I166" s="1297">
        <v>9</v>
      </c>
      <c r="J166" s="1297">
        <v>16</v>
      </c>
      <c r="K166" s="1297">
        <v>11</v>
      </c>
      <c r="L166" s="1297">
        <v>12</v>
      </c>
      <c r="M166" s="1297">
        <v>22</v>
      </c>
      <c r="N166" s="1297">
        <v>19</v>
      </c>
      <c r="O166" s="1297">
        <v>14</v>
      </c>
      <c r="P166" s="1297">
        <v>12</v>
      </c>
      <c r="Q166" s="1297">
        <v>17</v>
      </c>
    </row>
    <row r="167" spans="1:17">
      <c r="A167" s="1297">
        <v>732</v>
      </c>
      <c r="B167" s="1297" t="s">
        <v>1767</v>
      </c>
      <c r="C167" s="1422">
        <v>3597</v>
      </c>
      <c r="D167" s="1297">
        <v>226</v>
      </c>
      <c r="E167" s="1297">
        <v>309</v>
      </c>
      <c r="F167" s="1297">
        <v>289</v>
      </c>
      <c r="G167" s="1297">
        <v>277</v>
      </c>
      <c r="H167" s="1297">
        <v>266</v>
      </c>
      <c r="I167" s="1297">
        <v>267</v>
      </c>
      <c r="J167" s="1297">
        <v>275</v>
      </c>
      <c r="K167" s="1297">
        <v>273</v>
      </c>
      <c r="L167" s="1297">
        <v>274</v>
      </c>
      <c r="M167" s="1297">
        <v>263</v>
      </c>
      <c r="N167" s="1297">
        <v>276</v>
      </c>
      <c r="O167" s="1297">
        <v>204</v>
      </c>
      <c r="P167" s="1297">
        <v>198</v>
      </c>
      <c r="Q167" s="1297">
        <v>200</v>
      </c>
    </row>
    <row r="168" spans="1:17">
      <c r="A168" s="1297">
        <v>733</v>
      </c>
      <c r="B168" s="1297" t="s">
        <v>1768</v>
      </c>
      <c r="C168" s="1422">
        <v>1517</v>
      </c>
      <c r="D168" s="1297">
        <v>15</v>
      </c>
      <c r="E168" s="1297">
        <v>117</v>
      </c>
      <c r="F168" s="1297">
        <v>103</v>
      </c>
      <c r="G168" s="1297">
        <v>121</v>
      </c>
      <c r="H168" s="1297">
        <v>109</v>
      </c>
      <c r="I168" s="1297">
        <v>112</v>
      </c>
      <c r="J168" s="1297">
        <v>123</v>
      </c>
      <c r="K168" s="1297">
        <v>115</v>
      </c>
      <c r="L168" s="1297">
        <v>107</v>
      </c>
      <c r="M168" s="1297">
        <v>134</v>
      </c>
      <c r="N168" s="1297">
        <v>159</v>
      </c>
      <c r="O168" s="1297">
        <v>108</v>
      </c>
      <c r="P168" s="1297">
        <v>105</v>
      </c>
      <c r="Q168" s="1297">
        <v>89</v>
      </c>
    </row>
    <row r="169" spans="1:17">
      <c r="A169" s="1297">
        <v>734</v>
      </c>
      <c r="B169" s="1297" t="s">
        <v>1769</v>
      </c>
      <c r="C169" s="1422">
        <v>1759</v>
      </c>
      <c r="D169" s="1297">
        <v>107</v>
      </c>
      <c r="E169" s="1297">
        <v>149</v>
      </c>
      <c r="F169" s="1297">
        <v>133</v>
      </c>
      <c r="G169" s="1297">
        <v>144</v>
      </c>
      <c r="H169" s="1297">
        <v>145</v>
      </c>
      <c r="I169" s="1297">
        <v>152</v>
      </c>
      <c r="J169" s="1297">
        <v>150</v>
      </c>
      <c r="K169" s="1297">
        <v>137</v>
      </c>
      <c r="L169" s="1297">
        <v>106</v>
      </c>
      <c r="M169" s="1297">
        <v>111</v>
      </c>
      <c r="N169" s="1297">
        <v>126</v>
      </c>
      <c r="O169" s="1297">
        <v>123</v>
      </c>
      <c r="P169" s="1297">
        <v>80</v>
      </c>
      <c r="Q169" s="1297">
        <v>96</v>
      </c>
    </row>
    <row r="170" spans="1:17">
      <c r="A170" s="1297">
        <v>735</v>
      </c>
      <c r="B170" s="1297" t="s">
        <v>1770</v>
      </c>
      <c r="C170" s="1422">
        <v>1506</v>
      </c>
      <c r="D170" s="1297">
        <v>100</v>
      </c>
      <c r="E170" s="1297">
        <v>117</v>
      </c>
      <c r="F170" s="1297">
        <v>111</v>
      </c>
      <c r="G170" s="1297">
        <v>103</v>
      </c>
      <c r="H170" s="1297">
        <v>118</v>
      </c>
      <c r="I170" s="1297">
        <v>120</v>
      </c>
      <c r="J170" s="1297">
        <v>114</v>
      </c>
      <c r="K170" s="1297">
        <v>124</v>
      </c>
      <c r="L170" s="1297">
        <v>111</v>
      </c>
      <c r="M170" s="1297">
        <v>109</v>
      </c>
      <c r="N170" s="1297">
        <v>94</v>
      </c>
      <c r="O170" s="1297">
        <v>98</v>
      </c>
      <c r="P170" s="1297">
        <v>91</v>
      </c>
      <c r="Q170" s="1297">
        <v>96</v>
      </c>
    </row>
    <row r="171" spans="1:17">
      <c r="A171" s="1297">
        <v>736</v>
      </c>
      <c r="B171" s="1297" t="s">
        <v>853</v>
      </c>
      <c r="C171" s="1422">
        <v>5211</v>
      </c>
      <c r="D171" s="1297">
        <v>283</v>
      </c>
      <c r="E171" s="1297">
        <v>316</v>
      </c>
      <c r="F171" s="1297">
        <v>357</v>
      </c>
      <c r="G171" s="1297">
        <v>353</v>
      </c>
      <c r="H171" s="1297">
        <v>348</v>
      </c>
      <c r="I171" s="1297">
        <v>386</v>
      </c>
      <c r="J171" s="1297">
        <v>425</v>
      </c>
      <c r="K171" s="1297">
        <v>430</v>
      </c>
      <c r="L171" s="1297">
        <v>404</v>
      </c>
      <c r="M171" s="1297">
        <v>369</v>
      </c>
      <c r="N171" s="1297">
        <v>446</v>
      </c>
      <c r="O171" s="1297">
        <v>392</v>
      </c>
      <c r="P171" s="1297">
        <v>352</v>
      </c>
      <c r="Q171" s="1297">
        <v>350</v>
      </c>
    </row>
    <row r="172" spans="1:17">
      <c r="A172" s="1297">
        <v>745</v>
      </c>
      <c r="B172" s="1297" t="s">
        <v>1771</v>
      </c>
      <c r="C172" s="1422">
        <v>4591</v>
      </c>
      <c r="D172" s="1297">
        <v>142</v>
      </c>
      <c r="E172" s="1297">
        <v>317</v>
      </c>
      <c r="F172" s="1297">
        <v>315</v>
      </c>
      <c r="G172" s="1297">
        <v>323</v>
      </c>
      <c r="H172" s="1297">
        <v>358</v>
      </c>
      <c r="I172" s="1297">
        <v>344</v>
      </c>
      <c r="J172" s="1297">
        <v>366</v>
      </c>
      <c r="K172" s="1297">
        <v>356</v>
      </c>
      <c r="L172" s="1297">
        <v>353</v>
      </c>
      <c r="M172" s="1297">
        <v>337</v>
      </c>
      <c r="N172" s="1297">
        <v>378</v>
      </c>
      <c r="O172" s="1297">
        <v>323</v>
      </c>
      <c r="P172" s="1297">
        <v>342</v>
      </c>
      <c r="Q172" s="1297">
        <v>337</v>
      </c>
    </row>
    <row r="173" spans="1:17">
      <c r="A173" s="1297">
        <v>789</v>
      </c>
      <c r="B173" s="1297" t="s">
        <v>1772</v>
      </c>
      <c r="C173" s="1422">
        <v>3070</v>
      </c>
      <c r="D173" s="1297">
        <v>235</v>
      </c>
      <c r="E173" s="1297">
        <v>269</v>
      </c>
      <c r="F173" s="1297">
        <v>265</v>
      </c>
      <c r="G173" s="1297">
        <v>217</v>
      </c>
      <c r="H173" s="1297">
        <v>232</v>
      </c>
      <c r="I173" s="1297">
        <v>254</v>
      </c>
      <c r="J173" s="1297">
        <v>221</v>
      </c>
      <c r="K173" s="1297">
        <v>229</v>
      </c>
      <c r="L173" s="1297">
        <v>218</v>
      </c>
      <c r="M173" s="1297">
        <v>205</v>
      </c>
      <c r="N173" s="1297">
        <v>218</v>
      </c>
      <c r="O173" s="1297">
        <v>175</v>
      </c>
      <c r="P173" s="1297">
        <v>158</v>
      </c>
      <c r="Q173" s="1297">
        <v>174</v>
      </c>
    </row>
    <row r="174" spans="1:17">
      <c r="A174" s="1297">
        <v>737</v>
      </c>
      <c r="B174" s="1297" t="s">
        <v>1773</v>
      </c>
      <c r="C174" s="1422">
        <v>7678</v>
      </c>
      <c r="D174" s="1297">
        <v>318</v>
      </c>
      <c r="E174" s="1297">
        <v>621</v>
      </c>
      <c r="F174" s="1297">
        <v>611</v>
      </c>
      <c r="G174" s="1297">
        <v>551</v>
      </c>
      <c r="H174" s="1297">
        <v>656</v>
      </c>
      <c r="I174" s="1297">
        <v>569</v>
      </c>
      <c r="J174" s="1297">
        <v>639</v>
      </c>
      <c r="K174" s="1297">
        <v>536</v>
      </c>
      <c r="L174" s="1297">
        <v>607</v>
      </c>
      <c r="M174" s="1297">
        <v>610</v>
      </c>
      <c r="N174" s="1297">
        <v>534</v>
      </c>
      <c r="O174" s="1297">
        <v>571</v>
      </c>
      <c r="P174" s="1297">
        <v>433</v>
      </c>
      <c r="Q174" s="1297">
        <v>422</v>
      </c>
    </row>
    <row r="175" spans="1:17">
      <c r="A175" s="1297">
        <v>738</v>
      </c>
      <c r="B175" s="1297" t="s">
        <v>974</v>
      </c>
      <c r="C175" s="1422">
        <v>3013</v>
      </c>
      <c r="D175" s="1297">
        <v>195</v>
      </c>
      <c r="E175" s="1297">
        <v>224</v>
      </c>
      <c r="F175" s="1297">
        <v>242</v>
      </c>
      <c r="G175" s="1297">
        <v>201</v>
      </c>
      <c r="H175" s="1297">
        <v>217</v>
      </c>
      <c r="I175" s="1297">
        <v>231</v>
      </c>
      <c r="J175" s="1297">
        <v>254</v>
      </c>
      <c r="K175" s="1297">
        <v>229</v>
      </c>
      <c r="L175" s="1297">
        <v>237</v>
      </c>
      <c r="M175" s="1297">
        <v>251</v>
      </c>
      <c r="N175" s="1297">
        <v>232</v>
      </c>
      <c r="O175" s="1297">
        <v>173</v>
      </c>
      <c r="P175" s="1297">
        <v>137</v>
      </c>
      <c r="Q175" s="1297">
        <v>190</v>
      </c>
    </row>
    <row r="176" spans="1:17">
      <c r="A176" s="1297">
        <v>739</v>
      </c>
      <c r="B176" s="1297" t="s">
        <v>1774</v>
      </c>
      <c r="C176" s="1422">
        <v>1140</v>
      </c>
      <c r="D176" s="1297">
        <v>7</v>
      </c>
      <c r="E176" s="1297">
        <v>85</v>
      </c>
      <c r="F176" s="1297">
        <v>72</v>
      </c>
      <c r="G176" s="1297">
        <v>84</v>
      </c>
      <c r="H176" s="1297">
        <v>97</v>
      </c>
      <c r="I176" s="1297">
        <v>85</v>
      </c>
      <c r="J176" s="1297">
        <v>100</v>
      </c>
      <c r="K176" s="1297">
        <v>97</v>
      </c>
      <c r="L176" s="1297">
        <v>90</v>
      </c>
      <c r="M176" s="1297">
        <v>95</v>
      </c>
      <c r="N176" s="1297">
        <v>98</v>
      </c>
      <c r="O176" s="1297">
        <v>84</v>
      </c>
      <c r="P176" s="1297">
        <v>64</v>
      </c>
      <c r="Q176" s="1297">
        <v>82</v>
      </c>
    </row>
    <row r="177" spans="1:17">
      <c r="A177" s="1297">
        <v>740</v>
      </c>
      <c r="B177" s="1297" t="s">
        <v>1775</v>
      </c>
      <c r="C177" s="1422">
        <v>1168</v>
      </c>
      <c r="D177" s="1297">
        <v>82</v>
      </c>
      <c r="E177" s="1297">
        <v>93</v>
      </c>
      <c r="F177" s="1297">
        <v>103</v>
      </c>
      <c r="G177" s="1297">
        <v>78</v>
      </c>
      <c r="H177" s="1297">
        <v>78</v>
      </c>
      <c r="I177" s="1297">
        <v>95</v>
      </c>
      <c r="J177" s="1297">
        <v>98</v>
      </c>
      <c r="K177" s="1297">
        <v>81</v>
      </c>
      <c r="L177" s="1297">
        <v>95</v>
      </c>
      <c r="M177" s="1297">
        <v>92</v>
      </c>
      <c r="N177" s="1297">
        <v>92</v>
      </c>
      <c r="O177" s="1297">
        <v>58</v>
      </c>
      <c r="P177" s="1297">
        <v>59</v>
      </c>
      <c r="Q177" s="1297">
        <v>64</v>
      </c>
    </row>
    <row r="178" spans="1:17">
      <c r="A178" s="1297">
        <v>791</v>
      </c>
      <c r="B178" s="1297" t="s">
        <v>1776</v>
      </c>
      <c r="C178" s="1422">
        <v>1404</v>
      </c>
      <c r="D178" s="1297">
        <v>83</v>
      </c>
      <c r="E178" s="1297">
        <v>108</v>
      </c>
      <c r="F178" s="1297">
        <v>101</v>
      </c>
      <c r="G178" s="1297">
        <v>88</v>
      </c>
      <c r="H178" s="1297">
        <v>101</v>
      </c>
      <c r="I178" s="1297">
        <v>109</v>
      </c>
      <c r="J178" s="1297">
        <v>94</v>
      </c>
      <c r="K178" s="1297">
        <v>104</v>
      </c>
      <c r="L178" s="1297">
        <v>123</v>
      </c>
      <c r="M178" s="1297">
        <v>107</v>
      </c>
      <c r="N178" s="1297">
        <v>106</v>
      </c>
      <c r="O178" s="1297">
        <v>94</v>
      </c>
      <c r="P178" s="1297">
        <v>92</v>
      </c>
      <c r="Q178" s="1297">
        <v>94</v>
      </c>
    </row>
    <row r="179" spans="1:17">
      <c r="A179" s="1297">
        <v>741</v>
      </c>
      <c r="B179" s="1297" t="s">
        <v>1777</v>
      </c>
      <c r="C179" s="1422">
        <v>12575</v>
      </c>
      <c r="D179" s="1297">
        <v>527</v>
      </c>
      <c r="E179" s="1422">
        <v>1040</v>
      </c>
      <c r="F179" s="1297">
        <v>941</v>
      </c>
      <c r="G179" s="1297">
        <v>936</v>
      </c>
      <c r="H179" s="1297">
        <v>936</v>
      </c>
      <c r="I179" s="1297">
        <v>954</v>
      </c>
      <c r="J179" s="1297">
        <v>952</v>
      </c>
      <c r="K179" s="1297">
        <v>985</v>
      </c>
      <c r="L179" s="1297">
        <v>932</v>
      </c>
      <c r="M179" s="1297">
        <v>950</v>
      </c>
      <c r="N179" s="1422">
        <v>1044</v>
      </c>
      <c r="O179" s="1422">
        <v>1017</v>
      </c>
      <c r="P179" s="1297">
        <v>608</v>
      </c>
      <c r="Q179" s="1297">
        <v>753</v>
      </c>
    </row>
    <row r="180" spans="1:17">
      <c r="A180" s="1297">
        <v>742</v>
      </c>
      <c r="B180" s="1297" t="s">
        <v>1778</v>
      </c>
      <c r="C180" s="1422">
        <v>1579</v>
      </c>
      <c r="D180" s="1297">
        <v>116</v>
      </c>
      <c r="E180" s="1297">
        <v>115</v>
      </c>
      <c r="F180" s="1297">
        <v>116</v>
      </c>
      <c r="G180" s="1297">
        <v>107</v>
      </c>
      <c r="H180" s="1297">
        <v>118</v>
      </c>
      <c r="I180" s="1297">
        <v>126</v>
      </c>
      <c r="J180" s="1297">
        <v>125</v>
      </c>
      <c r="K180" s="1297">
        <v>117</v>
      </c>
      <c r="L180" s="1297">
        <v>121</v>
      </c>
      <c r="M180" s="1297">
        <v>105</v>
      </c>
      <c r="N180" s="1297">
        <v>111</v>
      </c>
      <c r="O180" s="1297">
        <v>116</v>
      </c>
      <c r="P180" s="1297">
        <v>92</v>
      </c>
      <c r="Q180" s="1297">
        <v>94</v>
      </c>
    </row>
    <row r="181" spans="1:17">
      <c r="A181" s="1297">
        <v>743</v>
      </c>
      <c r="B181" s="1297" t="s">
        <v>1779</v>
      </c>
      <c r="C181" s="1297">
        <v>981</v>
      </c>
      <c r="D181" s="1297">
        <v>50</v>
      </c>
      <c r="E181" s="1297">
        <v>83</v>
      </c>
      <c r="F181" s="1297">
        <v>56</v>
      </c>
      <c r="G181" s="1297">
        <v>71</v>
      </c>
      <c r="H181" s="1297">
        <v>76</v>
      </c>
      <c r="I181" s="1297">
        <v>62</v>
      </c>
      <c r="J181" s="1297">
        <v>74</v>
      </c>
      <c r="K181" s="1297">
        <v>59</v>
      </c>
      <c r="L181" s="1297">
        <v>66</v>
      </c>
      <c r="M181" s="1297">
        <v>82</v>
      </c>
      <c r="N181" s="1297">
        <v>98</v>
      </c>
      <c r="O181" s="1297">
        <v>72</v>
      </c>
      <c r="P181" s="1297">
        <v>50</v>
      </c>
      <c r="Q181" s="1297">
        <v>82</v>
      </c>
    </row>
    <row r="182" spans="1:17">
      <c r="A182" s="1297">
        <v>744</v>
      </c>
      <c r="B182" s="1297" t="s">
        <v>1780</v>
      </c>
      <c r="C182" s="1422">
        <v>2533</v>
      </c>
      <c r="D182" s="1297">
        <v>0</v>
      </c>
      <c r="E182" s="1297">
        <v>202</v>
      </c>
      <c r="F182" s="1297">
        <v>183</v>
      </c>
      <c r="G182" s="1297">
        <v>176</v>
      </c>
      <c r="H182" s="1297">
        <v>198</v>
      </c>
      <c r="I182" s="1297">
        <v>222</v>
      </c>
      <c r="J182" s="1297">
        <v>221</v>
      </c>
      <c r="K182" s="1297">
        <v>206</v>
      </c>
      <c r="L182" s="1297">
        <v>203</v>
      </c>
      <c r="M182" s="1297">
        <v>245</v>
      </c>
      <c r="N182" s="1297">
        <v>179</v>
      </c>
      <c r="O182" s="1297">
        <v>191</v>
      </c>
      <c r="P182" s="1297">
        <v>148</v>
      </c>
      <c r="Q182" s="1297">
        <v>159</v>
      </c>
    </row>
    <row r="183" spans="1:17">
      <c r="A183" s="1297">
        <v>792</v>
      </c>
      <c r="B183" s="1297" t="s">
        <v>1781</v>
      </c>
      <c r="C183" s="1422">
        <v>7334</v>
      </c>
      <c r="D183" s="1297">
        <v>187</v>
      </c>
      <c r="E183" s="1297">
        <v>663</v>
      </c>
      <c r="F183" s="1297">
        <v>656</v>
      </c>
      <c r="G183" s="1297">
        <v>588</v>
      </c>
      <c r="H183" s="1297">
        <v>628</v>
      </c>
      <c r="I183" s="1297">
        <v>633</v>
      </c>
      <c r="J183" s="1297">
        <v>599</v>
      </c>
      <c r="K183" s="1297">
        <v>556</v>
      </c>
      <c r="L183" s="1297">
        <v>462</v>
      </c>
      <c r="M183" s="1297">
        <v>493</v>
      </c>
      <c r="N183" s="1297">
        <v>610</v>
      </c>
      <c r="O183" s="1297">
        <v>517</v>
      </c>
      <c r="P183" s="1297">
        <v>370</v>
      </c>
      <c r="Q183" s="1297">
        <v>372</v>
      </c>
    </row>
    <row r="184" spans="1:17">
      <c r="A184" s="1297">
        <v>793</v>
      </c>
      <c r="B184" s="1297" t="s">
        <v>1782</v>
      </c>
      <c r="C184" s="1422">
        <v>2567</v>
      </c>
      <c r="D184" s="1297">
        <v>155</v>
      </c>
      <c r="E184" s="1297">
        <v>200</v>
      </c>
      <c r="F184" s="1297">
        <v>200</v>
      </c>
      <c r="G184" s="1297">
        <v>181</v>
      </c>
      <c r="H184" s="1297">
        <v>194</v>
      </c>
      <c r="I184" s="1297">
        <v>204</v>
      </c>
      <c r="J184" s="1297">
        <v>210</v>
      </c>
      <c r="K184" s="1297">
        <v>184</v>
      </c>
      <c r="L184" s="1297">
        <v>189</v>
      </c>
      <c r="M184" s="1297">
        <v>183</v>
      </c>
      <c r="N184" s="1297">
        <v>201</v>
      </c>
      <c r="O184" s="1297">
        <v>152</v>
      </c>
      <c r="P184" s="1297">
        <v>138</v>
      </c>
      <c r="Q184" s="1297">
        <v>176</v>
      </c>
    </row>
    <row r="185" spans="1:17">
      <c r="A185" s="1297">
        <v>746</v>
      </c>
      <c r="B185" s="1297" t="s">
        <v>1783</v>
      </c>
      <c r="C185" s="1422">
        <v>9160</v>
      </c>
      <c r="D185" s="1297">
        <v>297</v>
      </c>
      <c r="E185" s="1297">
        <v>742</v>
      </c>
      <c r="F185" s="1297">
        <v>719</v>
      </c>
      <c r="G185" s="1297">
        <v>680</v>
      </c>
      <c r="H185" s="1297">
        <v>712</v>
      </c>
      <c r="I185" s="1297">
        <v>745</v>
      </c>
      <c r="J185" s="1297">
        <v>725</v>
      </c>
      <c r="K185" s="1297">
        <v>722</v>
      </c>
      <c r="L185" s="1297">
        <v>692</v>
      </c>
      <c r="M185" s="1297">
        <v>698</v>
      </c>
      <c r="N185" s="1297">
        <v>765</v>
      </c>
      <c r="O185" s="1297">
        <v>623</v>
      </c>
      <c r="P185" s="1297">
        <v>564</v>
      </c>
      <c r="Q185" s="1297">
        <v>476</v>
      </c>
    </row>
    <row r="186" spans="1:17">
      <c r="A186" s="1297">
        <v>747</v>
      </c>
      <c r="B186" s="1297" t="s">
        <v>1784</v>
      </c>
      <c r="C186" s="1422">
        <v>13156</v>
      </c>
      <c r="D186" s="1297">
        <v>444</v>
      </c>
      <c r="E186" s="1297">
        <v>998</v>
      </c>
      <c r="F186" s="1297">
        <v>999</v>
      </c>
      <c r="G186" s="1297">
        <v>952</v>
      </c>
      <c r="H186" s="1422">
        <v>1048</v>
      </c>
      <c r="I186" s="1422">
        <v>1001</v>
      </c>
      <c r="J186" s="1422">
        <v>1074</v>
      </c>
      <c r="K186" s="1422">
        <v>1050</v>
      </c>
      <c r="L186" s="1422">
        <v>1001</v>
      </c>
      <c r="M186" s="1297">
        <v>929</v>
      </c>
      <c r="N186" s="1422">
        <v>1102</v>
      </c>
      <c r="O186" s="1297">
        <v>986</v>
      </c>
      <c r="P186" s="1297">
        <v>792</v>
      </c>
      <c r="Q186" s="1297">
        <v>780</v>
      </c>
    </row>
    <row r="187" spans="1:17">
      <c r="A187" s="1297">
        <v>748</v>
      </c>
      <c r="B187" s="1297" t="s">
        <v>1785</v>
      </c>
      <c r="C187" s="1422">
        <v>5952</v>
      </c>
      <c r="D187" s="1297">
        <v>315</v>
      </c>
      <c r="E187" s="1297">
        <v>514</v>
      </c>
      <c r="F187" s="1297">
        <v>526</v>
      </c>
      <c r="G187" s="1297">
        <v>413</v>
      </c>
      <c r="H187" s="1297">
        <v>457</v>
      </c>
      <c r="I187" s="1297">
        <v>482</v>
      </c>
      <c r="J187" s="1297">
        <v>448</v>
      </c>
      <c r="K187" s="1297">
        <v>441</v>
      </c>
      <c r="L187" s="1297">
        <v>466</v>
      </c>
      <c r="M187" s="1297">
        <v>403</v>
      </c>
      <c r="N187" s="1297">
        <v>422</v>
      </c>
      <c r="O187" s="1297">
        <v>475</v>
      </c>
      <c r="P187" s="1297">
        <v>261</v>
      </c>
      <c r="Q187" s="1297">
        <v>329</v>
      </c>
    </row>
    <row r="188" spans="1:17">
      <c r="A188" s="1297">
        <v>749</v>
      </c>
      <c r="B188" s="1297" t="s">
        <v>1786</v>
      </c>
      <c r="C188" s="1297">
        <v>756</v>
      </c>
      <c r="D188" s="1297">
        <v>62</v>
      </c>
      <c r="E188" s="1297">
        <v>52</v>
      </c>
      <c r="F188" s="1297">
        <v>55</v>
      </c>
      <c r="G188" s="1297">
        <v>79</v>
      </c>
      <c r="H188" s="1297">
        <v>57</v>
      </c>
      <c r="I188" s="1297">
        <v>52</v>
      </c>
      <c r="J188" s="1297">
        <v>60</v>
      </c>
      <c r="K188" s="1297">
        <v>48</v>
      </c>
      <c r="L188" s="1297">
        <v>42</v>
      </c>
      <c r="M188" s="1297">
        <v>53</v>
      </c>
      <c r="N188" s="1297">
        <v>54</v>
      </c>
      <c r="O188" s="1297">
        <v>53</v>
      </c>
      <c r="P188" s="1297">
        <v>42</v>
      </c>
      <c r="Q188" s="1297">
        <v>47</v>
      </c>
    </row>
    <row r="189" spans="1:17">
      <c r="A189" s="1297">
        <v>750</v>
      </c>
      <c r="B189" s="1297" t="s">
        <v>1787</v>
      </c>
      <c r="C189" s="1422">
        <v>3161</v>
      </c>
      <c r="D189" s="1297">
        <v>81</v>
      </c>
      <c r="E189" s="1297">
        <v>257</v>
      </c>
      <c r="F189" s="1297">
        <v>252</v>
      </c>
      <c r="G189" s="1297">
        <v>221</v>
      </c>
      <c r="H189" s="1297">
        <v>213</v>
      </c>
      <c r="I189" s="1297">
        <v>237</v>
      </c>
      <c r="J189" s="1297">
        <v>230</v>
      </c>
      <c r="K189" s="1297">
        <v>239</v>
      </c>
      <c r="L189" s="1297">
        <v>226</v>
      </c>
      <c r="M189" s="1297">
        <v>250</v>
      </c>
      <c r="N189" s="1297">
        <v>219</v>
      </c>
      <c r="O189" s="1297">
        <v>234</v>
      </c>
      <c r="P189" s="1297">
        <v>247</v>
      </c>
      <c r="Q189" s="1297">
        <v>255</v>
      </c>
    </row>
    <row r="190" spans="1:17">
      <c r="A190" s="1297">
        <v>751</v>
      </c>
      <c r="B190" s="1297" t="s">
        <v>1788</v>
      </c>
      <c r="C190" s="1422">
        <v>5442</v>
      </c>
      <c r="D190" s="1297">
        <v>364</v>
      </c>
      <c r="E190" s="1297">
        <v>426</v>
      </c>
      <c r="F190" s="1297">
        <v>428</v>
      </c>
      <c r="G190" s="1297">
        <v>428</v>
      </c>
      <c r="H190" s="1297">
        <v>416</v>
      </c>
      <c r="I190" s="1297">
        <v>419</v>
      </c>
      <c r="J190" s="1297">
        <v>410</v>
      </c>
      <c r="K190" s="1297">
        <v>407</v>
      </c>
      <c r="L190" s="1297">
        <v>381</v>
      </c>
      <c r="M190" s="1297">
        <v>342</v>
      </c>
      <c r="N190" s="1297">
        <v>420</v>
      </c>
      <c r="O190" s="1297">
        <v>384</v>
      </c>
      <c r="P190" s="1297">
        <v>289</v>
      </c>
      <c r="Q190" s="1297">
        <v>328</v>
      </c>
    </row>
    <row r="191" spans="1:17">
      <c r="A191" s="1297">
        <v>752</v>
      </c>
      <c r="B191" s="1297" t="s">
        <v>858</v>
      </c>
      <c r="C191" s="1297">
        <v>478</v>
      </c>
      <c r="D191" s="1297">
        <v>40</v>
      </c>
      <c r="E191" s="1297">
        <v>44</v>
      </c>
      <c r="F191" s="1297">
        <v>25</v>
      </c>
      <c r="G191" s="1297">
        <v>30</v>
      </c>
      <c r="H191" s="1297">
        <v>46</v>
      </c>
      <c r="I191" s="1297">
        <v>37</v>
      </c>
      <c r="J191" s="1297">
        <v>39</v>
      </c>
      <c r="K191" s="1297">
        <v>36</v>
      </c>
      <c r="L191" s="1297">
        <v>35</v>
      </c>
      <c r="M191" s="1297">
        <v>42</v>
      </c>
      <c r="N191" s="1297">
        <v>31</v>
      </c>
      <c r="O191" s="1297">
        <v>21</v>
      </c>
      <c r="P191" s="1297">
        <v>30</v>
      </c>
      <c r="Q191" s="1297">
        <v>22</v>
      </c>
    </row>
    <row r="192" spans="1:17">
      <c r="A192" s="1297">
        <v>753</v>
      </c>
      <c r="B192" s="1297" t="s">
        <v>1789</v>
      </c>
      <c r="C192" s="1297">
        <v>992</v>
      </c>
      <c r="D192" s="1297">
        <v>60</v>
      </c>
      <c r="E192" s="1297">
        <v>71</v>
      </c>
      <c r="F192" s="1297">
        <v>87</v>
      </c>
      <c r="G192" s="1297">
        <v>75</v>
      </c>
      <c r="H192" s="1297">
        <v>91</v>
      </c>
      <c r="I192" s="1297">
        <v>63</v>
      </c>
      <c r="J192" s="1297">
        <v>71</v>
      </c>
      <c r="K192" s="1297">
        <v>77</v>
      </c>
      <c r="L192" s="1297">
        <v>59</v>
      </c>
      <c r="M192" s="1297">
        <v>74</v>
      </c>
      <c r="N192" s="1297">
        <v>68</v>
      </c>
      <c r="O192" s="1297">
        <v>80</v>
      </c>
      <c r="P192" s="1297">
        <v>58</v>
      </c>
      <c r="Q192" s="1297">
        <v>58</v>
      </c>
    </row>
    <row r="193" spans="1:17">
      <c r="A193" s="1297">
        <v>754</v>
      </c>
      <c r="B193" s="1297" t="s">
        <v>761</v>
      </c>
      <c r="C193" s="1422">
        <v>3772</v>
      </c>
      <c r="D193" s="1297">
        <v>36</v>
      </c>
      <c r="E193" s="1297">
        <v>286</v>
      </c>
      <c r="F193" s="1297">
        <v>292</v>
      </c>
      <c r="G193" s="1297">
        <v>293</v>
      </c>
      <c r="H193" s="1297">
        <v>302</v>
      </c>
      <c r="I193" s="1297">
        <v>290</v>
      </c>
      <c r="J193" s="1297">
        <v>299</v>
      </c>
      <c r="K193" s="1297">
        <v>312</v>
      </c>
      <c r="L193" s="1297">
        <v>297</v>
      </c>
      <c r="M193" s="1297">
        <v>299</v>
      </c>
      <c r="N193" s="1297">
        <v>252</v>
      </c>
      <c r="O193" s="1297">
        <v>304</v>
      </c>
      <c r="P193" s="1297">
        <v>275</v>
      </c>
      <c r="Q193" s="1297">
        <v>235</v>
      </c>
    </row>
    <row r="194" spans="1:17">
      <c r="A194" s="1297">
        <v>755</v>
      </c>
      <c r="B194" s="1297" t="s">
        <v>972</v>
      </c>
      <c r="C194" s="1422">
        <v>13267</v>
      </c>
      <c r="D194" s="1297">
        <v>220</v>
      </c>
      <c r="E194" s="1422">
        <v>1129</v>
      </c>
      <c r="F194" s="1422">
        <v>1084</v>
      </c>
      <c r="G194" s="1422">
        <v>1002</v>
      </c>
      <c r="H194" s="1422">
        <v>1084</v>
      </c>
      <c r="I194" s="1422">
        <v>1046</v>
      </c>
      <c r="J194" s="1422">
        <v>1028</v>
      </c>
      <c r="K194" s="1422">
        <v>1068</v>
      </c>
      <c r="L194" s="1297">
        <v>998</v>
      </c>
      <c r="M194" s="1297">
        <v>937</v>
      </c>
      <c r="N194" s="1422">
        <v>1127</v>
      </c>
      <c r="O194" s="1297">
        <v>950</v>
      </c>
      <c r="P194" s="1297">
        <v>784</v>
      </c>
      <c r="Q194" s="1297">
        <v>810</v>
      </c>
    </row>
    <row r="195" spans="1:17">
      <c r="A195" s="1297">
        <v>756</v>
      </c>
      <c r="B195" s="1297" t="s">
        <v>1790</v>
      </c>
      <c r="C195" s="1422">
        <v>1335</v>
      </c>
      <c r="D195" s="1297">
        <v>71</v>
      </c>
      <c r="E195" s="1297">
        <v>89</v>
      </c>
      <c r="F195" s="1297">
        <v>102</v>
      </c>
      <c r="G195" s="1297">
        <v>107</v>
      </c>
      <c r="H195" s="1297">
        <v>95</v>
      </c>
      <c r="I195" s="1297">
        <v>77</v>
      </c>
      <c r="J195" s="1297">
        <v>105</v>
      </c>
      <c r="K195" s="1297">
        <v>113</v>
      </c>
      <c r="L195" s="1297">
        <v>88</v>
      </c>
      <c r="M195" s="1297">
        <v>119</v>
      </c>
      <c r="N195" s="1297">
        <v>98</v>
      </c>
      <c r="O195" s="1297">
        <v>102</v>
      </c>
      <c r="P195" s="1297">
        <v>89</v>
      </c>
      <c r="Q195" s="1297">
        <v>80</v>
      </c>
    </row>
    <row r="196" spans="1:17">
      <c r="A196" s="1297">
        <v>757</v>
      </c>
      <c r="B196" s="1297" t="s">
        <v>1791</v>
      </c>
      <c r="C196" s="1422">
        <v>1663</v>
      </c>
      <c r="D196" s="1297">
        <v>89</v>
      </c>
      <c r="E196" s="1297">
        <v>112</v>
      </c>
      <c r="F196" s="1297">
        <v>129</v>
      </c>
      <c r="G196" s="1297">
        <v>128</v>
      </c>
      <c r="H196" s="1297">
        <v>122</v>
      </c>
      <c r="I196" s="1297">
        <v>135</v>
      </c>
      <c r="J196" s="1297">
        <v>125</v>
      </c>
      <c r="K196" s="1297">
        <v>111</v>
      </c>
      <c r="L196" s="1297">
        <v>122</v>
      </c>
      <c r="M196" s="1297">
        <v>139</v>
      </c>
      <c r="N196" s="1297">
        <v>162</v>
      </c>
      <c r="O196" s="1297">
        <v>106</v>
      </c>
      <c r="P196" s="1297">
        <v>87</v>
      </c>
      <c r="Q196" s="1297">
        <v>96</v>
      </c>
    </row>
    <row r="197" spans="1:17">
      <c r="A197" s="1297">
        <v>758</v>
      </c>
      <c r="B197" s="1297" t="s">
        <v>1792</v>
      </c>
      <c r="C197" s="1422">
        <v>1589</v>
      </c>
      <c r="D197" s="1297">
        <v>123</v>
      </c>
      <c r="E197" s="1297">
        <v>120</v>
      </c>
      <c r="F197" s="1297">
        <v>124</v>
      </c>
      <c r="G197" s="1297">
        <v>121</v>
      </c>
      <c r="H197" s="1297">
        <v>116</v>
      </c>
      <c r="I197" s="1297">
        <v>116</v>
      </c>
      <c r="J197" s="1297">
        <v>148</v>
      </c>
      <c r="K197" s="1297">
        <v>104</v>
      </c>
      <c r="L197" s="1297">
        <v>101</v>
      </c>
      <c r="M197" s="1297">
        <v>101</v>
      </c>
      <c r="N197" s="1297">
        <v>126</v>
      </c>
      <c r="O197" s="1297">
        <v>104</v>
      </c>
      <c r="P197" s="1297">
        <v>87</v>
      </c>
      <c r="Q197" s="1297">
        <v>98</v>
      </c>
    </row>
    <row r="198" spans="1:17">
      <c r="A198" s="1297">
        <v>759</v>
      </c>
      <c r="B198" s="1297" t="s">
        <v>1829</v>
      </c>
      <c r="C198" s="1422">
        <v>3527</v>
      </c>
      <c r="D198" s="1297">
        <v>150</v>
      </c>
      <c r="E198" s="1297">
        <v>249</v>
      </c>
      <c r="F198" s="1297">
        <v>274</v>
      </c>
      <c r="G198" s="1297">
        <v>229</v>
      </c>
      <c r="H198" s="1297">
        <v>244</v>
      </c>
      <c r="I198" s="1297">
        <v>252</v>
      </c>
      <c r="J198" s="1297">
        <v>276</v>
      </c>
      <c r="K198" s="1297">
        <v>292</v>
      </c>
      <c r="L198" s="1297">
        <v>279</v>
      </c>
      <c r="M198" s="1297">
        <v>308</v>
      </c>
      <c r="N198" s="1297">
        <v>288</v>
      </c>
      <c r="O198" s="1297">
        <v>232</v>
      </c>
      <c r="P198" s="1297">
        <v>222</v>
      </c>
      <c r="Q198" s="1297">
        <v>232</v>
      </c>
    </row>
    <row r="199" spans="1:17">
      <c r="A199" s="1297" t="s">
        <v>1830</v>
      </c>
      <c r="B199" s="1297" t="s">
        <v>1831</v>
      </c>
      <c r="C199" s="1422">
        <v>1665557</v>
      </c>
      <c r="D199" s="1422">
        <v>45667</v>
      </c>
      <c r="E199" s="1422">
        <v>132278</v>
      </c>
      <c r="F199" s="1422">
        <v>130206</v>
      </c>
      <c r="G199" s="1422">
        <v>127832</v>
      </c>
      <c r="H199" s="1422">
        <v>129764</v>
      </c>
      <c r="I199" s="1422">
        <v>131213</v>
      </c>
      <c r="J199" s="1422">
        <v>131045</v>
      </c>
      <c r="K199" s="1422">
        <v>127319</v>
      </c>
      <c r="L199" s="1422">
        <v>125815</v>
      </c>
      <c r="M199" s="1422">
        <v>123181</v>
      </c>
      <c r="N199" s="1422">
        <v>139816</v>
      </c>
      <c r="O199" s="1422">
        <v>120158</v>
      </c>
      <c r="P199" s="1422">
        <v>99970</v>
      </c>
      <c r="Q199" s="1422">
        <v>101293</v>
      </c>
    </row>
  </sheetData>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199"/>
  <sheetViews>
    <sheetView workbookViewId="0"/>
  </sheetViews>
  <sheetFormatPr defaultColWidth="10.83203125" defaultRowHeight="11.25"/>
  <cols>
    <col min="1" max="16384" width="10.83203125" style="1297"/>
  </cols>
  <sheetData>
    <row r="1" spans="1:18">
      <c r="A1" s="1297" t="s">
        <v>1646</v>
      </c>
    </row>
    <row r="2" spans="1:18">
      <c r="A2" s="1297" t="s">
        <v>1647</v>
      </c>
    </row>
    <row r="3" spans="1:18">
      <c r="A3" s="1297" t="s">
        <v>1793</v>
      </c>
    </row>
    <row r="4" spans="1:18">
      <c r="A4" s="1297" t="s">
        <v>1794</v>
      </c>
      <c r="B4" s="1297" t="s">
        <v>1795</v>
      </c>
      <c r="C4" s="1297" t="s">
        <v>146</v>
      </c>
      <c r="D4" s="1297" t="s">
        <v>1832</v>
      </c>
      <c r="E4" s="1297" t="s">
        <v>1796</v>
      </c>
      <c r="F4" s="1297" t="s">
        <v>1797</v>
      </c>
      <c r="G4" s="1297" t="s">
        <v>1798</v>
      </c>
      <c r="H4" s="1297" t="s">
        <v>1799</v>
      </c>
      <c r="I4" s="1297" t="s">
        <v>1800</v>
      </c>
      <c r="J4" s="1297" t="s">
        <v>1801</v>
      </c>
      <c r="K4" s="1297" t="s">
        <v>1802</v>
      </c>
      <c r="L4" s="1297" t="s">
        <v>1803</v>
      </c>
      <c r="M4" s="1297" t="s">
        <v>1804</v>
      </c>
      <c r="N4" s="1297" t="s">
        <v>1805</v>
      </c>
      <c r="O4" s="1297" t="s">
        <v>1806</v>
      </c>
      <c r="P4" s="1297" t="s">
        <v>1807</v>
      </c>
      <c r="Q4" s="1297" t="s">
        <v>1808</v>
      </c>
      <c r="R4" s="1297" t="s">
        <v>1809</v>
      </c>
    </row>
    <row r="5" spans="1:18">
      <c r="A5" s="1297">
        <v>601</v>
      </c>
      <c r="B5" s="1297" t="s">
        <v>1810</v>
      </c>
      <c r="C5" s="1422">
        <v>3539</v>
      </c>
      <c r="D5" s="1422">
        <f>C5-E5</f>
        <v>3299</v>
      </c>
      <c r="E5" s="1297">
        <v>240</v>
      </c>
      <c r="F5" s="1297">
        <v>308</v>
      </c>
      <c r="G5" s="1297">
        <v>270</v>
      </c>
      <c r="H5" s="1297">
        <v>263</v>
      </c>
      <c r="I5" s="1297">
        <v>236</v>
      </c>
      <c r="J5" s="1297">
        <v>273</v>
      </c>
      <c r="K5" s="1297">
        <v>253</v>
      </c>
      <c r="L5" s="1297">
        <v>236</v>
      </c>
      <c r="M5" s="1297">
        <v>269</v>
      </c>
      <c r="N5" s="1297">
        <v>274</v>
      </c>
      <c r="O5" s="1297">
        <v>305</v>
      </c>
      <c r="P5" s="1297">
        <v>212</v>
      </c>
      <c r="Q5" s="1297">
        <v>203</v>
      </c>
      <c r="R5" s="1297">
        <v>197</v>
      </c>
    </row>
    <row r="6" spans="1:18">
      <c r="A6" s="1297">
        <v>602</v>
      </c>
      <c r="B6" s="1297" t="s">
        <v>1811</v>
      </c>
      <c r="C6" s="1422">
        <v>1720</v>
      </c>
      <c r="D6" s="1422">
        <f t="shared" ref="D6:D69" si="0">C6-E6</f>
        <v>1617</v>
      </c>
      <c r="E6" s="1297">
        <v>103</v>
      </c>
      <c r="F6" s="1297">
        <v>138</v>
      </c>
      <c r="G6" s="1297">
        <v>135</v>
      </c>
      <c r="H6" s="1297">
        <v>131</v>
      </c>
      <c r="I6" s="1297">
        <v>146</v>
      </c>
      <c r="J6" s="1297">
        <v>136</v>
      </c>
      <c r="K6" s="1297">
        <v>127</v>
      </c>
      <c r="L6" s="1297">
        <v>129</v>
      </c>
      <c r="M6" s="1297">
        <v>122</v>
      </c>
      <c r="N6" s="1297">
        <v>125</v>
      </c>
      <c r="O6" s="1297">
        <v>138</v>
      </c>
      <c r="P6" s="1297">
        <v>110</v>
      </c>
      <c r="Q6" s="1297">
        <v>82</v>
      </c>
      <c r="R6" s="1297">
        <v>98</v>
      </c>
    </row>
    <row r="7" spans="1:18">
      <c r="A7" s="1297">
        <v>761</v>
      </c>
      <c r="B7" s="1297" t="s">
        <v>698</v>
      </c>
      <c r="C7" s="1422">
        <v>49874</v>
      </c>
      <c r="D7" s="1422">
        <f t="shared" si="0"/>
        <v>48665</v>
      </c>
      <c r="E7" s="1422">
        <v>1209</v>
      </c>
      <c r="F7" s="1422">
        <v>4657</v>
      </c>
      <c r="G7" s="1422">
        <v>4582</v>
      </c>
      <c r="H7" s="1422">
        <v>4260</v>
      </c>
      <c r="I7" s="1422">
        <v>4440</v>
      </c>
      <c r="J7" s="1422">
        <v>4217</v>
      </c>
      <c r="K7" s="1422">
        <v>4186</v>
      </c>
      <c r="L7" s="1422">
        <v>3594</v>
      </c>
      <c r="M7" s="1422">
        <v>3492</v>
      </c>
      <c r="N7" s="1422">
        <v>3190</v>
      </c>
      <c r="O7" s="1422">
        <v>4334</v>
      </c>
      <c r="P7" s="1422">
        <v>2907</v>
      </c>
      <c r="Q7" s="1422">
        <v>2239</v>
      </c>
      <c r="R7" s="1422">
        <v>2567</v>
      </c>
    </row>
    <row r="8" spans="1:18">
      <c r="A8" s="1297">
        <v>603</v>
      </c>
      <c r="B8" s="1297" t="s">
        <v>1812</v>
      </c>
      <c r="C8" s="1422">
        <v>1960</v>
      </c>
      <c r="D8" s="1422">
        <f t="shared" si="0"/>
        <v>1860</v>
      </c>
      <c r="E8" s="1297">
        <v>100</v>
      </c>
      <c r="F8" s="1297">
        <v>167</v>
      </c>
      <c r="G8" s="1297">
        <v>158</v>
      </c>
      <c r="H8" s="1297">
        <v>146</v>
      </c>
      <c r="I8" s="1297">
        <v>137</v>
      </c>
      <c r="J8" s="1297">
        <v>155</v>
      </c>
      <c r="K8" s="1297">
        <v>163</v>
      </c>
      <c r="L8" s="1297">
        <v>145</v>
      </c>
      <c r="M8" s="1297">
        <v>146</v>
      </c>
      <c r="N8" s="1297">
        <v>159</v>
      </c>
      <c r="O8" s="1297">
        <v>123</v>
      </c>
      <c r="P8" s="1297">
        <v>142</v>
      </c>
      <c r="Q8" s="1297">
        <v>111</v>
      </c>
      <c r="R8" s="1297">
        <v>108</v>
      </c>
    </row>
    <row r="9" spans="1:18">
      <c r="A9" s="1297">
        <v>604</v>
      </c>
      <c r="B9" s="1297" t="s">
        <v>1813</v>
      </c>
      <c r="C9" s="1297">
        <v>349</v>
      </c>
      <c r="D9" s="1422">
        <f t="shared" si="0"/>
        <v>327</v>
      </c>
      <c r="E9" s="1297">
        <v>22</v>
      </c>
      <c r="F9" s="1297">
        <v>26</v>
      </c>
      <c r="G9" s="1297">
        <v>25</v>
      </c>
      <c r="H9" s="1297">
        <v>33</v>
      </c>
      <c r="I9" s="1297">
        <v>24</v>
      </c>
      <c r="J9" s="1297">
        <v>36</v>
      </c>
      <c r="K9" s="1297">
        <v>24</v>
      </c>
      <c r="L9" s="1297">
        <v>23</v>
      </c>
      <c r="M9" s="1297">
        <v>31</v>
      </c>
      <c r="N9" s="1297">
        <v>23</v>
      </c>
      <c r="O9" s="1297">
        <v>25</v>
      </c>
      <c r="P9" s="1297">
        <v>18</v>
      </c>
      <c r="Q9" s="1297">
        <v>20</v>
      </c>
      <c r="R9" s="1297">
        <v>19</v>
      </c>
    </row>
    <row r="10" spans="1:18">
      <c r="A10" s="1297">
        <v>605</v>
      </c>
      <c r="B10" s="1297" t="s">
        <v>1814</v>
      </c>
      <c r="C10" s="1422">
        <v>5759</v>
      </c>
      <c r="D10" s="1422">
        <f t="shared" si="0"/>
        <v>5428</v>
      </c>
      <c r="E10" s="1297">
        <v>331</v>
      </c>
      <c r="F10" s="1297">
        <v>573</v>
      </c>
      <c r="G10" s="1297">
        <v>511</v>
      </c>
      <c r="H10" s="1297">
        <v>460</v>
      </c>
      <c r="I10" s="1297">
        <v>445</v>
      </c>
      <c r="J10" s="1297">
        <v>526</v>
      </c>
      <c r="K10" s="1297">
        <v>427</v>
      </c>
      <c r="L10" s="1297">
        <v>387</v>
      </c>
      <c r="M10" s="1297">
        <v>392</v>
      </c>
      <c r="N10" s="1297">
        <v>364</v>
      </c>
      <c r="O10" s="1297">
        <v>423</v>
      </c>
      <c r="P10" s="1297">
        <v>333</v>
      </c>
      <c r="Q10" s="1297">
        <v>309</v>
      </c>
      <c r="R10" s="1297">
        <v>278</v>
      </c>
    </row>
    <row r="11" spans="1:18">
      <c r="A11" s="1297">
        <v>606</v>
      </c>
      <c r="B11" s="1297" t="s">
        <v>1815</v>
      </c>
      <c r="C11" s="1422">
        <v>2886</v>
      </c>
      <c r="D11" s="1422">
        <f t="shared" si="0"/>
        <v>2862</v>
      </c>
      <c r="E11" s="1297">
        <v>24</v>
      </c>
      <c r="F11" s="1297">
        <v>234</v>
      </c>
      <c r="G11" s="1297">
        <v>199</v>
      </c>
      <c r="H11" s="1297">
        <v>211</v>
      </c>
      <c r="I11" s="1297">
        <v>237</v>
      </c>
      <c r="J11" s="1297">
        <v>228</v>
      </c>
      <c r="K11" s="1297">
        <v>239</v>
      </c>
      <c r="L11" s="1297">
        <v>273</v>
      </c>
      <c r="M11" s="1297">
        <v>194</v>
      </c>
      <c r="N11" s="1297">
        <v>244</v>
      </c>
      <c r="O11" s="1297">
        <v>229</v>
      </c>
      <c r="P11" s="1297">
        <v>202</v>
      </c>
      <c r="Q11" s="1297">
        <v>175</v>
      </c>
      <c r="R11" s="1297">
        <v>197</v>
      </c>
    </row>
    <row r="12" spans="1:18">
      <c r="A12" s="1297">
        <v>607</v>
      </c>
      <c r="B12" s="1297" t="s">
        <v>1816</v>
      </c>
      <c r="C12" s="1422">
        <v>12706</v>
      </c>
      <c r="D12" s="1422">
        <f t="shared" si="0"/>
        <v>12309</v>
      </c>
      <c r="E12" s="1297">
        <v>397</v>
      </c>
      <c r="F12" s="1422">
        <v>1142</v>
      </c>
      <c r="G12" s="1422">
        <v>1053</v>
      </c>
      <c r="H12" s="1297">
        <v>995</v>
      </c>
      <c r="I12" s="1297">
        <v>991</v>
      </c>
      <c r="J12" s="1422">
        <v>1023</v>
      </c>
      <c r="K12" s="1297">
        <v>958</v>
      </c>
      <c r="L12" s="1297">
        <v>946</v>
      </c>
      <c r="M12" s="1297">
        <v>954</v>
      </c>
      <c r="N12" s="1297">
        <v>911</v>
      </c>
      <c r="O12" s="1422">
        <v>1015</v>
      </c>
      <c r="P12" s="1297">
        <v>968</v>
      </c>
      <c r="Q12" s="1297">
        <v>667</v>
      </c>
      <c r="R12" s="1297">
        <v>686</v>
      </c>
    </row>
    <row r="13" spans="1:18">
      <c r="A13" s="1297">
        <v>608</v>
      </c>
      <c r="B13" s="1297" t="s">
        <v>1817</v>
      </c>
      <c r="C13" s="1422">
        <v>14269</v>
      </c>
      <c r="D13" s="1422">
        <f t="shared" si="0"/>
        <v>13826</v>
      </c>
      <c r="E13" s="1297">
        <v>443</v>
      </c>
      <c r="F13" s="1422">
        <v>1043</v>
      </c>
      <c r="G13" s="1422">
        <v>1079</v>
      </c>
      <c r="H13" s="1422">
        <v>1108</v>
      </c>
      <c r="I13" s="1422">
        <v>1077</v>
      </c>
      <c r="J13" s="1422">
        <v>1079</v>
      </c>
      <c r="K13" s="1422">
        <v>1132</v>
      </c>
      <c r="L13" s="1422">
        <v>1152</v>
      </c>
      <c r="M13" s="1422">
        <v>1109</v>
      </c>
      <c r="N13" s="1422">
        <v>1102</v>
      </c>
      <c r="O13" s="1422">
        <v>1258</v>
      </c>
      <c r="P13" s="1297">
        <v>917</v>
      </c>
      <c r="Q13" s="1297">
        <v>892</v>
      </c>
      <c r="R13" s="1297">
        <v>878</v>
      </c>
    </row>
    <row r="14" spans="1:18">
      <c r="A14" s="1297">
        <v>609</v>
      </c>
      <c r="B14" s="1297" t="s">
        <v>1818</v>
      </c>
      <c r="C14" s="1422">
        <v>3281</v>
      </c>
      <c r="D14" s="1422">
        <f t="shared" si="0"/>
        <v>3110</v>
      </c>
      <c r="E14" s="1297">
        <v>171</v>
      </c>
      <c r="F14" s="1297">
        <v>332</v>
      </c>
      <c r="G14" s="1297">
        <v>255</v>
      </c>
      <c r="H14" s="1297">
        <v>260</v>
      </c>
      <c r="I14" s="1297">
        <v>237</v>
      </c>
      <c r="J14" s="1297">
        <v>252</v>
      </c>
      <c r="K14" s="1297">
        <v>260</v>
      </c>
      <c r="L14" s="1297">
        <v>258</v>
      </c>
      <c r="M14" s="1297">
        <v>244</v>
      </c>
      <c r="N14" s="1297">
        <v>247</v>
      </c>
      <c r="O14" s="1297">
        <v>245</v>
      </c>
      <c r="P14" s="1297">
        <v>194</v>
      </c>
      <c r="Q14" s="1297">
        <v>163</v>
      </c>
      <c r="R14" s="1297">
        <v>163</v>
      </c>
    </row>
    <row r="15" spans="1:18">
      <c r="A15" s="1297">
        <v>610</v>
      </c>
      <c r="B15" s="1297" t="s">
        <v>720</v>
      </c>
      <c r="C15" s="1422">
        <v>3216</v>
      </c>
      <c r="D15" s="1422">
        <f t="shared" si="0"/>
        <v>3093</v>
      </c>
      <c r="E15" s="1297">
        <v>123</v>
      </c>
      <c r="F15" s="1297">
        <v>277</v>
      </c>
      <c r="G15" s="1297">
        <v>250</v>
      </c>
      <c r="H15" s="1297">
        <v>242</v>
      </c>
      <c r="I15" s="1297">
        <v>227</v>
      </c>
      <c r="J15" s="1297">
        <v>260</v>
      </c>
      <c r="K15" s="1297">
        <v>256</v>
      </c>
      <c r="L15" s="1297">
        <v>246</v>
      </c>
      <c r="M15" s="1297">
        <v>240</v>
      </c>
      <c r="N15" s="1297">
        <v>247</v>
      </c>
      <c r="O15" s="1297">
        <v>264</v>
      </c>
      <c r="P15" s="1297">
        <v>214</v>
      </c>
      <c r="Q15" s="1297">
        <v>210</v>
      </c>
      <c r="R15" s="1297">
        <v>160</v>
      </c>
    </row>
    <row r="16" spans="1:18">
      <c r="A16" s="1297">
        <v>611</v>
      </c>
      <c r="B16" s="1297" t="s">
        <v>1819</v>
      </c>
      <c r="C16" s="1422">
        <v>24435</v>
      </c>
      <c r="D16" s="1422">
        <f t="shared" si="0"/>
        <v>23656</v>
      </c>
      <c r="E16" s="1297">
        <v>779</v>
      </c>
      <c r="F16" s="1422">
        <v>2106</v>
      </c>
      <c r="G16" s="1422">
        <v>1969</v>
      </c>
      <c r="H16" s="1422">
        <v>1997</v>
      </c>
      <c r="I16" s="1422">
        <v>1985</v>
      </c>
      <c r="J16" s="1422">
        <v>2044</v>
      </c>
      <c r="K16" s="1422">
        <v>1932</v>
      </c>
      <c r="L16" s="1422">
        <v>1816</v>
      </c>
      <c r="M16" s="1422">
        <v>1804</v>
      </c>
      <c r="N16" s="1422">
        <v>1691</v>
      </c>
      <c r="O16" s="1422">
        <v>2335</v>
      </c>
      <c r="P16" s="1422">
        <v>1404</v>
      </c>
      <c r="Q16" s="1422">
        <v>1354</v>
      </c>
      <c r="R16" s="1422">
        <v>1219</v>
      </c>
    </row>
    <row r="17" spans="1:18">
      <c r="A17" s="1297">
        <v>612</v>
      </c>
      <c r="B17" s="1297" t="s">
        <v>1820</v>
      </c>
      <c r="C17" s="1422">
        <v>2485</v>
      </c>
      <c r="D17" s="1422">
        <f t="shared" si="0"/>
        <v>2332</v>
      </c>
      <c r="E17" s="1297">
        <v>153</v>
      </c>
      <c r="F17" s="1297">
        <v>198</v>
      </c>
      <c r="G17" s="1297">
        <v>168</v>
      </c>
      <c r="H17" s="1297">
        <v>168</v>
      </c>
      <c r="I17" s="1297">
        <v>192</v>
      </c>
      <c r="J17" s="1297">
        <v>171</v>
      </c>
      <c r="K17" s="1297">
        <v>178</v>
      </c>
      <c r="L17" s="1297">
        <v>179</v>
      </c>
      <c r="M17" s="1297">
        <v>193</v>
      </c>
      <c r="N17" s="1297">
        <v>172</v>
      </c>
      <c r="O17" s="1297">
        <v>200</v>
      </c>
      <c r="P17" s="1297">
        <v>189</v>
      </c>
      <c r="Q17" s="1297">
        <v>159</v>
      </c>
      <c r="R17" s="1297">
        <v>165</v>
      </c>
    </row>
    <row r="18" spans="1:18">
      <c r="A18" s="1297">
        <v>613</v>
      </c>
      <c r="B18" s="1297" t="s">
        <v>1821</v>
      </c>
      <c r="C18" s="1422">
        <v>3496</v>
      </c>
      <c r="D18" s="1422">
        <f t="shared" si="0"/>
        <v>3308</v>
      </c>
      <c r="E18" s="1297">
        <v>188</v>
      </c>
      <c r="F18" s="1297">
        <v>264</v>
      </c>
      <c r="G18" s="1297">
        <v>270</v>
      </c>
      <c r="H18" s="1297">
        <v>257</v>
      </c>
      <c r="I18" s="1297">
        <v>277</v>
      </c>
      <c r="J18" s="1297">
        <v>247</v>
      </c>
      <c r="K18" s="1297">
        <v>282</v>
      </c>
      <c r="L18" s="1297">
        <v>276</v>
      </c>
      <c r="M18" s="1297">
        <v>273</v>
      </c>
      <c r="N18" s="1297">
        <v>284</v>
      </c>
      <c r="O18" s="1297">
        <v>255</v>
      </c>
      <c r="P18" s="1297">
        <v>227</v>
      </c>
      <c r="Q18" s="1297">
        <v>192</v>
      </c>
      <c r="R18" s="1297">
        <v>204</v>
      </c>
    </row>
    <row r="19" spans="1:18">
      <c r="A19" s="1297">
        <v>763</v>
      </c>
      <c r="B19" s="1297" t="s">
        <v>1822</v>
      </c>
      <c r="C19" s="1422">
        <v>2057</v>
      </c>
      <c r="D19" s="1422">
        <f t="shared" si="0"/>
        <v>1957</v>
      </c>
      <c r="E19" s="1297">
        <v>100</v>
      </c>
      <c r="F19" s="1297">
        <v>170</v>
      </c>
      <c r="G19" s="1297">
        <v>156</v>
      </c>
      <c r="H19" s="1297">
        <v>146</v>
      </c>
      <c r="I19" s="1297">
        <v>162</v>
      </c>
      <c r="J19" s="1297">
        <v>172</v>
      </c>
      <c r="K19" s="1297">
        <v>151</v>
      </c>
      <c r="L19" s="1297">
        <v>151</v>
      </c>
      <c r="M19" s="1297">
        <v>149</v>
      </c>
      <c r="N19" s="1297">
        <v>153</v>
      </c>
      <c r="O19" s="1297">
        <v>153</v>
      </c>
      <c r="P19" s="1297">
        <v>142</v>
      </c>
      <c r="Q19" s="1297">
        <v>122</v>
      </c>
      <c r="R19" s="1297">
        <v>130</v>
      </c>
    </row>
    <row r="20" spans="1:18">
      <c r="A20" s="1297">
        <v>614</v>
      </c>
      <c r="B20" s="1297" t="s">
        <v>1823</v>
      </c>
      <c r="C20" s="1422">
        <v>2313</v>
      </c>
      <c r="D20" s="1422">
        <f t="shared" si="0"/>
        <v>2204</v>
      </c>
      <c r="E20" s="1297">
        <v>109</v>
      </c>
      <c r="F20" s="1297">
        <v>190</v>
      </c>
      <c r="G20" s="1297">
        <v>181</v>
      </c>
      <c r="H20" s="1297">
        <v>172</v>
      </c>
      <c r="I20" s="1297">
        <v>173</v>
      </c>
      <c r="J20" s="1297">
        <v>172</v>
      </c>
      <c r="K20" s="1297">
        <v>181</v>
      </c>
      <c r="L20" s="1297">
        <v>174</v>
      </c>
      <c r="M20" s="1297">
        <v>171</v>
      </c>
      <c r="N20" s="1297">
        <v>170</v>
      </c>
      <c r="O20" s="1297">
        <v>209</v>
      </c>
      <c r="P20" s="1297">
        <v>143</v>
      </c>
      <c r="Q20" s="1297">
        <v>132</v>
      </c>
      <c r="R20" s="1297">
        <v>136</v>
      </c>
    </row>
    <row r="21" spans="1:18">
      <c r="A21" s="1297">
        <v>615</v>
      </c>
      <c r="B21" s="1297" t="s">
        <v>1824</v>
      </c>
      <c r="C21" s="1422">
        <v>7621</v>
      </c>
      <c r="D21" s="1422">
        <f t="shared" si="0"/>
        <v>7354</v>
      </c>
      <c r="E21" s="1297">
        <v>267</v>
      </c>
      <c r="F21" s="1297">
        <v>580</v>
      </c>
      <c r="G21" s="1297">
        <v>544</v>
      </c>
      <c r="H21" s="1297">
        <v>590</v>
      </c>
      <c r="I21" s="1297">
        <v>584</v>
      </c>
      <c r="J21" s="1297">
        <v>586</v>
      </c>
      <c r="K21" s="1297">
        <v>607</v>
      </c>
      <c r="L21" s="1297">
        <v>607</v>
      </c>
      <c r="M21" s="1297">
        <v>585</v>
      </c>
      <c r="N21" s="1297">
        <v>566</v>
      </c>
      <c r="O21" s="1297">
        <v>559</v>
      </c>
      <c r="P21" s="1297">
        <v>534</v>
      </c>
      <c r="Q21" s="1297">
        <v>493</v>
      </c>
      <c r="R21" s="1297">
        <v>519</v>
      </c>
    </row>
    <row r="22" spans="1:18">
      <c r="A22" s="1297">
        <v>764</v>
      </c>
      <c r="B22" s="1297" t="s">
        <v>1825</v>
      </c>
      <c r="C22" s="1422">
        <v>3183</v>
      </c>
      <c r="D22" s="1422">
        <f t="shared" si="0"/>
        <v>3171</v>
      </c>
      <c r="E22" s="1297">
        <v>12</v>
      </c>
      <c r="F22" s="1297">
        <v>279</v>
      </c>
      <c r="G22" s="1297">
        <v>241</v>
      </c>
      <c r="H22" s="1297">
        <v>271</v>
      </c>
      <c r="I22" s="1297">
        <v>257</v>
      </c>
      <c r="J22" s="1297">
        <v>286</v>
      </c>
      <c r="K22" s="1297">
        <v>228</v>
      </c>
      <c r="L22" s="1297">
        <v>255</v>
      </c>
      <c r="M22" s="1297">
        <v>248</v>
      </c>
      <c r="N22" s="1297">
        <v>236</v>
      </c>
      <c r="O22" s="1297">
        <v>290</v>
      </c>
      <c r="P22" s="1297">
        <v>221</v>
      </c>
      <c r="Q22" s="1297">
        <v>194</v>
      </c>
      <c r="R22" s="1297">
        <v>165</v>
      </c>
    </row>
    <row r="23" spans="1:18">
      <c r="A23" s="1297">
        <v>616</v>
      </c>
      <c r="B23" s="1297" t="s">
        <v>866</v>
      </c>
      <c r="C23" s="1422">
        <v>9476</v>
      </c>
      <c r="D23" s="1422">
        <f t="shared" si="0"/>
        <v>9031</v>
      </c>
      <c r="E23" s="1297">
        <v>445</v>
      </c>
      <c r="F23" s="1297">
        <v>843</v>
      </c>
      <c r="G23" s="1297">
        <v>816</v>
      </c>
      <c r="H23" s="1297">
        <v>751</v>
      </c>
      <c r="I23" s="1297">
        <v>724</v>
      </c>
      <c r="J23" s="1297">
        <v>748</v>
      </c>
      <c r="K23" s="1297">
        <v>692</v>
      </c>
      <c r="L23" s="1297">
        <v>715</v>
      </c>
      <c r="M23" s="1297">
        <v>700</v>
      </c>
      <c r="N23" s="1297">
        <v>651</v>
      </c>
      <c r="O23" s="1297">
        <v>770</v>
      </c>
      <c r="P23" s="1297">
        <v>551</v>
      </c>
      <c r="Q23" s="1297">
        <v>551</v>
      </c>
      <c r="R23" s="1297">
        <v>519</v>
      </c>
    </row>
    <row r="24" spans="1:18">
      <c r="A24" s="1297">
        <v>617</v>
      </c>
      <c r="B24" s="1297" t="s">
        <v>1826</v>
      </c>
      <c r="C24" s="1422">
        <v>4627</v>
      </c>
      <c r="D24" s="1422">
        <f t="shared" si="0"/>
        <v>4317</v>
      </c>
      <c r="E24" s="1297">
        <v>310</v>
      </c>
      <c r="F24" s="1297">
        <v>370</v>
      </c>
      <c r="G24" s="1297">
        <v>341</v>
      </c>
      <c r="H24" s="1297">
        <v>363</v>
      </c>
      <c r="I24" s="1297">
        <v>326</v>
      </c>
      <c r="J24" s="1297">
        <v>372</v>
      </c>
      <c r="K24" s="1297">
        <v>320</v>
      </c>
      <c r="L24" s="1297">
        <v>325</v>
      </c>
      <c r="M24" s="1297">
        <v>306</v>
      </c>
      <c r="N24" s="1297">
        <v>343</v>
      </c>
      <c r="O24" s="1297">
        <v>361</v>
      </c>
      <c r="P24" s="1297">
        <v>349</v>
      </c>
      <c r="Q24" s="1297">
        <v>223</v>
      </c>
      <c r="R24" s="1297">
        <v>318</v>
      </c>
    </row>
    <row r="25" spans="1:18">
      <c r="A25" s="1297">
        <v>618</v>
      </c>
      <c r="B25" s="1297" t="s">
        <v>1827</v>
      </c>
      <c r="C25" s="1422">
        <v>3559</v>
      </c>
      <c r="D25" s="1422">
        <f t="shared" si="0"/>
        <v>3508</v>
      </c>
      <c r="E25" s="1297">
        <v>51</v>
      </c>
      <c r="F25" s="1297">
        <v>284</v>
      </c>
      <c r="G25" s="1297">
        <v>307</v>
      </c>
      <c r="H25" s="1297">
        <v>291</v>
      </c>
      <c r="I25" s="1297">
        <v>270</v>
      </c>
      <c r="J25" s="1297">
        <v>267</v>
      </c>
      <c r="K25" s="1297">
        <v>253</v>
      </c>
      <c r="L25" s="1297">
        <v>305</v>
      </c>
      <c r="M25" s="1297">
        <v>277</v>
      </c>
      <c r="N25" s="1297">
        <v>281</v>
      </c>
      <c r="O25" s="1297">
        <v>272</v>
      </c>
      <c r="P25" s="1297">
        <v>246</v>
      </c>
      <c r="Q25" s="1297">
        <v>203</v>
      </c>
      <c r="R25" s="1297">
        <v>252</v>
      </c>
    </row>
    <row r="26" spans="1:18">
      <c r="A26" s="1297">
        <v>765</v>
      </c>
      <c r="B26" s="1297" t="s">
        <v>1828</v>
      </c>
      <c r="C26" s="1422">
        <v>3536</v>
      </c>
      <c r="D26" s="1422">
        <f t="shared" si="0"/>
        <v>3340</v>
      </c>
      <c r="E26" s="1297">
        <v>196</v>
      </c>
      <c r="F26" s="1297">
        <v>338</v>
      </c>
      <c r="G26" s="1297">
        <v>316</v>
      </c>
      <c r="H26" s="1297">
        <v>279</v>
      </c>
      <c r="I26" s="1297">
        <v>265</v>
      </c>
      <c r="J26" s="1297">
        <v>239</v>
      </c>
      <c r="K26" s="1297">
        <v>269</v>
      </c>
      <c r="L26" s="1297">
        <v>271</v>
      </c>
      <c r="M26" s="1297">
        <v>263</v>
      </c>
      <c r="N26" s="1297">
        <v>255</v>
      </c>
      <c r="O26" s="1297">
        <v>214</v>
      </c>
      <c r="P26" s="1297">
        <v>217</v>
      </c>
      <c r="Q26" s="1297">
        <v>211</v>
      </c>
      <c r="R26" s="1297">
        <v>203</v>
      </c>
    </row>
    <row r="27" spans="1:18">
      <c r="A27" s="1297">
        <v>619</v>
      </c>
      <c r="B27" s="1297" t="s">
        <v>1661</v>
      </c>
      <c r="C27" s="1297">
        <v>628</v>
      </c>
      <c r="D27" s="1422">
        <f t="shared" si="0"/>
        <v>608</v>
      </c>
      <c r="E27" s="1297">
        <v>20</v>
      </c>
      <c r="F27" s="1297">
        <v>61</v>
      </c>
      <c r="G27" s="1297">
        <v>49</v>
      </c>
      <c r="H27" s="1297">
        <v>50</v>
      </c>
      <c r="I27" s="1297">
        <v>53</v>
      </c>
      <c r="J27" s="1297">
        <v>46</v>
      </c>
      <c r="K27" s="1297">
        <v>44</v>
      </c>
      <c r="L27" s="1297">
        <v>52</v>
      </c>
      <c r="M27" s="1297">
        <v>53</v>
      </c>
      <c r="N27" s="1297">
        <v>48</v>
      </c>
      <c r="O27" s="1297">
        <v>42</v>
      </c>
      <c r="P27" s="1297">
        <v>45</v>
      </c>
      <c r="Q27" s="1297">
        <v>34</v>
      </c>
      <c r="R27" s="1297">
        <v>31</v>
      </c>
    </row>
    <row r="28" spans="1:18">
      <c r="A28" s="1297">
        <v>620</v>
      </c>
      <c r="B28" s="1297" t="s">
        <v>1662</v>
      </c>
      <c r="C28" s="1422">
        <v>9368</v>
      </c>
      <c r="D28" s="1422">
        <f t="shared" si="0"/>
        <v>9099</v>
      </c>
      <c r="E28" s="1297">
        <v>269</v>
      </c>
      <c r="F28" s="1297">
        <v>734</v>
      </c>
      <c r="G28" s="1297">
        <v>745</v>
      </c>
      <c r="H28" s="1297">
        <v>705</v>
      </c>
      <c r="I28" s="1297">
        <v>685</v>
      </c>
      <c r="J28" s="1297">
        <v>719</v>
      </c>
      <c r="K28" s="1297">
        <v>701</v>
      </c>
      <c r="L28" s="1297">
        <v>616</v>
      </c>
      <c r="M28" s="1297">
        <v>711</v>
      </c>
      <c r="N28" s="1297">
        <v>679</v>
      </c>
      <c r="O28" s="1297">
        <v>747</v>
      </c>
      <c r="P28" s="1297">
        <v>720</v>
      </c>
      <c r="Q28" s="1297">
        <v>692</v>
      </c>
      <c r="R28" s="1297">
        <v>645</v>
      </c>
    </row>
    <row r="29" spans="1:18">
      <c r="A29" s="1297">
        <v>621</v>
      </c>
      <c r="B29" s="1297" t="s">
        <v>1663</v>
      </c>
      <c r="C29" s="1422">
        <v>2061</v>
      </c>
      <c r="D29" s="1422">
        <f t="shared" si="0"/>
        <v>1916</v>
      </c>
      <c r="E29" s="1297">
        <v>145</v>
      </c>
      <c r="F29" s="1297">
        <v>190</v>
      </c>
      <c r="G29" s="1297">
        <v>167</v>
      </c>
      <c r="H29" s="1297">
        <v>174</v>
      </c>
      <c r="I29" s="1297">
        <v>154</v>
      </c>
      <c r="J29" s="1297">
        <v>150</v>
      </c>
      <c r="K29" s="1297">
        <v>140</v>
      </c>
      <c r="L29" s="1297">
        <v>145</v>
      </c>
      <c r="M29" s="1297">
        <v>156</v>
      </c>
      <c r="N29" s="1297">
        <v>138</v>
      </c>
      <c r="O29" s="1297">
        <v>144</v>
      </c>
      <c r="P29" s="1297">
        <v>135</v>
      </c>
      <c r="Q29" s="1297">
        <v>109</v>
      </c>
      <c r="R29" s="1297">
        <v>114</v>
      </c>
    </row>
    <row r="30" spans="1:18">
      <c r="A30" s="1297">
        <v>622</v>
      </c>
      <c r="B30" s="1297" t="s">
        <v>917</v>
      </c>
      <c r="C30" s="1422">
        <v>14490</v>
      </c>
      <c r="D30" s="1422">
        <f t="shared" si="0"/>
        <v>13922</v>
      </c>
      <c r="E30" s="1297">
        <v>568</v>
      </c>
      <c r="F30" s="1422">
        <v>1070</v>
      </c>
      <c r="G30" s="1422">
        <v>1045</v>
      </c>
      <c r="H30" s="1422">
        <v>1107</v>
      </c>
      <c r="I30" s="1422">
        <v>1094</v>
      </c>
      <c r="J30" s="1422">
        <v>1170</v>
      </c>
      <c r="K30" s="1422">
        <v>1089</v>
      </c>
      <c r="L30" s="1422">
        <v>1096</v>
      </c>
      <c r="M30" s="1422">
        <v>1081</v>
      </c>
      <c r="N30" s="1422">
        <v>1106</v>
      </c>
      <c r="O30" s="1422">
        <v>1226</v>
      </c>
      <c r="P30" s="1422">
        <v>1063</v>
      </c>
      <c r="Q30" s="1297">
        <v>912</v>
      </c>
      <c r="R30" s="1297">
        <v>863</v>
      </c>
    </row>
    <row r="31" spans="1:18">
      <c r="A31" s="1297">
        <v>766</v>
      </c>
      <c r="B31" s="1297" t="s">
        <v>1664</v>
      </c>
      <c r="C31" s="1422">
        <v>4601</v>
      </c>
      <c r="D31" s="1422">
        <f t="shared" si="0"/>
        <v>4401</v>
      </c>
      <c r="E31" s="1297">
        <v>200</v>
      </c>
      <c r="F31" s="1297">
        <v>390</v>
      </c>
      <c r="G31" s="1297">
        <v>360</v>
      </c>
      <c r="H31" s="1297">
        <v>387</v>
      </c>
      <c r="I31" s="1297">
        <v>358</v>
      </c>
      <c r="J31" s="1297">
        <v>343</v>
      </c>
      <c r="K31" s="1297">
        <v>349</v>
      </c>
      <c r="L31" s="1297">
        <v>318</v>
      </c>
      <c r="M31" s="1297">
        <v>342</v>
      </c>
      <c r="N31" s="1297">
        <v>320</v>
      </c>
      <c r="O31" s="1297">
        <v>320</v>
      </c>
      <c r="P31" s="1297">
        <v>332</v>
      </c>
      <c r="Q31" s="1297">
        <v>299</v>
      </c>
      <c r="R31" s="1297">
        <v>283</v>
      </c>
    </row>
    <row r="32" spans="1:18">
      <c r="A32" s="1297">
        <v>767</v>
      </c>
      <c r="B32" s="1297" t="s">
        <v>1665</v>
      </c>
      <c r="C32" s="1422">
        <v>4078</v>
      </c>
      <c r="D32" s="1422">
        <f t="shared" si="0"/>
        <v>3936</v>
      </c>
      <c r="E32" s="1297">
        <v>142</v>
      </c>
      <c r="F32" s="1297">
        <v>300</v>
      </c>
      <c r="G32" s="1297">
        <v>350</v>
      </c>
      <c r="H32" s="1297">
        <v>349</v>
      </c>
      <c r="I32" s="1297">
        <v>347</v>
      </c>
      <c r="J32" s="1297">
        <v>293</v>
      </c>
      <c r="K32" s="1297">
        <v>329</v>
      </c>
      <c r="L32" s="1297">
        <v>309</v>
      </c>
      <c r="M32" s="1297">
        <v>293</v>
      </c>
      <c r="N32" s="1297">
        <v>280</v>
      </c>
      <c r="O32" s="1297">
        <v>329</v>
      </c>
      <c r="P32" s="1297">
        <v>275</v>
      </c>
      <c r="Q32" s="1297">
        <v>254</v>
      </c>
      <c r="R32" s="1297">
        <v>228</v>
      </c>
    </row>
    <row r="33" spans="1:18">
      <c r="A33" s="1297">
        <v>623</v>
      </c>
      <c r="B33" s="1297" t="s">
        <v>1666</v>
      </c>
      <c r="C33" s="1422">
        <v>10939</v>
      </c>
      <c r="D33" s="1422">
        <f t="shared" si="0"/>
        <v>10672</v>
      </c>
      <c r="E33" s="1297">
        <v>267</v>
      </c>
      <c r="F33" s="1297">
        <v>833</v>
      </c>
      <c r="G33" s="1297">
        <v>840</v>
      </c>
      <c r="H33" s="1297">
        <v>788</v>
      </c>
      <c r="I33" s="1297">
        <v>824</v>
      </c>
      <c r="J33" s="1297">
        <v>813</v>
      </c>
      <c r="K33" s="1297">
        <v>868</v>
      </c>
      <c r="L33" s="1297">
        <v>831</v>
      </c>
      <c r="M33" s="1297">
        <v>837</v>
      </c>
      <c r="N33" s="1297">
        <v>847</v>
      </c>
      <c r="O33" s="1297">
        <v>880</v>
      </c>
      <c r="P33" s="1297">
        <v>841</v>
      </c>
      <c r="Q33" s="1297">
        <v>834</v>
      </c>
      <c r="R33" s="1297">
        <v>636</v>
      </c>
    </row>
    <row r="34" spans="1:18">
      <c r="A34" s="1297">
        <v>624</v>
      </c>
      <c r="B34" s="1297" t="s">
        <v>1667</v>
      </c>
      <c r="C34" s="1422">
        <v>1722</v>
      </c>
      <c r="D34" s="1422">
        <f t="shared" si="0"/>
        <v>1635</v>
      </c>
      <c r="E34" s="1297">
        <v>87</v>
      </c>
      <c r="F34" s="1297">
        <v>130</v>
      </c>
      <c r="G34" s="1297">
        <v>141</v>
      </c>
      <c r="H34" s="1297">
        <v>116</v>
      </c>
      <c r="I34" s="1297">
        <v>113</v>
      </c>
      <c r="J34" s="1297">
        <v>132</v>
      </c>
      <c r="K34" s="1297">
        <v>161</v>
      </c>
      <c r="L34" s="1297">
        <v>125</v>
      </c>
      <c r="M34" s="1297">
        <v>146</v>
      </c>
      <c r="N34" s="1297">
        <v>116</v>
      </c>
      <c r="O34" s="1297">
        <v>116</v>
      </c>
      <c r="P34" s="1297">
        <v>112</v>
      </c>
      <c r="Q34" s="1297">
        <v>97</v>
      </c>
      <c r="R34" s="1297">
        <v>130</v>
      </c>
    </row>
    <row r="35" spans="1:18">
      <c r="A35" s="1297">
        <v>625</v>
      </c>
      <c r="B35" s="1297" t="s">
        <v>869</v>
      </c>
      <c r="C35" s="1422">
        <v>35027</v>
      </c>
      <c r="D35" s="1422">
        <f t="shared" si="0"/>
        <v>33543</v>
      </c>
      <c r="E35" s="1422">
        <v>1484</v>
      </c>
      <c r="F35" s="1422">
        <v>3245</v>
      </c>
      <c r="G35" s="1422">
        <v>3037</v>
      </c>
      <c r="H35" s="1422">
        <v>2935</v>
      </c>
      <c r="I35" s="1422">
        <v>2863</v>
      </c>
      <c r="J35" s="1422">
        <v>2891</v>
      </c>
      <c r="K35" s="1422">
        <v>2819</v>
      </c>
      <c r="L35" s="1422">
        <v>2586</v>
      </c>
      <c r="M35" s="1422">
        <v>2494</v>
      </c>
      <c r="N35" s="1422">
        <v>2357</v>
      </c>
      <c r="O35" s="1422">
        <v>2871</v>
      </c>
      <c r="P35" s="1422">
        <v>1951</v>
      </c>
      <c r="Q35" s="1422">
        <v>1767</v>
      </c>
      <c r="R35" s="1422">
        <v>1727</v>
      </c>
    </row>
    <row r="36" spans="1:18">
      <c r="A36" s="1297">
        <v>626</v>
      </c>
      <c r="B36" s="1297" t="s">
        <v>1668</v>
      </c>
      <c r="C36" s="1297">
        <v>925</v>
      </c>
      <c r="D36" s="1422">
        <f t="shared" si="0"/>
        <v>884</v>
      </c>
      <c r="E36" s="1297">
        <v>41</v>
      </c>
      <c r="F36" s="1297">
        <v>43</v>
      </c>
      <c r="G36" s="1297">
        <v>46</v>
      </c>
      <c r="H36" s="1297">
        <v>45</v>
      </c>
      <c r="I36" s="1297">
        <v>50</v>
      </c>
      <c r="J36" s="1297">
        <v>46</v>
      </c>
      <c r="K36" s="1297">
        <v>50</v>
      </c>
      <c r="L36" s="1297">
        <v>44</v>
      </c>
      <c r="M36" s="1297">
        <v>51</v>
      </c>
      <c r="N36" s="1297">
        <v>56</v>
      </c>
      <c r="O36" s="1297">
        <v>166</v>
      </c>
      <c r="P36" s="1297">
        <v>107</v>
      </c>
      <c r="Q36" s="1297">
        <v>90</v>
      </c>
      <c r="R36" s="1297">
        <v>90</v>
      </c>
    </row>
    <row r="37" spans="1:18">
      <c r="A37" s="1297">
        <v>627</v>
      </c>
      <c r="B37" s="1297" t="s">
        <v>1669</v>
      </c>
      <c r="C37" s="1422">
        <v>2705</v>
      </c>
      <c r="D37" s="1422">
        <f t="shared" si="0"/>
        <v>2606</v>
      </c>
      <c r="E37" s="1297">
        <v>99</v>
      </c>
      <c r="F37" s="1297">
        <v>190</v>
      </c>
      <c r="G37" s="1297">
        <v>198</v>
      </c>
      <c r="H37" s="1297">
        <v>194</v>
      </c>
      <c r="I37" s="1297">
        <v>214</v>
      </c>
      <c r="J37" s="1297">
        <v>203</v>
      </c>
      <c r="K37" s="1297">
        <v>222</v>
      </c>
      <c r="L37" s="1297">
        <v>221</v>
      </c>
      <c r="M37" s="1297">
        <v>213</v>
      </c>
      <c r="N37" s="1297">
        <v>214</v>
      </c>
      <c r="O37" s="1297">
        <v>251</v>
      </c>
      <c r="P37" s="1297">
        <v>161</v>
      </c>
      <c r="Q37" s="1297">
        <v>195</v>
      </c>
      <c r="R37" s="1297">
        <v>130</v>
      </c>
    </row>
    <row r="38" spans="1:18">
      <c r="A38" s="1297">
        <v>628</v>
      </c>
      <c r="B38" s="1297" t="s">
        <v>1670</v>
      </c>
      <c r="C38" s="1422">
        <v>38567</v>
      </c>
      <c r="D38" s="1422">
        <f t="shared" si="0"/>
        <v>38014</v>
      </c>
      <c r="E38" s="1297">
        <v>553</v>
      </c>
      <c r="F38" s="1422">
        <v>3151</v>
      </c>
      <c r="G38" s="1422">
        <v>3204</v>
      </c>
      <c r="H38" s="1422">
        <v>3091</v>
      </c>
      <c r="I38" s="1422">
        <v>3114</v>
      </c>
      <c r="J38" s="1422">
        <v>3119</v>
      </c>
      <c r="K38" s="1422">
        <v>3192</v>
      </c>
      <c r="L38" s="1422">
        <v>3030</v>
      </c>
      <c r="M38" s="1422">
        <v>2893</v>
      </c>
      <c r="N38" s="1422">
        <v>2841</v>
      </c>
      <c r="O38" s="1422">
        <v>3291</v>
      </c>
      <c r="P38" s="1422">
        <v>2765</v>
      </c>
      <c r="Q38" s="1422">
        <v>2142</v>
      </c>
      <c r="R38" s="1422">
        <v>2181</v>
      </c>
    </row>
    <row r="39" spans="1:18">
      <c r="A39" s="1297">
        <v>769</v>
      </c>
      <c r="B39" s="1297" t="s">
        <v>1671</v>
      </c>
      <c r="C39" s="1422">
        <v>1378</v>
      </c>
      <c r="D39" s="1422">
        <f t="shared" si="0"/>
        <v>1374</v>
      </c>
      <c r="E39" s="1297">
        <v>4</v>
      </c>
      <c r="F39" s="1297">
        <v>99</v>
      </c>
      <c r="G39" s="1297">
        <v>80</v>
      </c>
      <c r="H39" s="1297">
        <v>102</v>
      </c>
      <c r="I39" s="1297">
        <v>87</v>
      </c>
      <c r="J39" s="1297">
        <v>92</v>
      </c>
      <c r="K39" s="1297">
        <v>101</v>
      </c>
      <c r="L39" s="1297">
        <v>126</v>
      </c>
      <c r="M39" s="1297">
        <v>120</v>
      </c>
      <c r="N39" s="1297">
        <v>115</v>
      </c>
      <c r="O39" s="1297">
        <v>112</v>
      </c>
      <c r="P39" s="1297">
        <v>114</v>
      </c>
      <c r="Q39" s="1297">
        <v>112</v>
      </c>
      <c r="R39" s="1297">
        <v>114</v>
      </c>
    </row>
    <row r="40" spans="1:18">
      <c r="A40" s="1297">
        <v>629</v>
      </c>
      <c r="B40" s="1297" t="s">
        <v>815</v>
      </c>
      <c r="C40" s="1422">
        <v>12322</v>
      </c>
      <c r="D40" s="1422">
        <f t="shared" si="0"/>
        <v>11574</v>
      </c>
      <c r="E40" s="1297">
        <v>748</v>
      </c>
      <c r="F40" s="1422">
        <v>1092</v>
      </c>
      <c r="G40" s="1422">
        <v>1063</v>
      </c>
      <c r="H40" s="1422">
        <v>1019</v>
      </c>
      <c r="I40" s="1297">
        <v>969</v>
      </c>
      <c r="J40" s="1297">
        <v>974</v>
      </c>
      <c r="K40" s="1297">
        <v>933</v>
      </c>
      <c r="L40" s="1297">
        <v>852</v>
      </c>
      <c r="M40" s="1297">
        <v>757</v>
      </c>
      <c r="N40" s="1297">
        <v>798</v>
      </c>
      <c r="O40" s="1297">
        <v>932</v>
      </c>
      <c r="P40" s="1297">
        <v>796</v>
      </c>
      <c r="Q40" s="1297">
        <v>694</v>
      </c>
      <c r="R40" s="1297">
        <v>695</v>
      </c>
    </row>
    <row r="41" spans="1:18">
      <c r="A41" s="1297">
        <v>630</v>
      </c>
      <c r="B41" s="1297" t="s">
        <v>1672</v>
      </c>
      <c r="C41" s="1297">
        <v>310</v>
      </c>
      <c r="D41" s="1422">
        <f t="shared" si="0"/>
        <v>270</v>
      </c>
      <c r="E41" s="1297">
        <v>40</v>
      </c>
      <c r="F41" s="1297">
        <v>28</v>
      </c>
      <c r="G41" s="1297">
        <v>36</v>
      </c>
      <c r="H41" s="1297">
        <v>27</v>
      </c>
      <c r="I41" s="1297">
        <v>33</v>
      </c>
      <c r="J41" s="1297">
        <v>33</v>
      </c>
      <c r="K41" s="1297">
        <v>33</v>
      </c>
      <c r="L41" s="1297">
        <v>34</v>
      </c>
      <c r="M41" s="1297">
        <v>25</v>
      </c>
      <c r="N41" s="1297">
        <v>21</v>
      </c>
      <c r="O41" s="1297">
        <v>0</v>
      </c>
      <c r="P41" s="1297">
        <v>0</v>
      </c>
      <c r="Q41" s="1297">
        <v>0</v>
      </c>
      <c r="R41" s="1297">
        <v>0</v>
      </c>
    </row>
    <row r="42" spans="1:18">
      <c r="A42" s="1297">
        <v>631</v>
      </c>
      <c r="B42" s="1297" t="s">
        <v>775</v>
      </c>
      <c r="C42" s="1422">
        <v>50390</v>
      </c>
      <c r="D42" s="1422">
        <f t="shared" si="0"/>
        <v>49505</v>
      </c>
      <c r="E42" s="1297">
        <v>885</v>
      </c>
      <c r="F42" s="1422">
        <v>4108</v>
      </c>
      <c r="G42" s="1422">
        <v>3970</v>
      </c>
      <c r="H42" s="1422">
        <v>4126</v>
      </c>
      <c r="I42" s="1422">
        <v>3963</v>
      </c>
      <c r="J42" s="1422">
        <v>4182</v>
      </c>
      <c r="K42" s="1422">
        <v>4053</v>
      </c>
      <c r="L42" s="1422">
        <v>3999</v>
      </c>
      <c r="M42" s="1422">
        <v>3939</v>
      </c>
      <c r="N42" s="1422">
        <v>3879</v>
      </c>
      <c r="O42" s="1422">
        <v>4381</v>
      </c>
      <c r="P42" s="1422">
        <v>3386</v>
      </c>
      <c r="Q42" s="1422">
        <v>2812</v>
      </c>
      <c r="R42" s="1422">
        <v>2707</v>
      </c>
    </row>
    <row r="43" spans="1:18">
      <c r="A43" s="1297">
        <v>632</v>
      </c>
      <c r="B43" s="1297" t="s">
        <v>1673</v>
      </c>
      <c r="C43" s="1422">
        <v>1392</v>
      </c>
      <c r="D43" s="1422">
        <f t="shared" si="0"/>
        <v>1301</v>
      </c>
      <c r="E43" s="1297">
        <v>91</v>
      </c>
      <c r="F43" s="1297">
        <v>119</v>
      </c>
      <c r="G43" s="1297">
        <v>101</v>
      </c>
      <c r="H43" s="1297">
        <v>113</v>
      </c>
      <c r="I43" s="1297">
        <v>112</v>
      </c>
      <c r="J43" s="1297">
        <v>112</v>
      </c>
      <c r="K43" s="1297">
        <v>114</v>
      </c>
      <c r="L43" s="1297">
        <v>94</v>
      </c>
      <c r="M43" s="1297">
        <v>97</v>
      </c>
      <c r="N43" s="1297">
        <v>100</v>
      </c>
      <c r="O43" s="1297">
        <v>92</v>
      </c>
      <c r="P43" s="1297">
        <v>103</v>
      </c>
      <c r="Q43" s="1297">
        <v>74</v>
      </c>
      <c r="R43" s="1297">
        <v>70</v>
      </c>
    </row>
    <row r="44" spans="1:18">
      <c r="A44" s="1297">
        <v>633</v>
      </c>
      <c r="B44" s="1297" t="s">
        <v>748</v>
      </c>
      <c r="C44" s="1422">
        <v>106719</v>
      </c>
      <c r="D44" s="1422">
        <f t="shared" si="0"/>
        <v>105780</v>
      </c>
      <c r="E44" s="1297">
        <v>939</v>
      </c>
      <c r="F44" s="1422">
        <v>8220</v>
      </c>
      <c r="G44" s="1422">
        <v>8298</v>
      </c>
      <c r="H44" s="1422">
        <v>8047</v>
      </c>
      <c r="I44" s="1422">
        <v>8368</v>
      </c>
      <c r="J44" s="1422">
        <v>8182</v>
      </c>
      <c r="K44" s="1422">
        <v>8362</v>
      </c>
      <c r="L44" s="1422">
        <v>8066</v>
      </c>
      <c r="M44" s="1422">
        <v>8176</v>
      </c>
      <c r="N44" s="1422">
        <v>7855</v>
      </c>
      <c r="O44" s="1422">
        <v>9949</v>
      </c>
      <c r="P44" s="1422">
        <v>8197</v>
      </c>
      <c r="Q44" s="1422">
        <v>6645</v>
      </c>
      <c r="R44" s="1422">
        <v>7415</v>
      </c>
    </row>
    <row r="45" spans="1:18">
      <c r="A45" s="1297">
        <v>634</v>
      </c>
      <c r="B45" s="1297" t="s">
        <v>1674</v>
      </c>
      <c r="C45" s="1422">
        <v>7748</v>
      </c>
      <c r="D45" s="1422">
        <f t="shared" si="0"/>
        <v>7332</v>
      </c>
      <c r="E45" s="1297">
        <v>416</v>
      </c>
      <c r="F45" s="1297">
        <v>621</v>
      </c>
      <c r="G45" s="1297">
        <v>617</v>
      </c>
      <c r="H45" s="1297">
        <v>576</v>
      </c>
      <c r="I45" s="1297">
        <v>608</v>
      </c>
      <c r="J45" s="1297">
        <v>586</v>
      </c>
      <c r="K45" s="1297">
        <v>640</v>
      </c>
      <c r="L45" s="1297">
        <v>553</v>
      </c>
      <c r="M45" s="1297">
        <v>589</v>
      </c>
      <c r="N45" s="1297">
        <v>559</v>
      </c>
      <c r="O45" s="1297">
        <v>588</v>
      </c>
      <c r="P45" s="1297">
        <v>598</v>
      </c>
      <c r="Q45" s="1297">
        <v>401</v>
      </c>
      <c r="R45" s="1297">
        <v>396</v>
      </c>
    </row>
    <row r="46" spans="1:18">
      <c r="A46" s="1297">
        <v>635</v>
      </c>
      <c r="B46" s="1297" t="s">
        <v>1675</v>
      </c>
      <c r="C46" s="1422">
        <v>9219</v>
      </c>
      <c r="D46" s="1422">
        <f t="shared" si="0"/>
        <v>8595</v>
      </c>
      <c r="E46" s="1297">
        <v>624</v>
      </c>
      <c r="F46" s="1297">
        <v>800</v>
      </c>
      <c r="G46" s="1297">
        <v>721</v>
      </c>
      <c r="H46" s="1297">
        <v>710</v>
      </c>
      <c r="I46" s="1297">
        <v>662</v>
      </c>
      <c r="J46" s="1297">
        <v>732</v>
      </c>
      <c r="K46" s="1297">
        <v>695</v>
      </c>
      <c r="L46" s="1297">
        <v>672</v>
      </c>
      <c r="M46" s="1297">
        <v>658</v>
      </c>
      <c r="N46" s="1297">
        <v>655</v>
      </c>
      <c r="O46" s="1297">
        <v>606</v>
      </c>
      <c r="P46" s="1297">
        <v>576</v>
      </c>
      <c r="Q46" s="1297">
        <v>544</v>
      </c>
      <c r="R46" s="1297">
        <v>564</v>
      </c>
    </row>
    <row r="47" spans="1:18">
      <c r="A47" s="1297">
        <v>636</v>
      </c>
      <c r="B47" s="1297" t="s">
        <v>1676</v>
      </c>
      <c r="C47" s="1422">
        <v>23631</v>
      </c>
      <c r="D47" s="1422">
        <f t="shared" si="0"/>
        <v>23094</v>
      </c>
      <c r="E47" s="1297">
        <v>537</v>
      </c>
      <c r="F47" s="1422">
        <v>1675</v>
      </c>
      <c r="G47" s="1422">
        <v>1707</v>
      </c>
      <c r="H47" s="1422">
        <v>1754</v>
      </c>
      <c r="I47" s="1422">
        <v>1789</v>
      </c>
      <c r="J47" s="1422">
        <v>1877</v>
      </c>
      <c r="K47" s="1422">
        <v>1759</v>
      </c>
      <c r="L47" s="1422">
        <v>1874</v>
      </c>
      <c r="M47" s="1422">
        <v>1870</v>
      </c>
      <c r="N47" s="1422">
        <v>1847</v>
      </c>
      <c r="O47" s="1422">
        <v>2139</v>
      </c>
      <c r="P47" s="1422">
        <v>1774</v>
      </c>
      <c r="Q47" s="1422">
        <v>1458</v>
      </c>
      <c r="R47" s="1422">
        <v>1571</v>
      </c>
    </row>
    <row r="48" spans="1:18">
      <c r="A48" s="1297">
        <v>771</v>
      </c>
      <c r="B48" s="1297" t="s">
        <v>1677</v>
      </c>
      <c r="C48" s="1422">
        <v>1455</v>
      </c>
      <c r="D48" s="1422">
        <f t="shared" si="0"/>
        <v>1407</v>
      </c>
      <c r="E48" s="1297">
        <v>48</v>
      </c>
      <c r="F48" s="1297">
        <v>130</v>
      </c>
      <c r="G48" s="1297">
        <v>116</v>
      </c>
      <c r="H48" s="1297">
        <v>124</v>
      </c>
      <c r="I48" s="1297">
        <v>90</v>
      </c>
      <c r="J48" s="1297">
        <v>126</v>
      </c>
      <c r="K48" s="1297">
        <v>104</v>
      </c>
      <c r="L48" s="1297">
        <v>119</v>
      </c>
      <c r="M48" s="1297">
        <v>107</v>
      </c>
      <c r="N48" s="1297">
        <v>93</v>
      </c>
      <c r="O48" s="1297">
        <v>101</v>
      </c>
      <c r="P48" s="1297">
        <v>105</v>
      </c>
      <c r="Q48" s="1297">
        <v>97</v>
      </c>
      <c r="R48" s="1297">
        <v>95</v>
      </c>
    </row>
    <row r="49" spans="1:18">
      <c r="A49" s="1297">
        <v>7830410</v>
      </c>
      <c r="B49" s="1297" t="s">
        <v>1678</v>
      </c>
      <c r="C49" s="1297">
        <v>364</v>
      </c>
      <c r="D49" s="1422">
        <f t="shared" si="0"/>
        <v>364</v>
      </c>
      <c r="E49" s="1297">
        <v>0</v>
      </c>
      <c r="F49" s="1297">
        <v>78</v>
      </c>
      <c r="G49" s="1297">
        <v>59</v>
      </c>
      <c r="H49" s="1297">
        <v>64</v>
      </c>
      <c r="I49" s="1297">
        <v>62</v>
      </c>
      <c r="J49" s="1297">
        <v>52</v>
      </c>
      <c r="K49" s="1297">
        <v>49</v>
      </c>
      <c r="L49" s="1297">
        <v>0</v>
      </c>
      <c r="M49" s="1297">
        <v>0</v>
      </c>
      <c r="N49" s="1297">
        <v>0</v>
      </c>
      <c r="O49" s="1297">
        <v>0</v>
      </c>
      <c r="P49" s="1297">
        <v>0</v>
      </c>
      <c r="Q49" s="1297">
        <v>0</v>
      </c>
      <c r="R49" s="1297">
        <v>0</v>
      </c>
    </row>
    <row r="50" spans="1:18">
      <c r="A50" s="1297">
        <v>7830103</v>
      </c>
      <c r="B50" s="1297" t="s">
        <v>1679</v>
      </c>
      <c r="C50" s="1297">
        <v>132</v>
      </c>
      <c r="D50" s="1422">
        <f t="shared" si="0"/>
        <v>132</v>
      </c>
      <c r="E50" s="1297">
        <v>0</v>
      </c>
      <c r="F50" s="1297">
        <v>0</v>
      </c>
      <c r="G50" s="1297">
        <v>0</v>
      </c>
      <c r="H50" s="1297">
        <v>0</v>
      </c>
      <c r="I50" s="1297">
        <v>0</v>
      </c>
      <c r="J50" s="1297">
        <v>0</v>
      </c>
      <c r="K50" s="1297">
        <v>0</v>
      </c>
      <c r="L50" s="1297">
        <v>19</v>
      </c>
      <c r="M50" s="1297">
        <v>17</v>
      </c>
      <c r="N50" s="1297">
        <v>18</v>
      </c>
      <c r="O50" s="1297">
        <v>19</v>
      </c>
      <c r="P50" s="1297">
        <v>18</v>
      </c>
      <c r="Q50" s="1297">
        <v>17</v>
      </c>
      <c r="R50" s="1297">
        <v>24</v>
      </c>
    </row>
    <row r="51" spans="1:18">
      <c r="A51" s="1297">
        <v>7830610</v>
      </c>
      <c r="B51" s="1297" t="s">
        <v>1680</v>
      </c>
      <c r="C51" s="1297">
        <v>171</v>
      </c>
      <c r="D51" s="1422">
        <f t="shared" si="0"/>
        <v>171</v>
      </c>
      <c r="E51" s="1297">
        <v>0</v>
      </c>
      <c r="F51" s="1297">
        <v>57</v>
      </c>
      <c r="G51" s="1297">
        <v>66</v>
      </c>
      <c r="H51" s="1297">
        <v>37</v>
      </c>
      <c r="I51" s="1297">
        <v>11</v>
      </c>
      <c r="J51" s="1297">
        <v>0</v>
      </c>
      <c r="K51" s="1297">
        <v>0</v>
      </c>
      <c r="L51" s="1297">
        <v>0</v>
      </c>
      <c r="M51" s="1297">
        <v>0</v>
      </c>
      <c r="N51" s="1297">
        <v>0</v>
      </c>
      <c r="O51" s="1297">
        <v>0</v>
      </c>
      <c r="P51" s="1297">
        <v>0</v>
      </c>
      <c r="Q51" s="1297">
        <v>0</v>
      </c>
      <c r="R51" s="1297">
        <v>0</v>
      </c>
    </row>
    <row r="52" spans="1:18">
      <c r="A52" s="1297">
        <v>7830310</v>
      </c>
      <c r="B52" s="1297" t="s">
        <v>1681</v>
      </c>
      <c r="C52" s="1297">
        <v>98</v>
      </c>
      <c r="D52" s="1422">
        <f t="shared" si="0"/>
        <v>98</v>
      </c>
      <c r="E52" s="1297">
        <v>0</v>
      </c>
      <c r="F52" s="1297">
        <v>0</v>
      </c>
      <c r="G52" s="1297">
        <v>0</v>
      </c>
      <c r="H52" s="1297">
        <v>0</v>
      </c>
      <c r="I52" s="1297">
        <v>0</v>
      </c>
      <c r="J52" s="1297">
        <v>0</v>
      </c>
      <c r="K52" s="1297">
        <v>0</v>
      </c>
      <c r="L52" s="1297">
        <v>98</v>
      </c>
      <c r="M52" s="1297">
        <v>0</v>
      </c>
      <c r="N52" s="1297">
        <v>0</v>
      </c>
      <c r="O52" s="1297">
        <v>0</v>
      </c>
      <c r="P52" s="1297">
        <v>0</v>
      </c>
      <c r="Q52" s="1297">
        <v>0</v>
      </c>
      <c r="R52" s="1297">
        <v>0</v>
      </c>
    </row>
    <row r="53" spans="1:18">
      <c r="A53" s="1297">
        <v>7830110</v>
      </c>
      <c r="B53" s="1297" t="s">
        <v>1682</v>
      </c>
      <c r="C53" s="1297">
        <v>432</v>
      </c>
      <c r="D53" s="1422">
        <f t="shared" si="0"/>
        <v>432</v>
      </c>
      <c r="E53" s="1297">
        <v>0</v>
      </c>
      <c r="F53" s="1297">
        <v>0</v>
      </c>
      <c r="G53" s="1297">
        <v>0</v>
      </c>
      <c r="H53" s="1297">
        <v>0</v>
      </c>
      <c r="I53" s="1297">
        <v>0</v>
      </c>
      <c r="J53" s="1297">
        <v>0</v>
      </c>
      <c r="K53" s="1297">
        <v>0</v>
      </c>
      <c r="L53" s="1297">
        <v>147</v>
      </c>
      <c r="M53" s="1297">
        <v>153</v>
      </c>
      <c r="N53" s="1297">
        <v>132</v>
      </c>
      <c r="O53" s="1297">
        <v>0</v>
      </c>
      <c r="P53" s="1297">
        <v>0</v>
      </c>
      <c r="Q53" s="1297">
        <v>0</v>
      </c>
      <c r="R53" s="1297">
        <v>0</v>
      </c>
    </row>
    <row r="54" spans="1:18">
      <c r="A54" s="1297">
        <v>7830510</v>
      </c>
      <c r="B54" s="1297" t="s">
        <v>1683</v>
      </c>
      <c r="C54" s="1297">
        <v>133</v>
      </c>
      <c r="D54" s="1422">
        <f t="shared" si="0"/>
        <v>133</v>
      </c>
      <c r="E54" s="1297">
        <v>0</v>
      </c>
      <c r="F54" s="1297">
        <v>55</v>
      </c>
      <c r="G54" s="1297">
        <v>40</v>
      </c>
      <c r="H54" s="1297">
        <v>18</v>
      </c>
      <c r="I54" s="1297">
        <v>20</v>
      </c>
      <c r="J54" s="1297">
        <v>0</v>
      </c>
      <c r="K54" s="1297">
        <v>0</v>
      </c>
      <c r="L54" s="1297">
        <v>0</v>
      </c>
      <c r="M54" s="1297">
        <v>0</v>
      </c>
      <c r="N54" s="1297">
        <v>0</v>
      </c>
      <c r="O54" s="1297">
        <v>0</v>
      </c>
      <c r="P54" s="1297">
        <v>0</v>
      </c>
      <c r="Q54" s="1297">
        <v>0</v>
      </c>
      <c r="R54" s="1297">
        <v>0</v>
      </c>
    </row>
    <row r="55" spans="1:18">
      <c r="A55" s="1297">
        <v>7830210</v>
      </c>
      <c r="B55" s="1297" t="s">
        <v>1684</v>
      </c>
      <c r="C55" s="1297">
        <v>230</v>
      </c>
      <c r="D55" s="1422">
        <f t="shared" si="0"/>
        <v>230</v>
      </c>
      <c r="E55" s="1297">
        <v>0</v>
      </c>
      <c r="F55" s="1297">
        <v>40</v>
      </c>
      <c r="G55" s="1297">
        <v>32</v>
      </c>
      <c r="H55" s="1297">
        <v>30</v>
      </c>
      <c r="I55" s="1297">
        <v>44</v>
      </c>
      <c r="J55" s="1297">
        <v>38</v>
      </c>
      <c r="K55" s="1297">
        <v>26</v>
      </c>
      <c r="L55" s="1297">
        <v>20</v>
      </c>
      <c r="M55" s="1297">
        <v>0</v>
      </c>
      <c r="N55" s="1297">
        <v>0</v>
      </c>
      <c r="O55" s="1297">
        <v>0</v>
      </c>
      <c r="P55" s="1297">
        <v>0</v>
      </c>
      <c r="Q55" s="1297">
        <v>0</v>
      </c>
      <c r="R55" s="1297">
        <v>0</v>
      </c>
    </row>
    <row r="56" spans="1:18">
      <c r="A56" s="1297">
        <v>7830112</v>
      </c>
      <c r="B56" s="1297" t="s">
        <v>1685</v>
      </c>
      <c r="C56" s="1297">
        <v>530</v>
      </c>
      <c r="D56" s="1422">
        <f t="shared" si="0"/>
        <v>530</v>
      </c>
      <c r="E56" s="1297">
        <v>0</v>
      </c>
      <c r="F56" s="1297">
        <v>133</v>
      </c>
      <c r="G56" s="1297">
        <v>99</v>
      </c>
      <c r="H56" s="1297">
        <v>84</v>
      </c>
      <c r="I56" s="1297">
        <v>79</v>
      </c>
      <c r="J56" s="1297">
        <v>78</v>
      </c>
      <c r="K56" s="1297">
        <v>57</v>
      </c>
      <c r="L56" s="1297">
        <v>0</v>
      </c>
      <c r="M56" s="1297">
        <v>0</v>
      </c>
      <c r="N56" s="1297">
        <v>0</v>
      </c>
      <c r="O56" s="1297">
        <v>0</v>
      </c>
      <c r="P56" s="1297">
        <v>0</v>
      </c>
      <c r="Q56" s="1297">
        <v>0</v>
      </c>
      <c r="R56" s="1297">
        <v>0</v>
      </c>
    </row>
    <row r="57" spans="1:18">
      <c r="A57" s="1297">
        <v>637</v>
      </c>
      <c r="B57" s="1297" t="s">
        <v>1686</v>
      </c>
      <c r="C57" s="1422">
        <v>3312</v>
      </c>
      <c r="D57" s="1422">
        <f t="shared" si="0"/>
        <v>3077</v>
      </c>
      <c r="E57" s="1297">
        <v>235</v>
      </c>
      <c r="F57" s="1297">
        <v>250</v>
      </c>
      <c r="G57" s="1297">
        <v>251</v>
      </c>
      <c r="H57" s="1297">
        <v>229</v>
      </c>
      <c r="I57" s="1297">
        <v>256</v>
      </c>
      <c r="J57" s="1297">
        <v>236</v>
      </c>
      <c r="K57" s="1297">
        <v>276</v>
      </c>
      <c r="L57" s="1297">
        <v>243</v>
      </c>
      <c r="M57" s="1297">
        <v>245</v>
      </c>
      <c r="N57" s="1297">
        <v>253</v>
      </c>
      <c r="O57" s="1297">
        <v>246</v>
      </c>
      <c r="P57" s="1297">
        <v>226</v>
      </c>
      <c r="Q57" s="1297">
        <v>188</v>
      </c>
      <c r="R57" s="1297">
        <v>178</v>
      </c>
    </row>
    <row r="58" spans="1:18">
      <c r="A58" s="1297">
        <v>638</v>
      </c>
      <c r="B58" s="1297" t="s">
        <v>767</v>
      </c>
      <c r="C58" s="1422">
        <v>22438</v>
      </c>
      <c r="D58" s="1422">
        <f t="shared" si="0"/>
        <v>21783</v>
      </c>
      <c r="E58" s="1297">
        <v>655</v>
      </c>
      <c r="F58" s="1422">
        <v>1639</v>
      </c>
      <c r="G58" s="1422">
        <v>1675</v>
      </c>
      <c r="H58" s="1422">
        <v>1651</v>
      </c>
      <c r="I58" s="1422">
        <v>1622</v>
      </c>
      <c r="J58" s="1422">
        <v>1686</v>
      </c>
      <c r="K58" s="1422">
        <v>1708</v>
      </c>
      <c r="L58" s="1422">
        <v>1672</v>
      </c>
      <c r="M58" s="1422">
        <v>1770</v>
      </c>
      <c r="N58" s="1422">
        <v>1666</v>
      </c>
      <c r="O58" s="1422">
        <v>2054</v>
      </c>
      <c r="P58" s="1422">
        <v>1844</v>
      </c>
      <c r="Q58" s="1422">
        <v>1349</v>
      </c>
      <c r="R58" s="1422">
        <v>1447</v>
      </c>
    </row>
    <row r="59" spans="1:18">
      <c r="A59" s="1297">
        <v>639</v>
      </c>
      <c r="B59" s="1297" t="s">
        <v>1687</v>
      </c>
      <c r="C59" s="1422">
        <v>1890</v>
      </c>
      <c r="D59" s="1422">
        <f t="shared" si="0"/>
        <v>1805</v>
      </c>
      <c r="E59" s="1297">
        <v>85</v>
      </c>
      <c r="F59" s="1297">
        <v>155</v>
      </c>
      <c r="G59" s="1297">
        <v>135</v>
      </c>
      <c r="H59" s="1297">
        <v>140</v>
      </c>
      <c r="I59" s="1297">
        <v>154</v>
      </c>
      <c r="J59" s="1297">
        <v>135</v>
      </c>
      <c r="K59" s="1297">
        <v>129</v>
      </c>
      <c r="L59" s="1297">
        <v>142</v>
      </c>
      <c r="M59" s="1297">
        <v>143</v>
      </c>
      <c r="N59" s="1297">
        <v>125</v>
      </c>
      <c r="O59" s="1297">
        <v>168</v>
      </c>
      <c r="P59" s="1297">
        <v>151</v>
      </c>
      <c r="Q59" s="1297">
        <v>111</v>
      </c>
      <c r="R59" s="1297">
        <v>117</v>
      </c>
    </row>
    <row r="60" spans="1:18">
      <c r="A60" s="1297">
        <v>640</v>
      </c>
      <c r="B60" s="1297" t="s">
        <v>1688</v>
      </c>
      <c r="C60" s="1422">
        <v>4242</v>
      </c>
      <c r="D60" s="1422">
        <f t="shared" si="0"/>
        <v>3921</v>
      </c>
      <c r="E60" s="1297">
        <v>321</v>
      </c>
      <c r="F60" s="1297">
        <v>376</v>
      </c>
      <c r="G60" s="1297">
        <v>314</v>
      </c>
      <c r="H60" s="1297">
        <v>320</v>
      </c>
      <c r="I60" s="1297">
        <v>324</v>
      </c>
      <c r="J60" s="1297">
        <v>318</v>
      </c>
      <c r="K60" s="1297">
        <v>317</v>
      </c>
      <c r="L60" s="1297">
        <v>330</v>
      </c>
      <c r="M60" s="1297">
        <v>280</v>
      </c>
      <c r="N60" s="1297">
        <v>278</v>
      </c>
      <c r="O60" s="1297">
        <v>372</v>
      </c>
      <c r="P60" s="1297">
        <v>280</v>
      </c>
      <c r="Q60" s="1297">
        <v>219</v>
      </c>
      <c r="R60" s="1297">
        <v>193</v>
      </c>
    </row>
    <row r="61" spans="1:18">
      <c r="A61" s="1297">
        <v>641</v>
      </c>
      <c r="B61" s="1297" t="s">
        <v>1689</v>
      </c>
      <c r="C61" s="1422">
        <v>2411</v>
      </c>
      <c r="D61" s="1422">
        <f t="shared" si="0"/>
        <v>2264</v>
      </c>
      <c r="E61" s="1297">
        <v>147</v>
      </c>
      <c r="F61" s="1297">
        <v>175</v>
      </c>
      <c r="G61" s="1297">
        <v>167</v>
      </c>
      <c r="H61" s="1297">
        <v>141</v>
      </c>
      <c r="I61" s="1297">
        <v>195</v>
      </c>
      <c r="J61" s="1297">
        <v>176</v>
      </c>
      <c r="K61" s="1297">
        <v>173</v>
      </c>
      <c r="L61" s="1297">
        <v>176</v>
      </c>
      <c r="M61" s="1297">
        <v>192</v>
      </c>
      <c r="N61" s="1297">
        <v>186</v>
      </c>
      <c r="O61" s="1297">
        <v>184</v>
      </c>
      <c r="P61" s="1297">
        <v>178</v>
      </c>
      <c r="Q61" s="1297">
        <v>161</v>
      </c>
      <c r="R61" s="1297">
        <v>160</v>
      </c>
    </row>
    <row r="62" spans="1:18">
      <c r="A62" s="1297">
        <v>772</v>
      </c>
      <c r="B62" s="1297" t="s">
        <v>1690</v>
      </c>
      <c r="C62" s="1422">
        <v>7010</v>
      </c>
      <c r="D62" s="1422">
        <f t="shared" si="0"/>
        <v>6690</v>
      </c>
      <c r="E62" s="1297">
        <v>320</v>
      </c>
      <c r="F62" s="1297">
        <v>601</v>
      </c>
      <c r="G62" s="1297">
        <v>638</v>
      </c>
      <c r="H62" s="1297">
        <v>580</v>
      </c>
      <c r="I62" s="1297">
        <v>601</v>
      </c>
      <c r="J62" s="1297">
        <v>591</v>
      </c>
      <c r="K62" s="1297">
        <v>542</v>
      </c>
      <c r="L62" s="1297">
        <v>573</v>
      </c>
      <c r="M62" s="1297">
        <v>494</v>
      </c>
      <c r="N62" s="1297">
        <v>451</v>
      </c>
      <c r="O62" s="1297">
        <v>630</v>
      </c>
      <c r="P62" s="1297">
        <v>430</v>
      </c>
      <c r="Q62" s="1297">
        <v>298</v>
      </c>
      <c r="R62" s="1297">
        <v>261</v>
      </c>
    </row>
    <row r="63" spans="1:18">
      <c r="A63" s="1297">
        <v>642</v>
      </c>
      <c r="B63" s="1297" t="s">
        <v>1691</v>
      </c>
      <c r="C63" s="1422">
        <v>3502</v>
      </c>
      <c r="D63" s="1422">
        <f t="shared" si="0"/>
        <v>3431</v>
      </c>
      <c r="E63" s="1297">
        <v>71</v>
      </c>
      <c r="F63" s="1297">
        <v>262</v>
      </c>
      <c r="G63" s="1297">
        <v>281</v>
      </c>
      <c r="H63" s="1297">
        <v>247</v>
      </c>
      <c r="I63" s="1297">
        <v>242</v>
      </c>
      <c r="J63" s="1297">
        <v>281</v>
      </c>
      <c r="K63" s="1297">
        <v>260</v>
      </c>
      <c r="L63" s="1297">
        <v>276</v>
      </c>
      <c r="M63" s="1297">
        <v>289</v>
      </c>
      <c r="N63" s="1297">
        <v>281</v>
      </c>
      <c r="O63" s="1297">
        <v>293</v>
      </c>
      <c r="P63" s="1297">
        <v>240</v>
      </c>
      <c r="Q63" s="1297">
        <v>231</v>
      </c>
      <c r="R63" s="1297">
        <v>248</v>
      </c>
    </row>
    <row r="64" spans="1:18">
      <c r="A64" s="1297">
        <v>644</v>
      </c>
      <c r="B64" s="1297" t="s">
        <v>874</v>
      </c>
      <c r="C64" s="1422">
        <v>97771</v>
      </c>
      <c r="D64" s="1422">
        <f t="shared" si="0"/>
        <v>94946</v>
      </c>
      <c r="E64" s="1422">
        <v>2825</v>
      </c>
      <c r="F64" s="1422">
        <v>7735</v>
      </c>
      <c r="G64" s="1422">
        <v>7782</v>
      </c>
      <c r="H64" s="1422">
        <v>7593</v>
      </c>
      <c r="I64" s="1422">
        <v>7710</v>
      </c>
      <c r="J64" s="1422">
        <v>7868</v>
      </c>
      <c r="K64" s="1422">
        <v>7573</v>
      </c>
      <c r="L64" s="1422">
        <v>7196</v>
      </c>
      <c r="M64" s="1422">
        <v>7099</v>
      </c>
      <c r="N64" s="1422">
        <v>7118</v>
      </c>
      <c r="O64" s="1422">
        <v>8018</v>
      </c>
      <c r="P64" s="1422">
        <v>6821</v>
      </c>
      <c r="Q64" s="1422">
        <v>6289</v>
      </c>
      <c r="R64" s="1422">
        <v>6144</v>
      </c>
    </row>
    <row r="65" spans="1:18">
      <c r="A65" s="1297">
        <v>773</v>
      </c>
      <c r="B65" s="1297" t="s">
        <v>1692</v>
      </c>
      <c r="C65" s="1422">
        <v>2916</v>
      </c>
      <c r="D65" s="1422">
        <f t="shared" si="0"/>
        <v>2916</v>
      </c>
      <c r="E65" s="1297">
        <v>0</v>
      </c>
      <c r="F65" s="1297">
        <v>299</v>
      </c>
      <c r="G65" s="1297">
        <v>280</v>
      </c>
      <c r="H65" s="1297">
        <v>277</v>
      </c>
      <c r="I65" s="1297">
        <v>234</v>
      </c>
      <c r="J65" s="1297">
        <v>221</v>
      </c>
      <c r="K65" s="1297">
        <v>194</v>
      </c>
      <c r="L65" s="1297">
        <v>224</v>
      </c>
      <c r="M65" s="1297">
        <v>220</v>
      </c>
      <c r="N65" s="1297">
        <v>211</v>
      </c>
      <c r="O65" s="1297">
        <v>228</v>
      </c>
      <c r="P65" s="1297">
        <v>196</v>
      </c>
      <c r="Q65" s="1297">
        <v>162</v>
      </c>
      <c r="R65" s="1297">
        <v>170</v>
      </c>
    </row>
    <row r="66" spans="1:18">
      <c r="A66" s="1297">
        <v>643</v>
      </c>
      <c r="B66" s="1297" t="s">
        <v>1693</v>
      </c>
      <c r="C66" s="1422">
        <v>5555</v>
      </c>
      <c r="D66" s="1422">
        <f t="shared" si="0"/>
        <v>5248</v>
      </c>
      <c r="E66" s="1297">
        <v>307</v>
      </c>
      <c r="F66" s="1297">
        <v>446</v>
      </c>
      <c r="G66" s="1297">
        <v>396</v>
      </c>
      <c r="H66" s="1297">
        <v>408</v>
      </c>
      <c r="I66" s="1297">
        <v>413</v>
      </c>
      <c r="J66" s="1297">
        <v>437</v>
      </c>
      <c r="K66" s="1297">
        <v>398</v>
      </c>
      <c r="L66" s="1297">
        <v>425</v>
      </c>
      <c r="M66" s="1297">
        <v>395</v>
      </c>
      <c r="N66" s="1297">
        <v>406</v>
      </c>
      <c r="O66" s="1297">
        <v>418</v>
      </c>
      <c r="P66" s="1297">
        <v>381</v>
      </c>
      <c r="Q66" s="1297">
        <v>330</v>
      </c>
      <c r="R66" s="1297">
        <v>395</v>
      </c>
    </row>
    <row r="67" spans="1:18">
      <c r="A67" s="1297">
        <v>645</v>
      </c>
      <c r="B67" s="1297" t="s">
        <v>1694</v>
      </c>
      <c r="C67" s="1422">
        <v>3350</v>
      </c>
      <c r="D67" s="1422">
        <f t="shared" si="0"/>
        <v>3178</v>
      </c>
      <c r="E67" s="1297">
        <v>172</v>
      </c>
      <c r="F67" s="1297">
        <v>275</v>
      </c>
      <c r="G67" s="1297">
        <v>251</v>
      </c>
      <c r="H67" s="1297">
        <v>243</v>
      </c>
      <c r="I67" s="1297">
        <v>232</v>
      </c>
      <c r="J67" s="1297">
        <v>243</v>
      </c>
      <c r="K67" s="1297">
        <v>254</v>
      </c>
      <c r="L67" s="1297">
        <v>247</v>
      </c>
      <c r="M67" s="1297">
        <v>238</v>
      </c>
      <c r="N67" s="1297">
        <v>246</v>
      </c>
      <c r="O67" s="1297">
        <v>303</v>
      </c>
      <c r="P67" s="1297">
        <v>231</v>
      </c>
      <c r="Q67" s="1297">
        <v>189</v>
      </c>
      <c r="R67" s="1297">
        <v>226</v>
      </c>
    </row>
    <row r="68" spans="1:18">
      <c r="A68" s="1297">
        <v>646</v>
      </c>
      <c r="B68" s="1297" t="s">
        <v>1695</v>
      </c>
      <c r="C68" s="1422">
        <v>1454</v>
      </c>
      <c r="D68" s="1422">
        <f t="shared" si="0"/>
        <v>1331</v>
      </c>
      <c r="E68" s="1297">
        <v>123</v>
      </c>
      <c r="F68" s="1297">
        <v>123</v>
      </c>
      <c r="G68" s="1297">
        <v>125</v>
      </c>
      <c r="H68" s="1297">
        <v>118</v>
      </c>
      <c r="I68" s="1297">
        <v>104</v>
      </c>
      <c r="J68" s="1297">
        <v>107</v>
      </c>
      <c r="K68" s="1297">
        <v>116</v>
      </c>
      <c r="L68" s="1297">
        <v>107</v>
      </c>
      <c r="M68" s="1297">
        <v>104</v>
      </c>
      <c r="N68" s="1297">
        <v>89</v>
      </c>
      <c r="O68" s="1297">
        <v>118</v>
      </c>
      <c r="P68" s="1297">
        <v>86</v>
      </c>
      <c r="Q68" s="1297">
        <v>65</v>
      </c>
      <c r="R68" s="1297">
        <v>69</v>
      </c>
    </row>
    <row r="69" spans="1:18">
      <c r="A69" s="1297">
        <v>647</v>
      </c>
      <c r="B69" s="1297" t="s">
        <v>926</v>
      </c>
      <c r="C69" s="1422">
        <v>15823</v>
      </c>
      <c r="D69" s="1422">
        <f t="shared" si="0"/>
        <v>15474</v>
      </c>
      <c r="E69" s="1297">
        <v>349</v>
      </c>
      <c r="F69" s="1422">
        <v>1397</v>
      </c>
      <c r="G69" s="1422">
        <v>1285</v>
      </c>
      <c r="H69" s="1422">
        <v>1242</v>
      </c>
      <c r="I69" s="1422">
        <v>1323</v>
      </c>
      <c r="J69" s="1422">
        <v>1348</v>
      </c>
      <c r="K69" s="1422">
        <v>1240</v>
      </c>
      <c r="L69" s="1422">
        <v>1210</v>
      </c>
      <c r="M69" s="1422">
        <v>1184</v>
      </c>
      <c r="N69" s="1422">
        <v>1199</v>
      </c>
      <c r="O69" s="1422">
        <v>1394</v>
      </c>
      <c r="P69" s="1297">
        <v>937</v>
      </c>
      <c r="Q69" s="1297">
        <v>900</v>
      </c>
      <c r="R69" s="1297">
        <v>815</v>
      </c>
    </row>
    <row r="70" spans="1:18">
      <c r="A70" s="1297">
        <v>648</v>
      </c>
      <c r="B70" s="1297" t="s">
        <v>723</v>
      </c>
      <c r="C70" s="1422">
        <v>24569</v>
      </c>
      <c r="D70" s="1422">
        <f t="shared" ref="D70:D133" si="1">C70-E70</f>
        <v>24361</v>
      </c>
      <c r="E70" s="1297">
        <v>208</v>
      </c>
      <c r="F70" s="1422">
        <v>1716</v>
      </c>
      <c r="G70" s="1422">
        <v>1758</v>
      </c>
      <c r="H70" s="1422">
        <v>1859</v>
      </c>
      <c r="I70" s="1422">
        <v>1890</v>
      </c>
      <c r="J70" s="1422">
        <v>1943</v>
      </c>
      <c r="K70" s="1422">
        <v>2001</v>
      </c>
      <c r="L70" s="1422">
        <v>1893</v>
      </c>
      <c r="M70" s="1422">
        <v>1948</v>
      </c>
      <c r="N70" s="1422">
        <v>1886</v>
      </c>
      <c r="O70" s="1422">
        <v>2068</v>
      </c>
      <c r="P70" s="1422">
        <v>1937</v>
      </c>
      <c r="Q70" s="1422">
        <v>1821</v>
      </c>
      <c r="R70" s="1422">
        <v>1641</v>
      </c>
    </row>
    <row r="71" spans="1:18">
      <c r="A71" s="1297">
        <v>774</v>
      </c>
      <c r="B71" s="1297" t="s">
        <v>1696</v>
      </c>
      <c r="C71" s="1422">
        <v>2755</v>
      </c>
      <c r="D71" s="1422">
        <f t="shared" si="1"/>
        <v>2583</v>
      </c>
      <c r="E71" s="1297">
        <v>172</v>
      </c>
      <c r="F71" s="1297">
        <v>240</v>
      </c>
      <c r="G71" s="1297">
        <v>207</v>
      </c>
      <c r="H71" s="1297">
        <v>190</v>
      </c>
      <c r="I71" s="1297">
        <v>247</v>
      </c>
      <c r="J71" s="1297">
        <v>243</v>
      </c>
      <c r="K71" s="1297">
        <v>197</v>
      </c>
      <c r="L71" s="1297">
        <v>169</v>
      </c>
      <c r="M71" s="1297">
        <v>177</v>
      </c>
      <c r="N71" s="1297">
        <v>159</v>
      </c>
      <c r="O71" s="1297">
        <v>192</v>
      </c>
      <c r="P71" s="1297">
        <v>206</v>
      </c>
      <c r="Q71" s="1297">
        <v>165</v>
      </c>
      <c r="R71" s="1297">
        <v>191</v>
      </c>
    </row>
    <row r="72" spans="1:18">
      <c r="A72" s="1297">
        <v>649</v>
      </c>
      <c r="B72" s="1297" t="s">
        <v>1697</v>
      </c>
      <c r="C72" s="1422">
        <v>2328</v>
      </c>
      <c r="D72" s="1422">
        <f t="shared" si="1"/>
        <v>2151</v>
      </c>
      <c r="E72" s="1297">
        <v>177</v>
      </c>
      <c r="F72" s="1297">
        <v>149</v>
      </c>
      <c r="G72" s="1297">
        <v>184</v>
      </c>
      <c r="H72" s="1297">
        <v>166</v>
      </c>
      <c r="I72" s="1297">
        <v>195</v>
      </c>
      <c r="J72" s="1297">
        <v>152</v>
      </c>
      <c r="K72" s="1297">
        <v>185</v>
      </c>
      <c r="L72" s="1297">
        <v>178</v>
      </c>
      <c r="M72" s="1297">
        <v>154</v>
      </c>
      <c r="N72" s="1297">
        <v>145</v>
      </c>
      <c r="O72" s="1297">
        <v>200</v>
      </c>
      <c r="P72" s="1297">
        <v>160</v>
      </c>
      <c r="Q72" s="1297">
        <v>131</v>
      </c>
      <c r="R72" s="1297">
        <v>152</v>
      </c>
    </row>
    <row r="73" spans="1:18">
      <c r="A73" s="1297">
        <v>650</v>
      </c>
      <c r="B73" s="1297" t="s">
        <v>1698</v>
      </c>
      <c r="C73" s="1297">
        <v>788</v>
      </c>
      <c r="D73" s="1422">
        <f t="shared" si="1"/>
        <v>747</v>
      </c>
      <c r="E73" s="1297">
        <v>41</v>
      </c>
      <c r="F73" s="1297">
        <v>75</v>
      </c>
      <c r="G73" s="1297">
        <v>64</v>
      </c>
      <c r="H73" s="1297">
        <v>61</v>
      </c>
      <c r="I73" s="1297">
        <v>63</v>
      </c>
      <c r="J73" s="1297">
        <v>70</v>
      </c>
      <c r="K73" s="1297">
        <v>45</v>
      </c>
      <c r="L73" s="1297">
        <v>45</v>
      </c>
      <c r="M73" s="1297">
        <v>64</v>
      </c>
      <c r="N73" s="1297">
        <v>63</v>
      </c>
      <c r="O73" s="1297">
        <v>51</v>
      </c>
      <c r="P73" s="1297">
        <v>51</v>
      </c>
      <c r="Q73" s="1297">
        <v>50</v>
      </c>
      <c r="R73" s="1297">
        <v>45</v>
      </c>
    </row>
    <row r="74" spans="1:18">
      <c r="A74" s="1297">
        <v>651</v>
      </c>
      <c r="B74" s="1297" t="s">
        <v>1699</v>
      </c>
      <c r="C74" s="1422">
        <v>11515</v>
      </c>
      <c r="D74" s="1422">
        <f t="shared" si="1"/>
        <v>10956</v>
      </c>
      <c r="E74" s="1297">
        <v>559</v>
      </c>
      <c r="F74" s="1297">
        <v>885</v>
      </c>
      <c r="G74" s="1297">
        <v>800</v>
      </c>
      <c r="H74" s="1297">
        <v>795</v>
      </c>
      <c r="I74" s="1297">
        <v>815</v>
      </c>
      <c r="J74" s="1297">
        <v>872</v>
      </c>
      <c r="K74" s="1297">
        <v>844</v>
      </c>
      <c r="L74" s="1297">
        <v>902</v>
      </c>
      <c r="M74" s="1297">
        <v>925</v>
      </c>
      <c r="N74" s="1297">
        <v>857</v>
      </c>
      <c r="O74" s="1297">
        <v>883</v>
      </c>
      <c r="P74" s="1297">
        <v>821</v>
      </c>
      <c r="Q74" s="1297">
        <v>786</v>
      </c>
      <c r="R74" s="1297">
        <v>771</v>
      </c>
    </row>
    <row r="75" spans="1:18">
      <c r="A75" s="1297">
        <v>652</v>
      </c>
      <c r="B75" s="1297" t="s">
        <v>1700</v>
      </c>
      <c r="C75" s="1422">
        <v>3331</v>
      </c>
      <c r="D75" s="1422">
        <f t="shared" si="1"/>
        <v>3153</v>
      </c>
      <c r="E75" s="1297">
        <v>178</v>
      </c>
      <c r="F75" s="1297">
        <v>264</v>
      </c>
      <c r="G75" s="1297">
        <v>239</v>
      </c>
      <c r="H75" s="1297">
        <v>238</v>
      </c>
      <c r="I75" s="1297">
        <v>234</v>
      </c>
      <c r="J75" s="1297">
        <v>248</v>
      </c>
      <c r="K75" s="1297">
        <v>265</v>
      </c>
      <c r="L75" s="1297">
        <v>245</v>
      </c>
      <c r="M75" s="1297">
        <v>223</v>
      </c>
      <c r="N75" s="1297">
        <v>248</v>
      </c>
      <c r="O75" s="1297">
        <v>304</v>
      </c>
      <c r="P75" s="1297">
        <v>230</v>
      </c>
      <c r="Q75" s="1297">
        <v>193</v>
      </c>
      <c r="R75" s="1297">
        <v>222</v>
      </c>
    </row>
    <row r="76" spans="1:18">
      <c r="A76" s="1297">
        <v>653</v>
      </c>
      <c r="B76" s="1297" t="s">
        <v>1701</v>
      </c>
      <c r="C76" s="1422">
        <v>4180</v>
      </c>
      <c r="D76" s="1422">
        <f t="shared" si="1"/>
        <v>4100</v>
      </c>
      <c r="E76" s="1297">
        <v>80</v>
      </c>
      <c r="F76" s="1297">
        <v>394</v>
      </c>
      <c r="G76" s="1297">
        <v>340</v>
      </c>
      <c r="H76" s="1297">
        <v>352</v>
      </c>
      <c r="I76" s="1297">
        <v>305</v>
      </c>
      <c r="J76" s="1297">
        <v>324</v>
      </c>
      <c r="K76" s="1297">
        <v>322</v>
      </c>
      <c r="L76" s="1297">
        <v>320</v>
      </c>
      <c r="M76" s="1297">
        <v>290</v>
      </c>
      <c r="N76" s="1297">
        <v>339</v>
      </c>
      <c r="O76" s="1297">
        <v>355</v>
      </c>
      <c r="P76" s="1297">
        <v>268</v>
      </c>
      <c r="Q76" s="1297">
        <v>255</v>
      </c>
      <c r="R76" s="1297">
        <v>236</v>
      </c>
    </row>
    <row r="77" spans="1:18">
      <c r="A77" s="1297">
        <v>654</v>
      </c>
      <c r="B77" s="1297" t="s">
        <v>1702</v>
      </c>
      <c r="C77" s="1422">
        <v>1809</v>
      </c>
      <c r="D77" s="1422">
        <f t="shared" si="1"/>
        <v>1661</v>
      </c>
      <c r="E77" s="1297">
        <v>148</v>
      </c>
      <c r="F77" s="1297">
        <v>178</v>
      </c>
      <c r="G77" s="1297">
        <v>162</v>
      </c>
      <c r="H77" s="1297">
        <v>157</v>
      </c>
      <c r="I77" s="1297">
        <v>159</v>
      </c>
      <c r="J77" s="1297">
        <v>132</v>
      </c>
      <c r="K77" s="1297">
        <v>135</v>
      </c>
      <c r="L77" s="1297">
        <v>97</v>
      </c>
      <c r="M77" s="1297">
        <v>129</v>
      </c>
      <c r="N77" s="1297">
        <v>114</v>
      </c>
      <c r="O77" s="1297">
        <v>110</v>
      </c>
      <c r="P77" s="1297">
        <v>99</v>
      </c>
      <c r="Q77" s="1297">
        <v>103</v>
      </c>
      <c r="R77" s="1297">
        <v>86</v>
      </c>
    </row>
    <row r="78" spans="1:18">
      <c r="A78" s="1297">
        <v>655</v>
      </c>
      <c r="B78" s="1297" t="s">
        <v>1703</v>
      </c>
      <c r="C78" s="1422">
        <v>3041</v>
      </c>
      <c r="D78" s="1422">
        <f t="shared" si="1"/>
        <v>3018</v>
      </c>
      <c r="E78" s="1297">
        <v>23</v>
      </c>
      <c r="F78" s="1297">
        <v>236</v>
      </c>
      <c r="G78" s="1297">
        <v>245</v>
      </c>
      <c r="H78" s="1297">
        <v>209</v>
      </c>
      <c r="I78" s="1297">
        <v>251</v>
      </c>
      <c r="J78" s="1297">
        <v>231</v>
      </c>
      <c r="K78" s="1297">
        <v>269</v>
      </c>
      <c r="L78" s="1297">
        <v>223</v>
      </c>
      <c r="M78" s="1297">
        <v>239</v>
      </c>
      <c r="N78" s="1297">
        <v>236</v>
      </c>
      <c r="O78" s="1297">
        <v>226</v>
      </c>
      <c r="P78" s="1297">
        <v>252</v>
      </c>
      <c r="Q78" s="1297">
        <v>213</v>
      </c>
      <c r="R78" s="1297">
        <v>188</v>
      </c>
    </row>
    <row r="79" spans="1:18">
      <c r="A79" s="1297">
        <v>656</v>
      </c>
      <c r="B79" s="1297" t="s">
        <v>1704</v>
      </c>
      <c r="C79" s="1422">
        <v>21117</v>
      </c>
      <c r="D79" s="1422">
        <f t="shared" si="1"/>
        <v>20903</v>
      </c>
      <c r="E79" s="1297">
        <v>214</v>
      </c>
      <c r="F79" s="1422">
        <v>1172</v>
      </c>
      <c r="G79" s="1422">
        <v>1300</v>
      </c>
      <c r="H79" s="1422">
        <v>1381</v>
      </c>
      <c r="I79" s="1422">
        <v>1435</v>
      </c>
      <c r="J79" s="1422">
        <v>1512</v>
      </c>
      <c r="K79" s="1422">
        <v>1591</v>
      </c>
      <c r="L79" s="1422">
        <v>1637</v>
      </c>
      <c r="M79" s="1422">
        <v>1725</v>
      </c>
      <c r="N79" s="1422">
        <v>1744</v>
      </c>
      <c r="O79" s="1422">
        <v>1968</v>
      </c>
      <c r="P79" s="1422">
        <v>1862</v>
      </c>
      <c r="Q79" s="1422">
        <v>1729</v>
      </c>
      <c r="R79" s="1422">
        <v>1847</v>
      </c>
    </row>
    <row r="80" spans="1:18">
      <c r="A80" s="1297">
        <v>657</v>
      </c>
      <c r="B80" s="1297" t="s">
        <v>965</v>
      </c>
      <c r="C80" s="1422">
        <v>10460</v>
      </c>
      <c r="D80" s="1422">
        <f t="shared" si="1"/>
        <v>9981</v>
      </c>
      <c r="E80" s="1297">
        <v>479</v>
      </c>
      <c r="F80" s="1297">
        <v>799</v>
      </c>
      <c r="G80" s="1297">
        <v>756</v>
      </c>
      <c r="H80" s="1297">
        <v>803</v>
      </c>
      <c r="I80" s="1297">
        <v>795</v>
      </c>
      <c r="J80" s="1297">
        <v>778</v>
      </c>
      <c r="K80" s="1297">
        <v>812</v>
      </c>
      <c r="L80" s="1297">
        <v>841</v>
      </c>
      <c r="M80" s="1297">
        <v>808</v>
      </c>
      <c r="N80" s="1297">
        <v>765</v>
      </c>
      <c r="O80" s="1297">
        <v>831</v>
      </c>
      <c r="P80" s="1297">
        <v>727</v>
      </c>
      <c r="Q80" s="1297">
        <v>657</v>
      </c>
      <c r="R80" s="1297">
        <v>609</v>
      </c>
    </row>
    <row r="81" spans="1:18">
      <c r="A81" s="1297">
        <v>658</v>
      </c>
      <c r="B81" s="1297" t="s">
        <v>845</v>
      </c>
      <c r="C81" s="1422">
        <v>35945</v>
      </c>
      <c r="D81" s="1422">
        <f t="shared" si="1"/>
        <v>35585</v>
      </c>
      <c r="E81" s="1297">
        <v>360</v>
      </c>
      <c r="F81" s="1422">
        <v>2954</v>
      </c>
      <c r="G81" s="1422">
        <v>3062</v>
      </c>
      <c r="H81" s="1422">
        <v>3022</v>
      </c>
      <c r="I81" s="1422">
        <v>3035</v>
      </c>
      <c r="J81" s="1422">
        <v>3077</v>
      </c>
      <c r="K81" s="1422">
        <v>2921</v>
      </c>
      <c r="L81" s="1422">
        <v>2950</v>
      </c>
      <c r="M81" s="1422">
        <v>2762</v>
      </c>
      <c r="N81" s="1422">
        <v>2741</v>
      </c>
      <c r="O81" s="1422">
        <v>2639</v>
      </c>
      <c r="P81" s="1422">
        <v>2306</v>
      </c>
      <c r="Q81" s="1422">
        <v>2144</v>
      </c>
      <c r="R81" s="1422">
        <v>1972</v>
      </c>
    </row>
    <row r="82" spans="1:18">
      <c r="A82" s="1297">
        <v>659</v>
      </c>
      <c r="B82" s="1297" t="s">
        <v>1705</v>
      </c>
      <c r="C82" s="1422">
        <v>3667</v>
      </c>
      <c r="D82" s="1422">
        <f t="shared" si="1"/>
        <v>3623</v>
      </c>
      <c r="E82" s="1297">
        <v>44</v>
      </c>
      <c r="F82" s="1297">
        <v>289</v>
      </c>
      <c r="G82" s="1297">
        <v>282</v>
      </c>
      <c r="H82" s="1297">
        <v>277</v>
      </c>
      <c r="I82" s="1297">
        <v>293</v>
      </c>
      <c r="J82" s="1297">
        <v>262</v>
      </c>
      <c r="K82" s="1297">
        <v>319</v>
      </c>
      <c r="L82" s="1297">
        <v>280</v>
      </c>
      <c r="M82" s="1297">
        <v>311</v>
      </c>
      <c r="N82" s="1297">
        <v>245</v>
      </c>
      <c r="O82" s="1297">
        <v>331</v>
      </c>
      <c r="P82" s="1297">
        <v>311</v>
      </c>
      <c r="Q82" s="1297">
        <v>172</v>
      </c>
      <c r="R82" s="1297">
        <v>251</v>
      </c>
    </row>
    <row r="83" spans="1:18">
      <c r="A83" s="1297">
        <v>660</v>
      </c>
      <c r="B83" s="1297" t="s">
        <v>811</v>
      </c>
      <c r="C83" s="1422">
        <v>91018</v>
      </c>
      <c r="D83" s="1422">
        <f t="shared" si="1"/>
        <v>89104</v>
      </c>
      <c r="E83" s="1422">
        <v>1914</v>
      </c>
      <c r="F83" s="1422">
        <v>6864</v>
      </c>
      <c r="G83" s="1422">
        <v>6864</v>
      </c>
      <c r="H83" s="1422">
        <v>6885</v>
      </c>
      <c r="I83" s="1422">
        <v>6876</v>
      </c>
      <c r="J83" s="1422">
        <v>7126</v>
      </c>
      <c r="K83" s="1422">
        <v>7118</v>
      </c>
      <c r="L83" s="1422">
        <v>6967</v>
      </c>
      <c r="M83" s="1422">
        <v>6807</v>
      </c>
      <c r="N83" s="1422">
        <v>6724</v>
      </c>
      <c r="O83" s="1422">
        <v>7774</v>
      </c>
      <c r="P83" s="1422">
        <v>6990</v>
      </c>
      <c r="Q83" s="1422">
        <v>6048</v>
      </c>
      <c r="R83" s="1422">
        <v>6061</v>
      </c>
    </row>
    <row r="84" spans="1:18">
      <c r="A84" s="1297">
        <v>776</v>
      </c>
      <c r="B84" s="1297" t="s">
        <v>1706</v>
      </c>
      <c r="C84" s="1422">
        <v>6893</v>
      </c>
      <c r="D84" s="1422">
        <f t="shared" si="1"/>
        <v>6653</v>
      </c>
      <c r="E84" s="1297">
        <v>240</v>
      </c>
      <c r="F84" s="1297">
        <v>712</v>
      </c>
      <c r="G84" s="1297">
        <v>653</v>
      </c>
      <c r="H84" s="1297">
        <v>609</v>
      </c>
      <c r="I84" s="1297">
        <v>593</v>
      </c>
      <c r="J84" s="1297">
        <v>589</v>
      </c>
      <c r="K84" s="1297">
        <v>568</v>
      </c>
      <c r="L84" s="1297">
        <v>488</v>
      </c>
      <c r="M84" s="1297">
        <v>439</v>
      </c>
      <c r="N84" s="1297">
        <v>469</v>
      </c>
      <c r="O84" s="1297">
        <v>587</v>
      </c>
      <c r="P84" s="1297">
        <v>406</v>
      </c>
      <c r="Q84" s="1297">
        <v>251</v>
      </c>
      <c r="R84" s="1297">
        <v>289</v>
      </c>
    </row>
    <row r="85" spans="1:18">
      <c r="A85" s="1297">
        <v>661</v>
      </c>
      <c r="B85" s="1297" t="s">
        <v>1707</v>
      </c>
      <c r="C85" s="1422">
        <v>4246</v>
      </c>
      <c r="D85" s="1422">
        <f t="shared" si="1"/>
        <v>4217</v>
      </c>
      <c r="E85" s="1297">
        <v>29</v>
      </c>
      <c r="F85" s="1297">
        <v>352</v>
      </c>
      <c r="G85" s="1297">
        <v>334</v>
      </c>
      <c r="H85" s="1297">
        <v>286</v>
      </c>
      <c r="I85" s="1297">
        <v>321</v>
      </c>
      <c r="J85" s="1297">
        <v>345</v>
      </c>
      <c r="K85" s="1297">
        <v>340</v>
      </c>
      <c r="L85" s="1297">
        <v>363</v>
      </c>
      <c r="M85" s="1297">
        <v>352</v>
      </c>
      <c r="N85" s="1297">
        <v>329</v>
      </c>
      <c r="O85" s="1297">
        <v>387</v>
      </c>
      <c r="P85" s="1297">
        <v>321</v>
      </c>
      <c r="Q85" s="1297">
        <v>226</v>
      </c>
      <c r="R85" s="1297">
        <v>261</v>
      </c>
    </row>
    <row r="86" spans="1:18">
      <c r="A86" s="1297">
        <v>662</v>
      </c>
      <c r="B86" s="1297" t="s">
        <v>1708</v>
      </c>
      <c r="C86" s="1297">
        <v>671</v>
      </c>
      <c r="D86" s="1422">
        <f t="shared" si="1"/>
        <v>631</v>
      </c>
      <c r="E86" s="1297">
        <v>40</v>
      </c>
      <c r="F86" s="1297">
        <v>44</v>
      </c>
      <c r="G86" s="1297">
        <v>47</v>
      </c>
      <c r="H86" s="1297">
        <v>38</v>
      </c>
      <c r="I86" s="1297">
        <v>52</v>
      </c>
      <c r="J86" s="1297">
        <v>47</v>
      </c>
      <c r="K86" s="1297">
        <v>48</v>
      </c>
      <c r="L86" s="1297">
        <v>61</v>
      </c>
      <c r="M86" s="1297">
        <v>63</v>
      </c>
      <c r="N86" s="1297">
        <v>54</v>
      </c>
      <c r="O86" s="1297">
        <v>50</v>
      </c>
      <c r="P86" s="1297">
        <v>35</v>
      </c>
      <c r="Q86" s="1297">
        <v>48</v>
      </c>
      <c r="R86" s="1297">
        <v>44</v>
      </c>
    </row>
    <row r="87" spans="1:18">
      <c r="A87" s="1297">
        <v>663</v>
      </c>
      <c r="B87" s="1297" t="s">
        <v>967</v>
      </c>
      <c r="C87" s="1422">
        <v>12834</v>
      </c>
      <c r="D87" s="1422">
        <f t="shared" si="1"/>
        <v>12324</v>
      </c>
      <c r="E87" s="1297">
        <v>510</v>
      </c>
      <c r="F87" s="1422">
        <v>1011</v>
      </c>
      <c r="G87" s="1422">
        <v>1043</v>
      </c>
      <c r="H87" s="1422">
        <v>1018</v>
      </c>
      <c r="I87" s="1297">
        <v>943</v>
      </c>
      <c r="J87" s="1297">
        <v>966</v>
      </c>
      <c r="K87" s="1297">
        <v>968</v>
      </c>
      <c r="L87" s="1297">
        <v>931</v>
      </c>
      <c r="M87" s="1297">
        <v>888</v>
      </c>
      <c r="N87" s="1297">
        <v>957</v>
      </c>
      <c r="O87" s="1422">
        <v>1166</v>
      </c>
      <c r="P87" s="1297">
        <v>944</v>
      </c>
      <c r="Q87" s="1297">
        <v>712</v>
      </c>
      <c r="R87" s="1297">
        <v>777</v>
      </c>
    </row>
    <row r="88" spans="1:18">
      <c r="A88" s="1297">
        <v>664</v>
      </c>
      <c r="B88" s="1297" t="s">
        <v>1709</v>
      </c>
      <c r="C88" s="1422">
        <v>6892</v>
      </c>
      <c r="D88" s="1422">
        <f t="shared" si="1"/>
        <v>6487</v>
      </c>
      <c r="E88" s="1297">
        <v>405</v>
      </c>
      <c r="F88" s="1297">
        <v>540</v>
      </c>
      <c r="G88" s="1297">
        <v>501</v>
      </c>
      <c r="H88" s="1297">
        <v>493</v>
      </c>
      <c r="I88" s="1297">
        <v>509</v>
      </c>
      <c r="J88" s="1297">
        <v>541</v>
      </c>
      <c r="K88" s="1297">
        <v>557</v>
      </c>
      <c r="L88" s="1297">
        <v>480</v>
      </c>
      <c r="M88" s="1297">
        <v>523</v>
      </c>
      <c r="N88" s="1297">
        <v>477</v>
      </c>
      <c r="O88" s="1297">
        <v>478</v>
      </c>
      <c r="P88" s="1297">
        <v>531</v>
      </c>
      <c r="Q88" s="1297">
        <v>430</v>
      </c>
      <c r="R88" s="1297">
        <v>427</v>
      </c>
    </row>
    <row r="89" spans="1:18">
      <c r="A89" s="1297">
        <v>665</v>
      </c>
      <c r="B89" s="1297" t="s">
        <v>1710</v>
      </c>
      <c r="C89" s="1422">
        <v>4517</v>
      </c>
      <c r="D89" s="1422">
        <f t="shared" si="1"/>
        <v>4282</v>
      </c>
      <c r="E89" s="1297">
        <v>235</v>
      </c>
      <c r="F89" s="1297">
        <v>403</v>
      </c>
      <c r="G89" s="1297">
        <v>404</v>
      </c>
      <c r="H89" s="1297">
        <v>347</v>
      </c>
      <c r="I89" s="1297">
        <v>361</v>
      </c>
      <c r="J89" s="1297">
        <v>354</v>
      </c>
      <c r="K89" s="1297">
        <v>360</v>
      </c>
      <c r="L89" s="1297">
        <v>319</v>
      </c>
      <c r="M89" s="1297">
        <v>343</v>
      </c>
      <c r="N89" s="1297">
        <v>300</v>
      </c>
      <c r="O89" s="1297">
        <v>370</v>
      </c>
      <c r="P89" s="1297">
        <v>287</v>
      </c>
      <c r="Q89" s="1297">
        <v>235</v>
      </c>
      <c r="R89" s="1297">
        <v>199</v>
      </c>
    </row>
    <row r="90" spans="1:18">
      <c r="A90" s="1297">
        <v>666</v>
      </c>
      <c r="B90" s="1297" t="s">
        <v>755</v>
      </c>
      <c r="C90" s="1422">
        <v>2128</v>
      </c>
      <c r="D90" s="1422">
        <f t="shared" si="1"/>
        <v>1990</v>
      </c>
      <c r="E90" s="1297">
        <v>138</v>
      </c>
      <c r="F90" s="1297">
        <v>179</v>
      </c>
      <c r="G90" s="1297">
        <v>181</v>
      </c>
      <c r="H90" s="1297">
        <v>192</v>
      </c>
      <c r="I90" s="1297">
        <v>179</v>
      </c>
      <c r="J90" s="1297">
        <v>167</v>
      </c>
      <c r="K90" s="1297">
        <v>146</v>
      </c>
      <c r="L90" s="1297">
        <v>147</v>
      </c>
      <c r="M90" s="1297">
        <v>147</v>
      </c>
      <c r="N90" s="1297">
        <v>143</v>
      </c>
      <c r="O90" s="1297">
        <v>185</v>
      </c>
      <c r="P90" s="1297">
        <v>122</v>
      </c>
      <c r="Q90" s="1297">
        <v>99</v>
      </c>
      <c r="R90" s="1297">
        <v>103</v>
      </c>
    </row>
    <row r="91" spans="1:18">
      <c r="A91" s="1297">
        <v>667</v>
      </c>
      <c r="B91" s="1297" t="s">
        <v>879</v>
      </c>
      <c r="C91" s="1422">
        <v>159482</v>
      </c>
      <c r="D91" s="1422">
        <f t="shared" si="1"/>
        <v>158312</v>
      </c>
      <c r="E91" s="1422">
        <v>1170</v>
      </c>
      <c r="F91" s="1422">
        <v>12269</v>
      </c>
      <c r="G91" s="1422">
        <v>12425</v>
      </c>
      <c r="H91" s="1422">
        <v>12318</v>
      </c>
      <c r="I91" s="1422">
        <v>12612</v>
      </c>
      <c r="J91" s="1422">
        <v>12731</v>
      </c>
      <c r="K91" s="1422">
        <v>12764</v>
      </c>
      <c r="L91" s="1422">
        <v>12585</v>
      </c>
      <c r="M91" s="1422">
        <v>12295</v>
      </c>
      <c r="N91" s="1422">
        <v>12112</v>
      </c>
      <c r="O91" s="1422">
        <v>14395</v>
      </c>
      <c r="P91" s="1422">
        <v>12600</v>
      </c>
      <c r="Q91" s="1422">
        <v>9649</v>
      </c>
      <c r="R91" s="1422">
        <v>9557</v>
      </c>
    </row>
    <row r="92" spans="1:18">
      <c r="A92" s="1297">
        <v>668</v>
      </c>
      <c r="B92" s="1297" t="s">
        <v>1711</v>
      </c>
      <c r="C92" s="1422">
        <v>6809</v>
      </c>
      <c r="D92" s="1422">
        <f t="shared" si="1"/>
        <v>6647</v>
      </c>
      <c r="E92" s="1297">
        <v>162</v>
      </c>
      <c r="F92" s="1297">
        <v>586</v>
      </c>
      <c r="G92" s="1297">
        <v>569</v>
      </c>
      <c r="H92" s="1297">
        <v>541</v>
      </c>
      <c r="I92" s="1297">
        <v>572</v>
      </c>
      <c r="J92" s="1297">
        <v>530</v>
      </c>
      <c r="K92" s="1297">
        <v>577</v>
      </c>
      <c r="L92" s="1297">
        <v>553</v>
      </c>
      <c r="M92" s="1297">
        <v>520</v>
      </c>
      <c r="N92" s="1297">
        <v>517</v>
      </c>
      <c r="O92" s="1297">
        <v>492</v>
      </c>
      <c r="P92" s="1297">
        <v>482</v>
      </c>
      <c r="Q92" s="1297">
        <v>391</v>
      </c>
      <c r="R92" s="1297">
        <v>317</v>
      </c>
    </row>
    <row r="93" spans="1:18">
      <c r="A93" s="1297">
        <v>669</v>
      </c>
      <c r="B93" s="1297" t="s">
        <v>922</v>
      </c>
      <c r="C93" s="1422">
        <v>25777</v>
      </c>
      <c r="D93" s="1422">
        <f t="shared" si="1"/>
        <v>25612</v>
      </c>
      <c r="E93" s="1297">
        <v>165</v>
      </c>
      <c r="F93" s="1422">
        <v>2124</v>
      </c>
      <c r="G93" s="1422">
        <v>2091</v>
      </c>
      <c r="H93" s="1422">
        <v>2025</v>
      </c>
      <c r="I93" s="1422">
        <v>2138</v>
      </c>
      <c r="J93" s="1422">
        <v>2031</v>
      </c>
      <c r="K93" s="1422">
        <v>2128</v>
      </c>
      <c r="L93" s="1422">
        <v>2021</v>
      </c>
      <c r="M93" s="1422">
        <v>1992</v>
      </c>
      <c r="N93" s="1422">
        <v>1968</v>
      </c>
      <c r="O93" s="1422">
        <v>2198</v>
      </c>
      <c r="P93" s="1422">
        <v>2210</v>
      </c>
      <c r="Q93" s="1422">
        <v>1280</v>
      </c>
      <c r="R93" s="1422">
        <v>1406</v>
      </c>
    </row>
    <row r="94" spans="1:18">
      <c r="A94" s="1297">
        <v>670</v>
      </c>
      <c r="B94" s="1297" t="s">
        <v>1712</v>
      </c>
      <c r="C94" s="1422">
        <v>1191</v>
      </c>
      <c r="D94" s="1422">
        <f t="shared" si="1"/>
        <v>1107</v>
      </c>
      <c r="E94" s="1297">
        <v>84</v>
      </c>
      <c r="F94" s="1297">
        <v>82</v>
      </c>
      <c r="G94" s="1297">
        <v>75</v>
      </c>
      <c r="H94" s="1297">
        <v>66</v>
      </c>
      <c r="I94" s="1297">
        <v>94</v>
      </c>
      <c r="J94" s="1297">
        <v>91</v>
      </c>
      <c r="K94" s="1297">
        <v>69</v>
      </c>
      <c r="L94" s="1297">
        <v>88</v>
      </c>
      <c r="M94" s="1297">
        <v>83</v>
      </c>
      <c r="N94" s="1297">
        <v>84</v>
      </c>
      <c r="O94" s="1297">
        <v>85</v>
      </c>
      <c r="P94" s="1297">
        <v>125</v>
      </c>
      <c r="Q94" s="1297">
        <v>78</v>
      </c>
      <c r="R94" s="1297">
        <v>87</v>
      </c>
    </row>
    <row r="95" spans="1:18">
      <c r="A95" s="1297">
        <v>671</v>
      </c>
      <c r="B95" s="1297" t="s">
        <v>1849</v>
      </c>
      <c r="C95" s="1422">
        <v>3647</v>
      </c>
      <c r="D95" s="1422">
        <f t="shared" si="1"/>
        <v>3447</v>
      </c>
      <c r="E95" s="1297">
        <v>200</v>
      </c>
      <c r="F95" s="1297">
        <v>263</v>
      </c>
      <c r="G95" s="1297">
        <v>263</v>
      </c>
      <c r="H95" s="1297">
        <v>248</v>
      </c>
      <c r="I95" s="1297">
        <v>270</v>
      </c>
      <c r="J95" s="1297">
        <v>279</v>
      </c>
      <c r="K95" s="1297">
        <v>275</v>
      </c>
      <c r="L95" s="1297">
        <v>280</v>
      </c>
      <c r="M95" s="1297">
        <v>320</v>
      </c>
      <c r="N95" s="1297">
        <v>262</v>
      </c>
      <c r="O95" s="1297">
        <v>355</v>
      </c>
      <c r="P95" s="1297">
        <v>249</v>
      </c>
      <c r="Q95" s="1297">
        <v>167</v>
      </c>
      <c r="R95" s="1297">
        <v>216</v>
      </c>
    </row>
    <row r="96" spans="1:18">
      <c r="A96" s="1297">
        <v>672</v>
      </c>
      <c r="B96" s="1297" t="s">
        <v>1850</v>
      </c>
      <c r="C96" s="1422">
        <v>5050</v>
      </c>
      <c r="D96" s="1422">
        <f t="shared" si="1"/>
        <v>4815</v>
      </c>
      <c r="E96" s="1297">
        <v>235</v>
      </c>
      <c r="F96" s="1297">
        <v>339</v>
      </c>
      <c r="G96" s="1297">
        <v>340</v>
      </c>
      <c r="H96" s="1297">
        <v>348</v>
      </c>
      <c r="I96" s="1297">
        <v>355</v>
      </c>
      <c r="J96" s="1297">
        <v>378</v>
      </c>
      <c r="K96" s="1297">
        <v>387</v>
      </c>
      <c r="L96" s="1297">
        <v>405</v>
      </c>
      <c r="M96" s="1297">
        <v>382</v>
      </c>
      <c r="N96" s="1297">
        <v>362</v>
      </c>
      <c r="O96" s="1297">
        <v>406</v>
      </c>
      <c r="P96" s="1297">
        <v>379</v>
      </c>
      <c r="Q96" s="1297">
        <v>358</v>
      </c>
      <c r="R96" s="1297">
        <v>376</v>
      </c>
    </row>
    <row r="97" spans="1:18">
      <c r="A97" s="1297">
        <v>673</v>
      </c>
      <c r="B97" s="1297" t="s">
        <v>1851</v>
      </c>
      <c r="C97" s="1422">
        <v>3433</v>
      </c>
      <c r="D97" s="1422">
        <f t="shared" si="1"/>
        <v>3343</v>
      </c>
      <c r="E97" s="1297">
        <v>90</v>
      </c>
      <c r="F97" s="1297">
        <v>306</v>
      </c>
      <c r="G97" s="1297">
        <v>255</v>
      </c>
      <c r="H97" s="1297">
        <v>263</v>
      </c>
      <c r="I97" s="1297">
        <v>265</v>
      </c>
      <c r="J97" s="1297">
        <v>257</v>
      </c>
      <c r="K97" s="1297">
        <v>282</v>
      </c>
      <c r="L97" s="1297">
        <v>254</v>
      </c>
      <c r="M97" s="1297">
        <v>237</v>
      </c>
      <c r="N97" s="1297">
        <v>260</v>
      </c>
      <c r="O97" s="1297">
        <v>309</v>
      </c>
      <c r="P97" s="1297">
        <v>246</v>
      </c>
      <c r="Q97" s="1297">
        <v>181</v>
      </c>
      <c r="R97" s="1297">
        <v>228</v>
      </c>
    </row>
    <row r="98" spans="1:18">
      <c r="A98" s="1297">
        <v>674</v>
      </c>
      <c r="B98" s="1297" t="s">
        <v>1852</v>
      </c>
      <c r="C98" s="1422">
        <v>2085</v>
      </c>
      <c r="D98" s="1422">
        <f t="shared" si="1"/>
        <v>1963</v>
      </c>
      <c r="E98" s="1297">
        <v>122</v>
      </c>
      <c r="F98" s="1297">
        <v>143</v>
      </c>
      <c r="G98" s="1297">
        <v>146</v>
      </c>
      <c r="H98" s="1297">
        <v>140</v>
      </c>
      <c r="I98" s="1297">
        <v>152</v>
      </c>
      <c r="J98" s="1297">
        <v>155</v>
      </c>
      <c r="K98" s="1297">
        <v>159</v>
      </c>
      <c r="L98" s="1297">
        <v>160</v>
      </c>
      <c r="M98" s="1297">
        <v>169</v>
      </c>
      <c r="N98" s="1297">
        <v>161</v>
      </c>
      <c r="O98" s="1297">
        <v>156</v>
      </c>
      <c r="P98" s="1297">
        <v>135</v>
      </c>
      <c r="Q98" s="1297">
        <v>140</v>
      </c>
      <c r="R98" s="1297">
        <v>147</v>
      </c>
    </row>
    <row r="99" spans="1:18">
      <c r="A99" s="1297">
        <v>675</v>
      </c>
      <c r="B99" s="1297" t="s">
        <v>1853</v>
      </c>
      <c r="C99" s="1422">
        <v>40671</v>
      </c>
      <c r="D99" s="1422">
        <f t="shared" si="1"/>
        <v>40365</v>
      </c>
      <c r="E99" s="1297">
        <v>306</v>
      </c>
      <c r="F99" s="1422">
        <v>2834</v>
      </c>
      <c r="G99" s="1422">
        <v>2854</v>
      </c>
      <c r="H99" s="1422">
        <v>2834</v>
      </c>
      <c r="I99" s="1422">
        <v>3012</v>
      </c>
      <c r="J99" s="1422">
        <v>3067</v>
      </c>
      <c r="K99" s="1422">
        <v>3223</v>
      </c>
      <c r="L99" s="1422">
        <v>3231</v>
      </c>
      <c r="M99" s="1422">
        <v>3359</v>
      </c>
      <c r="N99" s="1422">
        <v>3281</v>
      </c>
      <c r="O99" s="1422">
        <v>3576</v>
      </c>
      <c r="P99" s="1422">
        <v>3307</v>
      </c>
      <c r="Q99" s="1422">
        <v>2857</v>
      </c>
      <c r="R99" s="1422">
        <v>2930</v>
      </c>
    </row>
    <row r="100" spans="1:18">
      <c r="A100" s="1297">
        <v>676</v>
      </c>
      <c r="B100" s="1297" t="s">
        <v>969</v>
      </c>
      <c r="C100" s="1422">
        <v>27014</v>
      </c>
      <c r="D100" s="1422">
        <f t="shared" si="1"/>
        <v>25981</v>
      </c>
      <c r="E100" s="1422">
        <v>1033</v>
      </c>
      <c r="F100" s="1422">
        <v>2009</v>
      </c>
      <c r="G100" s="1422">
        <v>2055</v>
      </c>
      <c r="H100" s="1422">
        <v>1945</v>
      </c>
      <c r="I100" s="1422">
        <v>2020</v>
      </c>
      <c r="J100" s="1422">
        <v>2057</v>
      </c>
      <c r="K100" s="1422">
        <v>2086</v>
      </c>
      <c r="L100" s="1422">
        <v>1988</v>
      </c>
      <c r="M100" s="1422">
        <v>2047</v>
      </c>
      <c r="N100" s="1422">
        <v>2003</v>
      </c>
      <c r="O100" s="1422">
        <v>2169</v>
      </c>
      <c r="P100" s="1422">
        <v>1969</v>
      </c>
      <c r="Q100" s="1422">
        <v>2002</v>
      </c>
      <c r="R100" s="1422">
        <v>1631</v>
      </c>
    </row>
    <row r="101" spans="1:18">
      <c r="A101" s="1297">
        <v>677</v>
      </c>
      <c r="B101" s="1297" t="s">
        <v>1854</v>
      </c>
      <c r="C101" s="1422">
        <v>1669</v>
      </c>
      <c r="D101" s="1422">
        <f t="shared" si="1"/>
        <v>1555</v>
      </c>
      <c r="E101" s="1297">
        <v>114</v>
      </c>
      <c r="F101" s="1297">
        <v>136</v>
      </c>
      <c r="G101" s="1297">
        <v>127</v>
      </c>
      <c r="H101" s="1297">
        <v>125</v>
      </c>
      <c r="I101" s="1297">
        <v>140</v>
      </c>
      <c r="J101" s="1297">
        <v>122</v>
      </c>
      <c r="K101" s="1297">
        <v>117</v>
      </c>
      <c r="L101" s="1297">
        <v>124</v>
      </c>
      <c r="M101" s="1297">
        <v>135</v>
      </c>
      <c r="N101" s="1297">
        <v>126</v>
      </c>
      <c r="O101" s="1297">
        <v>110</v>
      </c>
      <c r="P101" s="1297">
        <v>112</v>
      </c>
      <c r="Q101" s="1297">
        <v>88</v>
      </c>
      <c r="R101" s="1297">
        <v>93</v>
      </c>
    </row>
    <row r="102" spans="1:18">
      <c r="A102" s="1297">
        <v>678</v>
      </c>
      <c r="B102" s="1297" t="s">
        <v>1855</v>
      </c>
      <c r="C102" s="1422">
        <v>7264</v>
      </c>
      <c r="D102" s="1422">
        <f t="shared" si="1"/>
        <v>7044</v>
      </c>
      <c r="E102" s="1297">
        <v>220</v>
      </c>
      <c r="F102" s="1297">
        <v>620</v>
      </c>
      <c r="G102" s="1297">
        <v>580</v>
      </c>
      <c r="H102" s="1297">
        <v>595</v>
      </c>
      <c r="I102" s="1297">
        <v>610</v>
      </c>
      <c r="J102" s="1297">
        <v>535</v>
      </c>
      <c r="K102" s="1297">
        <v>571</v>
      </c>
      <c r="L102" s="1297">
        <v>555</v>
      </c>
      <c r="M102" s="1297">
        <v>566</v>
      </c>
      <c r="N102" s="1297">
        <v>518</v>
      </c>
      <c r="O102" s="1297">
        <v>503</v>
      </c>
      <c r="P102" s="1297">
        <v>523</v>
      </c>
      <c r="Q102" s="1297">
        <v>458</v>
      </c>
      <c r="R102" s="1297">
        <v>410</v>
      </c>
    </row>
    <row r="103" spans="1:18">
      <c r="A103" s="1297">
        <v>679</v>
      </c>
      <c r="B103" s="1297" t="s">
        <v>1856</v>
      </c>
      <c r="C103" s="1422">
        <v>2183</v>
      </c>
      <c r="D103" s="1422">
        <f t="shared" si="1"/>
        <v>2044</v>
      </c>
      <c r="E103" s="1297">
        <v>139</v>
      </c>
      <c r="F103" s="1297">
        <v>211</v>
      </c>
      <c r="G103" s="1297">
        <v>152</v>
      </c>
      <c r="H103" s="1297">
        <v>179</v>
      </c>
      <c r="I103" s="1297">
        <v>167</v>
      </c>
      <c r="J103" s="1297">
        <v>171</v>
      </c>
      <c r="K103" s="1297">
        <v>167</v>
      </c>
      <c r="L103" s="1297">
        <v>136</v>
      </c>
      <c r="M103" s="1297">
        <v>159</v>
      </c>
      <c r="N103" s="1297">
        <v>157</v>
      </c>
      <c r="O103" s="1297">
        <v>192</v>
      </c>
      <c r="P103" s="1297">
        <v>112</v>
      </c>
      <c r="Q103" s="1297">
        <v>122</v>
      </c>
      <c r="R103" s="1297">
        <v>119</v>
      </c>
    </row>
    <row r="104" spans="1:18">
      <c r="A104" s="1297">
        <v>680</v>
      </c>
      <c r="B104" s="1297" t="s">
        <v>1857</v>
      </c>
      <c r="C104" s="1422">
        <v>2988</v>
      </c>
      <c r="D104" s="1422">
        <f t="shared" si="1"/>
        <v>2798</v>
      </c>
      <c r="E104" s="1297">
        <v>190</v>
      </c>
      <c r="F104" s="1297">
        <v>243</v>
      </c>
      <c r="G104" s="1297">
        <v>249</v>
      </c>
      <c r="H104" s="1297">
        <v>215</v>
      </c>
      <c r="I104" s="1297">
        <v>230</v>
      </c>
      <c r="J104" s="1297">
        <v>229</v>
      </c>
      <c r="K104" s="1297">
        <v>229</v>
      </c>
      <c r="L104" s="1297">
        <v>258</v>
      </c>
      <c r="M104" s="1297">
        <v>215</v>
      </c>
      <c r="N104" s="1297">
        <v>212</v>
      </c>
      <c r="O104" s="1297">
        <v>202</v>
      </c>
      <c r="P104" s="1297">
        <v>181</v>
      </c>
      <c r="Q104" s="1297">
        <v>173</v>
      </c>
      <c r="R104" s="1297">
        <v>162</v>
      </c>
    </row>
    <row r="105" spans="1:18">
      <c r="A105" s="1297">
        <v>779</v>
      </c>
      <c r="B105" s="1297" t="s">
        <v>1858</v>
      </c>
      <c r="C105" s="1422">
        <v>2786</v>
      </c>
      <c r="D105" s="1422">
        <f t="shared" si="1"/>
        <v>2690</v>
      </c>
      <c r="E105" s="1297">
        <v>96</v>
      </c>
      <c r="F105" s="1297">
        <v>203</v>
      </c>
      <c r="G105" s="1297">
        <v>241</v>
      </c>
      <c r="H105" s="1297">
        <v>197</v>
      </c>
      <c r="I105" s="1297">
        <v>231</v>
      </c>
      <c r="J105" s="1297">
        <v>205</v>
      </c>
      <c r="K105" s="1297">
        <v>212</v>
      </c>
      <c r="L105" s="1297">
        <v>209</v>
      </c>
      <c r="M105" s="1297">
        <v>215</v>
      </c>
      <c r="N105" s="1297">
        <v>217</v>
      </c>
      <c r="O105" s="1297">
        <v>207</v>
      </c>
      <c r="P105" s="1297">
        <v>190</v>
      </c>
      <c r="Q105" s="1297">
        <v>188</v>
      </c>
      <c r="R105" s="1297">
        <v>175</v>
      </c>
    </row>
    <row r="106" spans="1:18">
      <c r="A106" s="1297">
        <v>681</v>
      </c>
      <c r="B106" s="1297" t="s">
        <v>1859</v>
      </c>
      <c r="C106" s="1422">
        <v>2962</v>
      </c>
      <c r="D106" s="1422">
        <f t="shared" si="1"/>
        <v>2796</v>
      </c>
      <c r="E106" s="1297">
        <v>166</v>
      </c>
      <c r="F106" s="1297">
        <v>199</v>
      </c>
      <c r="G106" s="1297">
        <v>231</v>
      </c>
      <c r="H106" s="1297">
        <v>261</v>
      </c>
      <c r="I106" s="1297">
        <v>210</v>
      </c>
      <c r="J106" s="1297">
        <v>221</v>
      </c>
      <c r="K106" s="1297">
        <v>249</v>
      </c>
      <c r="L106" s="1297">
        <v>178</v>
      </c>
      <c r="M106" s="1297">
        <v>207</v>
      </c>
      <c r="N106" s="1297">
        <v>206</v>
      </c>
      <c r="O106" s="1297">
        <v>220</v>
      </c>
      <c r="P106" s="1297">
        <v>235</v>
      </c>
      <c r="Q106" s="1297">
        <v>200</v>
      </c>
      <c r="R106" s="1297">
        <v>179</v>
      </c>
    </row>
    <row r="107" spans="1:18">
      <c r="A107" s="1297">
        <v>682</v>
      </c>
      <c r="B107" s="1297" t="s">
        <v>1860</v>
      </c>
      <c r="C107" s="1422">
        <v>1510</v>
      </c>
      <c r="D107" s="1422">
        <f t="shared" si="1"/>
        <v>1397</v>
      </c>
      <c r="E107" s="1297">
        <v>113</v>
      </c>
      <c r="F107" s="1297">
        <v>128</v>
      </c>
      <c r="G107" s="1297">
        <v>84</v>
      </c>
      <c r="H107" s="1297">
        <v>112</v>
      </c>
      <c r="I107" s="1297">
        <v>104</v>
      </c>
      <c r="J107" s="1297">
        <v>113</v>
      </c>
      <c r="K107" s="1297">
        <v>113</v>
      </c>
      <c r="L107" s="1297">
        <v>119</v>
      </c>
      <c r="M107" s="1297">
        <v>108</v>
      </c>
      <c r="N107" s="1297">
        <v>114</v>
      </c>
      <c r="O107" s="1297">
        <v>113</v>
      </c>
      <c r="P107" s="1297">
        <v>102</v>
      </c>
      <c r="Q107" s="1297">
        <v>89</v>
      </c>
      <c r="R107" s="1297">
        <v>98</v>
      </c>
    </row>
    <row r="108" spans="1:18">
      <c r="A108" s="1297">
        <v>683</v>
      </c>
      <c r="B108" s="1297" t="s">
        <v>1861</v>
      </c>
      <c r="C108" s="1422">
        <v>1209</v>
      </c>
      <c r="D108" s="1422">
        <f t="shared" si="1"/>
        <v>1123</v>
      </c>
      <c r="E108" s="1297">
        <v>86</v>
      </c>
      <c r="F108" s="1297">
        <v>93</v>
      </c>
      <c r="G108" s="1297">
        <v>76</v>
      </c>
      <c r="H108" s="1297">
        <v>99</v>
      </c>
      <c r="I108" s="1297">
        <v>95</v>
      </c>
      <c r="J108" s="1297">
        <v>92</v>
      </c>
      <c r="K108" s="1297">
        <v>93</v>
      </c>
      <c r="L108" s="1297">
        <v>77</v>
      </c>
      <c r="M108" s="1297">
        <v>95</v>
      </c>
      <c r="N108" s="1297">
        <v>91</v>
      </c>
      <c r="O108" s="1297">
        <v>99</v>
      </c>
      <c r="P108" s="1297">
        <v>78</v>
      </c>
      <c r="Q108" s="1297">
        <v>63</v>
      </c>
      <c r="R108" s="1297">
        <v>72</v>
      </c>
    </row>
    <row r="109" spans="1:18">
      <c r="A109" s="1297">
        <v>684</v>
      </c>
      <c r="B109" s="1297" t="s">
        <v>1862</v>
      </c>
      <c r="C109" s="1422">
        <v>5612</v>
      </c>
      <c r="D109" s="1422">
        <f t="shared" si="1"/>
        <v>5386</v>
      </c>
      <c r="E109" s="1297">
        <v>226</v>
      </c>
      <c r="F109" s="1297">
        <v>432</v>
      </c>
      <c r="G109" s="1297">
        <v>414</v>
      </c>
      <c r="H109" s="1297">
        <v>398</v>
      </c>
      <c r="I109" s="1297">
        <v>425</v>
      </c>
      <c r="J109" s="1297">
        <v>439</v>
      </c>
      <c r="K109" s="1297">
        <v>426</v>
      </c>
      <c r="L109" s="1297">
        <v>445</v>
      </c>
      <c r="M109" s="1297">
        <v>447</v>
      </c>
      <c r="N109" s="1297">
        <v>411</v>
      </c>
      <c r="O109" s="1297">
        <v>460</v>
      </c>
      <c r="P109" s="1297">
        <v>376</v>
      </c>
      <c r="Q109" s="1297">
        <v>351</v>
      </c>
      <c r="R109" s="1297">
        <v>362</v>
      </c>
    </row>
    <row r="110" spans="1:18">
      <c r="A110" s="1297">
        <v>685</v>
      </c>
      <c r="B110" s="1297" t="s">
        <v>1863</v>
      </c>
      <c r="C110" s="1422">
        <v>2527</v>
      </c>
      <c r="D110" s="1422">
        <f t="shared" si="1"/>
        <v>2417</v>
      </c>
      <c r="E110" s="1297">
        <v>110</v>
      </c>
      <c r="F110" s="1297">
        <v>192</v>
      </c>
      <c r="G110" s="1297">
        <v>205</v>
      </c>
      <c r="H110" s="1297">
        <v>184</v>
      </c>
      <c r="I110" s="1297">
        <v>174</v>
      </c>
      <c r="J110" s="1297">
        <v>215</v>
      </c>
      <c r="K110" s="1297">
        <v>190</v>
      </c>
      <c r="L110" s="1297">
        <v>183</v>
      </c>
      <c r="M110" s="1297">
        <v>195</v>
      </c>
      <c r="N110" s="1297">
        <v>173</v>
      </c>
      <c r="O110" s="1297">
        <v>174</v>
      </c>
      <c r="P110" s="1297">
        <v>211</v>
      </c>
      <c r="Q110" s="1297">
        <v>167</v>
      </c>
      <c r="R110" s="1297">
        <v>154</v>
      </c>
    </row>
    <row r="111" spans="1:18">
      <c r="A111" s="1297">
        <v>686</v>
      </c>
      <c r="B111" s="1297" t="s">
        <v>1864</v>
      </c>
      <c r="C111" s="1422">
        <v>1729</v>
      </c>
      <c r="D111" s="1422">
        <f t="shared" si="1"/>
        <v>1591</v>
      </c>
      <c r="E111" s="1297">
        <v>138</v>
      </c>
      <c r="F111" s="1297">
        <v>150</v>
      </c>
      <c r="G111" s="1297">
        <v>157</v>
      </c>
      <c r="H111" s="1297">
        <v>147</v>
      </c>
      <c r="I111" s="1297">
        <v>127</v>
      </c>
      <c r="J111" s="1297">
        <v>129</v>
      </c>
      <c r="K111" s="1297">
        <v>134</v>
      </c>
      <c r="L111" s="1297">
        <v>117</v>
      </c>
      <c r="M111" s="1297">
        <v>131</v>
      </c>
      <c r="N111" s="1297">
        <v>114</v>
      </c>
      <c r="O111" s="1297">
        <v>100</v>
      </c>
      <c r="P111" s="1297">
        <v>93</v>
      </c>
      <c r="Q111" s="1297">
        <v>110</v>
      </c>
      <c r="R111" s="1297">
        <v>82</v>
      </c>
    </row>
    <row r="112" spans="1:18">
      <c r="A112" s="1297">
        <v>687</v>
      </c>
      <c r="B112" s="1297" t="s">
        <v>1865</v>
      </c>
      <c r="C112" s="1422">
        <v>6529</v>
      </c>
      <c r="D112" s="1422">
        <f t="shared" si="1"/>
        <v>6217</v>
      </c>
      <c r="E112" s="1297">
        <v>312</v>
      </c>
      <c r="F112" s="1297">
        <v>541</v>
      </c>
      <c r="G112" s="1297">
        <v>514</v>
      </c>
      <c r="H112" s="1297">
        <v>493</v>
      </c>
      <c r="I112" s="1297">
        <v>470</v>
      </c>
      <c r="J112" s="1297">
        <v>491</v>
      </c>
      <c r="K112" s="1297">
        <v>509</v>
      </c>
      <c r="L112" s="1297">
        <v>487</v>
      </c>
      <c r="M112" s="1297">
        <v>498</v>
      </c>
      <c r="N112" s="1297">
        <v>470</v>
      </c>
      <c r="O112" s="1297">
        <v>510</v>
      </c>
      <c r="P112" s="1297">
        <v>440</v>
      </c>
      <c r="Q112" s="1297">
        <v>414</v>
      </c>
      <c r="R112" s="1297">
        <v>380</v>
      </c>
    </row>
    <row r="113" spans="1:18">
      <c r="A113" s="1297">
        <v>688</v>
      </c>
      <c r="B113" s="1297" t="s">
        <v>1866</v>
      </c>
      <c r="C113" s="1422">
        <v>6321</v>
      </c>
      <c r="D113" s="1422">
        <f t="shared" si="1"/>
        <v>6078</v>
      </c>
      <c r="E113" s="1297">
        <v>243</v>
      </c>
      <c r="F113" s="1297">
        <v>475</v>
      </c>
      <c r="G113" s="1297">
        <v>477</v>
      </c>
      <c r="H113" s="1297">
        <v>447</v>
      </c>
      <c r="I113" s="1297">
        <v>473</v>
      </c>
      <c r="J113" s="1297">
        <v>483</v>
      </c>
      <c r="K113" s="1297">
        <v>510</v>
      </c>
      <c r="L113" s="1297">
        <v>500</v>
      </c>
      <c r="M113" s="1297">
        <v>517</v>
      </c>
      <c r="N113" s="1297">
        <v>527</v>
      </c>
      <c r="O113" s="1297">
        <v>463</v>
      </c>
      <c r="P113" s="1297">
        <v>426</v>
      </c>
      <c r="Q113" s="1297">
        <v>393</v>
      </c>
      <c r="R113" s="1297">
        <v>387</v>
      </c>
    </row>
    <row r="114" spans="1:18">
      <c r="A114" s="1297">
        <v>689</v>
      </c>
      <c r="B114" s="1297" t="s">
        <v>1867</v>
      </c>
      <c r="C114" s="1422">
        <v>10507</v>
      </c>
      <c r="D114" s="1422">
        <f t="shared" si="1"/>
        <v>10073</v>
      </c>
      <c r="E114" s="1297">
        <v>434</v>
      </c>
      <c r="F114" s="1297">
        <v>858</v>
      </c>
      <c r="G114" s="1297">
        <v>867</v>
      </c>
      <c r="H114" s="1297">
        <v>781</v>
      </c>
      <c r="I114" s="1297">
        <v>744</v>
      </c>
      <c r="J114" s="1297">
        <v>744</v>
      </c>
      <c r="K114" s="1297">
        <v>758</v>
      </c>
      <c r="L114" s="1297">
        <v>759</v>
      </c>
      <c r="M114" s="1297">
        <v>855</v>
      </c>
      <c r="N114" s="1297">
        <v>784</v>
      </c>
      <c r="O114" s="1297">
        <v>804</v>
      </c>
      <c r="P114" s="1297">
        <v>783</v>
      </c>
      <c r="Q114" s="1297">
        <v>661</v>
      </c>
      <c r="R114" s="1297">
        <v>675</v>
      </c>
    </row>
    <row r="115" spans="1:18">
      <c r="A115" s="1297">
        <v>690</v>
      </c>
      <c r="B115" s="1297" t="s">
        <v>1868</v>
      </c>
      <c r="C115" s="1422">
        <v>1211</v>
      </c>
      <c r="D115" s="1422">
        <f t="shared" si="1"/>
        <v>1146</v>
      </c>
      <c r="E115" s="1297">
        <v>65</v>
      </c>
      <c r="F115" s="1297">
        <v>90</v>
      </c>
      <c r="G115" s="1297">
        <v>84</v>
      </c>
      <c r="H115" s="1297">
        <v>71</v>
      </c>
      <c r="I115" s="1297">
        <v>85</v>
      </c>
      <c r="J115" s="1297">
        <v>89</v>
      </c>
      <c r="K115" s="1297">
        <v>94</v>
      </c>
      <c r="L115" s="1297">
        <v>86</v>
      </c>
      <c r="M115" s="1297">
        <v>77</v>
      </c>
      <c r="N115" s="1297">
        <v>75</v>
      </c>
      <c r="O115" s="1297">
        <v>108</v>
      </c>
      <c r="P115" s="1297">
        <v>99</v>
      </c>
      <c r="Q115" s="1297">
        <v>84</v>
      </c>
      <c r="R115" s="1297">
        <v>104</v>
      </c>
    </row>
    <row r="116" spans="1:18">
      <c r="A116" s="1297">
        <v>691</v>
      </c>
      <c r="B116" s="1297" t="s">
        <v>1869</v>
      </c>
      <c r="C116" s="1422">
        <v>2500</v>
      </c>
      <c r="D116" s="1422">
        <f t="shared" si="1"/>
        <v>2500</v>
      </c>
      <c r="E116" s="1297">
        <v>0</v>
      </c>
      <c r="F116" s="1297">
        <v>239</v>
      </c>
      <c r="G116" s="1297">
        <v>196</v>
      </c>
      <c r="H116" s="1297">
        <v>206</v>
      </c>
      <c r="I116" s="1297">
        <v>234</v>
      </c>
      <c r="J116" s="1297">
        <v>209</v>
      </c>
      <c r="K116" s="1297">
        <v>215</v>
      </c>
      <c r="L116" s="1297">
        <v>191</v>
      </c>
      <c r="M116" s="1297">
        <v>213</v>
      </c>
      <c r="N116" s="1297">
        <v>193</v>
      </c>
      <c r="O116" s="1297">
        <v>194</v>
      </c>
      <c r="P116" s="1297">
        <v>162</v>
      </c>
      <c r="Q116" s="1297">
        <v>125</v>
      </c>
      <c r="R116" s="1297">
        <v>123</v>
      </c>
    </row>
    <row r="117" spans="1:18">
      <c r="A117" s="1297">
        <v>692</v>
      </c>
      <c r="B117" s="1297" t="s">
        <v>1870</v>
      </c>
      <c r="C117" s="1422">
        <v>10323</v>
      </c>
      <c r="D117" s="1422">
        <f t="shared" si="1"/>
        <v>9915</v>
      </c>
      <c r="E117" s="1297">
        <v>408</v>
      </c>
      <c r="F117" s="1297">
        <v>773</v>
      </c>
      <c r="G117" s="1297">
        <v>829</v>
      </c>
      <c r="H117" s="1297">
        <v>726</v>
      </c>
      <c r="I117" s="1297">
        <v>737</v>
      </c>
      <c r="J117" s="1297">
        <v>761</v>
      </c>
      <c r="K117" s="1297">
        <v>801</v>
      </c>
      <c r="L117" s="1297">
        <v>791</v>
      </c>
      <c r="M117" s="1297">
        <v>819</v>
      </c>
      <c r="N117" s="1297">
        <v>770</v>
      </c>
      <c r="O117" s="1297">
        <v>873</v>
      </c>
      <c r="P117" s="1297">
        <v>781</v>
      </c>
      <c r="Q117" s="1297">
        <v>671</v>
      </c>
      <c r="R117" s="1297">
        <v>583</v>
      </c>
    </row>
    <row r="118" spans="1:18">
      <c r="A118" s="1297">
        <v>693</v>
      </c>
      <c r="B118" s="1297" t="s">
        <v>1871</v>
      </c>
      <c r="C118" s="1422">
        <v>3779</v>
      </c>
      <c r="D118" s="1422">
        <f t="shared" si="1"/>
        <v>3779</v>
      </c>
      <c r="E118" s="1297">
        <v>0</v>
      </c>
      <c r="F118" s="1297">
        <v>311</v>
      </c>
      <c r="G118" s="1297">
        <v>314</v>
      </c>
      <c r="H118" s="1297">
        <v>294</v>
      </c>
      <c r="I118" s="1297">
        <v>292</v>
      </c>
      <c r="J118" s="1297">
        <v>300</v>
      </c>
      <c r="K118" s="1297">
        <v>325</v>
      </c>
      <c r="L118" s="1297">
        <v>274</v>
      </c>
      <c r="M118" s="1297">
        <v>289</v>
      </c>
      <c r="N118" s="1297">
        <v>290</v>
      </c>
      <c r="O118" s="1297">
        <v>345</v>
      </c>
      <c r="P118" s="1297">
        <v>327</v>
      </c>
      <c r="Q118" s="1297">
        <v>221</v>
      </c>
      <c r="R118" s="1297">
        <v>197</v>
      </c>
    </row>
    <row r="119" spans="1:18">
      <c r="A119" s="1297">
        <v>694</v>
      </c>
      <c r="B119" s="1297" t="s">
        <v>1872</v>
      </c>
      <c r="C119" s="1422">
        <v>1821</v>
      </c>
      <c r="D119" s="1422">
        <f t="shared" si="1"/>
        <v>1727</v>
      </c>
      <c r="E119" s="1297">
        <v>94</v>
      </c>
      <c r="F119" s="1297">
        <v>117</v>
      </c>
      <c r="G119" s="1297">
        <v>130</v>
      </c>
      <c r="H119" s="1297">
        <v>121</v>
      </c>
      <c r="I119" s="1297">
        <v>129</v>
      </c>
      <c r="J119" s="1297">
        <v>147</v>
      </c>
      <c r="K119" s="1297">
        <v>159</v>
      </c>
      <c r="L119" s="1297">
        <v>152</v>
      </c>
      <c r="M119" s="1297">
        <v>129</v>
      </c>
      <c r="N119" s="1297">
        <v>141</v>
      </c>
      <c r="O119" s="1297">
        <v>151</v>
      </c>
      <c r="P119" s="1297">
        <v>148</v>
      </c>
      <c r="Q119" s="1297">
        <v>94</v>
      </c>
      <c r="R119" s="1297">
        <v>109</v>
      </c>
    </row>
    <row r="120" spans="1:18">
      <c r="A120" s="1297">
        <v>695</v>
      </c>
      <c r="B120" s="1297" t="s">
        <v>1873</v>
      </c>
      <c r="C120" s="1422">
        <v>4790</v>
      </c>
      <c r="D120" s="1422">
        <f t="shared" si="1"/>
        <v>4657</v>
      </c>
      <c r="E120" s="1297">
        <v>133</v>
      </c>
      <c r="F120" s="1297">
        <v>367</v>
      </c>
      <c r="G120" s="1297">
        <v>339</v>
      </c>
      <c r="H120" s="1297">
        <v>351</v>
      </c>
      <c r="I120" s="1297">
        <v>379</v>
      </c>
      <c r="J120" s="1297">
        <v>395</v>
      </c>
      <c r="K120" s="1297">
        <v>372</v>
      </c>
      <c r="L120" s="1297">
        <v>362</v>
      </c>
      <c r="M120" s="1297">
        <v>331</v>
      </c>
      <c r="N120" s="1297">
        <v>370</v>
      </c>
      <c r="O120" s="1297">
        <v>379</v>
      </c>
      <c r="P120" s="1297">
        <v>349</v>
      </c>
      <c r="Q120" s="1297">
        <v>346</v>
      </c>
      <c r="R120" s="1297">
        <v>317</v>
      </c>
    </row>
    <row r="121" spans="1:18">
      <c r="A121" s="1297">
        <v>781</v>
      </c>
      <c r="B121" s="1297" t="s">
        <v>758</v>
      </c>
      <c r="C121" s="1422">
        <v>7966</v>
      </c>
      <c r="D121" s="1422">
        <f t="shared" si="1"/>
        <v>7894</v>
      </c>
      <c r="E121" s="1297">
        <v>72</v>
      </c>
      <c r="F121" s="1297">
        <v>749</v>
      </c>
      <c r="G121" s="1297">
        <v>771</v>
      </c>
      <c r="H121" s="1297">
        <v>735</v>
      </c>
      <c r="I121" s="1297">
        <v>693</v>
      </c>
      <c r="J121" s="1297">
        <v>707</v>
      </c>
      <c r="K121" s="1297">
        <v>606</v>
      </c>
      <c r="L121" s="1297">
        <v>598</v>
      </c>
      <c r="M121" s="1297">
        <v>597</v>
      </c>
      <c r="N121" s="1297">
        <v>521</v>
      </c>
      <c r="O121" s="1297">
        <v>694</v>
      </c>
      <c r="P121" s="1297">
        <v>485</v>
      </c>
      <c r="Q121" s="1297">
        <v>364</v>
      </c>
      <c r="R121" s="1297">
        <v>374</v>
      </c>
    </row>
    <row r="122" spans="1:18">
      <c r="A122" s="1297">
        <v>696</v>
      </c>
      <c r="B122" s="1297" t="s">
        <v>1874</v>
      </c>
      <c r="C122" s="1422">
        <v>1334</v>
      </c>
      <c r="D122" s="1422">
        <f t="shared" si="1"/>
        <v>1273</v>
      </c>
      <c r="E122" s="1297">
        <v>61</v>
      </c>
      <c r="F122" s="1297">
        <v>108</v>
      </c>
      <c r="G122" s="1297">
        <v>80</v>
      </c>
      <c r="H122" s="1297">
        <v>68</v>
      </c>
      <c r="I122" s="1297">
        <v>114</v>
      </c>
      <c r="J122" s="1297">
        <v>102</v>
      </c>
      <c r="K122" s="1297">
        <v>106</v>
      </c>
      <c r="L122" s="1297">
        <v>113</v>
      </c>
      <c r="M122" s="1297">
        <v>84</v>
      </c>
      <c r="N122" s="1297">
        <v>100</v>
      </c>
      <c r="O122" s="1297">
        <v>119</v>
      </c>
      <c r="P122" s="1297">
        <v>89</v>
      </c>
      <c r="Q122" s="1297">
        <v>80</v>
      </c>
      <c r="R122" s="1297">
        <v>110</v>
      </c>
    </row>
    <row r="123" spans="1:18">
      <c r="A123" s="1297">
        <v>697</v>
      </c>
      <c r="B123" s="1297" t="s">
        <v>1875</v>
      </c>
      <c r="C123" s="1422">
        <v>4184</v>
      </c>
      <c r="D123" s="1422">
        <f t="shared" si="1"/>
        <v>4027</v>
      </c>
      <c r="E123" s="1297">
        <v>157</v>
      </c>
      <c r="F123" s="1297">
        <v>380</v>
      </c>
      <c r="G123" s="1297">
        <v>324</v>
      </c>
      <c r="H123" s="1297">
        <v>292</v>
      </c>
      <c r="I123" s="1297">
        <v>306</v>
      </c>
      <c r="J123" s="1297">
        <v>344</v>
      </c>
      <c r="K123" s="1297">
        <v>371</v>
      </c>
      <c r="L123" s="1297">
        <v>316</v>
      </c>
      <c r="M123" s="1297">
        <v>337</v>
      </c>
      <c r="N123" s="1297">
        <v>275</v>
      </c>
      <c r="O123" s="1297">
        <v>314</v>
      </c>
      <c r="P123" s="1297">
        <v>267</v>
      </c>
      <c r="Q123" s="1297">
        <v>243</v>
      </c>
      <c r="R123" s="1297">
        <v>258</v>
      </c>
    </row>
    <row r="124" spans="1:18">
      <c r="A124" s="1297">
        <v>698</v>
      </c>
      <c r="B124" s="1297" t="s">
        <v>1876</v>
      </c>
      <c r="C124" s="1422">
        <v>1756</v>
      </c>
      <c r="D124" s="1422">
        <f t="shared" si="1"/>
        <v>1672</v>
      </c>
      <c r="E124" s="1297">
        <v>84</v>
      </c>
      <c r="F124" s="1297">
        <v>122</v>
      </c>
      <c r="G124" s="1297">
        <v>115</v>
      </c>
      <c r="H124" s="1297">
        <v>121</v>
      </c>
      <c r="I124" s="1297">
        <v>139</v>
      </c>
      <c r="J124" s="1297">
        <v>136</v>
      </c>
      <c r="K124" s="1297">
        <v>134</v>
      </c>
      <c r="L124" s="1297">
        <v>131</v>
      </c>
      <c r="M124" s="1297">
        <v>111</v>
      </c>
      <c r="N124" s="1297">
        <v>126</v>
      </c>
      <c r="O124" s="1297">
        <v>143</v>
      </c>
      <c r="P124" s="1297">
        <v>134</v>
      </c>
      <c r="Q124" s="1297">
        <v>128</v>
      </c>
      <c r="R124" s="1297">
        <v>132</v>
      </c>
    </row>
    <row r="125" spans="1:18">
      <c r="A125" s="1297">
        <v>699</v>
      </c>
      <c r="B125" s="1297" t="s">
        <v>1877</v>
      </c>
      <c r="C125" s="1422">
        <v>3263</v>
      </c>
      <c r="D125" s="1422">
        <f t="shared" si="1"/>
        <v>3021</v>
      </c>
      <c r="E125" s="1297">
        <v>242</v>
      </c>
      <c r="F125" s="1297">
        <v>254</v>
      </c>
      <c r="G125" s="1297">
        <v>234</v>
      </c>
      <c r="H125" s="1297">
        <v>225</v>
      </c>
      <c r="I125" s="1297">
        <v>266</v>
      </c>
      <c r="J125" s="1297">
        <v>229</v>
      </c>
      <c r="K125" s="1297">
        <v>259</v>
      </c>
      <c r="L125" s="1297">
        <v>224</v>
      </c>
      <c r="M125" s="1297">
        <v>243</v>
      </c>
      <c r="N125" s="1297">
        <v>232</v>
      </c>
      <c r="O125" s="1297">
        <v>268</v>
      </c>
      <c r="P125" s="1297">
        <v>231</v>
      </c>
      <c r="Q125" s="1297">
        <v>166</v>
      </c>
      <c r="R125" s="1297">
        <v>190</v>
      </c>
    </row>
    <row r="126" spans="1:18">
      <c r="A126" s="1297">
        <v>700</v>
      </c>
      <c r="B126" s="1297" t="s">
        <v>1878</v>
      </c>
      <c r="C126" s="1422">
        <v>1071</v>
      </c>
      <c r="D126" s="1422">
        <f t="shared" si="1"/>
        <v>1011</v>
      </c>
      <c r="E126" s="1297">
        <v>60</v>
      </c>
      <c r="F126" s="1297">
        <v>77</v>
      </c>
      <c r="G126" s="1297">
        <v>74</v>
      </c>
      <c r="H126" s="1297">
        <v>91</v>
      </c>
      <c r="I126" s="1297">
        <v>87</v>
      </c>
      <c r="J126" s="1297">
        <v>102</v>
      </c>
      <c r="K126" s="1297">
        <v>62</v>
      </c>
      <c r="L126" s="1297">
        <v>89</v>
      </c>
      <c r="M126" s="1297">
        <v>68</v>
      </c>
      <c r="N126" s="1297">
        <v>76</v>
      </c>
      <c r="O126" s="1297">
        <v>92</v>
      </c>
      <c r="P126" s="1297">
        <v>61</v>
      </c>
      <c r="Q126" s="1297">
        <v>62</v>
      </c>
      <c r="R126" s="1297">
        <v>70</v>
      </c>
    </row>
    <row r="127" spans="1:18">
      <c r="A127" s="1297">
        <v>701</v>
      </c>
      <c r="B127" s="1297" t="s">
        <v>862</v>
      </c>
      <c r="C127" s="1422">
        <v>2519</v>
      </c>
      <c r="D127" s="1422">
        <f t="shared" si="1"/>
        <v>2373</v>
      </c>
      <c r="E127" s="1297">
        <v>146</v>
      </c>
      <c r="F127" s="1297">
        <v>213</v>
      </c>
      <c r="G127" s="1297">
        <v>215</v>
      </c>
      <c r="H127" s="1297">
        <v>205</v>
      </c>
      <c r="I127" s="1297">
        <v>192</v>
      </c>
      <c r="J127" s="1297">
        <v>220</v>
      </c>
      <c r="K127" s="1297">
        <v>200</v>
      </c>
      <c r="L127" s="1297">
        <v>186</v>
      </c>
      <c r="M127" s="1297">
        <v>209</v>
      </c>
      <c r="N127" s="1297">
        <v>172</v>
      </c>
      <c r="O127" s="1297">
        <v>202</v>
      </c>
      <c r="P127" s="1297">
        <v>153</v>
      </c>
      <c r="Q127" s="1297">
        <v>83</v>
      </c>
      <c r="R127" s="1297">
        <v>123</v>
      </c>
    </row>
    <row r="128" spans="1:18">
      <c r="A128" s="1297">
        <v>702</v>
      </c>
      <c r="B128" s="1297" t="s">
        <v>1879</v>
      </c>
      <c r="C128" s="1422">
        <v>3934</v>
      </c>
      <c r="D128" s="1422">
        <f t="shared" si="1"/>
        <v>3739</v>
      </c>
      <c r="E128" s="1297">
        <v>195</v>
      </c>
      <c r="F128" s="1297">
        <v>288</v>
      </c>
      <c r="G128" s="1297">
        <v>261</v>
      </c>
      <c r="H128" s="1297">
        <v>303</v>
      </c>
      <c r="I128" s="1297">
        <v>272</v>
      </c>
      <c r="J128" s="1297">
        <v>290</v>
      </c>
      <c r="K128" s="1297">
        <v>307</v>
      </c>
      <c r="L128" s="1297">
        <v>311</v>
      </c>
      <c r="M128" s="1297">
        <v>279</v>
      </c>
      <c r="N128" s="1297">
        <v>299</v>
      </c>
      <c r="O128" s="1297">
        <v>315</v>
      </c>
      <c r="P128" s="1297">
        <v>323</v>
      </c>
      <c r="Q128" s="1297">
        <v>260</v>
      </c>
      <c r="R128" s="1297">
        <v>231</v>
      </c>
    </row>
    <row r="129" spans="1:18">
      <c r="A129" s="1297">
        <v>703</v>
      </c>
      <c r="B129" s="1297" t="s">
        <v>1735</v>
      </c>
      <c r="C129" s="1422">
        <v>1071</v>
      </c>
      <c r="D129" s="1422">
        <f t="shared" si="1"/>
        <v>1008</v>
      </c>
      <c r="E129" s="1297">
        <v>63</v>
      </c>
      <c r="F129" s="1297">
        <v>81</v>
      </c>
      <c r="G129" s="1297">
        <v>68</v>
      </c>
      <c r="H129" s="1297">
        <v>86</v>
      </c>
      <c r="I129" s="1297">
        <v>79</v>
      </c>
      <c r="J129" s="1297">
        <v>84</v>
      </c>
      <c r="K129" s="1297">
        <v>73</v>
      </c>
      <c r="L129" s="1297">
        <v>84</v>
      </c>
      <c r="M129" s="1297">
        <v>80</v>
      </c>
      <c r="N129" s="1297">
        <v>94</v>
      </c>
      <c r="O129" s="1297">
        <v>87</v>
      </c>
      <c r="P129" s="1297">
        <v>59</v>
      </c>
      <c r="Q129" s="1297">
        <v>69</v>
      </c>
      <c r="R129" s="1297">
        <v>64</v>
      </c>
    </row>
    <row r="130" spans="1:18">
      <c r="A130" s="1297">
        <v>704</v>
      </c>
      <c r="B130" s="1297" t="s">
        <v>822</v>
      </c>
      <c r="C130" s="1422">
        <v>3364</v>
      </c>
      <c r="D130" s="1422">
        <f t="shared" si="1"/>
        <v>3268</v>
      </c>
      <c r="E130" s="1297">
        <v>96</v>
      </c>
      <c r="F130" s="1297">
        <v>264</v>
      </c>
      <c r="G130" s="1297">
        <v>243</v>
      </c>
      <c r="H130" s="1297">
        <v>248</v>
      </c>
      <c r="I130" s="1297">
        <v>231</v>
      </c>
      <c r="J130" s="1297">
        <v>229</v>
      </c>
      <c r="K130" s="1297">
        <v>280</v>
      </c>
      <c r="L130" s="1297">
        <v>268</v>
      </c>
      <c r="M130" s="1297">
        <v>269</v>
      </c>
      <c r="N130" s="1297">
        <v>249</v>
      </c>
      <c r="O130" s="1297">
        <v>264</v>
      </c>
      <c r="P130" s="1297">
        <v>260</v>
      </c>
      <c r="Q130" s="1297">
        <v>223</v>
      </c>
      <c r="R130" s="1297">
        <v>240</v>
      </c>
    </row>
    <row r="131" spans="1:18">
      <c r="A131" s="1297">
        <v>705</v>
      </c>
      <c r="B131" s="1297" t="s">
        <v>1736</v>
      </c>
      <c r="C131" s="1422">
        <v>7654</v>
      </c>
      <c r="D131" s="1422">
        <f t="shared" si="1"/>
        <v>7294</v>
      </c>
      <c r="E131" s="1297">
        <v>360</v>
      </c>
      <c r="F131" s="1297">
        <v>637</v>
      </c>
      <c r="G131" s="1297">
        <v>561</v>
      </c>
      <c r="H131" s="1297">
        <v>599</v>
      </c>
      <c r="I131" s="1297">
        <v>594</v>
      </c>
      <c r="J131" s="1297">
        <v>570</v>
      </c>
      <c r="K131" s="1297">
        <v>580</v>
      </c>
      <c r="L131" s="1297">
        <v>581</v>
      </c>
      <c r="M131" s="1297">
        <v>593</v>
      </c>
      <c r="N131" s="1297">
        <v>529</v>
      </c>
      <c r="O131" s="1297">
        <v>621</v>
      </c>
      <c r="P131" s="1297">
        <v>536</v>
      </c>
      <c r="Q131" s="1297">
        <v>444</v>
      </c>
      <c r="R131" s="1297">
        <v>449</v>
      </c>
    </row>
    <row r="132" spans="1:18">
      <c r="A132" s="1297">
        <v>706</v>
      </c>
      <c r="B132" s="1297" t="s">
        <v>924</v>
      </c>
      <c r="C132" s="1422">
        <v>31910</v>
      </c>
      <c r="D132" s="1422">
        <f t="shared" si="1"/>
        <v>30758</v>
      </c>
      <c r="E132" s="1422">
        <v>1152</v>
      </c>
      <c r="F132" s="1422">
        <v>2506</v>
      </c>
      <c r="G132" s="1422">
        <v>2428</v>
      </c>
      <c r="H132" s="1422">
        <v>2348</v>
      </c>
      <c r="I132" s="1422">
        <v>2397</v>
      </c>
      <c r="J132" s="1422">
        <v>2433</v>
      </c>
      <c r="K132" s="1422">
        <v>2455</v>
      </c>
      <c r="L132" s="1422">
        <v>2322</v>
      </c>
      <c r="M132" s="1422">
        <v>2288</v>
      </c>
      <c r="N132" s="1422">
        <v>2339</v>
      </c>
      <c r="O132" s="1422">
        <v>2679</v>
      </c>
      <c r="P132" s="1422">
        <v>2443</v>
      </c>
      <c r="Q132" s="1422">
        <v>2024</v>
      </c>
      <c r="R132" s="1422">
        <v>2096</v>
      </c>
    </row>
    <row r="133" spans="1:18">
      <c r="A133" s="1297">
        <v>707</v>
      </c>
      <c r="B133" s="1297" t="s">
        <v>859</v>
      </c>
      <c r="C133" s="1422">
        <v>19232</v>
      </c>
      <c r="D133" s="1422">
        <f t="shared" si="1"/>
        <v>18522</v>
      </c>
      <c r="E133" s="1297">
        <v>710</v>
      </c>
      <c r="F133" s="1422">
        <v>1460</v>
      </c>
      <c r="G133" s="1422">
        <v>1464</v>
      </c>
      <c r="H133" s="1422">
        <v>1455</v>
      </c>
      <c r="I133" s="1422">
        <v>1459</v>
      </c>
      <c r="J133" s="1422">
        <v>1501</v>
      </c>
      <c r="K133" s="1422">
        <v>1537</v>
      </c>
      <c r="L133" s="1422">
        <v>1460</v>
      </c>
      <c r="M133" s="1422">
        <v>1494</v>
      </c>
      <c r="N133" s="1422">
        <v>1431</v>
      </c>
      <c r="O133" s="1422">
        <v>1664</v>
      </c>
      <c r="P133" s="1422">
        <v>1394</v>
      </c>
      <c r="Q133" s="1422">
        <v>1115</v>
      </c>
      <c r="R133" s="1422">
        <v>1088</v>
      </c>
    </row>
    <row r="134" spans="1:18">
      <c r="A134" s="1297">
        <v>708</v>
      </c>
      <c r="B134" s="1297" t="s">
        <v>1737</v>
      </c>
      <c r="C134" s="1422">
        <v>6440</v>
      </c>
      <c r="D134" s="1422">
        <f t="shared" ref="D134:D197" si="2">C134-E134</f>
        <v>6368</v>
      </c>
      <c r="E134" s="1297">
        <v>72</v>
      </c>
      <c r="F134" s="1297">
        <v>454</v>
      </c>
      <c r="G134" s="1297">
        <v>428</v>
      </c>
      <c r="H134" s="1297">
        <v>481</v>
      </c>
      <c r="I134" s="1297">
        <v>483</v>
      </c>
      <c r="J134" s="1297">
        <v>506</v>
      </c>
      <c r="K134" s="1297">
        <v>489</v>
      </c>
      <c r="L134" s="1297">
        <v>536</v>
      </c>
      <c r="M134" s="1297">
        <v>482</v>
      </c>
      <c r="N134" s="1297">
        <v>546</v>
      </c>
      <c r="O134" s="1297">
        <v>490</v>
      </c>
      <c r="P134" s="1297">
        <v>553</v>
      </c>
      <c r="Q134" s="1297">
        <v>462</v>
      </c>
      <c r="R134" s="1297">
        <v>458</v>
      </c>
    </row>
    <row r="135" spans="1:18">
      <c r="A135" s="1297">
        <v>709</v>
      </c>
      <c r="B135" s="1297" t="s">
        <v>1738</v>
      </c>
      <c r="C135" s="1422">
        <v>2366</v>
      </c>
      <c r="D135" s="1422">
        <f t="shared" si="2"/>
        <v>2320</v>
      </c>
      <c r="E135" s="1297">
        <v>46</v>
      </c>
      <c r="F135" s="1297">
        <v>182</v>
      </c>
      <c r="G135" s="1297">
        <v>181</v>
      </c>
      <c r="H135" s="1297">
        <v>157</v>
      </c>
      <c r="I135" s="1297">
        <v>187</v>
      </c>
      <c r="J135" s="1297">
        <v>174</v>
      </c>
      <c r="K135" s="1297">
        <v>184</v>
      </c>
      <c r="L135" s="1297">
        <v>175</v>
      </c>
      <c r="M135" s="1297">
        <v>195</v>
      </c>
      <c r="N135" s="1297">
        <v>193</v>
      </c>
      <c r="O135" s="1297">
        <v>201</v>
      </c>
      <c r="P135" s="1297">
        <v>178</v>
      </c>
      <c r="Q135" s="1297">
        <v>159</v>
      </c>
      <c r="R135" s="1297">
        <v>154</v>
      </c>
    </row>
    <row r="136" spans="1:18">
      <c r="A136" s="1297">
        <v>710</v>
      </c>
      <c r="B136" s="1297" t="s">
        <v>1739</v>
      </c>
      <c r="C136" s="1422">
        <v>28166</v>
      </c>
      <c r="D136" s="1422">
        <f t="shared" si="2"/>
        <v>27997</v>
      </c>
      <c r="E136" s="1297">
        <v>169</v>
      </c>
      <c r="F136" s="1422">
        <v>2148</v>
      </c>
      <c r="G136" s="1422">
        <v>2111</v>
      </c>
      <c r="H136" s="1422">
        <v>2280</v>
      </c>
      <c r="I136" s="1422">
        <v>2113</v>
      </c>
      <c r="J136" s="1422">
        <v>2249</v>
      </c>
      <c r="K136" s="1422">
        <v>2288</v>
      </c>
      <c r="L136" s="1422">
        <v>2265</v>
      </c>
      <c r="M136" s="1422">
        <v>2216</v>
      </c>
      <c r="N136" s="1422">
        <v>2218</v>
      </c>
      <c r="O136" s="1422">
        <v>2442</v>
      </c>
      <c r="P136" s="1422">
        <v>2224</v>
      </c>
      <c r="Q136" s="1422">
        <v>1602</v>
      </c>
      <c r="R136" s="1422">
        <v>1841</v>
      </c>
    </row>
    <row r="137" spans="1:18">
      <c r="A137" s="1297">
        <v>711</v>
      </c>
      <c r="B137" s="1297" t="s">
        <v>1740</v>
      </c>
      <c r="C137" s="1422">
        <v>3926</v>
      </c>
      <c r="D137" s="1422">
        <f t="shared" si="2"/>
        <v>3911</v>
      </c>
      <c r="E137" s="1297">
        <v>15</v>
      </c>
      <c r="F137" s="1297">
        <v>335</v>
      </c>
      <c r="G137" s="1297">
        <v>305</v>
      </c>
      <c r="H137" s="1297">
        <v>279</v>
      </c>
      <c r="I137" s="1297">
        <v>331</v>
      </c>
      <c r="J137" s="1297">
        <v>336</v>
      </c>
      <c r="K137" s="1297">
        <v>325</v>
      </c>
      <c r="L137" s="1297">
        <v>330</v>
      </c>
      <c r="M137" s="1297">
        <v>291</v>
      </c>
      <c r="N137" s="1297">
        <v>286</v>
      </c>
      <c r="O137" s="1297">
        <v>327</v>
      </c>
      <c r="P137" s="1297">
        <v>270</v>
      </c>
      <c r="Q137" s="1297">
        <v>287</v>
      </c>
      <c r="R137" s="1297">
        <v>209</v>
      </c>
    </row>
    <row r="138" spans="1:18">
      <c r="A138" s="1297">
        <v>784</v>
      </c>
      <c r="B138" s="1297" t="s">
        <v>1741</v>
      </c>
      <c r="C138" s="1422">
        <v>1479</v>
      </c>
      <c r="D138" s="1422">
        <f t="shared" si="2"/>
        <v>1398</v>
      </c>
      <c r="E138" s="1297">
        <v>81</v>
      </c>
      <c r="F138" s="1297">
        <v>113</v>
      </c>
      <c r="G138" s="1297">
        <v>100</v>
      </c>
      <c r="H138" s="1297">
        <v>90</v>
      </c>
      <c r="I138" s="1297">
        <v>113</v>
      </c>
      <c r="J138" s="1297">
        <v>100</v>
      </c>
      <c r="K138" s="1297">
        <v>121</v>
      </c>
      <c r="L138" s="1297">
        <v>115</v>
      </c>
      <c r="M138" s="1297">
        <v>122</v>
      </c>
      <c r="N138" s="1297">
        <v>113</v>
      </c>
      <c r="O138" s="1297">
        <v>146</v>
      </c>
      <c r="P138" s="1297">
        <v>100</v>
      </c>
      <c r="Q138" s="1297">
        <v>75</v>
      </c>
      <c r="R138" s="1297">
        <v>90</v>
      </c>
    </row>
    <row r="139" spans="1:18">
      <c r="A139" s="1297">
        <v>712</v>
      </c>
      <c r="B139" s="1297" t="s">
        <v>1742</v>
      </c>
      <c r="C139" s="1422">
        <v>4411</v>
      </c>
      <c r="D139" s="1422">
        <f t="shared" si="2"/>
        <v>4375</v>
      </c>
      <c r="E139" s="1297">
        <v>36</v>
      </c>
      <c r="F139" s="1297">
        <v>332</v>
      </c>
      <c r="G139" s="1297">
        <v>334</v>
      </c>
      <c r="H139" s="1297">
        <v>352</v>
      </c>
      <c r="I139" s="1297">
        <v>372</v>
      </c>
      <c r="J139" s="1297">
        <v>403</v>
      </c>
      <c r="K139" s="1297">
        <v>325</v>
      </c>
      <c r="L139" s="1297">
        <v>371</v>
      </c>
      <c r="M139" s="1297">
        <v>363</v>
      </c>
      <c r="N139" s="1297">
        <v>337</v>
      </c>
      <c r="O139" s="1297">
        <v>368</v>
      </c>
      <c r="P139" s="1297">
        <v>315</v>
      </c>
      <c r="Q139" s="1297">
        <v>262</v>
      </c>
      <c r="R139" s="1297">
        <v>241</v>
      </c>
    </row>
    <row r="140" spans="1:18">
      <c r="A140" s="1297">
        <v>713</v>
      </c>
      <c r="B140" s="1297" t="s">
        <v>1743</v>
      </c>
      <c r="C140" s="1422">
        <v>3575</v>
      </c>
      <c r="D140" s="1422">
        <f t="shared" si="2"/>
        <v>3423</v>
      </c>
      <c r="E140" s="1297">
        <v>152</v>
      </c>
      <c r="F140" s="1297">
        <v>284</v>
      </c>
      <c r="G140" s="1297">
        <v>273</v>
      </c>
      <c r="H140" s="1297">
        <v>260</v>
      </c>
      <c r="I140" s="1297">
        <v>268</v>
      </c>
      <c r="J140" s="1297">
        <v>287</v>
      </c>
      <c r="K140" s="1297">
        <v>281</v>
      </c>
      <c r="L140" s="1297">
        <v>314</v>
      </c>
      <c r="M140" s="1297">
        <v>280</v>
      </c>
      <c r="N140" s="1297">
        <v>266</v>
      </c>
      <c r="O140" s="1297">
        <v>252</v>
      </c>
      <c r="P140" s="1297">
        <v>234</v>
      </c>
      <c r="Q140" s="1297">
        <v>215</v>
      </c>
      <c r="R140" s="1297">
        <v>209</v>
      </c>
    </row>
    <row r="141" spans="1:18">
      <c r="A141" s="1297">
        <v>714</v>
      </c>
      <c r="B141" s="1297" t="s">
        <v>1744</v>
      </c>
      <c r="C141" s="1422">
        <v>3515</v>
      </c>
      <c r="D141" s="1422">
        <f t="shared" si="2"/>
        <v>3394</v>
      </c>
      <c r="E141" s="1297">
        <v>121</v>
      </c>
      <c r="F141" s="1297">
        <v>245</v>
      </c>
      <c r="G141" s="1297">
        <v>235</v>
      </c>
      <c r="H141" s="1297">
        <v>263</v>
      </c>
      <c r="I141" s="1297">
        <v>236</v>
      </c>
      <c r="J141" s="1297">
        <v>272</v>
      </c>
      <c r="K141" s="1297">
        <v>288</v>
      </c>
      <c r="L141" s="1297">
        <v>263</v>
      </c>
      <c r="M141" s="1297">
        <v>295</v>
      </c>
      <c r="N141" s="1297">
        <v>294</v>
      </c>
      <c r="O141" s="1297">
        <v>312</v>
      </c>
      <c r="P141" s="1297">
        <v>236</v>
      </c>
      <c r="Q141" s="1297">
        <v>245</v>
      </c>
      <c r="R141" s="1297">
        <v>210</v>
      </c>
    </row>
    <row r="142" spans="1:18">
      <c r="A142" s="1297">
        <v>715</v>
      </c>
      <c r="B142" s="1297" t="s">
        <v>1745</v>
      </c>
      <c r="C142" s="1422">
        <v>7525</v>
      </c>
      <c r="D142" s="1422">
        <f t="shared" si="2"/>
        <v>7240</v>
      </c>
      <c r="E142" s="1297">
        <v>285</v>
      </c>
      <c r="F142" s="1297">
        <v>648</v>
      </c>
      <c r="G142" s="1297">
        <v>625</v>
      </c>
      <c r="H142" s="1297">
        <v>589</v>
      </c>
      <c r="I142" s="1297">
        <v>646</v>
      </c>
      <c r="J142" s="1297">
        <v>557</v>
      </c>
      <c r="K142" s="1297">
        <v>565</v>
      </c>
      <c r="L142" s="1297">
        <v>581</v>
      </c>
      <c r="M142" s="1297">
        <v>560</v>
      </c>
      <c r="N142" s="1297">
        <v>561</v>
      </c>
      <c r="O142" s="1297">
        <v>696</v>
      </c>
      <c r="P142" s="1297">
        <v>485</v>
      </c>
      <c r="Q142" s="1297">
        <v>375</v>
      </c>
      <c r="R142" s="1297">
        <v>352</v>
      </c>
    </row>
    <row r="143" spans="1:18">
      <c r="A143" s="1297">
        <v>716</v>
      </c>
      <c r="B143" s="1297" t="s">
        <v>1746</v>
      </c>
      <c r="C143" s="1422">
        <v>1433</v>
      </c>
      <c r="D143" s="1422">
        <f t="shared" si="2"/>
        <v>1346</v>
      </c>
      <c r="E143" s="1297">
        <v>87</v>
      </c>
      <c r="F143" s="1297">
        <v>104</v>
      </c>
      <c r="G143" s="1297">
        <v>104</v>
      </c>
      <c r="H143" s="1297">
        <v>103</v>
      </c>
      <c r="I143" s="1297">
        <v>110</v>
      </c>
      <c r="J143" s="1297">
        <v>125</v>
      </c>
      <c r="K143" s="1297">
        <v>105</v>
      </c>
      <c r="L143" s="1297">
        <v>93</v>
      </c>
      <c r="M143" s="1297">
        <v>105</v>
      </c>
      <c r="N143" s="1297">
        <v>118</v>
      </c>
      <c r="O143" s="1297">
        <v>112</v>
      </c>
      <c r="P143" s="1297">
        <v>80</v>
      </c>
      <c r="Q143" s="1297">
        <v>102</v>
      </c>
      <c r="R143" s="1297">
        <v>85</v>
      </c>
    </row>
    <row r="144" spans="1:18">
      <c r="A144" s="1297">
        <v>717</v>
      </c>
      <c r="B144" s="1297" t="s">
        <v>1747</v>
      </c>
      <c r="C144" s="1422">
        <v>2761</v>
      </c>
      <c r="D144" s="1422">
        <f t="shared" si="2"/>
        <v>2629</v>
      </c>
      <c r="E144" s="1297">
        <v>132</v>
      </c>
      <c r="F144" s="1297">
        <v>233</v>
      </c>
      <c r="G144" s="1297">
        <v>194</v>
      </c>
      <c r="H144" s="1297">
        <v>199</v>
      </c>
      <c r="I144" s="1297">
        <v>229</v>
      </c>
      <c r="J144" s="1297">
        <v>218</v>
      </c>
      <c r="K144" s="1297">
        <v>218</v>
      </c>
      <c r="L144" s="1297">
        <v>237</v>
      </c>
      <c r="M144" s="1297">
        <v>206</v>
      </c>
      <c r="N144" s="1297">
        <v>181</v>
      </c>
      <c r="O144" s="1297">
        <v>236</v>
      </c>
      <c r="P144" s="1297">
        <v>180</v>
      </c>
      <c r="Q144" s="1297">
        <v>146</v>
      </c>
      <c r="R144" s="1297">
        <v>152</v>
      </c>
    </row>
    <row r="145" spans="1:18">
      <c r="A145" s="1297">
        <v>718</v>
      </c>
      <c r="B145" s="1297" t="s">
        <v>1748</v>
      </c>
      <c r="C145" s="1297">
        <v>372</v>
      </c>
      <c r="D145" s="1422">
        <f t="shared" si="2"/>
        <v>343</v>
      </c>
      <c r="E145" s="1297">
        <v>29</v>
      </c>
      <c r="F145" s="1297">
        <v>26</v>
      </c>
      <c r="G145" s="1297">
        <v>25</v>
      </c>
      <c r="H145" s="1297">
        <v>29</v>
      </c>
      <c r="I145" s="1297">
        <v>24</v>
      </c>
      <c r="J145" s="1297">
        <v>37</v>
      </c>
      <c r="K145" s="1297">
        <v>42</v>
      </c>
      <c r="L145" s="1297">
        <v>27</v>
      </c>
      <c r="M145" s="1297">
        <v>28</v>
      </c>
      <c r="N145" s="1297">
        <v>29</v>
      </c>
      <c r="O145" s="1297">
        <v>27</v>
      </c>
      <c r="P145" s="1297">
        <v>25</v>
      </c>
      <c r="Q145" s="1297">
        <v>11</v>
      </c>
      <c r="R145" s="1297">
        <v>13</v>
      </c>
    </row>
    <row r="146" spans="1:18">
      <c r="A146" s="1297">
        <v>719</v>
      </c>
      <c r="B146" s="1297" t="s">
        <v>1749</v>
      </c>
      <c r="C146" s="1422">
        <v>2282</v>
      </c>
      <c r="D146" s="1422">
        <f t="shared" si="2"/>
        <v>2240</v>
      </c>
      <c r="E146" s="1297">
        <v>42</v>
      </c>
      <c r="F146" s="1297">
        <v>166</v>
      </c>
      <c r="G146" s="1297">
        <v>191</v>
      </c>
      <c r="H146" s="1297">
        <v>151</v>
      </c>
      <c r="I146" s="1297">
        <v>175</v>
      </c>
      <c r="J146" s="1297">
        <v>179</v>
      </c>
      <c r="K146" s="1297">
        <v>160</v>
      </c>
      <c r="L146" s="1297">
        <v>187</v>
      </c>
      <c r="M146" s="1297">
        <v>179</v>
      </c>
      <c r="N146" s="1297">
        <v>192</v>
      </c>
      <c r="O146" s="1297">
        <v>154</v>
      </c>
      <c r="P146" s="1297">
        <v>186</v>
      </c>
      <c r="Q146" s="1297">
        <v>154</v>
      </c>
      <c r="R146" s="1297">
        <v>166</v>
      </c>
    </row>
    <row r="147" spans="1:18">
      <c r="A147" s="1297">
        <v>720</v>
      </c>
      <c r="B147" s="1297" t="s">
        <v>1750</v>
      </c>
      <c r="C147" s="1422">
        <v>1205</v>
      </c>
      <c r="D147" s="1422">
        <f t="shared" si="2"/>
        <v>1059</v>
      </c>
      <c r="E147" s="1297">
        <v>146</v>
      </c>
      <c r="F147" s="1297">
        <v>95</v>
      </c>
      <c r="G147" s="1297">
        <v>69</v>
      </c>
      <c r="H147" s="1297">
        <v>62</v>
      </c>
      <c r="I147" s="1297">
        <v>71</v>
      </c>
      <c r="J147" s="1297">
        <v>75</v>
      </c>
      <c r="K147" s="1297">
        <v>86</v>
      </c>
      <c r="L147" s="1297">
        <v>82</v>
      </c>
      <c r="M147" s="1297">
        <v>84</v>
      </c>
      <c r="N147" s="1297">
        <v>87</v>
      </c>
      <c r="O147" s="1297">
        <v>111</v>
      </c>
      <c r="P147" s="1297">
        <v>69</v>
      </c>
      <c r="Q147" s="1297">
        <v>70</v>
      </c>
      <c r="R147" s="1297">
        <v>98</v>
      </c>
    </row>
    <row r="148" spans="1:18">
      <c r="A148" s="1297">
        <v>721</v>
      </c>
      <c r="B148" s="1297" t="s">
        <v>813</v>
      </c>
      <c r="C148" s="1422">
        <v>32038</v>
      </c>
      <c r="D148" s="1422">
        <f t="shared" si="2"/>
        <v>30779</v>
      </c>
      <c r="E148" s="1422">
        <v>1259</v>
      </c>
      <c r="F148" s="1422">
        <v>2546</v>
      </c>
      <c r="G148" s="1422">
        <v>2532</v>
      </c>
      <c r="H148" s="1422">
        <v>2589</v>
      </c>
      <c r="I148" s="1422">
        <v>2631</v>
      </c>
      <c r="J148" s="1422">
        <v>2551</v>
      </c>
      <c r="K148" s="1422">
        <v>2483</v>
      </c>
      <c r="L148" s="1422">
        <v>2379</v>
      </c>
      <c r="M148" s="1422">
        <v>2236</v>
      </c>
      <c r="N148" s="1422">
        <v>2176</v>
      </c>
      <c r="O148" s="1422">
        <v>2563</v>
      </c>
      <c r="P148" s="1422">
        <v>2234</v>
      </c>
      <c r="Q148" s="1422">
        <v>2042</v>
      </c>
      <c r="R148" s="1422">
        <v>1817</v>
      </c>
    </row>
    <row r="149" spans="1:18">
      <c r="A149" s="1297">
        <v>722</v>
      </c>
      <c r="B149" s="1297" t="s">
        <v>976</v>
      </c>
      <c r="C149" s="1422">
        <v>15711</v>
      </c>
      <c r="D149" s="1422">
        <f t="shared" si="2"/>
        <v>15413</v>
      </c>
      <c r="E149" s="1297">
        <v>298</v>
      </c>
      <c r="F149" s="1422">
        <v>1103</v>
      </c>
      <c r="G149" s="1422">
        <v>1113</v>
      </c>
      <c r="H149" s="1422">
        <v>1145</v>
      </c>
      <c r="I149" s="1422">
        <v>1139</v>
      </c>
      <c r="J149" s="1422">
        <v>1231</v>
      </c>
      <c r="K149" s="1422">
        <v>1221</v>
      </c>
      <c r="L149" s="1422">
        <v>1181</v>
      </c>
      <c r="M149" s="1422">
        <v>1232</v>
      </c>
      <c r="N149" s="1422">
        <v>1220</v>
      </c>
      <c r="O149" s="1422">
        <v>1383</v>
      </c>
      <c r="P149" s="1422">
        <v>1764</v>
      </c>
      <c r="Q149" s="1297">
        <v>639</v>
      </c>
      <c r="R149" s="1422">
        <v>1042</v>
      </c>
    </row>
    <row r="150" spans="1:18">
      <c r="A150" s="1297">
        <v>785</v>
      </c>
      <c r="B150" s="1297" t="s">
        <v>1751</v>
      </c>
      <c r="C150" s="1422">
        <v>5601</v>
      </c>
      <c r="D150" s="1422">
        <f t="shared" si="2"/>
        <v>5389</v>
      </c>
      <c r="E150" s="1297">
        <v>212</v>
      </c>
      <c r="F150" s="1297">
        <v>464</v>
      </c>
      <c r="G150" s="1297">
        <v>472</v>
      </c>
      <c r="H150" s="1297">
        <v>476</v>
      </c>
      <c r="I150" s="1297">
        <v>468</v>
      </c>
      <c r="J150" s="1297">
        <v>485</v>
      </c>
      <c r="K150" s="1297">
        <v>417</v>
      </c>
      <c r="L150" s="1297">
        <v>370</v>
      </c>
      <c r="M150" s="1297">
        <v>387</v>
      </c>
      <c r="N150" s="1297">
        <v>395</v>
      </c>
      <c r="O150" s="1297">
        <v>400</v>
      </c>
      <c r="P150" s="1297">
        <v>382</v>
      </c>
      <c r="Q150" s="1297">
        <v>344</v>
      </c>
      <c r="R150" s="1297">
        <v>329</v>
      </c>
    </row>
    <row r="151" spans="1:18">
      <c r="A151" s="1297">
        <v>723</v>
      </c>
      <c r="B151" s="1297" t="s">
        <v>1752</v>
      </c>
      <c r="C151" s="1422">
        <v>1396</v>
      </c>
      <c r="D151" s="1422">
        <f t="shared" si="2"/>
        <v>1314</v>
      </c>
      <c r="E151" s="1297">
        <v>82</v>
      </c>
      <c r="F151" s="1297">
        <v>112</v>
      </c>
      <c r="G151" s="1297">
        <v>102</v>
      </c>
      <c r="H151" s="1297">
        <v>99</v>
      </c>
      <c r="I151" s="1297">
        <v>93</v>
      </c>
      <c r="J151" s="1297">
        <v>108</v>
      </c>
      <c r="K151" s="1297">
        <v>119</v>
      </c>
      <c r="L151" s="1297">
        <v>117</v>
      </c>
      <c r="M151" s="1297">
        <v>108</v>
      </c>
      <c r="N151" s="1297">
        <v>102</v>
      </c>
      <c r="O151" s="1297">
        <v>99</v>
      </c>
      <c r="P151" s="1297">
        <v>89</v>
      </c>
      <c r="Q151" s="1297">
        <v>82</v>
      </c>
      <c r="R151" s="1297">
        <v>84</v>
      </c>
    </row>
    <row r="152" spans="1:18">
      <c r="A152" s="1297">
        <v>724</v>
      </c>
      <c r="B152" s="1297" t="s">
        <v>1753</v>
      </c>
      <c r="C152" s="1422">
        <v>2487</v>
      </c>
      <c r="D152" s="1422">
        <f t="shared" si="2"/>
        <v>2397</v>
      </c>
      <c r="E152" s="1297">
        <v>90</v>
      </c>
      <c r="F152" s="1297">
        <v>185</v>
      </c>
      <c r="G152" s="1297">
        <v>155</v>
      </c>
      <c r="H152" s="1297">
        <v>190</v>
      </c>
      <c r="I152" s="1297">
        <v>183</v>
      </c>
      <c r="J152" s="1297">
        <v>168</v>
      </c>
      <c r="K152" s="1297">
        <v>193</v>
      </c>
      <c r="L152" s="1297">
        <v>170</v>
      </c>
      <c r="M152" s="1297">
        <v>198</v>
      </c>
      <c r="N152" s="1297">
        <v>206</v>
      </c>
      <c r="O152" s="1297">
        <v>172</v>
      </c>
      <c r="P152" s="1297">
        <v>197</v>
      </c>
      <c r="Q152" s="1297">
        <v>176</v>
      </c>
      <c r="R152" s="1297">
        <v>204</v>
      </c>
    </row>
    <row r="153" spans="1:18">
      <c r="A153" s="1297">
        <v>725</v>
      </c>
      <c r="B153" s="1297" t="s">
        <v>1754</v>
      </c>
      <c r="C153" s="1422">
        <v>1606</v>
      </c>
      <c r="D153" s="1422">
        <f t="shared" si="2"/>
        <v>1544</v>
      </c>
      <c r="E153" s="1297">
        <v>62</v>
      </c>
      <c r="F153" s="1297">
        <v>131</v>
      </c>
      <c r="G153" s="1297">
        <v>119</v>
      </c>
      <c r="H153" s="1297">
        <v>110</v>
      </c>
      <c r="I153" s="1297">
        <v>118</v>
      </c>
      <c r="J153" s="1297">
        <v>133</v>
      </c>
      <c r="K153" s="1297">
        <v>134</v>
      </c>
      <c r="L153" s="1297">
        <v>142</v>
      </c>
      <c r="M153" s="1297">
        <v>128</v>
      </c>
      <c r="N153" s="1297">
        <v>142</v>
      </c>
      <c r="O153" s="1297">
        <v>134</v>
      </c>
      <c r="P153" s="1297">
        <v>87</v>
      </c>
      <c r="Q153" s="1297">
        <v>80</v>
      </c>
      <c r="R153" s="1297">
        <v>86</v>
      </c>
    </row>
    <row r="154" spans="1:18">
      <c r="A154" s="1297">
        <v>786</v>
      </c>
      <c r="B154" s="1297" t="s">
        <v>1755</v>
      </c>
      <c r="C154" s="1422">
        <v>1729</v>
      </c>
      <c r="D154" s="1422">
        <f t="shared" si="2"/>
        <v>1649</v>
      </c>
      <c r="E154" s="1297">
        <v>80</v>
      </c>
      <c r="F154" s="1297">
        <v>123</v>
      </c>
      <c r="G154" s="1297">
        <v>129</v>
      </c>
      <c r="H154" s="1297">
        <v>106</v>
      </c>
      <c r="I154" s="1297">
        <v>111</v>
      </c>
      <c r="J154" s="1297">
        <v>130</v>
      </c>
      <c r="K154" s="1297">
        <v>151</v>
      </c>
      <c r="L154" s="1297">
        <v>124</v>
      </c>
      <c r="M154" s="1297">
        <v>130</v>
      </c>
      <c r="N154" s="1297">
        <v>140</v>
      </c>
      <c r="O154" s="1297">
        <v>130</v>
      </c>
      <c r="P154" s="1297">
        <v>148</v>
      </c>
      <c r="Q154" s="1297">
        <v>119</v>
      </c>
      <c r="R154" s="1297">
        <v>108</v>
      </c>
    </row>
    <row r="155" spans="1:18">
      <c r="A155" s="1297">
        <v>726</v>
      </c>
      <c r="B155" s="1297" t="s">
        <v>929</v>
      </c>
      <c r="C155" s="1422">
        <v>10563</v>
      </c>
      <c r="D155" s="1422">
        <f t="shared" si="2"/>
        <v>10102</v>
      </c>
      <c r="E155" s="1297">
        <v>461</v>
      </c>
      <c r="F155" s="1297">
        <v>922</v>
      </c>
      <c r="G155" s="1297">
        <v>881</v>
      </c>
      <c r="H155" s="1297">
        <v>821</v>
      </c>
      <c r="I155" s="1297">
        <v>824</v>
      </c>
      <c r="J155" s="1297">
        <v>835</v>
      </c>
      <c r="K155" s="1297">
        <v>849</v>
      </c>
      <c r="L155" s="1297">
        <v>782</v>
      </c>
      <c r="M155" s="1297">
        <v>779</v>
      </c>
      <c r="N155" s="1297">
        <v>768</v>
      </c>
      <c r="O155" s="1297">
        <v>784</v>
      </c>
      <c r="P155" s="1297">
        <v>688</v>
      </c>
      <c r="Q155" s="1297">
        <v>608</v>
      </c>
      <c r="R155" s="1297">
        <v>561</v>
      </c>
    </row>
    <row r="156" spans="1:18">
      <c r="A156" s="1297">
        <v>7820108</v>
      </c>
      <c r="B156" s="1297" t="s">
        <v>1756</v>
      </c>
      <c r="C156" s="1422">
        <v>1309</v>
      </c>
      <c r="D156" s="1422">
        <f t="shared" si="2"/>
        <v>1309</v>
      </c>
      <c r="E156" s="1297">
        <v>0</v>
      </c>
      <c r="F156" s="1297">
        <v>0</v>
      </c>
      <c r="G156" s="1297">
        <v>0</v>
      </c>
      <c r="H156" s="1297">
        <v>0</v>
      </c>
      <c r="I156" s="1297">
        <v>0</v>
      </c>
      <c r="J156" s="1297">
        <v>0</v>
      </c>
      <c r="K156" s="1297">
        <v>0</v>
      </c>
      <c r="L156" s="1297">
        <v>0</v>
      </c>
      <c r="M156" s="1297">
        <v>0</v>
      </c>
      <c r="N156" s="1297">
        <v>0</v>
      </c>
      <c r="O156" s="1297">
        <v>253</v>
      </c>
      <c r="P156" s="1297">
        <v>220</v>
      </c>
      <c r="Q156" s="1297">
        <v>244</v>
      </c>
      <c r="R156" s="1297">
        <v>592</v>
      </c>
    </row>
    <row r="157" spans="1:18">
      <c r="A157" s="1297">
        <v>7820110</v>
      </c>
      <c r="B157" s="1297" t="s">
        <v>1757</v>
      </c>
      <c r="C157" s="1422">
        <v>6169</v>
      </c>
      <c r="D157" s="1422">
        <f t="shared" si="2"/>
        <v>6169</v>
      </c>
      <c r="E157" s="1297">
        <v>0</v>
      </c>
      <c r="F157" s="1297">
        <v>533</v>
      </c>
      <c r="G157" s="1297">
        <v>566</v>
      </c>
      <c r="H157" s="1297">
        <v>621</v>
      </c>
      <c r="I157" s="1297">
        <v>629</v>
      </c>
      <c r="J157" s="1297">
        <v>689</v>
      </c>
      <c r="K157" s="1297">
        <v>655</v>
      </c>
      <c r="L157" s="1297">
        <v>690</v>
      </c>
      <c r="M157" s="1297">
        <v>730</v>
      </c>
      <c r="N157" s="1297">
        <v>675</v>
      </c>
      <c r="O157" s="1297">
        <v>381</v>
      </c>
      <c r="P157" s="1297">
        <v>0</v>
      </c>
      <c r="Q157" s="1297">
        <v>0</v>
      </c>
      <c r="R157" s="1297">
        <v>0</v>
      </c>
    </row>
    <row r="158" spans="1:18">
      <c r="A158" s="1297">
        <v>7820112</v>
      </c>
      <c r="B158" s="1297" t="s">
        <v>1758</v>
      </c>
      <c r="C158" s="1297">
        <v>157</v>
      </c>
      <c r="D158" s="1422">
        <f t="shared" si="2"/>
        <v>157</v>
      </c>
      <c r="E158" s="1297">
        <v>0</v>
      </c>
      <c r="F158" s="1297">
        <v>35</v>
      </c>
      <c r="G158" s="1297">
        <v>36</v>
      </c>
      <c r="H158" s="1297">
        <v>20</v>
      </c>
      <c r="I158" s="1297">
        <v>22</v>
      </c>
      <c r="J158" s="1297">
        <v>22</v>
      </c>
      <c r="K158" s="1297">
        <v>22</v>
      </c>
      <c r="L158" s="1297">
        <v>0</v>
      </c>
      <c r="M158" s="1297">
        <v>0</v>
      </c>
      <c r="N158" s="1297">
        <v>0</v>
      </c>
      <c r="O158" s="1297">
        <v>0</v>
      </c>
      <c r="P158" s="1297">
        <v>0</v>
      </c>
      <c r="Q158" s="1297">
        <v>0</v>
      </c>
      <c r="R158" s="1297">
        <v>0</v>
      </c>
    </row>
    <row r="159" spans="1:18">
      <c r="A159" s="1297">
        <v>7991893</v>
      </c>
      <c r="B159" s="1297" t="s">
        <v>1759</v>
      </c>
      <c r="C159" s="1297">
        <v>204</v>
      </c>
      <c r="D159" s="1422">
        <f t="shared" si="2"/>
        <v>192</v>
      </c>
      <c r="E159" s="1297">
        <v>12</v>
      </c>
      <c r="F159" s="1297">
        <v>5</v>
      </c>
      <c r="G159" s="1297">
        <v>10</v>
      </c>
      <c r="H159" s="1297">
        <v>10</v>
      </c>
      <c r="I159" s="1297">
        <v>9</v>
      </c>
      <c r="J159" s="1297">
        <v>10</v>
      </c>
      <c r="K159" s="1297">
        <v>13</v>
      </c>
      <c r="L159" s="1297">
        <v>19</v>
      </c>
      <c r="M159" s="1297">
        <v>22</v>
      </c>
      <c r="N159" s="1297">
        <v>12</v>
      </c>
      <c r="O159" s="1297">
        <v>11</v>
      </c>
      <c r="P159" s="1297">
        <v>15</v>
      </c>
      <c r="Q159" s="1297">
        <v>13</v>
      </c>
      <c r="R159" s="1297">
        <v>43</v>
      </c>
    </row>
    <row r="160" spans="1:18">
      <c r="A160" s="1297">
        <v>7991894</v>
      </c>
      <c r="B160" s="1297" t="s">
        <v>1760</v>
      </c>
      <c r="C160" s="1297">
        <v>112</v>
      </c>
      <c r="D160" s="1422">
        <f t="shared" si="2"/>
        <v>109</v>
      </c>
      <c r="E160" s="1297">
        <v>3</v>
      </c>
      <c r="F160" s="1297">
        <v>2</v>
      </c>
      <c r="G160" s="1297">
        <v>4</v>
      </c>
      <c r="H160" s="1297">
        <v>1</v>
      </c>
      <c r="I160" s="1297">
        <v>4</v>
      </c>
      <c r="J160" s="1297">
        <v>2</v>
      </c>
      <c r="K160" s="1297">
        <v>10</v>
      </c>
      <c r="L160" s="1297">
        <v>8</v>
      </c>
      <c r="M160" s="1297">
        <v>7</v>
      </c>
      <c r="N160" s="1297">
        <v>13</v>
      </c>
      <c r="O160" s="1297">
        <v>18</v>
      </c>
      <c r="P160" s="1297">
        <v>11</v>
      </c>
      <c r="Q160" s="1297">
        <v>11</v>
      </c>
      <c r="R160" s="1297">
        <v>18</v>
      </c>
    </row>
    <row r="161" spans="1:18">
      <c r="A161" s="1297">
        <v>7991895</v>
      </c>
      <c r="B161" s="1297" t="s">
        <v>1761</v>
      </c>
      <c r="C161" s="1297">
        <v>104</v>
      </c>
      <c r="D161" s="1422">
        <f t="shared" si="2"/>
        <v>104</v>
      </c>
      <c r="E161" s="1297">
        <v>0</v>
      </c>
      <c r="F161" s="1297">
        <v>3</v>
      </c>
      <c r="G161" s="1297">
        <v>0</v>
      </c>
      <c r="H161" s="1297">
        <v>4</v>
      </c>
      <c r="I161" s="1297">
        <v>2</v>
      </c>
      <c r="J161" s="1297">
        <v>2</v>
      </c>
      <c r="K161" s="1297">
        <v>7</v>
      </c>
      <c r="L161" s="1297">
        <v>5</v>
      </c>
      <c r="M161" s="1297">
        <v>3</v>
      </c>
      <c r="N161" s="1297">
        <v>7</v>
      </c>
      <c r="O161" s="1297">
        <v>12</v>
      </c>
      <c r="P161" s="1297">
        <v>17</v>
      </c>
      <c r="Q161" s="1297">
        <v>15</v>
      </c>
      <c r="R161" s="1297">
        <v>27</v>
      </c>
    </row>
    <row r="162" spans="1:18">
      <c r="A162" s="1297">
        <v>727</v>
      </c>
      <c r="B162" s="1297" t="s">
        <v>1762</v>
      </c>
      <c r="C162" s="1422">
        <v>4043</v>
      </c>
      <c r="D162" s="1422">
        <f t="shared" si="2"/>
        <v>3910</v>
      </c>
      <c r="E162" s="1297">
        <v>133</v>
      </c>
      <c r="F162" s="1297">
        <v>322</v>
      </c>
      <c r="G162" s="1297">
        <v>278</v>
      </c>
      <c r="H162" s="1297">
        <v>306</v>
      </c>
      <c r="I162" s="1297">
        <v>306</v>
      </c>
      <c r="J162" s="1297">
        <v>316</v>
      </c>
      <c r="K162" s="1297">
        <v>339</v>
      </c>
      <c r="L162" s="1297">
        <v>311</v>
      </c>
      <c r="M162" s="1297">
        <v>316</v>
      </c>
      <c r="N162" s="1297">
        <v>306</v>
      </c>
      <c r="O162" s="1297">
        <v>327</v>
      </c>
      <c r="P162" s="1297">
        <v>313</v>
      </c>
      <c r="Q162" s="1297">
        <v>207</v>
      </c>
      <c r="R162" s="1297">
        <v>263</v>
      </c>
    </row>
    <row r="163" spans="1:18">
      <c r="A163" s="1297">
        <v>728</v>
      </c>
      <c r="B163" s="1297" t="s">
        <v>1763</v>
      </c>
      <c r="C163" s="1297">
        <v>503</v>
      </c>
      <c r="D163" s="1422">
        <f t="shared" si="2"/>
        <v>503</v>
      </c>
      <c r="E163" s="1297">
        <v>0</v>
      </c>
      <c r="F163" s="1297">
        <v>35</v>
      </c>
      <c r="G163" s="1297">
        <v>40</v>
      </c>
      <c r="H163" s="1297">
        <v>44</v>
      </c>
      <c r="I163" s="1297">
        <v>43</v>
      </c>
      <c r="J163" s="1297">
        <v>33</v>
      </c>
      <c r="K163" s="1297">
        <v>37</v>
      </c>
      <c r="L163" s="1297">
        <v>38</v>
      </c>
      <c r="M163" s="1297">
        <v>39</v>
      </c>
      <c r="N163" s="1297">
        <v>54</v>
      </c>
      <c r="O163" s="1297">
        <v>46</v>
      </c>
      <c r="P163" s="1297">
        <v>30</v>
      </c>
      <c r="Q163" s="1297">
        <v>32</v>
      </c>
      <c r="R163" s="1297">
        <v>32</v>
      </c>
    </row>
    <row r="164" spans="1:18">
      <c r="A164" s="1297">
        <v>729</v>
      </c>
      <c r="B164" s="1297" t="s">
        <v>1764</v>
      </c>
      <c r="C164" s="1422">
        <v>4962</v>
      </c>
      <c r="D164" s="1422">
        <f t="shared" si="2"/>
        <v>4667</v>
      </c>
      <c r="E164" s="1297">
        <v>295</v>
      </c>
      <c r="F164" s="1297">
        <v>448</v>
      </c>
      <c r="G164" s="1297">
        <v>395</v>
      </c>
      <c r="H164" s="1297">
        <v>351</v>
      </c>
      <c r="I164" s="1297">
        <v>376</v>
      </c>
      <c r="J164" s="1297">
        <v>337</v>
      </c>
      <c r="K164" s="1297">
        <v>412</v>
      </c>
      <c r="L164" s="1297">
        <v>389</v>
      </c>
      <c r="M164" s="1297">
        <v>378</v>
      </c>
      <c r="N164" s="1297">
        <v>366</v>
      </c>
      <c r="O164" s="1297">
        <v>361</v>
      </c>
      <c r="P164" s="1297">
        <v>296</v>
      </c>
      <c r="Q164" s="1297">
        <v>280</v>
      </c>
      <c r="R164" s="1297">
        <v>278</v>
      </c>
    </row>
    <row r="165" spans="1:18">
      <c r="A165" s="1297">
        <v>730</v>
      </c>
      <c r="B165" s="1297" t="s">
        <v>1765</v>
      </c>
      <c r="C165" s="1297">
        <v>597</v>
      </c>
      <c r="D165" s="1422">
        <f t="shared" si="2"/>
        <v>564</v>
      </c>
      <c r="E165" s="1297">
        <v>33</v>
      </c>
      <c r="F165" s="1297">
        <v>35</v>
      </c>
      <c r="G165" s="1297">
        <v>38</v>
      </c>
      <c r="H165" s="1297">
        <v>35</v>
      </c>
      <c r="I165" s="1297">
        <v>44</v>
      </c>
      <c r="J165" s="1297">
        <v>40</v>
      </c>
      <c r="K165" s="1297">
        <v>49</v>
      </c>
      <c r="L165" s="1297">
        <v>52</v>
      </c>
      <c r="M165" s="1297">
        <v>52</v>
      </c>
      <c r="N165" s="1297">
        <v>43</v>
      </c>
      <c r="O165" s="1297">
        <v>43</v>
      </c>
      <c r="P165" s="1297">
        <v>50</v>
      </c>
      <c r="Q165" s="1297">
        <v>31</v>
      </c>
      <c r="R165" s="1297">
        <v>52</v>
      </c>
    </row>
    <row r="166" spans="1:18">
      <c r="A166" s="1297">
        <v>731</v>
      </c>
      <c r="B166" s="1297" t="s">
        <v>1766</v>
      </c>
      <c r="C166" s="1297">
        <v>210</v>
      </c>
      <c r="D166" s="1422">
        <f t="shared" si="2"/>
        <v>192</v>
      </c>
      <c r="E166" s="1297">
        <v>18</v>
      </c>
      <c r="F166" s="1297">
        <v>20</v>
      </c>
      <c r="G166" s="1297">
        <v>15</v>
      </c>
      <c r="H166" s="1297">
        <v>13</v>
      </c>
      <c r="I166" s="1297">
        <v>12</v>
      </c>
      <c r="J166" s="1297">
        <v>9</v>
      </c>
      <c r="K166" s="1297">
        <v>16</v>
      </c>
      <c r="L166" s="1297">
        <v>11</v>
      </c>
      <c r="M166" s="1297">
        <v>12</v>
      </c>
      <c r="N166" s="1297">
        <v>22</v>
      </c>
      <c r="O166" s="1297">
        <v>19</v>
      </c>
      <c r="P166" s="1297">
        <v>14</v>
      </c>
      <c r="Q166" s="1297">
        <v>12</v>
      </c>
      <c r="R166" s="1297">
        <v>17</v>
      </c>
    </row>
    <row r="167" spans="1:18">
      <c r="A167" s="1297">
        <v>732</v>
      </c>
      <c r="B167" s="1297" t="s">
        <v>1767</v>
      </c>
      <c r="C167" s="1422">
        <v>3597</v>
      </c>
      <c r="D167" s="1422">
        <f t="shared" si="2"/>
        <v>3371</v>
      </c>
      <c r="E167" s="1297">
        <v>226</v>
      </c>
      <c r="F167" s="1297">
        <v>309</v>
      </c>
      <c r="G167" s="1297">
        <v>289</v>
      </c>
      <c r="H167" s="1297">
        <v>277</v>
      </c>
      <c r="I167" s="1297">
        <v>266</v>
      </c>
      <c r="J167" s="1297">
        <v>267</v>
      </c>
      <c r="K167" s="1297">
        <v>275</v>
      </c>
      <c r="L167" s="1297">
        <v>273</v>
      </c>
      <c r="M167" s="1297">
        <v>274</v>
      </c>
      <c r="N167" s="1297">
        <v>263</v>
      </c>
      <c r="O167" s="1297">
        <v>276</v>
      </c>
      <c r="P167" s="1297">
        <v>204</v>
      </c>
      <c r="Q167" s="1297">
        <v>198</v>
      </c>
      <c r="R167" s="1297">
        <v>200</v>
      </c>
    </row>
    <row r="168" spans="1:18">
      <c r="A168" s="1297">
        <v>733</v>
      </c>
      <c r="B168" s="1297" t="s">
        <v>1768</v>
      </c>
      <c r="C168" s="1422">
        <v>1517</v>
      </c>
      <c r="D168" s="1422">
        <f t="shared" si="2"/>
        <v>1502</v>
      </c>
      <c r="E168" s="1297">
        <v>15</v>
      </c>
      <c r="F168" s="1297">
        <v>117</v>
      </c>
      <c r="G168" s="1297">
        <v>103</v>
      </c>
      <c r="H168" s="1297">
        <v>121</v>
      </c>
      <c r="I168" s="1297">
        <v>109</v>
      </c>
      <c r="J168" s="1297">
        <v>112</v>
      </c>
      <c r="K168" s="1297">
        <v>123</v>
      </c>
      <c r="L168" s="1297">
        <v>115</v>
      </c>
      <c r="M168" s="1297">
        <v>107</v>
      </c>
      <c r="N168" s="1297">
        <v>134</v>
      </c>
      <c r="O168" s="1297">
        <v>159</v>
      </c>
      <c r="P168" s="1297">
        <v>108</v>
      </c>
      <c r="Q168" s="1297">
        <v>105</v>
      </c>
      <c r="R168" s="1297">
        <v>89</v>
      </c>
    </row>
    <row r="169" spans="1:18">
      <c r="A169" s="1297">
        <v>734</v>
      </c>
      <c r="B169" s="1297" t="s">
        <v>1769</v>
      </c>
      <c r="C169" s="1422">
        <v>1759</v>
      </c>
      <c r="D169" s="1422">
        <f t="shared" si="2"/>
        <v>1652</v>
      </c>
      <c r="E169" s="1297">
        <v>107</v>
      </c>
      <c r="F169" s="1297">
        <v>149</v>
      </c>
      <c r="G169" s="1297">
        <v>133</v>
      </c>
      <c r="H169" s="1297">
        <v>144</v>
      </c>
      <c r="I169" s="1297">
        <v>145</v>
      </c>
      <c r="J169" s="1297">
        <v>152</v>
      </c>
      <c r="K169" s="1297">
        <v>150</v>
      </c>
      <c r="L169" s="1297">
        <v>137</v>
      </c>
      <c r="M169" s="1297">
        <v>106</v>
      </c>
      <c r="N169" s="1297">
        <v>111</v>
      </c>
      <c r="O169" s="1297">
        <v>126</v>
      </c>
      <c r="P169" s="1297">
        <v>123</v>
      </c>
      <c r="Q169" s="1297">
        <v>80</v>
      </c>
      <c r="R169" s="1297">
        <v>96</v>
      </c>
    </row>
    <row r="170" spans="1:18">
      <c r="A170" s="1297">
        <v>735</v>
      </c>
      <c r="B170" s="1297" t="s">
        <v>1770</v>
      </c>
      <c r="C170" s="1422">
        <v>1506</v>
      </c>
      <c r="D170" s="1422">
        <f t="shared" si="2"/>
        <v>1406</v>
      </c>
      <c r="E170" s="1297">
        <v>100</v>
      </c>
      <c r="F170" s="1297">
        <v>117</v>
      </c>
      <c r="G170" s="1297">
        <v>111</v>
      </c>
      <c r="H170" s="1297">
        <v>103</v>
      </c>
      <c r="I170" s="1297">
        <v>118</v>
      </c>
      <c r="J170" s="1297">
        <v>120</v>
      </c>
      <c r="K170" s="1297">
        <v>114</v>
      </c>
      <c r="L170" s="1297">
        <v>124</v>
      </c>
      <c r="M170" s="1297">
        <v>111</v>
      </c>
      <c r="N170" s="1297">
        <v>109</v>
      </c>
      <c r="O170" s="1297">
        <v>94</v>
      </c>
      <c r="P170" s="1297">
        <v>98</v>
      </c>
      <c r="Q170" s="1297">
        <v>91</v>
      </c>
      <c r="R170" s="1297">
        <v>96</v>
      </c>
    </row>
    <row r="171" spans="1:18">
      <c r="A171" s="1297">
        <v>736</v>
      </c>
      <c r="B171" s="1297" t="s">
        <v>853</v>
      </c>
      <c r="C171" s="1422">
        <v>5211</v>
      </c>
      <c r="D171" s="1422">
        <f t="shared" si="2"/>
        <v>4928</v>
      </c>
      <c r="E171" s="1297">
        <v>283</v>
      </c>
      <c r="F171" s="1297">
        <v>316</v>
      </c>
      <c r="G171" s="1297">
        <v>357</v>
      </c>
      <c r="H171" s="1297">
        <v>353</v>
      </c>
      <c r="I171" s="1297">
        <v>348</v>
      </c>
      <c r="J171" s="1297">
        <v>386</v>
      </c>
      <c r="K171" s="1297">
        <v>425</v>
      </c>
      <c r="L171" s="1297">
        <v>430</v>
      </c>
      <c r="M171" s="1297">
        <v>404</v>
      </c>
      <c r="N171" s="1297">
        <v>369</v>
      </c>
      <c r="O171" s="1297">
        <v>446</v>
      </c>
      <c r="P171" s="1297">
        <v>392</v>
      </c>
      <c r="Q171" s="1297">
        <v>352</v>
      </c>
      <c r="R171" s="1297">
        <v>350</v>
      </c>
    </row>
    <row r="172" spans="1:18">
      <c r="A172" s="1297">
        <v>745</v>
      </c>
      <c r="B172" s="1297" t="s">
        <v>1771</v>
      </c>
      <c r="C172" s="1422">
        <v>4591</v>
      </c>
      <c r="D172" s="1422">
        <f t="shared" si="2"/>
        <v>4449</v>
      </c>
      <c r="E172" s="1297">
        <v>142</v>
      </c>
      <c r="F172" s="1297">
        <v>317</v>
      </c>
      <c r="G172" s="1297">
        <v>315</v>
      </c>
      <c r="H172" s="1297">
        <v>323</v>
      </c>
      <c r="I172" s="1297">
        <v>358</v>
      </c>
      <c r="J172" s="1297">
        <v>344</v>
      </c>
      <c r="K172" s="1297">
        <v>366</v>
      </c>
      <c r="L172" s="1297">
        <v>356</v>
      </c>
      <c r="M172" s="1297">
        <v>353</v>
      </c>
      <c r="N172" s="1297">
        <v>337</v>
      </c>
      <c r="O172" s="1297">
        <v>378</v>
      </c>
      <c r="P172" s="1297">
        <v>323</v>
      </c>
      <c r="Q172" s="1297">
        <v>342</v>
      </c>
      <c r="R172" s="1297">
        <v>337</v>
      </c>
    </row>
    <row r="173" spans="1:18">
      <c r="A173" s="1297">
        <v>789</v>
      </c>
      <c r="B173" s="1297" t="s">
        <v>1772</v>
      </c>
      <c r="C173" s="1422">
        <v>3070</v>
      </c>
      <c r="D173" s="1422">
        <f t="shared" si="2"/>
        <v>2835</v>
      </c>
      <c r="E173" s="1297">
        <v>235</v>
      </c>
      <c r="F173" s="1297">
        <v>269</v>
      </c>
      <c r="G173" s="1297">
        <v>265</v>
      </c>
      <c r="H173" s="1297">
        <v>217</v>
      </c>
      <c r="I173" s="1297">
        <v>232</v>
      </c>
      <c r="J173" s="1297">
        <v>254</v>
      </c>
      <c r="K173" s="1297">
        <v>221</v>
      </c>
      <c r="L173" s="1297">
        <v>229</v>
      </c>
      <c r="M173" s="1297">
        <v>218</v>
      </c>
      <c r="N173" s="1297">
        <v>205</v>
      </c>
      <c r="O173" s="1297">
        <v>218</v>
      </c>
      <c r="P173" s="1297">
        <v>175</v>
      </c>
      <c r="Q173" s="1297">
        <v>158</v>
      </c>
      <c r="R173" s="1297">
        <v>174</v>
      </c>
    </row>
    <row r="174" spans="1:18">
      <c r="A174" s="1297">
        <v>737</v>
      </c>
      <c r="B174" s="1297" t="s">
        <v>1773</v>
      </c>
      <c r="C174" s="1422">
        <v>7678</v>
      </c>
      <c r="D174" s="1422">
        <f t="shared" si="2"/>
        <v>7360</v>
      </c>
      <c r="E174" s="1297">
        <v>318</v>
      </c>
      <c r="F174" s="1297">
        <v>621</v>
      </c>
      <c r="G174" s="1297">
        <v>611</v>
      </c>
      <c r="H174" s="1297">
        <v>551</v>
      </c>
      <c r="I174" s="1297">
        <v>656</v>
      </c>
      <c r="J174" s="1297">
        <v>569</v>
      </c>
      <c r="K174" s="1297">
        <v>639</v>
      </c>
      <c r="L174" s="1297">
        <v>536</v>
      </c>
      <c r="M174" s="1297">
        <v>607</v>
      </c>
      <c r="N174" s="1297">
        <v>610</v>
      </c>
      <c r="O174" s="1297">
        <v>534</v>
      </c>
      <c r="P174" s="1297">
        <v>571</v>
      </c>
      <c r="Q174" s="1297">
        <v>433</v>
      </c>
      <c r="R174" s="1297">
        <v>422</v>
      </c>
    </row>
    <row r="175" spans="1:18">
      <c r="A175" s="1297">
        <v>738</v>
      </c>
      <c r="B175" s="1297" t="s">
        <v>974</v>
      </c>
      <c r="C175" s="1422">
        <v>3013</v>
      </c>
      <c r="D175" s="1422">
        <f t="shared" si="2"/>
        <v>2818</v>
      </c>
      <c r="E175" s="1297">
        <v>195</v>
      </c>
      <c r="F175" s="1297">
        <v>224</v>
      </c>
      <c r="G175" s="1297">
        <v>242</v>
      </c>
      <c r="H175" s="1297">
        <v>201</v>
      </c>
      <c r="I175" s="1297">
        <v>217</v>
      </c>
      <c r="J175" s="1297">
        <v>231</v>
      </c>
      <c r="K175" s="1297">
        <v>254</v>
      </c>
      <c r="L175" s="1297">
        <v>229</v>
      </c>
      <c r="M175" s="1297">
        <v>237</v>
      </c>
      <c r="N175" s="1297">
        <v>251</v>
      </c>
      <c r="O175" s="1297">
        <v>232</v>
      </c>
      <c r="P175" s="1297">
        <v>173</v>
      </c>
      <c r="Q175" s="1297">
        <v>137</v>
      </c>
      <c r="R175" s="1297">
        <v>190</v>
      </c>
    </row>
    <row r="176" spans="1:18">
      <c r="A176" s="1297">
        <v>739</v>
      </c>
      <c r="B176" s="1297" t="s">
        <v>1774</v>
      </c>
      <c r="C176" s="1422">
        <v>1140</v>
      </c>
      <c r="D176" s="1422">
        <f t="shared" si="2"/>
        <v>1133</v>
      </c>
      <c r="E176" s="1297">
        <v>7</v>
      </c>
      <c r="F176" s="1297">
        <v>85</v>
      </c>
      <c r="G176" s="1297">
        <v>72</v>
      </c>
      <c r="H176" s="1297">
        <v>84</v>
      </c>
      <c r="I176" s="1297">
        <v>97</v>
      </c>
      <c r="J176" s="1297">
        <v>85</v>
      </c>
      <c r="K176" s="1297">
        <v>100</v>
      </c>
      <c r="L176" s="1297">
        <v>97</v>
      </c>
      <c r="M176" s="1297">
        <v>90</v>
      </c>
      <c r="N176" s="1297">
        <v>95</v>
      </c>
      <c r="O176" s="1297">
        <v>98</v>
      </c>
      <c r="P176" s="1297">
        <v>84</v>
      </c>
      <c r="Q176" s="1297">
        <v>64</v>
      </c>
      <c r="R176" s="1297">
        <v>82</v>
      </c>
    </row>
    <row r="177" spans="1:18">
      <c r="A177" s="1297">
        <v>740</v>
      </c>
      <c r="B177" s="1297" t="s">
        <v>1775</v>
      </c>
      <c r="C177" s="1422">
        <v>1168</v>
      </c>
      <c r="D177" s="1422">
        <f t="shared" si="2"/>
        <v>1086</v>
      </c>
      <c r="E177" s="1297">
        <v>82</v>
      </c>
      <c r="F177" s="1297">
        <v>93</v>
      </c>
      <c r="G177" s="1297">
        <v>103</v>
      </c>
      <c r="H177" s="1297">
        <v>78</v>
      </c>
      <c r="I177" s="1297">
        <v>78</v>
      </c>
      <c r="J177" s="1297">
        <v>95</v>
      </c>
      <c r="K177" s="1297">
        <v>98</v>
      </c>
      <c r="L177" s="1297">
        <v>81</v>
      </c>
      <c r="M177" s="1297">
        <v>95</v>
      </c>
      <c r="N177" s="1297">
        <v>92</v>
      </c>
      <c r="O177" s="1297">
        <v>92</v>
      </c>
      <c r="P177" s="1297">
        <v>58</v>
      </c>
      <c r="Q177" s="1297">
        <v>59</v>
      </c>
      <c r="R177" s="1297">
        <v>64</v>
      </c>
    </row>
    <row r="178" spans="1:18">
      <c r="A178" s="1297">
        <v>791</v>
      </c>
      <c r="B178" s="1297" t="s">
        <v>1776</v>
      </c>
      <c r="C178" s="1422">
        <v>1404</v>
      </c>
      <c r="D178" s="1422">
        <f t="shared" si="2"/>
        <v>1321</v>
      </c>
      <c r="E178" s="1297">
        <v>83</v>
      </c>
      <c r="F178" s="1297">
        <v>108</v>
      </c>
      <c r="G178" s="1297">
        <v>101</v>
      </c>
      <c r="H178" s="1297">
        <v>88</v>
      </c>
      <c r="I178" s="1297">
        <v>101</v>
      </c>
      <c r="J178" s="1297">
        <v>109</v>
      </c>
      <c r="K178" s="1297">
        <v>94</v>
      </c>
      <c r="L178" s="1297">
        <v>104</v>
      </c>
      <c r="M178" s="1297">
        <v>123</v>
      </c>
      <c r="N178" s="1297">
        <v>107</v>
      </c>
      <c r="O178" s="1297">
        <v>106</v>
      </c>
      <c r="P178" s="1297">
        <v>94</v>
      </c>
      <c r="Q178" s="1297">
        <v>92</v>
      </c>
      <c r="R178" s="1297">
        <v>94</v>
      </c>
    </row>
    <row r="179" spans="1:18">
      <c r="A179" s="1297">
        <v>741</v>
      </c>
      <c r="B179" s="1297" t="s">
        <v>1777</v>
      </c>
      <c r="C179" s="1422">
        <v>12575</v>
      </c>
      <c r="D179" s="1422">
        <f t="shared" si="2"/>
        <v>12048</v>
      </c>
      <c r="E179" s="1297">
        <v>527</v>
      </c>
      <c r="F179" s="1422">
        <v>1040</v>
      </c>
      <c r="G179" s="1297">
        <v>941</v>
      </c>
      <c r="H179" s="1297">
        <v>936</v>
      </c>
      <c r="I179" s="1297">
        <v>936</v>
      </c>
      <c r="J179" s="1297">
        <v>954</v>
      </c>
      <c r="K179" s="1297">
        <v>952</v>
      </c>
      <c r="L179" s="1297">
        <v>985</v>
      </c>
      <c r="M179" s="1297">
        <v>932</v>
      </c>
      <c r="N179" s="1297">
        <v>950</v>
      </c>
      <c r="O179" s="1422">
        <v>1044</v>
      </c>
      <c r="P179" s="1422">
        <v>1017</v>
      </c>
      <c r="Q179" s="1297">
        <v>608</v>
      </c>
      <c r="R179" s="1297">
        <v>753</v>
      </c>
    </row>
    <row r="180" spans="1:18">
      <c r="A180" s="1297">
        <v>742</v>
      </c>
      <c r="B180" s="1297" t="s">
        <v>1778</v>
      </c>
      <c r="C180" s="1422">
        <v>1579</v>
      </c>
      <c r="D180" s="1422">
        <f t="shared" si="2"/>
        <v>1463</v>
      </c>
      <c r="E180" s="1297">
        <v>116</v>
      </c>
      <c r="F180" s="1297">
        <v>115</v>
      </c>
      <c r="G180" s="1297">
        <v>116</v>
      </c>
      <c r="H180" s="1297">
        <v>107</v>
      </c>
      <c r="I180" s="1297">
        <v>118</v>
      </c>
      <c r="J180" s="1297">
        <v>126</v>
      </c>
      <c r="K180" s="1297">
        <v>125</v>
      </c>
      <c r="L180" s="1297">
        <v>117</v>
      </c>
      <c r="M180" s="1297">
        <v>121</v>
      </c>
      <c r="N180" s="1297">
        <v>105</v>
      </c>
      <c r="O180" s="1297">
        <v>111</v>
      </c>
      <c r="P180" s="1297">
        <v>116</v>
      </c>
      <c r="Q180" s="1297">
        <v>92</v>
      </c>
      <c r="R180" s="1297">
        <v>94</v>
      </c>
    </row>
    <row r="181" spans="1:18">
      <c r="A181" s="1297">
        <v>743</v>
      </c>
      <c r="B181" s="1297" t="s">
        <v>1779</v>
      </c>
      <c r="C181" s="1297">
        <v>981</v>
      </c>
      <c r="D181" s="1422">
        <f t="shared" si="2"/>
        <v>931</v>
      </c>
      <c r="E181" s="1297">
        <v>50</v>
      </c>
      <c r="F181" s="1297">
        <v>83</v>
      </c>
      <c r="G181" s="1297">
        <v>56</v>
      </c>
      <c r="H181" s="1297">
        <v>71</v>
      </c>
      <c r="I181" s="1297">
        <v>76</v>
      </c>
      <c r="J181" s="1297">
        <v>62</v>
      </c>
      <c r="K181" s="1297">
        <v>74</v>
      </c>
      <c r="L181" s="1297">
        <v>59</v>
      </c>
      <c r="M181" s="1297">
        <v>66</v>
      </c>
      <c r="N181" s="1297">
        <v>82</v>
      </c>
      <c r="O181" s="1297">
        <v>98</v>
      </c>
      <c r="P181" s="1297">
        <v>72</v>
      </c>
      <c r="Q181" s="1297">
        <v>50</v>
      </c>
      <c r="R181" s="1297">
        <v>82</v>
      </c>
    </row>
    <row r="182" spans="1:18">
      <c r="A182" s="1297">
        <v>744</v>
      </c>
      <c r="B182" s="1297" t="s">
        <v>1780</v>
      </c>
      <c r="C182" s="1422">
        <v>2533</v>
      </c>
      <c r="D182" s="1422">
        <f t="shared" si="2"/>
        <v>2533</v>
      </c>
      <c r="E182" s="1297">
        <v>0</v>
      </c>
      <c r="F182" s="1297">
        <v>202</v>
      </c>
      <c r="G182" s="1297">
        <v>183</v>
      </c>
      <c r="H182" s="1297">
        <v>176</v>
      </c>
      <c r="I182" s="1297">
        <v>198</v>
      </c>
      <c r="J182" s="1297">
        <v>222</v>
      </c>
      <c r="K182" s="1297">
        <v>221</v>
      </c>
      <c r="L182" s="1297">
        <v>206</v>
      </c>
      <c r="M182" s="1297">
        <v>203</v>
      </c>
      <c r="N182" s="1297">
        <v>245</v>
      </c>
      <c r="O182" s="1297">
        <v>179</v>
      </c>
      <c r="P182" s="1297">
        <v>191</v>
      </c>
      <c r="Q182" s="1297">
        <v>148</v>
      </c>
      <c r="R182" s="1297">
        <v>159</v>
      </c>
    </row>
    <row r="183" spans="1:18">
      <c r="A183" s="1297">
        <v>792</v>
      </c>
      <c r="B183" s="1297" t="s">
        <v>1781</v>
      </c>
      <c r="C183" s="1422">
        <v>7334</v>
      </c>
      <c r="D183" s="1422">
        <f t="shared" si="2"/>
        <v>7147</v>
      </c>
      <c r="E183" s="1297">
        <v>187</v>
      </c>
      <c r="F183" s="1297">
        <v>663</v>
      </c>
      <c r="G183" s="1297">
        <v>656</v>
      </c>
      <c r="H183" s="1297">
        <v>588</v>
      </c>
      <c r="I183" s="1297">
        <v>628</v>
      </c>
      <c r="J183" s="1297">
        <v>633</v>
      </c>
      <c r="K183" s="1297">
        <v>599</v>
      </c>
      <c r="L183" s="1297">
        <v>556</v>
      </c>
      <c r="M183" s="1297">
        <v>462</v>
      </c>
      <c r="N183" s="1297">
        <v>493</v>
      </c>
      <c r="O183" s="1297">
        <v>610</v>
      </c>
      <c r="P183" s="1297">
        <v>517</v>
      </c>
      <c r="Q183" s="1297">
        <v>370</v>
      </c>
      <c r="R183" s="1297">
        <v>372</v>
      </c>
    </row>
    <row r="184" spans="1:18">
      <c r="A184" s="1297">
        <v>793</v>
      </c>
      <c r="B184" s="1297" t="s">
        <v>1782</v>
      </c>
      <c r="C184" s="1422">
        <v>2567</v>
      </c>
      <c r="D184" s="1422">
        <f t="shared" si="2"/>
        <v>2412</v>
      </c>
      <c r="E184" s="1297">
        <v>155</v>
      </c>
      <c r="F184" s="1297">
        <v>200</v>
      </c>
      <c r="G184" s="1297">
        <v>200</v>
      </c>
      <c r="H184" s="1297">
        <v>181</v>
      </c>
      <c r="I184" s="1297">
        <v>194</v>
      </c>
      <c r="J184" s="1297">
        <v>204</v>
      </c>
      <c r="K184" s="1297">
        <v>210</v>
      </c>
      <c r="L184" s="1297">
        <v>184</v>
      </c>
      <c r="M184" s="1297">
        <v>189</v>
      </c>
      <c r="N184" s="1297">
        <v>183</v>
      </c>
      <c r="O184" s="1297">
        <v>201</v>
      </c>
      <c r="P184" s="1297">
        <v>152</v>
      </c>
      <c r="Q184" s="1297">
        <v>138</v>
      </c>
      <c r="R184" s="1297">
        <v>176</v>
      </c>
    </row>
    <row r="185" spans="1:18">
      <c r="A185" s="1297">
        <v>746</v>
      </c>
      <c r="B185" s="1297" t="s">
        <v>1783</v>
      </c>
      <c r="C185" s="1422">
        <v>9160</v>
      </c>
      <c r="D185" s="1422">
        <f t="shared" si="2"/>
        <v>8863</v>
      </c>
      <c r="E185" s="1297">
        <v>297</v>
      </c>
      <c r="F185" s="1297">
        <v>742</v>
      </c>
      <c r="G185" s="1297">
        <v>719</v>
      </c>
      <c r="H185" s="1297">
        <v>680</v>
      </c>
      <c r="I185" s="1297">
        <v>712</v>
      </c>
      <c r="J185" s="1297">
        <v>745</v>
      </c>
      <c r="K185" s="1297">
        <v>725</v>
      </c>
      <c r="L185" s="1297">
        <v>722</v>
      </c>
      <c r="M185" s="1297">
        <v>692</v>
      </c>
      <c r="N185" s="1297">
        <v>698</v>
      </c>
      <c r="O185" s="1297">
        <v>765</v>
      </c>
      <c r="P185" s="1297">
        <v>623</v>
      </c>
      <c r="Q185" s="1297">
        <v>564</v>
      </c>
      <c r="R185" s="1297">
        <v>476</v>
      </c>
    </row>
    <row r="186" spans="1:18">
      <c r="A186" s="1297">
        <v>747</v>
      </c>
      <c r="B186" s="1297" t="s">
        <v>1784</v>
      </c>
      <c r="C186" s="1422">
        <v>13156</v>
      </c>
      <c r="D186" s="1422">
        <f t="shared" si="2"/>
        <v>12712</v>
      </c>
      <c r="E186" s="1297">
        <v>444</v>
      </c>
      <c r="F186" s="1297">
        <v>998</v>
      </c>
      <c r="G186" s="1297">
        <v>999</v>
      </c>
      <c r="H186" s="1297">
        <v>952</v>
      </c>
      <c r="I186" s="1422">
        <v>1048</v>
      </c>
      <c r="J186" s="1422">
        <v>1001</v>
      </c>
      <c r="K186" s="1422">
        <v>1074</v>
      </c>
      <c r="L186" s="1422">
        <v>1050</v>
      </c>
      <c r="M186" s="1422">
        <v>1001</v>
      </c>
      <c r="N186" s="1297">
        <v>929</v>
      </c>
      <c r="O186" s="1422">
        <v>1102</v>
      </c>
      <c r="P186" s="1297">
        <v>986</v>
      </c>
      <c r="Q186" s="1297">
        <v>792</v>
      </c>
      <c r="R186" s="1297">
        <v>780</v>
      </c>
    </row>
    <row r="187" spans="1:18">
      <c r="A187" s="1297">
        <v>748</v>
      </c>
      <c r="B187" s="1297" t="s">
        <v>1785</v>
      </c>
      <c r="C187" s="1422">
        <v>5952</v>
      </c>
      <c r="D187" s="1422">
        <f t="shared" si="2"/>
        <v>5637</v>
      </c>
      <c r="E187" s="1297">
        <v>315</v>
      </c>
      <c r="F187" s="1297">
        <v>514</v>
      </c>
      <c r="G187" s="1297">
        <v>526</v>
      </c>
      <c r="H187" s="1297">
        <v>413</v>
      </c>
      <c r="I187" s="1297">
        <v>457</v>
      </c>
      <c r="J187" s="1297">
        <v>482</v>
      </c>
      <c r="K187" s="1297">
        <v>448</v>
      </c>
      <c r="L187" s="1297">
        <v>441</v>
      </c>
      <c r="M187" s="1297">
        <v>466</v>
      </c>
      <c r="N187" s="1297">
        <v>403</v>
      </c>
      <c r="O187" s="1297">
        <v>422</v>
      </c>
      <c r="P187" s="1297">
        <v>475</v>
      </c>
      <c r="Q187" s="1297">
        <v>261</v>
      </c>
      <c r="R187" s="1297">
        <v>329</v>
      </c>
    </row>
    <row r="188" spans="1:18">
      <c r="A188" s="1297">
        <v>749</v>
      </c>
      <c r="B188" s="1297" t="s">
        <v>1786</v>
      </c>
      <c r="C188" s="1297">
        <v>756</v>
      </c>
      <c r="D188" s="1422">
        <f t="shared" si="2"/>
        <v>694</v>
      </c>
      <c r="E188" s="1297">
        <v>62</v>
      </c>
      <c r="F188" s="1297">
        <v>52</v>
      </c>
      <c r="G188" s="1297">
        <v>55</v>
      </c>
      <c r="H188" s="1297">
        <v>79</v>
      </c>
      <c r="I188" s="1297">
        <v>57</v>
      </c>
      <c r="J188" s="1297">
        <v>52</v>
      </c>
      <c r="K188" s="1297">
        <v>60</v>
      </c>
      <c r="L188" s="1297">
        <v>48</v>
      </c>
      <c r="M188" s="1297">
        <v>42</v>
      </c>
      <c r="N188" s="1297">
        <v>53</v>
      </c>
      <c r="O188" s="1297">
        <v>54</v>
      </c>
      <c r="P188" s="1297">
        <v>53</v>
      </c>
      <c r="Q188" s="1297">
        <v>42</v>
      </c>
      <c r="R188" s="1297">
        <v>47</v>
      </c>
    </row>
    <row r="189" spans="1:18">
      <c r="A189" s="1297">
        <v>750</v>
      </c>
      <c r="B189" s="1297" t="s">
        <v>1787</v>
      </c>
      <c r="C189" s="1422">
        <v>3161</v>
      </c>
      <c r="D189" s="1422">
        <f t="shared" si="2"/>
        <v>3080</v>
      </c>
      <c r="E189" s="1297">
        <v>81</v>
      </c>
      <c r="F189" s="1297">
        <v>257</v>
      </c>
      <c r="G189" s="1297">
        <v>252</v>
      </c>
      <c r="H189" s="1297">
        <v>221</v>
      </c>
      <c r="I189" s="1297">
        <v>213</v>
      </c>
      <c r="J189" s="1297">
        <v>237</v>
      </c>
      <c r="K189" s="1297">
        <v>230</v>
      </c>
      <c r="L189" s="1297">
        <v>239</v>
      </c>
      <c r="M189" s="1297">
        <v>226</v>
      </c>
      <c r="N189" s="1297">
        <v>250</v>
      </c>
      <c r="O189" s="1297">
        <v>219</v>
      </c>
      <c r="P189" s="1297">
        <v>234</v>
      </c>
      <c r="Q189" s="1297">
        <v>247</v>
      </c>
      <c r="R189" s="1297">
        <v>255</v>
      </c>
    </row>
    <row r="190" spans="1:18">
      <c r="A190" s="1297">
        <v>751</v>
      </c>
      <c r="B190" s="1297" t="s">
        <v>1788</v>
      </c>
      <c r="C190" s="1422">
        <v>5442</v>
      </c>
      <c r="D190" s="1422">
        <f t="shared" si="2"/>
        <v>5078</v>
      </c>
      <c r="E190" s="1297">
        <v>364</v>
      </c>
      <c r="F190" s="1297">
        <v>426</v>
      </c>
      <c r="G190" s="1297">
        <v>428</v>
      </c>
      <c r="H190" s="1297">
        <v>428</v>
      </c>
      <c r="I190" s="1297">
        <v>416</v>
      </c>
      <c r="J190" s="1297">
        <v>419</v>
      </c>
      <c r="K190" s="1297">
        <v>410</v>
      </c>
      <c r="L190" s="1297">
        <v>407</v>
      </c>
      <c r="M190" s="1297">
        <v>381</v>
      </c>
      <c r="N190" s="1297">
        <v>342</v>
      </c>
      <c r="O190" s="1297">
        <v>420</v>
      </c>
      <c r="P190" s="1297">
        <v>384</v>
      </c>
      <c r="Q190" s="1297">
        <v>289</v>
      </c>
      <c r="R190" s="1297">
        <v>328</v>
      </c>
    </row>
    <row r="191" spans="1:18">
      <c r="A191" s="1297">
        <v>752</v>
      </c>
      <c r="B191" s="1297" t="s">
        <v>858</v>
      </c>
      <c r="C191" s="1297">
        <v>478</v>
      </c>
      <c r="D191" s="1422">
        <f t="shared" si="2"/>
        <v>438</v>
      </c>
      <c r="E191" s="1297">
        <v>40</v>
      </c>
      <c r="F191" s="1297">
        <v>44</v>
      </c>
      <c r="G191" s="1297">
        <v>25</v>
      </c>
      <c r="H191" s="1297">
        <v>30</v>
      </c>
      <c r="I191" s="1297">
        <v>46</v>
      </c>
      <c r="J191" s="1297">
        <v>37</v>
      </c>
      <c r="K191" s="1297">
        <v>39</v>
      </c>
      <c r="L191" s="1297">
        <v>36</v>
      </c>
      <c r="M191" s="1297">
        <v>35</v>
      </c>
      <c r="N191" s="1297">
        <v>42</v>
      </c>
      <c r="O191" s="1297">
        <v>31</v>
      </c>
      <c r="P191" s="1297">
        <v>21</v>
      </c>
      <c r="Q191" s="1297">
        <v>30</v>
      </c>
      <c r="R191" s="1297">
        <v>22</v>
      </c>
    </row>
    <row r="192" spans="1:18">
      <c r="A192" s="1297">
        <v>753</v>
      </c>
      <c r="B192" s="1297" t="s">
        <v>1789</v>
      </c>
      <c r="C192" s="1297">
        <v>992</v>
      </c>
      <c r="D192" s="1422">
        <f t="shared" si="2"/>
        <v>932</v>
      </c>
      <c r="E192" s="1297">
        <v>60</v>
      </c>
      <c r="F192" s="1297">
        <v>71</v>
      </c>
      <c r="G192" s="1297">
        <v>87</v>
      </c>
      <c r="H192" s="1297">
        <v>75</v>
      </c>
      <c r="I192" s="1297">
        <v>91</v>
      </c>
      <c r="J192" s="1297">
        <v>63</v>
      </c>
      <c r="K192" s="1297">
        <v>71</v>
      </c>
      <c r="L192" s="1297">
        <v>77</v>
      </c>
      <c r="M192" s="1297">
        <v>59</v>
      </c>
      <c r="N192" s="1297">
        <v>74</v>
      </c>
      <c r="O192" s="1297">
        <v>68</v>
      </c>
      <c r="P192" s="1297">
        <v>80</v>
      </c>
      <c r="Q192" s="1297">
        <v>58</v>
      </c>
      <c r="R192" s="1297">
        <v>58</v>
      </c>
    </row>
    <row r="193" spans="1:18">
      <c r="A193" s="1297">
        <v>754</v>
      </c>
      <c r="B193" s="1297" t="s">
        <v>761</v>
      </c>
      <c r="C193" s="1422">
        <v>3772</v>
      </c>
      <c r="D193" s="1422">
        <f t="shared" si="2"/>
        <v>3736</v>
      </c>
      <c r="E193" s="1297">
        <v>36</v>
      </c>
      <c r="F193" s="1297">
        <v>286</v>
      </c>
      <c r="G193" s="1297">
        <v>292</v>
      </c>
      <c r="H193" s="1297">
        <v>293</v>
      </c>
      <c r="I193" s="1297">
        <v>302</v>
      </c>
      <c r="J193" s="1297">
        <v>290</v>
      </c>
      <c r="K193" s="1297">
        <v>299</v>
      </c>
      <c r="L193" s="1297">
        <v>312</v>
      </c>
      <c r="M193" s="1297">
        <v>297</v>
      </c>
      <c r="N193" s="1297">
        <v>299</v>
      </c>
      <c r="O193" s="1297">
        <v>252</v>
      </c>
      <c r="P193" s="1297">
        <v>304</v>
      </c>
      <c r="Q193" s="1297">
        <v>275</v>
      </c>
      <c r="R193" s="1297">
        <v>235</v>
      </c>
    </row>
    <row r="194" spans="1:18">
      <c r="A194" s="1297">
        <v>755</v>
      </c>
      <c r="B194" s="1297" t="s">
        <v>972</v>
      </c>
      <c r="C194" s="1422">
        <v>13267</v>
      </c>
      <c r="D194" s="1422">
        <f t="shared" si="2"/>
        <v>13047</v>
      </c>
      <c r="E194" s="1297">
        <v>220</v>
      </c>
      <c r="F194" s="1422">
        <v>1129</v>
      </c>
      <c r="G194" s="1422">
        <v>1084</v>
      </c>
      <c r="H194" s="1422">
        <v>1002</v>
      </c>
      <c r="I194" s="1422">
        <v>1084</v>
      </c>
      <c r="J194" s="1422">
        <v>1046</v>
      </c>
      <c r="K194" s="1422">
        <v>1028</v>
      </c>
      <c r="L194" s="1422">
        <v>1068</v>
      </c>
      <c r="M194" s="1297">
        <v>998</v>
      </c>
      <c r="N194" s="1297">
        <v>937</v>
      </c>
      <c r="O194" s="1422">
        <v>1127</v>
      </c>
      <c r="P194" s="1297">
        <v>950</v>
      </c>
      <c r="Q194" s="1297">
        <v>784</v>
      </c>
      <c r="R194" s="1297">
        <v>810</v>
      </c>
    </row>
    <row r="195" spans="1:18">
      <c r="A195" s="1297">
        <v>756</v>
      </c>
      <c r="B195" s="1297" t="s">
        <v>1790</v>
      </c>
      <c r="C195" s="1422">
        <v>1335</v>
      </c>
      <c r="D195" s="1422">
        <f t="shared" si="2"/>
        <v>1264</v>
      </c>
      <c r="E195" s="1297">
        <v>71</v>
      </c>
      <c r="F195" s="1297">
        <v>89</v>
      </c>
      <c r="G195" s="1297">
        <v>102</v>
      </c>
      <c r="H195" s="1297">
        <v>107</v>
      </c>
      <c r="I195" s="1297">
        <v>95</v>
      </c>
      <c r="J195" s="1297">
        <v>77</v>
      </c>
      <c r="K195" s="1297">
        <v>105</v>
      </c>
      <c r="L195" s="1297">
        <v>113</v>
      </c>
      <c r="M195" s="1297">
        <v>88</v>
      </c>
      <c r="N195" s="1297">
        <v>119</v>
      </c>
      <c r="O195" s="1297">
        <v>98</v>
      </c>
      <c r="P195" s="1297">
        <v>102</v>
      </c>
      <c r="Q195" s="1297">
        <v>89</v>
      </c>
      <c r="R195" s="1297">
        <v>80</v>
      </c>
    </row>
    <row r="196" spans="1:18">
      <c r="A196" s="1297">
        <v>757</v>
      </c>
      <c r="B196" s="1297" t="s">
        <v>1791</v>
      </c>
      <c r="C196" s="1422">
        <v>1663</v>
      </c>
      <c r="D196" s="1422">
        <f t="shared" si="2"/>
        <v>1574</v>
      </c>
      <c r="E196" s="1297">
        <v>89</v>
      </c>
      <c r="F196" s="1297">
        <v>112</v>
      </c>
      <c r="G196" s="1297">
        <v>129</v>
      </c>
      <c r="H196" s="1297">
        <v>128</v>
      </c>
      <c r="I196" s="1297">
        <v>122</v>
      </c>
      <c r="J196" s="1297">
        <v>135</v>
      </c>
      <c r="K196" s="1297">
        <v>125</v>
      </c>
      <c r="L196" s="1297">
        <v>111</v>
      </c>
      <c r="M196" s="1297">
        <v>122</v>
      </c>
      <c r="N196" s="1297">
        <v>139</v>
      </c>
      <c r="O196" s="1297">
        <v>162</v>
      </c>
      <c r="P196" s="1297">
        <v>106</v>
      </c>
      <c r="Q196" s="1297">
        <v>87</v>
      </c>
      <c r="R196" s="1297">
        <v>96</v>
      </c>
    </row>
    <row r="197" spans="1:18">
      <c r="A197" s="1297">
        <v>758</v>
      </c>
      <c r="B197" s="1297" t="s">
        <v>1792</v>
      </c>
      <c r="C197" s="1422">
        <v>1589</v>
      </c>
      <c r="D197" s="1422">
        <f t="shared" si="2"/>
        <v>1466</v>
      </c>
      <c r="E197" s="1297">
        <v>123</v>
      </c>
      <c r="F197" s="1297">
        <v>120</v>
      </c>
      <c r="G197" s="1297">
        <v>124</v>
      </c>
      <c r="H197" s="1297">
        <v>121</v>
      </c>
      <c r="I197" s="1297">
        <v>116</v>
      </c>
      <c r="J197" s="1297">
        <v>116</v>
      </c>
      <c r="K197" s="1297">
        <v>148</v>
      </c>
      <c r="L197" s="1297">
        <v>104</v>
      </c>
      <c r="M197" s="1297">
        <v>101</v>
      </c>
      <c r="N197" s="1297">
        <v>101</v>
      </c>
      <c r="O197" s="1297">
        <v>126</v>
      </c>
      <c r="P197" s="1297">
        <v>104</v>
      </c>
      <c r="Q197" s="1297">
        <v>87</v>
      </c>
      <c r="R197" s="1297">
        <v>98</v>
      </c>
    </row>
    <row r="198" spans="1:18">
      <c r="A198" s="1297">
        <v>759</v>
      </c>
      <c r="B198" s="1297" t="s">
        <v>1829</v>
      </c>
      <c r="C198" s="1422">
        <v>3527</v>
      </c>
      <c r="D198" s="1422">
        <f>C198-E198</f>
        <v>3377</v>
      </c>
      <c r="E198" s="1297">
        <v>150</v>
      </c>
      <c r="F198" s="1297">
        <v>249</v>
      </c>
      <c r="G198" s="1297">
        <v>274</v>
      </c>
      <c r="H198" s="1297">
        <v>229</v>
      </c>
      <c r="I198" s="1297">
        <v>244</v>
      </c>
      <c r="J198" s="1297">
        <v>252</v>
      </c>
      <c r="K198" s="1297">
        <v>276</v>
      </c>
      <c r="L198" s="1297">
        <v>292</v>
      </c>
      <c r="M198" s="1297">
        <v>279</v>
      </c>
      <c r="N198" s="1297">
        <v>308</v>
      </c>
      <c r="O198" s="1297">
        <v>288</v>
      </c>
      <c r="P198" s="1297">
        <v>232</v>
      </c>
      <c r="Q198" s="1297">
        <v>222</v>
      </c>
      <c r="R198" s="1297">
        <v>232</v>
      </c>
    </row>
    <row r="199" spans="1:18">
      <c r="A199" s="1297" t="s">
        <v>1830</v>
      </c>
      <c r="B199" s="1297" t="s">
        <v>1831</v>
      </c>
      <c r="C199" s="1422">
        <v>1665557</v>
      </c>
      <c r="D199" s="1422">
        <f>C199-E199</f>
        <v>1619890</v>
      </c>
      <c r="E199" s="1422">
        <v>45667</v>
      </c>
      <c r="F199" s="1422">
        <v>132278</v>
      </c>
      <c r="G199" s="1422">
        <v>130206</v>
      </c>
      <c r="H199" s="1422">
        <v>127832</v>
      </c>
      <c r="I199" s="1422">
        <v>129764</v>
      </c>
      <c r="J199" s="1422">
        <v>131213</v>
      </c>
      <c r="K199" s="1422">
        <v>131045</v>
      </c>
      <c r="L199" s="1422">
        <v>127319</v>
      </c>
      <c r="M199" s="1422">
        <v>125815</v>
      </c>
      <c r="N199" s="1422">
        <v>123181</v>
      </c>
      <c r="O199" s="1422">
        <v>139816</v>
      </c>
      <c r="P199" s="1422">
        <v>120158</v>
      </c>
      <c r="Q199" s="1422">
        <v>99970</v>
      </c>
      <c r="R199" s="1422">
        <v>101293</v>
      </c>
    </row>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63"/>
  <sheetViews>
    <sheetView workbookViewId="0">
      <selection activeCell="E22" sqref="E22"/>
    </sheetView>
  </sheetViews>
  <sheetFormatPr defaultColWidth="8.83203125"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642" t="s">
        <v>376</v>
      </c>
      <c r="C1" s="1642"/>
      <c r="D1" s="1642"/>
      <c r="E1" s="1642"/>
      <c r="F1" s="1642"/>
      <c r="G1" s="1642"/>
      <c r="H1" s="1642"/>
      <c r="I1" s="1642"/>
      <c r="J1" s="1642"/>
      <c r="K1" s="1642"/>
      <c r="L1" s="310"/>
      <c r="M1" s="309"/>
      <c r="N1" s="309"/>
      <c r="O1" s="309"/>
      <c r="P1" s="309"/>
      <c r="Q1" s="309"/>
      <c r="R1" s="309"/>
      <c r="S1" s="309"/>
      <c r="T1" s="309"/>
      <c r="U1" s="309"/>
    </row>
    <row r="2" spans="1:21" ht="20.100000000000001" customHeight="1">
      <c r="A2" s="1643" t="s">
        <v>376</v>
      </c>
      <c r="B2" s="1644" t="s">
        <v>221</v>
      </c>
      <c r="C2" s="1644"/>
      <c r="D2" s="1644"/>
      <c r="E2" s="1644"/>
      <c r="F2" s="1644"/>
      <c r="G2" s="1644"/>
      <c r="H2" s="1644"/>
      <c r="I2" s="1644"/>
      <c r="J2" s="1644"/>
      <c r="K2" s="1644"/>
      <c r="L2" s="1643" t="s">
        <v>376</v>
      </c>
      <c r="M2" s="433" t="str">
        <f>N40</f>
        <v>GA</v>
      </c>
      <c r="N2" s="1645" t="s">
        <v>222</v>
      </c>
      <c r="O2" s="1645"/>
      <c r="P2" s="1645"/>
      <c r="Q2" s="1645"/>
      <c r="R2" s="1645"/>
      <c r="S2" s="1645"/>
      <c r="T2" s="1645"/>
      <c r="U2" s="434"/>
    </row>
    <row r="3" spans="1:21" ht="15.95" customHeight="1">
      <c r="A3" s="1643"/>
      <c r="B3" s="308"/>
      <c r="C3" s="308"/>
      <c r="D3" s="308"/>
      <c r="E3" s="308"/>
      <c r="F3" s="308"/>
      <c r="G3" s="308"/>
      <c r="H3" s="308"/>
      <c r="I3" s="308"/>
      <c r="J3" s="308"/>
      <c r="K3" s="308"/>
      <c r="L3" s="1643"/>
      <c r="M3" s="1491" t="s">
        <v>210</v>
      </c>
      <c r="N3" s="1492"/>
      <c r="O3" s="1492"/>
      <c r="P3" s="1492"/>
      <c r="Q3" s="1492"/>
      <c r="R3" s="1492"/>
      <c r="S3" s="1492"/>
      <c r="T3" s="1492"/>
      <c r="U3" s="1493"/>
    </row>
    <row r="4" spans="1:21" ht="15.95" customHeight="1">
      <c r="A4" s="1643"/>
      <c r="B4" s="308"/>
      <c r="C4" s="308"/>
      <c r="D4" s="308"/>
      <c r="E4" s="308"/>
      <c r="F4" s="308"/>
      <c r="G4" s="308"/>
      <c r="H4" s="308"/>
      <c r="I4" s="308"/>
      <c r="J4" s="308"/>
      <c r="K4" s="308"/>
      <c r="L4" s="1643"/>
      <c r="M4" s="1491"/>
      <c r="N4" s="1492"/>
      <c r="O4" s="1492"/>
      <c r="P4" s="1492"/>
      <c r="Q4" s="1492"/>
      <c r="R4" s="1492"/>
      <c r="S4" s="1492"/>
      <c r="T4" s="1492"/>
      <c r="U4" s="1493"/>
    </row>
    <row r="5" spans="1:21" ht="15.95" customHeight="1">
      <c r="A5" s="1643"/>
      <c r="B5" s="308"/>
      <c r="C5" s="308"/>
      <c r="D5" s="308"/>
      <c r="E5" s="308"/>
      <c r="F5" s="308"/>
      <c r="G5" s="308"/>
      <c r="H5" s="308"/>
      <c r="I5" s="308"/>
      <c r="J5" s="308"/>
      <c r="K5" s="308"/>
      <c r="L5" s="1643"/>
      <c r="M5" s="1491"/>
      <c r="N5" s="1492"/>
      <c r="O5" s="1492"/>
      <c r="P5" s="1492"/>
      <c r="Q5" s="1492"/>
      <c r="R5" s="1492"/>
      <c r="S5" s="1492"/>
      <c r="T5" s="1492"/>
      <c r="U5" s="1493"/>
    </row>
    <row r="6" spans="1:21" ht="15.95" customHeight="1">
      <c r="A6" s="1643"/>
      <c r="B6" s="308"/>
      <c r="C6" s="308"/>
      <c r="D6" s="308"/>
      <c r="E6" s="308"/>
      <c r="F6" s="308"/>
      <c r="G6" s="308"/>
      <c r="H6" s="308"/>
      <c r="I6" s="308"/>
      <c r="J6" s="308"/>
      <c r="K6" s="308"/>
      <c r="L6" s="1643"/>
      <c r="M6" s="1491"/>
      <c r="N6" s="1492"/>
      <c r="O6" s="1492"/>
      <c r="P6" s="1492"/>
      <c r="Q6" s="1492"/>
      <c r="R6" s="1492"/>
      <c r="S6" s="1492"/>
      <c r="T6" s="1492"/>
      <c r="U6" s="1493"/>
    </row>
    <row r="7" spans="1:21" ht="15.95" customHeight="1">
      <c r="A7" s="1643"/>
      <c r="B7" s="308"/>
      <c r="C7" s="308"/>
      <c r="D7" s="308"/>
      <c r="E7" s="308"/>
      <c r="F7" s="308"/>
      <c r="G7" s="308"/>
      <c r="H7" s="308"/>
      <c r="I7" s="308"/>
      <c r="J7" s="308"/>
      <c r="K7" s="308"/>
      <c r="L7" s="1643"/>
      <c r="M7" s="1491"/>
      <c r="N7" s="1492"/>
      <c r="O7" s="1492"/>
      <c r="P7" s="1492"/>
      <c r="Q7" s="1492"/>
      <c r="R7" s="1492"/>
      <c r="S7" s="1492"/>
      <c r="T7" s="1492"/>
      <c r="U7" s="1493"/>
    </row>
    <row r="8" spans="1:21" ht="15.95" customHeight="1">
      <c r="A8" s="1643"/>
      <c r="B8" s="308"/>
      <c r="C8" s="308"/>
      <c r="D8" s="308"/>
      <c r="E8" s="308"/>
      <c r="F8" s="308"/>
      <c r="G8" s="308"/>
      <c r="H8" s="308"/>
      <c r="I8" s="308"/>
      <c r="J8" s="308"/>
      <c r="K8" s="308"/>
      <c r="L8" s="1643"/>
      <c r="M8" s="1494"/>
      <c r="N8" s="1495"/>
      <c r="O8" s="1495"/>
      <c r="P8" s="1495"/>
      <c r="Q8" s="1495"/>
      <c r="R8" s="1495"/>
      <c r="S8" s="1495"/>
      <c r="T8" s="1495"/>
      <c r="U8" s="1496"/>
    </row>
    <row r="9" spans="1:21" ht="15.95" customHeight="1">
      <c r="A9" s="1643"/>
      <c r="B9" s="308"/>
      <c r="C9" s="308"/>
      <c r="D9" s="308"/>
      <c r="E9" s="308"/>
      <c r="F9" s="308"/>
      <c r="G9" s="308"/>
      <c r="H9" s="308"/>
      <c r="I9" s="308"/>
      <c r="J9" s="308"/>
      <c r="K9" s="308"/>
      <c r="L9" s="1643"/>
      <c r="M9" s="1488"/>
      <c r="N9" s="1489"/>
      <c r="O9" s="1489"/>
      <c r="P9" s="1489"/>
      <c r="Q9" s="1489"/>
      <c r="R9" s="1489"/>
      <c r="S9" s="1489"/>
      <c r="T9" s="1489"/>
      <c r="U9" s="1490"/>
    </row>
    <row r="10" spans="1:21" ht="15.95" customHeight="1">
      <c r="A10" s="1643"/>
      <c r="B10" s="308"/>
      <c r="C10" s="308"/>
      <c r="D10" s="308"/>
      <c r="E10" s="308"/>
      <c r="F10" s="308"/>
      <c r="G10" s="308"/>
      <c r="H10" s="308"/>
      <c r="I10" s="308"/>
      <c r="J10" s="308"/>
      <c r="K10" s="308"/>
      <c r="L10" s="1643"/>
      <c r="M10" s="1491"/>
      <c r="N10" s="1492"/>
      <c r="O10" s="1492"/>
      <c r="P10" s="1492"/>
      <c r="Q10" s="1492"/>
      <c r="R10" s="1492"/>
      <c r="S10" s="1492"/>
      <c r="T10" s="1492"/>
      <c r="U10" s="1493"/>
    </row>
    <row r="11" spans="1:21" ht="15.95" customHeight="1">
      <c r="A11" s="1643"/>
      <c r="B11" s="308"/>
      <c r="C11" s="308"/>
      <c r="D11" s="308"/>
      <c r="E11" s="308"/>
      <c r="F11" s="308"/>
      <c r="G11" s="308"/>
      <c r="H11" s="308"/>
      <c r="I11" s="308"/>
      <c r="J11" s="308"/>
      <c r="K11" s="308"/>
      <c r="L11" s="1643"/>
      <c r="M11" s="1491"/>
      <c r="N11" s="1492"/>
      <c r="O11" s="1492"/>
      <c r="P11" s="1492"/>
      <c r="Q11" s="1492"/>
      <c r="R11" s="1492"/>
      <c r="S11" s="1492"/>
      <c r="T11" s="1492"/>
      <c r="U11" s="1493"/>
    </row>
    <row r="12" spans="1:21" ht="15.95" customHeight="1">
      <c r="A12" s="1643"/>
      <c r="B12" s="308"/>
      <c r="C12" s="308"/>
      <c r="D12" s="308"/>
      <c r="E12" s="308"/>
      <c r="F12" s="308"/>
      <c r="G12" s="308"/>
      <c r="H12" s="308"/>
      <c r="I12" s="308"/>
      <c r="J12" s="308"/>
      <c r="K12" s="308"/>
      <c r="L12" s="1643"/>
      <c r="M12" s="1491"/>
      <c r="N12" s="1492"/>
      <c r="O12" s="1492"/>
      <c r="P12" s="1492"/>
      <c r="Q12" s="1492"/>
      <c r="R12" s="1492"/>
      <c r="S12" s="1492"/>
      <c r="T12" s="1492"/>
      <c r="U12" s="1493"/>
    </row>
    <row r="13" spans="1:21" ht="15.95" customHeight="1">
      <c r="A13" s="1643"/>
      <c r="B13" s="308"/>
      <c r="C13" s="308"/>
      <c r="D13" s="308"/>
      <c r="E13" s="308"/>
      <c r="F13" s="308"/>
      <c r="G13" s="308"/>
      <c r="H13" s="308"/>
      <c r="I13" s="308"/>
      <c r="J13" s="308"/>
      <c r="K13" s="308"/>
      <c r="L13" s="1643"/>
      <c r="M13" s="1491"/>
      <c r="N13" s="1492"/>
      <c r="O13" s="1492"/>
      <c r="P13" s="1492"/>
      <c r="Q13" s="1492"/>
      <c r="R13" s="1492"/>
      <c r="S13" s="1492"/>
      <c r="T13" s="1492"/>
      <c r="U13" s="1493"/>
    </row>
    <row r="14" spans="1:21" ht="15.95" customHeight="1">
      <c r="A14" s="1643"/>
      <c r="B14" s="308"/>
      <c r="C14" s="308"/>
      <c r="D14" s="308"/>
      <c r="E14" s="308"/>
      <c r="F14" s="308"/>
      <c r="G14" s="308"/>
      <c r="H14" s="308"/>
      <c r="I14" s="308"/>
      <c r="J14" s="308"/>
      <c r="K14" s="308"/>
      <c r="L14" s="1643"/>
      <c r="M14" s="1491"/>
      <c r="N14" s="1492"/>
      <c r="O14" s="1492"/>
      <c r="P14" s="1492"/>
      <c r="Q14" s="1492"/>
      <c r="R14" s="1492"/>
      <c r="S14" s="1492"/>
      <c r="T14" s="1492"/>
      <c r="U14" s="1493"/>
    </row>
    <row r="15" spans="1:21" ht="15.95" customHeight="1">
      <c r="A15" s="1643"/>
      <c r="B15" s="308"/>
      <c r="C15" s="308"/>
      <c r="D15" s="308"/>
      <c r="E15" s="308"/>
      <c r="F15" s="308"/>
      <c r="G15" s="308"/>
      <c r="H15" s="308"/>
      <c r="I15" s="308"/>
      <c r="J15" s="308"/>
      <c r="K15" s="308"/>
      <c r="L15" s="1643"/>
      <c r="M15" s="1494"/>
      <c r="N15" s="1495"/>
      <c r="O15" s="1495"/>
      <c r="P15" s="1495"/>
      <c r="Q15" s="1495"/>
      <c r="R15" s="1495"/>
      <c r="S15" s="1495"/>
      <c r="T15" s="1495"/>
      <c r="U15" s="1496"/>
    </row>
    <row r="16" spans="1:21" ht="15.95" customHeight="1">
      <c r="A16" s="1643"/>
      <c r="B16" s="308"/>
      <c r="C16" s="308"/>
      <c r="D16" s="308"/>
      <c r="E16" s="308"/>
      <c r="F16" s="308"/>
      <c r="G16" s="308"/>
      <c r="H16" s="308"/>
      <c r="I16" s="308"/>
      <c r="J16" s="308"/>
      <c r="K16" s="308"/>
      <c r="L16" s="1643"/>
      <c r="M16" s="1488"/>
      <c r="N16" s="1489"/>
      <c r="O16" s="1489"/>
      <c r="P16" s="1489"/>
      <c r="Q16" s="1489"/>
      <c r="R16" s="1489"/>
      <c r="S16" s="1489"/>
      <c r="T16" s="1489"/>
      <c r="U16" s="1490"/>
    </row>
    <row r="17" spans="1:21" ht="15.95" customHeight="1">
      <c r="A17" s="1643"/>
      <c r="B17" s="308"/>
      <c r="C17" s="308"/>
      <c r="D17" s="308"/>
      <c r="E17" s="308"/>
      <c r="F17" s="308"/>
      <c r="G17" s="308"/>
      <c r="H17" s="308"/>
      <c r="I17" s="308"/>
      <c r="J17" s="308"/>
      <c r="K17" s="308"/>
      <c r="L17" s="1643"/>
      <c r="M17" s="1491"/>
      <c r="N17" s="1492"/>
      <c r="O17" s="1492"/>
      <c r="P17" s="1492"/>
      <c r="Q17" s="1492"/>
      <c r="R17" s="1492"/>
      <c r="S17" s="1492"/>
      <c r="T17" s="1492"/>
      <c r="U17" s="1493"/>
    </row>
    <row r="18" spans="1:21" ht="15.95" customHeight="1">
      <c r="A18" s="1643"/>
      <c r="B18" s="308"/>
      <c r="C18" s="308"/>
      <c r="D18" s="308"/>
      <c r="E18" s="308"/>
      <c r="F18" s="308"/>
      <c r="G18" s="308"/>
      <c r="H18" s="308"/>
      <c r="I18" s="308"/>
      <c r="J18" s="308"/>
      <c r="K18" s="308"/>
      <c r="L18" s="1643"/>
      <c r="M18" s="1491"/>
      <c r="N18" s="1492"/>
      <c r="O18" s="1492"/>
      <c r="P18" s="1492"/>
      <c r="Q18" s="1492"/>
      <c r="R18" s="1492"/>
      <c r="S18" s="1492"/>
      <c r="T18" s="1492"/>
      <c r="U18" s="1493"/>
    </row>
    <row r="19" spans="1:21" ht="15.95" customHeight="1">
      <c r="A19" s="1643"/>
      <c r="B19" s="308"/>
      <c r="C19" s="308"/>
      <c r="D19" s="308"/>
      <c r="E19" s="308"/>
      <c r="F19" s="308"/>
      <c r="G19" s="308"/>
      <c r="H19" s="308"/>
      <c r="I19" s="308"/>
      <c r="J19" s="308"/>
      <c r="K19" s="308"/>
      <c r="L19" s="1643"/>
      <c r="M19" s="1491"/>
      <c r="N19" s="1492"/>
      <c r="O19" s="1492"/>
      <c r="P19" s="1492"/>
      <c r="Q19" s="1492"/>
      <c r="R19" s="1492"/>
      <c r="S19" s="1492"/>
      <c r="T19" s="1492"/>
      <c r="U19" s="1493"/>
    </row>
    <row r="20" spans="1:21" ht="15.95" customHeight="1">
      <c r="A20" s="1643"/>
      <c r="B20" s="308"/>
      <c r="C20" s="308"/>
      <c r="D20" s="308"/>
      <c r="E20" s="308"/>
      <c r="F20" s="308"/>
      <c r="G20" s="308"/>
      <c r="H20" s="308"/>
      <c r="I20" s="308"/>
      <c r="J20" s="308"/>
      <c r="K20" s="308"/>
      <c r="L20" s="1643"/>
      <c r="M20" s="1491"/>
      <c r="N20" s="1492"/>
      <c r="O20" s="1492"/>
      <c r="P20" s="1492"/>
      <c r="Q20" s="1492"/>
      <c r="R20" s="1492"/>
      <c r="S20" s="1492"/>
      <c r="T20" s="1492"/>
      <c r="U20" s="1493"/>
    </row>
    <row r="21" spans="1:21" ht="15.95" customHeight="1">
      <c r="A21" s="1643"/>
      <c r="B21" s="308"/>
      <c r="C21" s="308"/>
      <c r="D21" s="308"/>
      <c r="E21" s="308"/>
      <c r="F21" s="308"/>
      <c r="G21" s="308"/>
      <c r="H21" s="308"/>
      <c r="I21" s="308"/>
      <c r="J21" s="308"/>
      <c r="K21" s="308"/>
      <c r="L21" s="1643"/>
      <c r="M21" s="1491"/>
      <c r="N21" s="1492"/>
      <c r="O21" s="1492"/>
      <c r="P21" s="1492"/>
      <c r="Q21" s="1492"/>
      <c r="R21" s="1492"/>
      <c r="S21" s="1492"/>
      <c r="T21" s="1492"/>
      <c r="U21" s="1493"/>
    </row>
    <row r="22" spans="1:21" ht="15.95" customHeight="1">
      <c r="A22" s="1643"/>
      <c r="B22" s="308"/>
      <c r="C22" s="308"/>
      <c r="D22" s="308"/>
      <c r="E22" s="308"/>
      <c r="F22" s="308"/>
      <c r="G22" s="308"/>
      <c r="H22" s="308"/>
      <c r="I22" s="308"/>
      <c r="J22" s="308"/>
      <c r="K22" s="308"/>
      <c r="L22" s="1643"/>
      <c r="M22" s="1491"/>
      <c r="N22" s="1492"/>
      <c r="O22" s="1492"/>
      <c r="P22" s="1492"/>
      <c r="Q22" s="1492"/>
      <c r="R22" s="1492"/>
      <c r="S22" s="1492"/>
      <c r="T22" s="1492"/>
      <c r="U22" s="1493"/>
    </row>
    <row r="23" spans="1:21" ht="15.95" customHeight="1">
      <c r="A23" s="1643"/>
      <c r="B23" s="308"/>
      <c r="C23" s="308"/>
      <c r="D23" s="308"/>
      <c r="E23" s="308"/>
      <c r="F23" s="308"/>
      <c r="G23" s="308"/>
      <c r="H23" s="308"/>
      <c r="I23" s="308"/>
      <c r="J23" s="308"/>
      <c r="K23" s="308"/>
      <c r="L23" s="1643"/>
      <c r="M23" s="1491"/>
      <c r="N23" s="1492"/>
      <c r="O23" s="1492"/>
      <c r="P23" s="1492"/>
      <c r="Q23" s="1492"/>
      <c r="R23" s="1492"/>
      <c r="S23" s="1492"/>
      <c r="T23" s="1492"/>
      <c r="U23" s="1493"/>
    </row>
    <row r="24" spans="1:21" ht="15.95" customHeight="1">
      <c r="A24" s="1643"/>
      <c r="B24" s="308"/>
      <c r="C24" s="308"/>
      <c r="D24" s="308"/>
      <c r="E24" s="308"/>
      <c r="F24" s="308"/>
      <c r="G24" s="308"/>
      <c r="H24" s="308"/>
      <c r="I24" s="308"/>
      <c r="J24" s="308"/>
      <c r="K24" s="308"/>
      <c r="L24" s="1643"/>
      <c r="M24" s="1491"/>
      <c r="N24" s="1492"/>
      <c r="O24" s="1492"/>
      <c r="P24" s="1492"/>
      <c r="Q24" s="1492"/>
      <c r="R24" s="1492"/>
      <c r="S24" s="1492"/>
      <c r="T24" s="1492"/>
      <c r="U24" s="1493"/>
    </row>
    <row r="25" spans="1:21" ht="15.95" customHeight="1">
      <c r="A25" s="1643"/>
      <c r="B25" s="308"/>
      <c r="C25" s="308"/>
      <c r="D25" s="308"/>
      <c r="E25" s="308"/>
      <c r="F25" s="308"/>
      <c r="G25" s="308"/>
      <c r="H25" s="308"/>
      <c r="I25" s="308"/>
      <c r="J25" s="308"/>
      <c r="K25" s="308"/>
      <c r="L25" s="1643"/>
      <c r="M25" s="1491"/>
      <c r="N25" s="1492"/>
      <c r="O25" s="1492"/>
      <c r="P25" s="1492"/>
      <c r="Q25" s="1492"/>
      <c r="R25" s="1492"/>
      <c r="S25" s="1492"/>
      <c r="T25" s="1492"/>
      <c r="U25" s="1493"/>
    </row>
    <row r="26" spans="1:21" ht="15.95" customHeight="1">
      <c r="A26" s="1643"/>
      <c r="B26" s="308"/>
      <c r="C26" s="308"/>
      <c r="D26" s="308"/>
      <c r="E26" s="308"/>
      <c r="F26" s="308"/>
      <c r="G26" s="308"/>
      <c r="H26" s="308"/>
      <c r="I26" s="308"/>
      <c r="J26" s="308"/>
      <c r="K26" s="308"/>
      <c r="L26" s="1643"/>
      <c r="M26" s="1491"/>
      <c r="N26" s="1492"/>
      <c r="O26" s="1492"/>
      <c r="P26" s="1492"/>
      <c r="Q26" s="1492"/>
      <c r="R26" s="1492"/>
      <c r="S26" s="1492"/>
      <c r="T26" s="1492"/>
      <c r="U26" s="1493"/>
    </row>
    <row r="27" spans="1:21" ht="15.95" customHeight="1">
      <c r="A27" s="1643"/>
      <c r="B27" s="308"/>
      <c r="C27" s="308"/>
      <c r="D27" s="308"/>
      <c r="E27" s="308"/>
      <c r="F27" s="308"/>
      <c r="G27" s="308"/>
      <c r="H27" s="308"/>
      <c r="I27" s="308"/>
      <c r="J27" s="308"/>
      <c r="K27" s="308"/>
      <c r="L27" s="1643"/>
      <c r="M27" s="1491"/>
      <c r="N27" s="1492"/>
      <c r="O27" s="1492"/>
      <c r="P27" s="1492"/>
      <c r="Q27" s="1492"/>
      <c r="R27" s="1492"/>
      <c r="S27" s="1492"/>
      <c r="T27" s="1492"/>
      <c r="U27" s="1493"/>
    </row>
    <row r="28" spans="1:21" ht="15.95" customHeight="1">
      <c r="A28" s="1643"/>
      <c r="B28" s="308"/>
      <c r="C28" s="308"/>
      <c r="D28" s="308"/>
      <c r="E28" s="308"/>
      <c r="F28" s="308"/>
      <c r="G28" s="308"/>
      <c r="H28" s="308"/>
      <c r="I28" s="308"/>
      <c r="J28" s="308"/>
      <c r="K28" s="308"/>
      <c r="L28" s="1643"/>
      <c r="M28" s="1494"/>
      <c r="N28" s="1495"/>
      <c r="O28" s="1495"/>
      <c r="P28" s="1495"/>
      <c r="Q28" s="1495"/>
      <c r="R28" s="1495"/>
      <c r="S28" s="1495"/>
      <c r="T28" s="1495"/>
      <c r="U28" s="1496"/>
    </row>
    <row r="29" spans="1:21" ht="15.95" customHeight="1">
      <c r="A29" s="1643"/>
      <c r="B29" s="308"/>
      <c r="C29" s="308"/>
      <c r="D29" s="308"/>
      <c r="E29" s="308"/>
      <c r="F29" s="308"/>
      <c r="G29" s="308"/>
      <c r="H29" s="308"/>
      <c r="I29" s="308"/>
      <c r="J29" s="308"/>
      <c r="K29" s="308"/>
      <c r="L29" s="1643"/>
      <c r="M29" s="1537"/>
      <c r="N29" s="1538"/>
      <c r="O29" s="1538"/>
      <c r="P29" s="1538"/>
      <c r="Q29" s="1538"/>
      <c r="R29" s="1538"/>
      <c r="S29" s="1538"/>
      <c r="T29" s="1538"/>
      <c r="U29" s="1539"/>
    </row>
    <row r="30" spans="1:21" ht="15.95" customHeight="1">
      <c r="A30" s="1643"/>
      <c r="B30" s="308"/>
      <c r="C30" s="308"/>
      <c r="D30" s="308"/>
      <c r="E30" s="308"/>
      <c r="F30" s="308"/>
      <c r="G30" s="308"/>
      <c r="H30" s="308"/>
      <c r="I30" s="308"/>
      <c r="J30" s="308"/>
      <c r="K30" s="308"/>
      <c r="L30" s="1643"/>
      <c r="M30" s="616"/>
      <c r="N30" s="617"/>
      <c r="O30" s="617"/>
      <c r="P30" s="617"/>
      <c r="Q30" s="617"/>
      <c r="R30" s="617"/>
      <c r="S30" s="617"/>
      <c r="T30" s="617"/>
      <c r="U30" s="618"/>
    </row>
    <row r="31" spans="1:21" ht="15.95" customHeight="1">
      <c r="A31" s="1643"/>
      <c r="B31" s="308"/>
      <c r="C31" s="308"/>
      <c r="D31" s="308"/>
      <c r="E31" s="308"/>
      <c r="F31" s="308"/>
      <c r="G31" s="308"/>
      <c r="H31" s="308"/>
      <c r="I31" s="308"/>
      <c r="J31" s="308"/>
      <c r="K31" s="308"/>
      <c r="L31" s="1643"/>
      <c r="M31" s="1537"/>
      <c r="N31" s="1538"/>
      <c r="O31" s="1538"/>
      <c r="P31" s="1538"/>
      <c r="Q31" s="1538"/>
      <c r="R31" s="1538"/>
      <c r="S31" s="1538"/>
      <c r="T31" s="1538"/>
      <c r="U31" s="1539"/>
    </row>
    <row r="32" spans="1:21" ht="15.95" customHeight="1">
      <c r="A32" s="1643"/>
      <c r="B32" s="308"/>
      <c r="C32" s="308"/>
      <c r="D32" s="308"/>
      <c r="E32" s="308"/>
      <c r="F32" s="308"/>
      <c r="G32" s="308"/>
      <c r="H32" s="308"/>
      <c r="I32" s="308"/>
      <c r="J32" s="308"/>
      <c r="K32" s="308"/>
      <c r="L32" s="1643"/>
      <c r="M32" s="1537"/>
      <c r="N32" s="1538"/>
      <c r="O32" s="1538"/>
      <c r="P32" s="1538"/>
      <c r="Q32" s="1538"/>
      <c r="R32" s="1538"/>
      <c r="S32" s="1538"/>
      <c r="T32" s="1538"/>
      <c r="U32" s="1539"/>
    </row>
    <row r="33" spans="1:32" ht="15.95" customHeight="1">
      <c r="A33" s="1643"/>
      <c r="B33" s="308"/>
      <c r="C33" s="308"/>
      <c r="D33" s="308"/>
      <c r="E33" s="308"/>
      <c r="F33" s="308"/>
      <c r="G33" s="308"/>
      <c r="H33" s="308"/>
      <c r="I33" s="308"/>
      <c r="J33" s="308"/>
      <c r="K33" s="308"/>
      <c r="L33" s="1643"/>
      <c r="M33" s="1537"/>
      <c r="N33" s="1538"/>
      <c r="O33" s="1538"/>
      <c r="P33" s="1538"/>
      <c r="Q33" s="1538"/>
      <c r="R33" s="1538"/>
      <c r="S33" s="1538"/>
      <c r="T33" s="1538"/>
      <c r="U33" s="1539"/>
    </row>
    <row r="34" spans="1:32" ht="15.95" customHeight="1">
      <c r="A34" s="1643"/>
      <c r="B34" s="308"/>
      <c r="C34" s="308"/>
      <c r="D34" s="308"/>
      <c r="E34" s="308"/>
      <c r="F34" s="308"/>
      <c r="G34" s="308"/>
      <c r="H34" s="308"/>
      <c r="I34" s="308"/>
      <c r="J34" s="308"/>
      <c r="K34" s="308"/>
      <c r="L34" s="1643"/>
      <c r="M34" s="1519"/>
      <c r="N34" s="1520"/>
      <c r="O34" s="1520"/>
      <c r="P34" s="1520"/>
      <c r="Q34" s="1520"/>
      <c r="R34" s="1520"/>
      <c r="S34" s="1520"/>
      <c r="T34" s="1520"/>
      <c r="U34" s="1521"/>
    </row>
    <row r="35" spans="1:32" ht="15.95" customHeight="1">
      <c r="A35" s="1643"/>
      <c r="B35" s="308"/>
      <c r="C35" s="308"/>
      <c r="D35" s="308"/>
      <c r="E35" s="308"/>
      <c r="F35" s="308"/>
      <c r="G35" s="308"/>
      <c r="H35" s="308"/>
      <c r="I35" s="308"/>
      <c r="J35" s="308"/>
      <c r="K35" s="308"/>
      <c r="L35" s="1643"/>
      <c r="M35" s="1519"/>
      <c r="N35" s="1520"/>
      <c r="O35" s="1520"/>
      <c r="P35" s="1520"/>
      <c r="Q35" s="1520"/>
      <c r="R35" s="1520"/>
      <c r="S35" s="1520"/>
      <c r="T35" s="1520"/>
      <c r="U35" s="1521"/>
    </row>
    <row r="36" spans="1:32" ht="20.100000000000001" customHeight="1">
      <c r="A36" s="1643"/>
      <c r="B36" s="1644" t="s">
        <v>221</v>
      </c>
      <c r="C36" s="1644"/>
      <c r="D36" s="1644"/>
      <c r="E36" s="1644"/>
      <c r="F36" s="1644"/>
      <c r="G36" s="1644"/>
      <c r="H36" s="1644"/>
      <c r="I36" s="1644"/>
      <c r="J36" s="1644"/>
      <c r="K36" s="1644"/>
      <c r="L36" s="1643"/>
      <c r="M36" s="396" t="str">
        <f>N40</f>
        <v>GA</v>
      </c>
      <c r="N36" s="1645" t="s">
        <v>223</v>
      </c>
      <c r="O36" s="1645"/>
      <c r="P36" s="1645"/>
      <c r="Q36" s="1645"/>
      <c r="R36" s="1645"/>
      <c r="S36" s="1645"/>
      <c r="T36" s="1645"/>
      <c r="U36" s="396"/>
    </row>
    <row r="37" spans="1:32" ht="18" customHeight="1">
      <c r="A37" s="310"/>
      <c r="B37" s="1642" t="s">
        <v>376</v>
      </c>
      <c r="C37" s="1642"/>
      <c r="D37" s="1642"/>
      <c r="E37" s="1642"/>
      <c r="F37" s="1642"/>
      <c r="G37" s="1642"/>
      <c r="H37" s="1642"/>
      <c r="I37" s="1642"/>
      <c r="J37" s="1642"/>
      <c r="K37" s="1642"/>
      <c r="L37" s="310"/>
      <c r="M37" s="1646" t="s">
        <v>463</v>
      </c>
      <c r="N37" s="1647"/>
      <c r="O37" s="1647"/>
      <c r="P37" s="1647"/>
      <c r="Q37" s="1647"/>
      <c r="R37" s="1647"/>
      <c r="S37" s="1647"/>
      <c r="T37" s="1647"/>
      <c r="U37" s="1647"/>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514" t="s">
        <v>479</v>
      </c>
      <c r="C40" s="1514"/>
      <c r="D40" s="1514"/>
      <c r="E40" s="1514"/>
      <c r="F40" s="1514"/>
      <c r="G40" s="1514"/>
      <c r="H40" s="1514"/>
      <c r="I40" s="1514"/>
      <c r="J40" s="1514"/>
      <c r="K40" s="447"/>
      <c r="L40" s="309"/>
      <c r="M40" s="493"/>
      <c r="N40" s="582" t="str">
        <f>'FIG3'!W49</f>
        <v>GA</v>
      </c>
      <c r="O40" s="582"/>
      <c r="P40" s="493"/>
      <c r="Q40" s="493"/>
      <c r="R40" s="493"/>
      <c r="S40" s="493"/>
      <c r="T40" s="493"/>
      <c r="U40" s="493"/>
      <c r="X40" s="488"/>
      <c r="Z40" s="485"/>
      <c r="AA40" s="485"/>
      <c r="AB40" s="485"/>
      <c r="AC40" s="485"/>
      <c r="AD40" s="485"/>
      <c r="AE40" s="485"/>
      <c r="AF40" s="485"/>
    </row>
    <row r="41" spans="1:32" ht="15.95" customHeight="1">
      <c r="A41" s="447"/>
      <c r="B41" s="1514"/>
      <c r="C41" s="1514"/>
      <c r="D41" s="1514"/>
      <c r="E41" s="1514"/>
      <c r="F41" s="1514"/>
      <c r="G41" s="1514"/>
      <c r="H41" s="1514"/>
      <c r="I41" s="1514"/>
      <c r="J41" s="1514"/>
      <c r="K41" s="447"/>
      <c r="L41" s="309"/>
      <c r="M41" s="493"/>
      <c r="N41" s="592" t="s">
        <v>389</v>
      </c>
      <c r="O41" s="598">
        <f>'FIG3'!E16+'FIG3'!E18</f>
        <v>690.48976249103816</v>
      </c>
      <c r="P41" s="48" t="s">
        <v>464</v>
      </c>
      <c r="Q41" s="493"/>
      <c r="R41" s="493"/>
      <c r="S41" s="493"/>
      <c r="T41" s="493"/>
      <c r="U41" s="493"/>
      <c r="X41" s="489"/>
      <c r="Z41" s="485"/>
      <c r="AA41" s="485"/>
      <c r="AB41" s="485"/>
      <c r="AC41" s="485"/>
      <c r="AD41" s="485"/>
      <c r="AE41" s="485"/>
      <c r="AF41" s="485"/>
    </row>
    <row r="42" spans="1:32" ht="15.95" customHeight="1">
      <c r="A42" s="447"/>
      <c r="B42" s="1514"/>
      <c r="C42" s="1514"/>
      <c r="D42" s="1514"/>
      <c r="E42" s="1514"/>
      <c r="F42" s="1514"/>
      <c r="G42" s="1514"/>
      <c r="H42" s="1514"/>
      <c r="I42" s="1514"/>
      <c r="J42" s="1514"/>
      <c r="K42" s="447"/>
      <c r="L42" s="309"/>
      <c r="M42" s="493"/>
      <c r="N42" s="592" t="s">
        <v>363</v>
      </c>
      <c r="O42" s="598">
        <f>'FIG3'!E17</f>
        <v>0</v>
      </c>
      <c r="P42" s="48" t="s">
        <v>465</v>
      </c>
      <c r="Q42" s="493"/>
      <c r="R42" s="493"/>
      <c r="S42" s="493"/>
      <c r="T42" s="493"/>
      <c r="U42" s="493"/>
      <c r="X42" s="490"/>
      <c r="Z42" s="485"/>
      <c r="AA42" s="485"/>
      <c r="AB42" s="485"/>
      <c r="AC42" s="485"/>
      <c r="AD42" s="485"/>
      <c r="AE42" s="485"/>
      <c r="AF42" s="485"/>
    </row>
    <row r="43" spans="1:32" ht="15.95" customHeight="1">
      <c r="A43" s="447"/>
      <c r="B43" s="1514"/>
      <c r="C43" s="1514"/>
      <c r="D43" s="1514"/>
      <c r="E43" s="1514"/>
      <c r="F43" s="1514"/>
      <c r="G43" s="1514"/>
      <c r="H43" s="1514"/>
      <c r="I43" s="1514"/>
      <c r="J43" s="1514"/>
      <c r="K43" s="447"/>
      <c r="L43" s="309"/>
      <c r="M43" s="493"/>
      <c r="N43" s="592" t="s">
        <v>143</v>
      </c>
      <c r="O43" s="598">
        <f>'FIG3'!E15</f>
        <v>4821.3375289513124</v>
      </c>
      <c r="P43" s="493"/>
      <c r="Q43" s="493"/>
      <c r="R43" s="493"/>
      <c r="S43" s="493"/>
      <c r="T43" s="493"/>
      <c r="U43" s="493"/>
      <c r="X43" s="490"/>
      <c r="Z43" s="485"/>
      <c r="AA43" s="485"/>
      <c r="AB43" s="485"/>
      <c r="AC43" s="485"/>
      <c r="AD43" s="485"/>
      <c r="AE43" s="485"/>
      <c r="AF43" s="485"/>
    </row>
    <row r="44" spans="1:32" ht="15.95" customHeight="1">
      <c r="A44" s="447"/>
      <c r="B44" s="1514"/>
      <c r="C44" s="1514"/>
      <c r="D44" s="1514"/>
      <c r="E44" s="1514"/>
      <c r="F44" s="1514"/>
      <c r="G44" s="1514"/>
      <c r="H44" s="1514"/>
      <c r="I44" s="1514"/>
      <c r="J44" s="1514"/>
      <c r="K44" s="447"/>
      <c r="L44" s="309"/>
      <c r="M44" s="493"/>
      <c r="N44" s="592" t="s">
        <v>144</v>
      </c>
      <c r="O44" s="598">
        <f>'FIG3'!E14</f>
        <v>4723.9235800625665</v>
      </c>
      <c r="P44" s="493"/>
      <c r="Q44" s="493"/>
      <c r="R44" s="493"/>
      <c r="S44" s="493"/>
      <c r="T44" s="493"/>
      <c r="U44" s="493"/>
      <c r="X44" s="490"/>
      <c r="Z44" s="485"/>
      <c r="AA44" s="485"/>
      <c r="AB44" s="485"/>
      <c r="AC44" s="485"/>
      <c r="AD44" s="485"/>
      <c r="AE44" s="485"/>
      <c r="AF44" s="485"/>
    </row>
    <row r="45" spans="1:32" ht="15.95" customHeight="1">
      <c r="A45" s="447"/>
      <c r="B45" s="1514"/>
      <c r="C45" s="1514"/>
      <c r="D45" s="1514"/>
      <c r="E45" s="1514"/>
      <c r="F45" s="1514"/>
      <c r="G45" s="1514"/>
      <c r="H45" s="1514"/>
      <c r="I45" s="1514"/>
      <c r="J45" s="1514"/>
      <c r="K45" s="447"/>
      <c r="L45" s="309"/>
      <c r="M45" s="493"/>
      <c r="N45" s="592" t="s">
        <v>145</v>
      </c>
      <c r="O45" s="598">
        <f>'FIG3'!E13</f>
        <v>1505.4729033435444</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146</v>
      </c>
      <c r="O46" s="584">
        <f>SUM(O41:O45)</f>
        <v>11741.223774848462</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98" t="s">
        <v>381</v>
      </c>
      <c r="C48" s="1498"/>
      <c r="D48" s="1498"/>
      <c r="E48" s="1498"/>
      <c r="F48" s="1498"/>
      <c r="G48" s="1498"/>
      <c r="H48" s="1498"/>
      <c r="I48" s="1498"/>
      <c r="J48" s="1498"/>
      <c r="K48" s="447"/>
      <c r="L48" s="309"/>
      <c r="M48" s="493"/>
      <c r="N48" s="1497" t="s">
        <v>474</v>
      </c>
      <c r="O48" s="1497"/>
      <c r="P48" s="1497"/>
      <c r="Q48" s="1497"/>
      <c r="R48" s="1497"/>
      <c r="S48" s="1497"/>
      <c r="T48" s="1497"/>
      <c r="U48" s="1497"/>
    </row>
    <row r="49" spans="1:23" ht="15.95" customHeight="1">
      <c r="A49" s="447"/>
      <c r="B49" s="1498"/>
      <c r="C49" s="1498"/>
      <c r="D49" s="1498"/>
      <c r="E49" s="1498"/>
      <c r="F49" s="1498"/>
      <c r="G49" s="1498"/>
      <c r="H49" s="1498"/>
      <c r="I49" s="1498"/>
      <c r="J49" s="1498"/>
      <c r="K49" s="447"/>
      <c r="L49" s="309"/>
      <c r="M49" s="493"/>
      <c r="N49" s="493"/>
      <c r="O49" s="493"/>
      <c r="P49" s="493"/>
      <c r="Q49" s="493"/>
      <c r="R49" s="493"/>
      <c r="S49" s="493"/>
      <c r="T49" s="493"/>
      <c r="U49" s="493"/>
    </row>
    <row r="50" spans="1:23" ht="15.95" customHeight="1">
      <c r="A50" s="447"/>
      <c r="B50" s="1498"/>
      <c r="C50" s="1498"/>
      <c r="D50" s="1498"/>
      <c r="E50" s="1498"/>
      <c r="F50" s="1498"/>
      <c r="G50" s="1498"/>
      <c r="H50" s="1498"/>
      <c r="I50" s="1498"/>
      <c r="J50" s="1498"/>
      <c r="K50" s="447"/>
      <c r="L50" s="309"/>
      <c r="M50" s="493"/>
      <c r="N50" s="1648" t="s">
        <v>475</v>
      </c>
      <c r="O50" s="1648"/>
      <c r="P50" s="1648"/>
      <c r="Q50" s="1648"/>
      <c r="R50" s="1648"/>
      <c r="S50" s="1648"/>
      <c r="T50" s="1648"/>
      <c r="U50" s="493"/>
    </row>
    <row r="51" spans="1:23" ht="15.95" customHeight="1">
      <c r="A51" s="447"/>
      <c r="B51" s="1498"/>
      <c r="C51" s="1498"/>
      <c r="D51" s="1498"/>
      <c r="E51" s="1498"/>
      <c r="F51" s="1498"/>
      <c r="G51" s="1498"/>
      <c r="H51" s="1498"/>
      <c r="I51" s="1498"/>
      <c r="J51" s="1498"/>
      <c r="K51" s="447"/>
      <c r="L51" s="309"/>
      <c r="M51" s="493"/>
      <c r="N51" s="1648"/>
      <c r="O51" s="1648"/>
      <c r="P51" s="1648"/>
      <c r="Q51" s="1648"/>
      <c r="R51" s="1648"/>
      <c r="S51" s="1648"/>
      <c r="T51" s="1648"/>
      <c r="U51" s="493"/>
    </row>
    <row r="52" spans="1:23" ht="15.95" customHeight="1">
      <c r="A52" s="447"/>
      <c r="B52" s="1498"/>
      <c r="C52" s="1498"/>
      <c r="D52" s="1498"/>
      <c r="E52" s="1498"/>
      <c r="F52" s="1498"/>
      <c r="G52" s="1498"/>
      <c r="H52" s="1498"/>
      <c r="I52" s="1498"/>
      <c r="J52" s="1498"/>
      <c r="K52" s="447"/>
      <c r="L52" s="309"/>
      <c r="M52" s="493"/>
      <c r="N52" s="1648"/>
      <c r="O52" s="1648"/>
      <c r="P52" s="1648"/>
      <c r="Q52" s="1648"/>
      <c r="R52" s="1648"/>
      <c r="S52" s="1648"/>
      <c r="T52" s="1648"/>
      <c r="U52" s="493"/>
    </row>
    <row r="53" spans="1:23" ht="15.95" customHeight="1">
      <c r="A53" s="447"/>
      <c r="B53" s="1498"/>
      <c r="C53" s="1498"/>
      <c r="D53" s="1498"/>
      <c r="E53" s="1498"/>
      <c r="F53" s="1498"/>
      <c r="G53" s="1498"/>
      <c r="H53" s="1498"/>
      <c r="I53" s="1498"/>
      <c r="J53" s="1498"/>
      <c r="K53" s="447"/>
      <c r="L53" s="309"/>
      <c r="M53" s="493"/>
      <c r="N53" s="493"/>
      <c r="O53" s="493"/>
      <c r="P53" s="493"/>
      <c r="Q53" s="493"/>
      <c r="R53" s="493"/>
      <c r="S53" s="493"/>
      <c r="T53" s="493"/>
      <c r="U53" s="493"/>
    </row>
    <row r="54" spans="1:23"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3"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3"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3"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3"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3"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3" ht="12.75">
      <c r="M60" s="359"/>
      <c r="N60" s="495"/>
      <c r="O60" s="495"/>
      <c r="P60" s="495"/>
      <c r="Q60" s="495"/>
      <c r="R60" s="495"/>
      <c r="S60" s="495"/>
      <c r="T60" s="495"/>
      <c r="U60" s="495"/>
      <c r="V60" s="359"/>
      <c r="W60" s="359"/>
    </row>
    <row r="61" spans="1:23">
      <c r="M61" s="359"/>
      <c r="N61" s="359"/>
      <c r="O61" s="359"/>
      <c r="P61" s="359"/>
      <c r="Q61" s="359"/>
      <c r="R61" s="359"/>
      <c r="S61" s="359"/>
      <c r="T61" s="359"/>
      <c r="U61" s="359"/>
      <c r="V61" s="359"/>
      <c r="W61" s="359"/>
    </row>
    <row r="62" spans="1:23">
      <c r="M62" s="359"/>
      <c r="N62" s="359"/>
      <c r="O62" s="359"/>
      <c r="P62" s="359"/>
      <c r="Q62" s="359"/>
      <c r="R62" s="359"/>
      <c r="S62" s="359"/>
      <c r="T62" s="359"/>
      <c r="U62" s="359"/>
      <c r="V62" s="359"/>
      <c r="W62" s="359"/>
    </row>
    <row r="63" spans="1:23">
      <c r="M63" s="359"/>
      <c r="N63" s="359"/>
      <c r="O63" s="359"/>
      <c r="P63" s="359"/>
      <c r="Q63" s="359"/>
      <c r="R63" s="359"/>
      <c r="S63" s="359"/>
      <c r="T63" s="359"/>
      <c r="U63" s="359"/>
      <c r="V63" s="359"/>
      <c r="W63" s="359"/>
    </row>
  </sheetData>
  <mergeCells count="22">
    <mergeCell ref="B37:K37"/>
    <mergeCell ref="N48:U48"/>
    <mergeCell ref="M37:U37"/>
    <mergeCell ref="N50:T52"/>
    <mergeCell ref="B40:J45"/>
    <mergeCell ref="B48:J53"/>
    <mergeCell ref="B1:K1"/>
    <mergeCell ref="A2:A36"/>
    <mergeCell ref="B2:K2"/>
    <mergeCell ref="L2:L36"/>
    <mergeCell ref="N2:T2"/>
    <mergeCell ref="M3:U8"/>
    <mergeCell ref="M9:U15"/>
    <mergeCell ref="M16:U28"/>
    <mergeCell ref="M29:U29"/>
    <mergeCell ref="M31:U31"/>
    <mergeCell ref="M32:U32"/>
    <mergeCell ref="M33:U33"/>
    <mergeCell ref="M34:U34"/>
    <mergeCell ref="M35:U35"/>
    <mergeCell ref="B36:K36"/>
    <mergeCell ref="N36:T36"/>
  </mergeCells>
  <phoneticPr fontId="146" type="noConversion"/>
  <pageMargins left="1.25" right="1.25" top="1.25" bottom="1.2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Q1"/>
  <sheetViews>
    <sheetView workbookViewId="0"/>
  </sheetViews>
  <sheetFormatPr defaultColWidth="8.83203125" defaultRowHeight="12.75"/>
  <cols>
    <col min="1" max="1" width="8.83203125" style="168"/>
    <col min="2" max="2" width="8.83203125" style="169"/>
    <col min="3" max="6" width="8.83203125" style="167"/>
    <col min="7" max="17" width="8.83203125" style="170"/>
    <col min="18" max="16384" width="8.83203125" style="167"/>
  </cols>
  <sheetData/>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workbookViewId="0">
      <selection activeCell="F21" sqref="F21"/>
    </sheetView>
  </sheetViews>
  <sheetFormatPr defaultColWidth="8.83203125"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642" t="s">
        <v>376</v>
      </c>
      <c r="C1" s="1642"/>
      <c r="D1" s="1642"/>
      <c r="E1" s="1642"/>
      <c r="F1" s="1642"/>
      <c r="G1" s="1642"/>
      <c r="H1" s="1642"/>
      <c r="I1" s="1642"/>
      <c r="J1" s="1642"/>
      <c r="K1" s="1642"/>
      <c r="L1" s="310"/>
      <c r="M1" s="309"/>
      <c r="N1" s="309"/>
      <c r="O1" s="309"/>
      <c r="P1" s="309"/>
      <c r="Q1" s="309"/>
      <c r="R1" s="309"/>
      <c r="S1" s="309"/>
      <c r="T1" s="309"/>
      <c r="U1" s="309"/>
    </row>
    <row r="2" spans="1:21" ht="20.100000000000001" customHeight="1">
      <c r="A2" s="1643" t="s">
        <v>376</v>
      </c>
      <c r="B2" s="1644" t="s">
        <v>224</v>
      </c>
      <c r="C2" s="1644"/>
      <c r="D2" s="1644"/>
      <c r="E2" s="1644"/>
      <c r="F2" s="1644"/>
      <c r="G2" s="1644"/>
      <c r="H2" s="1644"/>
      <c r="I2" s="1644"/>
      <c r="J2" s="1644"/>
      <c r="K2" s="1644"/>
      <c r="L2" s="1643" t="s">
        <v>376</v>
      </c>
      <c r="M2" s="433" t="str">
        <f>N40</f>
        <v>GA</v>
      </c>
      <c r="N2" s="1645" t="s">
        <v>225</v>
      </c>
      <c r="O2" s="1645"/>
      <c r="P2" s="1645"/>
      <c r="Q2" s="1645"/>
      <c r="R2" s="1645"/>
      <c r="S2" s="1645"/>
      <c r="T2" s="1645"/>
      <c r="U2" s="434"/>
    </row>
    <row r="3" spans="1:21" ht="15.95" customHeight="1">
      <c r="A3" s="1643"/>
      <c r="B3" s="308"/>
      <c r="C3" s="308"/>
      <c r="D3" s="308"/>
      <c r="E3" s="308"/>
      <c r="F3" s="308"/>
      <c r="G3" s="308"/>
      <c r="H3" s="308"/>
      <c r="I3" s="308"/>
      <c r="J3" s="308"/>
      <c r="K3" s="308"/>
      <c r="L3" s="1643"/>
      <c r="M3" s="1491" t="s">
        <v>210</v>
      </c>
      <c r="N3" s="1492"/>
      <c r="O3" s="1492"/>
      <c r="P3" s="1492"/>
      <c r="Q3" s="1492"/>
      <c r="R3" s="1492"/>
      <c r="S3" s="1492"/>
      <c r="T3" s="1492"/>
      <c r="U3" s="1493"/>
    </row>
    <row r="4" spans="1:21" ht="15.95" customHeight="1">
      <c r="A4" s="1643"/>
      <c r="B4" s="308"/>
      <c r="C4" s="308"/>
      <c r="D4" s="308"/>
      <c r="E4" s="308"/>
      <c r="F4" s="308"/>
      <c r="G4" s="308"/>
      <c r="H4" s="308"/>
      <c r="I4" s="308"/>
      <c r="J4" s="308"/>
      <c r="K4" s="308"/>
      <c r="L4" s="1643"/>
      <c r="M4" s="1491"/>
      <c r="N4" s="1492"/>
      <c r="O4" s="1492"/>
      <c r="P4" s="1492"/>
      <c r="Q4" s="1492"/>
      <c r="R4" s="1492"/>
      <c r="S4" s="1492"/>
      <c r="T4" s="1492"/>
      <c r="U4" s="1493"/>
    </row>
    <row r="5" spans="1:21" ht="15.95" customHeight="1">
      <c r="A5" s="1643"/>
      <c r="B5" s="308"/>
      <c r="C5" s="308"/>
      <c r="D5" s="308"/>
      <c r="E5" s="308"/>
      <c r="F5" s="308"/>
      <c r="G5" s="308"/>
      <c r="H5" s="308"/>
      <c r="I5" s="308"/>
      <c r="J5" s="308"/>
      <c r="K5" s="308"/>
      <c r="L5" s="1643"/>
      <c r="M5" s="1491"/>
      <c r="N5" s="1492"/>
      <c r="O5" s="1492"/>
      <c r="P5" s="1492"/>
      <c r="Q5" s="1492"/>
      <c r="R5" s="1492"/>
      <c r="S5" s="1492"/>
      <c r="T5" s="1492"/>
      <c r="U5" s="1493"/>
    </row>
    <row r="6" spans="1:21" ht="15.95" customHeight="1">
      <c r="A6" s="1643"/>
      <c r="B6" s="308"/>
      <c r="C6" s="308"/>
      <c r="D6" s="308"/>
      <c r="E6" s="308"/>
      <c r="F6" s="308"/>
      <c r="G6" s="308"/>
      <c r="H6" s="308"/>
      <c r="I6" s="308"/>
      <c r="J6" s="308"/>
      <c r="K6" s="308"/>
      <c r="L6" s="1643"/>
      <c r="M6" s="1491"/>
      <c r="N6" s="1492"/>
      <c r="O6" s="1492"/>
      <c r="P6" s="1492"/>
      <c r="Q6" s="1492"/>
      <c r="R6" s="1492"/>
      <c r="S6" s="1492"/>
      <c r="T6" s="1492"/>
      <c r="U6" s="1493"/>
    </row>
    <row r="7" spans="1:21" ht="15.95" customHeight="1">
      <c r="A7" s="1643"/>
      <c r="B7" s="308"/>
      <c r="C7" s="308"/>
      <c r="D7" s="308"/>
      <c r="E7" s="308"/>
      <c r="F7" s="308"/>
      <c r="G7" s="308"/>
      <c r="H7" s="308"/>
      <c r="I7" s="308"/>
      <c r="J7" s="308"/>
      <c r="K7" s="308"/>
      <c r="L7" s="1643"/>
      <c r="M7" s="1491"/>
      <c r="N7" s="1492"/>
      <c r="O7" s="1492"/>
      <c r="P7" s="1492"/>
      <c r="Q7" s="1492"/>
      <c r="R7" s="1492"/>
      <c r="S7" s="1492"/>
      <c r="T7" s="1492"/>
      <c r="U7" s="1493"/>
    </row>
    <row r="8" spans="1:21" ht="15.95" customHeight="1">
      <c r="A8" s="1643"/>
      <c r="B8" s="308"/>
      <c r="C8" s="308"/>
      <c r="D8" s="308"/>
      <c r="E8" s="308"/>
      <c r="F8" s="308"/>
      <c r="G8" s="308"/>
      <c r="H8" s="308"/>
      <c r="I8" s="308"/>
      <c r="J8" s="308"/>
      <c r="K8" s="308"/>
      <c r="L8" s="1643"/>
      <c r="M8" s="1494"/>
      <c r="N8" s="1495"/>
      <c r="O8" s="1495"/>
      <c r="P8" s="1495"/>
      <c r="Q8" s="1495"/>
      <c r="R8" s="1495"/>
      <c r="S8" s="1495"/>
      <c r="T8" s="1495"/>
      <c r="U8" s="1496"/>
    </row>
    <row r="9" spans="1:21" ht="15.95" customHeight="1">
      <c r="A9" s="1643"/>
      <c r="B9" s="308"/>
      <c r="C9" s="308"/>
      <c r="D9" s="308"/>
      <c r="E9" s="308"/>
      <c r="F9" s="308"/>
      <c r="G9" s="308"/>
      <c r="H9" s="308"/>
      <c r="I9" s="308"/>
      <c r="J9" s="308"/>
      <c r="K9" s="308"/>
      <c r="L9" s="1643"/>
      <c r="M9" s="1488"/>
      <c r="N9" s="1489"/>
      <c r="O9" s="1489"/>
      <c r="P9" s="1489"/>
      <c r="Q9" s="1489"/>
      <c r="R9" s="1489"/>
      <c r="S9" s="1489"/>
      <c r="T9" s="1489"/>
      <c r="U9" s="1490"/>
    </row>
    <row r="10" spans="1:21" ht="15.95" customHeight="1">
      <c r="A10" s="1643"/>
      <c r="B10" s="308"/>
      <c r="C10" s="308"/>
      <c r="D10" s="308"/>
      <c r="E10" s="308"/>
      <c r="F10" s="308"/>
      <c r="G10" s="308"/>
      <c r="H10" s="308"/>
      <c r="I10" s="308"/>
      <c r="J10" s="308"/>
      <c r="K10" s="308"/>
      <c r="L10" s="1643"/>
      <c r="M10" s="1491"/>
      <c r="N10" s="1492"/>
      <c r="O10" s="1492"/>
      <c r="P10" s="1492"/>
      <c r="Q10" s="1492"/>
      <c r="R10" s="1492"/>
      <c r="S10" s="1492"/>
      <c r="T10" s="1492"/>
      <c r="U10" s="1493"/>
    </row>
    <row r="11" spans="1:21" ht="15.95" customHeight="1">
      <c r="A11" s="1643"/>
      <c r="B11" s="308"/>
      <c r="C11" s="308"/>
      <c r="D11" s="308"/>
      <c r="E11" s="308"/>
      <c r="F11" s="308"/>
      <c r="G11" s="308"/>
      <c r="H11" s="308"/>
      <c r="I11" s="308"/>
      <c r="J11" s="308"/>
      <c r="K11" s="308"/>
      <c r="L11" s="1643"/>
      <c r="M11" s="1491"/>
      <c r="N11" s="1492"/>
      <c r="O11" s="1492"/>
      <c r="P11" s="1492"/>
      <c r="Q11" s="1492"/>
      <c r="R11" s="1492"/>
      <c r="S11" s="1492"/>
      <c r="T11" s="1492"/>
      <c r="U11" s="1493"/>
    </row>
    <row r="12" spans="1:21" ht="15.95" customHeight="1">
      <c r="A12" s="1643"/>
      <c r="B12" s="308"/>
      <c r="C12" s="308"/>
      <c r="D12" s="308"/>
      <c r="E12" s="308"/>
      <c r="F12" s="308"/>
      <c r="G12" s="308"/>
      <c r="H12" s="308"/>
      <c r="I12" s="308"/>
      <c r="J12" s="308"/>
      <c r="K12" s="308"/>
      <c r="L12" s="1643"/>
      <c r="M12" s="1491"/>
      <c r="N12" s="1492"/>
      <c r="O12" s="1492"/>
      <c r="P12" s="1492"/>
      <c r="Q12" s="1492"/>
      <c r="R12" s="1492"/>
      <c r="S12" s="1492"/>
      <c r="T12" s="1492"/>
      <c r="U12" s="1493"/>
    </row>
    <row r="13" spans="1:21" ht="15.95" customHeight="1">
      <c r="A13" s="1643"/>
      <c r="B13" s="308"/>
      <c r="C13" s="308"/>
      <c r="D13" s="308"/>
      <c r="E13" s="308"/>
      <c r="F13" s="308"/>
      <c r="G13" s="308"/>
      <c r="H13" s="308"/>
      <c r="I13" s="308"/>
      <c r="J13" s="308"/>
      <c r="K13" s="308"/>
      <c r="L13" s="1643"/>
      <c r="M13" s="1491"/>
      <c r="N13" s="1492"/>
      <c r="O13" s="1492"/>
      <c r="P13" s="1492"/>
      <c r="Q13" s="1492"/>
      <c r="R13" s="1492"/>
      <c r="S13" s="1492"/>
      <c r="T13" s="1492"/>
      <c r="U13" s="1493"/>
    </row>
    <row r="14" spans="1:21" ht="15.95" customHeight="1">
      <c r="A14" s="1643"/>
      <c r="B14" s="308"/>
      <c r="C14" s="308"/>
      <c r="D14" s="308"/>
      <c r="E14" s="308"/>
      <c r="F14" s="308"/>
      <c r="G14" s="308"/>
      <c r="H14" s="308"/>
      <c r="I14" s="308"/>
      <c r="J14" s="308"/>
      <c r="K14" s="308"/>
      <c r="L14" s="1643"/>
      <c r="M14" s="1491"/>
      <c r="N14" s="1492"/>
      <c r="O14" s="1492"/>
      <c r="P14" s="1492"/>
      <c r="Q14" s="1492"/>
      <c r="R14" s="1492"/>
      <c r="S14" s="1492"/>
      <c r="T14" s="1492"/>
      <c r="U14" s="1493"/>
    </row>
    <row r="15" spans="1:21" ht="15.95" customHeight="1">
      <c r="A15" s="1643"/>
      <c r="B15" s="308"/>
      <c r="C15" s="308"/>
      <c r="D15" s="308"/>
      <c r="E15" s="308"/>
      <c r="F15" s="308"/>
      <c r="G15" s="308"/>
      <c r="H15" s="308"/>
      <c r="I15" s="308"/>
      <c r="J15" s="308"/>
      <c r="K15" s="308"/>
      <c r="L15" s="1643"/>
      <c r="M15" s="1494"/>
      <c r="N15" s="1495"/>
      <c r="O15" s="1495"/>
      <c r="P15" s="1495"/>
      <c r="Q15" s="1495"/>
      <c r="R15" s="1495"/>
      <c r="S15" s="1495"/>
      <c r="T15" s="1495"/>
      <c r="U15" s="1496"/>
    </row>
    <row r="16" spans="1:21" ht="15.95" customHeight="1">
      <c r="A16" s="1643"/>
      <c r="B16" s="308"/>
      <c r="C16" s="308"/>
      <c r="D16" s="308"/>
      <c r="E16" s="308"/>
      <c r="F16" s="308"/>
      <c r="G16" s="308"/>
      <c r="H16" s="308"/>
      <c r="I16" s="308"/>
      <c r="J16" s="308"/>
      <c r="K16" s="308"/>
      <c r="L16" s="1643"/>
      <c r="M16" s="1488"/>
      <c r="N16" s="1489"/>
      <c r="O16" s="1489"/>
      <c r="P16" s="1489"/>
      <c r="Q16" s="1489"/>
      <c r="R16" s="1489"/>
      <c r="S16" s="1489"/>
      <c r="T16" s="1489"/>
      <c r="U16" s="1490"/>
    </row>
    <row r="17" spans="1:21" ht="15.95" customHeight="1">
      <c r="A17" s="1643"/>
      <c r="B17" s="308"/>
      <c r="C17" s="308"/>
      <c r="D17" s="308"/>
      <c r="E17" s="308"/>
      <c r="F17" s="308"/>
      <c r="G17" s="308"/>
      <c r="H17" s="308"/>
      <c r="I17" s="308"/>
      <c r="J17" s="308"/>
      <c r="K17" s="308"/>
      <c r="L17" s="1643"/>
      <c r="M17" s="1491"/>
      <c r="N17" s="1492"/>
      <c r="O17" s="1492"/>
      <c r="P17" s="1492"/>
      <c r="Q17" s="1492"/>
      <c r="R17" s="1492"/>
      <c r="S17" s="1492"/>
      <c r="T17" s="1492"/>
      <c r="U17" s="1493"/>
    </row>
    <row r="18" spans="1:21" ht="15.95" customHeight="1">
      <c r="A18" s="1643"/>
      <c r="B18" s="308"/>
      <c r="C18" s="308"/>
      <c r="D18" s="308"/>
      <c r="E18" s="308"/>
      <c r="F18" s="308"/>
      <c r="G18" s="308"/>
      <c r="H18" s="308"/>
      <c r="I18" s="308"/>
      <c r="J18" s="308"/>
      <c r="K18" s="308"/>
      <c r="L18" s="1643"/>
      <c r="M18" s="1491"/>
      <c r="N18" s="1492"/>
      <c r="O18" s="1492"/>
      <c r="P18" s="1492"/>
      <c r="Q18" s="1492"/>
      <c r="R18" s="1492"/>
      <c r="S18" s="1492"/>
      <c r="T18" s="1492"/>
      <c r="U18" s="1493"/>
    </row>
    <row r="19" spans="1:21" ht="15.95" customHeight="1">
      <c r="A19" s="1643"/>
      <c r="B19" s="308"/>
      <c r="C19" s="308"/>
      <c r="D19" s="308"/>
      <c r="E19" s="308"/>
      <c r="F19" s="308"/>
      <c r="G19" s="308"/>
      <c r="H19" s="308"/>
      <c r="I19" s="308"/>
      <c r="J19" s="308"/>
      <c r="K19" s="308"/>
      <c r="L19" s="1643"/>
      <c r="M19" s="1491"/>
      <c r="N19" s="1492"/>
      <c r="O19" s="1492"/>
      <c r="P19" s="1492"/>
      <c r="Q19" s="1492"/>
      <c r="R19" s="1492"/>
      <c r="S19" s="1492"/>
      <c r="T19" s="1492"/>
      <c r="U19" s="1493"/>
    </row>
    <row r="20" spans="1:21" ht="15.95" customHeight="1">
      <c r="A20" s="1643"/>
      <c r="B20" s="308"/>
      <c r="C20" s="308"/>
      <c r="D20" s="308"/>
      <c r="E20" s="308"/>
      <c r="F20" s="308"/>
      <c r="G20" s="308"/>
      <c r="H20" s="308"/>
      <c r="I20" s="308"/>
      <c r="J20" s="308"/>
      <c r="K20" s="308"/>
      <c r="L20" s="1643"/>
      <c r="M20" s="1491"/>
      <c r="N20" s="1492"/>
      <c r="O20" s="1492"/>
      <c r="P20" s="1492"/>
      <c r="Q20" s="1492"/>
      <c r="R20" s="1492"/>
      <c r="S20" s="1492"/>
      <c r="T20" s="1492"/>
      <c r="U20" s="1493"/>
    </row>
    <row r="21" spans="1:21" ht="15.95" customHeight="1">
      <c r="A21" s="1643"/>
      <c r="B21" s="308"/>
      <c r="C21" s="308"/>
      <c r="D21" s="308"/>
      <c r="E21" s="308"/>
      <c r="F21" s="308"/>
      <c r="G21" s="308"/>
      <c r="H21" s="308"/>
      <c r="I21" s="308"/>
      <c r="J21" s="308"/>
      <c r="K21" s="308"/>
      <c r="L21" s="1643"/>
      <c r="M21" s="1491"/>
      <c r="N21" s="1492"/>
      <c r="O21" s="1492"/>
      <c r="P21" s="1492"/>
      <c r="Q21" s="1492"/>
      <c r="R21" s="1492"/>
      <c r="S21" s="1492"/>
      <c r="T21" s="1492"/>
      <c r="U21" s="1493"/>
    </row>
    <row r="22" spans="1:21" ht="15.95" customHeight="1">
      <c r="A22" s="1643"/>
      <c r="B22" s="308"/>
      <c r="C22" s="308"/>
      <c r="D22" s="308"/>
      <c r="E22" s="308"/>
      <c r="F22" s="308"/>
      <c r="G22" s="308"/>
      <c r="H22" s="308"/>
      <c r="I22" s="308"/>
      <c r="J22" s="308"/>
      <c r="K22" s="308"/>
      <c r="L22" s="1643"/>
      <c r="M22" s="1491"/>
      <c r="N22" s="1492"/>
      <c r="O22" s="1492"/>
      <c r="P22" s="1492"/>
      <c r="Q22" s="1492"/>
      <c r="R22" s="1492"/>
      <c r="S22" s="1492"/>
      <c r="T22" s="1492"/>
      <c r="U22" s="1493"/>
    </row>
    <row r="23" spans="1:21" ht="15.95" customHeight="1">
      <c r="A23" s="1643"/>
      <c r="B23" s="308"/>
      <c r="C23" s="308"/>
      <c r="D23" s="308"/>
      <c r="E23" s="308"/>
      <c r="F23" s="308"/>
      <c r="G23" s="308"/>
      <c r="H23" s="308"/>
      <c r="I23" s="308"/>
      <c r="J23" s="308"/>
      <c r="K23" s="308"/>
      <c r="L23" s="1643"/>
      <c r="M23" s="1491"/>
      <c r="N23" s="1492"/>
      <c r="O23" s="1492"/>
      <c r="P23" s="1492"/>
      <c r="Q23" s="1492"/>
      <c r="R23" s="1492"/>
      <c r="S23" s="1492"/>
      <c r="T23" s="1492"/>
      <c r="U23" s="1493"/>
    </row>
    <row r="24" spans="1:21" ht="15.95" customHeight="1">
      <c r="A24" s="1643"/>
      <c r="B24" s="308"/>
      <c r="C24" s="308"/>
      <c r="D24" s="308"/>
      <c r="E24" s="308"/>
      <c r="F24" s="308"/>
      <c r="G24" s="308"/>
      <c r="H24" s="308"/>
      <c r="I24" s="308"/>
      <c r="J24" s="308"/>
      <c r="K24" s="308"/>
      <c r="L24" s="1643"/>
      <c r="M24" s="1491"/>
      <c r="N24" s="1492"/>
      <c r="O24" s="1492"/>
      <c r="P24" s="1492"/>
      <c r="Q24" s="1492"/>
      <c r="R24" s="1492"/>
      <c r="S24" s="1492"/>
      <c r="T24" s="1492"/>
      <c r="U24" s="1493"/>
    </row>
    <row r="25" spans="1:21" ht="15.95" customHeight="1">
      <c r="A25" s="1643"/>
      <c r="B25" s="308"/>
      <c r="C25" s="308"/>
      <c r="D25" s="308"/>
      <c r="E25" s="308"/>
      <c r="F25" s="308"/>
      <c r="G25" s="308"/>
      <c r="H25" s="308"/>
      <c r="I25" s="308"/>
      <c r="J25" s="308"/>
      <c r="K25" s="308"/>
      <c r="L25" s="1643"/>
      <c r="M25" s="1491"/>
      <c r="N25" s="1492"/>
      <c r="O25" s="1492"/>
      <c r="P25" s="1492"/>
      <c r="Q25" s="1492"/>
      <c r="R25" s="1492"/>
      <c r="S25" s="1492"/>
      <c r="T25" s="1492"/>
      <c r="U25" s="1493"/>
    </row>
    <row r="26" spans="1:21" ht="15.95" customHeight="1">
      <c r="A26" s="1643"/>
      <c r="B26" s="308"/>
      <c r="C26" s="308"/>
      <c r="D26" s="308"/>
      <c r="E26" s="308"/>
      <c r="F26" s="308"/>
      <c r="G26" s="308"/>
      <c r="H26" s="308"/>
      <c r="I26" s="308"/>
      <c r="J26" s="308"/>
      <c r="K26" s="308"/>
      <c r="L26" s="1643"/>
      <c r="M26" s="1491"/>
      <c r="N26" s="1492"/>
      <c r="O26" s="1492"/>
      <c r="P26" s="1492"/>
      <c r="Q26" s="1492"/>
      <c r="R26" s="1492"/>
      <c r="S26" s="1492"/>
      <c r="T26" s="1492"/>
      <c r="U26" s="1493"/>
    </row>
    <row r="27" spans="1:21" ht="15.95" customHeight="1">
      <c r="A27" s="1643"/>
      <c r="B27" s="308"/>
      <c r="C27" s="308"/>
      <c r="D27" s="308"/>
      <c r="E27" s="308"/>
      <c r="F27" s="308"/>
      <c r="G27" s="308"/>
      <c r="H27" s="308"/>
      <c r="I27" s="308"/>
      <c r="J27" s="308"/>
      <c r="K27" s="308"/>
      <c r="L27" s="1643"/>
      <c r="M27" s="1491"/>
      <c r="N27" s="1492"/>
      <c r="O27" s="1492"/>
      <c r="P27" s="1492"/>
      <c r="Q27" s="1492"/>
      <c r="R27" s="1492"/>
      <c r="S27" s="1492"/>
      <c r="T27" s="1492"/>
      <c r="U27" s="1493"/>
    </row>
    <row r="28" spans="1:21" ht="15.95" customHeight="1">
      <c r="A28" s="1643"/>
      <c r="B28" s="308"/>
      <c r="C28" s="308"/>
      <c r="D28" s="308"/>
      <c r="E28" s="308"/>
      <c r="F28" s="308"/>
      <c r="G28" s="308"/>
      <c r="H28" s="308"/>
      <c r="I28" s="308"/>
      <c r="J28" s="308"/>
      <c r="K28" s="308"/>
      <c r="L28" s="1643"/>
      <c r="M28" s="1494"/>
      <c r="N28" s="1495"/>
      <c r="O28" s="1495"/>
      <c r="P28" s="1495"/>
      <c r="Q28" s="1495"/>
      <c r="R28" s="1495"/>
      <c r="S28" s="1495"/>
      <c r="T28" s="1495"/>
      <c r="U28" s="1496"/>
    </row>
    <row r="29" spans="1:21" ht="15.95" customHeight="1">
      <c r="A29" s="1643"/>
      <c r="B29" s="308"/>
      <c r="C29" s="308"/>
      <c r="D29" s="308"/>
      <c r="E29" s="308"/>
      <c r="F29" s="308"/>
      <c r="G29" s="308"/>
      <c r="H29" s="308"/>
      <c r="I29" s="308"/>
      <c r="J29" s="308"/>
      <c r="K29" s="308"/>
      <c r="L29" s="1643"/>
      <c r="M29" s="1537"/>
      <c r="N29" s="1538"/>
      <c r="O29" s="1538"/>
      <c r="P29" s="1538"/>
      <c r="Q29" s="1538"/>
      <c r="R29" s="1538"/>
      <c r="S29" s="1538"/>
      <c r="T29" s="1538"/>
      <c r="U29" s="1539"/>
    </row>
    <row r="30" spans="1:21" ht="15.95" customHeight="1">
      <c r="A30" s="1643"/>
      <c r="B30" s="308"/>
      <c r="C30" s="308"/>
      <c r="D30" s="308"/>
      <c r="E30" s="308"/>
      <c r="F30" s="308"/>
      <c r="G30" s="308"/>
      <c r="H30" s="308"/>
      <c r="I30" s="308"/>
      <c r="J30" s="308"/>
      <c r="K30" s="308"/>
      <c r="L30" s="1643"/>
      <c r="M30" s="616"/>
      <c r="N30" s="617"/>
      <c r="O30" s="617"/>
      <c r="P30" s="617"/>
      <c r="Q30" s="617"/>
      <c r="R30" s="617"/>
      <c r="S30" s="617"/>
      <c r="T30" s="617"/>
      <c r="U30" s="618"/>
    </row>
    <row r="31" spans="1:21" ht="15.95" customHeight="1">
      <c r="A31" s="1643"/>
      <c r="B31" s="308"/>
      <c r="C31" s="308"/>
      <c r="D31" s="308"/>
      <c r="E31" s="308"/>
      <c r="F31" s="308"/>
      <c r="G31" s="308"/>
      <c r="H31" s="308"/>
      <c r="I31" s="308"/>
      <c r="J31" s="308"/>
      <c r="K31" s="308"/>
      <c r="L31" s="1643"/>
      <c r="M31" s="1537"/>
      <c r="N31" s="1538"/>
      <c r="O31" s="1538"/>
      <c r="P31" s="1538"/>
      <c r="Q31" s="1538"/>
      <c r="R31" s="1538"/>
      <c r="S31" s="1538"/>
      <c r="T31" s="1538"/>
      <c r="U31" s="1539"/>
    </row>
    <row r="32" spans="1:21" ht="15.95" customHeight="1">
      <c r="A32" s="1643"/>
      <c r="B32" s="308"/>
      <c r="C32" s="308"/>
      <c r="D32" s="308"/>
      <c r="E32" s="308"/>
      <c r="F32" s="308"/>
      <c r="G32" s="308"/>
      <c r="H32" s="308"/>
      <c r="I32" s="308"/>
      <c r="J32" s="308"/>
      <c r="K32" s="308"/>
      <c r="L32" s="1643"/>
      <c r="M32" s="1537"/>
      <c r="N32" s="1538"/>
      <c r="O32" s="1538"/>
      <c r="P32" s="1538"/>
      <c r="Q32" s="1538"/>
      <c r="R32" s="1538"/>
      <c r="S32" s="1538"/>
      <c r="T32" s="1538"/>
      <c r="U32" s="1539"/>
    </row>
    <row r="33" spans="1:32" ht="15.95" customHeight="1">
      <c r="A33" s="1643"/>
      <c r="B33" s="308"/>
      <c r="C33" s="308"/>
      <c r="D33" s="308"/>
      <c r="E33" s="308"/>
      <c r="F33" s="308"/>
      <c r="G33" s="308"/>
      <c r="H33" s="308"/>
      <c r="I33" s="308"/>
      <c r="J33" s="308"/>
      <c r="K33" s="308"/>
      <c r="L33" s="1643"/>
      <c r="M33" s="1537"/>
      <c r="N33" s="1538"/>
      <c r="O33" s="1538"/>
      <c r="P33" s="1538"/>
      <c r="Q33" s="1538"/>
      <c r="R33" s="1538"/>
      <c r="S33" s="1538"/>
      <c r="T33" s="1538"/>
      <c r="U33" s="1539"/>
    </row>
    <row r="34" spans="1:32" ht="15.95" customHeight="1">
      <c r="A34" s="1643"/>
      <c r="B34" s="308"/>
      <c r="C34" s="308"/>
      <c r="D34" s="308"/>
      <c r="E34" s="308"/>
      <c r="F34" s="308"/>
      <c r="G34" s="308"/>
      <c r="H34" s="308"/>
      <c r="I34" s="308"/>
      <c r="J34" s="308"/>
      <c r="K34" s="308"/>
      <c r="L34" s="1643"/>
      <c r="M34" s="1519"/>
      <c r="N34" s="1520"/>
      <c r="O34" s="1520"/>
      <c r="P34" s="1520"/>
      <c r="Q34" s="1520"/>
      <c r="R34" s="1520"/>
      <c r="S34" s="1520"/>
      <c r="T34" s="1520"/>
      <c r="U34" s="1521"/>
    </row>
    <row r="35" spans="1:32" ht="15.95" customHeight="1">
      <c r="A35" s="1643"/>
      <c r="B35" s="308"/>
      <c r="C35" s="308"/>
      <c r="D35" s="308"/>
      <c r="E35" s="308"/>
      <c r="F35" s="308"/>
      <c r="G35" s="308"/>
      <c r="H35" s="308"/>
      <c r="I35" s="308"/>
      <c r="J35" s="308"/>
      <c r="K35" s="308"/>
      <c r="L35" s="1643"/>
      <c r="M35" s="1519"/>
      <c r="N35" s="1520"/>
      <c r="O35" s="1520"/>
      <c r="P35" s="1520"/>
      <c r="Q35" s="1520"/>
      <c r="R35" s="1520"/>
      <c r="S35" s="1520"/>
      <c r="T35" s="1520"/>
      <c r="U35" s="1521"/>
    </row>
    <row r="36" spans="1:32" ht="20.100000000000001" customHeight="1">
      <c r="A36" s="1643"/>
      <c r="B36" s="1644" t="s">
        <v>224</v>
      </c>
      <c r="C36" s="1644"/>
      <c r="D36" s="1644"/>
      <c r="E36" s="1644"/>
      <c r="F36" s="1644"/>
      <c r="G36" s="1644"/>
      <c r="H36" s="1644"/>
      <c r="I36" s="1644"/>
      <c r="J36" s="1644"/>
      <c r="K36" s="1644"/>
      <c r="L36" s="1643"/>
      <c r="M36" s="396" t="str">
        <f>N40</f>
        <v>GA</v>
      </c>
      <c r="N36" s="1645" t="s">
        <v>226</v>
      </c>
      <c r="O36" s="1645"/>
      <c r="P36" s="1645"/>
      <c r="Q36" s="1645"/>
      <c r="R36" s="1645"/>
      <c r="S36" s="1645"/>
      <c r="T36" s="1645"/>
      <c r="U36" s="396"/>
    </row>
    <row r="37" spans="1:32" ht="18" customHeight="1">
      <c r="A37" s="310"/>
      <c r="B37" s="1642" t="s">
        <v>376</v>
      </c>
      <c r="C37" s="1642"/>
      <c r="D37" s="1642"/>
      <c r="E37" s="1642"/>
      <c r="F37" s="1642"/>
      <c r="G37" s="1642"/>
      <c r="H37" s="1642"/>
      <c r="I37" s="1642"/>
      <c r="J37" s="1642"/>
      <c r="K37" s="1642"/>
      <c r="L37" s="310"/>
      <c r="M37" s="1646" t="s">
        <v>463</v>
      </c>
      <c r="N37" s="1647"/>
      <c r="O37" s="1647"/>
      <c r="P37" s="1647"/>
      <c r="Q37" s="1647"/>
      <c r="R37" s="1647"/>
      <c r="S37" s="1647"/>
      <c r="T37" s="1647"/>
      <c r="U37" s="1647"/>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514" t="s">
        <v>479</v>
      </c>
      <c r="C40" s="1514"/>
      <c r="D40" s="1514"/>
      <c r="E40" s="1514"/>
      <c r="F40" s="1514"/>
      <c r="G40" s="1514"/>
      <c r="H40" s="1514"/>
      <c r="I40" s="1514"/>
      <c r="J40" s="1514"/>
      <c r="K40" s="447"/>
      <c r="L40" s="309"/>
      <c r="M40" s="493"/>
      <c r="N40" s="582" t="str">
        <f>'FIG3'!W49</f>
        <v>GA</v>
      </c>
      <c r="O40" s="582"/>
      <c r="P40" s="493"/>
      <c r="Q40" s="493"/>
      <c r="R40" s="493"/>
      <c r="S40" s="493"/>
      <c r="T40" s="493"/>
      <c r="U40" s="493"/>
      <c r="X40" s="488"/>
      <c r="Z40" s="485"/>
      <c r="AA40" s="485"/>
      <c r="AB40" s="485"/>
      <c r="AC40" s="485"/>
      <c r="AD40" s="485"/>
      <c r="AE40" s="485"/>
      <c r="AF40" s="485"/>
    </row>
    <row r="41" spans="1:32" ht="15.95" customHeight="1">
      <c r="A41" s="447"/>
      <c r="B41" s="1514"/>
      <c r="C41" s="1514"/>
      <c r="D41" s="1514"/>
      <c r="E41" s="1514"/>
      <c r="F41" s="1514"/>
      <c r="G41" s="1514"/>
      <c r="H41" s="1514"/>
      <c r="I41" s="1514"/>
      <c r="J41" s="1514"/>
      <c r="K41" s="447"/>
      <c r="L41" s="309"/>
      <c r="M41" s="493"/>
      <c r="N41" s="592" t="s">
        <v>389</v>
      </c>
      <c r="O41" s="598">
        <f>'FIG3'!F16+'FIG3'!F18</f>
        <v>758.95293347873496</v>
      </c>
      <c r="P41" s="48" t="s">
        <v>464</v>
      </c>
      <c r="Q41" s="493"/>
      <c r="R41" s="493"/>
      <c r="S41" s="493"/>
      <c r="T41" s="493"/>
      <c r="U41" s="493"/>
      <c r="X41" s="489"/>
      <c r="Z41" s="485"/>
      <c r="AA41" s="485"/>
      <c r="AB41" s="485"/>
      <c r="AC41" s="485"/>
      <c r="AD41" s="485"/>
      <c r="AE41" s="485"/>
      <c r="AF41" s="485"/>
    </row>
    <row r="42" spans="1:32" ht="15.95" customHeight="1">
      <c r="A42" s="447"/>
      <c r="B42" s="1514"/>
      <c r="C42" s="1514"/>
      <c r="D42" s="1514"/>
      <c r="E42" s="1514"/>
      <c r="F42" s="1514"/>
      <c r="G42" s="1514"/>
      <c r="H42" s="1514"/>
      <c r="I42" s="1514"/>
      <c r="J42" s="1514"/>
      <c r="K42" s="447"/>
      <c r="L42" s="309"/>
      <c r="M42" s="493"/>
      <c r="N42" s="592" t="s">
        <v>363</v>
      </c>
      <c r="O42" s="598">
        <f>'FIG3'!F17</f>
        <v>107.83856052344602</v>
      </c>
      <c r="P42" s="48" t="s">
        <v>465</v>
      </c>
      <c r="Q42" s="493"/>
      <c r="R42" s="493"/>
      <c r="S42" s="493"/>
      <c r="T42" s="493"/>
      <c r="U42" s="493"/>
      <c r="X42" s="490"/>
      <c r="Z42" s="485"/>
      <c r="AA42" s="485"/>
      <c r="AB42" s="485"/>
      <c r="AC42" s="485"/>
      <c r="AD42" s="485"/>
      <c r="AE42" s="485"/>
      <c r="AF42" s="485"/>
    </row>
    <row r="43" spans="1:32" ht="15.95" customHeight="1">
      <c r="A43" s="447"/>
      <c r="B43" s="1514"/>
      <c r="C43" s="1514"/>
      <c r="D43" s="1514"/>
      <c r="E43" s="1514"/>
      <c r="F43" s="1514"/>
      <c r="G43" s="1514"/>
      <c r="H43" s="1514"/>
      <c r="I43" s="1514"/>
      <c r="J43" s="1514"/>
      <c r="K43" s="447"/>
      <c r="L43" s="309"/>
      <c r="M43" s="493"/>
      <c r="N43" s="592" t="s">
        <v>143</v>
      </c>
      <c r="O43" s="598">
        <f>'FIG3'!F15</f>
        <v>2095.4798211559437</v>
      </c>
      <c r="P43" s="493"/>
      <c r="Q43" s="493"/>
      <c r="R43" s="493"/>
      <c r="S43" s="493"/>
      <c r="T43" s="493"/>
      <c r="U43" s="493"/>
      <c r="X43" s="490"/>
      <c r="Z43" s="485"/>
      <c r="AA43" s="485"/>
      <c r="AB43" s="485"/>
      <c r="AC43" s="485"/>
      <c r="AD43" s="485"/>
      <c r="AE43" s="485"/>
      <c r="AF43" s="485"/>
    </row>
    <row r="44" spans="1:32" ht="15.95" customHeight="1">
      <c r="A44" s="447"/>
      <c r="B44" s="1514"/>
      <c r="C44" s="1514"/>
      <c r="D44" s="1514"/>
      <c r="E44" s="1514"/>
      <c r="F44" s="1514"/>
      <c r="G44" s="1514"/>
      <c r="H44" s="1514"/>
      <c r="I44" s="1514"/>
      <c r="J44" s="1514"/>
      <c r="K44" s="447"/>
      <c r="L44" s="309"/>
      <c r="M44" s="493"/>
      <c r="N44" s="592" t="s">
        <v>144</v>
      </c>
      <c r="O44" s="598">
        <f>'FIG3'!F14</f>
        <v>4759.4467611777536</v>
      </c>
      <c r="P44" s="493"/>
      <c r="Q44" s="493"/>
      <c r="R44" s="493"/>
      <c r="S44" s="493"/>
      <c r="T44" s="493"/>
      <c r="U44" s="493"/>
      <c r="X44" s="490"/>
      <c r="Z44" s="485"/>
      <c r="AA44" s="485"/>
      <c r="AB44" s="485"/>
      <c r="AC44" s="485"/>
      <c r="AD44" s="485"/>
      <c r="AE44" s="485"/>
      <c r="AF44" s="485"/>
    </row>
    <row r="45" spans="1:32" ht="15.95" customHeight="1">
      <c r="A45" s="447"/>
      <c r="B45" s="1514"/>
      <c r="C45" s="1514"/>
      <c r="D45" s="1514"/>
      <c r="E45" s="1514"/>
      <c r="F45" s="1514"/>
      <c r="G45" s="1514"/>
      <c r="H45" s="1514"/>
      <c r="I45" s="1514"/>
      <c r="J45" s="1514"/>
      <c r="K45" s="447"/>
      <c r="L45" s="309"/>
      <c r="M45" s="493"/>
      <c r="N45" s="592" t="s">
        <v>145</v>
      </c>
      <c r="O45" s="598">
        <f>'FIG3'!F13</f>
        <v>750.21788876772086</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146</v>
      </c>
      <c r="O46" s="584">
        <f>SUM(O41:O45)</f>
        <v>8471.9359651035993</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98" t="s">
        <v>381</v>
      </c>
      <c r="C48" s="1498"/>
      <c r="D48" s="1498"/>
      <c r="E48" s="1498"/>
      <c r="F48" s="1498"/>
      <c r="G48" s="1498"/>
      <c r="H48" s="1498"/>
      <c r="I48" s="1498"/>
      <c r="J48" s="1498"/>
      <c r="K48" s="447"/>
      <c r="L48" s="309"/>
      <c r="M48" s="493"/>
      <c r="N48" s="1497" t="s">
        <v>474</v>
      </c>
      <c r="O48" s="1497"/>
      <c r="P48" s="1497"/>
      <c r="Q48" s="1497"/>
      <c r="R48" s="1497"/>
      <c r="S48" s="1497"/>
      <c r="T48" s="1497"/>
      <c r="U48" s="1497"/>
    </row>
    <row r="49" spans="1:24" ht="15.95" customHeight="1">
      <c r="A49" s="447"/>
      <c r="B49" s="1498"/>
      <c r="C49" s="1498"/>
      <c r="D49" s="1498"/>
      <c r="E49" s="1498"/>
      <c r="F49" s="1498"/>
      <c r="G49" s="1498"/>
      <c r="H49" s="1498"/>
      <c r="I49" s="1498"/>
      <c r="J49" s="1498"/>
      <c r="K49" s="447"/>
      <c r="L49" s="309"/>
      <c r="M49" s="493"/>
      <c r="N49" s="493"/>
      <c r="O49" s="493"/>
      <c r="P49" s="493"/>
      <c r="Q49" s="493"/>
      <c r="R49" s="493"/>
      <c r="S49" s="493"/>
      <c r="T49" s="493"/>
      <c r="U49" s="493"/>
    </row>
    <row r="50" spans="1:24" ht="15.95" customHeight="1">
      <c r="A50" s="447"/>
      <c r="B50" s="1498"/>
      <c r="C50" s="1498"/>
      <c r="D50" s="1498"/>
      <c r="E50" s="1498"/>
      <c r="F50" s="1498"/>
      <c r="G50" s="1498"/>
      <c r="H50" s="1498"/>
      <c r="I50" s="1498"/>
      <c r="J50" s="1498"/>
      <c r="K50" s="447"/>
      <c r="L50" s="309"/>
      <c r="M50" s="493"/>
      <c r="N50" s="1648" t="s">
        <v>475</v>
      </c>
      <c r="O50" s="1648"/>
      <c r="P50" s="1648"/>
      <c r="Q50" s="1648"/>
      <c r="R50" s="1648"/>
      <c r="S50" s="1648"/>
      <c r="T50" s="1648"/>
      <c r="U50" s="493"/>
    </row>
    <row r="51" spans="1:24" ht="15.95" customHeight="1">
      <c r="A51" s="447"/>
      <c r="B51" s="1498"/>
      <c r="C51" s="1498"/>
      <c r="D51" s="1498"/>
      <c r="E51" s="1498"/>
      <c r="F51" s="1498"/>
      <c r="G51" s="1498"/>
      <c r="H51" s="1498"/>
      <c r="I51" s="1498"/>
      <c r="J51" s="1498"/>
      <c r="K51" s="447"/>
      <c r="L51" s="309"/>
      <c r="M51" s="493"/>
      <c r="N51" s="1648"/>
      <c r="O51" s="1648"/>
      <c r="P51" s="1648"/>
      <c r="Q51" s="1648"/>
      <c r="R51" s="1648"/>
      <c r="S51" s="1648"/>
      <c r="T51" s="1648"/>
      <c r="U51" s="493"/>
    </row>
    <row r="52" spans="1:24" ht="15.95" customHeight="1">
      <c r="A52" s="447"/>
      <c r="B52" s="1498"/>
      <c r="C52" s="1498"/>
      <c r="D52" s="1498"/>
      <c r="E52" s="1498"/>
      <c r="F52" s="1498"/>
      <c r="G52" s="1498"/>
      <c r="H52" s="1498"/>
      <c r="I52" s="1498"/>
      <c r="J52" s="1498"/>
      <c r="K52" s="447"/>
      <c r="L52" s="309"/>
      <c r="M52" s="493"/>
      <c r="N52" s="1648"/>
      <c r="O52" s="1648"/>
      <c r="P52" s="1648"/>
      <c r="Q52" s="1648"/>
      <c r="R52" s="1648"/>
      <c r="S52" s="1648"/>
      <c r="T52" s="1648"/>
      <c r="U52" s="493"/>
    </row>
    <row r="53" spans="1:24" ht="15.95" customHeight="1">
      <c r="A53" s="447"/>
      <c r="B53" s="1498"/>
      <c r="C53" s="1498"/>
      <c r="D53" s="1498"/>
      <c r="E53" s="1498"/>
      <c r="F53" s="1498"/>
      <c r="G53" s="1498"/>
      <c r="H53" s="1498"/>
      <c r="I53" s="1498"/>
      <c r="J53" s="1498"/>
      <c r="K53" s="447"/>
      <c r="L53" s="309"/>
      <c r="M53" s="493"/>
      <c r="N53" s="493"/>
      <c r="O53" s="493"/>
      <c r="P53" s="493"/>
      <c r="Q53" s="493"/>
      <c r="R53" s="493"/>
      <c r="S53" s="493"/>
      <c r="T53" s="493"/>
      <c r="U53" s="493"/>
    </row>
    <row r="54" spans="1:24"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4"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4"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4"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4"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4"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4" ht="12.75">
      <c r="L60" s="359"/>
      <c r="M60" s="359"/>
      <c r="N60" s="495"/>
      <c r="O60" s="495"/>
      <c r="P60" s="495"/>
      <c r="Q60" s="495"/>
      <c r="R60" s="495"/>
      <c r="S60" s="495"/>
      <c r="T60" s="495"/>
      <c r="U60" s="495"/>
      <c r="V60" s="359"/>
      <c r="W60" s="359"/>
      <c r="X60" s="359"/>
    </row>
    <row r="61" spans="1:24">
      <c r="L61" s="359"/>
      <c r="M61" s="359"/>
      <c r="N61" s="359"/>
      <c r="O61" s="359"/>
      <c r="P61" s="359"/>
      <c r="Q61" s="359"/>
      <c r="R61" s="359"/>
      <c r="S61" s="359"/>
      <c r="T61" s="359"/>
      <c r="U61" s="359"/>
      <c r="V61" s="359"/>
      <c r="W61" s="359"/>
      <c r="X61" s="359"/>
    </row>
    <row r="62" spans="1:24">
      <c r="L62" s="359"/>
      <c r="M62" s="359"/>
      <c r="N62" s="359"/>
      <c r="O62" s="359"/>
      <c r="P62" s="359"/>
      <c r="Q62" s="359"/>
      <c r="R62" s="359"/>
      <c r="S62" s="359"/>
      <c r="T62" s="359"/>
      <c r="U62" s="359"/>
      <c r="V62" s="359"/>
      <c r="W62" s="359"/>
      <c r="X62" s="359"/>
    </row>
    <row r="63" spans="1:24">
      <c r="L63" s="359"/>
      <c r="M63" s="359"/>
      <c r="N63" s="359"/>
      <c r="O63" s="359"/>
      <c r="P63" s="359"/>
      <c r="Q63" s="359"/>
      <c r="R63" s="359"/>
      <c r="S63" s="359"/>
      <c r="T63" s="359"/>
      <c r="U63" s="359"/>
      <c r="V63" s="359"/>
      <c r="W63" s="359"/>
      <c r="X63" s="359"/>
    </row>
    <row r="64" spans="1:24">
      <c r="L64" s="359"/>
      <c r="M64" s="359"/>
      <c r="N64" s="359"/>
      <c r="O64" s="359"/>
      <c r="P64" s="359"/>
      <c r="Q64" s="359"/>
      <c r="R64" s="359"/>
      <c r="S64" s="359"/>
      <c r="T64" s="359"/>
      <c r="U64" s="359"/>
      <c r="V64" s="359"/>
      <c r="W64" s="359"/>
      <c r="X64" s="359"/>
    </row>
    <row r="65" spans="12:24" ht="12.95" customHeight="1">
      <c r="L65" s="359"/>
      <c r="M65" s="359"/>
      <c r="N65" s="359"/>
      <c r="O65" s="359"/>
      <c r="P65" s="359"/>
      <c r="Q65" s="359"/>
      <c r="R65" s="359"/>
      <c r="S65" s="359"/>
      <c r="T65" s="359"/>
      <c r="U65" s="359"/>
      <c r="V65" s="359"/>
      <c r="W65" s="359"/>
      <c r="X65" s="359"/>
    </row>
    <row r="66" spans="12:24" ht="12.95" customHeight="1"/>
    <row r="67" spans="12:24" ht="12.95" customHeight="1"/>
    <row r="68" spans="12:24" ht="12.95" customHeight="1"/>
    <row r="69" spans="12:24" ht="12.95" customHeight="1"/>
    <row r="70" spans="12:24" ht="12.95" customHeight="1"/>
    <row r="71" spans="12:24" ht="12.95" customHeight="1"/>
    <row r="72" spans="12:24" ht="12.95" customHeight="1"/>
    <row r="73" spans="12:24" ht="12.95" customHeight="1"/>
    <row r="74" spans="12:24" ht="12.95" customHeight="1"/>
    <row r="75" spans="12:24" ht="12.95" customHeight="1"/>
    <row r="76" spans="12:24" ht="12.95" customHeight="1"/>
    <row r="77" spans="12:24" ht="12.95" customHeight="1"/>
    <row r="78" spans="12:24" ht="12.95" customHeight="1"/>
    <row r="79" spans="12:24" ht="12.95" customHeight="1"/>
    <row r="80" spans="12:24"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2">
    <mergeCell ref="B40:J45"/>
    <mergeCell ref="N48:U48"/>
    <mergeCell ref="B48:J53"/>
    <mergeCell ref="N50:T52"/>
    <mergeCell ref="B1:K1"/>
    <mergeCell ref="B37:K37"/>
    <mergeCell ref="N2:T2"/>
    <mergeCell ref="M3:U8"/>
    <mergeCell ref="M9:U15"/>
    <mergeCell ref="M16:U28"/>
    <mergeCell ref="M29:U29"/>
    <mergeCell ref="M31:U31"/>
    <mergeCell ref="M32:U32"/>
    <mergeCell ref="M33:U33"/>
    <mergeCell ref="M34:U34"/>
    <mergeCell ref="M35:U35"/>
    <mergeCell ref="N36:T36"/>
    <mergeCell ref="M37:U37"/>
    <mergeCell ref="A2:A36"/>
    <mergeCell ref="L2:L36"/>
    <mergeCell ref="B2:K2"/>
    <mergeCell ref="B36:K36"/>
  </mergeCells>
  <phoneticPr fontId="146" type="noConversion"/>
  <pageMargins left="0.7" right="0.7" top="0.75" bottom="0.7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topLeftCell="A12" workbookViewId="0"/>
  </sheetViews>
  <sheetFormatPr defaultColWidth="8.83203125" defaultRowHeight="11.25"/>
  <cols>
    <col min="1" max="1" width="4.83203125" style="277" customWidth="1"/>
    <col min="2" max="2" width="3.83203125" style="277" customWidth="1"/>
    <col min="3" max="6" width="9.83203125" style="277" customWidth="1"/>
    <col min="7" max="7" width="24.33203125" style="277" customWidth="1"/>
    <col min="8" max="10" width="9.83203125" style="277" customWidth="1"/>
    <col min="11" max="11" width="55.5" style="277" customWidth="1"/>
    <col min="12" max="12" width="3.83203125" style="277" customWidth="1"/>
    <col min="13" max="13" width="4.83203125" style="277" customWidth="1"/>
    <col min="14" max="14" width="6.83203125" style="277" customWidth="1"/>
    <col min="15" max="15" width="28.83203125" style="277" customWidth="1"/>
    <col min="16" max="18" width="12.83203125" style="277" customWidth="1"/>
    <col min="19" max="19" width="7.1640625" style="277" customWidth="1"/>
    <col min="20" max="20" width="6.5" style="277" customWidth="1"/>
    <col min="21" max="21" width="6.83203125" style="277" customWidth="1"/>
    <col min="22" max="22" width="9.83203125" style="277" customWidth="1"/>
    <col min="23" max="23" width="28.83203125" style="277" customWidth="1"/>
    <col min="24" max="24" width="11.6640625" style="277" customWidth="1"/>
    <col min="25" max="25" width="11.33203125" style="277" customWidth="1"/>
    <col min="26" max="27" width="9.83203125" style="277" customWidth="1"/>
    <col min="28" max="28" width="12.83203125" style="277" customWidth="1"/>
    <col min="29" max="43" width="9.83203125" style="277" customWidth="1"/>
    <col min="44" max="16384" width="8.83203125" style="277"/>
  </cols>
  <sheetData>
    <row r="1" spans="1:32" s="373" customFormat="1" ht="18" customHeight="1">
      <c r="A1" s="310"/>
      <c r="B1" s="1642" t="s">
        <v>376</v>
      </c>
      <c r="C1" s="1642"/>
      <c r="D1" s="1642"/>
      <c r="E1" s="1642"/>
      <c r="F1" s="1642"/>
      <c r="G1" s="1642"/>
      <c r="H1" s="1642"/>
      <c r="I1" s="1642"/>
      <c r="J1" s="1642"/>
      <c r="K1" s="1642"/>
      <c r="L1" s="1642"/>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643" t="s">
        <v>376</v>
      </c>
      <c r="B2" s="1644" t="s">
        <v>227</v>
      </c>
      <c r="C2" s="1644"/>
      <c r="D2" s="1644"/>
      <c r="E2" s="1644"/>
      <c r="F2" s="1644"/>
      <c r="G2" s="1644"/>
      <c r="H2" s="1644"/>
      <c r="I2" s="1644"/>
      <c r="J2" s="1644"/>
      <c r="K2" s="1644"/>
      <c r="L2" s="1644"/>
      <c r="M2" s="1643" t="s">
        <v>376</v>
      </c>
      <c r="N2" s="433" t="str">
        <f>O39</f>
        <v>GA</v>
      </c>
      <c r="O2" s="1645" t="s">
        <v>228</v>
      </c>
      <c r="P2" s="1645"/>
      <c r="Q2" s="1645"/>
      <c r="R2" s="1645"/>
      <c r="S2" s="1645"/>
      <c r="T2" s="1645"/>
      <c r="U2" s="434"/>
      <c r="V2" s="426"/>
      <c r="W2" s="426"/>
      <c r="X2" s="625"/>
      <c r="Y2" s="625"/>
      <c r="Z2" s="625"/>
      <c r="AA2" s="625"/>
      <c r="AB2" s="625"/>
      <c r="AC2" s="625"/>
      <c r="AD2" s="625"/>
      <c r="AE2" s="625"/>
      <c r="AF2" s="625"/>
    </row>
    <row r="3" spans="1:32" ht="15.95" customHeight="1">
      <c r="A3" s="1643"/>
      <c r="B3" s="308"/>
      <c r="C3" s="308"/>
      <c r="D3" s="308"/>
      <c r="E3" s="308"/>
      <c r="F3" s="308"/>
      <c r="G3" s="308"/>
      <c r="H3" s="308"/>
      <c r="I3" s="308"/>
      <c r="J3" s="308"/>
      <c r="K3" s="308"/>
      <c r="L3" s="308"/>
      <c r="M3" s="1643"/>
      <c r="N3" s="1491" t="s">
        <v>1842</v>
      </c>
      <c r="O3" s="1492"/>
      <c r="P3" s="1492"/>
      <c r="Q3" s="1492"/>
      <c r="R3" s="1492"/>
      <c r="S3" s="1492"/>
      <c r="T3" s="1492"/>
      <c r="U3" s="1493"/>
      <c r="V3" s="424"/>
      <c r="W3" s="424"/>
      <c r="X3" s="625"/>
      <c r="Y3" s="625"/>
      <c r="Z3" s="625"/>
      <c r="AA3" s="625"/>
      <c r="AB3" s="625"/>
      <c r="AC3" s="625"/>
      <c r="AD3" s="625"/>
      <c r="AE3" s="625"/>
      <c r="AF3" s="625"/>
    </row>
    <row r="4" spans="1:32" ht="15.95" customHeight="1">
      <c r="A4" s="1643"/>
      <c r="B4" s="308"/>
      <c r="C4" s="308"/>
      <c r="D4" s="308"/>
      <c r="E4" s="308"/>
      <c r="F4" s="308"/>
      <c r="G4" s="308"/>
      <c r="H4" s="308"/>
      <c r="I4" s="308"/>
      <c r="J4" s="308"/>
      <c r="K4" s="308"/>
      <c r="L4" s="308"/>
      <c r="M4" s="1643"/>
      <c r="N4" s="1491"/>
      <c r="O4" s="1492"/>
      <c r="P4" s="1492"/>
      <c r="Q4" s="1492"/>
      <c r="R4" s="1492"/>
      <c r="S4" s="1492"/>
      <c r="T4" s="1492"/>
      <c r="U4" s="1493"/>
      <c r="V4" s="424"/>
      <c r="W4" s="424"/>
      <c r="X4" s="625"/>
      <c r="Y4" s="625"/>
      <c r="Z4" s="625"/>
      <c r="AA4" s="625"/>
      <c r="AB4" s="625"/>
      <c r="AC4" s="625"/>
      <c r="AD4" s="625"/>
      <c r="AE4" s="625"/>
      <c r="AF4" s="625"/>
    </row>
    <row r="5" spans="1:32" ht="15.95" customHeight="1">
      <c r="A5" s="1643"/>
      <c r="B5" s="308"/>
      <c r="C5" s="308"/>
      <c r="D5" s="308"/>
      <c r="E5" s="308"/>
      <c r="F5" s="308"/>
      <c r="G5" s="308"/>
      <c r="H5" s="308"/>
      <c r="I5" s="308"/>
      <c r="J5" s="308"/>
      <c r="K5" s="308"/>
      <c r="L5" s="308"/>
      <c r="M5" s="1643"/>
      <c r="N5" s="1491"/>
      <c r="O5" s="1492"/>
      <c r="P5" s="1492"/>
      <c r="Q5" s="1492"/>
      <c r="R5" s="1492"/>
      <c r="S5" s="1492"/>
      <c r="T5" s="1492"/>
      <c r="U5" s="1493"/>
      <c r="V5" s="424"/>
      <c r="W5" s="424"/>
      <c r="X5" s="625"/>
      <c r="Y5" s="625"/>
      <c r="Z5" s="625"/>
      <c r="AA5" s="625"/>
      <c r="AB5" s="625"/>
      <c r="AC5" s="625"/>
      <c r="AD5" s="625"/>
      <c r="AE5" s="625"/>
      <c r="AF5" s="625"/>
    </row>
    <row r="6" spans="1:32" ht="15.95" customHeight="1">
      <c r="A6" s="1643"/>
      <c r="B6" s="308"/>
      <c r="C6" s="308"/>
      <c r="D6" s="308"/>
      <c r="E6" s="308"/>
      <c r="F6" s="308"/>
      <c r="G6" s="308"/>
      <c r="H6" s="308"/>
      <c r="I6" s="308"/>
      <c r="J6" s="308"/>
      <c r="K6" s="308"/>
      <c r="L6" s="308"/>
      <c r="M6" s="1643"/>
      <c r="N6" s="1494"/>
      <c r="O6" s="1495"/>
      <c r="P6" s="1495"/>
      <c r="Q6" s="1495"/>
      <c r="R6" s="1495"/>
      <c r="S6" s="1495"/>
      <c r="T6" s="1495"/>
      <c r="U6" s="1496"/>
      <c r="V6" s="424"/>
      <c r="W6" s="424"/>
      <c r="X6" s="625"/>
      <c r="Y6" s="625"/>
      <c r="Z6" s="625"/>
      <c r="AA6" s="625"/>
      <c r="AB6" s="625"/>
      <c r="AC6" s="625"/>
      <c r="AD6" s="625"/>
      <c r="AE6" s="625"/>
      <c r="AF6" s="625"/>
    </row>
    <row r="7" spans="1:32" ht="15.95" customHeight="1">
      <c r="A7" s="1643"/>
      <c r="B7" s="308"/>
      <c r="C7" s="308"/>
      <c r="D7" s="308"/>
      <c r="E7" s="308"/>
      <c r="F7" s="308"/>
      <c r="G7" s="308"/>
      <c r="H7" s="308"/>
      <c r="I7" s="308"/>
      <c r="J7" s="308"/>
      <c r="K7" s="308"/>
      <c r="L7" s="308"/>
      <c r="M7" s="1643"/>
      <c r="N7" s="1488"/>
      <c r="O7" s="1489"/>
      <c r="P7" s="1489"/>
      <c r="Q7" s="1489"/>
      <c r="R7" s="1489"/>
      <c r="S7" s="1489"/>
      <c r="T7" s="1489"/>
      <c r="U7" s="1490"/>
      <c r="V7" s="424"/>
      <c r="W7" s="424"/>
      <c r="X7" s="625"/>
      <c r="Y7" s="625"/>
      <c r="Z7" s="625"/>
      <c r="AA7" s="625"/>
      <c r="AB7" s="625"/>
      <c r="AC7" s="625"/>
      <c r="AD7" s="625"/>
      <c r="AE7" s="625"/>
      <c r="AF7" s="625"/>
    </row>
    <row r="8" spans="1:32" ht="15.95" customHeight="1">
      <c r="A8" s="1643"/>
      <c r="B8" s="308"/>
      <c r="C8" s="308"/>
      <c r="D8" s="308"/>
      <c r="E8" s="308"/>
      <c r="F8" s="308"/>
      <c r="G8" s="308"/>
      <c r="H8" s="308"/>
      <c r="I8" s="308"/>
      <c r="J8" s="308"/>
      <c r="K8" s="308"/>
      <c r="L8" s="308"/>
      <c r="M8" s="1643"/>
      <c r="N8" s="1491"/>
      <c r="O8" s="1492"/>
      <c r="P8" s="1492"/>
      <c r="Q8" s="1492"/>
      <c r="R8" s="1492"/>
      <c r="S8" s="1492"/>
      <c r="T8" s="1492"/>
      <c r="U8" s="1493"/>
      <c r="V8" s="424"/>
      <c r="W8" s="424"/>
      <c r="X8" s="625"/>
      <c r="Y8" s="625"/>
      <c r="Z8" s="625"/>
      <c r="AA8" s="625"/>
      <c r="AB8" s="625"/>
      <c r="AC8" s="625"/>
      <c r="AD8" s="625"/>
      <c r="AE8" s="625"/>
      <c r="AF8" s="625"/>
    </row>
    <row r="9" spans="1:32" ht="15.95" customHeight="1">
      <c r="A9" s="1643"/>
      <c r="B9" s="308"/>
      <c r="C9" s="308"/>
      <c r="D9" s="308"/>
      <c r="E9" s="308"/>
      <c r="F9" s="308"/>
      <c r="G9" s="308"/>
      <c r="H9" s="308"/>
      <c r="I9" s="308"/>
      <c r="J9" s="308"/>
      <c r="K9" s="308"/>
      <c r="L9" s="308"/>
      <c r="M9" s="1643"/>
      <c r="N9" s="1491"/>
      <c r="O9" s="1492"/>
      <c r="P9" s="1492"/>
      <c r="Q9" s="1492"/>
      <c r="R9" s="1492"/>
      <c r="S9" s="1492"/>
      <c r="T9" s="1492"/>
      <c r="U9" s="1493"/>
      <c r="V9" s="424"/>
      <c r="W9" s="424"/>
      <c r="X9" s="625"/>
      <c r="Y9" s="625"/>
      <c r="Z9" s="625"/>
      <c r="AA9" s="625"/>
      <c r="AB9" s="625"/>
      <c r="AC9" s="625"/>
      <c r="AD9" s="625"/>
      <c r="AE9" s="625"/>
      <c r="AF9" s="625"/>
    </row>
    <row r="10" spans="1:32" ht="15.95" customHeight="1">
      <c r="A10" s="1643"/>
      <c r="B10" s="308"/>
      <c r="C10" s="308"/>
      <c r="D10" s="308"/>
      <c r="E10" s="308"/>
      <c r="F10" s="308"/>
      <c r="G10" s="308"/>
      <c r="H10" s="308"/>
      <c r="I10" s="308"/>
      <c r="J10" s="308"/>
      <c r="K10" s="308"/>
      <c r="L10" s="308"/>
      <c r="M10" s="1643"/>
      <c r="N10" s="1494"/>
      <c r="O10" s="1495"/>
      <c r="P10" s="1495"/>
      <c r="Q10" s="1495"/>
      <c r="R10" s="1495"/>
      <c r="S10" s="1495"/>
      <c r="T10" s="1495"/>
      <c r="U10" s="1496"/>
      <c r="V10" s="424"/>
      <c r="W10" s="424"/>
      <c r="X10" s="625"/>
      <c r="Y10" s="625"/>
      <c r="Z10" s="625"/>
      <c r="AA10" s="625"/>
      <c r="AB10" s="625"/>
      <c r="AC10" s="625"/>
      <c r="AD10" s="625"/>
      <c r="AE10" s="625"/>
      <c r="AF10" s="625"/>
    </row>
    <row r="11" spans="1:32" ht="15.95" customHeight="1">
      <c r="A11" s="1643"/>
      <c r="B11" s="308"/>
      <c r="C11" s="308"/>
      <c r="D11" s="308"/>
      <c r="E11" s="308"/>
      <c r="F11" s="308"/>
      <c r="G11" s="308"/>
      <c r="H11" s="308"/>
      <c r="I11" s="308"/>
      <c r="J11" s="308"/>
      <c r="K11" s="308"/>
      <c r="L11" s="308"/>
      <c r="M11" s="1643"/>
      <c r="N11" s="1488"/>
      <c r="O11" s="1489"/>
      <c r="P11" s="1489"/>
      <c r="Q11" s="1489"/>
      <c r="R11" s="1489"/>
      <c r="S11" s="1489"/>
      <c r="T11" s="1489"/>
      <c r="U11" s="1490"/>
      <c r="V11" s="425"/>
      <c r="W11" s="425"/>
      <c r="X11" s="625"/>
      <c r="Y11" s="625"/>
      <c r="Z11" s="625"/>
      <c r="AA11" s="625"/>
      <c r="AB11" s="625"/>
      <c r="AC11" s="625"/>
      <c r="AD11" s="625"/>
      <c r="AE11" s="625"/>
      <c r="AF11" s="625"/>
    </row>
    <row r="12" spans="1:32" ht="15.95" customHeight="1">
      <c r="A12" s="1643"/>
      <c r="B12" s="308"/>
      <c r="C12" s="308"/>
      <c r="D12" s="308"/>
      <c r="E12" s="308"/>
      <c r="F12" s="308"/>
      <c r="G12" s="308"/>
      <c r="H12" s="308"/>
      <c r="I12" s="308"/>
      <c r="J12" s="308"/>
      <c r="K12" s="308"/>
      <c r="L12" s="308"/>
      <c r="M12" s="1643"/>
      <c r="N12" s="1491"/>
      <c r="O12" s="1492"/>
      <c r="P12" s="1492"/>
      <c r="Q12" s="1492"/>
      <c r="R12" s="1492"/>
      <c r="S12" s="1492"/>
      <c r="T12" s="1492"/>
      <c r="U12" s="1493"/>
      <c r="V12" s="425"/>
      <c r="W12" s="425"/>
      <c r="X12" s="625"/>
      <c r="Y12" s="625"/>
      <c r="Z12" s="625"/>
      <c r="AA12" s="625"/>
      <c r="AB12" s="625"/>
      <c r="AC12" s="625"/>
      <c r="AD12" s="625"/>
      <c r="AE12" s="625"/>
      <c r="AF12" s="625"/>
    </row>
    <row r="13" spans="1:32" ht="15.95" customHeight="1">
      <c r="A13" s="1643"/>
      <c r="B13" s="308"/>
      <c r="C13" s="308"/>
      <c r="D13" s="308"/>
      <c r="E13" s="308"/>
      <c r="F13" s="308"/>
      <c r="G13" s="308"/>
      <c r="H13" s="308"/>
      <c r="I13" s="308"/>
      <c r="J13" s="308"/>
      <c r="K13" s="308"/>
      <c r="L13" s="308"/>
      <c r="M13" s="1643"/>
      <c r="N13" s="1491"/>
      <c r="O13" s="1492"/>
      <c r="P13" s="1492"/>
      <c r="Q13" s="1492"/>
      <c r="R13" s="1492"/>
      <c r="S13" s="1492"/>
      <c r="T13" s="1492"/>
      <c r="U13" s="1493"/>
      <c r="V13" s="425"/>
      <c r="W13" s="425"/>
      <c r="X13" s="625"/>
      <c r="Y13" s="625"/>
      <c r="Z13" s="625"/>
      <c r="AA13" s="625"/>
      <c r="AB13" s="625"/>
      <c r="AC13" s="625"/>
      <c r="AD13" s="625"/>
      <c r="AE13" s="625"/>
      <c r="AF13" s="625"/>
    </row>
    <row r="14" spans="1:32" ht="15.95" customHeight="1">
      <c r="A14" s="1643"/>
      <c r="B14" s="308"/>
      <c r="C14" s="308"/>
      <c r="D14" s="308"/>
      <c r="E14" s="308"/>
      <c r="F14" s="308"/>
      <c r="G14" s="308"/>
      <c r="H14" s="308"/>
      <c r="I14" s="308"/>
      <c r="J14" s="308"/>
      <c r="K14" s="308"/>
      <c r="L14" s="308"/>
      <c r="M14" s="1643"/>
      <c r="N14" s="1491"/>
      <c r="O14" s="1492"/>
      <c r="P14" s="1492"/>
      <c r="Q14" s="1492"/>
      <c r="R14" s="1492"/>
      <c r="S14" s="1492"/>
      <c r="T14" s="1492"/>
      <c r="U14" s="1493"/>
      <c r="V14" s="425"/>
      <c r="W14" s="425"/>
      <c r="X14" s="625"/>
      <c r="Y14" s="625"/>
      <c r="Z14" s="625"/>
      <c r="AA14" s="625"/>
      <c r="AB14" s="625"/>
      <c r="AC14" s="625"/>
      <c r="AD14" s="625"/>
      <c r="AE14" s="625"/>
      <c r="AF14" s="625"/>
    </row>
    <row r="15" spans="1:32" ht="15.95" customHeight="1">
      <c r="A15" s="1643"/>
      <c r="B15" s="308"/>
      <c r="C15" s="308"/>
      <c r="D15" s="308"/>
      <c r="E15" s="308"/>
      <c r="F15" s="308"/>
      <c r="G15" s="308"/>
      <c r="H15" s="308"/>
      <c r="I15" s="308"/>
      <c r="J15" s="308"/>
      <c r="K15" s="308"/>
      <c r="L15" s="308"/>
      <c r="M15" s="1643"/>
      <c r="N15" s="1491"/>
      <c r="O15" s="1492"/>
      <c r="P15" s="1492"/>
      <c r="Q15" s="1492"/>
      <c r="R15" s="1492"/>
      <c r="S15" s="1492"/>
      <c r="T15" s="1492"/>
      <c r="U15" s="1493"/>
      <c r="V15" s="425"/>
      <c r="W15" s="425"/>
      <c r="X15" s="625"/>
      <c r="Y15" s="625"/>
      <c r="Z15" s="625"/>
      <c r="AA15" s="625"/>
      <c r="AB15" s="625"/>
      <c r="AC15" s="625"/>
      <c r="AD15" s="625"/>
      <c r="AE15" s="625"/>
      <c r="AF15" s="625"/>
    </row>
    <row r="16" spans="1:32" ht="15.95" customHeight="1">
      <c r="A16" s="1643"/>
      <c r="B16" s="308"/>
      <c r="C16" s="308"/>
      <c r="D16" s="308"/>
      <c r="E16" s="308"/>
      <c r="F16" s="308"/>
      <c r="G16" s="308"/>
      <c r="H16" s="308"/>
      <c r="I16" s="308"/>
      <c r="J16" s="308"/>
      <c r="K16" s="308"/>
      <c r="L16" s="308"/>
      <c r="M16" s="1643"/>
      <c r="N16" s="1494"/>
      <c r="O16" s="1495"/>
      <c r="P16" s="1495"/>
      <c r="Q16" s="1495"/>
      <c r="R16" s="1495"/>
      <c r="S16" s="1495"/>
      <c r="T16" s="1495"/>
      <c r="U16" s="1496"/>
      <c r="V16" s="425"/>
      <c r="W16" s="425"/>
      <c r="X16" s="625"/>
      <c r="Y16" s="625"/>
      <c r="Z16" s="625"/>
      <c r="AA16" s="625"/>
      <c r="AB16" s="625"/>
      <c r="AC16" s="625"/>
      <c r="AD16" s="625"/>
      <c r="AE16" s="625"/>
      <c r="AF16" s="625"/>
    </row>
    <row r="17" spans="1:32" ht="15.95" customHeight="1">
      <c r="A17" s="1643"/>
      <c r="B17" s="308"/>
      <c r="C17" s="308"/>
      <c r="D17" s="308"/>
      <c r="E17" s="308"/>
      <c r="F17" s="308"/>
      <c r="G17" s="308"/>
      <c r="H17" s="308"/>
      <c r="I17" s="308"/>
      <c r="J17" s="308"/>
      <c r="K17" s="308"/>
      <c r="L17" s="308"/>
      <c r="M17" s="1643"/>
      <c r="N17" s="1488"/>
      <c r="O17" s="1489"/>
      <c r="P17" s="1489"/>
      <c r="Q17" s="1489"/>
      <c r="R17" s="1489"/>
      <c r="S17" s="1489"/>
      <c r="T17" s="1489"/>
      <c r="U17" s="1490"/>
      <c r="V17" s="425"/>
      <c r="W17" s="425"/>
      <c r="X17" s="625"/>
      <c r="Y17" s="625"/>
      <c r="Z17" s="625"/>
      <c r="AA17" s="625"/>
      <c r="AB17" s="625"/>
      <c r="AC17" s="625"/>
      <c r="AD17" s="625"/>
      <c r="AE17" s="625"/>
      <c r="AF17" s="625"/>
    </row>
    <row r="18" spans="1:32" ht="15.95" customHeight="1">
      <c r="A18" s="1643"/>
      <c r="B18" s="308"/>
      <c r="C18" s="308"/>
      <c r="D18" s="308"/>
      <c r="E18" s="308"/>
      <c r="F18" s="308"/>
      <c r="G18" s="308"/>
      <c r="H18" s="308"/>
      <c r="I18" s="308"/>
      <c r="J18" s="308"/>
      <c r="K18" s="308"/>
      <c r="L18" s="308"/>
      <c r="M18" s="1643"/>
      <c r="N18" s="1491"/>
      <c r="O18" s="1492"/>
      <c r="P18" s="1492"/>
      <c r="Q18" s="1492"/>
      <c r="R18" s="1492"/>
      <c r="S18" s="1492"/>
      <c r="T18" s="1492"/>
      <c r="U18" s="1493"/>
      <c r="V18" s="425"/>
      <c r="W18" s="425"/>
      <c r="X18" s="625"/>
      <c r="Y18" s="625"/>
      <c r="Z18" s="625"/>
      <c r="AA18" s="625"/>
      <c r="AB18" s="625"/>
      <c r="AC18" s="625"/>
      <c r="AD18" s="625"/>
      <c r="AE18" s="625"/>
      <c r="AF18" s="625"/>
    </row>
    <row r="19" spans="1:32" ht="15.95" customHeight="1">
      <c r="A19" s="1643"/>
      <c r="B19" s="308"/>
      <c r="C19" s="308"/>
      <c r="D19" s="308"/>
      <c r="E19" s="308"/>
      <c r="F19" s="308"/>
      <c r="G19" s="308"/>
      <c r="H19" s="308"/>
      <c r="I19" s="308"/>
      <c r="J19" s="308"/>
      <c r="K19" s="308"/>
      <c r="L19" s="308"/>
      <c r="M19" s="1643"/>
      <c r="N19" s="1491"/>
      <c r="O19" s="1492"/>
      <c r="P19" s="1492"/>
      <c r="Q19" s="1492"/>
      <c r="R19" s="1492"/>
      <c r="S19" s="1492"/>
      <c r="T19" s="1492"/>
      <c r="U19" s="1493"/>
      <c r="V19" s="425"/>
      <c r="W19" s="425"/>
      <c r="X19" s="625"/>
      <c r="Y19" s="625"/>
      <c r="Z19" s="625"/>
      <c r="AA19" s="625"/>
      <c r="AB19" s="625"/>
      <c r="AC19" s="625"/>
      <c r="AD19" s="625"/>
      <c r="AE19" s="625"/>
      <c r="AF19" s="625"/>
    </row>
    <row r="20" spans="1:32" ht="15.95" customHeight="1">
      <c r="A20" s="1643"/>
      <c r="B20" s="308"/>
      <c r="C20" s="308"/>
      <c r="D20" s="308"/>
      <c r="E20" s="308"/>
      <c r="F20" s="308"/>
      <c r="G20" s="308"/>
      <c r="H20" s="308"/>
      <c r="I20" s="308"/>
      <c r="J20" s="308"/>
      <c r="K20" s="308"/>
      <c r="L20" s="308"/>
      <c r="M20" s="1643"/>
      <c r="N20" s="1491"/>
      <c r="O20" s="1492"/>
      <c r="P20" s="1492"/>
      <c r="Q20" s="1492"/>
      <c r="R20" s="1492"/>
      <c r="S20" s="1492"/>
      <c r="T20" s="1492"/>
      <c r="U20" s="1493"/>
      <c r="V20" s="432"/>
      <c r="W20" s="432"/>
      <c r="X20" s="625"/>
      <c r="Y20" s="625"/>
      <c r="Z20" s="625"/>
      <c r="AA20" s="625"/>
      <c r="AB20" s="625"/>
      <c r="AC20" s="625"/>
      <c r="AD20" s="625"/>
      <c r="AE20" s="625"/>
      <c r="AF20" s="625"/>
    </row>
    <row r="21" spans="1:32" ht="15.95" customHeight="1">
      <c r="A21" s="1643"/>
      <c r="B21" s="308"/>
      <c r="C21" s="308"/>
      <c r="D21" s="308"/>
      <c r="E21" s="308"/>
      <c r="F21" s="308"/>
      <c r="G21" s="308"/>
      <c r="H21" s="308"/>
      <c r="I21" s="308"/>
      <c r="J21" s="308"/>
      <c r="K21" s="308"/>
      <c r="L21" s="308"/>
      <c r="M21" s="1643"/>
      <c r="N21" s="1491"/>
      <c r="O21" s="1492"/>
      <c r="P21" s="1492"/>
      <c r="Q21" s="1492"/>
      <c r="R21" s="1492"/>
      <c r="S21" s="1492"/>
      <c r="T21" s="1492"/>
      <c r="U21" s="1493"/>
      <c r="V21" s="432"/>
      <c r="W21" s="432"/>
      <c r="X21" s="625"/>
      <c r="Y21" s="625"/>
      <c r="Z21" s="625"/>
      <c r="AA21" s="625"/>
      <c r="AB21" s="625"/>
      <c r="AC21" s="625"/>
      <c r="AD21" s="625"/>
      <c r="AE21" s="625"/>
      <c r="AF21" s="625"/>
    </row>
    <row r="22" spans="1:32" ht="15.95" customHeight="1">
      <c r="A22" s="1643"/>
      <c r="B22" s="308"/>
      <c r="C22" s="308"/>
      <c r="D22" s="308"/>
      <c r="E22" s="308"/>
      <c r="F22" s="308"/>
      <c r="G22" s="308"/>
      <c r="H22" s="308"/>
      <c r="I22" s="308"/>
      <c r="J22" s="308"/>
      <c r="K22" s="308"/>
      <c r="L22" s="308"/>
      <c r="M22" s="1643"/>
      <c r="N22" s="1491"/>
      <c r="O22" s="1492"/>
      <c r="P22" s="1492"/>
      <c r="Q22" s="1492"/>
      <c r="R22" s="1492"/>
      <c r="S22" s="1492"/>
      <c r="T22" s="1492"/>
      <c r="U22" s="1493"/>
      <c r="V22" s="432"/>
      <c r="W22" s="432"/>
      <c r="X22" s="625"/>
      <c r="Y22" s="625"/>
      <c r="Z22" s="625"/>
      <c r="AA22" s="625"/>
      <c r="AB22" s="625"/>
      <c r="AC22" s="625"/>
      <c r="AD22" s="625"/>
      <c r="AE22" s="625"/>
      <c r="AF22" s="625"/>
    </row>
    <row r="23" spans="1:32" ht="15.95" customHeight="1">
      <c r="A23" s="1643"/>
      <c r="B23" s="308"/>
      <c r="C23" s="308"/>
      <c r="D23" s="308"/>
      <c r="E23" s="308"/>
      <c r="F23" s="308"/>
      <c r="G23" s="308"/>
      <c r="H23" s="308"/>
      <c r="I23" s="308"/>
      <c r="J23" s="308"/>
      <c r="K23" s="308"/>
      <c r="L23" s="308"/>
      <c r="M23" s="1643"/>
      <c r="N23" s="1491"/>
      <c r="O23" s="1492"/>
      <c r="P23" s="1492"/>
      <c r="Q23" s="1492"/>
      <c r="R23" s="1492"/>
      <c r="S23" s="1492"/>
      <c r="T23" s="1492"/>
      <c r="U23" s="1493"/>
      <c r="V23" s="432"/>
      <c r="W23" s="432"/>
      <c r="X23" s="625"/>
      <c r="Y23" s="625"/>
      <c r="Z23" s="625"/>
      <c r="AA23" s="625"/>
      <c r="AB23" s="625"/>
      <c r="AC23" s="625"/>
      <c r="AD23" s="625"/>
      <c r="AE23" s="625"/>
      <c r="AF23" s="625"/>
    </row>
    <row r="24" spans="1:32" ht="15.95" customHeight="1">
      <c r="A24" s="1643"/>
      <c r="B24" s="308"/>
      <c r="C24" s="308"/>
      <c r="D24" s="308"/>
      <c r="E24" s="308"/>
      <c r="F24" s="308"/>
      <c r="G24" s="308"/>
      <c r="H24" s="308"/>
      <c r="I24" s="308"/>
      <c r="J24" s="308"/>
      <c r="K24" s="308"/>
      <c r="L24" s="308"/>
      <c r="M24" s="1643"/>
      <c r="N24" s="1491"/>
      <c r="O24" s="1492"/>
      <c r="P24" s="1492"/>
      <c r="Q24" s="1492"/>
      <c r="R24" s="1492"/>
      <c r="S24" s="1492"/>
      <c r="T24" s="1492"/>
      <c r="U24" s="1493"/>
      <c r="V24" s="432"/>
      <c r="W24" s="432"/>
      <c r="X24" s="625"/>
      <c r="Y24" s="625"/>
      <c r="Z24" s="625"/>
      <c r="AA24" s="625"/>
      <c r="AB24" s="625"/>
      <c r="AC24" s="625"/>
      <c r="AD24" s="625"/>
      <c r="AE24" s="625"/>
      <c r="AF24" s="625"/>
    </row>
    <row r="25" spans="1:32" ht="15.95" customHeight="1">
      <c r="A25" s="1643"/>
      <c r="B25" s="308"/>
      <c r="C25" s="308"/>
      <c r="D25" s="308"/>
      <c r="E25" s="308"/>
      <c r="F25" s="308"/>
      <c r="G25" s="308"/>
      <c r="H25" s="308"/>
      <c r="I25" s="308"/>
      <c r="J25" s="308"/>
      <c r="K25" s="308"/>
      <c r="L25" s="308"/>
      <c r="M25" s="1643"/>
      <c r="N25" s="1491"/>
      <c r="O25" s="1492"/>
      <c r="P25" s="1492"/>
      <c r="Q25" s="1492"/>
      <c r="R25" s="1492"/>
      <c r="S25" s="1492"/>
      <c r="T25" s="1492"/>
      <c r="U25" s="1493"/>
      <c r="V25" s="432"/>
      <c r="W25" s="432"/>
      <c r="X25" s="625"/>
      <c r="Y25" s="625"/>
      <c r="Z25" s="625"/>
      <c r="AA25" s="625"/>
      <c r="AB25" s="625"/>
      <c r="AC25" s="625"/>
      <c r="AD25" s="625"/>
      <c r="AE25" s="625"/>
      <c r="AF25" s="625"/>
    </row>
    <row r="26" spans="1:32" ht="15.95" customHeight="1">
      <c r="A26" s="1643"/>
      <c r="B26" s="308"/>
      <c r="C26" s="308"/>
      <c r="D26" s="308"/>
      <c r="E26" s="308"/>
      <c r="F26" s="308"/>
      <c r="G26" s="308"/>
      <c r="H26" s="308"/>
      <c r="I26" s="308"/>
      <c r="J26" s="308"/>
      <c r="K26" s="308"/>
      <c r="L26" s="308"/>
      <c r="M26" s="1643"/>
      <c r="N26" s="1491"/>
      <c r="O26" s="1492"/>
      <c r="P26" s="1492"/>
      <c r="Q26" s="1492"/>
      <c r="R26" s="1492"/>
      <c r="S26" s="1492"/>
      <c r="T26" s="1492"/>
      <c r="U26" s="1493"/>
      <c r="V26" s="432"/>
      <c r="W26" s="432"/>
      <c r="X26" s="625"/>
      <c r="Y26" s="625"/>
      <c r="Z26" s="625"/>
      <c r="AA26" s="625"/>
      <c r="AB26" s="625"/>
      <c r="AC26" s="625"/>
      <c r="AD26" s="625"/>
      <c r="AE26" s="625"/>
      <c r="AF26" s="625"/>
    </row>
    <row r="27" spans="1:32" ht="15.95" customHeight="1">
      <c r="A27" s="1643"/>
      <c r="B27" s="308"/>
      <c r="C27" s="308"/>
      <c r="D27" s="308"/>
      <c r="E27" s="308"/>
      <c r="F27" s="308"/>
      <c r="G27" s="308"/>
      <c r="H27" s="308"/>
      <c r="I27" s="308"/>
      <c r="J27" s="308"/>
      <c r="K27" s="308"/>
      <c r="L27" s="308"/>
      <c r="M27" s="1643"/>
      <c r="N27" s="1491"/>
      <c r="O27" s="1492"/>
      <c r="P27" s="1492"/>
      <c r="Q27" s="1492"/>
      <c r="R27" s="1492"/>
      <c r="S27" s="1492"/>
      <c r="T27" s="1492"/>
      <c r="U27" s="1493"/>
      <c r="V27" s="432"/>
      <c r="W27" s="432"/>
      <c r="X27" s="625"/>
      <c r="Y27" s="625"/>
      <c r="Z27" s="625"/>
      <c r="AA27" s="625"/>
      <c r="AB27" s="625"/>
      <c r="AC27" s="625"/>
      <c r="AD27" s="625"/>
      <c r="AE27" s="625"/>
      <c r="AF27" s="625"/>
    </row>
    <row r="28" spans="1:32" ht="15.95" customHeight="1">
      <c r="A28" s="1643"/>
      <c r="B28" s="308"/>
      <c r="C28" s="308"/>
      <c r="D28" s="308"/>
      <c r="E28" s="308"/>
      <c r="F28" s="308"/>
      <c r="G28" s="308"/>
      <c r="H28" s="308"/>
      <c r="I28" s="308"/>
      <c r="J28" s="308"/>
      <c r="K28" s="308"/>
      <c r="L28" s="308"/>
      <c r="M28" s="1643"/>
      <c r="N28" s="1494"/>
      <c r="O28" s="1495"/>
      <c r="P28" s="1495"/>
      <c r="Q28" s="1495"/>
      <c r="R28" s="1495"/>
      <c r="S28" s="1495"/>
      <c r="T28" s="1495"/>
      <c r="U28" s="1496"/>
      <c r="V28" s="432"/>
      <c r="W28" s="432"/>
      <c r="X28" s="625"/>
      <c r="Y28" s="625"/>
      <c r="Z28" s="625"/>
      <c r="AA28" s="625"/>
      <c r="AB28" s="625"/>
      <c r="AC28" s="625"/>
      <c r="AD28" s="625"/>
      <c r="AE28" s="625"/>
      <c r="AF28" s="625"/>
    </row>
    <row r="29" spans="1:32" ht="15.95" customHeight="1">
      <c r="A29" s="1643"/>
      <c r="B29" s="308"/>
      <c r="C29" s="308"/>
      <c r="D29" s="308"/>
      <c r="E29" s="308"/>
      <c r="F29" s="308"/>
      <c r="G29" s="308"/>
      <c r="H29" s="308"/>
      <c r="I29" s="308"/>
      <c r="J29" s="308"/>
      <c r="K29" s="308"/>
      <c r="L29" s="308"/>
      <c r="M29" s="1643"/>
      <c r="N29" s="1537" t="s">
        <v>419</v>
      </c>
      <c r="O29" s="1538"/>
      <c r="P29" s="1538"/>
      <c r="Q29" s="1538"/>
      <c r="R29" s="1538"/>
      <c r="S29" s="1538"/>
      <c r="T29" s="1538"/>
      <c r="U29" s="1539"/>
      <c r="V29" s="432"/>
      <c r="W29" s="432"/>
      <c r="X29" s="625"/>
      <c r="Y29" s="625"/>
      <c r="Z29" s="625"/>
      <c r="AA29" s="625"/>
      <c r="AB29" s="625"/>
      <c r="AC29" s="625"/>
      <c r="AD29" s="625"/>
      <c r="AE29" s="625"/>
      <c r="AF29" s="625"/>
    </row>
    <row r="30" spans="1:32" ht="15.95" customHeight="1">
      <c r="A30" s="1643"/>
      <c r="B30" s="308"/>
      <c r="C30" s="308"/>
      <c r="D30" s="308"/>
      <c r="E30" s="308"/>
      <c r="F30" s="308"/>
      <c r="G30" s="308"/>
      <c r="H30" s="308"/>
      <c r="I30" s="308"/>
      <c r="J30" s="308"/>
      <c r="K30" s="308"/>
      <c r="L30" s="308"/>
      <c r="M30" s="1643"/>
      <c r="N30" s="1537"/>
      <c r="O30" s="1538"/>
      <c r="P30" s="1538"/>
      <c r="Q30" s="1538"/>
      <c r="R30" s="1538"/>
      <c r="S30" s="1538"/>
      <c r="T30" s="1538"/>
      <c r="U30" s="1539"/>
      <c r="V30" s="432"/>
      <c r="W30" s="432"/>
      <c r="X30" s="625"/>
      <c r="Y30" s="625"/>
      <c r="Z30" s="625"/>
      <c r="AA30" s="625"/>
      <c r="AB30" s="625"/>
      <c r="AC30" s="625"/>
      <c r="AD30" s="625"/>
      <c r="AE30" s="625"/>
      <c r="AF30" s="625"/>
    </row>
    <row r="31" spans="1:32" ht="15.95" customHeight="1">
      <c r="A31" s="1643"/>
      <c r="B31" s="308"/>
      <c r="C31" s="308"/>
      <c r="D31" s="308"/>
      <c r="E31" s="308"/>
      <c r="F31" s="308"/>
      <c r="G31" s="308"/>
      <c r="H31" s="308"/>
      <c r="I31" s="308"/>
      <c r="J31" s="308"/>
      <c r="K31" s="308"/>
      <c r="L31" s="308"/>
      <c r="M31" s="1643"/>
      <c r="N31" s="1516"/>
      <c r="O31" s="1517"/>
      <c r="P31" s="1517"/>
      <c r="Q31" s="1517"/>
      <c r="R31" s="1517"/>
      <c r="S31" s="1517"/>
      <c r="T31" s="1517"/>
      <c r="U31" s="1518"/>
      <c r="V31" s="432"/>
      <c r="W31" s="432"/>
      <c r="X31" s="625"/>
      <c r="Y31" s="625"/>
      <c r="Z31" s="625"/>
      <c r="AA31" s="625"/>
      <c r="AB31" s="625"/>
      <c r="AC31" s="625"/>
      <c r="AD31" s="625"/>
      <c r="AE31" s="625"/>
      <c r="AF31" s="625"/>
    </row>
    <row r="32" spans="1:32" ht="15.95" customHeight="1">
      <c r="A32" s="1643"/>
      <c r="B32" s="308"/>
      <c r="C32" s="308"/>
      <c r="D32" s="308"/>
      <c r="E32" s="308"/>
      <c r="F32" s="308"/>
      <c r="G32" s="308"/>
      <c r="H32" s="308"/>
      <c r="I32" s="308"/>
      <c r="J32" s="308"/>
      <c r="K32" s="308"/>
      <c r="L32" s="308"/>
      <c r="M32" s="1643"/>
      <c r="N32" s="1516"/>
      <c r="O32" s="1517"/>
      <c r="P32" s="1517"/>
      <c r="Q32" s="1517"/>
      <c r="R32" s="1517"/>
      <c r="S32" s="1517"/>
      <c r="T32" s="1517"/>
      <c r="U32" s="1518"/>
      <c r="V32" s="432"/>
      <c r="W32" s="432"/>
      <c r="X32" s="625"/>
      <c r="Y32" s="625"/>
      <c r="Z32" s="625"/>
      <c r="AA32" s="625"/>
      <c r="AB32" s="625"/>
      <c r="AC32" s="625"/>
      <c r="AD32" s="625"/>
      <c r="AE32" s="625"/>
      <c r="AF32" s="625"/>
    </row>
    <row r="33" spans="1:32" ht="15.95" customHeight="1">
      <c r="A33" s="1643"/>
      <c r="B33" s="308"/>
      <c r="C33" s="308"/>
      <c r="D33" s="308"/>
      <c r="E33" s="308"/>
      <c r="F33" s="308"/>
      <c r="G33" s="308"/>
      <c r="H33" s="308"/>
      <c r="I33" s="308"/>
      <c r="J33" s="308"/>
      <c r="K33" s="308"/>
      <c r="L33" s="308"/>
      <c r="M33" s="1643"/>
      <c r="N33" s="1516"/>
      <c r="O33" s="1517"/>
      <c r="P33" s="1517"/>
      <c r="Q33" s="1517"/>
      <c r="R33" s="1517"/>
      <c r="S33" s="1517"/>
      <c r="T33" s="1517"/>
      <c r="U33" s="1518"/>
      <c r="V33" s="432"/>
      <c r="W33" s="432"/>
      <c r="X33" s="625"/>
      <c r="Y33" s="625"/>
      <c r="Z33" s="625"/>
      <c r="AA33" s="625"/>
      <c r="AB33" s="625"/>
      <c r="AC33" s="625"/>
      <c r="AD33" s="625"/>
      <c r="AE33" s="625"/>
      <c r="AF33" s="625"/>
    </row>
    <row r="34" spans="1:32" ht="15.95" customHeight="1">
      <c r="A34" s="1643"/>
      <c r="B34" s="308"/>
      <c r="C34" s="308"/>
      <c r="D34" s="308"/>
      <c r="E34" s="308"/>
      <c r="F34" s="308"/>
      <c r="G34" s="308"/>
      <c r="H34" s="308"/>
      <c r="I34" s="308"/>
      <c r="J34" s="308"/>
      <c r="K34" s="308"/>
      <c r="L34" s="308"/>
      <c r="M34" s="1643"/>
      <c r="N34" s="1516"/>
      <c r="O34" s="1517"/>
      <c r="P34" s="1517"/>
      <c r="Q34" s="1517"/>
      <c r="R34" s="1517"/>
      <c r="S34" s="1517"/>
      <c r="T34" s="1517"/>
      <c r="U34" s="1518"/>
      <c r="V34" s="425"/>
      <c r="W34" s="425"/>
      <c r="X34" s="625"/>
      <c r="Y34" s="625"/>
      <c r="Z34" s="625"/>
      <c r="AA34" s="625"/>
      <c r="AB34" s="625"/>
      <c r="AC34" s="625"/>
      <c r="AD34" s="625"/>
      <c r="AE34" s="625"/>
      <c r="AF34" s="625"/>
    </row>
    <row r="35" spans="1:32" ht="15.95" customHeight="1">
      <c r="A35" s="1643"/>
      <c r="B35" s="308"/>
      <c r="C35" s="308"/>
      <c r="D35" s="308"/>
      <c r="E35" s="308"/>
      <c r="F35" s="308"/>
      <c r="G35" s="308"/>
      <c r="H35" s="308"/>
      <c r="I35" s="308"/>
      <c r="J35" s="308"/>
      <c r="K35" s="308"/>
      <c r="L35" s="308"/>
      <c r="M35" s="1643"/>
      <c r="N35" s="1519"/>
      <c r="O35" s="1520"/>
      <c r="P35" s="1520"/>
      <c r="Q35" s="1520"/>
      <c r="R35" s="1520"/>
      <c r="S35" s="1520"/>
      <c r="T35" s="1520"/>
      <c r="U35" s="1521"/>
      <c r="V35" s="377"/>
      <c r="W35" s="377"/>
      <c r="X35" s="625"/>
      <c r="Y35" s="625"/>
      <c r="Z35" s="625"/>
      <c r="AA35" s="625"/>
      <c r="AB35" s="625"/>
      <c r="AC35" s="625"/>
      <c r="AD35" s="625"/>
      <c r="AE35" s="625"/>
      <c r="AF35" s="625"/>
    </row>
    <row r="36" spans="1:32" ht="20.100000000000001" customHeight="1">
      <c r="A36" s="1643"/>
      <c r="B36" s="1644" t="s">
        <v>227</v>
      </c>
      <c r="C36" s="1644"/>
      <c r="D36" s="1644"/>
      <c r="E36" s="1644"/>
      <c r="F36" s="1644"/>
      <c r="G36" s="1644"/>
      <c r="H36" s="1644"/>
      <c r="I36" s="1644"/>
      <c r="J36" s="1644"/>
      <c r="K36" s="1644"/>
      <c r="L36" s="1644"/>
      <c r="M36" s="1643"/>
      <c r="N36" s="396" t="str">
        <f>O39</f>
        <v>GA</v>
      </c>
      <c r="O36" s="1645" t="s">
        <v>229</v>
      </c>
      <c r="P36" s="1645"/>
      <c r="Q36" s="1645"/>
      <c r="R36" s="1645"/>
      <c r="S36" s="1645"/>
      <c r="T36" s="1645"/>
      <c r="U36" s="396"/>
      <c r="V36" s="426"/>
      <c r="W36" s="426"/>
      <c r="X36" s="625"/>
      <c r="Y36" s="625"/>
      <c r="Z36" s="625"/>
      <c r="AA36" s="625"/>
      <c r="AB36" s="625"/>
      <c r="AC36" s="625"/>
      <c r="AD36" s="625"/>
      <c r="AE36" s="625"/>
      <c r="AF36" s="625"/>
    </row>
    <row r="37" spans="1:32" ht="18" customHeight="1">
      <c r="A37" s="310"/>
      <c r="B37" s="1642" t="s">
        <v>376</v>
      </c>
      <c r="C37" s="1642"/>
      <c r="D37" s="1642"/>
      <c r="E37" s="1642"/>
      <c r="F37" s="1642"/>
      <c r="G37" s="1642"/>
      <c r="H37" s="1642"/>
      <c r="I37" s="1642"/>
      <c r="J37" s="1642"/>
      <c r="K37" s="1642"/>
      <c r="L37" s="1642"/>
      <c r="M37" s="310"/>
      <c r="N37" s="620" t="s">
        <v>516</v>
      </c>
      <c r="O37" s="381"/>
      <c r="P37" s="381"/>
      <c r="Q37" s="381"/>
      <c r="R37" s="381"/>
      <c r="S37" s="381"/>
      <c r="T37" s="381"/>
      <c r="U37" s="381"/>
      <c r="V37" s="427"/>
      <c r="W37" s="1654" t="s">
        <v>437</v>
      </c>
      <c r="X37" s="1654"/>
      <c r="Y37" s="1654"/>
      <c r="Z37" s="1654"/>
      <c r="AA37" s="1654"/>
      <c r="AB37" s="625"/>
      <c r="AC37" s="625"/>
      <c r="AD37" s="625"/>
      <c r="AE37" s="625"/>
      <c r="AF37" s="625"/>
    </row>
    <row r="38" spans="1:3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654"/>
      <c r="X38" s="1654"/>
      <c r="Y38" s="1654"/>
      <c r="Z38" s="1654"/>
      <c r="AA38" s="1654"/>
      <c r="AB38" s="625"/>
      <c r="AC38" s="625"/>
      <c r="AD38" s="625"/>
      <c r="AE38" s="625"/>
      <c r="AF38" s="625"/>
    </row>
    <row r="39" spans="1:32" ht="15.95" customHeight="1">
      <c r="A39" s="447"/>
      <c r="B39" s="447"/>
      <c r="C39" s="1514" t="s">
        <v>478</v>
      </c>
      <c r="D39" s="1514"/>
      <c r="E39" s="1514"/>
      <c r="F39" s="1514"/>
      <c r="G39" s="1514"/>
      <c r="H39" s="1514"/>
      <c r="I39" s="1514"/>
      <c r="J39" s="1514"/>
      <c r="K39" s="447"/>
      <c r="L39" s="447"/>
      <c r="M39" s="309"/>
      <c r="N39" s="388"/>
      <c r="O39" s="475" t="str">
        <f>'FIG3'!W49</f>
        <v>GA</v>
      </c>
      <c r="P39" s="472"/>
      <c r="Q39" s="472"/>
      <c r="R39" s="472"/>
      <c r="S39" s="1653" t="s">
        <v>481</v>
      </c>
      <c r="T39" s="1653"/>
      <c r="U39" s="1653"/>
      <c r="V39" s="312"/>
      <c r="W39" s="473"/>
      <c r="X39" s="473"/>
      <c r="Y39" s="473"/>
      <c r="Z39" s="359"/>
      <c r="AA39" s="625"/>
      <c r="AB39" s="625"/>
      <c r="AC39" s="625"/>
      <c r="AD39" s="625"/>
      <c r="AE39" s="625"/>
      <c r="AF39" s="625"/>
    </row>
    <row r="40" spans="1:32" ht="15.95" customHeight="1">
      <c r="A40" s="447"/>
      <c r="B40" s="447"/>
      <c r="C40" s="1514"/>
      <c r="D40" s="1514"/>
      <c r="E40" s="1514"/>
      <c r="F40" s="1514"/>
      <c r="G40" s="1514"/>
      <c r="H40" s="1514"/>
      <c r="I40" s="1514"/>
      <c r="J40" s="1514"/>
      <c r="K40" s="447"/>
      <c r="L40" s="447"/>
      <c r="M40" s="309"/>
      <c r="N40" s="388"/>
      <c r="O40" s="599" t="s">
        <v>379</v>
      </c>
      <c r="P40" s="600">
        <v>1.1299999999999999</v>
      </c>
      <c r="Q40" s="600">
        <v>1</v>
      </c>
      <c r="R40" s="600">
        <v>0.92</v>
      </c>
      <c r="S40" s="1653"/>
      <c r="T40" s="1653"/>
      <c r="U40" s="1653"/>
      <c r="V40" s="312"/>
      <c r="W40" s="120" t="s">
        <v>514</v>
      </c>
      <c r="X40" s="120"/>
      <c r="Y40" s="120" t="s">
        <v>515</v>
      </c>
      <c r="Z40" s="359"/>
      <c r="AA40" s="625"/>
      <c r="AB40" s="625"/>
      <c r="AC40" s="625"/>
      <c r="AD40" s="625"/>
      <c r="AE40" s="625"/>
      <c r="AF40" s="625"/>
    </row>
    <row r="41" spans="1:32" ht="15.95" customHeight="1">
      <c r="A41" s="447"/>
      <c r="B41" s="447"/>
      <c r="C41" s="1514"/>
      <c r="D41" s="1514"/>
      <c r="E41" s="1514"/>
      <c r="F41" s="1514"/>
      <c r="G41" s="1514"/>
      <c r="H41" s="1514"/>
      <c r="I41" s="1514"/>
      <c r="J41" s="1514"/>
      <c r="K41" s="447"/>
      <c r="L41" s="447"/>
      <c r="M41" s="309"/>
      <c r="N41" s="388"/>
      <c r="O41" s="448"/>
      <c r="P41" s="470" t="s">
        <v>377</v>
      </c>
      <c r="Q41" s="470" t="s">
        <v>378</v>
      </c>
      <c r="R41" s="470" t="s">
        <v>163</v>
      </c>
      <c r="S41" s="1653"/>
      <c r="T41" s="1653"/>
      <c r="U41" s="1653"/>
      <c r="V41" s="312"/>
      <c r="W41" s="625"/>
      <c r="X41" s="625"/>
      <c r="Y41" s="609" t="s">
        <v>377</v>
      </c>
      <c r="Z41" s="609" t="s">
        <v>378</v>
      </c>
      <c r="AA41" s="625"/>
      <c r="AB41" s="625"/>
      <c r="AC41" s="625"/>
      <c r="AD41" s="625"/>
      <c r="AE41" s="625"/>
      <c r="AF41" s="625"/>
    </row>
    <row r="42" spans="1:32" ht="15.95" customHeight="1">
      <c r="A42" s="447"/>
      <c r="B42" s="447"/>
      <c r="C42" s="1514"/>
      <c r="D42" s="1514"/>
      <c r="E42" s="1514"/>
      <c r="F42" s="1514"/>
      <c r="G42" s="1514"/>
      <c r="H42" s="1514"/>
      <c r="I42" s="1514"/>
      <c r="J42" s="1514"/>
      <c r="K42" s="447"/>
      <c r="L42" s="447"/>
      <c r="M42" s="309"/>
      <c r="N42" s="388"/>
      <c r="O42" s="467" t="s">
        <v>382</v>
      </c>
      <c r="P42" s="731">
        <v>7406</v>
      </c>
      <c r="Q42" s="732">
        <v>9892</v>
      </c>
      <c r="R42" s="471">
        <f>'FIG3'!E19</f>
        <v>11741.223774848462</v>
      </c>
      <c r="S42" s="1653"/>
      <c r="T42" s="1653"/>
      <c r="U42" s="1653"/>
      <c r="V42" s="312"/>
      <c r="W42" s="733" t="s">
        <v>382</v>
      </c>
      <c r="X42" s="606"/>
      <c r="Y42" s="736">
        <v>0</v>
      </c>
      <c r="Z42" s="737">
        <v>0</v>
      </c>
      <c r="AA42" s="625"/>
      <c r="AB42" s="625"/>
      <c r="AC42" s="422"/>
      <c r="AD42" s="625"/>
      <c r="AE42" s="625"/>
      <c r="AF42" s="625"/>
    </row>
    <row r="43" spans="1:32" ht="15.95" customHeight="1">
      <c r="A43" s="447"/>
      <c r="B43" s="447"/>
      <c r="C43" s="1514"/>
      <c r="D43" s="1514"/>
      <c r="E43" s="1514"/>
      <c r="F43" s="1514"/>
      <c r="G43" s="1514"/>
      <c r="H43" s="1514"/>
      <c r="I43" s="1514"/>
      <c r="J43" s="1514"/>
      <c r="K43" s="447"/>
      <c r="L43" s="447"/>
      <c r="M43" s="309"/>
      <c r="N43" s="388"/>
      <c r="O43" s="468" t="s">
        <v>383</v>
      </c>
      <c r="P43" s="731">
        <v>5125</v>
      </c>
      <c r="Q43" s="732">
        <v>8880</v>
      </c>
      <c r="R43" s="471">
        <f>'FIG3'!F19</f>
        <v>8471.9359651035993</v>
      </c>
      <c r="S43" s="1653"/>
      <c r="T43" s="1653"/>
      <c r="U43" s="1653"/>
      <c r="V43" s="312"/>
      <c r="W43" s="734" t="s">
        <v>383</v>
      </c>
      <c r="X43" s="607"/>
      <c r="Y43" s="736">
        <v>0</v>
      </c>
      <c r="Z43" s="737">
        <v>0</v>
      </c>
      <c r="AA43" s="625"/>
      <c r="AB43" s="625"/>
      <c r="AC43" s="625"/>
      <c r="AD43" s="625"/>
      <c r="AE43" s="625"/>
      <c r="AF43" s="625"/>
    </row>
    <row r="44" spans="1:32" ht="15.95" customHeight="1">
      <c r="A44" s="447"/>
      <c r="B44" s="447"/>
      <c r="C44" s="1514"/>
      <c r="D44" s="1514"/>
      <c r="E44" s="1514"/>
      <c r="F44" s="1514"/>
      <c r="G44" s="1514"/>
      <c r="H44" s="1514"/>
      <c r="I44" s="1514"/>
      <c r="J44" s="1514"/>
      <c r="K44" s="447"/>
      <c r="L44" s="447"/>
      <c r="M44" s="309"/>
      <c r="N44" s="388"/>
      <c r="O44" s="458" t="str">
        <f>'FIG3'!$W$52&amp;" "&amp;'FIG3'!$X$52&amp;"-D"</f>
        <v>Fulton County District-D</v>
      </c>
      <c r="P44" s="731">
        <v>11748</v>
      </c>
      <c r="Q44" s="732">
        <v>11009</v>
      </c>
      <c r="R44" s="471">
        <f>'FIG3'!I19</f>
        <v>12854.092351008807</v>
      </c>
      <c r="S44" s="1653"/>
      <c r="T44" s="1653"/>
      <c r="U44" s="1653"/>
      <c r="V44" s="312"/>
      <c r="W44" s="735" t="str">
        <f>'FIG3'!$W$52&amp;" "&amp;'FIG3'!$X$52&amp;"-D"</f>
        <v>Fulton County District-D</v>
      </c>
      <c r="X44" s="608"/>
      <c r="Y44" s="736">
        <v>0</v>
      </c>
      <c r="Z44" s="737">
        <v>0</v>
      </c>
      <c r="AA44" s="625"/>
      <c r="AB44" s="625"/>
      <c r="AC44" s="625"/>
      <c r="AD44" s="625"/>
      <c r="AE44" s="625"/>
      <c r="AF44" s="625"/>
    </row>
    <row r="45" spans="1:32" ht="15.95" customHeight="1">
      <c r="A45" s="447"/>
      <c r="B45" s="447"/>
      <c r="C45" s="447"/>
      <c r="D45" s="447"/>
      <c r="E45" s="447"/>
      <c r="F45" s="447"/>
      <c r="G45" s="447"/>
      <c r="H45" s="447"/>
      <c r="I45" s="447"/>
      <c r="J45" s="447"/>
      <c r="K45" s="447"/>
      <c r="L45" s="447"/>
      <c r="M45" s="309"/>
      <c r="N45" s="388"/>
      <c r="O45" s="458" t="str">
        <f>'FIG3'!$W$52&amp;" "&amp;'FIG3'!$X$52&amp;"-C"</f>
        <v>Fulton County District-C</v>
      </c>
      <c r="P45" s="731">
        <v>9325</v>
      </c>
      <c r="Q45" s="732">
        <v>8536</v>
      </c>
      <c r="R45" s="471">
        <f>'FIG3'!J19</f>
        <v>9869.7823108993471</v>
      </c>
      <c r="S45" s="1653"/>
      <c r="T45" s="1653"/>
      <c r="U45" s="1653"/>
      <c r="V45" s="312"/>
      <c r="W45" s="735" t="str">
        <f>'FIG3'!$W$52&amp;" "&amp;'FIG3'!$X$52&amp;"-C"</f>
        <v>Fulton County District-C</v>
      </c>
      <c r="X45" s="608"/>
      <c r="Y45" s="736">
        <v>0</v>
      </c>
      <c r="Z45" s="737">
        <v>0</v>
      </c>
      <c r="AA45" s="625"/>
      <c r="AB45" s="1655" t="s">
        <v>513</v>
      </c>
      <c r="AC45" s="1655"/>
      <c r="AD45" s="1655"/>
      <c r="AE45" s="1655"/>
      <c r="AF45" s="1655"/>
    </row>
    <row r="46" spans="1:32" ht="15.95" customHeight="1">
      <c r="A46" s="447"/>
      <c r="B46" s="447"/>
      <c r="C46" s="447"/>
      <c r="D46" s="447"/>
      <c r="E46" s="447"/>
      <c r="F46" s="447"/>
      <c r="G46" s="447"/>
      <c r="H46" s="447"/>
      <c r="I46" s="447"/>
      <c r="J46" s="447"/>
      <c r="K46" s="447"/>
      <c r="L46" s="447"/>
      <c r="M46" s="309"/>
      <c r="N46" s="388"/>
      <c r="O46" s="459" t="str">
        <f>'FIG3'!$W$53&amp;" "&amp;'FIG3'!$X$53&amp;"-D"</f>
        <v>Atlanta Public Schools-D</v>
      </c>
      <c r="P46" s="732">
        <v>12766</v>
      </c>
      <c r="Q46" s="732">
        <v>15720</v>
      </c>
      <c r="R46" s="471">
        <f>'FIG3'!K19</f>
        <v>18980.36097992758</v>
      </c>
      <c r="S46" s="1653"/>
      <c r="T46" s="1653"/>
      <c r="U46" s="1653"/>
      <c r="V46" s="312"/>
      <c r="W46" s="735" t="str">
        <f>'FIG3'!$W$53&amp;" "&amp;'FIG3'!$X$53&amp;"-D"</f>
        <v>Atlanta Public Schools-D</v>
      </c>
      <c r="X46" s="608"/>
      <c r="Y46" s="736">
        <v>0</v>
      </c>
      <c r="Z46" s="737">
        <v>0</v>
      </c>
      <c r="AA46" s="625"/>
      <c r="AB46" s="1655"/>
      <c r="AC46" s="1655"/>
      <c r="AD46" s="1655"/>
      <c r="AE46" s="1655"/>
      <c r="AF46" s="1655"/>
    </row>
    <row r="47" spans="1:32" ht="15.95" customHeight="1">
      <c r="A47" s="447"/>
      <c r="B47" s="447"/>
      <c r="C47" s="1650" t="s">
        <v>381</v>
      </c>
      <c r="D47" s="1650"/>
      <c r="E47" s="1650"/>
      <c r="F47" s="1650"/>
      <c r="G47" s="1650"/>
      <c r="H47" s="1650"/>
      <c r="I47" s="1650"/>
      <c r="J47" s="1650"/>
      <c r="K47" s="447"/>
      <c r="L47" s="447"/>
      <c r="M47" s="309"/>
      <c r="N47" s="388"/>
      <c r="O47" s="459" t="str">
        <f>'FIG3'!$W$53&amp;" "&amp;'FIG3'!$X$53&amp;"-C"</f>
        <v>Atlanta Public Schools-C</v>
      </c>
      <c r="P47" s="732">
        <v>7949</v>
      </c>
      <c r="Q47" s="732">
        <v>11237</v>
      </c>
      <c r="R47" s="471">
        <f>'FIG3'!L19</f>
        <v>13174.164996504313</v>
      </c>
      <c r="S47" s="1653"/>
      <c r="T47" s="1653"/>
      <c r="U47" s="1653"/>
      <c r="V47" s="314"/>
      <c r="W47" s="735" t="str">
        <f>'FIG3'!$W$53&amp;" "&amp;'FIG3'!$X$53&amp;"-C"</f>
        <v>Atlanta Public Schools-C</v>
      </c>
      <c r="X47" s="608"/>
      <c r="Y47" s="736">
        <v>0</v>
      </c>
      <c r="Z47" s="737">
        <v>0</v>
      </c>
      <c r="AA47" s="625"/>
      <c r="AB47" s="1655"/>
      <c r="AC47" s="1655"/>
      <c r="AD47" s="1655"/>
      <c r="AE47" s="1655"/>
      <c r="AF47" s="1655"/>
    </row>
    <row r="48" spans="1:32" ht="15.95" customHeight="1">
      <c r="A48" s="447"/>
      <c r="B48" s="447"/>
      <c r="C48" s="1650"/>
      <c r="D48" s="1650"/>
      <c r="E48" s="1650"/>
      <c r="F48" s="1650"/>
      <c r="G48" s="1650"/>
      <c r="H48" s="1650"/>
      <c r="I48" s="1650"/>
      <c r="J48" s="1650"/>
      <c r="K48" s="447"/>
      <c r="L48" s="447"/>
      <c r="M48" s="309"/>
      <c r="N48" s="388"/>
      <c r="O48" s="459" t="str">
        <f>'FIG3'!$W$54&amp;" "&amp;'FIG3'!$X$54&amp;"-D"</f>
        <v>FA3L1 FA3L2-D</v>
      </c>
      <c r="P48" s="732">
        <v>0</v>
      </c>
      <c r="Q48" s="732">
        <v>0</v>
      </c>
      <c r="R48" s="471" t="e">
        <f>'FIG3'!M19</f>
        <v>#DIV/0!</v>
      </c>
      <c r="S48" s="1653"/>
      <c r="T48" s="1653"/>
      <c r="U48" s="1653"/>
      <c r="V48" s="314"/>
      <c r="W48" s="735" t="str">
        <f>'FIG3'!$W$54&amp;" "&amp;'FIG3'!$X$54&amp;"-D"</f>
        <v>FA3L1 FA3L2-D</v>
      </c>
      <c r="X48" s="608"/>
      <c r="Y48" s="736">
        <v>0</v>
      </c>
      <c r="Z48" s="737">
        <v>0</v>
      </c>
      <c r="AA48" s="625"/>
      <c r="AB48" s="1655"/>
      <c r="AC48" s="1655"/>
      <c r="AD48" s="1655"/>
      <c r="AE48" s="1655"/>
      <c r="AF48" s="1655"/>
    </row>
    <row r="49" spans="1:32" ht="15.95" customHeight="1">
      <c r="A49" s="447"/>
      <c r="B49" s="447"/>
      <c r="C49" s="1650"/>
      <c r="D49" s="1650"/>
      <c r="E49" s="1650"/>
      <c r="F49" s="1650"/>
      <c r="G49" s="1650"/>
      <c r="H49" s="1650"/>
      <c r="I49" s="1650"/>
      <c r="J49" s="1650"/>
      <c r="K49" s="447"/>
      <c r="L49" s="447"/>
      <c r="M49" s="309"/>
      <c r="N49" s="388"/>
      <c r="O49" s="459" t="str">
        <f>'FIG3'!$W$54&amp;" "&amp;'FIG3'!$X$54&amp;"-C"</f>
        <v>FA3L1 FA3L2-C</v>
      </c>
      <c r="P49" s="732">
        <v>0</v>
      </c>
      <c r="Q49" s="732">
        <v>0</v>
      </c>
      <c r="R49" s="471" t="e">
        <f>'FIG3'!N19</f>
        <v>#DIV/0!</v>
      </c>
      <c r="S49" s="1653"/>
      <c r="T49" s="1653"/>
      <c r="U49" s="1653"/>
      <c r="V49" s="314"/>
      <c r="W49" s="735" t="str">
        <f>'FIG3'!$W$54&amp;" "&amp;'FIG3'!$X$54&amp;"-C"</f>
        <v>FA3L1 FA3L2-C</v>
      </c>
      <c r="X49" s="608"/>
      <c r="Y49" s="736">
        <v>0</v>
      </c>
      <c r="Z49" s="737">
        <v>0</v>
      </c>
      <c r="AA49" s="625"/>
      <c r="AB49" s="625"/>
      <c r="AC49" s="625"/>
      <c r="AD49" s="625"/>
      <c r="AE49" s="625"/>
      <c r="AF49" s="625"/>
    </row>
    <row r="50" spans="1:32" ht="15.95" customHeight="1">
      <c r="A50" s="447"/>
      <c r="B50" s="447"/>
      <c r="C50" s="1650"/>
      <c r="D50" s="1650"/>
      <c r="E50" s="1650"/>
      <c r="F50" s="1650"/>
      <c r="G50" s="1650"/>
      <c r="H50" s="1650"/>
      <c r="I50" s="1650"/>
      <c r="J50" s="1650"/>
      <c r="K50" s="447"/>
      <c r="L50" s="447"/>
      <c r="M50" s="309"/>
      <c r="N50" s="388"/>
      <c r="O50" s="459" t="str">
        <f>'FIG3'!$W$55&amp;" "&amp;'FIG3'!$X$55&amp;"-D"</f>
        <v>FA4L1 FA4L2-D</v>
      </c>
      <c r="P50" s="732">
        <v>0</v>
      </c>
      <c r="Q50" s="732">
        <v>0</v>
      </c>
      <c r="R50" s="471" t="e">
        <f>'FIG3'!O19</f>
        <v>#DIV/0!</v>
      </c>
      <c r="S50" s="1653"/>
      <c r="T50" s="1653"/>
      <c r="U50" s="1653"/>
      <c r="V50" s="314"/>
      <c r="W50" s="735" t="str">
        <f>'FIG3'!$W$55&amp;" "&amp;'FIG3'!$X$55&amp;"-D"</f>
        <v>FA4L1 FA4L2-D</v>
      </c>
      <c r="X50" s="608"/>
      <c r="Y50" s="736">
        <v>0</v>
      </c>
      <c r="Z50" s="737">
        <v>0</v>
      </c>
      <c r="AA50" s="625"/>
      <c r="AB50" s="625"/>
      <c r="AC50" s="625"/>
      <c r="AD50" s="625"/>
      <c r="AE50" s="625"/>
      <c r="AF50" s="625"/>
    </row>
    <row r="51" spans="1:32" ht="15.95" customHeight="1">
      <c r="A51" s="447"/>
      <c r="B51" s="447"/>
      <c r="C51" s="1650"/>
      <c r="D51" s="1650"/>
      <c r="E51" s="1650"/>
      <c r="F51" s="1650"/>
      <c r="G51" s="1650"/>
      <c r="H51" s="1650"/>
      <c r="I51" s="1650"/>
      <c r="J51" s="1650"/>
      <c r="K51" s="447"/>
      <c r="L51" s="447"/>
      <c r="M51" s="309"/>
      <c r="N51" s="388"/>
      <c r="O51" s="459" t="str">
        <f>'FIG3'!$W$55&amp;" "&amp;'FIG3'!$X$55&amp;"-C"</f>
        <v>FA4L1 FA4L2-C</v>
      </c>
      <c r="P51" s="732">
        <v>0</v>
      </c>
      <c r="Q51" s="732">
        <v>0</v>
      </c>
      <c r="R51" s="471" t="e">
        <f>'FIG3'!P19</f>
        <v>#DIV/0!</v>
      </c>
      <c r="S51" s="1653"/>
      <c r="T51" s="1653"/>
      <c r="U51" s="1653"/>
      <c r="V51" s="314"/>
      <c r="W51" s="735" t="str">
        <f>'FIG3'!$W$55&amp;" "&amp;'FIG3'!$X$55&amp;"-C"</f>
        <v>FA4L1 FA4L2-C</v>
      </c>
      <c r="X51" s="608"/>
      <c r="Y51" s="736">
        <v>0</v>
      </c>
      <c r="Z51" s="737">
        <v>0</v>
      </c>
      <c r="AA51" s="625"/>
      <c r="AB51" s="625"/>
      <c r="AC51" s="625"/>
      <c r="AD51" s="625"/>
      <c r="AE51" s="625"/>
      <c r="AF51" s="625"/>
    </row>
    <row r="52" spans="1:32" ht="15.95" customHeight="1">
      <c r="A52" s="447"/>
      <c r="B52" s="447"/>
      <c r="C52" s="1650"/>
      <c r="D52" s="1650"/>
      <c r="E52" s="1650"/>
      <c r="F52" s="1650"/>
      <c r="G52" s="1650"/>
      <c r="H52" s="1650"/>
      <c r="I52" s="1650"/>
      <c r="J52" s="1650"/>
      <c r="K52" s="447"/>
      <c r="L52" s="447"/>
      <c r="M52" s="309"/>
      <c r="N52" s="388"/>
      <c r="O52" s="459" t="str">
        <f>'FIG3'!$W$56&amp;" "&amp;'FIG3'!$X$56&amp;"-D"</f>
        <v>FA5L1 FA5L2-D</v>
      </c>
      <c r="P52" s="732">
        <v>0</v>
      </c>
      <c r="Q52" s="732">
        <v>0</v>
      </c>
      <c r="R52" s="471" t="e">
        <f>'FIG3'!Q19</f>
        <v>#DIV/0!</v>
      </c>
      <c r="S52" s="1653"/>
      <c r="T52" s="1653"/>
      <c r="U52" s="1653"/>
      <c r="V52" s="312"/>
      <c r="W52" s="735" t="str">
        <f>'FIG3'!$W$56&amp;" "&amp;'FIG3'!$X$56&amp;"-D"</f>
        <v>FA5L1 FA5L2-D</v>
      </c>
      <c r="X52" s="608"/>
      <c r="Y52" s="736">
        <v>0</v>
      </c>
      <c r="Z52" s="737">
        <v>0</v>
      </c>
      <c r="AA52" s="625"/>
      <c r="AB52" s="625"/>
      <c r="AC52" s="625"/>
      <c r="AD52" s="625"/>
      <c r="AE52" s="625"/>
      <c r="AF52" s="625"/>
    </row>
    <row r="53" spans="1:32" ht="15.95" customHeight="1">
      <c r="A53" s="447"/>
      <c r="B53" s="447"/>
      <c r="C53" s="1650"/>
      <c r="D53" s="1650"/>
      <c r="E53" s="1650"/>
      <c r="F53" s="1650"/>
      <c r="G53" s="1650"/>
      <c r="H53" s="1650"/>
      <c r="I53" s="1650"/>
      <c r="J53" s="1650"/>
      <c r="K53" s="447"/>
      <c r="L53" s="447"/>
      <c r="M53" s="309"/>
      <c r="N53" s="388"/>
      <c r="O53" s="459" t="str">
        <f>'FIG3'!$W$56&amp;" "&amp;'FIG3'!$X$56&amp;"-C"</f>
        <v>FA5L1 FA5L2-C</v>
      </c>
      <c r="P53" s="732">
        <v>0</v>
      </c>
      <c r="Q53" s="732">
        <v>0</v>
      </c>
      <c r="R53" s="471" t="e">
        <f>'FIG3'!R19</f>
        <v>#DIV/0!</v>
      </c>
      <c r="S53" s="1653"/>
      <c r="T53" s="1653"/>
      <c r="U53" s="1653"/>
      <c r="V53" s="429"/>
      <c r="W53" s="735" t="str">
        <f>'FIG3'!$W$56&amp;" "&amp;'FIG3'!$X$56&amp;"-C"</f>
        <v>FA5L1 FA5L2-C</v>
      </c>
      <c r="X53" s="608"/>
      <c r="Y53" s="736">
        <v>0</v>
      </c>
      <c r="Z53" s="737">
        <v>0</v>
      </c>
      <c r="AA53" s="625"/>
      <c r="AB53" s="625"/>
      <c r="AC53" s="625"/>
      <c r="AD53" s="625"/>
      <c r="AE53" s="625"/>
      <c r="AF53" s="625"/>
    </row>
    <row r="54" spans="1:32" ht="15.95" customHeight="1">
      <c r="A54" s="447"/>
      <c r="B54" s="447"/>
      <c r="C54" s="1650"/>
      <c r="D54" s="1650"/>
      <c r="E54" s="1650"/>
      <c r="F54" s="1650"/>
      <c r="G54" s="1650"/>
      <c r="H54" s="1650"/>
      <c r="I54" s="1650"/>
      <c r="J54" s="1650"/>
      <c r="K54" s="447"/>
      <c r="L54" s="447"/>
      <c r="M54" s="309"/>
      <c r="N54" s="388"/>
      <c r="O54" s="1649" t="s">
        <v>459</v>
      </c>
      <c r="P54" s="1649"/>
      <c r="Q54" s="1649"/>
      <c r="R54" s="1649"/>
      <c r="S54" s="1649"/>
      <c r="T54" s="1649"/>
      <c r="U54" s="1649"/>
      <c r="V54" s="429"/>
      <c r="W54" s="625"/>
      <c r="X54" s="359"/>
      <c r="Y54" s="625"/>
      <c r="Z54" s="625"/>
      <c r="AA54" s="625"/>
      <c r="AB54" s="625"/>
      <c r="AC54" s="625"/>
      <c r="AD54" s="625"/>
      <c r="AE54" s="625"/>
      <c r="AF54" s="625"/>
    </row>
    <row r="55" spans="1:32" ht="15.95" customHeight="1">
      <c r="A55" s="447"/>
      <c r="B55" s="447"/>
      <c r="C55" s="447"/>
      <c r="D55" s="447"/>
      <c r="E55" s="447"/>
      <c r="F55" s="447"/>
      <c r="G55" s="447"/>
      <c r="H55" s="447"/>
      <c r="I55" s="447"/>
      <c r="J55" s="447"/>
      <c r="K55" s="447"/>
      <c r="L55" s="447"/>
      <c r="M55" s="309"/>
      <c r="N55" s="389"/>
      <c r="O55" s="1649"/>
      <c r="P55" s="1649"/>
      <c r="Q55" s="1649"/>
      <c r="R55" s="1649"/>
      <c r="S55" s="1649"/>
      <c r="T55" s="1649"/>
      <c r="U55" s="1649"/>
      <c r="V55" s="429"/>
      <c r="W55" s="625"/>
      <c r="X55" s="625"/>
      <c r="Y55" s="625"/>
      <c r="Z55" s="625"/>
      <c r="AA55" s="625"/>
      <c r="AB55" s="625"/>
      <c r="AC55" s="625"/>
      <c r="AD55" s="625"/>
      <c r="AE55" s="625"/>
      <c r="AF55" s="625"/>
    </row>
    <row r="56" spans="1:32" ht="15.95" customHeight="1">
      <c r="A56" s="447"/>
      <c r="B56" s="447"/>
      <c r="C56" s="447"/>
      <c r="D56" s="447"/>
      <c r="E56" s="447"/>
      <c r="F56" s="447"/>
      <c r="G56" s="447"/>
      <c r="H56" s="447"/>
      <c r="I56" s="447"/>
      <c r="J56" s="447"/>
      <c r="K56" s="447"/>
      <c r="L56" s="447"/>
      <c r="M56" s="309"/>
      <c r="N56" s="389"/>
      <c r="O56" s="1649"/>
      <c r="P56" s="1649"/>
      <c r="Q56" s="1649"/>
      <c r="R56" s="1649"/>
      <c r="S56" s="1649"/>
      <c r="T56" s="1649"/>
      <c r="U56" s="1649"/>
      <c r="V56" s="429"/>
      <c r="W56" s="625"/>
      <c r="X56" s="625"/>
      <c r="Y56" s="625"/>
      <c r="Z56" s="625"/>
      <c r="AA56" s="625"/>
      <c r="AB56" s="625"/>
      <c r="AC56" s="625"/>
      <c r="AD56" s="625"/>
      <c r="AE56" s="625"/>
      <c r="AF56" s="625"/>
    </row>
    <row r="57" spans="1:32" ht="15.95" customHeight="1">
      <c r="A57" s="447"/>
      <c r="B57" s="447"/>
      <c r="C57" s="447"/>
      <c r="D57" s="447"/>
      <c r="E57" s="447"/>
      <c r="F57" s="447"/>
      <c r="G57" s="447"/>
      <c r="H57" s="447"/>
      <c r="I57" s="447"/>
      <c r="J57" s="447"/>
      <c r="K57" s="447"/>
      <c r="L57" s="447"/>
      <c r="M57" s="309"/>
      <c r="N57" s="389"/>
      <c r="O57" s="1649"/>
      <c r="P57" s="1649"/>
      <c r="Q57" s="1649"/>
      <c r="R57" s="1649"/>
      <c r="S57" s="1649"/>
      <c r="T57" s="1649"/>
      <c r="U57" s="1649"/>
      <c r="V57" s="312"/>
      <c r="W57" s="625"/>
      <c r="X57" s="625"/>
      <c r="Y57" s="625"/>
      <c r="Z57" s="625"/>
      <c r="AA57" s="625"/>
      <c r="AB57" s="625"/>
      <c r="AC57" s="625"/>
      <c r="AD57" s="625"/>
      <c r="AE57" s="625"/>
      <c r="AF57" s="625"/>
    </row>
    <row r="58" spans="1:32" ht="15.95" customHeight="1">
      <c r="A58" s="447"/>
      <c r="B58" s="447"/>
      <c r="C58" s="1514" t="s">
        <v>415</v>
      </c>
      <c r="D58" s="1514"/>
      <c r="E58" s="1514"/>
      <c r="F58" s="1514"/>
      <c r="G58" s="1514"/>
      <c r="H58" s="1514"/>
      <c r="I58" s="1514"/>
      <c r="J58" s="1514"/>
      <c r="K58" s="447"/>
      <c r="L58" s="447"/>
      <c r="M58" s="309"/>
      <c r="N58" s="389"/>
      <c r="O58" s="1649"/>
      <c r="P58" s="1649"/>
      <c r="Q58" s="1649"/>
      <c r="R58" s="1649"/>
      <c r="S58" s="1649"/>
      <c r="T58" s="1649"/>
      <c r="U58" s="1649"/>
      <c r="V58" s="625"/>
      <c r="W58" s="625"/>
      <c r="X58" s="625"/>
      <c r="Y58" s="625"/>
      <c r="Z58" s="625"/>
      <c r="AA58" s="625"/>
      <c r="AB58" s="625"/>
      <c r="AC58" s="625"/>
      <c r="AD58" s="625"/>
      <c r="AE58" s="625"/>
      <c r="AF58" s="625"/>
    </row>
    <row r="59" spans="1:32" ht="15.95" customHeight="1">
      <c r="A59" s="447"/>
      <c r="B59" s="447"/>
      <c r="C59" s="1514"/>
      <c r="D59" s="1514"/>
      <c r="E59" s="1514"/>
      <c r="F59" s="1514"/>
      <c r="G59" s="1514"/>
      <c r="H59" s="1514"/>
      <c r="I59" s="1514"/>
      <c r="J59" s="1514"/>
      <c r="K59" s="447"/>
      <c r="L59" s="447"/>
      <c r="M59" s="309"/>
      <c r="N59" s="389"/>
      <c r="O59" s="389"/>
      <c r="P59" s="389"/>
      <c r="Q59" s="389"/>
      <c r="R59" s="389"/>
      <c r="S59" s="389"/>
      <c r="T59" s="389"/>
      <c r="U59" s="389"/>
      <c r="V59" s="625"/>
      <c r="W59" s="625"/>
      <c r="X59" s="625"/>
      <c r="Y59" s="625"/>
      <c r="Z59" s="377"/>
      <c r="AA59" s="377"/>
      <c r="AB59" s="625"/>
      <c r="AC59" s="625"/>
      <c r="AD59" s="625"/>
      <c r="AE59" s="625"/>
      <c r="AF59" s="625"/>
    </row>
    <row r="60" spans="1:32" ht="15.95" customHeight="1">
      <c r="A60" s="447"/>
      <c r="B60" s="447"/>
      <c r="C60" s="1514"/>
      <c r="D60" s="1514"/>
      <c r="E60" s="1514"/>
      <c r="F60" s="1514"/>
      <c r="G60" s="1514"/>
      <c r="H60" s="1514"/>
      <c r="I60" s="1514"/>
      <c r="J60" s="1514"/>
      <c r="K60" s="447"/>
      <c r="L60" s="447"/>
      <c r="M60" s="309"/>
      <c r="N60" s="389"/>
      <c r="O60" s="601"/>
      <c r="P60" s="602" t="s">
        <v>476</v>
      </c>
      <c r="Q60" s="602" t="s">
        <v>477</v>
      </c>
      <c r="R60" s="602" t="s">
        <v>512</v>
      </c>
      <c r="S60" s="1651" t="s">
        <v>517</v>
      </c>
      <c r="T60" s="1652"/>
      <c r="U60" s="1652"/>
      <c r="V60" s="613"/>
      <c r="W60" s="625" t="s">
        <v>482</v>
      </c>
      <c r="X60" s="610"/>
      <c r="Y60" s="610"/>
      <c r="Z60" s="423"/>
      <c r="AA60" s="377"/>
      <c r="AB60" s="625"/>
      <c r="AC60" s="625"/>
      <c r="AD60" s="625"/>
      <c r="AE60" s="625"/>
      <c r="AF60" s="625"/>
    </row>
    <row r="61" spans="1:32" ht="15.95" customHeight="1">
      <c r="A61" s="447"/>
      <c r="B61" s="447"/>
      <c r="C61" s="1514"/>
      <c r="D61" s="1514"/>
      <c r="E61" s="1514"/>
      <c r="F61" s="1514"/>
      <c r="G61" s="1514"/>
      <c r="H61" s="1514"/>
      <c r="I61" s="1514"/>
      <c r="J61" s="1514"/>
      <c r="K61" s="447"/>
      <c r="L61" s="447"/>
      <c r="M61" s="309"/>
      <c r="N61" s="389"/>
      <c r="O61" s="603" t="str">
        <f t="shared" ref="O61:O72" si="0">O42</f>
        <v>Statewide District (D)</v>
      </c>
      <c r="P61" s="604">
        <f t="shared" ref="P61:R72" si="1">P42*P$40</f>
        <v>8368.7799999999988</v>
      </c>
      <c r="Q61" s="605">
        <f t="shared" si="1"/>
        <v>9892</v>
      </c>
      <c r="R61" s="605">
        <f t="shared" si="1"/>
        <v>10801.925872860586</v>
      </c>
      <c r="S61" s="1651"/>
      <c r="T61" s="1652"/>
      <c r="U61" s="1652"/>
      <c r="V61" s="625"/>
      <c r="W61" s="625"/>
      <c r="X61" s="611"/>
      <c r="Y61" s="612"/>
      <c r="Z61" s="377"/>
      <c r="AA61" s="430"/>
      <c r="AB61" s="431"/>
      <c r="AC61" s="625"/>
      <c r="AD61" s="625"/>
      <c r="AE61" s="625"/>
      <c r="AF61" s="625"/>
    </row>
    <row r="62" spans="1:32" ht="15.95" customHeight="1">
      <c r="A62" s="447"/>
      <c r="B62" s="447"/>
      <c r="C62" s="1514"/>
      <c r="D62" s="1514"/>
      <c r="E62" s="1514"/>
      <c r="F62" s="1514"/>
      <c r="G62" s="1514"/>
      <c r="H62" s="1514"/>
      <c r="I62" s="1514"/>
      <c r="J62" s="1514"/>
      <c r="K62" s="447"/>
      <c r="L62" s="447"/>
      <c r="M62" s="309"/>
      <c r="N62" s="389"/>
      <c r="O62" s="603" t="str">
        <f t="shared" si="0"/>
        <v>Statewide Charter (C)</v>
      </c>
      <c r="P62" s="604">
        <f t="shared" si="1"/>
        <v>5791.2499999999991</v>
      </c>
      <c r="Q62" s="605">
        <f t="shared" si="1"/>
        <v>8880</v>
      </c>
      <c r="R62" s="605">
        <f t="shared" si="1"/>
        <v>7794.181087895312</v>
      </c>
      <c r="S62" s="1651"/>
      <c r="T62" s="1652"/>
      <c r="U62" s="1652"/>
      <c r="V62" s="507"/>
      <c r="W62" s="625" t="s">
        <v>483</v>
      </c>
      <c r="X62" s="611"/>
      <c r="Y62" s="612"/>
      <c r="Z62" s="377"/>
      <c r="AA62" s="430"/>
      <c r="AB62" s="431"/>
      <c r="AC62" s="625"/>
      <c r="AD62" s="625"/>
      <c r="AE62" s="625"/>
      <c r="AF62" s="625"/>
    </row>
    <row r="63" spans="1:32" ht="15.95" customHeight="1">
      <c r="A63" s="447"/>
      <c r="B63" s="447"/>
      <c r="C63" s="1514"/>
      <c r="D63" s="1514"/>
      <c r="E63" s="1514"/>
      <c r="F63" s="1514"/>
      <c r="G63" s="1514"/>
      <c r="H63" s="1514"/>
      <c r="I63" s="1514"/>
      <c r="J63" s="1514"/>
      <c r="K63" s="447"/>
      <c r="L63" s="447"/>
      <c r="M63" s="309"/>
      <c r="N63" s="440"/>
      <c r="O63" s="603" t="str">
        <f t="shared" si="0"/>
        <v>Fulton County District-D</v>
      </c>
      <c r="P63" s="604">
        <f t="shared" si="1"/>
        <v>13275.239999999998</v>
      </c>
      <c r="Q63" s="605">
        <f t="shared" si="1"/>
        <v>11009</v>
      </c>
      <c r="R63" s="605">
        <f t="shared" si="1"/>
        <v>11825.764962928102</v>
      </c>
      <c r="S63" s="1651"/>
      <c r="T63" s="1652"/>
      <c r="U63" s="1652"/>
      <c r="V63" s="625"/>
      <c r="W63" s="625"/>
      <c r="X63" s="611"/>
      <c r="Y63" s="612"/>
      <c r="Z63" s="625"/>
      <c r="AA63" s="430"/>
      <c r="AB63" s="431"/>
      <c r="AC63" s="625"/>
      <c r="AD63" s="625"/>
      <c r="AE63" s="625"/>
      <c r="AF63" s="625"/>
    </row>
    <row r="64" spans="1:32" ht="15.95" customHeight="1">
      <c r="A64" s="447"/>
      <c r="B64" s="447"/>
      <c r="C64" s="1514"/>
      <c r="D64" s="1514"/>
      <c r="E64" s="1514"/>
      <c r="F64" s="1514"/>
      <c r="G64" s="1514"/>
      <c r="H64" s="1514"/>
      <c r="I64" s="1514"/>
      <c r="J64" s="1514"/>
      <c r="K64" s="447"/>
      <c r="L64" s="447"/>
      <c r="M64" s="309"/>
      <c r="N64" s="389"/>
      <c r="O64" s="603" t="str">
        <f t="shared" si="0"/>
        <v>Fulton County District-C</v>
      </c>
      <c r="P64" s="604">
        <f t="shared" si="1"/>
        <v>10537.249999999998</v>
      </c>
      <c r="Q64" s="605">
        <f t="shared" si="1"/>
        <v>8536</v>
      </c>
      <c r="R64" s="605">
        <f t="shared" si="1"/>
        <v>9080.1997260274002</v>
      </c>
      <c r="S64" s="1651"/>
      <c r="T64" s="1652"/>
      <c r="U64" s="1652"/>
      <c r="V64" s="625"/>
      <c r="W64" s="625"/>
      <c r="X64" s="611"/>
      <c r="Y64" s="612"/>
      <c r="Z64" s="625"/>
      <c r="AA64" s="430"/>
      <c r="AB64" s="431"/>
      <c r="AC64" s="625"/>
      <c r="AD64" s="625"/>
      <c r="AE64" s="625"/>
      <c r="AF64" s="625"/>
    </row>
    <row r="65" spans="1:32" ht="15.95" customHeight="1">
      <c r="A65" s="447"/>
      <c r="B65" s="447"/>
      <c r="C65" s="1514"/>
      <c r="D65" s="1514"/>
      <c r="E65" s="1514"/>
      <c r="F65" s="1514"/>
      <c r="G65" s="1514"/>
      <c r="H65" s="1514"/>
      <c r="I65" s="1514"/>
      <c r="J65" s="1514"/>
      <c r="K65" s="447"/>
      <c r="L65" s="447"/>
      <c r="M65" s="309"/>
      <c r="N65" s="389"/>
      <c r="O65" s="603" t="str">
        <f t="shared" si="0"/>
        <v>Atlanta Public Schools-D</v>
      </c>
      <c r="P65" s="605">
        <f t="shared" si="1"/>
        <v>14425.579999999998</v>
      </c>
      <c r="Q65" s="605">
        <f t="shared" si="1"/>
        <v>15720</v>
      </c>
      <c r="R65" s="604">
        <f t="shared" si="1"/>
        <v>17461.932101533373</v>
      </c>
      <c r="S65" s="1651"/>
      <c r="T65" s="1652"/>
      <c r="U65" s="1652"/>
      <c r="V65" s="625"/>
      <c r="W65" s="625"/>
      <c r="X65" s="612"/>
      <c r="Y65" s="612"/>
      <c r="Z65" s="625"/>
      <c r="AA65" s="625"/>
      <c r="AB65" s="625"/>
      <c r="AC65" s="625"/>
      <c r="AD65" s="625"/>
      <c r="AE65" s="625"/>
      <c r="AF65" s="625"/>
    </row>
    <row r="66" spans="1:32" ht="15.95" customHeight="1">
      <c r="A66" s="447"/>
      <c r="B66" s="447"/>
      <c r="C66" s="1514"/>
      <c r="D66" s="1514"/>
      <c r="E66" s="1514"/>
      <c r="F66" s="1514"/>
      <c r="G66" s="1514"/>
      <c r="H66" s="1514"/>
      <c r="I66" s="1514"/>
      <c r="J66" s="1514"/>
      <c r="K66" s="447"/>
      <c r="L66" s="447"/>
      <c r="M66" s="309"/>
      <c r="N66" s="389"/>
      <c r="O66" s="603" t="str">
        <f t="shared" si="0"/>
        <v>Atlanta Public Schools-C</v>
      </c>
      <c r="P66" s="605">
        <f t="shared" si="1"/>
        <v>8982.369999999999</v>
      </c>
      <c r="Q66" s="605">
        <f t="shared" si="1"/>
        <v>11237</v>
      </c>
      <c r="R66" s="604">
        <f t="shared" si="1"/>
        <v>12120.231796783968</v>
      </c>
      <c r="S66" s="1651"/>
      <c r="T66" s="1652"/>
      <c r="U66" s="1652"/>
      <c r="V66" s="625"/>
      <c r="W66" s="625"/>
      <c r="X66" s="612"/>
      <c r="Y66" s="612"/>
      <c r="Z66" s="625"/>
      <c r="AA66" s="625"/>
      <c r="AB66" s="625"/>
      <c r="AC66" s="625"/>
      <c r="AD66" s="625"/>
      <c r="AE66" s="625"/>
      <c r="AF66" s="625"/>
    </row>
    <row r="67" spans="1:32" ht="15.95" customHeight="1">
      <c r="A67" s="447"/>
      <c r="B67" s="447"/>
      <c r="C67" s="1514"/>
      <c r="D67" s="1514"/>
      <c r="E67" s="1514"/>
      <c r="F67" s="1514"/>
      <c r="G67" s="1514"/>
      <c r="H67" s="1514"/>
      <c r="I67" s="1514"/>
      <c r="J67" s="1514"/>
      <c r="K67" s="447"/>
      <c r="L67" s="447"/>
      <c r="M67" s="309"/>
      <c r="N67" s="389"/>
      <c r="O67" s="603" t="str">
        <f t="shared" si="0"/>
        <v>FA3L1 FA3L2-D</v>
      </c>
      <c r="P67" s="605">
        <f t="shared" si="1"/>
        <v>0</v>
      </c>
      <c r="Q67" s="605">
        <f t="shared" si="1"/>
        <v>0</v>
      </c>
      <c r="R67" s="604" t="e">
        <f t="shared" si="1"/>
        <v>#DIV/0!</v>
      </c>
      <c r="S67" s="1651"/>
      <c r="T67" s="1652"/>
      <c r="U67" s="1652"/>
      <c r="V67" s="625"/>
      <c r="W67" s="625"/>
      <c r="X67" s="612"/>
      <c r="Y67" s="612"/>
      <c r="Z67" s="625"/>
      <c r="AA67" s="625"/>
      <c r="AB67" s="625"/>
      <c r="AC67" s="625"/>
      <c r="AD67" s="625"/>
      <c r="AE67" s="625"/>
      <c r="AF67" s="625"/>
    </row>
    <row r="68" spans="1:32" ht="15.95" customHeight="1">
      <c r="A68" s="447"/>
      <c r="B68" s="447"/>
      <c r="C68" s="494"/>
      <c r="D68" s="494"/>
      <c r="E68" s="494"/>
      <c r="F68" s="494"/>
      <c r="G68" s="494"/>
      <c r="H68" s="494"/>
      <c r="I68" s="494"/>
      <c r="J68" s="494"/>
      <c r="K68" s="447"/>
      <c r="L68" s="447"/>
      <c r="M68" s="309"/>
      <c r="N68" s="389"/>
      <c r="O68" s="603" t="str">
        <f t="shared" si="0"/>
        <v>FA3L1 FA3L2-C</v>
      </c>
      <c r="P68" s="605">
        <f t="shared" si="1"/>
        <v>0</v>
      </c>
      <c r="Q68" s="605">
        <f t="shared" si="1"/>
        <v>0</v>
      </c>
      <c r="R68" s="604" t="e">
        <f t="shared" si="1"/>
        <v>#DIV/0!</v>
      </c>
      <c r="S68" s="1651"/>
      <c r="T68" s="1652"/>
      <c r="U68" s="1652"/>
      <c r="V68" s="625"/>
      <c r="W68" s="625"/>
      <c r="X68" s="612"/>
      <c r="Y68" s="612"/>
      <c r="Z68" s="625"/>
      <c r="AA68" s="625"/>
      <c r="AB68" s="625"/>
      <c r="AC68" s="625"/>
      <c r="AD68" s="625"/>
      <c r="AE68" s="625"/>
      <c r="AF68" s="625"/>
    </row>
    <row r="69" spans="1:32" ht="15.95" customHeight="1">
      <c r="A69" s="447"/>
      <c r="B69" s="447"/>
      <c r="C69" s="494"/>
      <c r="D69" s="494"/>
      <c r="E69" s="494"/>
      <c r="F69" s="494"/>
      <c r="G69" s="494"/>
      <c r="H69" s="494"/>
      <c r="I69" s="494"/>
      <c r="J69" s="494"/>
      <c r="K69" s="447"/>
      <c r="L69" s="447"/>
      <c r="M69" s="309"/>
      <c r="N69" s="389"/>
      <c r="O69" s="603" t="str">
        <f t="shared" si="0"/>
        <v>FA4L1 FA4L2-D</v>
      </c>
      <c r="P69" s="605">
        <f t="shared" si="1"/>
        <v>0</v>
      </c>
      <c r="Q69" s="605">
        <f t="shared" si="1"/>
        <v>0</v>
      </c>
      <c r="R69" s="604" t="e">
        <f t="shared" si="1"/>
        <v>#DIV/0!</v>
      </c>
      <c r="S69" s="1651"/>
      <c r="T69" s="1652"/>
      <c r="U69" s="1652"/>
      <c r="V69" s="625"/>
      <c r="W69" s="625"/>
      <c r="X69" s="612"/>
      <c r="Y69" s="612"/>
      <c r="Z69" s="625"/>
      <c r="AA69" s="625"/>
      <c r="AB69" s="625"/>
      <c r="AC69" s="625"/>
      <c r="AD69" s="625"/>
      <c r="AE69" s="625"/>
      <c r="AF69" s="625"/>
    </row>
    <row r="70" spans="1:32" ht="15.95" customHeight="1">
      <c r="A70" s="447"/>
      <c r="B70" s="447"/>
      <c r="C70" s="494"/>
      <c r="D70" s="494"/>
      <c r="E70" s="494"/>
      <c r="F70" s="494"/>
      <c r="G70" s="494"/>
      <c r="H70" s="494"/>
      <c r="I70" s="494"/>
      <c r="J70" s="494"/>
      <c r="K70" s="447"/>
      <c r="L70" s="447"/>
      <c r="M70" s="309"/>
      <c r="N70" s="389"/>
      <c r="O70" s="603" t="str">
        <f t="shared" si="0"/>
        <v>FA4L1 FA4L2-C</v>
      </c>
      <c r="P70" s="605">
        <f t="shared" si="1"/>
        <v>0</v>
      </c>
      <c r="Q70" s="605">
        <f t="shared" si="1"/>
        <v>0</v>
      </c>
      <c r="R70" s="604" t="e">
        <f t="shared" si="1"/>
        <v>#DIV/0!</v>
      </c>
      <c r="S70" s="1651"/>
      <c r="T70" s="1652"/>
      <c r="U70" s="1652"/>
      <c r="V70" s="625"/>
      <c r="W70" s="625"/>
      <c r="X70" s="612"/>
      <c r="Y70" s="612"/>
      <c r="Z70" s="625"/>
      <c r="AA70" s="625"/>
      <c r="AB70" s="625"/>
      <c r="AC70" s="625"/>
      <c r="AD70" s="625"/>
      <c r="AE70" s="625"/>
      <c r="AF70" s="625"/>
    </row>
    <row r="71" spans="1:32" ht="15.95" customHeight="1">
      <c r="A71" s="447"/>
      <c r="B71" s="447"/>
      <c r="C71" s="494"/>
      <c r="D71" s="494"/>
      <c r="E71" s="494"/>
      <c r="F71" s="494"/>
      <c r="G71" s="494"/>
      <c r="H71" s="494"/>
      <c r="I71" s="494"/>
      <c r="J71" s="494"/>
      <c r="K71" s="447"/>
      <c r="L71" s="447"/>
      <c r="M71" s="309"/>
      <c r="N71" s="389"/>
      <c r="O71" s="603" t="str">
        <f t="shared" si="0"/>
        <v>FA5L1 FA5L2-D</v>
      </c>
      <c r="P71" s="605">
        <f t="shared" si="1"/>
        <v>0</v>
      </c>
      <c r="Q71" s="605">
        <f t="shared" si="1"/>
        <v>0</v>
      </c>
      <c r="R71" s="604" t="e">
        <f t="shared" si="1"/>
        <v>#DIV/0!</v>
      </c>
      <c r="S71" s="1651"/>
      <c r="T71" s="1652"/>
      <c r="U71" s="1652"/>
      <c r="V71" s="625"/>
      <c r="W71" s="625"/>
      <c r="X71" s="612"/>
      <c r="Y71" s="612"/>
      <c r="Z71" s="625"/>
      <c r="AA71" s="625"/>
      <c r="AB71" s="625"/>
      <c r="AC71" s="625"/>
      <c r="AD71" s="625"/>
      <c r="AE71" s="625"/>
      <c r="AF71" s="625"/>
    </row>
    <row r="72" spans="1:32" ht="15.95" customHeight="1">
      <c r="A72" s="447"/>
      <c r="B72" s="447"/>
      <c r="C72" s="447"/>
      <c r="D72" s="447"/>
      <c r="E72" s="447"/>
      <c r="F72" s="447"/>
      <c r="G72" s="447"/>
      <c r="H72" s="447"/>
      <c r="I72" s="447"/>
      <c r="J72" s="447"/>
      <c r="K72" s="447"/>
      <c r="L72" s="447"/>
      <c r="M72" s="309"/>
      <c r="N72" s="389"/>
      <c r="O72" s="603" t="str">
        <f t="shared" si="0"/>
        <v>FA5L1 FA5L2-C</v>
      </c>
      <c r="P72" s="605">
        <f t="shared" si="1"/>
        <v>0</v>
      </c>
      <c r="Q72" s="605">
        <f t="shared" si="1"/>
        <v>0</v>
      </c>
      <c r="R72" s="604" t="e">
        <f t="shared" si="1"/>
        <v>#DIV/0!</v>
      </c>
      <c r="S72" s="1651"/>
      <c r="T72" s="1652"/>
      <c r="U72" s="1652"/>
      <c r="V72" s="625"/>
      <c r="W72" s="3"/>
      <c r="X72" s="612"/>
      <c r="Y72" s="612"/>
      <c r="Z72" s="625"/>
      <c r="AA72" s="625"/>
      <c r="AB72" s="625"/>
      <c r="AC72" s="625"/>
      <c r="AD72" s="625"/>
      <c r="AE72" s="625"/>
      <c r="AF72" s="625"/>
    </row>
    <row r="73" spans="1:32" ht="15.95" customHeight="1">
      <c r="A73" s="447"/>
      <c r="B73" s="447"/>
      <c r="C73" s="447"/>
      <c r="D73" s="447"/>
      <c r="E73" s="447"/>
      <c r="F73" s="447"/>
      <c r="G73" s="447"/>
      <c r="H73" s="447"/>
      <c r="I73" s="447"/>
      <c r="J73" s="447"/>
      <c r="K73" s="447"/>
      <c r="L73" s="447"/>
      <c r="M73" s="309"/>
      <c r="N73" s="389"/>
      <c r="O73" s="1649" t="s">
        <v>518</v>
      </c>
      <c r="P73" s="1649"/>
      <c r="Q73" s="1649"/>
      <c r="R73" s="1649"/>
      <c r="S73" s="1649"/>
      <c r="T73" s="1649"/>
      <c r="U73" s="1649"/>
      <c r="V73" s="625"/>
      <c r="W73" s="625"/>
      <c r="X73" s="625"/>
      <c r="Y73" s="625"/>
      <c r="Z73" s="625"/>
      <c r="AA73" s="625"/>
      <c r="AB73" s="625"/>
      <c r="AC73" s="625"/>
      <c r="AD73" s="625"/>
      <c r="AE73" s="625"/>
      <c r="AF73" s="625"/>
    </row>
    <row r="74" spans="1:32" ht="15.95" customHeight="1">
      <c r="A74" s="447"/>
      <c r="B74" s="447"/>
      <c r="C74" s="447"/>
      <c r="D74" s="447"/>
      <c r="E74" s="447"/>
      <c r="F74" s="447"/>
      <c r="G74" s="447"/>
      <c r="H74" s="447"/>
      <c r="I74" s="447"/>
      <c r="J74" s="447"/>
      <c r="K74" s="447"/>
      <c r="L74" s="447"/>
      <c r="M74" s="309"/>
      <c r="N74" s="389"/>
      <c r="O74" s="1649"/>
      <c r="P74" s="1649"/>
      <c r="Q74" s="1649"/>
      <c r="R74" s="1649"/>
      <c r="S74" s="1649"/>
      <c r="T74" s="1649"/>
      <c r="U74" s="1649"/>
      <c r="V74" s="625"/>
      <c r="W74" s="625"/>
      <c r="X74" s="625"/>
      <c r="Y74" s="625"/>
      <c r="Z74" s="625"/>
      <c r="AA74" s="625"/>
      <c r="AB74" s="625"/>
      <c r="AC74" s="625"/>
      <c r="AD74" s="625"/>
      <c r="AE74" s="625"/>
      <c r="AF74" s="625"/>
    </row>
    <row r="75" spans="1:32" ht="15.95" customHeight="1">
      <c r="A75" s="447"/>
      <c r="B75" s="447"/>
      <c r="C75" s="447"/>
      <c r="D75" s="447"/>
      <c r="E75" s="447"/>
      <c r="F75" s="447"/>
      <c r="G75" s="447"/>
      <c r="H75" s="447"/>
      <c r="I75" s="447"/>
      <c r="J75" s="447"/>
      <c r="K75" s="447"/>
      <c r="L75" s="447"/>
      <c r="M75" s="309"/>
      <c r="N75" s="389"/>
      <c r="O75" s="1649"/>
      <c r="P75" s="1649"/>
      <c r="Q75" s="1649"/>
      <c r="R75" s="1649"/>
      <c r="S75" s="1649"/>
      <c r="T75" s="1649"/>
      <c r="U75" s="1649"/>
      <c r="V75" s="625"/>
      <c r="W75" s="625"/>
      <c r="X75" s="625"/>
      <c r="Y75" s="625"/>
      <c r="Z75" s="625"/>
      <c r="AA75" s="625"/>
      <c r="AB75" s="625"/>
      <c r="AC75" s="625"/>
      <c r="AD75" s="625"/>
      <c r="AE75" s="625"/>
      <c r="AF75" s="625"/>
    </row>
    <row r="76" spans="1:32" ht="15.95" customHeight="1">
      <c r="A76" s="447"/>
      <c r="B76" s="447"/>
      <c r="C76" s="447"/>
      <c r="D76" s="447"/>
      <c r="E76" s="447"/>
      <c r="F76" s="447"/>
      <c r="G76" s="447"/>
      <c r="H76" s="447"/>
      <c r="I76" s="447"/>
      <c r="J76" s="447"/>
      <c r="K76" s="447"/>
      <c r="L76" s="447"/>
      <c r="M76" s="309"/>
      <c r="N76" s="389"/>
      <c r="O76" s="1649"/>
      <c r="P76" s="1649"/>
      <c r="Q76" s="1649"/>
      <c r="R76" s="1649"/>
      <c r="S76" s="1649"/>
      <c r="T76" s="1649"/>
      <c r="U76" s="1649"/>
      <c r="V76" s="625"/>
      <c r="W76" s="625"/>
      <c r="X76" s="625"/>
      <c r="Y76" s="625"/>
      <c r="Z76" s="625"/>
      <c r="AA76" s="625"/>
      <c r="AB76" s="625"/>
      <c r="AC76" s="625"/>
      <c r="AD76" s="625"/>
      <c r="AE76" s="625"/>
      <c r="AF76" s="625"/>
    </row>
    <row r="77" spans="1:32" ht="15.95" customHeight="1">
      <c r="A77" s="447"/>
      <c r="B77" s="447"/>
      <c r="C77" s="447"/>
      <c r="D77" s="447"/>
      <c r="E77" s="447"/>
      <c r="F77" s="447"/>
      <c r="G77" s="447"/>
      <c r="H77" s="447"/>
      <c r="I77" s="447"/>
      <c r="J77" s="447"/>
      <c r="K77" s="447"/>
      <c r="L77" s="447"/>
      <c r="M77" s="309"/>
      <c r="N77" s="389"/>
      <c r="O77" s="1649"/>
      <c r="P77" s="1649"/>
      <c r="Q77" s="1649"/>
      <c r="R77" s="1649"/>
      <c r="S77" s="1649"/>
      <c r="T77" s="1649"/>
      <c r="U77" s="1649"/>
      <c r="V77" s="625"/>
      <c r="W77" s="625"/>
      <c r="X77" s="625"/>
      <c r="Y77" s="625"/>
      <c r="Z77" s="625"/>
      <c r="AA77" s="625"/>
      <c r="AB77" s="625"/>
      <c r="AC77" s="625"/>
      <c r="AD77" s="625"/>
      <c r="AE77" s="625"/>
      <c r="AF77" s="625"/>
    </row>
    <row r="78" spans="1:32" ht="15.95" customHeight="1">
      <c r="M78" s="359"/>
    </row>
    <row r="79" spans="1:32" ht="15.95" customHeight="1">
      <c r="M79" s="359"/>
    </row>
    <row r="80" spans="1:32" ht="15.95" customHeight="1">
      <c r="M80" s="359"/>
    </row>
    <row r="81" spans="13:13" ht="15.95" customHeight="1">
      <c r="M81" s="359"/>
    </row>
    <row r="82" spans="13:13" ht="15.95" customHeight="1">
      <c r="M82" s="359"/>
    </row>
    <row r="83" spans="13:13" ht="15.95" customHeight="1">
      <c r="M83" s="359"/>
    </row>
    <row r="84" spans="13:13" ht="15.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8">
    <mergeCell ref="W37:AA38"/>
    <mergeCell ref="AB45:AF48"/>
    <mergeCell ref="A2:A36"/>
    <mergeCell ref="M2:M36"/>
    <mergeCell ref="B2:L2"/>
    <mergeCell ref="B36:L36"/>
    <mergeCell ref="C58:J67"/>
    <mergeCell ref="O73:U77"/>
    <mergeCell ref="C47:J54"/>
    <mergeCell ref="C39:J44"/>
    <mergeCell ref="B37:L37"/>
    <mergeCell ref="S60:U72"/>
    <mergeCell ref="S39:U53"/>
    <mergeCell ref="O54:U58"/>
    <mergeCell ref="B1:L1"/>
    <mergeCell ref="N17:U28"/>
    <mergeCell ref="O2:T2"/>
    <mergeCell ref="O36:T36"/>
    <mergeCell ref="N3:U6"/>
    <mergeCell ref="N7:U10"/>
    <mergeCell ref="N11:U16"/>
    <mergeCell ref="N29:U29"/>
    <mergeCell ref="N30:U30"/>
    <mergeCell ref="N31:U31"/>
    <mergeCell ref="N32:U32"/>
    <mergeCell ref="N33:U33"/>
    <mergeCell ref="N34:U34"/>
    <mergeCell ref="N35:U35"/>
  </mergeCells>
  <phoneticPr fontId="146" type="noConversion"/>
  <conditionalFormatting sqref="O71:O72">
    <cfRule type="expression" dxfId="114" priority="57">
      <formula>$O$52="FA5L1 FA5L2-D"</formula>
    </cfRule>
  </conditionalFormatting>
  <conditionalFormatting sqref="O69:O70">
    <cfRule type="expression" dxfId="113" priority="58">
      <formula>$O$50="FA4L1 FA4L2-D"</formula>
    </cfRule>
  </conditionalFormatting>
  <conditionalFormatting sqref="O67:O68">
    <cfRule type="expression" dxfId="112" priority="59">
      <formula>$O$48="FA3L1 FA3L2-D"</formula>
    </cfRule>
  </conditionalFormatting>
  <conditionalFormatting sqref="O65:O66">
    <cfRule type="expression" dxfId="111" priority="60">
      <formula>$O$46="FA2L1 FA2L2-D"</formula>
    </cfRule>
  </conditionalFormatting>
  <conditionalFormatting sqref="P52:Q53">
    <cfRule type="expression" dxfId="110" priority="12">
      <formula>$O$52="FA5L1 FA5L2-D"</formula>
    </cfRule>
  </conditionalFormatting>
  <conditionalFormatting sqref="P50:Q51">
    <cfRule type="expression" dxfId="109" priority="13">
      <formula>$O$50="FA4L1 FA4L2-D"</formula>
    </cfRule>
  </conditionalFormatting>
  <conditionalFormatting sqref="P48:Q49">
    <cfRule type="expression" dxfId="108" priority="14">
      <formula>$O$48="FA3L1 FA3L2-D"</formula>
    </cfRule>
  </conditionalFormatting>
  <conditionalFormatting sqref="P46:Q47">
    <cfRule type="expression" dxfId="107" priority="15">
      <formula>$O$46="FA2L1 FA2L2-D"</formula>
    </cfRule>
  </conditionalFormatting>
  <conditionalFormatting sqref="P44:Q45">
    <cfRule type="expression" dxfId="106" priority="16">
      <formula>$O$44="FA1L1 FA1L2-D"</formula>
    </cfRule>
  </conditionalFormatting>
  <conditionalFormatting sqref="P71:R72">
    <cfRule type="expression" dxfId="105" priority="7">
      <formula>$O$52="FA5L1 FA5L2-D"</formula>
    </cfRule>
  </conditionalFormatting>
  <conditionalFormatting sqref="P69:R70">
    <cfRule type="expression" dxfId="104" priority="8">
      <formula>$O$50="FA4L1 FA4L2-D"</formula>
    </cfRule>
  </conditionalFormatting>
  <conditionalFormatting sqref="P67:R68">
    <cfRule type="expression" dxfId="103" priority="9">
      <formula>$O$48="FA3L1 FA3L2-D"</formula>
    </cfRule>
  </conditionalFormatting>
  <conditionalFormatting sqref="P65:R66">
    <cfRule type="expression" dxfId="102" priority="10">
      <formula>$O$46="FA2L1 FA2L2-D"</formula>
    </cfRule>
  </conditionalFormatting>
  <conditionalFormatting sqref="P63:R64">
    <cfRule type="expression" dxfId="101" priority="11">
      <formula>$O$44="FA1L1 FA1L2-D"</formula>
    </cfRule>
  </conditionalFormatting>
  <conditionalFormatting sqref="O63:O64">
    <cfRule type="expression" dxfId="100" priority="6">
      <formula>$O$44="FA1L1 FA1L2-D"</formula>
    </cfRule>
  </conditionalFormatting>
  <conditionalFormatting sqref="O52:O53">
    <cfRule type="expression" dxfId="99" priority="1">
      <formula>$O$52="FA5L1 FA5L2-D"</formula>
    </cfRule>
  </conditionalFormatting>
  <conditionalFormatting sqref="O50:O51">
    <cfRule type="expression" dxfId="98" priority="2">
      <formula>$O$50="FA4L1 FA4L2-D"</formula>
    </cfRule>
  </conditionalFormatting>
  <conditionalFormatting sqref="O48:O49">
    <cfRule type="expression" dxfId="97" priority="3">
      <formula>$O$48="FA3L1 FA3L2-D"</formula>
    </cfRule>
  </conditionalFormatting>
  <conditionalFormatting sqref="O46:O47">
    <cfRule type="expression" dxfId="96" priority="4">
      <formula>$O$46="FA2L1 FA2L2-D"</formula>
    </cfRule>
  </conditionalFormatting>
  <conditionalFormatting sqref="O44:O45">
    <cfRule type="expression" dxfId="95" priority="5">
      <formula>$O$44="FA1L1 FA1L2-D"</formula>
    </cfRule>
  </conditionalFormatting>
  <pageMargins left="1.25" right="1.25" top="1.25" bottom="1.2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topLeftCell="A2" workbookViewId="0"/>
  </sheetViews>
  <sheetFormatPr defaultColWidth="8.83203125"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8.83203125" style="387"/>
  </cols>
  <sheetData>
    <row r="1" spans="1:32" ht="18" customHeight="1">
      <c r="A1" s="390"/>
      <c r="B1" s="1515" t="s">
        <v>376</v>
      </c>
      <c r="C1" s="1515"/>
      <c r="D1" s="1515"/>
      <c r="E1" s="1515"/>
      <c r="F1" s="1515"/>
      <c r="G1" s="1515"/>
      <c r="H1" s="1515"/>
      <c r="I1" s="1515"/>
      <c r="J1" s="1515"/>
      <c r="K1" s="1515"/>
      <c r="L1" s="1515"/>
      <c r="M1" s="390"/>
      <c r="N1" s="392"/>
      <c r="O1" s="392"/>
      <c r="P1" s="392"/>
      <c r="Q1" s="392"/>
      <c r="R1" s="392"/>
      <c r="S1" s="392"/>
      <c r="T1" s="392"/>
      <c r="U1" s="392"/>
      <c r="V1" s="747"/>
      <c r="W1" s="747"/>
      <c r="X1" s="748"/>
      <c r="Y1" s="748"/>
      <c r="Z1" s="748"/>
      <c r="AA1" s="748"/>
      <c r="AB1" s="748"/>
      <c r="AC1" s="748"/>
      <c r="AD1" s="748"/>
      <c r="AE1" s="748"/>
      <c r="AF1" s="748"/>
    </row>
    <row r="2" spans="1:32" ht="20.100000000000001" customHeight="1">
      <c r="A2" s="1529" t="s">
        <v>376</v>
      </c>
      <c r="B2" s="1530" t="s">
        <v>230</v>
      </c>
      <c r="C2" s="1530"/>
      <c r="D2" s="1530"/>
      <c r="E2" s="1530"/>
      <c r="F2" s="1530"/>
      <c r="G2" s="1530"/>
      <c r="H2" s="1530"/>
      <c r="I2" s="1530"/>
      <c r="J2" s="1530"/>
      <c r="K2" s="1530"/>
      <c r="L2" s="1530"/>
      <c r="M2" s="1529" t="s">
        <v>376</v>
      </c>
      <c r="N2" s="397" t="str">
        <f>O39</f>
        <v>GA</v>
      </c>
      <c r="O2" s="1525" t="s">
        <v>231</v>
      </c>
      <c r="P2" s="1525"/>
      <c r="Q2" s="1525"/>
      <c r="R2" s="1525"/>
      <c r="S2" s="1525"/>
      <c r="T2" s="1525"/>
      <c r="U2" s="398"/>
      <c r="V2" s="749"/>
      <c r="W2" s="749"/>
      <c r="X2" s="748"/>
      <c r="Y2" s="748"/>
      <c r="Z2" s="748"/>
      <c r="AA2" s="748"/>
      <c r="AB2" s="748"/>
      <c r="AC2" s="748"/>
      <c r="AD2" s="748"/>
      <c r="AE2" s="748"/>
      <c r="AF2" s="748"/>
    </row>
    <row r="3" spans="1:32" ht="15.95" customHeight="1">
      <c r="A3" s="1529"/>
      <c r="B3" s="391"/>
      <c r="C3" s="391"/>
      <c r="D3" s="391"/>
      <c r="E3" s="391"/>
      <c r="F3" s="391"/>
      <c r="G3" s="391"/>
      <c r="H3" s="391"/>
      <c r="I3" s="391"/>
      <c r="J3" s="391"/>
      <c r="K3" s="391"/>
      <c r="L3" s="391"/>
      <c r="M3" s="1529"/>
      <c r="N3" s="1491" t="s">
        <v>414</v>
      </c>
      <c r="O3" s="1492"/>
      <c r="P3" s="1492"/>
      <c r="Q3" s="1492"/>
      <c r="R3" s="1492"/>
      <c r="S3" s="1492"/>
      <c r="T3" s="1492"/>
      <c r="U3" s="1493"/>
      <c r="V3" s="750"/>
      <c r="W3" s="750"/>
      <c r="X3" s="748"/>
      <c r="Y3" s="748"/>
      <c r="Z3" s="748"/>
      <c r="AA3" s="748"/>
      <c r="AB3" s="748"/>
      <c r="AC3" s="748"/>
      <c r="AD3" s="748"/>
      <c r="AE3" s="748"/>
      <c r="AF3" s="748"/>
    </row>
    <row r="4" spans="1:32" ht="15.95" customHeight="1">
      <c r="A4" s="1529"/>
      <c r="B4" s="391"/>
      <c r="C4" s="391"/>
      <c r="D4" s="391"/>
      <c r="E4" s="391"/>
      <c r="F4" s="391"/>
      <c r="G4" s="391"/>
      <c r="H4" s="391"/>
      <c r="I4" s="391"/>
      <c r="J4" s="391"/>
      <c r="K4" s="391"/>
      <c r="L4" s="391"/>
      <c r="M4" s="1529"/>
      <c r="N4" s="1491"/>
      <c r="O4" s="1492"/>
      <c r="P4" s="1492"/>
      <c r="Q4" s="1492"/>
      <c r="R4" s="1492"/>
      <c r="S4" s="1492"/>
      <c r="T4" s="1492"/>
      <c r="U4" s="1493"/>
      <c r="V4" s="750"/>
      <c r="W4" s="750"/>
      <c r="X4" s="748"/>
      <c r="Y4" s="748"/>
      <c r="Z4" s="748"/>
      <c r="AA4" s="748"/>
      <c r="AB4" s="748"/>
      <c r="AC4" s="748"/>
      <c r="AD4" s="748"/>
      <c r="AE4" s="748"/>
      <c r="AF4" s="748"/>
    </row>
    <row r="5" spans="1:32" ht="15.95" customHeight="1">
      <c r="A5" s="1529"/>
      <c r="B5" s="391"/>
      <c r="C5" s="391"/>
      <c r="D5" s="391"/>
      <c r="E5" s="391"/>
      <c r="F5" s="391"/>
      <c r="G5" s="391"/>
      <c r="H5" s="391"/>
      <c r="I5" s="391"/>
      <c r="J5" s="391"/>
      <c r="K5" s="391"/>
      <c r="L5" s="391"/>
      <c r="M5" s="1529"/>
      <c r="N5" s="1491"/>
      <c r="O5" s="1492"/>
      <c r="P5" s="1492"/>
      <c r="Q5" s="1492"/>
      <c r="R5" s="1492"/>
      <c r="S5" s="1492"/>
      <c r="T5" s="1492"/>
      <c r="U5" s="1493"/>
      <c r="V5" s="750"/>
      <c r="W5" s="750"/>
      <c r="X5" s="748"/>
      <c r="Y5" s="748"/>
      <c r="Z5" s="748"/>
      <c r="AA5" s="748"/>
      <c r="AB5" s="748"/>
      <c r="AC5" s="748"/>
      <c r="AD5" s="748"/>
      <c r="AE5" s="748"/>
      <c r="AF5" s="748"/>
    </row>
    <row r="6" spans="1:32" ht="15.95" customHeight="1">
      <c r="A6" s="1529"/>
      <c r="B6" s="391"/>
      <c r="C6" s="391"/>
      <c r="D6" s="391"/>
      <c r="E6" s="391"/>
      <c r="F6" s="391"/>
      <c r="G6" s="391"/>
      <c r="H6" s="391"/>
      <c r="I6" s="391"/>
      <c r="J6" s="391"/>
      <c r="K6" s="391"/>
      <c r="L6" s="391"/>
      <c r="M6" s="1529"/>
      <c r="N6" s="1491"/>
      <c r="O6" s="1492"/>
      <c r="P6" s="1492"/>
      <c r="Q6" s="1492"/>
      <c r="R6" s="1492"/>
      <c r="S6" s="1492"/>
      <c r="T6" s="1492"/>
      <c r="U6" s="1493"/>
      <c r="V6" s="750"/>
      <c r="W6" s="750"/>
      <c r="X6" s="748"/>
      <c r="Y6" s="748"/>
      <c r="Z6" s="748"/>
      <c r="AA6" s="748"/>
      <c r="AB6" s="748"/>
      <c r="AC6" s="748"/>
      <c r="AD6" s="748"/>
      <c r="AE6" s="748"/>
      <c r="AF6" s="748"/>
    </row>
    <row r="7" spans="1:32" ht="15.95" customHeight="1">
      <c r="A7" s="1529"/>
      <c r="B7" s="391"/>
      <c r="C7" s="391"/>
      <c r="D7" s="391"/>
      <c r="E7" s="391"/>
      <c r="F7" s="391"/>
      <c r="G7" s="391"/>
      <c r="H7" s="391"/>
      <c r="I7" s="391"/>
      <c r="J7" s="391"/>
      <c r="K7" s="391"/>
      <c r="L7" s="391"/>
      <c r="M7" s="1529"/>
      <c r="N7" s="1491"/>
      <c r="O7" s="1492"/>
      <c r="P7" s="1492"/>
      <c r="Q7" s="1492"/>
      <c r="R7" s="1492"/>
      <c r="S7" s="1492"/>
      <c r="T7" s="1492"/>
      <c r="U7" s="1493"/>
      <c r="V7" s="750"/>
      <c r="W7" s="750"/>
      <c r="X7" s="748"/>
      <c r="Y7" s="748"/>
      <c r="Z7" s="748"/>
      <c r="AA7" s="748"/>
      <c r="AB7" s="748"/>
      <c r="AC7" s="748"/>
      <c r="AD7" s="748"/>
      <c r="AE7" s="748"/>
      <c r="AF7" s="748"/>
    </row>
    <row r="8" spans="1:32" ht="15.95" customHeight="1">
      <c r="A8" s="1529"/>
      <c r="B8" s="391"/>
      <c r="C8" s="391"/>
      <c r="D8" s="391"/>
      <c r="E8" s="391"/>
      <c r="F8" s="391"/>
      <c r="G8" s="391"/>
      <c r="H8" s="391"/>
      <c r="I8" s="391"/>
      <c r="J8" s="391"/>
      <c r="K8" s="391"/>
      <c r="L8" s="391"/>
      <c r="M8" s="1529"/>
      <c r="N8" s="1491"/>
      <c r="O8" s="1492"/>
      <c r="P8" s="1492"/>
      <c r="Q8" s="1492"/>
      <c r="R8" s="1492"/>
      <c r="S8" s="1492"/>
      <c r="T8" s="1492"/>
      <c r="U8" s="1493"/>
      <c r="V8" s="750"/>
      <c r="W8" s="750"/>
      <c r="X8" s="748"/>
      <c r="Y8" s="748"/>
      <c r="Z8" s="748"/>
      <c r="AA8" s="748"/>
      <c r="AB8" s="748"/>
      <c r="AC8" s="748"/>
      <c r="AD8" s="748"/>
      <c r="AE8" s="748"/>
      <c r="AF8" s="748"/>
    </row>
    <row r="9" spans="1:32" ht="15.95" customHeight="1">
      <c r="A9" s="1529"/>
      <c r="B9" s="391"/>
      <c r="C9" s="391"/>
      <c r="D9" s="391"/>
      <c r="E9" s="391"/>
      <c r="F9" s="391"/>
      <c r="G9" s="391"/>
      <c r="H9" s="391"/>
      <c r="I9" s="391"/>
      <c r="J9" s="391"/>
      <c r="K9" s="391"/>
      <c r="L9" s="391"/>
      <c r="M9" s="1529"/>
      <c r="N9" s="1491"/>
      <c r="O9" s="1492"/>
      <c r="P9" s="1492"/>
      <c r="Q9" s="1492"/>
      <c r="R9" s="1492"/>
      <c r="S9" s="1492"/>
      <c r="T9" s="1492"/>
      <c r="U9" s="1493"/>
      <c r="V9" s="750"/>
      <c r="W9" s="750"/>
      <c r="X9" s="748"/>
      <c r="Y9" s="748"/>
      <c r="Z9" s="748"/>
      <c r="AA9" s="748"/>
      <c r="AB9" s="748"/>
      <c r="AC9" s="748"/>
      <c r="AD9" s="748"/>
      <c r="AE9" s="748"/>
      <c r="AF9" s="748"/>
    </row>
    <row r="10" spans="1:32" ht="15.95" customHeight="1">
      <c r="A10" s="1529"/>
      <c r="B10" s="391"/>
      <c r="C10" s="391"/>
      <c r="D10" s="391"/>
      <c r="E10" s="391"/>
      <c r="F10" s="391"/>
      <c r="G10" s="391"/>
      <c r="H10" s="391"/>
      <c r="I10" s="391"/>
      <c r="J10" s="391"/>
      <c r="K10" s="391"/>
      <c r="L10" s="391"/>
      <c r="M10" s="1529"/>
      <c r="N10" s="1494"/>
      <c r="O10" s="1495"/>
      <c r="P10" s="1495"/>
      <c r="Q10" s="1495"/>
      <c r="R10" s="1495"/>
      <c r="S10" s="1495"/>
      <c r="T10" s="1495"/>
      <c r="U10" s="1496"/>
      <c r="V10" s="750"/>
      <c r="W10" s="750"/>
      <c r="X10" s="748"/>
      <c r="Y10" s="748"/>
      <c r="Z10" s="748"/>
      <c r="AA10" s="748"/>
      <c r="AB10" s="748"/>
      <c r="AC10" s="748"/>
      <c r="AD10" s="748"/>
      <c r="AE10" s="748"/>
      <c r="AF10" s="748"/>
    </row>
    <row r="11" spans="1:32" ht="15.95" customHeight="1">
      <c r="A11" s="1529"/>
      <c r="B11" s="391"/>
      <c r="C11" s="391"/>
      <c r="D11" s="391"/>
      <c r="E11" s="391"/>
      <c r="F11" s="391"/>
      <c r="G11" s="391"/>
      <c r="H11" s="391"/>
      <c r="I11" s="391"/>
      <c r="J11" s="391"/>
      <c r="K11" s="391"/>
      <c r="L11" s="391"/>
      <c r="M11" s="1529"/>
      <c r="N11" s="1488"/>
      <c r="O11" s="1489"/>
      <c r="P11" s="1489"/>
      <c r="Q11" s="1489"/>
      <c r="R11" s="1489"/>
      <c r="S11" s="1489"/>
      <c r="T11" s="1489"/>
      <c r="U11" s="1490"/>
      <c r="V11" s="751"/>
      <c r="W11" s="751"/>
      <c r="X11" s="748"/>
      <c r="Y11" s="748"/>
      <c r="Z11" s="748"/>
      <c r="AA11" s="748"/>
      <c r="AB11" s="748"/>
      <c r="AC11" s="748"/>
      <c r="AD11" s="748"/>
      <c r="AE11" s="748"/>
      <c r="AF11" s="748"/>
    </row>
    <row r="12" spans="1:32" ht="15.95" customHeight="1">
      <c r="A12" s="1529"/>
      <c r="B12" s="391"/>
      <c r="C12" s="391"/>
      <c r="D12" s="391"/>
      <c r="E12" s="391"/>
      <c r="F12" s="391"/>
      <c r="G12" s="391"/>
      <c r="H12" s="391"/>
      <c r="I12" s="391"/>
      <c r="J12" s="391"/>
      <c r="K12" s="391"/>
      <c r="L12" s="391"/>
      <c r="M12" s="1529"/>
      <c r="N12" s="1491"/>
      <c r="O12" s="1492"/>
      <c r="P12" s="1492"/>
      <c r="Q12" s="1492"/>
      <c r="R12" s="1492"/>
      <c r="S12" s="1492"/>
      <c r="T12" s="1492"/>
      <c r="U12" s="1493"/>
      <c r="V12" s="751"/>
      <c r="W12" s="751"/>
      <c r="X12" s="748"/>
      <c r="Y12" s="748"/>
      <c r="Z12" s="748"/>
      <c r="AA12" s="748"/>
      <c r="AB12" s="748"/>
      <c r="AC12" s="748"/>
      <c r="AD12" s="748"/>
      <c r="AE12" s="748"/>
      <c r="AF12" s="748"/>
    </row>
    <row r="13" spans="1:32" ht="15.95" customHeight="1">
      <c r="A13" s="1529"/>
      <c r="B13" s="391"/>
      <c r="C13" s="391"/>
      <c r="D13" s="391"/>
      <c r="E13" s="391"/>
      <c r="F13" s="391"/>
      <c r="G13" s="391"/>
      <c r="H13" s="391"/>
      <c r="I13" s="391"/>
      <c r="J13" s="391"/>
      <c r="K13" s="391"/>
      <c r="L13" s="391"/>
      <c r="M13" s="1529"/>
      <c r="N13" s="1491"/>
      <c r="O13" s="1492"/>
      <c r="P13" s="1492"/>
      <c r="Q13" s="1492"/>
      <c r="R13" s="1492"/>
      <c r="S13" s="1492"/>
      <c r="T13" s="1492"/>
      <c r="U13" s="1493"/>
      <c r="V13" s="751"/>
      <c r="W13" s="751"/>
      <c r="X13" s="748"/>
      <c r="Y13" s="748"/>
      <c r="Z13" s="748"/>
      <c r="AA13" s="748"/>
      <c r="AB13" s="748"/>
      <c r="AC13" s="748"/>
      <c r="AD13" s="748"/>
      <c r="AE13" s="748"/>
      <c r="AF13" s="748"/>
    </row>
    <row r="14" spans="1:32" ht="15.95" customHeight="1">
      <c r="A14" s="1529"/>
      <c r="B14" s="391"/>
      <c r="C14" s="391"/>
      <c r="D14" s="391"/>
      <c r="E14" s="391"/>
      <c r="F14" s="391"/>
      <c r="G14" s="391"/>
      <c r="H14" s="391"/>
      <c r="I14" s="391"/>
      <c r="J14" s="391"/>
      <c r="K14" s="391"/>
      <c r="L14" s="391"/>
      <c r="M14" s="1529"/>
      <c r="N14" s="1491"/>
      <c r="O14" s="1492"/>
      <c r="P14" s="1492"/>
      <c r="Q14" s="1492"/>
      <c r="R14" s="1492"/>
      <c r="S14" s="1492"/>
      <c r="T14" s="1492"/>
      <c r="U14" s="1493"/>
      <c r="V14" s="751"/>
      <c r="W14" s="751"/>
      <c r="X14" s="748"/>
      <c r="Y14" s="748"/>
      <c r="Z14" s="748"/>
      <c r="AA14" s="748"/>
      <c r="AB14" s="748"/>
      <c r="AC14" s="748"/>
      <c r="AD14" s="748"/>
      <c r="AE14" s="748"/>
      <c r="AF14" s="748"/>
    </row>
    <row r="15" spans="1:32" ht="15.95" customHeight="1">
      <c r="A15" s="1529"/>
      <c r="B15" s="391"/>
      <c r="C15" s="391"/>
      <c r="D15" s="391"/>
      <c r="E15" s="391"/>
      <c r="F15" s="391"/>
      <c r="G15" s="391"/>
      <c r="H15" s="391"/>
      <c r="I15" s="391"/>
      <c r="J15" s="391"/>
      <c r="K15" s="391"/>
      <c r="L15" s="391"/>
      <c r="M15" s="1529"/>
      <c r="N15" s="1491"/>
      <c r="O15" s="1492"/>
      <c r="P15" s="1492"/>
      <c r="Q15" s="1492"/>
      <c r="R15" s="1492"/>
      <c r="S15" s="1492"/>
      <c r="T15" s="1492"/>
      <c r="U15" s="1493"/>
      <c r="V15" s="751"/>
      <c r="W15" s="751"/>
      <c r="X15" s="748"/>
      <c r="Y15" s="748"/>
      <c r="Z15" s="748"/>
      <c r="AA15" s="748"/>
      <c r="AB15" s="748"/>
      <c r="AC15" s="748"/>
      <c r="AD15" s="748"/>
      <c r="AE15" s="748"/>
      <c r="AF15" s="748"/>
    </row>
    <row r="16" spans="1:32" ht="15.95" customHeight="1">
      <c r="A16" s="1529"/>
      <c r="B16" s="391"/>
      <c r="C16" s="391"/>
      <c r="D16" s="391"/>
      <c r="E16" s="391"/>
      <c r="F16" s="391"/>
      <c r="G16" s="391"/>
      <c r="H16" s="391"/>
      <c r="I16" s="391"/>
      <c r="J16" s="391"/>
      <c r="K16" s="391"/>
      <c r="L16" s="391"/>
      <c r="M16" s="1529"/>
      <c r="N16" s="1494"/>
      <c r="O16" s="1495"/>
      <c r="P16" s="1495"/>
      <c r="Q16" s="1495"/>
      <c r="R16" s="1495"/>
      <c r="S16" s="1495"/>
      <c r="T16" s="1495"/>
      <c r="U16" s="1496"/>
      <c r="V16" s="751"/>
      <c r="W16" s="751"/>
      <c r="X16" s="748"/>
      <c r="Y16" s="748"/>
      <c r="Z16" s="748"/>
      <c r="AA16" s="748"/>
      <c r="AB16" s="748"/>
      <c r="AC16" s="748"/>
      <c r="AD16" s="748"/>
      <c r="AE16" s="748"/>
      <c r="AF16" s="748"/>
    </row>
    <row r="17" spans="1:32" ht="15.95" customHeight="1">
      <c r="A17" s="1529"/>
      <c r="B17" s="391"/>
      <c r="C17" s="391"/>
      <c r="D17" s="391"/>
      <c r="E17" s="391"/>
      <c r="F17" s="391"/>
      <c r="G17" s="391"/>
      <c r="H17" s="391"/>
      <c r="I17" s="391"/>
      <c r="J17" s="391"/>
      <c r="K17" s="391"/>
      <c r="L17" s="391"/>
      <c r="M17" s="1529"/>
      <c r="N17" s="1488"/>
      <c r="O17" s="1489"/>
      <c r="P17" s="1489"/>
      <c r="Q17" s="1489"/>
      <c r="R17" s="1489"/>
      <c r="S17" s="1489"/>
      <c r="T17" s="1489"/>
      <c r="U17" s="1490"/>
      <c r="V17" s="751"/>
      <c r="W17" s="751"/>
      <c r="X17" s="748"/>
      <c r="Y17" s="748"/>
      <c r="Z17" s="748"/>
      <c r="AA17" s="748"/>
      <c r="AB17" s="748"/>
      <c r="AC17" s="748"/>
      <c r="AD17" s="748"/>
      <c r="AE17" s="748"/>
      <c r="AF17" s="748"/>
    </row>
    <row r="18" spans="1:32" ht="15.95" customHeight="1">
      <c r="A18" s="1529"/>
      <c r="B18" s="391"/>
      <c r="C18" s="391"/>
      <c r="D18" s="391"/>
      <c r="E18" s="391"/>
      <c r="F18" s="391"/>
      <c r="G18" s="391"/>
      <c r="H18" s="391"/>
      <c r="I18" s="391"/>
      <c r="J18" s="391"/>
      <c r="K18" s="391"/>
      <c r="L18" s="391"/>
      <c r="M18" s="1529"/>
      <c r="N18" s="1491"/>
      <c r="O18" s="1492"/>
      <c r="P18" s="1492"/>
      <c r="Q18" s="1492"/>
      <c r="R18" s="1492"/>
      <c r="S18" s="1492"/>
      <c r="T18" s="1492"/>
      <c r="U18" s="1493"/>
      <c r="V18" s="751"/>
      <c r="W18" s="751"/>
      <c r="X18" s="748"/>
      <c r="Y18" s="748"/>
      <c r="Z18" s="748"/>
      <c r="AA18" s="748"/>
      <c r="AB18" s="748"/>
      <c r="AC18" s="748"/>
      <c r="AD18" s="748"/>
      <c r="AE18" s="748"/>
      <c r="AF18" s="748"/>
    </row>
    <row r="19" spans="1:32" ht="15.95" customHeight="1">
      <c r="A19" s="1529"/>
      <c r="B19" s="391"/>
      <c r="C19" s="391"/>
      <c r="D19" s="391"/>
      <c r="E19" s="391"/>
      <c r="F19" s="391"/>
      <c r="G19" s="391"/>
      <c r="H19" s="391"/>
      <c r="I19" s="391"/>
      <c r="J19" s="391"/>
      <c r="K19" s="391"/>
      <c r="L19" s="391"/>
      <c r="M19" s="1529"/>
      <c r="N19" s="1491"/>
      <c r="O19" s="1492"/>
      <c r="P19" s="1492"/>
      <c r="Q19" s="1492"/>
      <c r="R19" s="1492"/>
      <c r="S19" s="1492"/>
      <c r="T19" s="1492"/>
      <c r="U19" s="1493"/>
      <c r="V19" s="751"/>
      <c r="W19" s="751"/>
      <c r="X19" s="748"/>
      <c r="Y19" s="748"/>
      <c r="Z19" s="748"/>
      <c r="AA19" s="748"/>
      <c r="AB19" s="748"/>
      <c r="AC19" s="748"/>
      <c r="AD19" s="748"/>
      <c r="AE19" s="748"/>
      <c r="AF19" s="748"/>
    </row>
    <row r="20" spans="1:32" ht="15.95" customHeight="1">
      <c r="A20" s="1529"/>
      <c r="B20" s="391"/>
      <c r="C20" s="391"/>
      <c r="D20" s="391"/>
      <c r="E20" s="391"/>
      <c r="F20" s="391"/>
      <c r="G20" s="391"/>
      <c r="H20" s="391"/>
      <c r="I20" s="391"/>
      <c r="J20" s="391"/>
      <c r="K20" s="391"/>
      <c r="L20" s="391"/>
      <c r="M20" s="1529"/>
      <c r="N20" s="1491"/>
      <c r="O20" s="1492"/>
      <c r="P20" s="1492"/>
      <c r="Q20" s="1492"/>
      <c r="R20" s="1492"/>
      <c r="S20" s="1492"/>
      <c r="T20" s="1492"/>
      <c r="U20" s="1493"/>
      <c r="V20" s="752"/>
      <c r="W20" s="752"/>
      <c r="X20" s="748"/>
      <c r="Y20" s="748"/>
      <c r="Z20" s="748"/>
      <c r="AA20" s="748"/>
      <c r="AB20" s="748"/>
      <c r="AC20" s="748"/>
      <c r="AD20" s="748"/>
      <c r="AE20" s="748"/>
      <c r="AF20" s="748"/>
    </row>
    <row r="21" spans="1:32" ht="15.95" customHeight="1">
      <c r="A21" s="1529"/>
      <c r="B21" s="391"/>
      <c r="C21" s="391"/>
      <c r="D21" s="391"/>
      <c r="E21" s="391"/>
      <c r="F21" s="391"/>
      <c r="G21" s="391"/>
      <c r="H21" s="391"/>
      <c r="I21" s="391"/>
      <c r="J21" s="391"/>
      <c r="K21" s="391"/>
      <c r="L21" s="391"/>
      <c r="M21" s="1529"/>
      <c r="N21" s="1491"/>
      <c r="O21" s="1492"/>
      <c r="P21" s="1492"/>
      <c r="Q21" s="1492"/>
      <c r="R21" s="1492"/>
      <c r="S21" s="1492"/>
      <c r="T21" s="1492"/>
      <c r="U21" s="1493"/>
      <c r="V21" s="752"/>
      <c r="W21" s="752"/>
      <c r="X21" s="748"/>
      <c r="Y21" s="748"/>
      <c r="Z21" s="748"/>
      <c r="AA21" s="748"/>
      <c r="AB21" s="748"/>
      <c r="AC21" s="748"/>
      <c r="AD21" s="748"/>
      <c r="AE21" s="748"/>
      <c r="AF21" s="748"/>
    </row>
    <row r="22" spans="1:32" ht="15.95" customHeight="1">
      <c r="A22" s="1529"/>
      <c r="B22" s="391"/>
      <c r="C22" s="391"/>
      <c r="D22" s="391"/>
      <c r="E22" s="391"/>
      <c r="F22" s="391"/>
      <c r="G22" s="391"/>
      <c r="H22" s="391"/>
      <c r="I22" s="391"/>
      <c r="J22" s="391"/>
      <c r="K22" s="391"/>
      <c r="L22" s="391"/>
      <c r="M22" s="1529"/>
      <c r="N22" s="1491"/>
      <c r="O22" s="1492"/>
      <c r="P22" s="1492"/>
      <c r="Q22" s="1492"/>
      <c r="R22" s="1492"/>
      <c r="S22" s="1492"/>
      <c r="T22" s="1492"/>
      <c r="U22" s="1493"/>
      <c r="V22" s="752"/>
      <c r="W22" s="752"/>
      <c r="X22" s="748"/>
      <c r="Y22" s="748"/>
      <c r="Z22" s="748"/>
      <c r="AA22" s="748"/>
      <c r="AB22" s="748"/>
      <c r="AC22" s="748"/>
      <c r="AD22" s="748"/>
      <c r="AE22" s="748"/>
      <c r="AF22" s="748"/>
    </row>
    <row r="23" spans="1:32" ht="15.95" customHeight="1">
      <c r="A23" s="1529"/>
      <c r="B23" s="391"/>
      <c r="C23" s="391"/>
      <c r="D23" s="391"/>
      <c r="E23" s="391"/>
      <c r="F23" s="391"/>
      <c r="G23" s="391"/>
      <c r="H23" s="391"/>
      <c r="I23" s="391"/>
      <c r="J23" s="391"/>
      <c r="K23" s="391"/>
      <c r="L23" s="391"/>
      <c r="M23" s="1529"/>
      <c r="N23" s="1491"/>
      <c r="O23" s="1492"/>
      <c r="P23" s="1492"/>
      <c r="Q23" s="1492"/>
      <c r="R23" s="1492"/>
      <c r="S23" s="1492"/>
      <c r="T23" s="1492"/>
      <c r="U23" s="1493"/>
      <c r="V23" s="752"/>
      <c r="W23" s="752"/>
      <c r="X23" s="748"/>
      <c r="Y23" s="748"/>
      <c r="Z23" s="748"/>
      <c r="AA23" s="748"/>
      <c r="AB23" s="748"/>
      <c r="AC23" s="748"/>
      <c r="AD23" s="748"/>
      <c r="AE23" s="748"/>
      <c r="AF23" s="748"/>
    </row>
    <row r="24" spans="1:32" ht="15.95" customHeight="1">
      <c r="A24" s="1529"/>
      <c r="B24" s="391"/>
      <c r="C24" s="391"/>
      <c r="D24" s="391"/>
      <c r="E24" s="391"/>
      <c r="F24" s="391"/>
      <c r="G24" s="391"/>
      <c r="H24" s="391"/>
      <c r="I24" s="391"/>
      <c r="J24" s="391"/>
      <c r="K24" s="391"/>
      <c r="L24" s="391"/>
      <c r="M24" s="1529"/>
      <c r="N24" s="1491"/>
      <c r="O24" s="1492"/>
      <c r="P24" s="1492"/>
      <c r="Q24" s="1492"/>
      <c r="R24" s="1492"/>
      <c r="S24" s="1492"/>
      <c r="T24" s="1492"/>
      <c r="U24" s="1493"/>
      <c r="V24" s="752"/>
      <c r="W24" s="752"/>
      <c r="X24" s="748"/>
      <c r="Y24" s="748"/>
      <c r="Z24" s="748"/>
      <c r="AA24" s="748"/>
      <c r="AB24" s="748"/>
      <c r="AC24" s="748"/>
      <c r="AD24" s="748"/>
      <c r="AE24" s="748"/>
      <c r="AF24" s="748"/>
    </row>
    <row r="25" spans="1:32" ht="15.95" customHeight="1">
      <c r="A25" s="1529"/>
      <c r="B25" s="391"/>
      <c r="C25" s="391"/>
      <c r="D25" s="391"/>
      <c r="E25" s="391"/>
      <c r="F25" s="391"/>
      <c r="G25" s="391"/>
      <c r="H25" s="391"/>
      <c r="I25" s="391"/>
      <c r="J25" s="391"/>
      <c r="K25" s="391"/>
      <c r="L25" s="391"/>
      <c r="M25" s="1529"/>
      <c r="N25" s="1491"/>
      <c r="O25" s="1492"/>
      <c r="P25" s="1492"/>
      <c r="Q25" s="1492"/>
      <c r="R25" s="1492"/>
      <c r="S25" s="1492"/>
      <c r="T25" s="1492"/>
      <c r="U25" s="1493"/>
      <c r="V25" s="752"/>
      <c r="W25" s="752"/>
      <c r="X25" s="748"/>
      <c r="Y25" s="748"/>
      <c r="Z25" s="748"/>
      <c r="AA25" s="748"/>
      <c r="AB25" s="748"/>
      <c r="AC25" s="748"/>
      <c r="AD25" s="748"/>
      <c r="AE25" s="748"/>
      <c r="AF25" s="748"/>
    </row>
    <row r="26" spans="1:32" ht="15.95" customHeight="1">
      <c r="A26" s="1529"/>
      <c r="B26" s="391"/>
      <c r="C26" s="391"/>
      <c r="D26" s="391"/>
      <c r="E26" s="391"/>
      <c r="F26" s="391"/>
      <c r="G26" s="391"/>
      <c r="H26" s="391"/>
      <c r="I26" s="391"/>
      <c r="J26" s="391"/>
      <c r="K26" s="391"/>
      <c r="L26" s="391"/>
      <c r="M26" s="1529"/>
      <c r="N26" s="1491"/>
      <c r="O26" s="1492"/>
      <c r="P26" s="1492"/>
      <c r="Q26" s="1492"/>
      <c r="R26" s="1492"/>
      <c r="S26" s="1492"/>
      <c r="T26" s="1492"/>
      <c r="U26" s="1493"/>
      <c r="V26" s="752"/>
      <c r="W26" s="752"/>
      <c r="X26" s="748"/>
      <c r="Y26" s="748"/>
      <c r="Z26" s="748"/>
      <c r="AA26" s="748"/>
      <c r="AB26" s="748"/>
      <c r="AC26" s="748"/>
      <c r="AD26" s="748"/>
      <c r="AE26" s="748"/>
      <c r="AF26" s="748"/>
    </row>
    <row r="27" spans="1:32" ht="15.95" customHeight="1">
      <c r="A27" s="1529"/>
      <c r="B27" s="391"/>
      <c r="C27" s="391"/>
      <c r="D27" s="391"/>
      <c r="E27" s="391"/>
      <c r="F27" s="391"/>
      <c r="G27" s="391"/>
      <c r="H27" s="391"/>
      <c r="I27" s="391"/>
      <c r="J27" s="391"/>
      <c r="K27" s="391"/>
      <c r="L27" s="391"/>
      <c r="M27" s="1529"/>
      <c r="N27" s="1491"/>
      <c r="O27" s="1492"/>
      <c r="P27" s="1492"/>
      <c r="Q27" s="1492"/>
      <c r="R27" s="1492"/>
      <c r="S27" s="1492"/>
      <c r="T27" s="1492"/>
      <c r="U27" s="1493"/>
      <c r="V27" s="752"/>
      <c r="W27" s="752"/>
      <c r="X27" s="748"/>
      <c r="Y27" s="748"/>
      <c r="Z27" s="748"/>
      <c r="AA27" s="748"/>
      <c r="AB27" s="748"/>
      <c r="AC27" s="748"/>
      <c r="AD27" s="748"/>
      <c r="AE27" s="748"/>
      <c r="AF27" s="748"/>
    </row>
    <row r="28" spans="1:32" ht="15.95" customHeight="1">
      <c r="A28" s="1529"/>
      <c r="B28" s="391"/>
      <c r="C28" s="391"/>
      <c r="D28" s="391"/>
      <c r="E28" s="391"/>
      <c r="F28" s="391"/>
      <c r="G28" s="391"/>
      <c r="H28" s="391"/>
      <c r="I28" s="391"/>
      <c r="J28" s="391"/>
      <c r="K28" s="391"/>
      <c r="L28" s="391"/>
      <c r="M28" s="1529"/>
      <c r="N28" s="1494"/>
      <c r="O28" s="1495"/>
      <c r="P28" s="1495"/>
      <c r="Q28" s="1495"/>
      <c r="R28" s="1495"/>
      <c r="S28" s="1495"/>
      <c r="T28" s="1495"/>
      <c r="U28" s="1496"/>
      <c r="V28" s="752"/>
      <c r="W28" s="752"/>
      <c r="X28" s="748"/>
      <c r="Y28" s="748"/>
      <c r="Z28" s="748"/>
      <c r="AA28" s="748"/>
      <c r="AB28" s="748"/>
      <c r="AC28" s="748"/>
      <c r="AD28" s="748"/>
      <c r="AE28" s="748"/>
      <c r="AF28" s="748"/>
    </row>
    <row r="29" spans="1:32" ht="15.95" customHeight="1">
      <c r="A29" s="1529"/>
      <c r="B29" s="391"/>
      <c r="C29" s="391"/>
      <c r="D29" s="391"/>
      <c r="E29" s="391"/>
      <c r="F29" s="391"/>
      <c r="G29" s="391"/>
      <c r="H29" s="391"/>
      <c r="I29" s="391"/>
      <c r="J29" s="391"/>
      <c r="K29" s="391"/>
      <c r="L29" s="391"/>
      <c r="M29" s="1529"/>
      <c r="N29" s="1537" t="s">
        <v>419</v>
      </c>
      <c r="O29" s="1538"/>
      <c r="P29" s="1538"/>
      <c r="Q29" s="1538"/>
      <c r="R29" s="1538"/>
      <c r="S29" s="1538"/>
      <c r="T29" s="1538"/>
      <c r="U29" s="1539"/>
      <c r="V29" s="752"/>
      <c r="W29" s="752"/>
      <c r="X29" s="748"/>
      <c r="Y29" s="748"/>
      <c r="Z29" s="748"/>
      <c r="AA29" s="748"/>
      <c r="AB29" s="748"/>
      <c r="AC29" s="748"/>
      <c r="AD29" s="748"/>
      <c r="AE29" s="748"/>
      <c r="AF29" s="748"/>
    </row>
    <row r="30" spans="1:32" ht="15.95" customHeight="1">
      <c r="A30" s="1529"/>
      <c r="B30" s="391"/>
      <c r="C30" s="391"/>
      <c r="D30" s="391"/>
      <c r="E30" s="391"/>
      <c r="F30" s="391"/>
      <c r="G30" s="391"/>
      <c r="H30" s="391"/>
      <c r="I30" s="391"/>
      <c r="J30" s="391"/>
      <c r="K30" s="391"/>
      <c r="L30" s="391"/>
      <c r="M30" s="1529"/>
      <c r="N30" s="1537" t="s">
        <v>439</v>
      </c>
      <c r="O30" s="1538"/>
      <c r="P30" s="1538"/>
      <c r="Q30" s="1538"/>
      <c r="R30" s="1538"/>
      <c r="S30" s="1538"/>
      <c r="T30" s="1538"/>
      <c r="U30" s="1539"/>
      <c r="V30" s="752"/>
      <c r="W30" s="752"/>
      <c r="X30" s="748"/>
      <c r="Y30" s="748"/>
      <c r="Z30" s="748"/>
      <c r="AA30" s="748"/>
      <c r="AB30" s="748"/>
      <c r="AC30" s="748"/>
      <c r="AD30" s="748"/>
      <c r="AE30" s="748"/>
      <c r="AF30" s="748"/>
    </row>
    <row r="31" spans="1:32" ht="15.95" customHeight="1">
      <c r="A31" s="1529"/>
      <c r="B31" s="391"/>
      <c r="C31" s="391"/>
      <c r="D31" s="391"/>
      <c r="E31" s="391"/>
      <c r="F31" s="391"/>
      <c r="G31" s="391"/>
      <c r="H31" s="391"/>
      <c r="I31" s="391"/>
      <c r="J31" s="391"/>
      <c r="K31" s="391"/>
      <c r="L31" s="391"/>
      <c r="M31" s="1529"/>
      <c r="N31" s="1516"/>
      <c r="O31" s="1517"/>
      <c r="P31" s="1517"/>
      <c r="Q31" s="1517"/>
      <c r="R31" s="1517"/>
      <c r="S31" s="1517"/>
      <c r="T31" s="1517"/>
      <c r="U31" s="1518"/>
      <c r="V31" s="752"/>
      <c r="W31" s="752"/>
      <c r="X31" s="748"/>
      <c r="Y31" s="748"/>
      <c r="Z31" s="748"/>
      <c r="AA31" s="748"/>
      <c r="AB31" s="748"/>
      <c r="AC31" s="748"/>
      <c r="AD31" s="748"/>
      <c r="AE31" s="748"/>
      <c r="AF31" s="748"/>
    </row>
    <row r="32" spans="1:32" ht="15.95" customHeight="1">
      <c r="A32" s="1529"/>
      <c r="B32" s="391"/>
      <c r="C32" s="391"/>
      <c r="D32" s="391"/>
      <c r="E32" s="391"/>
      <c r="F32" s="391"/>
      <c r="G32" s="391"/>
      <c r="H32" s="391"/>
      <c r="I32" s="391"/>
      <c r="J32" s="391"/>
      <c r="K32" s="391"/>
      <c r="L32" s="391"/>
      <c r="M32" s="1529"/>
      <c r="N32" s="1516"/>
      <c r="O32" s="1517"/>
      <c r="P32" s="1517"/>
      <c r="Q32" s="1517"/>
      <c r="R32" s="1517"/>
      <c r="S32" s="1517"/>
      <c r="T32" s="1517"/>
      <c r="U32" s="1518"/>
      <c r="V32" s="752"/>
      <c r="W32" s="752"/>
      <c r="X32" s="748"/>
      <c r="Y32" s="748"/>
      <c r="Z32" s="748"/>
      <c r="AA32" s="748"/>
      <c r="AB32" s="748"/>
      <c r="AC32" s="748"/>
      <c r="AD32" s="748"/>
      <c r="AE32" s="748"/>
      <c r="AF32" s="748"/>
    </row>
    <row r="33" spans="1:32" ht="15.95" customHeight="1">
      <c r="A33" s="1529"/>
      <c r="B33" s="391"/>
      <c r="C33" s="391"/>
      <c r="D33" s="391"/>
      <c r="E33" s="391"/>
      <c r="F33" s="391"/>
      <c r="G33" s="391"/>
      <c r="H33" s="391"/>
      <c r="I33" s="391"/>
      <c r="J33" s="391"/>
      <c r="K33" s="391"/>
      <c r="L33" s="391"/>
      <c r="M33" s="1529"/>
      <c r="N33" s="1516"/>
      <c r="O33" s="1517"/>
      <c r="P33" s="1517"/>
      <c r="Q33" s="1517"/>
      <c r="R33" s="1517"/>
      <c r="S33" s="1517"/>
      <c r="T33" s="1517"/>
      <c r="U33" s="1518"/>
      <c r="V33" s="752"/>
      <c r="W33" s="752"/>
      <c r="X33" s="748"/>
      <c r="Y33" s="748"/>
      <c r="Z33" s="748"/>
      <c r="AA33" s="748"/>
      <c r="AB33" s="748"/>
      <c r="AC33" s="748"/>
      <c r="AD33" s="748"/>
      <c r="AE33" s="748"/>
      <c r="AF33" s="748"/>
    </row>
    <row r="34" spans="1:32" ht="15.95" customHeight="1">
      <c r="A34" s="1529"/>
      <c r="B34" s="391"/>
      <c r="C34" s="391"/>
      <c r="D34" s="391"/>
      <c r="E34" s="391"/>
      <c r="F34" s="391"/>
      <c r="G34" s="391"/>
      <c r="H34" s="391"/>
      <c r="I34" s="391"/>
      <c r="J34" s="391"/>
      <c r="K34" s="391"/>
      <c r="L34" s="391"/>
      <c r="M34" s="1529"/>
      <c r="N34" s="1516"/>
      <c r="O34" s="1517"/>
      <c r="P34" s="1517"/>
      <c r="Q34" s="1517"/>
      <c r="R34" s="1517"/>
      <c r="S34" s="1517"/>
      <c r="T34" s="1517"/>
      <c r="U34" s="1518"/>
      <c r="V34" s="751"/>
      <c r="W34" s="751"/>
      <c r="X34" s="748"/>
      <c r="Y34" s="748"/>
      <c r="Z34" s="748"/>
      <c r="AA34" s="748"/>
      <c r="AB34" s="748"/>
      <c r="AC34" s="748"/>
      <c r="AD34" s="748"/>
      <c r="AE34" s="748"/>
      <c r="AF34" s="748"/>
    </row>
    <row r="35" spans="1:32" ht="15.95" customHeight="1">
      <c r="A35" s="1529"/>
      <c r="B35" s="391"/>
      <c r="C35" s="391"/>
      <c r="D35" s="391"/>
      <c r="E35" s="391"/>
      <c r="F35" s="391"/>
      <c r="G35" s="391"/>
      <c r="H35" s="391"/>
      <c r="I35" s="391"/>
      <c r="J35" s="391"/>
      <c r="K35" s="391"/>
      <c r="L35" s="391"/>
      <c r="M35" s="1529"/>
      <c r="N35" s="1519"/>
      <c r="O35" s="1520"/>
      <c r="P35" s="1520"/>
      <c r="Q35" s="1520"/>
      <c r="R35" s="1520"/>
      <c r="S35" s="1520"/>
      <c r="T35" s="1520"/>
      <c r="U35" s="1521"/>
      <c r="V35" s="747"/>
      <c r="W35" s="747"/>
      <c r="X35" s="748"/>
      <c r="Y35" s="748"/>
      <c r="Z35" s="748"/>
      <c r="AA35" s="748"/>
      <c r="AB35" s="748"/>
      <c r="AC35" s="748"/>
      <c r="AD35" s="748"/>
      <c r="AE35" s="748"/>
      <c r="AF35" s="748"/>
    </row>
    <row r="36" spans="1:32" ht="20.100000000000001" customHeight="1">
      <c r="A36" s="1529"/>
      <c r="B36" s="1530" t="s">
        <v>230</v>
      </c>
      <c r="C36" s="1530"/>
      <c r="D36" s="1530"/>
      <c r="E36" s="1530"/>
      <c r="F36" s="1530"/>
      <c r="G36" s="1530"/>
      <c r="H36" s="1530"/>
      <c r="I36" s="1530"/>
      <c r="J36" s="1530"/>
      <c r="K36" s="1530"/>
      <c r="L36" s="1530"/>
      <c r="M36" s="1529"/>
      <c r="N36" s="713" t="str">
        <f>O39</f>
        <v>GA</v>
      </c>
      <c r="O36" s="1525" t="s">
        <v>232</v>
      </c>
      <c r="P36" s="1525"/>
      <c r="Q36" s="1525"/>
      <c r="R36" s="1525"/>
      <c r="S36" s="1525"/>
      <c r="T36" s="1525"/>
      <c r="U36" s="713"/>
      <c r="V36" s="749"/>
      <c r="W36" s="749"/>
      <c r="X36" s="748"/>
      <c r="Y36" s="748"/>
      <c r="Z36" s="748"/>
      <c r="AA36" s="748"/>
      <c r="AB36" s="748"/>
      <c r="AC36" s="748"/>
      <c r="AD36" s="748"/>
      <c r="AE36" s="748"/>
      <c r="AF36" s="748"/>
    </row>
    <row r="37" spans="1:32" ht="18" customHeight="1">
      <c r="A37" s="390"/>
      <c r="B37" s="1515" t="s">
        <v>376</v>
      </c>
      <c r="C37" s="1515"/>
      <c r="D37" s="1515"/>
      <c r="E37" s="1515"/>
      <c r="F37" s="1515"/>
      <c r="G37" s="1515"/>
      <c r="H37" s="1515"/>
      <c r="I37" s="1515"/>
      <c r="J37" s="1515"/>
      <c r="K37" s="1515"/>
      <c r="L37" s="1515"/>
      <c r="M37" s="390"/>
      <c r="N37" s="753" t="s">
        <v>516</v>
      </c>
      <c r="O37" s="754"/>
      <c r="P37" s="754"/>
      <c r="Q37" s="754"/>
      <c r="R37" s="754"/>
      <c r="S37" s="754"/>
      <c r="T37" s="754"/>
      <c r="U37" s="754"/>
      <c r="V37" s="755"/>
      <c r="W37" s="1549" t="s">
        <v>437</v>
      </c>
      <c r="X37" s="1549"/>
      <c r="Y37" s="1549"/>
      <c r="Z37" s="1549"/>
      <c r="AA37" s="1549"/>
      <c r="AB37" s="1549"/>
      <c r="AC37" s="748"/>
      <c r="AD37" s="748"/>
      <c r="AE37" s="748"/>
      <c r="AF37" s="748"/>
    </row>
    <row r="38" spans="1:32" ht="15.95" customHeight="1">
      <c r="A38" s="446"/>
      <c r="B38" s="446"/>
      <c r="C38" s="446"/>
      <c r="D38" s="446"/>
      <c r="E38" s="446"/>
      <c r="F38" s="446"/>
      <c r="G38" s="446"/>
      <c r="H38" s="446"/>
      <c r="I38" s="446"/>
      <c r="J38" s="446"/>
      <c r="K38" s="446"/>
      <c r="L38" s="446"/>
      <c r="M38" s="392"/>
      <c r="N38" s="393"/>
      <c r="O38" s="393"/>
      <c r="P38" s="393"/>
      <c r="Q38" s="393"/>
      <c r="R38" s="393"/>
      <c r="S38" s="393"/>
      <c r="T38" s="393"/>
      <c r="U38" s="393"/>
      <c r="V38" s="756"/>
      <c r="W38" s="1549"/>
      <c r="X38" s="1549"/>
      <c r="Y38" s="1549"/>
      <c r="Z38" s="1549"/>
      <c r="AA38" s="1549"/>
      <c r="AB38" s="1549"/>
      <c r="AC38" s="748"/>
      <c r="AD38" s="748"/>
      <c r="AE38" s="748"/>
      <c r="AF38" s="748"/>
    </row>
    <row r="39" spans="1:32" ht="15.95" customHeight="1">
      <c r="A39" s="446"/>
      <c r="B39" s="446"/>
      <c r="C39" s="1514" t="s">
        <v>478</v>
      </c>
      <c r="D39" s="1514"/>
      <c r="E39" s="1514"/>
      <c r="F39" s="1514"/>
      <c r="G39" s="1514"/>
      <c r="H39" s="1514"/>
      <c r="I39" s="1514"/>
      <c r="J39" s="1514"/>
      <c r="K39" s="446"/>
      <c r="L39" s="446"/>
      <c r="M39" s="392"/>
      <c r="N39" s="393"/>
      <c r="O39" s="757" t="str">
        <f>'FIG3'!W49</f>
        <v>GA</v>
      </c>
      <c r="P39" s="758"/>
      <c r="Q39" s="758"/>
      <c r="R39" s="758"/>
      <c r="S39" s="1659" t="s">
        <v>481</v>
      </c>
      <c r="T39" s="1659"/>
      <c r="U39" s="1659"/>
      <c r="V39" s="756"/>
      <c r="W39" s="759"/>
      <c r="X39" s="759"/>
      <c r="Y39" s="759"/>
      <c r="Z39" s="760"/>
      <c r="AA39" s="748"/>
      <c r="AB39" s="748"/>
      <c r="AC39" s="748"/>
      <c r="AD39" s="748"/>
      <c r="AE39" s="748"/>
      <c r="AF39" s="748"/>
    </row>
    <row r="40" spans="1:32" ht="15.95" customHeight="1">
      <c r="A40" s="446"/>
      <c r="B40" s="446"/>
      <c r="C40" s="1514"/>
      <c r="D40" s="1514"/>
      <c r="E40" s="1514"/>
      <c r="F40" s="1514"/>
      <c r="G40" s="1514"/>
      <c r="H40" s="1514"/>
      <c r="I40" s="1514"/>
      <c r="J40" s="1514"/>
      <c r="K40" s="446"/>
      <c r="L40" s="446"/>
      <c r="M40" s="392"/>
      <c r="N40" s="393"/>
      <c r="O40" s="761" t="s">
        <v>379</v>
      </c>
      <c r="P40" s="762">
        <v>1.1299999999999999</v>
      </c>
      <c r="Q40" s="762">
        <v>1</v>
      </c>
      <c r="R40" s="762">
        <v>0.92</v>
      </c>
      <c r="S40" s="1659"/>
      <c r="T40" s="1659"/>
      <c r="U40" s="1659"/>
      <c r="V40" s="756"/>
      <c r="W40" s="272" t="s">
        <v>514</v>
      </c>
      <c r="X40" s="272"/>
      <c r="Y40" s="272" t="s">
        <v>515</v>
      </c>
      <c r="Z40" s="760"/>
      <c r="AA40" s="748"/>
      <c r="AB40" s="748"/>
      <c r="AC40" s="748"/>
      <c r="AD40" s="748"/>
      <c r="AE40" s="748"/>
      <c r="AF40" s="748"/>
    </row>
    <row r="41" spans="1:32" ht="15.95" customHeight="1">
      <c r="A41" s="446"/>
      <c r="B41" s="446"/>
      <c r="C41" s="1514"/>
      <c r="D41" s="1514"/>
      <c r="E41" s="1514"/>
      <c r="F41" s="1514"/>
      <c r="G41" s="1514"/>
      <c r="H41" s="1514"/>
      <c r="I41" s="1514"/>
      <c r="J41" s="1514"/>
      <c r="K41" s="446"/>
      <c r="L41" s="446"/>
      <c r="M41" s="392"/>
      <c r="N41" s="393"/>
      <c r="O41" s="761"/>
      <c r="P41" s="763" t="s">
        <v>377</v>
      </c>
      <c r="Q41" s="763" t="s">
        <v>378</v>
      </c>
      <c r="R41" s="763" t="s">
        <v>163</v>
      </c>
      <c r="S41" s="1659"/>
      <c r="T41" s="1659"/>
      <c r="U41" s="1659"/>
      <c r="V41" s="756"/>
      <c r="W41" s="748"/>
      <c r="X41" s="748"/>
      <c r="Y41" s="764" t="s">
        <v>377</v>
      </c>
      <c r="Z41" s="764" t="s">
        <v>378</v>
      </c>
      <c r="AA41" s="748"/>
      <c r="AB41" s="748"/>
      <c r="AC41" s="748"/>
      <c r="AD41" s="748"/>
      <c r="AE41" s="748"/>
      <c r="AF41" s="748"/>
    </row>
    <row r="42" spans="1:32" ht="15.95" customHeight="1">
      <c r="A42" s="446"/>
      <c r="B42" s="446"/>
      <c r="C42" s="1514"/>
      <c r="D42" s="1514"/>
      <c r="E42" s="1514"/>
      <c r="F42" s="1514"/>
      <c r="G42" s="1514"/>
      <c r="H42" s="1514"/>
      <c r="I42" s="1514"/>
      <c r="J42" s="1514"/>
      <c r="K42" s="446"/>
      <c r="L42" s="446"/>
      <c r="M42" s="392"/>
      <c r="N42" s="393"/>
      <c r="O42" s="765" t="s">
        <v>382</v>
      </c>
      <c r="P42" s="731" t="s">
        <v>157</v>
      </c>
      <c r="Q42" s="732">
        <v>9737</v>
      </c>
      <c r="R42" s="1424">
        <f>'FIG3'!E13+'FIG3'!E14+'FIG3'!E15+'FIG3'!E17+'FIG3'!E18</f>
        <v>11050.734012357423</v>
      </c>
      <c r="S42" s="1659"/>
      <c r="T42" s="1659"/>
      <c r="U42" s="1659"/>
      <c r="V42" s="756"/>
      <c r="W42" s="733" t="s">
        <v>382</v>
      </c>
      <c r="X42" s="768"/>
      <c r="Y42" s="736">
        <v>0</v>
      </c>
      <c r="Z42" s="737">
        <v>0</v>
      </c>
      <c r="AA42" s="748"/>
      <c r="AB42" s="748"/>
      <c r="AC42" s="748"/>
      <c r="AD42" s="748"/>
      <c r="AE42" s="748"/>
      <c r="AF42" s="748"/>
    </row>
    <row r="43" spans="1:32" ht="15.95" customHeight="1">
      <c r="A43" s="446"/>
      <c r="B43" s="446"/>
      <c r="C43" s="1514"/>
      <c r="D43" s="1514"/>
      <c r="E43" s="1514"/>
      <c r="F43" s="1514"/>
      <c r="G43" s="1514"/>
      <c r="H43" s="1514"/>
      <c r="I43" s="1514"/>
      <c r="J43" s="1514"/>
      <c r="K43" s="446"/>
      <c r="L43" s="446"/>
      <c r="M43" s="392"/>
      <c r="N43" s="393"/>
      <c r="O43" s="769" t="s">
        <v>383</v>
      </c>
      <c r="P43" s="731" t="s">
        <v>157</v>
      </c>
      <c r="Q43" s="732">
        <v>8293</v>
      </c>
      <c r="R43" s="1424">
        <f>'FIG3'!F13+'FIG3'!F14+'FIG3'!F15+'FIG3'!F17+'FIG3'!F18</f>
        <v>7712.9830316248645</v>
      </c>
      <c r="S43" s="1659"/>
      <c r="T43" s="1659"/>
      <c r="U43" s="1659"/>
      <c r="V43" s="756"/>
      <c r="W43" s="734" t="s">
        <v>383</v>
      </c>
      <c r="X43" s="770"/>
      <c r="Y43" s="736">
        <v>0</v>
      </c>
      <c r="Z43" s="737">
        <v>0</v>
      </c>
      <c r="AA43" s="748"/>
      <c r="AB43" s="748"/>
      <c r="AC43" s="748"/>
      <c r="AD43" s="748"/>
      <c r="AE43" s="748"/>
      <c r="AF43" s="748"/>
    </row>
    <row r="44" spans="1:32" ht="15.95" customHeight="1">
      <c r="A44" s="446"/>
      <c r="B44" s="446"/>
      <c r="C44" s="1514"/>
      <c r="D44" s="1514"/>
      <c r="E44" s="1514"/>
      <c r="F44" s="1514"/>
      <c r="G44" s="1514"/>
      <c r="H44" s="1514"/>
      <c r="I44" s="1514"/>
      <c r="J44" s="1514"/>
      <c r="K44" s="446"/>
      <c r="L44" s="446"/>
      <c r="M44" s="392"/>
      <c r="N44" s="393"/>
      <c r="O44" s="766" t="str">
        <f>'FIG3'!$W$52&amp;" "&amp;'FIG3'!$X$52&amp;"-D"</f>
        <v>Fulton County District-D</v>
      </c>
      <c r="P44" s="731">
        <v>10843</v>
      </c>
      <c r="Q44" s="732">
        <v>10751</v>
      </c>
      <c r="R44" s="1424">
        <f>'FIG3'!I13+'FIG3'!I14+'FIG3'!I15+'FIG3'!I17+'FIG3'!I18</f>
        <v>12122.608451609898</v>
      </c>
      <c r="S44" s="1659"/>
      <c r="T44" s="1659"/>
      <c r="U44" s="1659"/>
      <c r="V44" s="756"/>
      <c r="W44" s="735" t="str">
        <f>'FIG3'!$W$52&amp;" "&amp;'FIG3'!$X$52&amp;"-D"</f>
        <v>Fulton County District-D</v>
      </c>
      <c r="X44" s="771"/>
      <c r="Y44" s="736">
        <v>0</v>
      </c>
      <c r="Z44" s="737">
        <v>0</v>
      </c>
      <c r="AA44" s="748"/>
      <c r="AB44" s="748"/>
      <c r="AC44" s="748"/>
      <c r="AD44" s="748"/>
      <c r="AE44" s="748"/>
      <c r="AF44" s="748"/>
    </row>
    <row r="45" spans="1:32" ht="15.95" customHeight="1">
      <c r="A45" s="446"/>
      <c r="B45" s="446"/>
      <c r="C45" s="446"/>
      <c r="D45" s="446"/>
      <c r="E45" s="446"/>
      <c r="F45" s="446"/>
      <c r="G45" s="446"/>
      <c r="H45" s="446"/>
      <c r="I45" s="446"/>
      <c r="J45" s="446"/>
      <c r="K45" s="446"/>
      <c r="L45" s="446"/>
      <c r="M45" s="392"/>
      <c r="N45" s="393"/>
      <c r="O45" s="766" t="str">
        <f>'FIG3'!$W$52&amp;" "&amp;'FIG3'!$X$52&amp;"-C"</f>
        <v>Fulton County District-C</v>
      </c>
      <c r="P45" s="731">
        <v>9325</v>
      </c>
      <c r="Q45" s="732">
        <v>8117</v>
      </c>
      <c r="R45" s="1424">
        <v>8872</v>
      </c>
      <c r="S45" s="1659"/>
      <c r="T45" s="1659"/>
      <c r="U45" s="1659"/>
      <c r="V45" s="756"/>
      <c r="W45" s="735" t="str">
        <f>'FIG3'!$W$52&amp;" "&amp;'FIG3'!$X$52&amp;"-C"</f>
        <v>Fulton County District-C</v>
      </c>
      <c r="X45" s="771"/>
      <c r="Y45" s="736">
        <v>0</v>
      </c>
      <c r="Z45" s="737">
        <v>0</v>
      </c>
      <c r="AA45" s="748"/>
      <c r="AB45" s="1656" t="s">
        <v>513</v>
      </c>
      <c r="AC45" s="1656"/>
      <c r="AD45" s="1656"/>
      <c r="AE45" s="1656"/>
      <c r="AF45" s="1656"/>
    </row>
    <row r="46" spans="1:32" ht="15.95" customHeight="1">
      <c r="A46" s="446"/>
      <c r="B46" s="446"/>
      <c r="C46" s="446"/>
      <c r="D46" s="446"/>
      <c r="E46" s="446"/>
      <c r="F46" s="446"/>
      <c r="G46" s="446"/>
      <c r="H46" s="446"/>
      <c r="I46" s="446"/>
      <c r="J46" s="446"/>
      <c r="K46" s="446"/>
      <c r="L46" s="446"/>
      <c r="M46" s="392"/>
      <c r="N46" s="393"/>
      <c r="O46" s="767" t="str">
        <f>'FIG3'!$W$53&amp;" "&amp;'FIG3'!$X$53&amp;"-D"</f>
        <v>Atlanta Public Schools-D</v>
      </c>
      <c r="P46" s="732">
        <v>12336</v>
      </c>
      <c r="Q46" s="732">
        <v>15476</v>
      </c>
      <c r="R46" s="1424">
        <f>'FIG3'!K13+'FIG3'!K14+'FIG3'!K15+'FIG3'!K17+'FIG3'!K18</f>
        <v>15588.491002950514</v>
      </c>
      <c r="S46" s="1659"/>
      <c r="T46" s="1659"/>
      <c r="U46" s="1659"/>
      <c r="V46" s="756"/>
      <c r="W46" s="735" t="str">
        <f>'FIG3'!$W$53&amp;" "&amp;'FIG3'!$X$53&amp;"-D"</f>
        <v>Atlanta Public Schools-D</v>
      </c>
      <c r="X46" s="771"/>
      <c r="Y46" s="736">
        <v>0</v>
      </c>
      <c r="Z46" s="737">
        <v>0</v>
      </c>
      <c r="AA46" s="748"/>
      <c r="AB46" s="1656"/>
      <c r="AC46" s="1656"/>
      <c r="AD46" s="1656"/>
      <c r="AE46" s="1656"/>
      <c r="AF46" s="1656"/>
    </row>
    <row r="47" spans="1:32" ht="15.95" customHeight="1">
      <c r="A47" s="446"/>
      <c r="B47" s="446"/>
      <c r="C47" s="1650" t="s">
        <v>381</v>
      </c>
      <c r="D47" s="1650"/>
      <c r="E47" s="1650"/>
      <c r="F47" s="1650"/>
      <c r="G47" s="1650"/>
      <c r="H47" s="1650"/>
      <c r="I47" s="1650"/>
      <c r="J47" s="1650"/>
      <c r="K47" s="446"/>
      <c r="L47" s="446"/>
      <c r="M47" s="392"/>
      <c r="N47" s="393"/>
      <c r="O47" s="767" t="str">
        <f>'FIG3'!$W$53&amp;" "&amp;'FIG3'!$X$53&amp;"-C"</f>
        <v>Atlanta Public Schools-C</v>
      </c>
      <c r="P47" s="732">
        <v>7489</v>
      </c>
      <c r="Q47" s="732">
        <v>10217</v>
      </c>
      <c r="R47" s="1424">
        <v>11640</v>
      </c>
      <c r="S47" s="1659"/>
      <c r="T47" s="1659"/>
      <c r="U47" s="1659"/>
      <c r="V47" s="772"/>
      <c r="W47" s="735" t="str">
        <f>'FIG3'!$W$53&amp;" "&amp;'FIG3'!$X$53&amp;"-C"</f>
        <v>Atlanta Public Schools-C</v>
      </c>
      <c r="X47" s="771"/>
      <c r="Y47" s="736">
        <v>0</v>
      </c>
      <c r="Z47" s="737">
        <v>0</v>
      </c>
      <c r="AA47" s="748"/>
      <c r="AB47" s="1656"/>
      <c r="AC47" s="1656"/>
      <c r="AD47" s="1656"/>
      <c r="AE47" s="1656"/>
      <c r="AF47" s="1656"/>
    </row>
    <row r="48" spans="1:32" ht="15.95" customHeight="1">
      <c r="A48" s="446"/>
      <c r="B48" s="446"/>
      <c r="C48" s="1650"/>
      <c r="D48" s="1650"/>
      <c r="E48" s="1650"/>
      <c r="F48" s="1650"/>
      <c r="G48" s="1650"/>
      <c r="H48" s="1650"/>
      <c r="I48" s="1650"/>
      <c r="J48" s="1650"/>
      <c r="K48" s="446"/>
      <c r="L48" s="446"/>
      <c r="M48" s="392"/>
      <c r="N48" s="393"/>
      <c r="O48" s="767" t="str">
        <f>'FIG3'!$W$54&amp;" "&amp;'FIG3'!$X$54&amp;"-D"</f>
        <v>FA3L1 FA3L2-D</v>
      </c>
      <c r="P48" s="732">
        <v>0</v>
      </c>
      <c r="Q48" s="732">
        <v>0</v>
      </c>
      <c r="R48" s="1424" t="e">
        <f>'FIG3'!M13+'FIG3'!M14+'FIG3'!M15+'FIG3'!M17+'FIG3'!M18</f>
        <v>#DIV/0!</v>
      </c>
      <c r="S48" s="1659"/>
      <c r="T48" s="1659"/>
      <c r="U48" s="1659"/>
      <c r="V48" s="772"/>
      <c r="W48" s="735" t="str">
        <f>'FIG3'!$W$54&amp;" "&amp;'FIG3'!$X$54&amp;"-D"</f>
        <v>FA3L1 FA3L2-D</v>
      </c>
      <c r="X48" s="771"/>
      <c r="Y48" s="736">
        <v>0</v>
      </c>
      <c r="Z48" s="737">
        <v>0</v>
      </c>
      <c r="AA48" s="748"/>
      <c r="AB48" s="1656"/>
      <c r="AC48" s="1656"/>
      <c r="AD48" s="1656"/>
      <c r="AE48" s="1656"/>
      <c r="AF48" s="1656"/>
    </row>
    <row r="49" spans="1:32" ht="15.95" customHeight="1">
      <c r="A49" s="446"/>
      <c r="B49" s="446"/>
      <c r="C49" s="1650"/>
      <c r="D49" s="1650"/>
      <c r="E49" s="1650"/>
      <c r="F49" s="1650"/>
      <c r="G49" s="1650"/>
      <c r="H49" s="1650"/>
      <c r="I49" s="1650"/>
      <c r="J49" s="1650"/>
      <c r="K49" s="446"/>
      <c r="L49" s="446"/>
      <c r="M49" s="392"/>
      <c r="N49" s="393"/>
      <c r="O49" s="767" t="str">
        <f>'FIG3'!$W$54&amp;" "&amp;'FIG3'!$X$54&amp;"-C"</f>
        <v>FA3L1 FA3L2-C</v>
      </c>
      <c r="P49" s="732">
        <v>0</v>
      </c>
      <c r="Q49" s="732">
        <v>0</v>
      </c>
      <c r="R49" s="1424" t="e">
        <f>'FIG3'!N13+'FIG3'!N14+'FIG3'!N15+'FIG3'!N17+'FIG3'!N18</f>
        <v>#DIV/0!</v>
      </c>
      <c r="S49" s="1659"/>
      <c r="T49" s="1659"/>
      <c r="U49" s="1659"/>
      <c r="V49" s="772"/>
      <c r="W49" s="735" t="str">
        <f>'FIG3'!$W$54&amp;" "&amp;'FIG3'!$X$54&amp;"-C"</f>
        <v>FA3L1 FA3L2-C</v>
      </c>
      <c r="X49" s="771"/>
      <c r="Y49" s="736">
        <v>0</v>
      </c>
      <c r="Z49" s="737">
        <v>0</v>
      </c>
      <c r="AA49" s="748"/>
      <c r="AB49" s="748"/>
      <c r="AC49" s="748"/>
      <c r="AD49" s="748"/>
      <c r="AE49" s="748"/>
      <c r="AF49" s="748"/>
    </row>
    <row r="50" spans="1:32" ht="15.95" customHeight="1">
      <c r="A50" s="446"/>
      <c r="B50" s="446"/>
      <c r="C50" s="1650"/>
      <c r="D50" s="1650"/>
      <c r="E50" s="1650"/>
      <c r="F50" s="1650"/>
      <c r="G50" s="1650"/>
      <c r="H50" s="1650"/>
      <c r="I50" s="1650"/>
      <c r="J50" s="1650"/>
      <c r="K50" s="446"/>
      <c r="L50" s="446"/>
      <c r="M50" s="392"/>
      <c r="N50" s="393"/>
      <c r="O50" s="767" t="str">
        <f>'FIG3'!$W$55&amp;" "&amp;'FIG3'!$X$55&amp;"-D"</f>
        <v>FA4L1 FA4L2-D</v>
      </c>
      <c r="P50" s="732">
        <v>0</v>
      </c>
      <c r="Q50" s="732">
        <v>0</v>
      </c>
      <c r="R50" s="1424" t="e">
        <f>'FIG3'!O13+'FIG3'!O14+'FIG3'!O15+'FIG3'!O17+'FIG3'!O18</f>
        <v>#DIV/0!</v>
      </c>
      <c r="S50" s="1659"/>
      <c r="T50" s="1659"/>
      <c r="U50" s="1659"/>
      <c r="V50" s="772"/>
      <c r="W50" s="735" t="str">
        <f>'FIG3'!$W$55&amp;" "&amp;'FIG3'!$X$55&amp;"-D"</f>
        <v>FA4L1 FA4L2-D</v>
      </c>
      <c r="X50" s="771"/>
      <c r="Y50" s="736">
        <v>0</v>
      </c>
      <c r="Z50" s="737">
        <v>0</v>
      </c>
      <c r="AA50" s="748"/>
      <c r="AB50" s="748"/>
      <c r="AC50" s="748"/>
      <c r="AD50" s="748"/>
      <c r="AE50" s="748"/>
      <c r="AF50" s="748"/>
    </row>
    <row r="51" spans="1:32" ht="15.95" customHeight="1">
      <c r="A51" s="446"/>
      <c r="B51" s="446"/>
      <c r="C51" s="1650"/>
      <c r="D51" s="1650"/>
      <c r="E51" s="1650"/>
      <c r="F51" s="1650"/>
      <c r="G51" s="1650"/>
      <c r="H51" s="1650"/>
      <c r="I51" s="1650"/>
      <c r="J51" s="1650"/>
      <c r="K51" s="446"/>
      <c r="L51" s="446"/>
      <c r="M51" s="392"/>
      <c r="N51" s="393"/>
      <c r="O51" s="767" t="str">
        <f>'FIG3'!$W$55&amp;" "&amp;'FIG3'!$X$55&amp;"-C"</f>
        <v>FA4L1 FA4L2-C</v>
      </c>
      <c r="P51" s="732">
        <v>0</v>
      </c>
      <c r="Q51" s="732">
        <v>0</v>
      </c>
      <c r="R51" s="1424" t="e">
        <f>'FIG3'!P13+'FIG3'!P14+'FIG3'!P15+'FIG3'!P17+'FIG3'!P18</f>
        <v>#DIV/0!</v>
      </c>
      <c r="S51" s="1659"/>
      <c r="T51" s="1659"/>
      <c r="U51" s="1659"/>
      <c r="V51" s="772"/>
      <c r="W51" s="735" t="str">
        <f>'FIG3'!$W$55&amp;" "&amp;'FIG3'!$X$55&amp;"-C"</f>
        <v>FA4L1 FA4L2-C</v>
      </c>
      <c r="X51" s="771"/>
      <c r="Y51" s="736">
        <v>0</v>
      </c>
      <c r="Z51" s="737">
        <v>0</v>
      </c>
      <c r="AA51" s="748"/>
      <c r="AB51" s="748"/>
      <c r="AC51" s="748"/>
      <c r="AD51" s="748"/>
      <c r="AE51" s="748"/>
      <c r="AF51" s="748"/>
    </row>
    <row r="52" spans="1:32" ht="15.95" customHeight="1">
      <c r="A52" s="446"/>
      <c r="B52" s="446"/>
      <c r="C52" s="1650"/>
      <c r="D52" s="1650"/>
      <c r="E52" s="1650"/>
      <c r="F52" s="1650"/>
      <c r="G52" s="1650"/>
      <c r="H52" s="1650"/>
      <c r="I52" s="1650"/>
      <c r="J52" s="1650"/>
      <c r="K52" s="446"/>
      <c r="L52" s="446"/>
      <c r="M52" s="392"/>
      <c r="N52" s="393"/>
      <c r="O52" s="767" t="str">
        <f>'FIG3'!$W$56&amp;" "&amp;'FIG3'!$X$56&amp;"-D"</f>
        <v>FA5L1 FA5L2-D</v>
      </c>
      <c r="P52" s="732">
        <v>0</v>
      </c>
      <c r="Q52" s="732">
        <v>0</v>
      </c>
      <c r="R52" s="1424" t="e">
        <f>'FIG3'!Q13+'FIG3'!Q14+'FIG3'!Q15+'FIG3'!Q17+'FIG3'!Q18</f>
        <v>#DIV/0!</v>
      </c>
      <c r="S52" s="1659"/>
      <c r="T52" s="1659"/>
      <c r="U52" s="1659"/>
      <c r="V52" s="756"/>
      <c r="W52" s="735" t="str">
        <f>'FIG3'!$W$56&amp;" "&amp;'FIG3'!$X$56&amp;"-D"</f>
        <v>FA5L1 FA5L2-D</v>
      </c>
      <c r="X52" s="771"/>
      <c r="Y52" s="736">
        <v>0</v>
      </c>
      <c r="Z52" s="737">
        <v>0</v>
      </c>
      <c r="AA52" s="748"/>
      <c r="AB52" s="748"/>
      <c r="AC52" s="748"/>
      <c r="AD52" s="748"/>
      <c r="AE52" s="748"/>
      <c r="AF52" s="748"/>
    </row>
    <row r="53" spans="1:32" ht="15.95" customHeight="1">
      <c r="A53" s="446"/>
      <c r="B53" s="446"/>
      <c r="C53" s="1650"/>
      <c r="D53" s="1650"/>
      <c r="E53" s="1650"/>
      <c r="F53" s="1650"/>
      <c r="G53" s="1650"/>
      <c r="H53" s="1650"/>
      <c r="I53" s="1650"/>
      <c r="J53" s="1650"/>
      <c r="K53" s="446"/>
      <c r="L53" s="446"/>
      <c r="M53" s="392"/>
      <c r="N53" s="393"/>
      <c r="O53" s="767" t="str">
        <f>'FIG3'!$W$56&amp;" "&amp;'FIG3'!$X$56&amp;"-C"</f>
        <v>FA5L1 FA5L2-C</v>
      </c>
      <c r="P53" s="732">
        <v>0</v>
      </c>
      <c r="Q53" s="732">
        <v>0</v>
      </c>
      <c r="R53" s="1424" t="e">
        <f>'FIG3'!R13+'FIG3'!R14+'FIG3'!R15+'FIG3'!R17+'FIG3'!R18</f>
        <v>#DIV/0!</v>
      </c>
      <c r="S53" s="1659"/>
      <c r="T53" s="1659"/>
      <c r="U53" s="1659"/>
      <c r="V53" s="773"/>
      <c r="W53" s="735" t="str">
        <f>'FIG3'!$W$56&amp;" "&amp;'FIG3'!$X$56&amp;"-C"</f>
        <v>FA5L1 FA5L2-C</v>
      </c>
      <c r="X53" s="771"/>
      <c r="Y53" s="736">
        <v>0</v>
      </c>
      <c r="Z53" s="737">
        <v>0</v>
      </c>
      <c r="AA53" s="748"/>
      <c r="AB53" s="748"/>
      <c r="AC53" s="748"/>
      <c r="AD53" s="748"/>
      <c r="AE53" s="748"/>
      <c r="AF53" s="748"/>
    </row>
    <row r="54" spans="1:32" ht="15.95" customHeight="1">
      <c r="A54" s="446"/>
      <c r="B54" s="446"/>
      <c r="C54" s="1650"/>
      <c r="D54" s="1650"/>
      <c r="E54" s="1650"/>
      <c r="F54" s="1650"/>
      <c r="G54" s="1650"/>
      <c r="H54" s="1650"/>
      <c r="I54" s="1650"/>
      <c r="J54" s="1650"/>
      <c r="K54" s="446"/>
      <c r="L54" s="446"/>
      <c r="M54" s="392"/>
      <c r="N54" s="393"/>
      <c r="O54" s="1660" t="s">
        <v>459</v>
      </c>
      <c r="P54" s="1660"/>
      <c r="Q54" s="1660"/>
      <c r="R54" s="1660"/>
      <c r="S54" s="1660"/>
      <c r="T54" s="1660"/>
      <c r="U54" s="1660"/>
      <c r="V54" s="773"/>
      <c r="W54" s="774"/>
      <c r="X54" s="748"/>
      <c r="Y54" s="748"/>
      <c r="Z54" s="748"/>
      <c r="AA54" s="748"/>
      <c r="AB54" s="748"/>
      <c r="AC54" s="748"/>
      <c r="AD54" s="748"/>
      <c r="AE54" s="748"/>
      <c r="AF54" s="748"/>
    </row>
    <row r="55" spans="1:32" ht="15.95" customHeight="1">
      <c r="A55" s="446"/>
      <c r="B55" s="446"/>
      <c r="C55" s="446"/>
      <c r="D55" s="446"/>
      <c r="E55" s="446"/>
      <c r="F55" s="446"/>
      <c r="G55" s="446"/>
      <c r="H55" s="446"/>
      <c r="I55" s="446"/>
      <c r="J55" s="446"/>
      <c r="K55" s="446"/>
      <c r="L55" s="446"/>
      <c r="M55" s="392"/>
      <c r="N55" s="394"/>
      <c r="O55" s="1660"/>
      <c r="P55" s="1660"/>
      <c r="Q55" s="1660"/>
      <c r="R55" s="1660"/>
      <c r="S55" s="1660"/>
      <c r="T55" s="1660"/>
      <c r="U55" s="1660"/>
      <c r="V55" s="773"/>
      <c r="W55" s="759"/>
      <c r="X55" s="759"/>
      <c r="Y55" s="759"/>
      <c r="Z55" s="748"/>
      <c r="AA55" s="748"/>
      <c r="AB55" s="748"/>
      <c r="AC55" s="748"/>
      <c r="AD55" s="748"/>
      <c r="AE55" s="748"/>
      <c r="AF55" s="748"/>
    </row>
    <row r="56" spans="1:32" ht="15.95" customHeight="1">
      <c r="A56" s="446"/>
      <c r="B56" s="446"/>
      <c r="C56" s="446"/>
      <c r="D56" s="446"/>
      <c r="E56" s="446"/>
      <c r="F56" s="446"/>
      <c r="G56" s="446"/>
      <c r="H56" s="446"/>
      <c r="I56" s="446"/>
      <c r="J56" s="446"/>
      <c r="K56" s="446"/>
      <c r="L56" s="446"/>
      <c r="M56" s="392"/>
      <c r="N56" s="394"/>
      <c r="O56" s="1660"/>
      <c r="P56" s="1660"/>
      <c r="Q56" s="1660"/>
      <c r="R56" s="1660"/>
      <c r="S56" s="1660"/>
      <c r="T56" s="1660"/>
      <c r="U56" s="1660"/>
      <c r="V56" s="773"/>
      <c r="W56" s="759"/>
      <c r="X56" s="759"/>
      <c r="Y56" s="759"/>
      <c r="Z56" s="748"/>
      <c r="AA56" s="748"/>
      <c r="AB56" s="748"/>
      <c r="AC56" s="748"/>
      <c r="AD56" s="748"/>
      <c r="AE56" s="748"/>
      <c r="AF56" s="748"/>
    </row>
    <row r="57" spans="1:32" ht="15.95" customHeight="1">
      <c r="A57" s="446"/>
      <c r="B57" s="446"/>
      <c r="C57" s="446"/>
      <c r="D57" s="446"/>
      <c r="E57" s="446"/>
      <c r="F57" s="446"/>
      <c r="G57" s="446"/>
      <c r="H57" s="446"/>
      <c r="I57" s="446"/>
      <c r="J57" s="446"/>
      <c r="K57" s="446"/>
      <c r="L57" s="446"/>
      <c r="M57" s="392"/>
      <c r="N57" s="394"/>
      <c r="O57" s="1660"/>
      <c r="P57" s="1660"/>
      <c r="Q57" s="1660"/>
      <c r="R57" s="1660"/>
      <c r="S57" s="1660"/>
      <c r="T57" s="1660"/>
      <c r="U57" s="1660"/>
      <c r="V57" s="756"/>
      <c r="W57" s="759"/>
      <c r="X57" s="759"/>
      <c r="Y57" s="759"/>
      <c r="Z57" s="748"/>
      <c r="AA57" s="748"/>
      <c r="AB57" s="748"/>
      <c r="AC57" s="748"/>
      <c r="AD57" s="748"/>
      <c r="AE57" s="748"/>
      <c r="AF57" s="748"/>
    </row>
    <row r="58" spans="1:32" ht="15.95" customHeight="1">
      <c r="A58" s="446"/>
      <c r="B58" s="446"/>
      <c r="C58" s="1514" t="s">
        <v>415</v>
      </c>
      <c r="D58" s="1514"/>
      <c r="E58" s="1514"/>
      <c r="F58" s="1514"/>
      <c r="G58" s="1514"/>
      <c r="H58" s="1514"/>
      <c r="I58" s="1514"/>
      <c r="J58" s="1514"/>
      <c r="K58" s="446"/>
      <c r="L58" s="446"/>
      <c r="M58" s="392"/>
      <c r="N58" s="394"/>
      <c r="O58" s="1660"/>
      <c r="P58" s="1660"/>
      <c r="Q58" s="1660"/>
      <c r="R58" s="1660"/>
      <c r="S58" s="1660"/>
      <c r="T58" s="1660"/>
      <c r="U58" s="1660"/>
      <c r="V58" s="748"/>
      <c r="W58" s="759"/>
      <c r="X58" s="759"/>
      <c r="Y58" s="759"/>
      <c r="Z58" s="748"/>
      <c r="AA58" s="748"/>
      <c r="AB58" s="748"/>
      <c r="AC58" s="748"/>
      <c r="AD58" s="748"/>
      <c r="AE58" s="748"/>
      <c r="AF58" s="748"/>
    </row>
    <row r="59" spans="1:32" ht="15.95" customHeight="1">
      <c r="A59" s="446"/>
      <c r="B59" s="446"/>
      <c r="C59" s="1514"/>
      <c r="D59" s="1514"/>
      <c r="E59" s="1514"/>
      <c r="F59" s="1514"/>
      <c r="G59" s="1514"/>
      <c r="H59" s="1514"/>
      <c r="I59" s="1514"/>
      <c r="J59" s="1514"/>
      <c r="K59" s="446"/>
      <c r="L59" s="446"/>
      <c r="M59" s="392"/>
      <c r="N59" s="394"/>
      <c r="O59" s="828"/>
      <c r="P59" s="828"/>
      <c r="Q59" s="828"/>
      <c r="R59" s="828"/>
      <c r="S59" s="828"/>
      <c r="T59" s="828"/>
      <c r="U59" s="828"/>
      <c r="V59" s="748"/>
      <c r="W59" s="748"/>
      <c r="X59" s="272"/>
      <c r="Y59" s="775"/>
      <c r="Z59" s="747"/>
      <c r="AA59" s="747"/>
      <c r="AB59" s="748"/>
      <c r="AC59" s="748"/>
      <c r="AD59" s="748"/>
      <c r="AE59" s="748"/>
      <c r="AF59" s="748"/>
    </row>
    <row r="60" spans="1:32" ht="15.95" customHeight="1">
      <c r="A60" s="446"/>
      <c r="B60" s="446"/>
      <c r="C60" s="1514"/>
      <c r="D60" s="1514"/>
      <c r="E60" s="1514"/>
      <c r="F60" s="1514"/>
      <c r="G60" s="1514"/>
      <c r="H60" s="1514"/>
      <c r="I60" s="1514"/>
      <c r="J60" s="1514"/>
      <c r="K60" s="446"/>
      <c r="L60" s="446"/>
      <c r="M60" s="392"/>
      <c r="N60" s="394"/>
      <c r="O60" s="776"/>
      <c r="P60" s="777" t="s">
        <v>476</v>
      </c>
      <c r="Q60" s="777" t="s">
        <v>477</v>
      </c>
      <c r="R60" s="777" t="s">
        <v>512</v>
      </c>
      <c r="S60" s="1657" t="s">
        <v>517</v>
      </c>
      <c r="T60" s="1658"/>
      <c r="U60" s="1658"/>
      <c r="V60" s="778"/>
      <c r="W60" s="748" t="s">
        <v>482</v>
      </c>
      <c r="X60" s="779"/>
      <c r="Y60" s="780"/>
      <c r="Z60" s="781"/>
      <c r="AA60" s="747"/>
      <c r="AB60" s="748"/>
      <c r="AC60" s="748"/>
      <c r="AD60" s="748"/>
      <c r="AE60" s="748"/>
      <c r="AF60" s="748"/>
    </row>
    <row r="61" spans="1:32" ht="15.95" customHeight="1">
      <c r="A61" s="446"/>
      <c r="B61" s="446"/>
      <c r="C61" s="1514"/>
      <c r="D61" s="1514"/>
      <c r="E61" s="1514"/>
      <c r="F61" s="1514"/>
      <c r="G61" s="1514"/>
      <c r="H61" s="1514"/>
      <c r="I61" s="1514"/>
      <c r="J61" s="1514"/>
      <c r="K61" s="446"/>
      <c r="L61" s="446"/>
      <c r="M61" s="392"/>
      <c r="N61" s="394"/>
      <c r="O61" s="782" t="str">
        <f t="shared" ref="O61:O72" si="0">O42</f>
        <v>Statewide District (D)</v>
      </c>
      <c r="P61" s="783" t="e">
        <f t="shared" ref="P61:R72" si="1">P42*P$40</f>
        <v>#VALUE!</v>
      </c>
      <c r="Q61" s="784">
        <f t="shared" si="1"/>
        <v>9737</v>
      </c>
      <c r="R61" s="784">
        <f t="shared" si="1"/>
        <v>10166.675291368831</v>
      </c>
      <c r="S61" s="1657"/>
      <c r="T61" s="1658"/>
      <c r="U61" s="1658"/>
      <c r="V61" s="748"/>
      <c r="W61" s="748"/>
      <c r="X61" s="779"/>
      <c r="Y61" s="780"/>
      <c r="Z61" s="747"/>
      <c r="AA61" s="785"/>
      <c r="AB61" s="786"/>
      <c r="AC61" s="748"/>
      <c r="AD61" s="748"/>
      <c r="AE61" s="748"/>
      <c r="AF61" s="748"/>
    </row>
    <row r="62" spans="1:32" ht="15.95" customHeight="1">
      <c r="A62" s="446"/>
      <c r="B62" s="446"/>
      <c r="C62" s="1514"/>
      <c r="D62" s="1514"/>
      <c r="E62" s="1514"/>
      <c r="F62" s="1514"/>
      <c r="G62" s="1514"/>
      <c r="H62" s="1514"/>
      <c r="I62" s="1514"/>
      <c r="J62" s="1514"/>
      <c r="K62" s="446"/>
      <c r="L62" s="446"/>
      <c r="M62" s="392"/>
      <c r="N62" s="394"/>
      <c r="O62" s="782" t="str">
        <f t="shared" si="0"/>
        <v>Statewide Charter (C)</v>
      </c>
      <c r="P62" s="783" t="e">
        <f t="shared" si="1"/>
        <v>#VALUE!</v>
      </c>
      <c r="Q62" s="784">
        <f t="shared" si="1"/>
        <v>8293</v>
      </c>
      <c r="R62" s="784">
        <f t="shared" si="1"/>
        <v>7095.944389094876</v>
      </c>
      <c r="S62" s="1657"/>
      <c r="T62" s="1658"/>
      <c r="U62" s="1658"/>
      <c r="V62" s="787"/>
      <c r="W62" s="748" t="s">
        <v>483</v>
      </c>
      <c r="X62" s="779"/>
      <c r="Y62" s="780"/>
      <c r="Z62" s="747"/>
      <c r="AA62" s="785"/>
      <c r="AB62" s="786"/>
      <c r="AC62" s="748"/>
      <c r="AD62" s="748"/>
      <c r="AE62" s="748"/>
      <c r="AF62" s="748"/>
    </row>
    <row r="63" spans="1:32" ht="15.95" customHeight="1">
      <c r="A63" s="446"/>
      <c r="B63" s="446"/>
      <c r="C63" s="1514"/>
      <c r="D63" s="1514"/>
      <c r="E63" s="1514"/>
      <c r="F63" s="1514"/>
      <c r="G63" s="1514"/>
      <c r="H63" s="1514"/>
      <c r="I63" s="1514"/>
      <c r="J63" s="1514"/>
      <c r="K63" s="446"/>
      <c r="L63" s="446"/>
      <c r="M63" s="392"/>
      <c r="N63" s="788"/>
      <c r="O63" s="783" t="str">
        <f t="shared" si="0"/>
        <v>Fulton County District-D</v>
      </c>
      <c r="P63" s="783">
        <f t="shared" si="1"/>
        <v>12252.589999999998</v>
      </c>
      <c r="Q63" s="784">
        <f t="shared" si="1"/>
        <v>10751</v>
      </c>
      <c r="R63" s="784">
        <f t="shared" si="1"/>
        <v>11152.799775481108</v>
      </c>
      <c r="S63" s="1657"/>
      <c r="T63" s="1658"/>
      <c r="U63" s="1658"/>
      <c r="V63" s="748"/>
      <c r="W63" s="748"/>
      <c r="X63" s="779"/>
      <c r="Y63" s="780"/>
      <c r="Z63" s="748"/>
      <c r="AA63" s="785"/>
      <c r="AB63" s="786"/>
      <c r="AC63" s="748"/>
      <c r="AD63" s="748"/>
      <c r="AE63" s="748"/>
      <c r="AF63" s="748"/>
    </row>
    <row r="64" spans="1:32" ht="15.95" customHeight="1">
      <c r="A64" s="446"/>
      <c r="B64" s="446"/>
      <c r="C64" s="1514"/>
      <c r="D64" s="1514"/>
      <c r="E64" s="1514"/>
      <c r="F64" s="1514"/>
      <c r="G64" s="1514"/>
      <c r="H64" s="1514"/>
      <c r="I64" s="1514"/>
      <c r="J64" s="1514"/>
      <c r="K64" s="446"/>
      <c r="L64" s="446"/>
      <c r="M64" s="392"/>
      <c r="N64" s="394"/>
      <c r="O64" s="783" t="str">
        <f t="shared" si="0"/>
        <v>Fulton County District-C</v>
      </c>
      <c r="P64" s="783">
        <f t="shared" si="1"/>
        <v>10537.249999999998</v>
      </c>
      <c r="Q64" s="784">
        <f t="shared" si="1"/>
        <v>8117</v>
      </c>
      <c r="R64" s="784">
        <f t="shared" si="1"/>
        <v>8162.2400000000007</v>
      </c>
      <c r="S64" s="1657"/>
      <c r="T64" s="1658"/>
      <c r="U64" s="1658"/>
      <c r="V64" s="748"/>
      <c r="W64" s="748"/>
      <c r="X64" s="779"/>
      <c r="Y64" s="780"/>
      <c r="Z64" s="748"/>
      <c r="AA64" s="785"/>
      <c r="AB64" s="786"/>
      <c r="AC64" s="748"/>
      <c r="AD64" s="748"/>
      <c r="AE64" s="748"/>
      <c r="AF64" s="748"/>
    </row>
    <row r="65" spans="1:32" ht="15.95" customHeight="1">
      <c r="A65" s="446"/>
      <c r="B65" s="446"/>
      <c r="C65" s="1514"/>
      <c r="D65" s="1514"/>
      <c r="E65" s="1514"/>
      <c r="F65" s="1514"/>
      <c r="G65" s="1514"/>
      <c r="H65" s="1514"/>
      <c r="I65" s="1514"/>
      <c r="J65" s="1514"/>
      <c r="K65" s="446"/>
      <c r="L65" s="446"/>
      <c r="M65" s="392"/>
      <c r="N65" s="394"/>
      <c r="O65" s="782" t="str">
        <f t="shared" si="0"/>
        <v>Atlanta Public Schools-D</v>
      </c>
      <c r="P65" s="784">
        <f t="shared" si="1"/>
        <v>13939.679999999998</v>
      </c>
      <c r="Q65" s="784">
        <f t="shared" si="1"/>
        <v>15476</v>
      </c>
      <c r="R65" s="783">
        <f t="shared" si="1"/>
        <v>14341.411722714472</v>
      </c>
      <c r="S65" s="1657"/>
      <c r="T65" s="1658"/>
      <c r="U65" s="1658"/>
      <c r="V65" s="748"/>
      <c r="W65" s="748"/>
      <c r="X65" s="779"/>
      <c r="Y65" s="780"/>
      <c r="Z65" s="748"/>
      <c r="AA65" s="748"/>
      <c r="AB65" s="748"/>
      <c r="AC65" s="748"/>
      <c r="AD65" s="748"/>
      <c r="AE65" s="748"/>
      <c r="AF65" s="748"/>
    </row>
    <row r="66" spans="1:32" ht="15.95" customHeight="1">
      <c r="A66" s="446"/>
      <c r="B66" s="446"/>
      <c r="C66" s="1514"/>
      <c r="D66" s="1514"/>
      <c r="E66" s="1514"/>
      <c r="F66" s="1514"/>
      <c r="G66" s="1514"/>
      <c r="H66" s="1514"/>
      <c r="I66" s="1514"/>
      <c r="J66" s="1514"/>
      <c r="K66" s="446"/>
      <c r="L66" s="446"/>
      <c r="M66" s="392"/>
      <c r="N66" s="394"/>
      <c r="O66" s="782" t="str">
        <f t="shared" si="0"/>
        <v>Atlanta Public Schools-C</v>
      </c>
      <c r="P66" s="784">
        <f t="shared" si="1"/>
        <v>8462.57</v>
      </c>
      <c r="Q66" s="784">
        <f t="shared" si="1"/>
        <v>10217</v>
      </c>
      <c r="R66" s="783">
        <f t="shared" si="1"/>
        <v>10708.800000000001</v>
      </c>
      <c r="S66" s="1657"/>
      <c r="T66" s="1658"/>
      <c r="U66" s="1658"/>
      <c r="V66" s="748"/>
      <c r="W66" s="748"/>
      <c r="X66" s="779"/>
      <c r="Y66" s="780"/>
      <c r="Z66" s="748"/>
      <c r="AA66" s="748"/>
      <c r="AB66" s="748"/>
      <c r="AC66" s="748"/>
      <c r="AD66" s="748"/>
      <c r="AE66" s="748"/>
      <c r="AF66" s="748"/>
    </row>
    <row r="67" spans="1:32" ht="15.95" customHeight="1">
      <c r="A67" s="446"/>
      <c r="B67" s="446"/>
      <c r="C67" s="1514"/>
      <c r="D67" s="1514"/>
      <c r="E67" s="1514"/>
      <c r="F67" s="1514"/>
      <c r="G67" s="1514"/>
      <c r="H67" s="1514"/>
      <c r="I67" s="1514"/>
      <c r="J67" s="1514"/>
      <c r="K67" s="446"/>
      <c r="L67" s="446"/>
      <c r="M67" s="392"/>
      <c r="N67" s="394"/>
      <c r="O67" s="782" t="str">
        <f t="shared" si="0"/>
        <v>FA3L1 FA3L2-D</v>
      </c>
      <c r="P67" s="784">
        <f t="shared" si="1"/>
        <v>0</v>
      </c>
      <c r="Q67" s="784">
        <f t="shared" si="1"/>
        <v>0</v>
      </c>
      <c r="R67" s="783" t="e">
        <f t="shared" si="1"/>
        <v>#DIV/0!</v>
      </c>
      <c r="S67" s="1657"/>
      <c r="T67" s="1658"/>
      <c r="U67" s="1658"/>
      <c r="V67" s="748"/>
      <c r="W67" s="748"/>
      <c r="X67" s="779"/>
      <c r="Y67" s="780"/>
      <c r="Z67" s="748"/>
      <c r="AA67" s="748"/>
      <c r="AB67" s="748"/>
      <c r="AC67" s="748"/>
      <c r="AD67" s="748"/>
      <c r="AE67" s="748"/>
      <c r="AF67" s="748"/>
    </row>
    <row r="68" spans="1:32" ht="15.95" customHeight="1">
      <c r="A68" s="446"/>
      <c r="B68" s="446"/>
      <c r="C68" s="494"/>
      <c r="D68" s="494"/>
      <c r="E68" s="494"/>
      <c r="F68" s="494"/>
      <c r="G68" s="494"/>
      <c r="H68" s="494"/>
      <c r="I68" s="494"/>
      <c r="J68" s="494"/>
      <c r="K68" s="446"/>
      <c r="L68" s="446"/>
      <c r="M68" s="392"/>
      <c r="N68" s="394"/>
      <c r="O68" s="782" t="str">
        <f t="shared" si="0"/>
        <v>FA3L1 FA3L2-C</v>
      </c>
      <c r="P68" s="784">
        <f t="shared" si="1"/>
        <v>0</v>
      </c>
      <c r="Q68" s="784">
        <f t="shared" si="1"/>
        <v>0</v>
      </c>
      <c r="R68" s="783" t="e">
        <f t="shared" si="1"/>
        <v>#DIV/0!</v>
      </c>
      <c r="S68" s="1657"/>
      <c r="T68" s="1658"/>
      <c r="U68" s="1658"/>
      <c r="V68" s="748"/>
      <c r="W68" s="748"/>
      <c r="X68" s="779"/>
      <c r="Y68" s="780"/>
      <c r="Z68" s="748"/>
      <c r="AA68" s="748"/>
      <c r="AB68" s="748"/>
      <c r="AC68" s="748"/>
      <c r="AD68" s="748"/>
      <c r="AE68" s="748"/>
      <c r="AF68" s="748"/>
    </row>
    <row r="69" spans="1:32" ht="15.95" customHeight="1">
      <c r="A69" s="446"/>
      <c r="B69" s="446"/>
      <c r="C69" s="494"/>
      <c r="D69" s="494"/>
      <c r="E69" s="494"/>
      <c r="F69" s="494"/>
      <c r="G69" s="494"/>
      <c r="H69" s="494"/>
      <c r="I69" s="494"/>
      <c r="J69" s="494"/>
      <c r="K69" s="446"/>
      <c r="L69" s="446"/>
      <c r="M69" s="392"/>
      <c r="N69" s="394"/>
      <c r="O69" s="782" t="str">
        <f t="shared" si="0"/>
        <v>FA4L1 FA4L2-D</v>
      </c>
      <c r="P69" s="784">
        <f t="shared" si="1"/>
        <v>0</v>
      </c>
      <c r="Q69" s="784">
        <f t="shared" si="1"/>
        <v>0</v>
      </c>
      <c r="R69" s="783" t="e">
        <f t="shared" si="1"/>
        <v>#DIV/0!</v>
      </c>
      <c r="S69" s="1657"/>
      <c r="T69" s="1658"/>
      <c r="U69" s="1658"/>
      <c r="V69" s="748"/>
      <c r="W69" s="748"/>
      <c r="X69" s="779"/>
      <c r="Y69" s="780"/>
      <c r="Z69" s="748"/>
      <c r="AA69" s="748"/>
      <c r="AB69" s="748"/>
      <c r="AC69" s="748"/>
      <c r="AD69" s="748"/>
      <c r="AE69" s="748"/>
      <c r="AF69" s="748"/>
    </row>
    <row r="70" spans="1:32" ht="15.95" customHeight="1">
      <c r="A70" s="446"/>
      <c r="B70" s="446"/>
      <c r="C70" s="494"/>
      <c r="D70" s="494"/>
      <c r="E70" s="494"/>
      <c r="F70" s="494"/>
      <c r="G70" s="494"/>
      <c r="H70" s="494"/>
      <c r="I70" s="494"/>
      <c r="J70" s="494"/>
      <c r="K70" s="446"/>
      <c r="L70" s="446"/>
      <c r="M70" s="392"/>
      <c r="N70" s="394"/>
      <c r="O70" s="782" t="str">
        <f t="shared" si="0"/>
        <v>FA4L1 FA4L2-C</v>
      </c>
      <c r="P70" s="784">
        <f t="shared" si="1"/>
        <v>0</v>
      </c>
      <c r="Q70" s="784">
        <f t="shared" si="1"/>
        <v>0</v>
      </c>
      <c r="R70" s="783" t="e">
        <f t="shared" si="1"/>
        <v>#DIV/0!</v>
      </c>
      <c r="S70" s="1657"/>
      <c r="T70" s="1658"/>
      <c r="U70" s="1658"/>
      <c r="V70" s="748"/>
      <c r="W70" s="748"/>
      <c r="X70" s="779"/>
      <c r="Y70" s="780"/>
      <c r="Z70" s="748"/>
      <c r="AA70" s="748"/>
      <c r="AB70" s="748"/>
      <c r="AC70" s="748"/>
      <c r="AD70" s="748"/>
      <c r="AE70" s="748"/>
      <c r="AF70" s="748"/>
    </row>
    <row r="71" spans="1:32" ht="15.95" customHeight="1">
      <c r="A71" s="446"/>
      <c r="B71" s="446"/>
      <c r="C71" s="494"/>
      <c r="D71" s="494"/>
      <c r="E71" s="494"/>
      <c r="F71" s="494"/>
      <c r="G71" s="494"/>
      <c r="H71" s="494"/>
      <c r="I71" s="494"/>
      <c r="J71" s="494"/>
      <c r="K71" s="446"/>
      <c r="L71" s="446"/>
      <c r="M71" s="392"/>
      <c r="N71" s="394"/>
      <c r="O71" s="782" t="str">
        <f t="shared" si="0"/>
        <v>FA5L1 FA5L2-D</v>
      </c>
      <c r="P71" s="784">
        <f t="shared" si="1"/>
        <v>0</v>
      </c>
      <c r="Q71" s="784">
        <f t="shared" si="1"/>
        <v>0</v>
      </c>
      <c r="R71" s="783" t="e">
        <f t="shared" si="1"/>
        <v>#DIV/0!</v>
      </c>
      <c r="S71" s="1657"/>
      <c r="T71" s="1658"/>
      <c r="U71" s="1658"/>
      <c r="V71" s="748"/>
      <c r="W71" s="748"/>
      <c r="X71" s="779"/>
      <c r="Y71" s="780"/>
      <c r="Z71" s="748"/>
      <c r="AA71" s="748"/>
      <c r="AB71" s="748"/>
      <c r="AC71" s="748"/>
      <c r="AD71" s="748"/>
      <c r="AE71" s="748"/>
      <c r="AF71" s="748"/>
    </row>
    <row r="72" spans="1:32" ht="15.95" customHeight="1">
      <c r="A72" s="446"/>
      <c r="B72" s="446"/>
      <c r="C72" s="446"/>
      <c r="D72" s="446"/>
      <c r="E72" s="446"/>
      <c r="F72" s="446"/>
      <c r="G72" s="446"/>
      <c r="H72" s="446"/>
      <c r="I72" s="446"/>
      <c r="J72" s="446"/>
      <c r="K72" s="446"/>
      <c r="L72" s="446"/>
      <c r="M72" s="392"/>
      <c r="N72" s="394"/>
      <c r="O72" s="782" t="str">
        <f t="shared" si="0"/>
        <v>FA5L1 FA5L2-C</v>
      </c>
      <c r="P72" s="784">
        <f t="shared" si="1"/>
        <v>0</v>
      </c>
      <c r="Q72" s="784">
        <f t="shared" si="1"/>
        <v>0</v>
      </c>
      <c r="R72" s="783" t="e">
        <f t="shared" si="1"/>
        <v>#DIV/0!</v>
      </c>
      <c r="S72" s="1657"/>
      <c r="T72" s="1658"/>
      <c r="U72" s="1658"/>
      <c r="V72" s="748"/>
      <c r="W72" s="265"/>
      <c r="X72" s="748"/>
      <c r="Y72" s="748"/>
      <c r="Z72" s="748"/>
      <c r="AA72" s="748"/>
      <c r="AB72" s="748"/>
      <c r="AC72" s="748"/>
      <c r="AD72" s="748"/>
      <c r="AE72" s="748"/>
      <c r="AF72" s="748"/>
    </row>
    <row r="73" spans="1:32" ht="15.95" customHeight="1">
      <c r="A73" s="446"/>
      <c r="B73" s="446"/>
      <c r="C73" s="446"/>
      <c r="D73" s="446"/>
      <c r="E73" s="446"/>
      <c r="F73" s="446"/>
      <c r="G73" s="446"/>
      <c r="H73" s="446"/>
      <c r="I73" s="446"/>
      <c r="J73" s="446"/>
      <c r="K73" s="446"/>
      <c r="L73" s="446"/>
      <c r="M73" s="392"/>
      <c r="N73" s="394"/>
      <c r="O73" s="1649" t="s">
        <v>518</v>
      </c>
      <c r="P73" s="1649"/>
      <c r="Q73" s="1649"/>
      <c r="R73" s="1649"/>
      <c r="S73" s="1649"/>
      <c r="T73" s="1649"/>
      <c r="U73" s="1649"/>
      <c r="V73" s="748"/>
      <c r="W73" s="748"/>
      <c r="X73" s="748"/>
      <c r="Y73" s="748"/>
      <c r="Z73" s="748"/>
      <c r="AA73" s="748"/>
      <c r="AB73" s="748"/>
      <c r="AC73" s="748"/>
      <c r="AD73" s="748"/>
      <c r="AE73" s="748"/>
      <c r="AF73" s="748"/>
    </row>
    <row r="74" spans="1:32" ht="15.95" customHeight="1">
      <c r="A74" s="446"/>
      <c r="B74" s="446"/>
      <c r="C74" s="446"/>
      <c r="D74" s="446"/>
      <c r="E74" s="446"/>
      <c r="F74" s="446"/>
      <c r="G74" s="446"/>
      <c r="H74" s="446"/>
      <c r="I74" s="446"/>
      <c r="J74" s="446"/>
      <c r="K74" s="446"/>
      <c r="L74" s="446"/>
      <c r="M74" s="392"/>
      <c r="N74" s="394"/>
      <c r="O74" s="1649"/>
      <c r="P74" s="1649"/>
      <c r="Q74" s="1649"/>
      <c r="R74" s="1649"/>
      <c r="S74" s="1649"/>
      <c r="T74" s="1649"/>
      <c r="U74" s="1649"/>
      <c r="V74" s="748"/>
      <c r="W74" s="748"/>
      <c r="X74" s="748"/>
      <c r="Y74" s="748"/>
      <c r="Z74" s="748"/>
      <c r="AA74" s="748"/>
      <c r="AB74" s="748"/>
      <c r="AC74" s="748"/>
      <c r="AD74" s="748"/>
      <c r="AE74" s="748"/>
      <c r="AF74" s="748"/>
    </row>
    <row r="75" spans="1:32" ht="15.95" customHeight="1">
      <c r="A75" s="446"/>
      <c r="B75" s="446"/>
      <c r="C75" s="446"/>
      <c r="D75" s="446"/>
      <c r="E75" s="446"/>
      <c r="F75" s="446"/>
      <c r="G75" s="446"/>
      <c r="H75" s="446"/>
      <c r="I75" s="446"/>
      <c r="J75" s="446"/>
      <c r="K75" s="446"/>
      <c r="L75" s="446"/>
      <c r="M75" s="392"/>
      <c r="N75" s="394"/>
      <c r="O75" s="1649"/>
      <c r="P75" s="1649"/>
      <c r="Q75" s="1649"/>
      <c r="R75" s="1649"/>
      <c r="S75" s="1649"/>
      <c r="T75" s="1649"/>
      <c r="U75" s="1649"/>
      <c r="V75" s="748"/>
      <c r="W75" s="748"/>
      <c r="X75" s="748"/>
      <c r="Y75" s="748"/>
      <c r="Z75" s="748"/>
      <c r="AA75" s="748"/>
      <c r="AB75" s="748"/>
      <c r="AC75" s="748"/>
      <c r="AD75" s="748"/>
      <c r="AE75" s="748"/>
      <c r="AF75" s="748"/>
    </row>
    <row r="76" spans="1:32" ht="15.95" customHeight="1">
      <c r="A76" s="446"/>
      <c r="B76" s="446"/>
      <c r="C76" s="446"/>
      <c r="D76" s="446"/>
      <c r="E76" s="446"/>
      <c r="F76" s="446"/>
      <c r="G76" s="446"/>
      <c r="H76" s="446"/>
      <c r="I76" s="446"/>
      <c r="J76" s="446"/>
      <c r="K76" s="446"/>
      <c r="L76" s="446"/>
      <c r="M76" s="392"/>
      <c r="N76" s="394"/>
      <c r="O76" s="1649"/>
      <c r="P76" s="1649"/>
      <c r="Q76" s="1649"/>
      <c r="R76" s="1649"/>
      <c r="S76" s="1649"/>
      <c r="T76" s="1649"/>
      <c r="U76" s="1649"/>
      <c r="V76" s="748"/>
      <c r="W76" s="748"/>
      <c r="X76" s="748"/>
      <c r="Y76" s="748"/>
      <c r="Z76" s="748"/>
      <c r="AA76" s="748"/>
      <c r="AB76" s="748"/>
      <c r="AC76" s="748"/>
      <c r="AD76" s="748"/>
      <c r="AE76" s="748"/>
      <c r="AF76" s="748"/>
    </row>
    <row r="77" spans="1:32" ht="15.95" customHeight="1">
      <c r="A77" s="446"/>
      <c r="B77" s="446"/>
      <c r="C77" s="446"/>
      <c r="D77" s="446"/>
      <c r="E77" s="446"/>
      <c r="F77" s="446"/>
      <c r="G77" s="446"/>
      <c r="H77" s="446"/>
      <c r="I77" s="446"/>
      <c r="J77" s="446"/>
      <c r="K77" s="446"/>
      <c r="L77" s="446"/>
      <c r="M77" s="392"/>
      <c r="N77" s="394"/>
      <c r="O77" s="1649"/>
      <c r="P77" s="1649"/>
      <c r="Q77" s="1649"/>
      <c r="R77" s="1649"/>
      <c r="S77" s="1649"/>
      <c r="T77" s="1649"/>
      <c r="U77" s="1649"/>
      <c r="V77" s="748"/>
      <c r="W77" s="748"/>
      <c r="X77" s="748"/>
      <c r="Y77" s="748"/>
      <c r="Z77" s="748"/>
      <c r="AA77" s="748"/>
      <c r="AB77" s="748"/>
      <c r="AC77" s="748"/>
      <c r="AD77" s="748"/>
      <c r="AE77" s="748"/>
      <c r="AF77" s="748"/>
    </row>
    <row r="78" spans="1:32" ht="12.95" customHeight="1">
      <c r="M78" s="359"/>
    </row>
    <row r="79" spans="1:32" ht="12.95" customHeight="1">
      <c r="M79" s="359"/>
    </row>
    <row r="80" spans="1:32" ht="12.95" customHeight="1">
      <c r="M80" s="359"/>
    </row>
    <row r="81" spans="13:13" ht="12.95" customHeight="1">
      <c r="M81" s="359"/>
    </row>
    <row r="82" spans="13:13" ht="12.95" customHeight="1">
      <c r="M82" s="359"/>
    </row>
    <row r="83" spans="13:13" ht="12.95" customHeight="1">
      <c r="M83" s="359"/>
    </row>
    <row r="84" spans="13:13" ht="12.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S60:U72"/>
    <mergeCell ref="S39:U53"/>
    <mergeCell ref="O54:U58"/>
    <mergeCell ref="C58:J67"/>
    <mergeCell ref="O73:U77"/>
    <mergeCell ref="B1:L1"/>
    <mergeCell ref="B37:L37"/>
    <mergeCell ref="O2:T2"/>
    <mergeCell ref="N11:U16"/>
    <mergeCell ref="N29:U29"/>
    <mergeCell ref="N30:U30"/>
    <mergeCell ref="O36:T36"/>
    <mergeCell ref="N3:U10"/>
    <mergeCell ref="N31:U31"/>
    <mergeCell ref="N32:U32"/>
    <mergeCell ref="N33:U33"/>
    <mergeCell ref="N34:U34"/>
    <mergeCell ref="N35:U35"/>
    <mergeCell ref="N17:U28"/>
    <mergeCell ref="W37:AB38"/>
    <mergeCell ref="AB45:AF48"/>
    <mergeCell ref="A2:A36"/>
    <mergeCell ref="M2:M36"/>
    <mergeCell ref="B2:L2"/>
    <mergeCell ref="B36:L36"/>
    <mergeCell ref="C39:J44"/>
    <mergeCell ref="C47:J54"/>
  </mergeCells>
  <phoneticPr fontId="146" type="noConversion"/>
  <conditionalFormatting sqref="O52:Q53">
    <cfRule type="expression" dxfId="94" priority="24">
      <formula>$O$52="FA5L1 FA5L2-D"</formula>
    </cfRule>
  </conditionalFormatting>
  <conditionalFormatting sqref="O71:O72">
    <cfRule type="expression" dxfId="93" priority="19">
      <formula>$O$52="FA5L1 FA5L2-D"</formula>
    </cfRule>
  </conditionalFormatting>
  <conditionalFormatting sqref="O69:O70">
    <cfRule type="expression" dxfId="92" priority="20">
      <formula>$O$50="FA4L1 FA4L2-D"</formula>
    </cfRule>
  </conditionalFormatting>
  <conditionalFormatting sqref="O67:O68">
    <cfRule type="expression" dxfId="91" priority="21">
      <formula>$O$48="FA3L1 FA3L2-D"</formula>
    </cfRule>
  </conditionalFormatting>
  <conditionalFormatting sqref="O65:O66">
    <cfRule type="expression" dxfId="90" priority="22">
      <formula>$O$46="FA2L1 FA2L2-D"</formula>
    </cfRule>
  </conditionalFormatting>
  <conditionalFormatting sqref="P71:R72">
    <cfRule type="expression" dxfId="89" priority="14">
      <formula>$O$52="FA5L1 FA5L2-D"</formula>
    </cfRule>
  </conditionalFormatting>
  <conditionalFormatting sqref="P69:R70">
    <cfRule type="expression" dxfId="88" priority="15">
      <formula>$O$50="FA4L1 FA4L2-D"</formula>
    </cfRule>
  </conditionalFormatting>
  <conditionalFormatting sqref="P67:R68">
    <cfRule type="expression" dxfId="87" priority="16">
      <formula>$O$48="FA3L1 FA3L2-D"</formula>
    </cfRule>
  </conditionalFormatting>
  <conditionalFormatting sqref="P65:R66">
    <cfRule type="expression" dxfId="86" priority="17">
      <formula>$O$46="FA2L1 FA2L2-D"</formula>
    </cfRule>
  </conditionalFormatting>
  <conditionalFormatting sqref="P63:R64">
    <cfRule type="expression" dxfId="85" priority="18">
      <formula>$O$44="FA1L1 FA1L2-D"</formula>
    </cfRule>
  </conditionalFormatting>
  <conditionalFormatting sqref="O63:O64">
    <cfRule type="expression" dxfId="84" priority="5">
      <formula>$O$44="FA1L1 FA1L2-D"</formula>
    </cfRule>
  </conditionalFormatting>
  <conditionalFormatting sqref="O44:Q45">
    <cfRule type="expression" dxfId="83" priority="4">
      <formula>$O$44="FA1L1 FA1L2-D"</formula>
    </cfRule>
  </conditionalFormatting>
  <conditionalFormatting sqref="O46:Q47">
    <cfRule type="expression" dxfId="82" priority="3">
      <formula>$O$46="FA2L1 FA2L2-D"</formula>
    </cfRule>
  </conditionalFormatting>
  <conditionalFormatting sqref="O48:Q49">
    <cfRule type="expression" dxfId="81" priority="2">
      <formula>$O$48="FA3L1 FA3L2-D"</formula>
    </cfRule>
  </conditionalFormatting>
  <conditionalFormatting sqref="O50:Q51">
    <cfRule type="expression" dxfId="80" priority="1">
      <formula>$O$50="FA4L1 FA4L2-D"</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P549"/>
  <sheetViews>
    <sheetView workbookViewId="0"/>
  </sheetViews>
  <sheetFormatPr defaultColWidth="8.83203125"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8.83203125" style="387"/>
  </cols>
  <sheetData>
    <row r="1" spans="1:32" ht="18" customHeight="1">
      <c r="A1" s="310"/>
      <c r="B1" s="1642" t="s">
        <v>376</v>
      </c>
      <c r="C1" s="1642"/>
      <c r="D1" s="1642"/>
      <c r="E1" s="1642"/>
      <c r="F1" s="1642"/>
      <c r="G1" s="1642"/>
      <c r="H1" s="1642"/>
      <c r="I1" s="1642"/>
      <c r="J1" s="1642"/>
      <c r="K1" s="1642"/>
      <c r="L1" s="1642"/>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643" t="s">
        <v>376</v>
      </c>
      <c r="B2" s="1644" t="s">
        <v>233</v>
      </c>
      <c r="C2" s="1644"/>
      <c r="D2" s="1644"/>
      <c r="E2" s="1644"/>
      <c r="F2" s="1644"/>
      <c r="G2" s="1644"/>
      <c r="H2" s="1644"/>
      <c r="I2" s="1644"/>
      <c r="J2" s="1644"/>
      <c r="K2" s="1644"/>
      <c r="L2" s="1644"/>
      <c r="M2" s="1643" t="s">
        <v>376</v>
      </c>
      <c r="N2" s="433" t="str">
        <f>O39</f>
        <v>GA</v>
      </c>
      <c r="O2" s="1645" t="s">
        <v>234</v>
      </c>
      <c r="P2" s="1645"/>
      <c r="Q2" s="1645"/>
      <c r="R2" s="1645"/>
      <c r="S2" s="1645"/>
      <c r="T2" s="1645"/>
      <c r="U2" s="434"/>
      <c r="V2" s="426"/>
      <c r="W2" s="426"/>
      <c r="X2" s="625"/>
      <c r="Y2" s="625"/>
      <c r="Z2" s="625"/>
      <c r="AA2" s="625"/>
      <c r="AB2" s="625"/>
      <c r="AC2" s="625"/>
      <c r="AD2" s="625"/>
      <c r="AE2" s="625"/>
      <c r="AF2" s="625"/>
    </row>
    <row r="3" spans="1:32" ht="15.95" customHeight="1">
      <c r="A3" s="1643"/>
      <c r="B3" s="308"/>
      <c r="C3" s="308"/>
      <c r="D3" s="308"/>
      <c r="E3" s="308"/>
      <c r="F3" s="308"/>
      <c r="G3" s="308"/>
      <c r="H3" s="308"/>
      <c r="I3" s="308"/>
      <c r="J3" s="308"/>
      <c r="K3" s="308"/>
      <c r="L3" s="308"/>
      <c r="M3" s="1643"/>
      <c r="N3" s="1491" t="s">
        <v>462</v>
      </c>
      <c r="O3" s="1492"/>
      <c r="P3" s="1492"/>
      <c r="Q3" s="1492"/>
      <c r="R3" s="1492"/>
      <c r="S3" s="1492"/>
      <c r="T3" s="1492"/>
      <c r="U3" s="1493"/>
      <c r="V3" s="424"/>
      <c r="W3" s="424"/>
      <c r="X3" s="625"/>
      <c r="Y3" s="625"/>
      <c r="Z3" s="625"/>
      <c r="AA3" s="625"/>
      <c r="AB3" s="625"/>
      <c r="AC3" s="625"/>
      <c r="AD3" s="625"/>
      <c r="AE3" s="625"/>
      <c r="AF3" s="625"/>
    </row>
    <row r="4" spans="1:32" ht="15.95" customHeight="1">
      <c r="A4" s="1643"/>
      <c r="B4" s="308"/>
      <c r="C4" s="308"/>
      <c r="D4" s="308"/>
      <c r="E4" s="308"/>
      <c r="F4" s="308"/>
      <c r="G4" s="308"/>
      <c r="H4" s="308"/>
      <c r="I4" s="308"/>
      <c r="J4" s="308"/>
      <c r="K4" s="308"/>
      <c r="L4" s="308"/>
      <c r="M4" s="1643"/>
      <c r="N4" s="1491"/>
      <c r="O4" s="1492"/>
      <c r="P4" s="1492"/>
      <c r="Q4" s="1492"/>
      <c r="R4" s="1492"/>
      <c r="S4" s="1492"/>
      <c r="T4" s="1492"/>
      <c r="U4" s="1493"/>
      <c r="V4" s="424"/>
      <c r="W4" s="424"/>
      <c r="X4" s="625"/>
      <c r="Y4" s="625"/>
      <c r="Z4" s="625"/>
      <c r="AA4" s="625"/>
      <c r="AB4" s="625"/>
      <c r="AC4" s="625"/>
      <c r="AD4" s="625"/>
      <c r="AE4" s="625"/>
      <c r="AF4" s="625"/>
    </row>
    <row r="5" spans="1:32" ht="15.95" customHeight="1">
      <c r="A5" s="1643"/>
      <c r="B5" s="308"/>
      <c r="C5" s="308"/>
      <c r="D5" s="308"/>
      <c r="E5" s="308"/>
      <c r="F5" s="308"/>
      <c r="G5" s="308"/>
      <c r="H5" s="308"/>
      <c r="I5" s="308"/>
      <c r="J5" s="308"/>
      <c r="K5" s="308"/>
      <c r="L5" s="308"/>
      <c r="M5" s="1643"/>
      <c r="N5" s="1491"/>
      <c r="O5" s="1492"/>
      <c r="P5" s="1492"/>
      <c r="Q5" s="1492"/>
      <c r="R5" s="1492"/>
      <c r="S5" s="1492"/>
      <c r="T5" s="1492"/>
      <c r="U5" s="1493"/>
      <c r="V5" s="424"/>
      <c r="W5" s="424"/>
      <c r="X5" s="625"/>
      <c r="Y5" s="625"/>
      <c r="Z5" s="625"/>
      <c r="AA5" s="625"/>
      <c r="AB5" s="625"/>
      <c r="AC5" s="625"/>
      <c r="AD5" s="625"/>
      <c r="AE5" s="625"/>
      <c r="AF5" s="625"/>
    </row>
    <row r="6" spans="1:32" ht="15.95" customHeight="1">
      <c r="A6" s="1643"/>
      <c r="B6" s="308"/>
      <c r="C6" s="308"/>
      <c r="D6" s="308"/>
      <c r="E6" s="308"/>
      <c r="F6" s="308"/>
      <c r="G6" s="308"/>
      <c r="H6" s="308"/>
      <c r="I6" s="308"/>
      <c r="J6" s="308"/>
      <c r="K6" s="308"/>
      <c r="L6" s="308"/>
      <c r="M6" s="1643"/>
      <c r="N6" s="1491"/>
      <c r="O6" s="1492"/>
      <c r="P6" s="1492"/>
      <c r="Q6" s="1492"/>
      <c r="R6" s="1492"/>
      <c r="S6" s="1492"/>
      <c r="T6" s="1492"/>
      <c r="U6" s="1493"/>
      <c r="V6" s="424"/>
      <c r="W6" s="424"/>
      <c r="X6" s="625"/>
      <c r="Y6" s="625"/>
      <c r="Z6" s="625"/>
      <c r="AA6" s="625"/>
      <c r="AB6" s="625"/>
      <c r="AC6" s="625"/>
      <c r="AD6" s="625"/>
      <c r="AE6" s="625"/>
      <c r="AF6" s="625"/>
    </row>
    <row r="7" spans="1:32" ht="15.95" customHeight="1">
      <c r="A7" s="1643"/>
      <c r="B7" s="308"/>
      <c r="C7" s="308"/>
      <c r="D7" s="308"/>
      <c r="E7" s="308"/>
      <c r="F7" s="308"/>
      <c r="G7" s="308"/>
      <c r="H7" s="308"/>
      <c r="I7" s="308"/>
      <c r="J7" s="308"/>
      <c r="K7" s="308"/>
      <c r="L7" s="308"/>
      <c r="M7" s="1643"/>
      <c r="N7" s="1491"/>
      <c r="O7" s="1492"/>
      <c r="P7" s="1492"/>
      <c r="Q7" s="1492"/>
      <c r="R7" s="1492"/>
      <c r="S7" s="1492"/>
      <c r="T7" s="1492"/>
      <c r="U7" s="1493"/>
      <c r="V7" s="424"/>
      <c r="W7" s="424"/>
      <c r="X7" s="625"/>
      <c r="Y7" s="625"/>
      <c r="Z7" s="625"/>
      <c r="AA7" s="625"/>
      <c r="AB7" s="625"/>
      <c r="AC7" s="625"/>
      <c r="AD7" s="625"/>
      <c r="AE7" s="625"/>
      <c r="AF7" s="625"/>
    </row>
    <row r="8" spans="1:32" ht="15.95" customHeight="1">
      <c r="A8" s="1643"/>
      <c r="B8" s="308"/>
      <c r="C8" s="308"/>
      <c r="D8" s="308"/>
      <c r="E8" s="308"/>
      <c r="F8" s="308"/>
      <c r="G8" s="308"/>
      <c r="H8" s="308"/>
      <c r="I8" s="308"/>
      <c r="J8" s="308"/>
      <c r="K8" s="308"/>
      <c r="L8" s="308"/>
      <c r="M8" s="1643"/>
      <c r="N8" s="1491"/>
      <c r="O8" s="1492"/>
      <c r="P8" s="1492"/>
      <c r="Q8" s="1492"/>
      <c r="R8" s="1492"/>
      <c r="S8" s="1492"/>
      <c r="T8" s="1492"/>
      <c r="U8" s="1493"/>
      <c r="V8" s="424"/>
      <c r="W8" s="424"/>
      <c r="X8" s="625"/>
      <c r="Y8" s="625"/>
      <c r="Z8" s="625"/>
      <c r="AA8" s="625"/>
      <c r="AB8" s="625"/>
      <c r="AC8" s="625"/>
      <c r="AD8" s="625"/>
      <c r="AE8" s="625"/>
      <c r="AF8" s="625"/>
    </row>
    <row r="9" spans="1:32" ht="15.95" customHeight="1">
      <c r="A9" s="1643"/>
      <c r="B9" s="308"/>
      <c r="C9" s="308"/>
      <c r="D9" s="308"/>
      <c r="E9" s="308"/>
      <c r="F9" s="308"/>
      <c r="G9" s="308"/>
      <c r="H9" s="308"/>
      <c r="I9" s="308"/>
      <c r="J9" s="308"/>
      <c r="K9" s="308"/>
      <c r="L9" s="308"/>
      <c r="M9" s="1643"/>
      <c r="N9" s="1491"/>
      <c r="O9" s="1492"/>
      <c r="P9" s="1492"/>
      <c r="Q9" s="1492"/>
      <c r="R9" s="1492"/>
      <c r="S9" s="1492"/>
      <c r="T9" s="1492"/>
      <c r="U9" s="1493"/>
      <c r="V9" s="424"/>
      <c r="W9" s="424"/>
      <c r="X9" s="625"/>
      <c r="Y9" s="625"/>
      <c r="Z9" s="625"/>
      <c r="AA9" s="625"/>
      <c r="AB9" s="625"/>
      <c r="AC9" s="625"/>
      <c r="AD9" s="625"/>
      <c r="AE9" s="625"/>
      <c r="AF9" s="625"/>
    </row>
    <row r="10" spans="1:32" ht="15.95" customHeight="1">
      <c r="A10" s="1643"/>
      <c r="B10" s="308"/>
      <c r="C10" s="308"/>
      <c r="D10" s="308"/>
      <c r="E10" s="308"/>
      <c r="F10" s="308"/>
      <c r="G10" s="308"/>
      <c r="H10" s="308"/>
      <c r="I10" s="308"/>
      <c r="J10" s="308"/>
      <c r="K10" s="308"/>
      <c r="L10" s="308"/>
      <c r="M10" s="1643"/>
      <c r="N10" s="1494"/>
      <c r="O10" s="1495"/>
      <c r="P10" s="1495"/>
      <c r="Q10" s="1495"/>
      <c r="R10" s="1495"/>
      <c r="S10" s="1495"/>
      <c r="T10" s="1495"/>
      <c r="U10" s="1496"/>
      <c r="V10" s="424"/>
      <c r="W10" s="424"/>
      <c r="X10" s="625"/>
      <c r="Y10" s="625"/>
      <c r="Z10" s="625"/>
      <c r="AA10" s="625"/>
      <c r="AB10" s="625"/>
      <c r="AC10" s="625"/>
      <c r="AD10" s="625"/>
      <c r="AE10" s="625"/>
      <c r="AF10" s="625"/>
    </row>
    <row r="11" spans="1:32" ht="15.95" customHeight="1">
      <c r="A11" s="1643"/>
      <c r="B11" s="308"/>
      <c r="C11" s="308"/>
      <c r="D11" s="308"/>
      <c r="E11" s="308"/>
      <c r="F11" s="308"/>
      <c r="G11" s="308"/>
      <c r="H11" s="308"/>
      <c r="I11" s="308"/>
      <c r="J11" s="308"/>
      <c r="K11" s="308"/>
      <c r="L11" s="308"/>
      <c r="M11" s="1643"/>
      <c r="N11" s="1488"/>
      <c r="O11" s="1489"/>
      <c r="P11" s="1489"/>
      <c r="Q11" s="1489"/>
      <c r="R11" s="1489"/>
      <c r="S11" s="1489"/>
      <c r="T11" s="1489"/>
      <c r="U11" s="1490"/>
      <c r="V11" s="425"/>
      <c r="W11" s="425"/>
      <c r="X11" s="625"/>
      <c r="Y11" s="625"/>
      <c r="Z11" s="625"/>
      <c r="AA11" s="625"/>
      <c r="AB11" s="625"/>
      <c r="AC11" s="625"/>
      <c r="AD11" s="625"/>
      <c r="AE11" s="625"/>
      <c r="AF11" s="625"/>
    </row>
    <row r="12" spans="1:32" ht="15.95" customHeight="1">
      <c r="A12" s="1643"/>
      <c r="B12" s="308"/>
      <c r="C12" s="308"/>
      <c r="D12" s="308"/>
      <c r="E12" s="308"/>
      <c r="F12" s="308"/>
      <c r="G12" s="308"/>
      <c r="H12" s="308"/>
      <c r="I12" s="308"/>
      <c r="J12" s="308"/>
      <c r="K12" s="308"/>
      <c r="L12" s="308"/>
      <c r="M12" s="1643"/>
      <c r="N12" s="1491"/>
      <c r="O12" s="1492"/>
      <c r="P12" s="1492"/>
      <c r="Q12" s="1492"/>
      <c r="R12" s="1492"/>
      <c r="S12" s="1492"/>
      <c r="T12" s="1492"/>
      <c r="U12" s="1493"/>
      <c r="V12" s="425"/>
      <c r="W12" s="425"/>
      <c r="X12" s="625"/>
      <c r="Y12" s="625"/>
      <c r="Z12" s="625"/>
      <c r="AA12" s="625"/>
      <c r="AB12" s="625"/>
      <c r="AC12" s="625"/>
      <c r="AD12" s="625"/>
      <c r="AE12" s="625"/>
      <c r="AF12" s="625"/>
    </row>
    <row r="13" spans="1:32" ht="15.95" customHeight="1">
      <c r="A13" s="1643"/>
      <c r="B13" s="308"/>
      <c r="C13" s="308"/>
      <c r="D13" s="308"/>
      <c r="E13" s="308"/>
      <c r="F13" s="308"/>
      <c r="G13" s="308"/>
      <c r="H13" s="308"/>
      <c r="I13" s="308"/>
      <c r="J13" s="308"/>
      <c r="K13" s="308"/>
      <c r="L13" s="308"/>
      <c r="M13" s="1643"/>
      <c r="N13" s="1491"/>
      <c r="O13" s="1492"/>
      <c r="P13" s="1492"/>
      <c r="Q13" s="1492"/>
      <c r="R13" s="1492"/>
      <c r="S13" s="1492"/>
      <c r="T13" s="1492"/>
      <c r="U13" s="1493"/>
      <c r="V13" s="425"/>
      <c r="W13" s="425"/>
      <c r="X13" s="625"/>
      <c r="Y13" s="625"/>
      <c r="Z13" s="625"/>
      <c r="AA13" s="625"/>
      <c r="AB13" s="625"/>
      <c r="AC13" s="625"/>
      <c r="AD13" s="625"/>
      <c r="AE13" s="625"/>
      <c r="AF13" s="625"/>
    </row>
    <row r="14" spans="1:32" ht="15.95" customHeight="1">
      <c r="A14" s="1643"/>
      <c r="B14" s="308"/>
      <c r="C14" s="308"/>
      <c r="D14" s="308"/>
      <c r="E14" s="308"/>
      <c r="F14" s="308"/>
      <c r="G14" s="308"/>
      <c r="H14" s="308"/>
      <c r="I14" s="308"/>
      <c r="J14" s="308"/>
      <c r="K14" s="308"/>
      <c r="L14" s="308"/>
      <c r="M14" s="1643"/>
      <c r="N14" s="1491"/>
      <c r="O14" s="1492"/>
      <c r="P14" s="1492"/>
      <c r="Q14" s="1492"/>
      <c r="R14" s="1492"/>
      <c r="S14" s="1492"/>
      <c r="T14" s="1492"/>
      <c r="U14" s="1493"/>
      <c r="V14" s="425"/>
      <c r="W14" s="425"/>
      <c r="X14" s="625"/>
      <c r="Y14" s="625"/>
      <c r="Z14" s="625"/>
      <c r="AA14" s="625"/>
      <c r="AB14" s="625"/>
      <c r="AC14" s="625"/>
      <c r="AD14" s="625"/>
      <c r="AE14" s="625"/>
      <c r="AF14" s="625"/>
    </row>
    <row r="15" spans="1:32" ht="15.95" customHeight="1">
      <c r="A15" s="1643"/>
      <c r="B15" s="308"/>
      <c r="C15" s="308"/>
      <c r="D15" s="308"/>
      <c r="E15" s="308"/>
      <c r="F15" s="308"/>
      <c r="G15" s="308"/>
      <c r="H15" s="308"/>
      <c r="I15" s="308"/>
      <c r="J15" s="308"/>
      <c r="K15" s="308"/>
      <c r="L15" s="308"/>
      <c r="M15" s="1643"/>
      <c r="N15" s="1491"/>
      <c r="O15" s="1492"/>
      <c r="P15" s="1492"/>
      <c r="Q15" s="1492"/>
      <c r="R15" s="1492"/>
      <c r="S15" s="1492"/>
      <c r="T15" s="1492"/>
      <c r="U15" s="1493"/>
      <c r="V15" s="425"/>
      <c r="W15" s="425"/>
      <c r="X15" s="625"/>
      <c r="Y15" s="625"/>
      <c r="Z15" s="625"/>
      <c r="AA15" s="625"/>
      <c r="AB15" s="625"/>
      <c r="AC15" s="625"/>
      <c r="AD15" s="625"/>
      <c r="AE15" s="625"/>
      <c r="AF15" s="625"/>
    </row>
    <row r="16" spans="1:32" ht="15.95" customHeight="1">
      <c r="A16" s="1643"/>
      <c r="B16" s="308"/>
      <c r="C16" s="308"/>
      <c r="D16" s="308"/>
      <c r="E16" s="308"/>
      <c r="F16" s="308"/>
      <c r="G16" s="308"/>
      <c r="H16" s="308"/>
      <c r="I16" s="308"/>
      <c r="J16" s="308"/>
      <c r="K16" s="308"/>
      <c r="L16" s="308"/>
      <c r="M16" s="1643"/>
      <c r="N16" s="1494"/>
      <c r="O16" s="1495"/>
      <c r="P16" s="1495"/>
      <c r="Q16" s="1495"/>
      <c r="R16" s="1495"/>
      <c r="S16" s="1495"/>
      <c r="T16" s="1495"/>
      <c r="U16" s="1496"/>
      <c r="V16" s="425"/>
      <c r="W16" s="425"/>
      <c r="X16" s="625"/>
      <c r="Y16" s="625"/>
      <c r="Z16" s="625"/>
      <c r="AA16" s="625"/>
      <c r="AB16" s="625"/>
      <c r="AC16" s="625"/>
      <c r="AD16" s="625"/>
      <c r="AE16" s="625"/>
      <c r="AF16" s="625"/>
    </row>
    <row r="17" spans="1:32" ht="15.95" customHeight="1">
      <c r="A17" s="1643"/>
      <c r="B17" s="308"/>
      <c r="C17" s="308"/>
      <c r="D17" s="308"/>
      <c r="E17" s="308"/>
      <c r="F17" s="308"/>
      <c r="G17" s="308"/>
      <c r="H17" s="308"/>
      <c r="I17" s="308"/>
      <c r="J17" s="308"/>
      <c r="K17" s="308"/>
      <c r="L17" s="308"/>
      <c r="M17" s="1643"/>
      <c r="N17" s="1488"/>
      <c r="O17" s="1489"/>
      <c r="P17" s="1489"/>
      <c r="Q17" s="1489"/>
      <c r="R17" s="1489"/>
      <c r="S17" s="1489"/>
      <c r="T17" s="1489"/>
      <c r="U17" s="1490"/>
      <c r="V17" s="425"/>
      <c r="W17" s="425"/>
      <c r="X17" s="625"/>
      <c r="Y17" s="625"/>
      <c r="Z17" s="625"/>
      <c r="AA17" s="625"/>
      <c r="AB17" s="625"/>
      <c r="AC17" s="625"/>
      <c r="AD17" s="625"/>
      <c r="AE17" s="625"/>
      <c r="AF17" s="625"/>
    </row>
    <row r="18" spans="1:32" ht="15.95" customHeight="1">
      <c r="A18" s="1643"/>
      <c r="B18" s="308"/>
      <c r="C18" s="308"/>
      <c r="D18" s="308"/>
      <c r="E18" s="308"/>
      <c r="F18" s="308"/>
      <c r="G18" s="308"/>
      <c r="H18" s="308"/>
      <c r="I18" s="308"/>
      <c r="J18" s="308"/>
      <c r="K18" s="308"/>
      <c r="L18" s="308"/>
      <c r="M18" s="1643"/>
      <c r="N18" s="1491"/>
      <c r="O18" s="1492"/>
      <c r="P18" s="1492"/>
      <c r="Q18" s="1492"/>
      <c r="R18" s="1492"/>
      <c r="S18" s="1492"/>
      <c r="T18" s="1492"/>
      <c r="U18" s="1493"/>
      <c r="V18" s="425"/>
      <c r="W18" s="425"/>
      <c r="X18" s="625"/>
      <c r="Y18" s="625"/>
      <c r="Z18" s="625"/>
      <c r="AA18" s="625"/>
      <c r="AB18" s="625"/>
      <c r="AC18" s="625"/>
      <c r="AD18" s="625"/>
      <c r="AE18" s="625"/>
      <c r="AF18" s="625"/>
    </row>
    <row r="19" spans="1:32" ht="15.95" customHeight="1">
      <c r="A19" s="1643"/>
      <c r="B19" s="308"/>
      <c r="C19" s="308"/>
      <c r="D19" s="308"/>
      <c r="E19" s="308"/>
      <c r="F19" s="308"/>
      <c r="G19" s="308"/>
      <c r="H19" s="308"/>
      <c r="I19" s="308"/>
      <c r="J19" s="308"/>
      <c r="K19" s="308"/>
      <c r="L19" s="308"/>
      <c r="M19" s="1643"/>
      <c r="N19" s="1491"/>
      <c r="O19" s="1492"/>
      <c r="P19" s="1492"/>
      <c r="Q19" s="1492"/>
      <c r="R19" s="1492"/>
      <c r="S19" s="1492"/>
      <c r="T19" s="1492"/>
      <c r="U19" s="1493"/>
      <c r="V19" s="425"/>
      <c r="W19" s="425"/>
      <c r="X19" s="625"/>
      <c r="Y19" s="625"/>
      <c r="Z19" s="625"/>
      <c r="AA19" s="625"/>
      <c r="AB19" s="625"/>
      <c r="AC19" s="625"/>
      <c r="AD19" s="625"/>
      <c r="AE19" s="625"/>
      <c r="AF19" s="625"/>
    </row>
    <row r="20" spans="1:32" ht="15.95" customHeight="1">
      <c r="A20" s="1643"/>
      <c r="B20" s="308"/>
      <c r="C20" s="308"/>
      <c r="D20" s="308"/>
      <c r="E20" s="308"/>
      <c r="F20" s="308"/>
      <c r="G20" s="308"/>
      <c r="H20" s="308"/>
      <c r="I20" s="308"/>
      <c r="J20" s="308"/>
      <c r="K20" s="308"/>
      <c r="L20" s="308"/>
      <c r="M20" s="1643"/>
      <c r="N20" s="1491"/>
      <c r="O20" s="1492"/>
      <c r="P20" s="1492"/>
      <c r="Q20" s="1492"/>
      <c r="R20" s="1492"/>
      <c r="S20" s="1492"/>
      <c r="T20" s="1492"/>
      <c r="U20" s="1493"/>
      <c r="V20" s="432"/>
      <c r="W20" s="432"/>
      <c r="X20" s="625"/>
      <c r="Y20" s="625"/>
      <c r="Z20" s="625"/>
      <c r="AA20" s="625"/>
      <c r="AB20" s="625"/>
      <c r="AC20" s="625"/>
      <c r="AD20" s="625"/>
      <c r="AE20" s="625"/>
      <c r="AF20" s="625"/>
    </row>
    <row r="21" spans="1:32" ht="15.95" customHeight="1">
      <c r="A21" s="1643"/>
      <c r="B21" s="308"/>
      <c r="C21" s="308"/>
      <c r="D21" s="308"/>
      <c r="E21" s="308"/>
      <c r="F21" s="308"/>
      <c r="G21" s="308"/>
      <c r="H21" s="308"/>
      <c r="I21" s="308"/>
      <c r="J21" s="308"/>
      <c r="K21" s="308"/>
      <c r="L21" s="308"/>
      <c r="M21" s="1643"/>
      <c r="N21" s="1491"/>
      <c r="O21" s="1492"/>
      <c r="P21" s="1492"/>
      <c r="Q21" s="1492"/>
      <c r="R21" s="1492"/>
      <c r="S21" s="1492"/>
      <c r="T21" s="1492"/>
      <c r="U21" s="1493"/>
      <c r="V21" s="432"/>
      <c r="W21" s="432"/>
      <c r="X21" s="625"/>
      <c r="Y21" s="625"/>
      <c r="Z21" s="625"/>
      <c r="AA21" s="625"/>
      <c r="AB21" s="625"/>
      <c r="AC21" s="625"/>
      <c r="AD21" s="625"/>
      <c r="AE21" s="625"/>
      <c r="AF21" s="625"/>
    </row>
    <row r="22" spans="1:32" ht="15.95" customHeight="1">
      <c r="A22" s="1643"/>
      <c r="B22" s="308"/>
      <c r="C22" s="308"/>
      <c r="D22" s="308"/>
      <c r="E22" s="308"/>
      <c r="F22" s="308"/>
      <c r="G22" s="308"/>
      <c r="H22" s="308"/>
      <c r="I22" s="308"/>
      <c r="J22" s="308"/>
      <c r="K22" s="308"/>
      <c r="L22" s="308"/>
      <c r="M22" s="1643"/>
      <c r="N22" s="1491"/>
      <c r="O22" s="1492"/>
      <c r="P22" s="1492"/>
      <c r="Q22" s="1492"/>
      <c r="R22" s="1492"/>
      <c r="S22" s="1492"/>
      <c r="T22" s="1492"/>
      <c r="U22" s="1493"/>
      <c r="V22" s="432"/>
      <c r="W22" s="432"/>
      <c r="X22" s="625"/>
      <c r="Y22" s="625"/>
      <c r="Z22" s="625"/>
      <c r="AA22" s="625"/>
      <c r="AB22" s="625"/>
      <c r="AC22" s="625"/>
      <c r="AD22" s="625"/>
      <c r="AE22" s="625"/>
      <c r="AF22" s="625"/>
    </row>
    <row r="23" spans="1:32" ht="15.95" customHeight="1">
      <c r="A23" s="1643"/>
      <c r="B23" s="308"/>
      <c r="C23" s="308"/>
      <c r="D23" s="308"/>
      <c r="E23" s="308"/>
      <c r="F23" s="308"/>
      <c r="G23" s="308"/>
      <c r="H23" s="308"/>
      <c r="I23" s="308"/>
      <c r="J23" s="308"/>
      <c r="K23" s="308"/>
      <c r="L23" s="308"/>
      <c r="M23" s="1643"/>
      <c r="N23" s="1491"/>
      <c r="O23" s="1492"/>
      <c r="P23" s="1492"/>
      <c r="Q23" s="1492"/>
      <c r="R23" s="1492"/>
      <c r="S23" s="1492"/>
      <c r="T23" s="1492"/>
      <c r="U23" s="1493"/>
      <c r="V23" s="432"/>
      <c r="W23" s="432"/>
      <c r="X23" s="625"/>
      <c r="Y23" s="625"/>
      <c r="Z23" s="625"/>
      <c r="AA23" s="625"/>
      <c r="AB23" s="625"/>
      <c r="AC23" s="625"/>
      <c r="AD23" s="625"/>
      <c r="AE23" s="625"/>
      <c r="AF23" s="625"/>
    </row>
    <row r="24" spans="1:32" ht="15.95" customHeight="1">
      <c r="A24" s="1643"/>
      <c r="B24" s="308"/>
      <c r="C24" s="308"/>
      <c r="D24" s="308"/>
      <c r="E24" s="308"/>
      <c r="F24" s="308"/>
      <c r="G24" s="308"/>
      <c r="H24" s="308"/>
      <c r="I24" s="308"/>
      <c r="J24" s="308"/>
      <c r="K24" s="308"/>
      <c r="L24" s="308"/>
      <c r="M24" s="1643"/>
      <c r="N24" s="1491"/>
      <c r="O24" s="1492"/>
      <c r="P24" s="1492"/>
      <c r="Q24" s="1492"/>
      <c r="R24" s="1492"/>
      <c r="S24" s="1492"/>
      <c r="T24" s="1492"/>
      <c r="U24" s="1493"/>
      <c r="V24" s="432"/>
      <c r="W24" s="432"/>
      <c r="X24" s="625"/>
      <c r="Y24" s="625"/>
      <c r="Z24" s="625"/>
      <c r="AA24" s="625"/>
      <c r="AB24" s="625"/>
      <c r="AC24" s="625"/>
      <c r="AD24" s="625"/>
      <c r="AE24" s="625"/>
      <c r="AF24" s="625"/>
    </row>
    <row r="25" spans="1:32" ht="15.95" customHeight="1">
      <c r="A25" s="1643"/>
      <c r="B25" s="308"/>
      <c r="C25" s="308"/>
      <c r="D25" s="308"/>
      <c r="E25" s="308"/>
      <c r="F25" s="308"/>
      <c r="G25" s="308"/>
      <c r="H25" s="308"/>
      <c r="I25" s="308"/>
      <c r="J25" s="308"/>
      <c r="K25" s="308"/>
      <c r="L25" s="308"/>
      <c r="M25" s="1643"/>
      <c r="N25" s="1491"/>
      <c r="O25" s="1492"/>
      <c r="P25" s="1492"/>
      <c r="Q25" s="1492"/>
      <c r="R25" s="1492"/>
      <c r="S25" s="1492"/>
      <c r="T25" s="1492"/>
      <c r="U25" s="1493"/>
      <c r="V25" s="432"/>
      <c r="W25" s="432"/>
      <c r="X25" s="625"/>
      <c r="Y25" s="625"/>
      <c r="Z25" s="625"/>
      <c r="AA25" s="625"/>
      <c r="AB25" s="625"/>
      <c r="AC25" s="625"/>
      <c r="AD25" s="625"/>
      <c r="AE25" s="625"/>
      <c r="AF25" s="625"/>
    </row>
    <row r="26" spans="1:32" ht="15.95" customHeight="1">
      <c r="A26" s="1643"/>
      <c r="B26" s="308"/>
      <c r="C26" s="308"/>
      <c r="D26" s="308"/>
      <c r="E26" s="308"/>
      <c r="F26" s="308"/>
      <c r="G26" s="308"/>
      <c r="H26" s="308"/>
      <c r="I26" s="308"/>
      <c r="J26" s="308"/>
      <c r="K26" s="308"/>
      <c r="L26" s="308"/>
      <c r="M26" s="1643"/>
      <c r="N26" s="1491"/>
      <c r="O26" s="1492"/>
      <c r="P26" s="1492"/>
      <c r="Q26" s="1492"/>
      <c r="R26" s="1492"/>
      <c r="S26" s="1492"/>
      <c r="T26" s="1492"/>
      <c r="U26" s="1493"/>
      <c r="V26" s="432"/>
      <c r="W26" s="432"/>
      <c r="X26" s="625"/>
      <c r="Y26" s="625"/>
      <c r="Z26" s="625"/>
      <c r="AA26" s="625"/>
      <c r="AB26" s="625"/>
      <c r="AC26" s="625"/>
      <c r="AD26" s="625"/>
      <c r="AE26" s="625"/>
      <c r="AF26" s="625"/>
    </row>
    <row r="27" spans="1:32" ht="15.95" customHeight="1">
      <c r="A27" s="1643"/>
      <c r="B27" s="308"/>
      <c r="C27" s="308"/>
      <c r="D27" s="308"/>
      <c r="E27" s="308"/>
      <c r="F27" s="308"/>
      <c r="G27" s="308"/>
      <c r="H27" s="308"/>
      <c r="I27" s="308"/>
      <c r="J27" s="308"/>
      <c r="K27" s="308"/>
      <c r="L27" s="308"/>
      <c r="M27" s="1643"/>
      <c r="N27" s="1491"/>
      <c r="O27" s="1492"/>
      <c r="P27" s="1492"/>
      <c r="Q27" s="1492"/>
      <c r="R27" s="1492"/>
      <c r="S27" s="1492"/>
      <c r="T27" s="1492"/>
      <c r="U27" s="1493"/>
      <c r="V27" s="432"/>
      <c r="W27" s="432"/>
      <c r="X27" s="625"/>
      <c r="Y27" s="625"/>
      <c r="Z27" s="625"/>
      <c r="AA27" s="625"/>
      <c r="AB27" s="625"/>
      <c r="AC27" s="625"/>
      <c r="AD27" s="625"/>
      <c r="AE27" s="625"/>
      <c r="AF27" s="625"/>
    </row>
    <row r="28" spans="1:32" ht="15.95" customHeight="1">
      <c r="A28" s="1643"/>
      <c r="B28" s="308"/>
      <c r="C28" s="308"/>
      <c r="D28" s="308"/>
      <c r="E28" s="308"/>
      <c r="F28" s="308"/>
      <c r="G28" s="308"/>
      <c r="H28" s="308"/>
      <c r="I28" s="308"/>
      <c r="J28" s="308"/>
      <c r="K28" s="308"/>
      <c r="L28" s="308"/>
      <c r="M28" s="1643"/>
      <c r="N28" s="1491"/>
      <c r="O28" s="1492"/>
      <c r="P28" s="1492"/>
      <c r="Q28" s="1492"/>
      <c r="R28" s="1492"/>
      <c r="S28" s="1492"/>
      <c r="T28" s="1492"/>
      <c r="U28" s="1493"/>
      <c r="V28" s="432"/>
      <c r="W28" s="432"/>
      <c r="X28" s="625"/>
      <c r="Y28" s="625"/>
      <c r="Z28" s="625"/>
      <c r="AA28" s="625"/>
      <c r="AB28" s="625"/>
      <c r="AC28" s="625"/>
      <c r="AD28" s="625"/>
      <c r="AE28" s="625"/>
      <c r="AF28" s="625"/>
    </row>
    <row r="29" spans="1:32" ht="15.95" customHeight="1">
      <c r="A29" s="1643"/>
      <c r="B29" s="308"/>
      <c r="C29" s="308"/>
      <c r="D29" s="308"/>
      <c r="E29" s="308"/>
      <c r="F29" s="308"/>
      <c r="G29" s="308"/>
      <c r="H29" s="308"/>
      <c r="I29" s="308"/>
      <c r="J29" s="308"/>
      <c r="K29" s="308"/>
      <c r="L29" s="308"/>
      <c r="M29" s="1643"/>
      <c r="N29" s="1494"/>
      <c r="O29" s="1495"/>
      <c r="P29" s="1495"/>
      <c r="Q29" s="1495"/>
      <c r="R29" s="1495"/>
      <c r="S29" s="1495"/>
      <c r="T29" s="1495"/>
      <c r="U29" s="1496"/>
      <c r="V29" s="432"/>
      <c r="W29" s="432"/>
      <c r="X29" s="625"/>
      <c r="Y29" s="625"/>
      <c r="Z29" s="625"/>
      <c r="AA29" s="625"/>
      <c r="AB29" s="625"/>
      <c r="AC29" s="625"/>
      <c r="AD29" s="625"/>
      <c r="AE29" s="625"/>
      <c r="AF29" s="625"/>
    </row>
    <row r="30" spans="1:32" ht="15.95" customHeight="1">
      <c r="A30" s="1643"/>
      <c r="B30" s="308"/>
      <c r="C30" s="308"/>
      <c r="D30" s="308"/>
      <c r="E30" s="308"/>
      <c r="F30" s="308"/>
      <c r="G30" s="308"/>
      <c r="H30" s="308"/>
      <c r="I30" s="308"/>
      <c r="J30" s="308"/>
      <c r="K30" s="308"/>
      <c r="L30" s="308"/>
      <c r="M30" s="1643"/>
      <c r="N30" s="1537" t="s">
        <v>419</v>
      </c>
      <c r="O30" s="1538"/>
      <c r="P30" s="1538"/>
      <c r="Q30" s="1538"/>
      <c r="R30" s="1538"/>
      <c r="S30" s="1538"/>
      <c r="T30" s="1538"/>
      <c r="U30" s="1539"/>
      <c r="V30" s="432"/>
      <c r="W30" s="432"/>
      <c r="X30" s="625"/>
      <c r="Y30" s="625"/>
      <c r="Z30" s="625"/>
      <c r="AA30" s="625"/>
      <c r="AB30" s="625"/>
      <c r="AC30" s="625"/>
      <c r="AD30" s="625"/>
      <c r="AE30" s="625"/>
      <c r="AF30" s="625"/>
    </row>
    <row r="31" spans="1:32" ht="15.95" customHeight="1">
      <c r="A31" s="1643"/>
      <c r="B31" s="308"/>
      <c r="C31" s="308"/>
      <c r="D31" s="308"/>
      <c r="E31" s="308"/>
      <c r="F31" s="308"/>
      <c r="G31" s="308"/>
      <c r="H31" s="308"/>
      <c r="I31" s="308"/>
      <c r="J31" s="308"/>
      <c r="K31" s="308"/>
      <c r="L31" s="308"/>
      <c r="M31" s="1643"/>
      <c r="N31" s="1537" t="s">
        <v>438</v>
      </c>
      <c r="O31" s="1538"/>
      <c r="P31" s="1538"/>
      <c r="Q31" s="1538"/>
      <c r="R31" s="1538"/>
      <c r="S31" s="1538"/>
      <c r="T31" s="1538"/>
      <c r="U31" s="1539"/>
      <c r="V31" s="432"/>
      <c r="W31" s="432"/>
      <c r="X31" s="625"/>
      <c r="Y31" s="625"/>
      <c r="Z31" s="625"/>
      <c r="AA31" s="625"/>
      <c r="AB31" s="625"/>
      <c r="AC31" s="625"/>
      <c r="AD31" s="625"/>
      <c r="AE31" s="625"/>
      <c r="AF31" s="625"/>
    </row>
    <row r="32" spans="1:32" ht="15.95" customHeight="1">
      <c r="A32" s="1643"/>
      <c r="B32" s="308"/>
      <c r="C32" s="308"/>
      <c r="D32" s="308"/>
      <c r="E32" s="308"/>
      <c r="F32" s="308"/>
      <c r="G32" s="308"/>
      <c r="H32" s="308"/>
      <c r="I32" s="308"/>
      <c r="J32" s="308"/>
      <c r="K32" s="308"/>
      <c r="L32" s="308"/>
      <c r="M32" s="1643"/>
      <c r="N32" s="1516"/>
      <c r="O32" s="1517"/>
      <c r="P32" s="1517"/>
      <c r="Q32" s="1517"/>
      <c r="R32" s="1517"/>
      <c r="S32" s="1517"/>
      <c r="T32" s="1517"/>
      <c r="U32" s="1518"/>
      <c r="V32" s="432"/>
      <c r="W32" s="432"/>
      <c r="X32" s="625"/>
      <c r="Y32" s="625"/>
      <c r="Z32" s="625"/>
      <c r="AA32" s="625"/>
      <c r="AB32" s="625"/>
      <c r="AC32" s="625"/>
      <c r="AD32" s="625"/>
      <c r="AE32" s="625"/>
      <c r="AF32" s="625"/>
    </row>
    <row r="33" spans="1:42" ht="15.95" customHeight="1">
      <c r="A33" s="1643"/>
      <c r="B33" s="308"/>
      <c r="C33" s="308"/>
      <c r="D33" s="308"/>
      <c r="E33" s="308"/>
      <c r="F33" s="308"/>
      <c r="G33" s="308"/>
      <c r="H33" s="308"/>
      <c r="I33" s="308"/>
      <c r="J33" s="308"/>
      <c r="K33" s="308"/>
      <c r="L33" s="308"/>
      <c r="M33" s="1643"/>
      <c r="N33" s="1516"/>
      <c r="O33" s="1517"/>
      <c r="P33" s="1517"/>
      <c r="Q33" s="1517"/>
      <c r="R33" s="1517"/>
      <c r="S33" s="1517"/>
      <c r="T33" s="1517"/>
      <c r="U33" s="1518"/>
      <c r="V33" s="432"/>
      <c r="W33" s="432"/>
      <c r="X33" s="625"/>
      <c r="Y33" s="625"/>
      <c r="Z33" s="625"/>
      <c r="AA33" s="625"/>
      <c r="AB33" s="625"/>
      <c r="AC33" s="625"/>
      <c r="AD33" s="625"/>
      <c r="AE33" s="625"/>
      <c r="AF33" s="625"/>
    </row>
    <row r="34" spans="1:42" ht="15.95" customHeight="1">
      <c r="A34" s="1643"/>
      <c r="B34" s="308"/>
      <c r="C34" s="308"/>
      <c r="D34" s="308"/>
      <c r="E34" s="308"/>
      <c r="F34" s="308"/>
      <c r="G34" s="308"/>
      <c r="H34" s="308"/>
      <c r="I34" s="308"/>
      <c r="J34" s="308"/>
      <c r="K34" s="308"/>
      <c r="L34" s="308"/>
      <c r="M34" s="1643"/>
      <c r="N34" s="1516"/>
      <c r="O34" s="1517"/>
      <c r="P34" s="1517"/>
      <c r="Q34" s="1517"/>
      <c r="R34" s="1517"/>
      <c r="S34" s="1517"/>
      <c r="T34" s="1517"/>
      <c r="U34" s="1518"/>
      <c r="V34" s="425"/>
      <c r="W34" s="425"/>
      <c r="X34" s="625"/>
      <c r="Y34" s="625"/>
      <c r="Z34" s="625"/>
      <c r="AA34" s="625"/>
      <c r="AB34" s="625"/>
      <c r="AC34" s="625"/>
      <c r="AD34" s="625"/>
      <c r="AE34" s="625"/>
      <c r="AF34" s="625"/>
    </row>
    <row r="35" spans="1:42" ht="15.95" customHeight="1">
      <c r="A35" s="1643"/>
      <c r="B35" s="308"/>
      <c r="C35" s="308"/>
      <c r="D35" s="308"/>
      <c r="E35" s="308"/>
      <c r="F35" s="308"/>
      <c r="G35" s="308"/>
      <c r="H35" s="308"/>
      <c r="I35" s="308"/>
      <c r="J35" s="308"/>
      <c r="K35" s="308"/>
      <c r="L35" s="308"/>
      <c r="M35" s="1643"/>
      <c r="N35" s="1519"/>
      <c r="O35" s="1520"/>
      <c r="P35" s="1520"/>
      <c r="Q35" s="1520"/>
      <c r="R35" s="1520"/>
      <c r="S35" s="1520"/>
      <c r="T35" s="1520"/>
      <c r="U35" s="1521"/>
      <c r="V35" s="377"/>
      <c r="W35" s="377"/>
      <c r="X35" s="625"/>
      <c r="Y35" s="625"/>
      <c r="Z35" s="625"/>
      <c r="AA35" s="625"/>
      <c r="AB35" s="625"/>
      <c r="AC35" s="625"/>
      <c r="AD35" s="625"/>
      <c r="AE35" s="625"/>
      <c r="AF35" s="625"/>
    </row>
    <row r="36" spans="1:42" ht="20.100000000000001" customHeight="1">
      <c r="A36" s="1643"/>
      <c r="B36" s="1644" t="s">
        <v>233</v>
      </c>
      <c r="C36" s="1644"/>
      <c r="D36" s="1644"/>
      <c r="E36" s="1644"/>
      <c r="F36" s="1644"/>
      <c r="G36" s="1644"/>
      <c r="H36" s="1644"/>
      <c r="I36" s="1644"/>
      <c r="J36" s="1644"/>
      <c r="K36" s="1644"/>
      <c r="L36" s="1644"/>
      <c r="M36" s="1643"/>
      <c r="N36" s="396" t="str">
        <f>O39</f>
        <v>GA</v>
      </c>
      <c r="O36" s="1645" t="s">
        <v>235</v>
      </c>
      <c r="P36" s="1645"/>
      <c r="Q36" s="1645"/>
      <c r="R36" s="1645"/>
      <c r="S36" s="1645"/>
      <c r="T36" s="1645"/>
      <c r="U36" s="396"/>
      <c r="V36" s="426"/>
      <c r="W36" s="426"/>
      <c r="X36" s="625"/>
      <c r="Y36" s="625"/>
      <c r="Z36" s="625"/>
      <c r="AA36" s="625"/>
      <c r="AB36" s="625"/>
      <c r="AC36" s="625"/>
      <c r="AD36" s="625"/>
      <c r="AE36" s="625"/>
      <c r="AF36" s="625"/>
    </row>
    <row r="37" spans="1:42" ht="18" customHeight="1">
      <c r="A37" s="310"/>
      <c r="B37" s="1642" t="s">
        <v>376</v>
      </c>
      <c r="C37" s="1642"/>
      <c r="D37" s="1642"/>
      <c r="E37" s="1642"/>
      <c r="F37" s="1642"/>
      <c r="G37" s="1642"/>
      <c r="H37" s="1642"/>
      <c r="I37" s="1642"/>
      <c r="J37" s="1642"/>
      <c r="K37" s="1642"/>
      <c r="L37" s="1642"/>
      <c r="M37" s="310"/>
      <c r="N37" s="620" t="s">
        <v>384</v>
      </c>
      <c r="O37" s="381"/>
      <c r="P37" s="381"/>
      <c r="Q37" s="381"/>
      <c r="R37" s="381"/>
      <c r="S37" s="381"/>
      <c r="T37" s="381"/>
      <c r="U37" s="381"/>
      <c r="V37" s="427"/>
      <c r="W37" s="1654" t="s">
        <v>437</v>
      </c>
      <c r="X37" s="1654"/>
      <c r="Y37" s="1654"/>
      <c r="Z37" s="1654"/>
      <c r="AA37" s="1654"/>
      <c r="AB37" s="625"/>
      <c r="AC37" s="625"/>
      <c r="AD37" s="625"/>
      <c r="AE37" s="625"/>
      <c r="AF37" s="625"/>
    </row>
    <row r="38" spans="1:4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654"/>
      <c r="X38" s="1654"/>
      <c r="Y38" s="1654"/>
      <c r="Z38" s="1654"/>
      <c r="AA38" s="1654"/>
      <c r="AB38" s="625"/>
      <c r="AC38" s="625"/>
      <c r="AD38" s="359"/>
      <c r="AE38" s="359"/>
      <c r="AF38" s="359"/>
      <c r="AG38" s="359"/>
      <c r="AH38" s="359"/>
      <c r="AI38" s="359"/>
      <c r="AJ38" s="359"/>
      <c r="AK38" s="359"/>
      <c r="AL38" s="359"/>
      <c r="AM38" s="359"/>
      <c r="AN38" s="359"/>
      <c r="AO38" s="359"/>
      <c r="AP38" s="359"/>
    </row>
    <row r="39" spans="1:42" ht="15.95" customHeight="1">
      <c r="A39" s="447"/>
      <c r="B39" s="447"/>
      <c r="C39" s="1514" t="s">
        <v>478</v>
      </c>
      <c r="D39" s="1514"/>
      <c r="E39" s="1514"/>
      <c r="F39" s="1514"/>
      <c r="G39" s="1514"/>
      <c r="H39" s="1514"/>
      <c r="I39" s="1514"/>
      <c r="J39" s="1514"/>
      <c r="K39" s="447"/>
      <c r="L39" s="447"/>
      <c r="M39" s="309"/>
      <c r="N39" s="388"/>
      <c r="O39" s="475" t="str">
        <f>'FIG3'!W49</f>
        <v>GA</v>
      </c>
      <c r="P39" s="472"/>
      <c r="Q39" s="472"/>
      <c r="R39" s="472"/>
      <c r="S39" s="1653" t="s">
        <v>481</v>
      </c>
      <c r="T39" s="1653"/>
      <c r="U39" s="1653"/>
      <c r="V39" s="312"/>
      <c r="W39" s="473"/>
      <c r="X39" s="473"/>
      <c r="Y39" s="473"/>
      <c r="Z39" s="359"/>
      <c r="AA39" s="625"/>
      <c r="AB39" s="625"/>
      <c r="AC39" s="625"/>
      <c r="AD39" s="359"/>
      <c r="AE39" s="359"/>
      <c r="AF39" s="359"/>
      <c r="AG39" s="359"/>
      <c r="AH39" s="627"/>
      <c r="AI39" s="627"/>
      <c r="AJ39" s="627"/>
      <c r="AK39" s="627"/>
      <c r="AL39" s="473"/>
      <c r="AM39" s="473"/>
      <c r="AN39" s="473"/>
      <c r="AO39" s="473"/>
      <c r="AP39" s="359"/>
    </row>
    <row r="40" spans="1:42" ht="15.95" customHeight="1">
      <c r="A40" s="447"/>
      <c r="B40" s="447"/>
      <c r="C40" s="1514"/>
      <c r="D40" s="1514"/>
      <c r="E40" s="1514"/>
      <c r="F40" s="1514"/>
      <c r="G40" s="1514"/>
      <c r="H40" s="1514"/>
      <c r="I40" s="1514"/>
      <c r="J40" s="1514"/>
      <c r="K40" s="447"/>
      <c r="L40" s="447"/>
      <c r="M40" s="309"/>
      <c r="N40" s="388"/>
      <c r="O40" s="448" t="s">
        <v>379</v>
      </c>
      <c r="P40" s="469">
        <v>1.1299999999999999</v>
      </c>
      <c r="Q40" s="469">
        <v>1</v>
      </c>
      <c r="R40" s="469">
        <v>0.92</v>
      </c>
      <c r="S40" s="1653"/>
      <c r="T40" s="1653"/>
      <c r="U40" s="1653"/>
      <c r="V40" s="312"/>
      <c r="W40" s="120" t="s">
        <v>514</v>
      </c>
      <c r="X40" s="120"/>
      <c r="Y40" s="120" t="s">
        <v>515</v>
      </c>
      <c r="Z40" s="359"/>
      <c r="AA40" s="625"/>
      <c r="AB40" s="625"/>
      <c r="AC40" s="625"/>
      <c r="AD40" s="359"/>
      <c r="AE40" s="359"/>
      <c r="AF40" s="359"/>
      <c r="AG40" s="359"/>
      <c r="AH40" s="627"/>
      <c r="AI40" s="627"/>
      <c r="AJ40" s="627"/>
      <c r="AK40" s="627"/>
      <c r="AL40" s="473"/>
      <c r="AM40" s="473"/>
      <c r="AN40" s="473"/>
      <c r="AO40" s="473"/>
      <c r="AP40" s="359"/>
    </row>
    <row r="41" spans="1:42" ht="15.95" customHeight="1">
      <c r="A41" s="447"/>
      <c r="B41" s="447"/>
      <c r="C41" s="1514"/>
      <c r="D41" s="1514"/>
      <c r="E41" s="1514"/>
      <c r="F41" s="1514"/>
      <c r="G41" s="1514"/>
      <c r="H41" s="1514"/>
      <c r="I41" s="1514"/>
      <c r="J41" s="1514"/>
      <c r="K41" s="447"/>
      <c r="L41" s="447"/>
      <c r="M41" s="309"/>
      <c r="N41" s="388"/>
      <c r="O41" s="448"/>
      <c r="P41" s="470" t="s">
        <v>377</v>
      </c>
      <c r="Q41" s="470" t="s">
        <v>378</v>
      </c>
      <c r="R41" s="470" t="s">
        <v>163</v>
      </c>
      <c r="S41" s="1653"/>
      <c r="T41" s="1653"/>
      <c r="U41" s="1653"/>
      <c r="V41" s="312"/>
      <c r="W41" s="625"/>
      <c r="X41" s="625"/>
      <c r="Y41" s="609" t="s">
        <v>377</v>
      </c>
      <c r="Z41" s="609" t="s">
        <v>378</v>
      </c>
      <c r="AA41" s="625"/>
      <c r="AB41" s="625"/>
      <c r="AC41" s="625"/>
      <c r="AD41" s="359"/>
      <c r="AE41" s="359"/>
      <c r="AF41" s="359"/>
      <c r="AG41" s="359"/>
      <c r="AH41" s="627"/>
      <c r="AI41" s="627"/>
      <c r="AJ41" s="627"/>
      <c r="AK41" s="627"/>
      <c r="AL41" s="473"/>
      <c r="AM41" s="473"/>
      <c r="AN41" s="473"/>
      <c r="AO41" s="473"/>
      <c r="AP41" s="359"/>
    </row>
    <row r="42" spans="1:42" ht="15.95" customHeight="1">
      <c r="A42" s="447"/>
      <c r="B42" s="447"/>
      <c r="C42" s="1514"/>
      <c r="D42" s="1514"/>
      <c r="E42" s="1514"/>
      <c r="F42" s="1514"/>
      <c r="G42" s="1514"/>
      <c r="H42" s="1514"/>
      <c r="I42" s="1514"/>
      <c r="J42" s="1514"/>
      <c r="K42" s="447"/>
      <c r="L42" s="447"/>
      <c r="M42" s="309"/>
      <c r="N42" s="388"/>
      <c r="O42" s="467" t="s">
        <v>382</v>
      </c>
      <c r="P42" s="731" t="s">
        <v>157</v>
      </c>
      <c r="Q42" s="732">
        <v>155</v>
      </c>
      <c r="R42" s="1424">
        <v>690</v>
      </c>
      <c r="S42" s="1653"/>
      <c r="T42" s="1653"/>
      <c r="U42" s="1653"/>
      <c r="V42" s="312"/>
      <c r="W42" s="733" t="s">
        <v>382</v>
      </c>
      <c r="X42" s="606"/>
      <c r="Y42" s="736">
        <v>0</v>
      </c>
      <c r="Z42" s="737">
        <v>0</v>
      </c>
      <c r="AA42" s="625"/>
      <c r="AB42" s="625"/>
      <c r="AC42" s="625"/>
      <c r="AD42" s="359"/>
      <c r="AE42" s="359"/>
      <c r="AF42" s="359"/>
      <c r="AG42" s="359"/>
      <c r="AH42" s="627"/>
      <c r="AI42" s="627"/>
      <c r="AJ42" s="627"/>
      <c r="AK42" s="627"/>
      <c r="AL42" s="473"/>
      <c r="AM42" s="473"/>
      <c r="AN42" s="473"/>
      <c r="AO42" s="473"/>
      <c r="AP42" s="359"/>
    </row>
    <row r="43" spans="1:42" ht="15.95" customHeight="1">
      <c r="A43" s="447"/>
      <c r="B43" s="447"/>
      <c r="C43" s="1514"/>
      <c r="D43" s="1514"/>
      <c r="E43" s="1514"/>
      <c r="F43" s="1514"/>
      <c r="G43" s="1514"/>
      <c r="H43" s="1514"/>
      <c r="I43" s="1514"/>
      <c r="J43" s="1514"/>
      <c r="K43" s="447"/>
      <c r="L43" s="447"/>
      <c r="M43" s="309"/>
      <c r="N43" s="388"/>
      <c r="O43" s="468" t="s">
        <v>383</v>
      </c>
      <c r="P43" s="731" t="s">
        <v>157</v>
      </c>
      <c r="Q43" s="732">
        <v>587</v>
      </c>
      <c r="R43" s="1424">
        <v>759</v>
      </c>
      <c r="S43" s="1653"/>
      <c r="T43" s="1653"/>
      <c r="U43" s="1653"/>
      <c r="V43" s="312"/>
      <c r="W43" s="734" t="s">
        <v>383</v>
      </c>
      <c r="X43" s="607"/>
      <c r="Y43" s="736">
        <v>0</v>
      </c>
      <c r="Z43" s="737">
        <v>0</v>
      </c>
      <c r="AA43" s="625"/>
      <c r="AB43" s="625"/>
      <c r="AC43" s="625"/>
      <c r="AD43" s="359"/>
      <c r="AE43" s="359"/>
      <c r="AF43" s="359"/>
      <c r="AG43" s="359"/>
      <c r="AH43" s="627"/>
      <c r="AI43" s="627"/>
      <c r="AJ43" s="627"/>
      <c r="AK43" s="627"/>
      <c r="AL43" s="627"/>
      <c r="AM43" s="359"/>
      <c r="AN43" s="359"/>
      <c r="AO43" s="359"/>
      <c r="AP43" s="359"/>
    </row>
    <row r="44" spans="1:42" ht="15.95" customHeight="1">
      <c r="A44" s="447"/>
      <c r="B44" s="447"/>
      <c r="C44" s="1514"/>
      <c r="D44" s="1514"/>
      <c r="E44" s="1514"/>
      <c r="F44" s="1514"/>
      <c r="G44" s="1514"/>
      <c r="H44" s="1514"/>
      <c r="I44" s="1514"/>
      <c r="J44" s="1514"/>
      <c r="K44" s="447"/>
      <c r="L44" s="447"/>
      <c r="M44" s="309"/>
      <c r="N44" s="388"/>
      <c r="O44" s="438" t="str">
        <f>'FIG3'!$W$52&amp;" "&amp;'FIG3'!$X$52&amp;"-D"</f>
        <v>Fulton County District-D</v>
      </c>
      <c r="P44" s="731">
        <v>905</v>
      </c>
      <c r="Q44" s="732">
        <v>258</v>
      </c>
      <c r="R44" s="1424">
        <v>731</v>
      </c>
      <c r="S44" s="1653"/>
      <c r="T44" s="1653"/>
      <c r="U44" s="1653"/>
      <c r="V44" s="312"/>
      <c r="W44" s="735" t="str">
        <f>'FIG3'!$W$52&amp;" "&amp;'FIG3'!$X$52&amp;"-D"</f>
        <v>Fulton County District-D</v>
      </c>
      <c r="X44" s="608"/>
      <c r="Y44" s="736">
        <v>0</v>
      </c>
      <c r="Z44" s="737">
        <v>0</v>
      </c>
      <c r="AA44" s="625"/>
      <c r="AB44" s="625"/>
      <c r="AC44" s="625"/>
      <c r="AD44" s="359"/>
      <c r="AE44" s="359"/>
      <c r="AF44" s="359"/>
      <c r="AG44" s="359"/>
      <c r="AH44" s="627"/>
      <c r="AI44" s="627"/>
      <c r="AJ44" s="627"/>
      <c r="AK44" s="627"/>
      <c r="AL44" s="627"/>
      <c r="AM44" s="359"/>
      <c r="AN44" s="359"/>
      <c r="AO44" s="359"/>
      <c r="AP44" s="359"/>
    </row>
    <row r="45" spans="1:42" ht="15.95" customHeight="1">
      <c r="A45" s="447"/>
      <c r="B45" s="447"/>
      <c r="C45" s="447"/>
      <c r="D45" s="447"/>
      <c r="E45" s="447"/>
      <c r="F45" s="447"/>
      <c r="G45" s="447"/>
      <c r="H45" s="447"/>
      <c r="I45" s="447"/>
      <c r="J45" s="447"/>
      <c r="K45" s="447"/>
      <c r="L45" s="447"/>
      <c r="M45" s="309"/>
      <c r="N45" s="388"/>
      <c r="O45" s="438" t="str">
        <f>'FIG3'!$W$52&amp;" "&amp;'FIG3'!$X$52&amp;"-C"</f>
        <v>Fulton County District-C</v>
      </c>
      <c r="P45" s="731">
        <v>0</v>
      </c>
      <c r="Q45" s="732">
        <v>419</v>
      </c>
      <c r="R45" s="1424">
        <v>998</v>
      </c>
      <c r="S45" s="1653"/>
      <c r="T45" s="1653"/>
      <c r="U45" s="1653"/>
      <c r="V45" s="312"/>
      <c r="W45" s="735" t="str">
        <f>'FIG3'!$W$52&amp;" "&amp;'FIG3'!$X$52&amp;"-C"</f>
        <v>Fulton County District-C</v>
      </c>
      <c r="X45" s="608"/>
      <c r="Y45" s="736">
        <v>0</v>
      </c>
      <c r="Z45" s="737">
        <v>0</v>
      </c>
      <c r="AA45" s="625"/>
      <c r="AB45" s="1655" t="s">
        <v>513</v>
      </c>
      <c r="AC45" s="1655"/>
      <c r="AD45" s="1655"/>
      <c r="AE45" s="1655"/>
      <c r="AF45" s="1655"/>
      <c r="AG45" s="359"/>
      <c r="AH45" s="627"/>
      <c r="AI45" s="627"/>
      <c r="AJ45" s="627"/>
      <c r="AK45" s="627"/>
      <c r="AL45" s="627"/>
      <c r="AM45" s="359"/>
      <c r="AN45" s="359"/>
      <c r="AO45" s="359"/>
      <c r="AP45" s="359"/>
    </row>
    <row r="46" spans="1:42" ht="15.95" customHeight="1">
      <c r="A46" s="447"/>
      <c r="B46" s="447"/>
      <c r="C46" s="447"/>
      <c r="D46" s="447"/>
      <c r="E46" s="447"/>
      <c r="F46" s="447"/>
      <c r="G46" s="447"/>
      <c r="H46" s="447"/>
      <c r="I46" s="447"/>
      <c r="J46" s="447"/>
      <c r="K46" s="447"/>
      <c r="L46" s="447"/>
      <c r="M46" s="309"/>
      <c r="N46" s="388"/>
      <c r="O46" s="438" t="str">
        <f>'FIG3'!$W$53&amp;" "&amp;'FIG3'!$X$53&amp;"-D"</f>
        <v>Atlanta Public Schools-D</v>
      </c>
      <c r="P46" s="731">
        <v>436</v>
      </c>
      <c r="Q46" s="732">
        <v>244</v>
      </c>
      <c r="R46" s="1424">
        <v>3392</v>
      </c>
      <c r="S46" s="1653"/>
      <c r="T46" s="1653"/>
      <c r="U46" s="1653"/>
      <c r="V46" s="312"/>
      <c r="W46" s="735" t="str">
        <f>'FIG3'!$W$53&amp;" "&amp;'FIG3'!$X$53&amp;"-D"</f>
        <v>Atlanta Public Schools-D</v>
      </c>
      <c r="X46" s="608"/>
      <c r="Y46" s="736">
        <v>0</v>
      </c>
      <c r="Z46" s="737">
        <v>0</v>
      </c>
      <c r="AA46" s="625"/>
      <c r="AB46" s="1655"/>
      <c r="AC46" s="1655"/>
      <c r="AD46" s="1655"/>
      <c r="AE46" s="1655"/>
      <c r="AF46" s="1655"/>
      <c r="AG46" s="359"/>
      <c r="AH46" s="627"/>
      <c r="AI46" s="627"/>
      <c r="AJ46" s="627"/>
      <c r="AK46" s="627"/>
      <c r="AL46" s="627"/>
      <c r="AM46" s="359"/>
      <c r="AN46" s="359"/>
      <c r="AO46" s="359"/>
      <c r="AP46" s="359"/>
    </row>
    <row r="47" spans="1:42" ht="15.95" customHeight="1">
      <c r="A47" s="447"/>
      <c r="B47" s="447"/>
      <c r="C47" s="1650" t="s">
        <v>381</v>
      </c>
      <c r="D47" s="1650"/>
      <c r="E47" s="1650"/>
      <c r="F47" s="1650"/>
      <c r="G47" s="1650"/>
      <c r="H47" s="1650"/>
      <c r="I47" s="1650"/>
      <c r="J47" s="1650"/>
      <c r="K47" s="447"/>
      <c r="L47" s="447"/>
      <c r="M47" s="309"/>
      <c r="N47" s="388"/>
      <c r="O47" s="438" t="str">
        <f>'FIG3'!$W$53&amp;" "&amp;'FIG3'!$X$53&amp;"-C"</f>
        <v>Atlanta Public Schools-C</v>
      </c>
      <c r="P47" s="731">
        <v>460</v>
      </c>
      <c r="Q47" s="732">
        <v>1020</v>
      </c>
      <c r="R47" s="1424">
        <v>1534</v>
      </c>
      <c r="S47" s="1653"/>
      <c r="T47" s="1653"/>
      <c r="U47" s="1653"/>
      <c r="V47" s="314"/>
      <c r="W47" s="735" t="str">
        <f>'FIG3'!$W$53&amp;" "&amp;'FIG3'!$X$53&amp;"-C"</f>
        <v>Atlanta Public Schools-C</v>
      </c>
      <c r="X47" s="608"/>
      <c r="Y47" s="736">
        <v>0</v>
      </c>
      <c r="Z47" s="737">
        <v>0</v>
      </c>
      <c r="AA47" s="625"/>
      <c r="AB47" s="1655"/>
      <c r="AC47" s="1655"/>
      <c r="AD47" s="1655"/>
      <c r="AE47" s="1655"/>
      <c r="AF47" s="1655"/>
      <c r="AG47" s="359"/>
      <c r="AH47" s="627"/>
      <c r="AI47" s="314"/>
      <c r="AJ47" s="314"/>
      <c r="AK47" s="314"/>
      <c r="AL47" s="314"/>
      <c r="AM47" s="359"/>
      <c r="AN47" s="359"/>
      <c r="AO47" s="359"/>
      <c r="AP47" s="359"/>
    </row>
    <row r="48" spans="1:42" ht="15.95" customHeight="1">
      <c r="A48" s="447"/>
      <c r="B48" s="447"/>
      <c r="C48" s="1650"/>
      <c r="D48" s="1650"/>
      <c r="E48" s="1650"/>
      <c r="F48" s="1650"/>
      <c r="G48" s="1650"/>
      <c r="H48" s="1650"/>
      <c r="I48" s="1650"/>
      <c r="J48" s="1650"/>
      <c r="K48" s="447"/>
      <c r="L48" s="447"/>
      <c r="M48" s="309"/>
      <c r="N48" s="388"/>
      <c r="O48" s="438" t="str">
        <f>'FIG3'!$W$54&amp;" "&amp;'FIG3'!$X$54&amp;"-D"</f>
        <v>FA3L1 FA3L2-D</v>
      </c>
      <c r="P48" s="731">
        <v>0</v>
      </c>
      <c r="Q48" s="732">
        <v>0</v>
      </c>
      <c r="R48" s="1424" t="e">
        <f>'FIG3'!M16</f>
        <v>#DIV/0!</v>
      </c>
      <c r="S48" s="1653"/>
      <c r="T48" s="1653"/>
      <c r="U48" s="1653"/>
      <c r="V48" s="314"/>
      <c r="W48" s="735" t="str">
        <f>'FIG3'!$W$54&amp;" "&amp;'FIG3'!$X$54&amp;"-D"</f>
        <v>FA3L1 FA3L2-D</v>
      </c>
      <c r="X48" s="608"/>
      <c r="Y48" s="736">
        <v>0</v>
      </c>
      <c r="Z48" s="737">
        <v>0</v>
      </c>
      <c r="AA48" s="625"/>
      <c r="AB48" s="1655"/>
      <c r="AC48" s="1655"/>
      <c r="AD48" s="1655"/>
      <c r="AE48" s="1655"/>
      <c r="AF48" s="1655"/>
      <c r="AG48" s="359"/>
      <c r="AH48" s="627"/>
      <c r="AI48" s="314"/>
      <c r="AJ48" s="314"/>
      <c r="AK48" s="314"/>
      <c r="AL48" s="314"/>
      <c r="AM48" s="359"/>
      <c r="AN48" s="359"/>
      <c r="AO48" s="359"/>
      <c r="AP48" s="359"/>
    </row>
    <row r="49" spans="1:42" ht="15.95" customHeight="1">
      <c r="A49" s="447"/>
      <c r="B49" s="447"/>
      <c r="C49" s="1650"/>
      <c r="D49" s="1650"/>
      <c r="E49" s="1650"/>
      <c r="F49" s="1650"/>
      <c r="G49" s="1650"/>
      <c r="H49" s="1650"/>
      <c r="I49" s="1650"/>
      <c r="J49" s="1650"/>
      <c r="K49" s="447"/>
      <c r="L49" s="447"/>
      <c r="M49" s="309"/>
      <c r="N49" s="388"/>
      <c r="O49" s="438" t="str">
        <f>'FIG3'!$W$54&amp;" "&amp;'FIG3'!$X$54&amp;"-C"</f>
        <v>FA3L1 FA3L2-C</v>
      </c>
      <c r="P49" s="731">
        <v>0</v>
      </c>
      <c r="Q49" s="732">
        <v>0</v>
      </c>
      <c r="R49" s="1424" t="e">
        <f>'FIG3'!N16</f>
        <v>#DIV/0!</v>
      </c>
      <c r="S49" s="1653"/>
      <c r="T49" s="1653"/>
      <c r="U49" s="1653"/>
      <c r="V49" s="314"/>
      <c r="W49" s="735" t="str">
        <f>'FIG3'!$W$54&amp;" "&amp;'FIG3'!$X$54&amp;"-C"</f>
        <v>FA3L1 FA3L2-C</v>
      </c>
      <c r="X49" s="608"/>
      <c r="Y49" s="736">
        <v>0</v>
      </c>
      <c r="Z49" s="737">
        <v>0</v>
      </c>
      <c r="AA49" s="625"/>
      <c r="AB49" s="625"/>
      <c r="AC49" s="625"/>
      <c r="AD49" s="359"/>
      <c r="AE49" s="359"/>
      <c r="AF49" s="359"/>
      <c r="AG49" s="359"/>
      <c r="AH49" s="627"/>
      <c r="AI49" s="314"/>
      <c r="AJ49" s="314"/>
      <c r="AK49" s="314"/>
      <c r="AL49" s="314"/>
      <c r="AM49" s="359"/>
      <c r="AN49" s="359"/>
      <c r="AO49" s="359"/>
      <c r="AP49" s="359"/>
    </row>
    <row r="50" spans="1:42" ht="15.95" customHeight="1">
      <c r="A50" s="447"/>
      <c r="B50" s="447"/>
      <c r="C50" s="1650"/>
      <c r="D50" s="1650"/>
      <c r="E50" s="1650"/>
      <c r="F50" s="1650"/>
      <c r="G50" s="1650"/>
      <c r="H50" s="1650"/>
      <c r="I50" s="1650"/>
      <c r="J50" s="1650"/>
      <c r="K50" s="447"/>
      <c r="L50" s="447"/>
      <c r="M50" s="309"/>
      <c r="N50" s="388"/>
      <c r="O50" s="438" t="str">
        <f>'FIG3'!$W$55&amp;" "&amp;'FIG3'!$X$55&amp;"-D"</f>
        <v>FA4L1 FA4L2-D</v>
      </c>
      <c r="P50" s="731">
        <v>0</v>
      </c>
      <c r="Q50" s="732">
        <v>0</v>
      </c>
      <c r="R50" s="1424" t="e">
        <f>'FIG3'!O16</f>
        <v>#DIV/0!</v>
      </c>
      <c r="S50" s="1653"/>
      <c r="T50" s="1653"/>
      <c r="U50" s="1653"/>
      <c r="V50" s="314"/>
      <c r="W50" s="735" t="str">
        <f>'FIG3'!$W$55&amp;" "&amp;'FIG3'!$X$55&amp;"-D"</f>
        <v>FA4L1 FA4L2-D</v>
      </c>
      <c r="X50" s="608"/>
      <c r="Y50" s="736">
        <v>0</v>
      </c>
      <c r="Z50" s="737">
        <v>0</v>
      </c>
      <c r="AA50" s="625"/>
      <c r="AB50" s="625"/>
      <c r="AC50" s="625"/>
      <c r="AD50" s="359"/>
      <c r="AE50" s="359"/>
      <c r="AF50" s="359"/>
      <c r="AG50" s="359"/>
      <c r="AH50" s="627"/>
      <c r="AI50" s="314"/>
      <c r="AJ50" s="314"/>
      <c r="AK50" s="314"/>
      <c r="AL50" s="314"/>
      <c r="AM50" s="359"/>
      <c r="AN50" s="359"/>
      <c r="AO50" s="359"/>
      <c r="AP50" s="359"/>
    </row>
    <row r="51" spans="1:42" ht="15.95" customHeight="1">
      <c r="A51" s="447"/>
      <c r="B51" s="447"/>
      <c r="C51" s="1650"/>
      <c r="D51" s="1650"/>
      <c r="E51" s="1650"/>
      <c r="F51" s="1650"/>
      <c r="G51" s="1650"/>
      <c r="H51" s="1650"/>
      <c r="I51" s="1650"/>
      <c r="J51" s="1650"/>
      <c r="K51" s="447"/>
      <c r="L51" s="447"/>
      <c r="M51" s="309"/>
      <c r="N51" s="388"/>
      <c r="O51" s="438" t="str">
        <f>'FIG3'!$W$55&amp;" "&amp;'FIG3'!$X$55&amp;"-C"</f>
        <v>FA4L1 FA4L2-C</v>
      </c>
      <c r="P51" s="731">
        <v>0</v>
      </c>
      <c r="Q51" s="732">
        <v>0</v>
      </c>
      <c r="R51" s="1424" t="e">
        <f>'FIG3'!P16</f>
        <v>#DIV/0!</v>
      </c>
      <c r="S51" s="1653"/>
      <c r="T51" s="1653"/>
      <c r="U51" s="1653"/>
      <c r="V51" s="314"/>
      <c r="W51" s="735" t="str">
        <f>'FIG3'!$W$55&amp;" "&amp;'FIG3'!$X$55&amp;"-C"</f>
        <v>FA4L1 FA4L2-C</v>
      </c>
      <c r="X51" s="608"/>
      <c r="Y51" s="736">
        <v>0</v>
      </c>
      <c r="Z51" s="737">
        <v>0</v>
      </c>
      <c r="AA51" s="625"/>
      <c r="AB51" s="625"/>
      <c r="AC51" s="625"/>
      <c r="AD51" s="359"/>
      <c r="AE51" s="359"/>
      <c r="AF51" s="359"/>
      <c r="AG51" s="359"/>
      <c r="AH51" s="627"/>
      <c r="AI51" s="314"/>
      <c r="AJ51" s="314"/>
      <c r="AK51" s="314"/>
      <c r="AL51" s="314"/>
      <c r="AM51" s="359"/>
      <c r="AN51" s="359"/>
      <c r="AO51" s="359"/>
      <c r="AP51" s="359"/>
    </row>
    <row r="52" spans="1:42" ht="15.95" customHeight="1">
      <c r="A52" s="447"/>
      <c r="B52" s="447"/>
      <c r="C52" s="1650"/>
      <c r="D52" s="1650"/>
      <c r="E52" s="1650"/>
      <c r="F52" s="1650"/>
      <c r="G52" s="1650"/>
      <c r="H52" s="1650"/>
      <c r="I52" s="1650"/>
      <c r="J52" s="1650"/>
      <c r="K52" s="447"/>
      <c r="L52" s="447"/>
      <c r="M52" s="309"/>
      <c r="N52" s="388"/>
      <c r="O52" s="438" t="str">
        <f>'FIG3'!$W$56&amp;" "&amp;'FIG3'!$X$56&amp;"-D"</f>
        <v>FA5L1 FA5L2-D</v>
      </c>
      <c r="P52" s="731">
        <v>0</v>
      </c>
      <c r="Q52" s="732">
        <v>0</v>
      </c>
      <c r="R52" s="1424" t="e">
        <f>'FIG3'!Q16</f>
        <v>#DIV/0!</v>
      </c>
      <c r="S52" s="1653"/>
      <c r="T52" s="1653"/>
      <c r="U52" s="1653"/>
      <c r="V52" s="312"/>
      <c r="W52" s="735" t="str">
        <f>'FIG3'!$W$56&amp;" "&amp;'FIG3'!$X$56&amp;"-D"</f>
        <v>FA5L1 FA5L2-D</v>
      </c>
      <c r="X52" s="608"/>
      <c r="Y52" s="736">
        <v>0</v>
      </c>
      <c r="Z52" s="737">
        <v>0</v>
      </c>
      <c r="AA52" s="625"/>
      <c r="AB52" s="625"/>
      <c r="AC52" s="625"/>
      <c r="AD52" s="628"/>
      <c r="AE52" s="628"/>
      <c r="AF52" s="628"/>
      <c r="AG52" s="628"/>
      <c r="AH52" s="628"/>
      <c r="AI52" s="628"/>
      <c r="AJ52" s="627"/>
      <c r="AK52" s="627"/>
      <c r="AL52" s="627"/>
      <c r="AM52" s="359"/>
      <c r="AN52" s="359"/>
      <c r="AO52" s="359"/>
      <c r="AP52" s="359"/>
    </row>
    <row r="53" spans="1:42" ht="15.95" customHeight="1">
      <c r="A53" s="447"/>
      <c r="B53" s="447"/>
      <c r="C53" s="1650"/>
      <c r="D53" s="1650"/>
      <c r="E53" s="1650"/>
      <c r="F53" s="1650"/>
      <c r="G53" s="1650"/>
      <c r="H53" s="1650"/>
      <c r="I53" s="1650"/>
      <c r="J53" s="1650"/>
      <c r="K53" s="447"/>
      <c r="L53" s="447"/>
      <c r="M53" s="309"/>
      <c r="N53" s="388"/>
      <c r="O53" s="438" t="str">
        <f>'FIG3'!$W$56&amp;" "&amp;'FIG3'!$X$56&amp;"-C"</f>
        <v>FA5L1 FA5L2-C</v>
      </c>
      <c r="P53" s="731">
        <v>0</v>
      </c>
      <c r="Q53" s="732">
        <v>0</v>
      </c>
      <c r="R53" s="1424" t="e">
        <f>'FIG3'!R16</f>
        <v>#DIV/0!</v>
      </c>
      <c r="S53" s="1653"/>
      <c r="T53" s="1653"/>
      <c r="U53" s="1653"/>
      <c r="V53" s="429"/>
      <c r="W53" s="735" t="str">
        <f>'FIG3'!$W$56&amp;" "&amp;'FIG3'!$X$56&amp;"-C"</f>
        <v>FA5L1 FA5L2-C</v>
      </c>
      <c r="X53" s="608"/>
      <c r="Y53" s="736">
        <v>0</v>
      </c>
      <c r="Z53" s="737">
        <v>0</v>
      </c>
      <c r="AA53" s="625"/>
      <c r="AB53" s="625"/>
      <c r="AC53" s="625"/>
      <c r="AD53" s="628"/>
      <c r="AE53" s="628"/>
      <c r="AF53" s="628"/>
      <c r="AG53" s="628"/>
      <c r="AH53" s="628"/>
      <c r="AI53" s="628"/>
      <c r="AJ53" s="429"/>
      <c r="AK53" s="429"/>
      <c r="AL53" s="429"/>
      <c r="AM53" s="359"/>
      <c r="AN53" s="359"/>
      <c r="AO53" s="359"/>
      <c r="AP53" s="359"/>
    </row>
    <row r="54" spans="1:42" ht="15.95" customHeight="1">
      <c r="A54" s="447"/>
      <c r="B54" s="447"/>
      <c r="C54" s="1650"/>
      <c r="D54" s="1650"/>
      <c r="E54" s="1650"/>
      <c r="F54" s="1650"/>
      <c r="G54" s="1650"/>
      <c r="H54" s="1650"/>
      <c r="I54" s="1650"/>
      <c r="J54" s="1650"/>
      <c r="K54" s="447"/>
      <c r="L54" s="447"/>
      <c r="M54" s="309"/>
      <c r="N54" s="388"/>
      <c r="O54" s="1649" t="s">
        <v>459</v>
      </c>
      <c r="P54" s="1649"/>
      <c r="Q54" s="1649"/>
      <c r="R54" s="1649"/>
      <c r="S54" s="1649"/>
      <c r="T54" s="1649"/>
      <c r="U54" s="1649"/>
      <c r="V54" s="429"/>
      <c r="W54" s="625"/>
      <c r="X54" s="359"/>
      <c r="Y54" s="625"/>
      <c r="Z54" s="625"/>
      <c r="AA54" s="625"/>
      <c r="AB54" s="625"/>
      <c r="AC54" s="625"/>
      <c r="AD54" s="628"/>
      <c r="AE54" s="628"/>
      <c r="AF54" s="628"/>
      <c r="AG54" s="628"/>
      <c r="AH54" s="628"/>
      <c r="AI54" s="628"/>
      <c r="AJ54" s="429"/>
      <c r="AK54" s="429"/>
      <c r="AL54" s="629"/>
      <c r="AM54" s="359"/>
      <c r="AN54" s="359"/>
      <c r="AO54" s="359"/>
      <c r="AP54" s="359"/>
    </row>
    <row r="55" spans="1:42" ht="15.95" customHeight="1">
      <c r="A55" s="447"/>
      <c r="B55" s="447"/>
      <c r="C55" s="447"/>
      <c r="D55" s="447"/>
      <c r="E55" s="447"/>
      <c r="F55" s="447"/>
      <c r="G55" s="447"/>
      <c r="H55" s="447"/>
      <c r="I55" s="447"/>
      <c r="J55" s="447"/>
      <c r="K55" s="447"/>
      <c r="L55" s="447"/>
      <c r="M55" s="309"/>
      <c r="N55" s="389"/>
      <c r="O55" s="1649"/>
      <c r="P55" s="1649"/>
      <c r="Q55" s="1649"/>
      <c r="R55" s="1649"/>
      <c r="S55" s="1649"/>
      <c r="T55" s="1649"/>
      <c r="U55" s="1649"/>
      <c r="V55" s="429"/>
      <c r="W55" s="625"/>
      <c r="X55" s="625"/>
      <c r="Y55" s="625"/>
      <c r="Z55" s="625"/>
      <c r="AA55" s="625"/>
      <c r="AB55" s="625"/>
      <c r="AC55" s="625"/>
      <c r="AD55" s="628"/>
      <c r="AE55" s="628"/>
      <c r="AF55" s="628"/>
      <c r="AG55" s="628"/>
      <c r="AH55" s="628"/>
      <c r="AI55" s="628"/>
      <c r="AJ55" s="429"/>
      <c r="AK55" s="429"/>
      <c r="AL55" s="473"/>
      <c r="AM55" s="473"/>
      <c r="AN55" s="473"/>
      <c r="AO55" s="359"/>
      <c r="AP55" s="359"/>
    </row>
    <row r="56" spans="1:42" ht="15.95" customHeight="1">
      <c r="A56" s="447"/>
      <c r="B56" s="447"/>
      <c r="C56" s="447"/>
      <c r="D56" s="447"/>
      <c r="E56" s="447"/>
      <c r="F56" s="447"/>
      <c r="G56" s="447"/>
      <c r="H56" s="447"/>
      <c r="I56" s="447"/>
      <c r="J56" s="447"/>
      <c r="K56" s="447"/>
      <c r="L56" s="447"/>
      <c r="M56" s="309"/>
      <c r="N56" s="389"/>
      <c r="O56" s="1649"/>
      <c r="P56" s="1649"/>
      <c r="Q56" s="1649"/>
      <c r="R56" s="1649"/>
      <c r="S56" s="1649"/>
      <c r="T56" s="1649"/>
      <c r="U56" s="1649"/>
      <c r="V56" s="429"/>
      <c r="W56" s="625"/>
      <c r="X56" s="625"/>
      <c r="Y56" s="625"/>
      <c r="Z56" s="625"/>
      <c r="AA56" s="625"/>
      <c r="AB56" s="625"/>
      <c r="AC56" s="625"/>
      <c r="AD56" s="429"/>
      <c r="AE56" s="429"/>
      <c r="AF56" s="429"/>
      <c r="AG56" s="429"/>
      <c r="AH56" s="429"/>
      <c r="AI56" s="429"/>
      <c r="AJ56" s="429"/>
      <c r="AK56" s="429"/>
      <c r="AL56" s="473"/>
      <c r="AM56" s="473"/>
      <c r="AN56" s="473"/>
      <c r="AO56" s="359"/>
      <c r="AP56" s="359"/>
    </row>
    <row r="57" spans="1:42" ht="15.95" customHeight="1">
      <c r="A57" s="447"/>
      <c r="B57" s="447"/>
      <c r="C57" s="447"/>
      <c r="D57" s="447"/>
      <c r="E57" s="447"/>
      <c r="F57" s="447"/>
      <c r="G57" s="447"/>
      <c r="H57" s="447"/>
      <c r="I57" s="447"/>
      <c r="J57" s="447"/>
      <c r="K57" s="447"/>
      <c r="L57" s="447"/>
      <c r="M57" s="309"/>
      <c r="N57" s="389"/>
      <c r="O57" s="1649"/>
      <c r="P57" s="1649"/>
      <c r="Q57" s="1649"/>
      <c r="R57" s="1649"/>
      <c r="S57" s="1649"/>
      <c r="T57" s="1649"/>
      <c r="U57" s="1649"/>
      <c r="V57" s="312"/>
      <c r="W57" s="625"/>
      <c r="X57" s="625"/>
      <c r="Y57" s="625"/>
      <c r="Z57" s="625"/>
      <c r="AA57" s="625"/>
      <c r="AB57" s="625"/>
      <c r="AC57" s="625"/>
      <c r="AD57" s="359"/>
      <c r="AE57" s="359"/>
      <c r="AF57" s="359"/>
      <c r="AG57" s="359"/>
      <c r="AH57" s="627"/>
      <c r="AI57" s="627"/>
      <c r="AJ57" s="627"/>
      <c r="AK57" s="627"/>
      <c r="AL57" s="473"/>
      <c r="AM57" s="473"/>
      <c r="AN57" s="473"/>
      <c r="AO57" s="359"/>
      <c r="AP57" s="359"/>
    </row>
    <row r="58" spans="1:42" ht="15.95" customHeight="1">
      <c r="A58" s="447"/>
      <c r="B58" s="447"/>
      <c r="C58" s="1514" t="s">
        <v>415</v>
      </c>
      <c r="D58" s="1514"/>
      <c r="E58" s="1514"/>
      <c r="F58" s="1514"/>
      <c r="G58" s="1514"/>
      <c r="H58" s="1514"/>
      <c r="I58" s="1514"/>
      <c r="J58" s="1514"/>
      <c r="K58" s="447"/>
      <c r="L58" s="447"/>
      <c r="M58" s="309"/>
      <c r="N58" s="389"/>
      <c r="O58" s="1649"/>
      <c r="P58" s="1649"/>
      <c r="Q58" s="1649"/>
      <c r="R58" s="1649"/>
      <c r="S58" s="1649"/>
      <c r="T58" s="1649"/>
      <c r="U58" s="1649"/>
      <c r="V58" s="625"/>
      <c r="W58" s="625"/>
      <c r="X58" s="625"/>
      <c r="Y58" s="1661" t="s">
        <v>495</v>
      </c>
      <c r="Z58" s="1661"/>
      <c r="AA58" s="625"/>
      <c r="AB58" s="625"/>
      <c r="AC58" s="625"/>
      <c r="AD58" s="359"/>
      <c r="AE58" s="359"/>
      <c r="AF58" s="359"/>
      <c r="AG58" s="359"/>
      <c r="AH58" s="359"/>
      <c r="AI58" s="359"/>
      <c r="AJ58" s="359"/>
      <c r="AK58" s="359"/>
      <c r="AL58" s="473"/>
      <c r="AM58" s="473"/>
      <c r="AN58" s="473"/>
      <c r="AO58" s="359"/>
      <c r="AP58" s="359"/>
    </row>
    <row r="59" spans="1:42" ht="15.95" customHeight="1">
      <c r="A59" s="447"/>
      <c r="B59" s="447"/>
      <c r="C59" s="1514"/>
      <c r="D59" s="1514"/>
      <c r="E59" s="1514"/>
      <c r="F59" s="1514"/>
      <c r="G59" s="1514"/>
      <c r="H59" s="1514"/>
      <c r="I59" s="1514"/>
      <c r="J59" s="1514"/>
      <c r="K59" s="447"/>
      <c r="L59" s="447"/>
      <c r="M59" s="309"/>
      <c r="N59" s="389"/>
      <c r="O59" s="389"/>
      <c r="P59" s="389"/>
      <c r="Q59" s="389"/>
      <c r="R59" s="389"/>
      <c r="S59" s="389"/>
      <c r="T59" s="389"/>
      <c r="U59" s="389"/>
      <c r="V59" s="625"/>
      <c r="W59" s="625"/>
      <c r="X59" s="625"/>
      <c r="Y59" s="1661"/>
      <c r="Z59" s="1661"/>
      <c r="AA59" s="377"/>
      <c r="AB59" s="625"/>
      <c r="AC59" s="625"/>
      <c r="AD59" s="359"/>
      <c r="AE59" s="359"/>
      <c r="AF59" s="359"/>
      <c r="AG59" s="359"/>
      <c r="AH59" s="359"/>
      <c r="AI59" s="359"/>
      <c r="AJ59" s="359"/>
      <c r="AK59" s="359"/>
      <c r="AL59" s="120"/>
      <c r="AM59" s="120"/>
      <c r="AN59" s="614"/>
      <c r="AO59" s="377"/>
      <c r="AP59" s="359"/>
    </row>
    <row r="60" spans="1:42" ht="15.95" customHeight="1">
      <c r="A60" s="447"/>
      <c r="B60" s="447"/>
      <c r="C60" s="1514"/>
      <c r="D60" s="1514"/>
      <c r="E60" s="1514"/>
      <c r="F60" s="1514"/>
      <c r="G60" s="1514"/>
      <c r="H60" s="1514"/>
      <c r="I60" s="1514"/>
      <c r="J60" s="1514"/>
      <c r="K60" s="447"/>
      <c r="L60" s="447"/>
      <c r="M60" s="309"/>
      <c r="N60" s="389"/>
      <c r="O60" s="457"/>
      <c r="P60" s="463" t="s">
        <v>397</v>
      </c>
      <c r="Q60" s="463" t="s">
        <v>400</v>
      </c>
      <c r="R60" s="463" t="s">
        <v>398</v>
      </c>
      <c r="S60" s="1651" t="s">
        <v>517</v>
      </c>
      <c r="T60" s="1652"/>
      <c r="U60" s="1652"/>
      <c r="V60" s="613"/>
      <c r="W60" s="625" t="s">
        <v>482</v>
      </c>
      <c r="X60" s="610"/>
      <c r="Y60" s="610"/>
      <c r="Z60" s="423"/>
      <c r="AA60" s="377"/>
      <c r="AB60" s="625"/>
      <c r="AC60" s="625"/>
      <c r="AD60" s="359"/>
      <c r="AE60" s="359"/>
      <c r="AF60" s="359"/>
      <c r="AG60" s="359"/>
      <c r="AH60" s="359"/>
      <c r="AI60" s="359"/>
      <c r="AJ60" s="359"/>
      <c r="AK60" s="359"/>
      <c r="AL60" s="359"/>
      <c r="AM60" s="359"/>
      <c r="AN60" s="359"/>
      <c r="AO60" s="423"/>
      <c r="AP60" s="359"/>
    </row>
    <row r="61" spans="1:42" ht="15.95" customHeight="1">
      <c r="A61" s="447"/>
      <c r="B61" s="447"/>
      <c r="C61" s="1514"/>
      <c r="D61" s="1514"/>
      <c r="E61" s="1514"/>
      <c r="F61" s="1514"/>
      <c r="G61" s="1514"/>
      <c r="H61" s="1514"/>
      <c r="I61" s="1514"/>
      <c r="J61" s="1514"/>
      <c r="K61" s="447"/>
      <c r="L61" s="447"/>
      <c r="M61" s="309"/>
      <c r="N61" s="389"/>
      <c r="O61" s="464" t="str">
        <f t="shared" ref="O61:O72" si="0">O42</f>
        <v>Statewide District (D)</v>
      </c>
      <c r="P61" s="465" t="e">
        <f t="shared" ref="P61:R72" si="1">P42*P$40</f>
        <v>#VALUE!</v>
      </c>
      <c r="Q61" s="466">
        <f t="shared" si="1"/>
        <v>155</v>
      </c>
      <c r="R61" s="466">
        <f t="shared" si="1"/>
        <v>634.80000000000007</v>
      </c>
      <c r="S61" s="1651"/>
      <c r="T61" s="1652"/>
      <c r="U61" s="1652"/>
      <c r="V61" s="625"/>
      <c r="W61" s="625"/>
      <c r="X61" s="611"/>
      <c r="Y61" s="740">
        <v>2544</v>
      </c>
      <c r="Z61" s="740">
        <v>3430</v>
      </c>
      <c r="AA61" s="430"/>
      <c r="AB61" s="431"/>
      <c r="AC61" s="625"/>
      <c r="AD61" s="359"/>
      <c r="AE61" s="359"/>
      <c r="AF61" s="359"/>
      <c r="AG61" s="359"/>
      <c r="AH61" s="359"/>
      <c r="AI61" s="359"/>
      <c r="AJ61" s="359"/>
      <c r="AK61" s="359"/>
      <c r="AL61" s="359"/>
      <c r="AM61" s="359"/>
      <c r="AN61" s="359"/>
      <c r="AO61" s="377"/>
      <c r="AP61" s="359"/>
    </row>
    <row r="62" spans="1:42" ht="15.95" customHeight="1">
      <c r="A62" s="447"/>
      <c r="B62" s="447"/>
      <c r="C62" s="1514"/>
      <c r="D62" s="1514"/>
      <c r="E62" s="1514"/>
      <c r="F62" s="1514"/>
      <c r="G62" s="1514"/>
      <c r="H62" s="1514"/>
      <c r="I62" s="1514"/>
      <c r="J62" s="1514"/>
      <c r="K62" s="447"/>
      <c r="L62" s="447"/>
      <c r="M62" s="309"/>
      <c r="N62" s="389"/>
      <c r="O62" s="464" t="str">
        <f t="shared" si="0"/>
        <v>Statewide Charter (C)</v>
      </c>
      <c r="P62" s="465" t="e">
        <f t="shared" si="1"/>
        <v>#VALUE!</v>
      </c>
      <c r="Q62" s="466">
        <f t="shared" si="1"/>
        <v>587</v>
      </c>
      <c r="R62" s="466">
        <f t="shared" si="1"/>
        <v>698.28000000000009</v>
      </c>
      <c r="S62" s="1651"/>
      <c r="T62" s="1652"/>
      <c r="U62" s="1652"/>
      <c r="V62" s="507"/>
      <c r="W62" s="625" t="s">
        <v>483</v>
      </c>
      <c r="X62" s="611"/>
      <c r="Y62" s="740">
        <v>2249.6</v>
      </c>
      <c r="Z62" s="740">
        <v>3062</v>
      </c>
      <c r="AA62" s="430"/>
      <c r="AB62" s="431"/>
      <c r="AC62" s="625"/>
      <c r="AD62" s="359"/>
      <c r="AE62" s="359"/>
      <c r="AF62" s="359"/>
      <c r="AG62" s="359"/>
      <c r="AH62" s="359"/>
      <c r="AI62" s="359"/>
      <c r="AJ62" s="359"/>
      <c r="AK62" s="359"/>
      <c r="AL62" s="359"/>
      <c r="AM62" s="359"/>
      <c r="AN62" s="359"/>
      <c r="AO62" s="377"/>
      <c r="AP62" s="359"/>
    </row>
    <row r="63" spans="1:42" ht="15.95" customHeight="1">
      <c r="A63" s="447"/>
      <c r="B63" s="447"/>
      <c r="C63" s="1514"/>
      <c r="D63" s="1514"/>
      <c r="E63" s="1514"/>
      <c r="F63" s="1514"/>
      <c r="G63" s="1514"/>
      <c r="H63" s="1514"/>
      <c r="I63" s="1514"/>
      <c r="J63" s="1514"/>
      <c r="K63" s="447"/>
      <c r="L63" s="447"/>
      <c r="M63" s="309"/>
      <c r="N63" s="440"/>
      <c r="O63" s="464" t="str">
        <f t="shared" si="0"/>
        <v>Fulton County District-D</v>
      </c>
      <c r="P63" s="465">
        <f t="shared" si="1"/>
        <v>1022.6499999999999</v>
      </c>
      <c r="Q63" s="466">
        <f t="shared" si="1"/>
        <v>258</v>
      </c>
      <c r="R63" s="466">
        <f t="shared" si="1"/>
        <v>672.52</v>
      </c>
      <c r="S63" s="1651"/>
      <c r="T63" s="1652"/>
      <c r="U63" s="1652"/>
      <c r="V63" s="625"/>
      <c r="W63" s="625"/>
      <c r="X63" s="611"/>
      <c r="Y63" s="740">
        <v>1955.2</v>
      </c>
      <c r="Z63" s="740">
        <v>2694</v>
      </c>
      <c r="AA63" s="430"/>
      <c r="AB63" s="431"/>
      <c r="AC63" s="625"/>
      <c r="AD63" s="359"/>
      <c r="AE63" s="359"/>
      <c r="AF63" s="359"/>
      <c r="AG63" s="359"/>
      <c r="AH63" s="359"/>
      <c r="AI63" s="359"/>
      <c r="AJ63" s="359"/>
      <c r="AK63" s="359"/>
      <c r="AL63" s="359"/>
      <c r="AM63" s="359"/>
      <c r="AN63" s="359"/>
      <c r="AO63" s="359"/>
      <c r="AP63" s="359"/>
    </row>
    <row r="64" spans="1:42" ht="15.95" customHeight="1">
      <c r="A64" s="447"/>
      <c r="B64" s="447"/>
      <c r="C64" s="1514"/>
      <c r="D64" s="1514"/>
      <c r="E64" s="1514"/>
      <c r="F64" s="1514"/>
      <c r="G64" s="1514"/>
      <c r="H64" s="1514"/>
      <c r="I64" s="1514"/>
      <c r="J64" s="1514"/>
      <c r="K64" s="447"/>
      <c r="L64" s="447"/>
      <c r="M64" s="309"/>
      <c r="N64" s="389"/>
      <c r="O64" s="464" t="str">
        <f t="shared" si="0"/>
        <v>Fulton County District-C</v>
      </c>
      <c r="P64" s="465">
        <f t="shared" si="1"/>
        <v>0</v>
      </c>
      <c r="Q64" s="466">
        <f t="shared" si="1"/>
        <v>419</v>
      </c>
      <c r="R64" s="466">
        <f t="shared" si="1"/>
        <v>918.16000000000008</v>
      </c>
      <c r="S64" s="1651"/>
      <c r="T64" s="1652"/>
      <c r="U64" s="1652"/>
      <c r="V64" s="625"/>
      <c r="W64" s="625"/>
      <c r="X64" s="611"/>
      <c r="Y64" s="740">
        <v>1719.6</v>
      </c>
      <c r="Z64" s="740">
        <v>2399.5</v>
      </c>
      <c r="AA64" s="430"/>
      <c r="AB64" s="431"/>
      <c r="AC64" s="625"/>
      <c r="AD64" s="359"/>
      <c r="AE64" s="359"/>
      <c r="AF64" s="359"/>
      <c r="AG64" s="359"/>
      <c r="AH64" s="359"/>
      <c r="AI64" s="359"/>
      <c r="AJ64" s="359"/>
      <c r="AK64" s="359"/>
      <c r="AL64" s="359"/>
      <c r="AM64" s="359"/>
      <c r="AN64" s="359"/>
      <c r="AO64" s="359"/>
      <c r="AP64" s="359"/>
    </row>
    <row r="65" spans="1:42" ht="15.95" customHeight="1">
      <c r="A65" s="447"/>
      <c r="B65" s="447"/>
      <c r="C65" s="1514"/>
      <c r="D65" s="1514"/>
      <c r="E65" s="1514"/>
      <c r="F65" s="1514"/>
      <c r="G65" s="1514"/>
      <c r="H65" s="1514"/>
      <c r="I65" s="1514"/>
      <c r="J65" s="1514"/>
      <c r="K65" s="447"/>
      <c r="L65" s="447"/>
      <c r="M65" s="309"/>
      <c r="N65" s="389"/>
      <c r="O65" s="464" t="str">
        <f t="shared" si="0"/>
        <v>Atlanta Public Schools-D</v>
      </c>
      <c r="P65" s="466">
        <f t="shared" si="1"/>
        <v>492.67999999999995</v>
      </c>
      <c r="Q65" s="466">
        <f t="shared" si="1"/>
        <v>244</v>
      </c>
      <c r="R65" s="465">
        <f t="shared" si="1"/>
        <v>3120.6400000000003</v>
      </c>
      <c r="S65" s="1651"/>
      <c r="T65" s="1652"/>
      <c r="U65" s="1652"/>
      <c r="V65" s="625"/>
      <c r="W65" s="625"/>
      <c r="X65" s="612"/>
      <c r="Y65" s="740">
        <v>1366.4</v>
      </c>
      <c r="Z65" s="740">
        <v>1958</v>
      </c>
      <c r="AA65" s="625"/>
      <c r="AB65" s="625"/>
      <c r="AC65" s="625"/>
      <c r="AD65" s="359"/>
      <c r="AE65" s="359"/>
      <c r="AF65" s="359"/>
      <c r="AG65" s="359"/>
      <c r="AH65" s="359"/>
      <c r="AI65" s="359"/>
      <c r="AJ65" s="359"/>
      <c r="AK65" s="359"/>
      <c r="AL65" s="359"/>
      <c r="AM65" s="359"/>
      <c r="AN65" s="359"/>
      <c r="AO65" s="359"/>
      <c r="AP65" s="359"/>
    </row>
    <row r="66" spans="1:42" ht="15.95" customHeight="1">
      <c r="A66" s="447"/>
      <c r="B66" s="447"/>
      <c r="C66" s="1514"/>
      <c r="D66" s="1514"/>
      <c r="E66" s="1514"/>
      <c r="F66" s="1514"/>
      <c r="G66" s="1514"/>
      <c r="H66" s="1514"/>
      <c r="I66" s="1514"/>
      <c r="J66" s="1514"/>
      <c r="K66" s="447"/>
      <c r="L66" s="447"/>
      <c r="M66" s="309"/>
      <c r="N66" s="389"/>
      <c r="O66" s="464" t="str">
        <f t="shared" si="0"/>
        <v>Atlanta Public Schools-C</v>
      </c>
      <c r="P66" s="466">
        <f t="shared" si="1"/>
        <v>519.79999999999995</v>
      </c>
      <c r="Q66" s="466">
        <f t="shared" si="1"/>
        <v>1020</v>
      </c>
      <c r="R66" s="465">
        <f t="shared" si="1"/>
        <v>1411.28</v>
      </c>
      <c r="S66" s="1651"/>
      <c r="T66" s="1652"/>
      <c r="U66" s="1652"/>
      <c r="V66" s="625"/>
      <c r="W66" s="625"/>
      <c r="X66" s="612"/>
      <c r="Y66" s="740">
        <v>1189.8</v>
      </c>
      <c r="Z66" s="740">
        <v>1737.25</v>
      </c>
      <c r="AA66" s="625"/>
      <c r="AB66" s="625"/>
      <c r="AC66" s="625"/>
      <c r="AD66" s="359"/>
      <c r="AE66" s="359"/>
      <c r="AF66" s="359"/>
      <c r="AG66" s="359"/>
      <c r="AH66" s="359"/>
      <c r="AI66" s="359"/>
      <c r="AJ66" s="359"/>
      <c r="AK66" s="359"/>
      <c r="AL66" s="359"/>
      <c r="AM66" s="359"/>
      <c r="AN66" s="359"/>
      <c r="AO66" s="359"/>
      <c r="AP66" s="359"/>
    </row>
    <row r="67" spans="1:42" ht="15.95" customHeight="1">
      <c r="A67" s="447"/>
      <c r="B67" s="447"/>
      <c r="C67" s="1514"/>
      <c r="D67" s="1514"/>
      <c r="E67" s="1514"/>
      <c r="F67" s="1514"/>
      <c r="G67" s="1514"/>
      <c r="H67" s="1514"/>
      <c r="I67" s="1514"/>
      <c r="J67" s="1514"/>
      <c r="K67" s="447"/>
      <c r="L67" s="447"/>
      <c r="M67" s="309"/>
      <c r="N67" s="389"/>
      <c r="O67" s="464" t="str">
        <f t="shared" si="0"/>
        <v>FA3L1 FA3L2-D</v>
      </c>
      <c r="P67" s="466">
        <f t="shared" si="1"/>
        <v>0</v>
      </c>
      <c r="Q67" s="466">
        <f t="shared" si="1"/>
        <v>0</v>
      </c>
      <c r="R67" s="465" t="e">
        <f t="shared" si="1"/>
        <v>#DIV/0!</v>
      </c>
      <c r="S67" s="1651"/>
      <c r="T67" s="1652"/>
      <c r="U67" s="1652"/>
      <c r="V67" s="625"/>
      <c r="W67" s="625"/>
      <c r="X67" s="612"/>
      <c r="Y67" s="740">
        <v>2544</v>
      </c>
      <c r="Z67" s="740">
        <v>3430</v>
      </c>
      <c r="AA67" s="625"/>
      <c r="AB67" s="625"/>
      <c r="AC67" s="625"/>
      <c r="AD67" s="359"/>
      <c r="AE67" s="359"/>
      <c r="AF67" s="359"/>
      <c r="AG67" s="359"/>
      <c r="AH67" s="359"/>
      <c r="AI67" s="359"/>
      <c r="AJ67" s="359"/>
      <c r="AK67" s="359"/>
      <c r="AL67" s="359"/>
      <c r="AM67" s="359"/>
      <c r="AN67" s="359"/>
      <c r="AO67" s="359"/>
      <c r="AP67" s="359"/>
    </row>
    <row r="68" spans="1:42" ht="15.95" customHeight="1">
      <c r="A68" s="447"/>
      <c r="B68" s="447"/>
      <c r="C68" s="494"/>
      <c r="D68" s="494"/>
      <c r="E68" s="494"/>
      <c r="F68" s="494"/>
      <c r="G68" s="494"/>
      <c r="H68" s="494"/>
      <c r="I68" s="494"/>
      <c r="J68" s="494"/>
      <c r="K68" s="447"/>
      <c r="L68" s="447"/>
      <c r="M68" s="309"/>
      <c r="N68" s="389"/>
      <c r="O68" s="464" t="str">
        <f t="shared" si="0"/>
        <v>FA3L1 FA3L2-C</v>
      </c>
      <c r="P68" s="466">
        <f t="shared" si="1"/>
        <v>0</v>
      </c>
      <c r="Q68" s="466">
        <f t="shared" si="1"/>
        <v>0</v>
      </c>
      <c r="R68" s="465" t="e">
        <f t="shared" si="1"/>
        <v>#DIV/0!</v>
      </c>
      <c r="S68" s="1651"/>
      <c r="T68" s="1652"/>
      <c r="U68" s="1652"/>
      <c r="V68" s="625"/>
      <c r="W68" s="625"/>
      <c r="X68" s="612"/>
      <c r="Y68" s="740">
        <v>2249.6</v>
      </c>
      <c r="Z68" s="740">
        <v>3062</v>
      </c>
      <c r="AA68" s="625"/>
      <c r="AB68" s="625"/>
      <c r="AC68" s="625"/>
      <c r="AD68" s="359"/>
      <c r="AE68" s="359"/>
      <c r="AF68" s="359"/>
      <c r="AG68" s="359"/>
      <c r="AH68" s="359"/>
      <c r="AI68" s="359"/>
      <c r="AJ68" s="359"/>
      <c r="AK68" s="359"/>
      <c r="AL68" s="359"/>
      <c r="AM68" s="359"/>
      <c r="AN68" s="359"/>
      <c r="AO68" s="359"/>
      <c r="AP68" s="359"/>
    </row>
    <row r="69" spans="1:42" ht="15.95" customHeight="1">
      <c r="A69" s="447"/>
      <c r="B69" s="447"/>
      <c r="C69" s="494"/>
      <c r="D69" s="494"/>
      <c r="E69" s="494"/>
      <c r="F69" s="494"/>
      <c r="G69" s="494"/>
      <c r="H69" s="494"/>
      <c r="I69" s="494"/>
      <c r="J69" s="494"/>
      <c r="K69" s="447"/>
      <c r="L69" s="447"/>
      <c r="M69" s="309"/>
      <c r="N69" s="389"/>
      <c r="O69" s="464" t="str">
        <f t="shared" si="0"/>
        <v>FA4L1 FA4L2-D</v>
      </c>
      <c r="P69" s="466">
        <f t="shared" si="1"/>
        <v>0</v>
      </c>
      <c r="Q69" s="466">
        <f t="shared" si="1"/>
        <v>0</v>
      </c>
      <c r="R69" s="465" t="e">
        <f t="shared" si="1"/>
        <v>#DIV/0!</v>
      </c>
      <c r="S69" s="1651"/>
      <c r="T69" s="1652"/>
      <c r="U69" s="1652"/>
      <c r="V69" s="625"/>
      <c r="W69" s="625"/>
      <c r="X69" s="612"/>
      <c r="Y69" s="740">
        <v>3132.8</v>
      </c>
      <c r="Z69" s="740">
        <v>4166</v>
      </c>
      <c r="AA69" s="625"/>
      <c r="AB69" s="625"/>
      <c r="AC69" s="625"/>
      <c r="AD69" s="359"/>
      <c r="AE69" s="359"/>
      <c r="AF69" s="359"/>
      <c r="AG69" s="359"/>
      <c r="AH69" s="359"/>
      <c r="AI69" s="359"/>
      <c r="AJ69" s="359"/>
      <c r="AK69" s="359"/>
      <c r="AL69" s="359"/>
      <c r="AM69" s="359"/>
      <c r="AN69" s="359"/>
      <c r="AO69" s="359"/>
      <c r="AP69" s="359"/>
    </row>
    <row r="70" spans="1:42" ht="15.95" customHeight="1">
      <c r="A70" s="447"/>
      <c r="B70" s="447"/>
      <c r="C70" s="494"/>
      <c r="D70" s="494"/>
      <c r="E70" s="494"/>
      <c r="F70" s="494"/>
      <c r="G70" s="494"/>
      <c r="H70" s="494"/>
      <c r="I70" s="494"/>
      <c r="J70" s="494"/>
      <c r="K70" s="447"/>
      <c r="L70" s="447"/>
      <c r="M70" s="309"/>
      <c r="N70" s="389"/>
      <c r="O70" s="464" t="str">
        <f t="shared" si="0"/>
        <v>FA4L1 FA4L2-C</v>
      </c>
      <c r="P70" s="466">
        <f t="shared" si="1"/>
        <v>0</v>
      </c>
      <c r="Q70" s="466">
        <f t="shared" si="1"/>
        <v>0</v>
      </c>
      <c r="R70" s="465" t="e">
        <f t="shared" si="1"/>
        <v>#DIV/0!</v>
      </c>
      <c r="S70" s="1651"/>
      <c r="T70" s="1652"/>
      <c r="U70" s="1652"/>
      <c r="V70" s="625"/>
      <c r="W70" s="625"/>
      <c r="X70" s="738"/>
      <c r="Y70" s="740">
        <v>2779.6</v>
      </c>
      <c r="Z70" s="740">
        <v>3724.5</v>
      </c>
      <c r="AA70" s="625"/>
      <c r="AB70" s="625"/>
      <c r="AC70" s="625"/>
      <c r="AD70" s="359"/>
      <c r="AE70" s="359"/>
      <c r="AF70" s="359"/>
      <c r="AG70" s="359"/>
      <c r="AH70" s="359"/>
      <c r="AI70" s="359"/>
      <c r="AJ70" s="359"/>
      <c r="AK70" s="359"/>
      <c r="AL70" s="359"/>
      <c r="AM70" s="359"/>
      <c r="AN70" s="359"/>
      <c r="AO70" s="359"/>
      <c r="AP70" s="359"/>
    </row>
    <row r="71" spans="1:42" ht="15.95" customHeight="1">
      <c r="A71" s="447"/>
      <c r="B71" s="447"/>
      <c r="C71" s="494"/>
      <c r="D71" s="494"/>
      <c r="E71" s="494"/>
      <c r="F71" s="494"/>
      <c r="G71" s="494"/>
      <c r="H71" s="494"/>
      <c r="I71" s="494"/>
      <c r="J71" s="494"/>
      <c r="K71" s="447"/>
      <c r="L71" s="447"/>
      <c r="M71" s="309"/>
      <c r="N71" s="389"/>
      <c r="O71" s="464" t="str">
        <f t="shared" si="0"/>
        <v>FA5L1 FA5L2-D</v>
      </c>
      <c r="P71" s="466">
        <f t="shared" si="1"/>
        <v>0</v>
      </c>
      <c r="Q71" s="466">
        <f t="shared" si="1"/>
        <v>0</v>
      </c>
      <c r="R71" s="465" t="e">
        <f t="shared" si="1"/>
        <v>#DIV/0!</v>
      </c>
      <c r="S71" s="1651"/>
      <c r="T71" s="1652"/>
      <c r="U71" s="1652"/>
      <c r="V71" s="625"/>
      <c r="W71" s="625"/>
      <c r="X71" s="738"/>
      <c r="Y71" s="740">
        <v>3721.6</v>
      </c>
      <c r="Z71" s="740">
        <v>4902</v>
      </c>
      <c r="AA71" s="625"/>
      <c r="AB71" s="625"/>
      <c r="AC71" s="625"/>
      <c r="AD71" s="359"/>
      <c r="AE71" s="359"/>
      <c r="AF71" s="359"/>
      <c r="AG71" s="359"/>
      <c r="AH71" s="359"/>
      <c r="AI71" s="359"/>
      <c r="AJ71" s="359"/>
      <c r="AK71" s="359"/>
      <c r="AL71" s="359"/>
      <c r="AM71" s="359"/>
      <c r="AN71" s="359"/>
      <c r="AO71" s="359"/>
      <c r="AP71" s="359"/>
    </row>
    <row r="72" spans="1:42" ht="15.95" customHeight="1">
      <c r="A72" s="447"/>
      <c r="B72" s="447"/>
      <c r="C72" s="447"/>
      <c r="D72" s="447"/>
      <c r="E72" s="447"/>
      <c r="F72" s="447"/>
      <c r="G72" s="447"/>
      <c r="H72" s="447"/>
      <c r="I72" s="447"/>
      <c r="J72" s="447"/>
      <c r="K72" s="447"/>
      <c r="L72" s="447"/>
      <c r="M72" s="309"/>
      <c r="N72" s="389"/>
      <c r="O72" s="464" t="str">
        <f t="shared" si="0"/>
        <v>FA5L1 FA5L2-C</v>
      </c>
      <c r="P72" s="466">
        <f t="shared" si="1"/>
        <v>0</v>
      </c>
      <c r="Q72" s="466">
        <f t="shared" si="1"/>
        <v>0</v>
      </c>
      <c r="R72" s="465" t="e">
        <f t="shared" si="1"/>
        <v>#DIV/0!</v>
      </c>
      <c r="S72" s="1651"/>
      <c r="T72" s="1652"/>
      <c r="U72" s="1652"/>
      <c r="V72" s="625"/>
      <c r="W72" s="3"/>
      <c r="X72" s="738"/>
      <c r="Y72" s="740">
        <v>3309.4</v>
      </c>
      <c r="Z72" s="740">
        <v>4386.75</v>
      </c>
      <c r="AA72" s="625"/>
      <c r="AB72" s="625"/>
      <c r="AC72" s="625"/>
      <c r="AD72" s="628"/>
      <c r="AE72" s="628"/>
      <c r="AF72" s="628"/>
      <c r="AG72" s="628"/>
      <c r="AH72" s="628"/>
      <c r="AI72" s="628"/>
      <c r="AJ72" s="359"/>
      <c r="AK72" s="359"/>
      <c r="AL72" s="120"/>
      <c r="AM72" s="359"/>
      <c r="AN72" s="359"/>
      <c r="AO72" s="359"/>
      <c r="AP72" s="359"/>
    </row>
    <row r="73" spans="1:42" ht="15.95" customHeight="1">
      <c r="A73" s="447"/>
      <c r="B73" s="447"/>
      <c r="C73" s="447"/>
      <c r="D73" s="447"/>
      <c r="E73" s="447"/>
      <c r="F73" s="447"/>
      <c r="G73" s="447"/>
      <c r="H73" s="447"/>
      <c r="I73" s="447"/>
      <c r="J73" s="447"/>
      <c r="K73" s="447"/>
      <c r="L73" s="447"/>
      <c r="M73" s="309"/>
      <c r="N73" s="389"/>
      <c r="O73" s="1649" t="s">
        <v>518</v>
      </c>
      <c r="P73" s="1649"/>
      <c r="Q73" s="1649"/>
      <c r="R73" s="1649"/>
      <c r="S73" s="1649"/>
      <c r="T73" s="1649"/>
      <c r="U73" s="1649"/>
      <c r="V73" s="625"/>
      <c r="W73" s="625"/>
      <c r="X73" s="738"/>
      <c r="Y73" s="739"/>
      <c r="Z73" s="625"/>
      <c r="AA73" s="625"/>
      <c r="AB73" s="625"/>
      <c r="AC73" s="625"/>
      <c r="AD73" s="628"/>
      <c r="AE73" s="628"/>
      <c r="AF73" s="628"/>
      <c r="AG73" s="628"/>
      <c r="AH73" s="628"/>
      <c r="AI73" s="628"/>
      <c r="AJ73" s="359"/>
      <c r="AK73" s="359"/>
      <c r="AL73" s="359"/>
      <c r="AM73" s="359"/>
      <c r="AN73" s="359"/>
      <c r="AO73" s="359"/>
      <c r="AP73" s="359"/>
    </row>
    <row r="74" spans="1:42" ht="15.95" customHeight="1">
      <c r="A74" s="447"/>
      <c r="B74" s="447"/>
      <c r="C74" s="447"/>
      <c r="D74" s="447"/>
      <c r="E74" s="447"/>
      <c r="F74" s="447"/>
      <c r="G74" s="447"/>
      <c r="H74" s="447"/>
      <c r="I74" s="447"/>
      <c r="J74" s="447"/>
      <c r="K74" s="447"/>
      <c r="L74" s="447"/>
      <c r="M74" s="309"/>
      <c r="N74" s="389"/>
      <c r="O74" s="1649"/>
      <c r="P74" s="1649"/>
      <c r="Q74" s="1649"/>
      <c r="R74" s="1649"/>
      <c r="S74" s="1649"/>
      <c r="T74" s="1649"/>
      <c r="U74" s="1649"/>
      <c r="V74" s="625"/>
      <c r="W74" s="625"/>
      <c r="X74" s="738"/>
      <c r="Y74" s="739"/>
      <c r="Z74" s="625"/>
      <c r="AA74" s="625"/>
      <c r="AB74" s="625"/>
      <c r="AC74" s="625"/>
      <c r="AD74" s="628"/>
      <c r="AE74" s="628"/>
      <c r="AF74" s="628"/>
      <c r="AG74" s="628"/>
      <c r="AH74" s="628"/>
      <c r="AI74" s="628"/>
      <c r="AJ74" s="359"/>
      <c r="AK74" s="359"/>
      <c r="AL74" s="359"/>
      <c r="AM74" s="359"/>
      <c r="AN74" s="359"/>
      <c r="AO74" s="359"/>
      <c r="AP74" s="359"/>
    </row>
    <row r="75" spans="1:42" ht="15.95" customHeight="1">
      <c r="A75" s="447"/>
      <c r="B75" s="447"/>
      <c r="C75" s="447"/>
      <c r="D75" s="447"/>
      <c r="E75" s="447"/>
      <c r="F75" s="447"/>
      <c r="G75" s="447"/>
      <c r="H75" s="447"/>
      <c r="I75" s="447"/>
      <c r="J75" s="447"/>
      <c r="K75" s="447"/>
      <c r="L75" s="447"/>
      <c r="M75" s="309"/>
      <c r="N75" s="389"/>
      <c r="O75" s="1649"/>
      <c r="P75" s="1649"/>
      <c r="Q75" s="1649"/>
      <c r="R75" s="1649"/>
      <c r="S75" s="1649"/>
      <c r="T75" s="1649"/>
      <c r="U75" s="1649"/>
      <c r="V75" s="625"/>
      <c r="W75" s="625"/>
      <c r="X75" s="738"/>
      <c r="Y75" s="739"/>
      <c r="Z75" s="625"/>
      <c r="AA75" s="625"/>
      <c r="AB75" s="625"/>
      <c r="AC75" s="625"/>
      <c r="AD75" s="628"/>
      <c r="AE75" s="628"/>
      <c r="AF75" s="628"/>
      <c r="AG75" s="628"/>
      <c r="AH75" s="628"/>
      <c r="AI75" s="628"/>
      <c r="AJ75" s="359"/>
      <c r="AK75" s="359"/>
      <c r="AL75" s="359"/>
      <c r="AM75" s="359"/>
      <c r="AN75" s="359"/>
      <c r="AO75" s="359"/>
      <c r="AP75" s="359"/>
    </row>
    <row r="76" spans="1:42" ht="15.95" customHeight="1">
      <c r="A76" s="447"/>
      <c r="B76" s="447"/>
      <c r="C76" s="447"/>
      <c r="D76" s="447"/>
      <c r="E76" s="447"/>
      <c r="F76" s="447"/>
      <c r="G76" s="447"/>
      <c r="H76" s="447"/>
      <c r="I76" s="447"/>
      <c r="J76" s="447"/>
      <c r="K76" s="447"/>
      <c r="L76" s="447"/>
      <c r="M76" s="309"/>
      <c r="N76" s="389"/>
      <c r="O76" s="1649"/>
      <c r="P76" s="1649"/>
      <c r="Q76" s="1649"/>
      <c r="R76" s="1649"/>
      <c r="S76" s="1649"/>
      <c r="T76" s="1649"/>
      <c r="U76" s="1649"/>
      <c r="V76" s="625"/>
      <c r="W76" s="625"/>
      <c r="X76" s="738"/>
      <c r="Y76" s="739"/>
      <c r="Z76" s="625"/>
      <c r="AA76" s="625"/>
      <c r="AB76" s="625"/>
      <c r="AC76" s="625"/>
      <c r="AD76" s="628"/>
      <c r="AE76" s="628"/>
      <c r="AF76" s="628"/>
      <c r="AG76" s="628"/>
      <c r="AH76" s="628"/>
      <c r="AI76" s="628"/>
      <c r="AJ76" s="359"/>
      <c r="AK76" s="359"/>
      <c r="AL76" s="359"/>
      <c r="AM76" s="359"/>
      <c r="AN76" s="359"/>
      <c r="AO76" s="359"/>
      <c r="AP76" s="359"/>
    </row>
    <row r="77" spans="1:42" ht="15.95" customHeight="1">
      <c r="A77" s="447"/>
      <c r="B77" s="447"/>
      <c r="C77" s="447"/>
      <c r="D77" s="447"/>
      <c r="E77" s="447"/>
      <c r="F77" s="447"/>
      <c r="G77" s="447"/>
      <c r="H77" s="447"/>
      <c r="I77" s="447"/>
      <c r="J77" s="447"/>
      <c r="K77" s="447"/>
      <c r="L77" s="447"/>
      <c r="M77" s="309"/>
      <c r="N77" s="389"/>
      <c r="O77" s="1649"/>
      <c r="P77" s="1649"/>
      <c r="Q77" s="1649"/>
      <c r="R77" s="1649"/>
      <c r="S77" s="1649"/>
      <c r="T77" s="1649"/>
      <c r="U77" s="1649"/>
      <c r="V77" s="625"/>
      <c r="W77" s="625"/>
      <c r="X77" s="738"/>
      <c r="Y77" s="739"/>
      <c r="Z77" s="625"/>
      <c r="AA77" s="625"/>
      <c r="AB77" s="625"/>
      <c r="AC77" s="625"/>
      <c r="AD77" s="359"/>
      <c r="AE77" s="359"/>
      <c r="AF77" s="359"/>
      <c r="AG77" s="359"/>
      <c r="AH77" s="359"/>
      <c r="AI77" s="359"/>
      <c r="AJ77" s="359"/>
      <c r="AK77" s="359"/>
      <c r="AL77" s="359"/>
      <c r="AM77" s="359"/>
      <c r="AN77" s="359"/>
      <c r="AO77" s="359"/>
      <c r="AP77" s="359"/>
    </row>
    <row r="78" spans="1:42" ht="12.95" customHeight="1">
      <c r="M78" s="359"/>
      <c r="N78" s="626"/>
      <c r="O78" s="626"/>
      <c r="P78" s="626"/>
      <c r="Q78" s="626"/>
      <c r="R78" s="626"/>
      <c r="S78" s="626"/>
      <c r="T78" s="626"/>
      <c r="U78" s="626"/>
      <c r="V78" s="626"/>
      <c r="W78" s="626"/>
      <c r="X78" s="738"/>
      <c r="Y78" s="739"/>
      <c r="AD78" s="359"/>
      <c r="AE78" s="359"/>
      <c r="AF78" s="359"/>
      <c r="AG78" s="359"/>
      <c r="AH78" s="359"/>
      <c r="AI78" s="359"/>
      <c r="AJ78" s="359"/>
      <c r="AK78" s="359"/>
      <c r="AL78" s="359"/>
      <c r="AM78" s="359"/>
      <c r="AN78" s="359"/>
      <c r="AO78" s="359"/>
      <c r="AP78" s="359"/>
    </row>
    <row r="79" spans="1:42" ht="12.95" customHeight="1">
      <c r="M79" s="359"/>
      <c r="N79" s="626"/>
      <c r="O79" s="626"/>
      <c r="P79" s="626"/>
      <c r="Q79" s="626"/>
      <c r="R79" s="626"/>
      <c r="S79" s="626"/>
      <c r="T79" s="626"/>
      <c r="U79" s="626"/>
      <c r="V79" s="626"/>
      <c r="W79" s="626"/>
      <c r="X79" s="738"/>
      <c r="Y79" s="739"/>
      <c r="AD79" s="359"/>
      <c r="AE79" s="359"/>
      <c r="AF79" s="359"/>
      <c r="AG79" s="359"/>
      <c r="AH79" s="359"/>
      <c r="AI79" s="359"/>
      <c r="AJ79" s="359"/>
      <c r="AK79" s="359"/>
      <c r="AL79" s="359"/>
      <c r="AM79" s="359"/>
      <c r="AN79" s="359"/>
      <c r="AO79" s="359"/>
      <c r="AP79" s="359"/>
    </row>
    <row r="80" spans="1:42" ht="12.95" customHeight="1">
      <c r="M80" s="359"/>
      <c r="N80" s="626"/>
      <c r="O80" s="626"/>
      <c r="P80" s="626"/>
      <c r="Q80" s="626"/>
      <c r="R80" s="626"/>
      <c r="S80" s="626"/>
      <c r="T80" s="626"/>
      <c r="U80" s="626"/>
      <c r="V80" s="626"/>
      <c r="W80" s="626"/>
      <c r="X80" s="738"/>
      <c r="Y80" s="739"/>
      <c r="AD80" s="359"/>
      <c r="AE80" s="359"/>
      <c r="AF80" s="359"/>
      <c r="AG80" s="359"/>
      <c r="AH80" s="359"/>
      <c r="AI80" s="359"/>
      <c r="AJ80" s="359"/>
      <c r="AK80" s="359"/>
      <c r="AL80" s="359"/>
      <c r="AM80" s="359"/>
      <c r="AN80" s="359"/>
      <c r="AO80" s="359"/>
      <c r="AP80" s="359"/>
    </row>
    <row r="81" spans="13:42" ht="12.95" customHeight="1">
      <c r="M81" s="359"/>
      <c r="X81" s="738"/>
      <c r="Y81" s="739"/>
      <c r="AD81" s="359"/>
      <c r="AE81" s="359"/>
      <c r="AF81" s="359"/>
      <c r="AG81" s="359"/>
      <c r="AH81" s="359"/>
      <c r="AI81" s="359"/>
      <c r="AJ81" s="359"/>
      <c r="AK81" s="359"/>
      <c r="AL81" s="359"/>
      <c r="AM81" s="359"/>
      <c r="AN81" s="359"/>
      <c r="AO81" s="359"/>
      <c r="AP81" s="359"/>
    </row>
    <row r="82" spans="13:42" ht="12.95" customHeight="1">
      <c r="M82" s="359"/>
      <c r="AD82" s="359"/>
      <c r="AE82" s="359"/>
      <c r="AF82" s="359"/>
      <c r="AG82" s="359"/>
      <c r="AH82" s="359"/>
      <c r="AI82" s="359"/>
      <c r="AJ82" s="359"/>
      <c r="AK82" s="359"/>
      <c r="AL82" s="359"/>
      <c r="AM82" s="359"/>
      <c r="AN82" s="359"/>
      <c r="AO82" s="359"/>
      <c r="AP82" s="359"/>
    </row>
    <row r="83" spans="13:42" ht="12.95" customHeight="1">
      <c r="M83" s="359"/>
      <c r="AD83" s="359"/>
      <c r="AE83" s="359"/>
      <c r="AF83" s="359"/>
      <c r="AG83" s="359"/>
      <c r="AH83" s="359"/>
      <c r="AI83" s="359"/>
      <c r="AJ83" s="359"/>
      <c r="AK83" s="359"/>
      <c r="AL83" s="359"/>
      <c r="AM83" s="359"/>
      <c r="AN83" s="359"/>
      <c r="AO83" s="359"/>
      <c r="AP83" s="359"/>
    </row>
    <row r="84" spans="13:42" ht="12.95" customHeight="1">
      <c r="M84" s="359"/>
    </row>
    <row r="85" spans="13:42" ht="12.95" customHeight="1"/>
    <row r="86" spans="13:42" ht="12.95" customHeight="1"/>
    <row r="87" spans="13:42" ht="12.95" customHeight="1"/>
    <row r="88" spans="13:42" ht="12.95" customHeight="1"/>
    <row r="89" spans="13:42" ht="12.95" customHeight="1"/>
    <row r="90" spans="13:42" ht="12.95" customHeight="1"/>
    <row r="91" spans="13:42" ht="12.95" customHeight="1"/>
    <row r="92" spans="13:42" ht="12.95" customHeight="1"/>
    <row r="93" spans="13:42" ht="12.95" customHeight="1"/>
    <row r="94" spans="13:42" ht="12.95" customHeight="1"/>
    <row r="95" spans="13:42" ht="12.95" customHeight="1"/>
    <row r="96" spans="13:42"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AB45:AF48"/>
    <mergeCell ref="O73:U77"/>
    <mergeCell ref="N31:U31"/>
    <mergeCell ref="N32:U32"/>
    <mergeCell ref="N33:U33"/>
    <mergeCell ref="N34:U34"/>
    <mergeCell ref="N35:U35"/>
    <mergeCell ref="W37:AA38"/>
    <mergeCell ref="C39:J44"/>
    <mergeCell ref="C47:J54"/>
    <mergeCell ref="B37:L37"/>
    <mergeCell ref="C58:J67"/>
    <mergeCell ref="Y58:Z59"/>
    <mergeCell ref="S39:U53"/>
    <mergeCell ref="O54:U58"/>
    <mergeCell ref="S60:U72"/>
    <mergeCell ref="O2:T2"/>
    <mergeCell ref="N11:U16"/>
    <mergeCell ref="N30:U30"/>
    <mergeCell ref="O36:T36"/>
    <mergeCell ref="N17:U29"/>
    <mergeCell ref="N3:U10"/>
    <mergeCell ref="A2:A36"/>
    <mergeCell ref="M2:M36"/>
    <mergeCell ref="B2:L2"/>
    <mergeCell ref="B36:L36"/>
    <mergeCell ref="B1:L1"/>
  </mergeCells>
  <phoneticPr fontId="146" type="noConversion"/>
  <conditionalFormatting sqref="O71:R72">
    <cfRule type="expression" dxfId="79" priority="11">
      <formula>$O$52="FA5L1 FA5L2-D"</formula>
    </cfRule>
  </conditionalFormatting>
  <conditionalFormatting sqref="O69:R70">
    <cfRule type="expression" dxfId="78" priority="12">
      <formula>$O$50="FA4L1 FA4L2-D"</formula>
    </cfRule>
  </conditionalFormatting>
  <conditionalFormatting sqref="O67:R68">
    <cfRule type="expression" dxfId="77" priority="13">
      <formula>$O$48="FA3L1 FA3L2-D"</formula>
    </cfRule>
  </conditionalFormatting>
  <conditionalFormatting sqref="O65:R66">
    <cfRule type="expression" dxfId="76" priority="14">
      <formula>$O$46="FA2L1 FA2L2-D"</formula>
    </cfRule>
  </conditionalFormatting>
  <conditionalFormatting sqref="O63:R64">
    <cfRule type="expression" dxfId="75" priority="15">
      <formula>$O$44="FA1L1 FA1L2-D"</formula>
    </cfRule>
  </conditionalFormatting>
  <conditionalFormatting sqref="O44:Q45">
    <cfRule type="expression" dxfId="74" priority="10">
      <formula>$O$44="FA1L1 FA1L2-D"</formula>
    </cfRule>
  </conditionalFormatting>
  <conditionalFormatting sqref="O46:Q47">
    <cfRule type="expression" dxfId="73" priority="9">
      <formula>$O$46="FA2L1 FA2L2-D"</formula>
    </cfRule>
  </conditionalFormatting>
  <conditionalFormatting sqref="O48:Q49">
    <cfRule type="expression" dxfId="72" priority="8">
      <formula>$O$48="FA3L1 FA3L2-D"</formula>
    </cfRule>
  </conditionalFormatting>
  <conditionalFormatting sqref="O50:Q51">
    <cfRule type="expression" dxfId="71" priority="7">
      <formula>$O$50="FA4L1 FA4L2-D"</formula>
    </cfRule>
  </conditionalFormatting>
  <conditionalFormatting sqref="O52:Q53">
    <cfRule type="expression" dxfId="70" priority="6">
      <formula>$O$52="FA5L1 FA5L2-D"</formula>
    </cfRule>
  </conditionalFormatting>
  <pageMargins left="1" right="1" top="1" bottom="1"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16</vt:i4>
      </vt:variant>
    </vt:vector>
  </HeadingPairs>
  <TitlesOfParts>
    <vt:vector size="83" baseType="lpstr">
      <vt:lpstr>INSTRUCTIONS</vt:lpstr>
      <vt:lpstr>FIG1</vt:lpstr>
      <vt:lpstr>FIG2</vt:lpstr>
      <vt:lpstr>FIG3</vt:lpstr>
      <vt:lpstr>FIG4</vt:lpstr>
      <vt:lpstr>FIG5</vt:lpstr>
      <vt:lpstr>FIG6</vt:lpstr>
      <vt:lpstr>FIG7</vt:lpstr>
      <vt:lpstr>FIG8</vt:lpstr>
      <vt:lpstr>FIG9</vt:lpstr>
      <vt:lpstr>FIG10</vt:lpstr>
      <vt:lpstr>FIG11</vt:lpstr>
      <vt:lpstr>FIG12</vt:lpstr>
      <vt:lpstr>CONVERSIONS-CONV</vt:lpstr>
      <vt:lpstr>$REV-DB</vt:lpstr>
      <vt:lpstr>$REV-DSUM</vt:lpstr>
      <vt:lpstr>$REV-DSUM-CONV</vt:lpstr>
      <vt:lpstr>$REV-PROOF</vt:lpstr>
      <vt:lpstr>$REV-HEADINGS</vt:lpstr>
      <vt:lpstr>$REV-NOTES</vt:lpstr>
      <vt:lpstr>1$REV-CharterAuditData</vt:lpstr>
      <vt:lpstr>2$REV-Districtsallrevs</vt:lpstr>
      <vt:lpstr>3$REV-DistrictsWorkingFile2</vt:lpstr>
      <vt:lpstr>4$REV-DATA-CharterDistricts</vt:lpstr>
      <vt:lpstr>5$REV-CharterFedRevCalcs</vt:lpstr>
      <vt:lpstr>6$REV-CommCharterDOEdata</vt:lpstr>
      <vt:lpstr>7$REV-FinalDistrictData</vt:lpstr>
      <vt:lpstr>8$REV-DATA-</vt:lpstr>
      <vt:lpstr>9$REV-DATA-</vt:lpstr>
      <vt:lpstr>10$REV-DATA-</vt:lpstr>
      <vt:lpstr>$REV-DATA-END</vt:lpstr>
      <vt:lpstr>1$REV-ARCHIVE-AllDistricts</vt:lpstr>
      <vt:lpstr>2$REV-ARCHIVE-</vt:lpstr>
      <vt:lpstr>3$REV-ARCHIVE-</vt:lpstr>
      <vt:lpstr>4$REV-ARCHIVE-</vt:lpstr>
      <vt:lpstr>5$REV-ARCHIVE-</vt:lpstr>
      <vt:lpstr>6$REV-ARCHIVE-</vt:lpstr>
      <vt:lpstr>7$REV-ARCHIVE-</vt:lpstr>
      <vt:lpstr>8$REV-ARCHIVE-</vt:lpstr>
      <vt:lpstr>$REV-ARCHIVE-END</vt:lpstr>
      <vt:lpstr>ENR#-DB</vt:lpstr>
      <vt:lpstr>ENR#-DSUM</vt:lpstr>
      <vt:lpstr>ENR#-DSUM-CONV</vt:lpstr>
      <vt:lpstr>ENR#-PROOF</vt:lpstr>
      <vt:lpstr>ENR#-HEADINGS</vt:lpstr>
      <vt:lpstr>ENR#-NOTES</vt:lpstr>
      <vt:lpstr>1ENR#DATA-DistrictFTE</vt:lpstr>
      <vt:lpstr>2ENR#DistrictWorkingfile2</vt:lpstr>
      <vt:lpstr>3ENR#DATA-</vt:lpstr>
      <vt:lpstr>4ENR#DATA-</vt:lpstr>
      <vt:lpstr>5ENR#DATA-</vt:lpstr>
      <vt:lpstr>6ENR#DATA-</vt:lpstr>
      <vt:lpstr>7ENR#DATA-</vt:lpstr>
      <vt:lpstr>8ENR#DATA-</vt:lpstr>
      <vt:lpstr>9ENR#DATA-</vt:lpstr>
      <vt:lpstr>10ENR#DATA-</vt:lpstr>
      <vt:lpstr>ENR#DATA-END</vt:lpstr>
      <vt:lpstr>1ENR#ARCHIVE-</vt:lpstr>
      <vt:lpstr>2ENR#ARCHIVE-</vt:lpstr>
      <vt:lpstr>3ENR#ARCHIVE-</vt:lpstr>
      <vt:lpstr>4ENR#ARCHIVE-</vt:lpstr>
      <vt:lpstr>5ENR#ARCHIVE-</vt:lpstr>
      <vt:lpstr>6ENR#ARCHIVE-</vt:lpstr>
      <vt:lpstr>7ENR#ARCHIVE-</vt:lpstr>
      <vt:lpstr>8ENR#ARCHIVE-</vt:lpstr>
      <vt:lpstr>ENR#ARCHIVE-END</vt:lpstr>
      <vt:lpstr>END</vt:lpstr>
      <vt:lpstr>'ENR#-DB'!Criteria</vt:lpstr>
      <vt:lpstr>'ENR#-DB'!Extract</vt:lpstr>
      <vt:lpstr>'$REV-PROOF'!Print_Area</vt:lpstr>
      <vt:lpstr>'ENR#-PROOF'!Print_Area</vt:lpstr>
      <vt:lpstr>'FIG1'!Print_Area</vt:lpstr>
      <vt:lpstr>'FIG10'!Print_Area</vt:lpstr>
      <vt:lpstr>'FIG11'!Print_Area</vt:lpstr>
      <vt:lpstr>'FIG12'!Print_Area</vt:lpstr>
      <vt:lpstr>'FIG2'!Print_Area</vt:lpstr>
      <vt:lpstr>'FIG3'!Print_Area</vt:lpstr>
      <vt:lpstr>'FIG4'!Print_Area</vt:lpstr>
      <vt:lpstr>'FIG5'!Print_Area</vt:lpstr>
      <vt:lpstr>'FIG6'!Print_Area</vt:lpstr>
      <vt:lpstr>'FIG8'!Print_Area</vt:lpstr>
      <vt:lpstr>'FIG9'!Print_Area</vt:lpstr>
      <vt:lpstr>INSTRUCTIONS!Print_Area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F. May</dc:creator>
  <cp:lastModifiedBy>Larry</cp:lastModifiedBy>
  <cp:lastPrinted>2013-07-15T16:52:28Z</cp:lastPrinted>
  <dcterms:created xsi:type="dcterms:W3CDTF">2012-10-24T23:20:52Z</dcterms:created>
  <dcterms:modified xsi:type="dcterms:W3CDTF">2014-03-27T21:08:37Z</dcterms:modified>
</cp:coreProperties>
</file>